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8.xml" ContentType="application/vnd.openxmlformats-officedocument.drawing+xml"/>
  <Override PartName="/xl/ctrlProps/ctrlProp15.xml" ContentType="application/vnd.ms-excel.controlproperties+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9.xml" ContentType="application/vnd.openxmlformats-officedocument.drawing+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tables/table1.xml" ContentType="application/vnd.openxmlformats-officedocument.spreadsheetml.table+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11.xml" ContentType="application/vnd.openxmlformats-officedocument.drawing+xml"/>
  <Override PartName="/xl/tables/table2.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showInkAnnotation="0" codeName="ThisWorkbook"/>
  <mc:AlternateContent xmlns:mc="http://schemas.openxmlformats.org/markup-compatibility/2006">
    <mc:Choice Requires="x15">
      <x15ac:absPath xmlns:x15ac="http://schemas.microsoft.com/office/spreadsheetml/2010/11/ac" url="D:\0_Code_Projects\"/>
    </mc:Choice>
  </mc:AlternateContent>
  <xr:revisionPtr revIDLastSave="0" documentId="13_ncr:1_{1DF394E2-E6BF-4405-84CD-D8A19DA77833}" xr6:coauthVersionLast="47" xr6:coauthVersionMax="47" xr10:uidLastSave="{00000000-0000-0000-0000-000000000000}"/>
  <bookViews>
    <workbookView xWindow="-109" yWindow="-109" windowWidth="26301" windowHeight="14169" tabRatio="922" xr2:uid="{00000000-000D-0000-FFFF-FFFF00000000}"/>
  </bookViews>
  <sheets>
    <sheet name="Design Converter" sheetId="1" r:id="rId1"/>
    <sheet name="Licenses" sheetId="24" r:id="rId2"/>
    <sheet name="Variable Management" sheetId="2" r:id="rId3"/>
    <sheet name="DeviceParameter" sheetId="26" r:id="rId4"/>
    <sheet name="CFG Setting" sheetId="23" r:id="rId5"/>
    <sheet name="Stability Calculations" sheetId="17" r:id="rId6"/>
    <sheet name="IL Stability Calculations" sheetId="28" r:id="rId7"/>
    <sheet name="Schematic Management" sheetId="22" r:id="rId8"/>
    <sheet name="Efficiency Plot Details" sheetId="27" r:id="rId9"/>
    <sheet name="Efficiency Plot Management" sheetId="32" r:id="rId10"/>
    <sheet name="Timings" sheetId="29" r:id="rId11"/>
    <sheet name="Efficiency vs VIN Calculations" sheetId="33" r:id="rId12"/>
    <sheet name="Efficiency vs Load Calculations" sheetId="31" r:id="rId13"/>
    <sheet name="Standard Value Calculator" sheetId="8" r:id="rId14"/>
    <sheet name="Snubber" sheetId="11" r:id="rId15"/>
    <sheet name="Parallel Output Caps" sheetId="6" r:id="rId16"/>
  </sheets>
  <externalReferences>
    <externalReference r:id="rId17"/>
    <externalReference r:id="rId18"/>
  </externalReferences>
  <definedNames>
    <definedName name="_Don1">'Variable Management'!$B$52</definedName>
    <definedName name="_Don2">'Variable Management'!$B$78</definedName>
    <definedName name="A_OL_IL">'Variable Management'!$B$284</definedName>
    <definedName name="Acs">'Variable Management'!$B$354</definedName>
    <definedName name="Adc" localSheetId="6">'IL Stability Calculations'!$U$3</definedName>
    <definedName name="Adc">'Stability Calculations'!$Q$3</definedName>
    <definedName name="Adc_IL">'IL Stability Calculations'!$U$3</definedName>
    <definedName name="AEA">'Variable Management'!$B$352</definedName>
    <definedName name="Afb">'Variable Management'!$B$353</definedName>
    <definedName name="AIL" localSheetId="6">'IL Stability Calculations'!$E$6</definedName>
    <definedName name="AIL">'Stability Calculations'!$V$6</definedName>
    <definedName name="Am">'Variable Management'!$B$357</definedName>
    <definedName name="Am_boost">'Variable Management'!$B$356</definedName>
    <definedName name="Am_buck">'Variable Management'!$B$355</definedName>
    <definedName name="Am_IL">'IL Stability Calculations'!$H$4</definedName>
    <definedName name="BodePlot" localSheetId="8">'Efficiency Plot Details'!$B$10</definedName>
    <definedName name="BodePlot">'Efficiency Plot Management'!$B$10</definedName>
    <definedName name="BodePlot_ILim" localSheetId="8">'Efficiency Plot Details'!$B$12</definedName>
    <definedName name="BodePlot_ILIM">'Efficiency Plot Management'!$B$12</definedName>
    <definedName name="BODEPLOT_TYPE" localSheetId="6">'Variable Management'!$L$11</definedName>
    <definedName name="BODEPLOT_TYPE">'Variable Management'!$L$11</definedName>
    <definedName name="Boost_CS_Threshold">'Variable Management'!$B$123</definedName>
    <definedName name="Boost_CS_Threshold_max">'Variable Management'!$B$124</definedName>
    <definedName name="Boost_CS_Threshold_min">'Variable Management'!$B$122</definedName>
    <definedName name="Buck_CS_threshold">'Variable Management'!$B$119</definedName>
    <definedName name="Buck_CS_threshold_max">'Variable Management'!$B$120</definedName>
    <definedName name="Buck_CS_threshold_min">'Variable Management'!$B$118</definedName>
    <definedName name="C_CS">DeviceParameter!$N$9</definedName>
    <definedName name="C_CS_ideal">DeviceParameter!$N$10</definedName>
    <definedName name="C_IL_recommend">'Variable Management'!$B$292</definedName>
    <definedName name="Calc_mode">'Variable Management'!$L$14</definedName>
    <definedName name="Cb">'Variable Management'!$B$262</definedName>
    <definedName name="Cbw">'Variable Management'!$B$348</definedName>
    <definedName name="Cbw_IL">'Variable Management'!$B$282</definedName>
    <definedName name="Cby">'Variable Management'!$B$261</definedName>
    <definedName name="Cc1ea">'Variable Management'!$B$382</definedName>
    <definedName name="Cc1ea_u">'Variable Management'!$B$387</definedName>
    <definedName name="Cc1IL">'Variable Management'!$B$289</definedName>
    <definedName name="Cc2ea">'Variable Management'!$B$383</definedName>
    <definedName name="Cc2ea_u">'Variable Management'!$B$388</definedName>
    <definedName name="Cc2IL">'Variable Management'!$B$290</definedName>
    <definedName name="Cdither">'Variable Management'!$B$261</definedName>
    <definedName name="CFG">'Variable Management'!$O$10</definedName>
    <definedName name="Cin">'Variable Management'!$B$218</definedName>
    <definedName name="CinEsrMax">'Variable Management'!$B$221</definedName>
    <definedName name="Cinmin">'Variable Management'!$B$216</definedName>
    <definedName name="Co2_">'Variable Management'!$B$287</definedName>
    <definedName name="Co2_u">'Variable Management'!$F$287</definedName>
    <definedName name="Constant_Current_Loop_Setpoint">'Variable Management'!$B$268</definedName>
    <definedName name="Cout">'Variable Management'!$B$198</definedName>
    <definedName name="CoutEsr">'Variable Management'!$B$202</definedName>
    <definedName name="CoutEsrMax">'Variable Management'!$B$199</definedName>
    <definedName name="Coutmin">'Variable Management'!$B$196</definedName>
    <definedName name="CSAmp_gain">'Variable Management'!$B$297</definedName>
    <definedName name="Csb">'Variable Management'!$B$259</definedName>
    <definedName name="Csby">'Variable Management'!$B$260</definedName>
    <definedName name="Cslope">'Variable Management'!$B$300</definedName>
    <definedName name="Css">'Variable Management'!$B$234</definedName>
    <definedName name="Css_u">'Variable Management'!$B$235</definedName>
    <definedName name="D_max_buck_BB">'Variable Management'!$B$38</definedName>
    <definedName name="D_max_buck_enterBB">'Variable Management'!$B$42</definedName>
    <definedName name="D_max_exitBB_to_buck">'Variable Management'!$B$41</definedName>
    <definedName name="D_min_boost">'Variable Management'!$B$36</definedName>
    <definedName name="D_min_boost_exitBB_to_buck">'Variable Management'!$B$40</definedName>
    <definedName name="DC_RC">'Design Converter'!$E$91</definedName>
    <definedName name="Deadtime">'Variable Management'!$B$425</definedName>
    <definedName name="Device">'Variable Management'!$B$29</definedName>
    <definedName name="dI1_">Timings!$Y$6</definedName>
    <definedName name="dI2_">Timings!$Y$7</definedName>
    <definedName name="dI3_">Timings!$Y$8</definedName>
    <definedName name="Doff1">'Variable Management'!$B$53</definedName>
    <definedName name="Doff2">'Variable Management'!$B$79</definedName>
    <definedName name="Don_buckboost">'Variable Management'!$B$58</definedName>
    <definedName name="Don_Vinmax">'Variable Management'!$B$57</definedName>
    <definedName name="Don_Vinmax_2">'Variable Management'!$B$83</definedName>
    <definedName name="Don_Vinmin">'Variable Management'!$B$55</definedName>
    <definedName name="Don_Vinmin_2">'Variable Management'!$B$81</definedName>
    <definedName name="Don_Vinnom">'Variable Management'!$B$56</definedName>
    <definedName name="Don_Vinnom_2">'Variable Management'!$B$82</definedName>
    <definedName name="EA_Pole1">'Stability Calculations'!$C$5</definedName>
    <definedName name="EA_Pole2">'Stability Calculations'!$C$7</definedName>
    <definedName name="EA_Zero1">'Stability Calculations'!$C$4</definedName>
    <definedName name="eff">Timings!$B$9</definedName>
    <definedName name="EFF_IOUT" localSheetId="8">'Efficiency Plot Details'!$B$5</definedName>
    <definedName name="EFF_IOUT">'Efficiency Plot Management'!$B$5</definedName>
    <definedName name="EFF_VIN" localSheetId="8">'Efficiency Plot Details'!$B$7</definedName>
    <definedName name="EFF_VIN">'Efficiency Plot Management'!$B$7</definedName>
    <definedName name="Efficiency">'Variable Management'!$B$16</definedName>
    <definedName name="f_cross_Bode">'Stability Calculations'!$Q$4</definedName>
    <definedName name="Fcross">'Variable Management'!$B$380</definedName>
    <definedName name="Fdither">'Variable Management'!$B$259</definedName>
    <definedName name="Fesr">'Variable Management'!$B$372</definedName>
    <definedName name="Fload_boost">'Variable Management'!$B$367</definedName>
    <definedName name="Fload_buck">'Variable Management'!$B$366</definedName>
    <definedName name="Fload_u">'Variable Management'!$B$366</definedName>
    <definedName name="Fp_dominant">'Variable Management'!$B$368</definedName>
    <definedName name="Fp_IL">'Variable Management'!$B$285</definedName>
    <definedName name="Fp_ILHF">'Variable Management'!$B$286</definedName>
    <definedName name="Fp1_u">'Variable Management'!$B$370</definedName>
    <definedName name="Fp2_u">'Variable Management'!$B$371</definedName>
    <definedName name="Frhp">'Variable Management'!$B$373</definedName>
    <definedName name="Frhp_Vinmin">'Variable Management'!$B$374</definedName>
    <definedName name="Fsw">'Variable Management'!$B$22</definedName>
    <definedName name="Fz1_u">'Variable Management'!$B$393</definedName>
    <definedName name="GBW">'Variable Management'!$B$347</definedName>
    <definedName name="GBW_IL">'Variable Management'!$B$281</definedName>
    <definedName name="Gfs_Q1">'Variable Management'!$B$436</definedName>
    <definedName name="Gfs_Q2">'Variable Management'!$D$436</definedName>
    <definedName name="Gfs_Q3">'Variable Management'!$B$453</definedName>
    <definedName name="Gfs_Q4">'Variable Management'!$D$453</definedName>
    <definedName name="gm">'Variable Management'!$B$299</definedName>
    <definedName name="gm_CDC">DeviceParameter!$B$13</definedName>
    <definedName name="gm_IL">'Variable Management'!$B$280</definedName>
    <definedName name="gm_slopecomp">'Variable Management'!$B$301</definedName>
    <definedName name="I_0">Timings!$Y$11</definedName>
    <definedName name="I_1">Timings!$Y$12</definedName>
    <definedName name="I_2">Timings!$Y$13</definedName>
    <definedName name="I_PP">Timings!$Y$14</definedName>
    <definedName name="i_rms">Timings!$Y$16</definedName>
    <definedName name="iavg">Timings!$Y$5</definedName>
    <definedName name="Icoutrms">'Variable Management'!$B$189</definedName>
    <definedName name="Ifb">'Variable Management'!$B$27</definedName>
    <definedName name="Iin">Timings!$B$8</definedName>
    <definedName name="Iin_Vinmax">'Variable Management'!$B$20</definedName>
    <definedName name="Iin_Vinmin">'Variable Management'!$B$18</definedName>
    <definedName name="Iin_Vinnom">'Variable Management'!$B$19</definedName>
    <definedName name="IL_peak_OCP">'Variable Management'!$B$161</definedName>
    <definedName name="IL_Pole1" localSheetId="6">'IL Stability Calculations'!$E$5</definedName>
    <definedName name="IL_Pole2" localSheetId="6">'IL Stability Calculations'!$E$7</definedName>
    <definedName name="IL_Zero1" localSheetId="6">'IL Stability Calculations'!$E$4</definedName>
    <definedName name="Ilimit_Margin">'Variable Management'!$B$109</definedName>
    <definedName name="ILpeak_OCP_Vinmax">'Variable Management'!$B$158</definedName>
    <definedName name="ILpeak_OCP_Vinmin">'Variable Management'!$B$156</definedName>
    <definedName name="ILpeak_OCP_Vinnom">'Variable Management'!$B$157</definedName>
    <definedName name="IMONLIM_select">'Variable Management'!$B$266</definedName>
    <definedName name="Iout">'Variable Management'!$B$13</definedName>
    <definedName name="Iout_OCP_Vinmax">'Variable Management'!$B$153</definedName>
    <definedName name="Iout_OCP_Vinmin">'Variable Management'!$B$151</definedName>
    <definedName name="Iout_OCP_Vinnom">'Variable Management'!$B$152</definedName>
    <definedName name="Iout_threshold">'Variable Management'!$B$269</definedName>
    <definedName name="Ipeak_inductor_buckboost">'Variable Management'!$B$114</definedName>
    <definedName name="Ipeak_inductor_max">'Variable Management'!$B$115</definedName>
    <definedName name="Ipeak_inductor_Vinmax">'Variable Management'!$B$113</definedName>
    <definedName name="Ipeak_inductor_Vinmin">'Variable Management'!$B$111</definedName>
    <definedName name="Ipeak_inductor_Vinnom">'Variable Management'!$B$112</definedName>
    <definedName name="Iq">'Variable Management'!$B$427</definedName>
    <definedName name="Ireverse">'Variable Management'!$B$465</definedName>
    <definedName name="Iripple_edgebuckboost">'Variable Management'!$B$90</definedName>
    <definedName name="Iripple_Vinmax">'Variable Management'!$B$89</definedName>
    <definedName name="Iripple_Vinmin">'Variable Management'!$B$87</definedName>
    <definedName name="Iripple_Vinnom">'Variable Management'!$B$88</definedName>
    <definedName name="Isc_const">'Variable Management'!$B$302</definedName>
    <definedName name="Islope_fixed">'Variable Management'!$B$172</definedName>
    <definedName name="Iss">'Variable Management'!$B$233</definedName>
    <definedName name="Iuvlo_hys">'Variable Management'!$B$252</definedName>
    <definedName name="Iuvlo1">'Variable Management'!$B$250</definedName>
    <definedName name="Iuvlo2">'Variable Management'!$B$251</definedName>
    <definedName name="k">'Variable Management'!$B$339</definedName>
    <definedName name="K_1">'Variable Management'!$B$343</definedName>
    <definedName name="k_boost">'Variable Management'!$B$336</definedName>
    <definedName name="k_buck">'Variable Management'!$B$334</definedName>
    <definedName name="K_SL">'Variable Management'!$B$311</definedName>
    <definedName name="KD">'Variable Management'!$B$344</definedName>
    <definedName name="KM">'Variable Management'!$B$342</definedName>
    <definedName name="L">Timings!$B$10</definedName>
    <definedName name="Labsmax">'Variable Management'!$O$64</definedName>
    <definedName name="Labsmin">'Variable Management'!$L$64</definedName>
    <definedName name="Lf">'Variable Management'!$B$75</definedName>
    <definedName name="Lopt">'Variable Management'!$B$71</definedName>
    <definedName name="Lopt_Limit">'Variable Management'!$B$74</definedName>
    <definedName name="Ltc">'Variable Management'!$B$413</definedName>
    <definedName name="mc">'Variable Management'!$B$338</definedName>
    <definedName name="mc_boost">'Variable Management'!$B$335</definedName>
    <definedName name="mc_buck">'Variable Management'!$B$333</definedName>
    <definedName name="Mode">'Variable Management'!$B$30</definedName>
    <definedName name="Pi">'Variable Management'!$B$296</definedName>
    <definedName name="PICTURE" localSheetId="8">INDIRECT('Efficiency Plot Details'!$A$2)</definedName>
    <definedName name="PICTURE">INDIRECT('Efficiency Plot Management'!$A$2)</definedName>
    <definedName name="Picture_Bode" localSheetId="8">INDIRECT('Efficiency Plot Details'!$A$9)</definedName>
    <definedName name="Picture_Bode">INDIRECT('Efficiency Plot Management'!$A$9)</definedName>
    <definedName name="PICTURE2" localSheetId="7">INDIRECT('Schematic Management'!$A$2)</definedName>
    <definedName name="PICTURE2">INDIRECT('Schematic Management'!$A$2)</definedName>
    <definedName name="Pin">'Variable Management'!$B$17</definedName>
    <definedName name="PLOT_TYPE">'Variable Management'!$L$10</definedName>
    <definedName name="Pout">'Variable Management'!$B$15</definedName>
    <definedName name="_xlnm.Print_Area" localSheetId="0">'Design Converter'!$A$1:$Q$127</definedName>
    <definedName name="PS_IL_Pole1">'IL Stability Calculations'!$O$4</definedName>
    <definedName name="PS_IL_Pole2">'IL Stability Calculations'!$R$3</definedName>
    <definedName name="PS_IL_RHPZ">'IL Stability Calculations'!$O$5</definedName>
    <definedName name="PS_IL_Zero1">'IL Stability Calculations'!$O$3</definedName>
    <definedName name="PS_Pole1" localSheetId="6">'IL Stability Calculations'!$O$4</definedName>
    <definedName name="PS_Pole1">'Stability Calculations'!$K$4</definedName>
    <definedName name="PS_Pole2" localSheetId="6">'IL Stability Calculations'!$R$3</definedName>
    <definedName name="PS_Pole2">'Stability Calculations'!$N$3</definedName>
    <definedName name="PS_RHPZ" localSheetId="6">'IL Stability Calculations'!$O$5</definedName>
    <definedName name="PS_RHPZ">'Stability Calculations'!$K$5</definedName>
    <definedName name="PS_Zero1" localSheetId="6">'IL Stability Calculations'!$O$3</definedName>
    <definedName name="PS_Zero1">'Stability Calculations'!$K$3</definedName>
    <definedName name="pterm1" localSheetId="6">'IL Stability Calculations'!$R$4</definedName>
    <definedName name="pterm1">'Stability Calculations'!$N$4</definedName>
    <definedName name="pterm1_IL">'IL Stability Calculations'!$R$4</definedName>
    <definedName name="pterm2" localSheetId="6">'IL Stability Calculations'!$R$5</definedName>
    <definedName name="pterm2">'Stability Calculations'!$N$5</definedName>
    <definedName name="pterm2_IL">'IL Stability Calculations'!$R$5</definedName>
    <definedName name="Q">'Variable Management'!$B$340</definedName>
    <definedName name="Qg_Q1">'Variable Management'!$B$432</definedName>
    <definedName name="Qg_Q2">'Variable Management'!$D$432</definedName>
    <definedName name="Qg_Q3">'Variable Management'!$B$449</definedName>
    <definedName name="Qg_Q4">'Variable Management'!$D$449</definedName>
    <definedName name="Qgd_Q1">'Variable Management'!$B$433</definedName>
    <definedName name="Qgd_Q2">'Variable Management'!$D$433</definedName>
    <definedName name="Qgd_Q3">'Variable Management'!$B$450</definedName>
    <definedName name="Qgd_Q4">'Variable Management'!$D$450</definedName>
    <definedName name="Qgs_Q1">'Variable Management'!$B$434</definedName>
    <definedName name="Qgs_Q2">'Variable Management'!$D$434</definedName>
    <definedName name="Qgs_Q3">'Variable Management'!$B$451</definedName>
    <definedName name="Qgs_Q4">'Variable Management'!$D$451</definedName>
    <definedName name="Qrr_Q1">'Variable Management'!$B$441</definedName>
    <definedName name="Qrr_Q2">'Variable Management'!$D$441</definedName>
    <definedName name="Qrr_Q3">'Variable Management'!$B$458</definedName>
    <definedName name="Qrr_Q4">'Variable Management'!$D$458</definedName>
    <definedName name="QrrSky_Q2">'Variable Management'!$B$464</definedName>
    <definedName name="QrrSky_Q3">'Variable Management'!$D$464</definedName>
    <definedName name="R_CS">DeviceParameter!$N$8</definedName>
    <definedName name="R_IL_recommend">'Variable Management'!$B$293</definedName>
    <definedName name="radconv" localSheetId="6">'IL Stability Calculations'!$U$6</definedName>
    <definedName name="radconv">'Stability Calculations'!$Q$6</definedName>
    <definedName name="radconv_IL">'IL Stability Calculations'!$U$6</definedName>
    <definedName name="Rcea1">'Variable Management'!$B$381</definedName>
    <definedName name="Rcea1_u">'Variable Management'!$B$386</definedName>
    <definedName name="RcIL">'Variable Management'!$B$288</definedName>
    <definedName name="RCinEsr">'Variable Management'!$B$223</definedName>
    <definedName name="RCoutEsr">'Variable Management'!$B$202</definedName>
    <definedName name="Rdcr">'Variable Management'!$B$76</definedName>
    <definedName name="Rdson1">'Variable Management'!$B$430</definedName>
    <definedName name="Rdson2">'Variable Management'!$D$430</definedName>
    <definedName name="Rdson3">'Variable Management'!$B$447</definedName>
    <definedName name="Rdson4">'Variable Management'!$D$447</definedName>
    <definedName name="RdsonBotTc">'Variable Management'!$B$448</definedName>
    <definedName name="RdsonDRB">'Variable Management'!$B$422</definedName>
    <definedName name="RdsonDRB2">'Variable Management'!$B$423</definedName>
    <definedName name="RdsonDRT">'Variable Management'!$B$419</definedName>
    <definedName name="RdsonDRT2">'Variable Management'!$B$420</definedName>
    <definedName name="RdsonTopTc">'Variable Management'!$B$431</definedName>
    <definedName name="Rfadj">'Variable Management'!$B$26</definedName>
    <definedName name="Rfb1_">'Variable Management'!$B$396</definedName>
    <definedName name="Rfb2_">'Variable Management'!$B$397</definedName>
    <definedName name="Rfb2_u">'Variable Management'!$B$398</definedName>
    <definedName name="Rfets">'Variable Management'!$B$402</definedName>
    <definedName name="Rgate1">'Variable Management'!$B$435</definedName>
    <definedName name="Rgate2">'Variable Management'!$D$435</definedName>
    <definedName name="Rgate3">'Variable Management'!$B$452</definedName>
    <definedName name="Rgate4">'Variable Management'!$D$452</definedName>
    <definedName name="Ri">'Variable Management'!$B$298</definedName>
    <definedName name="Ro">'Variable Management'!$B$363</definedName>
    <definedName name="RoEA">'Variable Management'!$B$349</definedName>
    <definedName name="RoEA_IL">'Variable Management'!$B$283</definedName>
    <definedName name="Rout">'Variable Management'!$B$14</definedName>
    <definedName name="Rpg">'Variable Management'!$B$254</definedName>
    <definedName name="Rs">'Variable Management'!$B$146</definedName>
    <definedName name="Rs_ideal">'Variable Management'!$B$145</definedName>
    <definedName name="Rs_in_range">'Variable Management'!$B$147</definedName>
    <definedName name="Rsb">'Variable Management'!$B$255</definedName>
    <definedName name="Rshunt">'Variable Management'!$B$270</definedName>
    <definedName name="Rshunt_std">'Standard Value Calculator'!$O$21</definedName>
    <definedName name="Rslope">'Variable Management'!$B$173</definedName>
    <definedName name="Rslope_ideal">'Variable Management'!$B$164</definedName>
    <definedName name="Ruvlo1">'Variable Management'!$B$241</definedName>
    <definedName name="Ruvlo2">'Variable Management'!$B$242</definedName>
    <definedName name="SCH_NO_RCS">'Schematic Management'!$B$5</definedName>
    <definedName name="SCH_RCS_LIM">'Schematic Management'!$F$5</definedName>
    <definedName name="SCH_RCS_LIM_NEG">'Schematic Management'!$H$5</definedName>
    <definedName name="SCH_RCS_MON">'Schematic Management'!$D$5</definedName>
    <definedName name="SCH772_NO_RCS">'Schematic Management'!$B$11</definedName>
    <definedName name="SCH772_RCS_LIM">'Schematic Management'!$F$11</definedName>
    <definedName name="SCH772_RCS_LIM_NEG">'Schematic Management'!$H$11</definedName>
    <definedName name="SCH772_RCS_MON">'Schematic Management'!$D$11</definedName>
    <definedName name="Se">'Variable Management'!$B$306</definedName>
    <definedName name="Se_ext">'Variable Management'!$B$314</definedName>
    <definedName name="Se_fixed">'Variable Management'!$B$304</definedName>
    <definedName name="Se_proportional">'Variable Management'!$B$305</definedName>
    <definedName name="Sf">'Variable Management'!$B$316</definedName>
    <definedName name="Sn">'Variable Management'!$B$315</definedName>
    <definedName name="t1_Ph_II">Timings!$W$15</definedName>
    <definedName name="t2_Ph_I">Timings!$W$16</definedName>
    <definedName name="t3_Ph_III">Timings!$W$17</definedName>
    <definedName name="Ta">'Variable Management'!$B$411</definedName>
    <definedName name="Tf_boost">'Variable Management'!$D$472</definedName>
    <definedName name="Tf_buck">'Variable Management'!$B$472</definedName>
    <definedName name="ThetaCa">'Variable Management'!$B$414</definedName>
    <definedName name="ThetaJA_Q1">'Variable Management'!$B$443</definedName>
    <definedName name="ThetaJA_Q2">'Variable Management'!$D$443</definedName>
    <definedName name="ThetaJA_Q3">'Variable Management'!$B$460</definedName>
    <definedName name="ThetaJA_Q4">'Variable Management'!$D$460</definedName>
    <definedName name="ThetaJaCtrl">'Variable Management'!$B$468</definedName>
    <definedName name="TL">'Variable Management'!$B$105</definedName>
    <definedName name="Toff_min_buck">'Variable Management'!$B$32</definedName>
    <definedName name="Toff_Vinmax">'Variable Management'!$B$322</definedName>
    <definedName name="Ton_min_boost">'Variable Management'!$B$33</definedName>
    <definedName name="Ton_Vinmin">'Variable Management'!$B$324</definedName>
    <definedName name="Tr_boost">'Variable Management'!$D$471</definedName>
    <definedName name="Tr_buck">'Variable Management'!$B$471</definedName>
    <definedName name="Trr_Q1">'Variable Management'!$B$442</definedName>
    <definedName name="Trr_Q2">'Variable Management'!$D$442</definedName>
    <definedName name="Trr_Q3">'Variable Management'!$B$459</definedName>
    <definedName name="Trr_Q4">'Variable Management'!$D$459</definedName>
    <definedName name="Ts">'Variable Management'!$B$23</definedName>
    <definedName name="Tss">'Variable Management'!$B$232</definedName>
    <definedName name="V_sc_fixed">'Variable Management'!$B$308</definedName>
    <definedName name="V_sc_proportional">'Variable Management'!$B$309</definedName>
    <definedName name="V_sc_total">'Variable Management'!$B$310</definedName>
    <definedName name="Vdd">'Variable Management'!$B$417</definedName>
    <definedName name="VfdSky_Q2">'Variable Management'!$B$463</definedName>
    <definedName name="VfdSky_Q3">'Variable Management'!$D$463</definedName>
    <definedName name="Vin">'Variable Management'!$B$8</definedName>
    <definedName name="VIN_BB_to_boost">'Variable Management'!$B$44</definedName>
    <definedName name="VIN_BB_to_buck">'Variable Management'!$B$47</definedName>
    <definedName name="VIN_boost_to_BB">'Variable Management'!$B$45</definedName>
    <definedName name="VIN_edgebuckboost">'Variable Management'!$B$10</definedName>
    <definedName name="VIN_max">'Variable Management'!$B$9</definedName>
    <definedName name="VIN_min">'Variable Management'!$B$7</definedName>
    <definedName name="VIN_nom">'Variable Management'!$B$8</definedName>
    <definedName name="Vinripple1">'Variable Management'!$B$212</definedName>
    <definedName name="Vinripple2">'Variable Management'!$B$227</definedName>
    <definedName name="VINuvlo_off">'Variable Management'!$B$240</definedName>
    <definedName name="VINuvlo_on">'Variable Management'!$B$239</definedName>
    <definedName name="Vout">'Variable Management'!$B$12</definedName>
    <definedName name="Vref">'Variable Management'!$B$24</definedName>
    <definedName name="Vripple1">'Variable Management'!$B$85</definedName>
    <definedName name="Vripple2">'Variable Management'!$B$203</definedName>
    <definedName name="Vsd_Q1">'Variable Management'!$B$440</definedName>
    <definedName name="Vsd_Q2">'Variable Management'!$D$440</definedName>
    <definedName name="Vsd_Q3">'Variable Management'!$B$457</definedName>
    <definedName name="Vsd_Q4">'Variable Management'!$D$457</definedName>
    <definedName name="Vsp_Q1">'Variable Management'!$B$438</definedName>
    <definedName name="Vsp_Q2">'Variable Management'!$D$438</definedName>
    <definedName name="Vsp_Q3">'Variable Management'!$B$455</definedName>
    <definedName name="Vsp_Q4">'Variable Management'!$D$455</definedName>
    <definedName name="Vth_Q1">'Variable Management'!$B$437</definedName>
    <definedName name="Vth_Q2">'Variable Management'!$D$437</definedName>
    <definedName name="Vth_Q3">'Variable Management'!$B$454</definedName>
    <definedName name="Vth_Q4">'Variable Management'!$D$454</definedName>
    <definedName name="Vuvlo_hys">'Variable Management'!$B$249</definedName>
    <definedName name="Vuvlo_off">'Variable Management'!$B$248</definedName>
    <definedName name="Vuvlo_on">'Variable Management'!$B$247</definedName>
    <definedName name="With_RCS">'Variable Management'!$B$271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20" i="2" l="1"/>
  <c r="B68" i="33" l="1"/>
  <c r="B69" i="33" s="1"/>
  <c r="B60" i="33"/>
  <c r="B55" i="33"/>
  <c r="B35" i="33"/>
  <c r="B33" i="33"/>
  <c r="B30" i="33"/>
  <c r="B28" i="33"/>
  <c r="B27" i="33"/>
  <c r="B21" i="33"/>
  <c r="B15" i="33"/>
  <c r="A2" i="32"/>
  <c r="B68" i="31"/>
  <c r="B69" i="31" s="1"/>
  <c r="B60" i="31"/>
  <c r="B55" i="31"/>
  <c r="B35" i="31"/>
  <c r="B33" i="31"/>
  <c r="B30" i="31"/>
  <c r="B28" i="31"/>
  <c r="B27" i="31"/>
  <c r="B21" i="31"/>
  <c r="B15" i="31"/>
  <c r="Q59" i="29" l="1"/>
  <c r="L59" i="29"/>
  <c r="Q58" i="29"/>
  <c r="L58" i="29"/>
  <c r="Q57" i="29"/>
  <c r="L57" i="29"/>
  <c r="L56" i="29"/>
  <c r="L43" i="29"/>
  <c r="Q42" i="29"/>
  <c r="L42" i="29"/>
  <c r="Q41" i="29"/>
  <c r="L41" i="29"/>
  <c r="Q40" i="29"/>
  <c r="L40" i="29"/>
  <c r="L35" i="29"/>
  <c r="Q34" i="29"/>
  <c r="L34" i="29"/>
  <c r="Q33" i="29"/>
  <c r="L33" i="29"/>
  <c r="Q32" i="29"/>
  <c r="L32" i="29"/>
  <c r="B9" i="29"/>
  <c r="J6" i="29"/>
  <c r="J5" i="29"/>
  <c r="J7" i="29" s="1"/>
  <c r="I5" i="29"/>
  <c r="L6" i="29" s="1"/>
  <c r="I4" i="29"/>
  <c r="L5" i="29" s="1"/>
  <c r="I3" i="29"/>
  <c r="L4" i="29" s="1"/>
  <c r="I2" i="29"/>
  <c r="L3" i="29" s="1"/>
  <c r="I1" i="29"/>
  <c r="L1" i="29" s="1"/>
  <c r="N1" i="29" s="1"/>
  <c r="B271" i="2" l="1"/>
  <c r="B266" i="2"/>
  <c r="A9" i="32" s="1"/>
  <c r="J4" i="1" l="1"/>
  <c r="M90" i="1" l="1"/>
  <c r="E59" i="1" l="1"/>
  <c r="BM687" i="28" l="1"/>
  <c r="K3" i="28"/>
  <c r="E24" i="1" l="1"/>
  <c r="I3" i="23" l="1"/>
  <c r="B109" i="2" l="1"/>
  <c r="F28" i="23" l="1"/>
  <c r="B29" i="2" l="1"/>
  <c r="J3" i="1" s="1"/>
  <c r="A1" i="1" l="1"/>
  <c r="B16" i="26"/>
  <c r="B9" i="26"/>
  <c r="B8" i="26"/>
  <c r="B13" i="26"/>
  <c r="B27" i="28" s="1"/>
  <c r="B12" i="26"/>
  <c r="B17" i="26"/>
  <c r="B11" i="26"/>
  <c r="B272" i="2" s="1"/>
  <c r="B7" i="26"/>
  <c r="B18" i="26"/>
  <c r="A2" i="22"/>
  <c r="H27" i="23"/>
  <c r="B124" i="2" l="1"/>
  <c r="B120" i="2"/>
  <c r="B118" i="2"/>
  <c r="B122" i="2"/>
  <c r="B123" i="2"/>
  <c r="B119" i="2"/>
  <c r="B280" i="2"/>
  <c r="B284" i="2" s="1"/>
  <c r="E6" i="28"/>
  <c r="B288" i="2"/>
  <c r="B289" i="2"/>
  <c r="V6" i="17" l="1"/>
  <c r="AI85" i="28"/>
  <c r="AI35" i="28"/>
  <c r="AI55" i="28"/>
  <c r="AI37" i="28"/>
  <c r="AI16" i="28"/>
  <c r="AI53" i="28"/>
  <c r="AI622" i="28"/>
  <c r="AI597" i="28"/>
  <c r="AI606" i="28"/>
  <c r="AI586" i="28"/>
  <c r="AI585" i="28"/>
  <c r="AI584" i="28"/>
  <c r="AI574" i="28"/>
  <c r="AI555" i="28"/>
  <c r="AI553" i="28"/>
  <c r="AI535" i="28"/>
  <c r="AI526" i="28"/>
  <c r="AI531" i="28"/>
  <c r="AI514" i="28"/>
  <c r="AI539" i="28"/>
  <c r="AI513" i="28"/>
  <c r="AI492" i="28"/>
  <c r="AI482" i="28"/>
  <c r="AI491" i="28"/>
  <c r="AI455" i="28"/>
  <c r="AI467" i="28"/>
  <c r="AI468" i="28"/>
  <c r="AI440" i="28"/>
  <c r="AI449" i="28"/>
  <c r="AI436" i="28"/>
  <c r="AI419" i="28"/>
  <c r="AI401" i="28"/>
  <c r="AI418" i="28"/>
  <c r="AI389" i="28"/>
  <c r="AI393" i="28"/>
  <c r="AI383" i="28"/>
  <c r="AI376" i="28"/>
  <c r="AI368" i="28"/>
  <c r="AI363" i="28"/>
  <c r="AI358" i="28"/>
  <c r="AI337" i="28"/>
  <c r="AI304" i="28"/>
  <c r="AI326" i="28"/>
  <c r="AI305" i="28"/>
  <c r="AI292" i="28"/>
  <c r="AI322" i="28"/>
  <c r="AI277" i="28"/>
  <c r="AI287" i="28"/>
  <c r="AI262" i="28"/>
  <c r="AI273" i="28"/>
  <c r="AI260" i="28"/>
  <c r="AI251" i="28"/>
  <c r="AI243" i="28"/>
  <c r="AI221" i="28"/>
  <c r="AI208" i="28"/>
  <c r="AI253" i="28"/>
  <c r="AI288" i="28"/>
  <c r="AI227" i="28"/>
  <c r="AI235" i="28"/>
  <c r="AI181" i="28"/>
  <c r="AI176" i="28"/>
  <c r="AI171" i="28"/>
  <c r="AI185" i="28"/>
  <c r="AI196" i="28"/>
  <c r="AI146" i="28"/>
  <c r="AI123" i="28"/>
  <c r="AI121" i="28"/>
  <c r="AI116" i="28"/>
  <c r="AI144" i="28"/>
  <c r="AI101" i="28"/>
  <c r="AI157" i="28"/>
  <c r="AI59" i="28"/>
  <c r="AI54" i="28"/>
  <c r="AI41" i="28"/>
  <c r="AI60" i="28"/>
  <c r="AI79" i="28"/>
  <c r="AI58" i="28"/>
  <c r="AI47" i="28"/>
  <c r="AI69" i="28"/>
  <c r="AI477" i="28"/>
  <c r="AI36" i="28"/>
  <c r="AI77" i="28"/>
  <c r="AI98" i="28"/>
  <c r="AI19" i="28"/>
  <c r="AI61" i="28"/>
  <c r="AI629" i="28"/>
  <c r="AI612" i="28"/>
  <c r="AI600" i="28"/>
  <c r="AI594" i="28"/>
  <c r="AI575" i="28"/>
  <c r="AI579" i="28"/>
  <c r="AI572" i="28"/>
  <c r="AI547" i="28"/>
  <c r="AI545" i="28"/>
  <c r="AI554" i="28"/>
  <c r="AI552" i="28"/>
  <c r="AI523" i="28"/>
  <c r="AI506" i="28"/>
  <c r="AI515" i="28"/>
  <c r="AI505" i="28"/>
  <c r="AI484" i="28"/>
  <c r="AI474" i="28"/>
  <c r="AI498" i="28"/>
  <c r="AI469" i="28"/>
  <c r="AI459" i="28"/>
  <c r="AI460" i="28"/>
  <c r="AI432" i="28"/>
  <c r="AI446" i="28"/>
  <c r="AI428" i="28"/>
  <c r="AI411" i="28"/>
  <c r="AI420" i="28"/>
  <c r="AI410" i="28"/>
  <c r="AI392" i="28"/>
  <c r="AI385" i="28"/>
  <c r="AI375" i="28"/>
  <c r="AI370" i="28"/>
  <c r="AI360" i="28"/>
  <c r="AI355" i="28"/>
  <c r="AI350" i="28"/>
  <c r="AI364" i="28"/>
  <c r="AI296" i="28"/>
  <c r="AI318" i="28"/>
  <c r="AI297" i="28"/>
  <c r="AI372" i="28"/>
  <c r="AI314" i="28"/>
  <c r="AI269" i="28"/>
  <c r="AI283" i="28"/>
  <c r="AI254" i="28"/>
  <c r="AI265" i="28"/>
  <c r="AI342" i="28"/>
  <c r="AI239" i="28"/>
  <c r="AI234" i="28"/>
  <c r="AI213" i="28"/>
  <c r="AI244" i="28"/>
  <c r="AI252" i="28"/>
  <c r="AI261" i="28"/>
  <c r="AI200" i="28"/>
  <c r="AI194" i="28"/>
  <c r="AI173" i="28"/>
  <c r="AI168" i="28"/>
  <c r="AI163" i="28"/>
  <c r="AI177" i="28"/>
  <c r="AI188" i="28"/>
  <c r="AI136" i="28"/>
  <c r="AI142" i="28"/>
  <c r="AI113" i="28"/>
  <c r="AI143" i="28"/>
  <c r="AI138" i="28"/>
  <c r="AI96" i="28"/>
  <c r="AI110" i="28"/>
  <c r="AI51" i="28"/>
  <c r="AI108" i="28"/>
  <c r="AI133" i="28"/>
  <c r="AI52" i="28"/>
  <c r="AI71" i="28"/>
  <c r="AI50" i="28"/>
  <c r="AI28" i="28"/>
  <c r="AI45" i="28"/>
  <c r="AI93" i="28"/>
  <c r="AI33" i="28"/>
  <c r="AI30" i="28"/>
  <c r="AI627" i="28"/>
  <c r="AI626" i="28"/>
  <c r="AI602" i="28"/>
  <c r="AI599" i="28"/>
  <c r="AI589" i="28"/>
  <c r="AI588" i="28"/>
  <c r="AI577" i="28"/>
  <c r="AI569" i="28"/>
  <c r="AI559" i="28"/>
  <c r="AI537" i="28"/>
  <c r="AI546" i="28"/>
  <c r="AI529" i="28"/>
  <c r="AI528" i="28"/>
  <c r="AI524" i="28"/>
  <c r="AI507" i="28"/>
  <c r="AI516" i="28"/>
  <c r="AI476" i="28"/>
  <c r="AI493" i="28"/>
  <c r="AI494" i="28"/>
  <c r="AI461" i="28"/>
  <c r="AI451" i="28"/>
  <c r="AI452" i="28"/>
  <c r="AI424" i="28"/>
  <c r="AI438" i="28"/>
  <c r="AI458" i="28"/>
  <c r="AI403" i="28"/>
  <c r="AI412" i="28"/>
  <c r="AI421" i="28"/>
  <c r="AI395" i="28"/>
  <c r="AI377" i="28"/>
  <c r="AI378" i="28"/>
  <c r="AI362" i="28"/>
  <c r="AI352" i="28"/>
  <c r="AI347" i="28"/>
  <c r="AI386" i="28"/>
  <c r="AI349" i="28"/>
  <c r="AI323" i="28"/>
  <c r="AI310" i="28"/>
  <c r="AI289" i="28"/>
  <c r="AI341" i="28"/>
  <c r="AI306" i="28"/>
  <c r="AI317" i="28"/>
  <c r="AI275" i="28"/>
  <c r="AI246" i="28"/>
  <c r="AI257" i="28"/>
  <c r="AI291" i="28"/>
  <c r="AI231" i="28"/>
  <c r="AI226" i="28"/>
  <c r="AI205" i="28"/>
  <c r="AI238" i="28"/>
  <c r="AI242" i="28"/>
  <c r="AI250" i="28"/>
  <c r="AI191" i="28"/>
  <c r="AI186" i="28"/>
  <c r="AI165" i="28"/>
  <c r="AI160" i="28"/>
  <c r="AI155" i="28"/>
  <c r="AI169" i="28"/>
  <c r="AI180" i="28"/>
  <c r="AI128" i="28"/>
  <c r="AI134" i="28"/>
  <c r="AI105" i="28"/>
  <c r="AI135" i="28"/>
  <c r="AI130" i="28"/>
  <c r="AI88" i="28"/>
  <c r="AI109" i="28"/>
  <c r="AI125" i="28"/>
  <c r="AI89" i="28"/>
  <c r="AI102" i="28"/>
  <c r="AI44" i="28"/>
  <c r="AI63" i="28"/>
  <c r="AI42" i="28"/>
  <c r="AI17" i="28"/>
  <c r="AI591" i="28"/>
  <c r="AI570" i="28"/>
  <c r="AI562" i="28"/>
  <c r="AI548" i="28"/>
  <c r="AI533" i="28"/>
  <c r="AI497" i="28"/>
  <c r="AI478" i="28"/>
  <c r="AI441" i="28"/>
  <c r="AI46" i="28"/>
  <c r="AI15" i="28"/>
  <c r="AI23" i="28"/>
  <c r="AI38" i="28"/>
  <c r="AI625" i="28"/>
  <c r="AI610" i="28"/>
  <c r="AI595" i="28"/>
  <c r="AI605" i="28"/>
  <c r="AI587" i="28"/>
  <c r="AI578" i="28"/>
  <c r="AI563" i="28"/>
  <c r="AI567" i="28"/>
  <c r="AI558" i="28"/>
  <c r="AI556" i="28"/>
  <c r="AI538" i="28"/>
  <c r="AI532" i="28"/>
  <c r="AI519" i="28"/>
  <c r="AI517" i="28"/>
  <c r="AI499" i="28"/>
  <c r="AI508" i="28"/>
  <c r="AI495" i="28"/>
  <c r="AI485" i="28"/>
  <c r="AI486" i="28"/>
  <c r="AI453" i="28"/>
  <c r="AI470" i="28"/>
  <c r="AI445" i="28"/>
  <c r="AI448" i="28"/>
  <c r="AI430" i="28"/>
  <c r="AI439" i="28"/>
  <c r="AI422" i="28"/>
  <c r="AI404" i="28"/>
  <c r="AI413" i="28"/>
  <c r="AI387" i="28"/>
  <c r="AI396" i="28"/>
  <c r="AI367" i="28"/>
  <c r="AI354" i="28"/>
  <c r="AI344" i="28"/>
  <c r="AI339" i="28"/>
  <c r="AI379" i="28"/>
  <c r="AI346" i="28"/>
  <c r="AI315" i="28"/>
  <c r="AI302" i="28"/>
  <c r="AI330" i="28"/>
  <c r="AI340" i="28"/>
  <c r="AI298" i="28"/>
  <c r="AI280" i="28"/>
  <c r="AI267" i="28"/>
  <c r="AI309" i="28"/>
  <c r="AI249" i="28"/>
  <c r="AI279" i="28"/>
  <c r="AI223" i="28"/>
  <c r="AI218" i="28"/>
  <c r="AI266" i="28"/>
  <c r="AI230" i="28"/>
  <c r="AI241" i="28"/>
  <c r="AI236" i="28"/>
  <c r="AI183" i="28"/>
  <c r="AI178" i="28"/>
  <c r="AI215" i="28"/>
  <c r="AI152" i="28"/>
  <c r="AI147" i="28"/>
  <c r="AI161" i="28"/>
  <c r="AI172" i="28"/>
  <c r="AI120" i="28"/>
  <c r="AI126" i="28"/>
  <c r="AI97" i="28"/>
  <c r="AI127" i="28"/>
  <c r="AI122" i="28"/>
  <c r="AI80" i="28"/>
  <c r="AI107" i="28"/>
  <c r="AI94" i="28"/>
  <c r="AI81" i="28"/>
  <c r="AI99" i="28"/>
  <c r="AI158" i="28"/>
  <c r="AI141" i="28"/>
  <c r="AI34" i="28"/>
  <c r="AI18" i="28"/>
  <c r="AI518" i="28"/>
  <c r="AI447" i="28"/>
  <c r="AI24" i="28"/>
  <c r="AI27" i="28"/>
  <c r="AI100" i="28"/>
  <c r="AI32" i="28"/>
  <c r="AI628" i="28"/>
  <c r="AI607" i="28"/>
  <c r="AI623" i="28"/>
  <c r="AI596" i="28"/>
  <c r="AI582" i="28"/>
  <c r="AI573" i="28"/>
  <c r="AI580" i="28"/>
  <c r="AI565" i="28"/>
  <c r="AI534" i="28"/>
  <c r="AI551" i="28"/>
  <c r="AI541" i="28"/>
  <c r="AI544" i="28"/>
  <c r="AI525" i="28"/>
  <c r="AI512" i="28"/>
  <c r="AI502" i="28"/>
  <c r="AI481" i="28"/>
  <c r="AI501" i="28"/>
  <c r="AI488" i="28"/>
  <c r="AI471" i="28"/>
  <c r="AI456" i="28"/>
  <c r="AI465" i="28"/>
  <c r="AI483" i="28"/>
  <c r="AI435" i="28"/>
  <c r="AI425" i="28"/>
  <c r="AI434" i="28"/>
  <c r="AI417" i="28"/>
  <c r="AI407" i="28"/>
  <c r="AI408" i="28"/>
  <c r="AI390" i="28"/>
  <c r="AI402" i="28"/>
  <c r="AI343" i="28"/>
  <c r="AI357" i="28"/>
  <c r="AI380" i="28"/>
  <c r="AI374" i="28"/>
  <c r="AI353" i="28"/>
  <c r="AI320" i="28"/>
  <c r="AI356" i="28"/>
  <c r="AI321" i="28"/>
  <c r="AI308" i="28"/>
  <c r="AI311" i="28"/>
  <c r="AI293" i="28"/>
  <c r="AI256" i="28"/>
  <c r="AI278" i="28"/>
  <c r="AI294" i="28"/>
  <c r="AI276" i="28"/>
  <c r="AI255" i="28"/>
  <c r="AI258" i="28"/>
  <c r="AI237" i="28"/>
  <c r="AI224" i="28"/>
  <c r="AI206" i="28"/>
  <c r="AI217" i="28"/>
  <c r="AI212" i="28"/>
  <c r="AI159" i="28"/>
  <c r="AI197" i="28"/>
  <c r="AI192" i="28"/>
  <c r="AI187" i="28"/>
  <c r="AI201" i="28"/>
  <c r="AI219" i="28"/>
  <c r="AI148" i="28"/>
  <c r="AI139" i="28"/>
  <c r="AI137" i="28"/>
  <c r="AI132" i="28"/>
  <c r="AI103" i="28"/>
  <c r="AI154" i="28"/>
  <c r="AI56" i="28"/>
  <c r="AI75" i="28"/>
  <c r="AI70" i="28"/>
  <c r="AI57" i="28"/>
  <c r="AI76" i="28"/>
  <c r="AI95" i="28"/>
  <c r="AI74" i="28"/>
  <c r="AI25" i="28"/>
  <c r="AI604" i="28"/>
  <c r="AI609" i="28"/>
  <c r="AI593" i="28"/>
  <c r="AI566" i="28"/>
  <c r="AI550" i="28"/>
  <c r="AI557" i="28"/>
  <c r="AI511" i="28"/>
  <c r="AI487" i="28"/>
  <c r="AI472" i="28"/>
  <c r="AI40" i="28"/>
  <c r="AI31" i="28"/>
  <c r="AI13" i="28"/>
  <c r="AI43" i="28"/>
  <c r="AI624" i="28"/>
  <c r="AI601" i="28"/>
  <c r="AI613" i="28"/>
  <c r="AI592" i="28"/>
  <c r="AI608" i="28"/>
  <c r="AI576" i="28"/>
  <c r="AI564" i="28"/>
  <c r="AI568" i="28"/>
  <c r="AI560" i="28"/>
  <c r="AI543" i="28"/>
  <c r="AI536" i="28"/>
  <c r="AI530" i="28"/>
  <c r="AI522" i="28"/>
  <c r="AI504" i="28"/>
  <c r="AI521" i="28"/>
  <c r="AI500" i="28"/>
  <c r="AI490" i="28"/>
  <c r="AI480" i="28"/>
  <c r="AI463" i="28"/>
  <c r="AI473" i="28"/>
  <c r="AI457" i="28"/>
  <c r="AI466" i="28"/>
  <c r="AI450" i="28"/>
  <c r="AI444" i="28"/>
  <c r="AI426" i="28"/>
  <c r="AI409" i="28"/>
  <c r="AI427" i="28"/>
  <c r="AI399" i="28"/>
  <c r="AI382" i="28"/>
  <c r="AI391" i="28"/>
  <c r="AI335" i="28"/>
  <c r="AI384" i="28"/>
  <c r="AI371" i="28"/>
  <c r="AI366" i="28"/>
  <c r="AI345" i="28"/>
  <c r="AI312" i="28"/>
  <c r="AI338" i="28"/>
  <c r="AI313" i="28"/>
  <c r="AI300" i="28"/>
  <c r="AI332" i="28"/>
  <c r="AI285" i="28"/>
  <c r="AI248" i="28"/>
  <c r="AI270" i="28"/>
  <c r="AI281" i="28"/>
  <c r="AI268" i="28"/>
  <c r="AI247" i="28"/>
  <c r="AI245" i="28"/>
  <c r="AI229" i="28"/>
  <c r="AI216" i="28"/>
  <c r="AI274" i="28"/>
  <c r="AI209" i="28"/>
  <c r="AI204" i="28"/>
  <c r="AI151" i="28"/>
  <c r="AI189" i="28"/>
  <c r="AI184" i="28"/>
  <c r="AI179" i="28"/>
  <c r="AI193" i="28"/>
  <c r="AI203" i="28"/>
  <c r="AI166" i="28"/>
  <c r="AI131" i="28"/>
  <c r="AI129" i="28"/>
  <c r="AI124" i="28"/>
  <c r="AI174" i="28"/>
  <c r="AI117" i="28"/>
  <c r="AI48" i="28"/>
  <c r="AI67" i="28"/>
  <c r="AI62" i="28"/>
  <c r="AI49" i="28"/>
  <c r="AI68" i="28"/>
  <c r="AI87" i="28"/>
  <c r="AI66" i="28"/>
  <c r="AI39" i="28"/>
  <c r="AI617" i="28"/>
  <c r="AI509" i="28"/>
  <c r="AI462" i="28"/>
  <c r="AI14" i="28"/>
  <c r="AI590" i="28"/>
  <c r="AI503" i="28"/>
  <c r="AI454" i="28"/>
  <c r="AI406" i="28"/>
  <c r="AI416" i="28"/>
  <c r="AI394" i="28"/>
  <c r="AI329" i="28"/>
  <c r="AI264" i="28"/>
  <c r="AI263" i="28"/>
  <c r="AI214" i="28"/>
  <c r="AI207" i="28"/>
  <c r="AI145" i="28"/>
  <c r="AI140" i="28"/>
  <c r="AI83" i="28"/>
  <c r="AI115" i="28"/>
  <c r="AI365" i="28"/>
  <c r="AI106" i="28"/>
  <c r="AI431" i="28"/>
  <c r="AI240" i="28"/>
  <c r="AI20" i="28"/>
  <c r="AI581" i="28"/>
  <c r="AI520" i="28"/>
  <c r="AI437" i="28"/>
  <c r="AI423" i="28"/>
  <c r="AI359" i="28"/>
  <c r="AI369" i="28"/>
  <c r="AI324" i="28"/>
  <c r="AI259" i="28"/>
  <c r="AI325" i="28"/>
  <c r="AI233" i="28"/>
  <c r="AI211" i="28"/>
  <c r="AI164" i="28"/>
  <c r="AI119" i="28"/>
  <c r="AI86" i="28"/>
  <c r="AI90" i="28"/>
  <c r="AI611" i="28"/>
  <c r="AI319" i="28"/>
  <c r="AI195" i="28"/>
  <c r="AI496" i="28"/>
  <c r="AI307" i="28"/>
  <c r="AI118" i="28"/>
  <c r="AI29" i="28"/>
  <c r="AI561" i="28"/>
  <c r="AI510" i="28"/>
  <c r="AI429" i="28"/>
  <c r="AI415" i="28"/>
  <c r="AI351" i="28"/>
  <c r="AI361" i="28"/>
  <c r="AI316" i="28"/>
  <c r="AI286" i="28"/>
  <c r="AI282" i="28"/>
  <c r="AI225" i="28"/>
  <c r="AI199" i="28"/>
  <c r="AI156" i="28"/>
  <c r="AI111" i="28"/>
  <c r="AI78" i="28"/>
  <c r="AI82" i="28"/>
  <c r="AI479" i="28"/>
  <c r="AI433" i="28"/>
  <c r="AI328" i="28"/>
  <c r="AI202" i="28"/>
  <c r="AI104" i="28"/>
  <c r="AI21" i="28"/>
  <c r="AI540" i="28"/>
  <c r="AI336" i="28"/>
  <c r="AI334" i="28"/>
  <c r="AI92" i="28"/>
  <c r="AI26" i="28"/>
  <c r="AI571" i="28"/>
  <c r="AI489" i="28"/>
  <c r="AI443" i="28"/>
  <c r="AI405" i="28"/>
  <c r="AI373" i="28"/>
  <c r="AI333" i="28"/>
  <c r="AI327" i="28"/>
  <c r="AI303" i="28"/>
  <c r="AI210" i="28"/>
  <c r="AI228" i="28"/>
  <c r="AI198" i="28"/>
  <c r="AI112" i="28"/>
  <c r="AI114" i="28"/>
  <c r="AI73" i="28"/>
  <c r="AI22" i="28"/>
  <c r="AI542" i="28"/>
  <c r="AI397" i="28"/>
  <c r="AI295" i="28"/>
  <c r="AI220" i="28"/>
  <c r="AI65" i="28"/>
  <c r="AI603" i="28"/>
  <c r="AI400" i="28"/>
  <c r="AI290" i="28"/>
  <c r="AI72" i="28"/>
  <c r="AI598" i="28"/>
  <c r="AI549" i="28"/>
  <c r="AI475" i="28"/>
  <c r="AI442" i="28"/>
  <c r="AI398" i="28"/>
  <c r="AI381" i="28"/>
  <c r="AI299" i="28"/>
  <c r="AI301" i="28"/>
  <c r="AI284" i="28"/>
  <c r="AI232" i="28"/>
  <c r="AI167" i="28"/>
  <c r="AI182" i="28"/>
  <c r="AI149" i="28"/>
  <c r="AI64" i="28"/>
  <c r="AI84" i="28"/>
  <c r="AI175" i="28"/>
  <c r="AI583" i="28"/>
  <c r="AI527" i="28"/>
  <c r="AI464" i="28"/>
  <c r="AI414" i="28"/>
  <c r="AI388" i="28"/>
  <c r="AI331" i="28"/>
  <c r="AI348" i="28"/>
  <c r="AI272" i="28"/>
  <c r="AI271" i="28"/>
  <c r="AI222" i="28"/>
  <c r="AI170" i="28"/>
  <c r="AI153" i="28"/>
  <c r="AI162" i="28"/>
  <c r="AI91" i="28"/>
  <c r="AI150" i="28"/>
  <c r="AI190" i="28"/>
  <c r="D73" i="1"/>
  <c r="D71" i="1"/>
  <c r="E71" i="1"/>
  <c r="B273" i="2" s="1"/>
  <c r="D70" i="1"/>
  <c r="B240" i="2"/>
  <c r="B399" i="2" l="1"/>
  <c r="B452" i="2" l="1"/>
  <c r="D452" i="2"/>
  <c r="F108" i="1" l="1"/>
  <c r="B232" i="2" l="1"/>
  <c r="B234" i="2" s="1"/>
  <c r="E28" i="23" l="1"/>
  <c r="D28" i="23"/>
  <c r="C28" i="23"/>
  <c r="G28" i="23" l="1"/>
  <c r="H28" i="23" s="1"/>
  <c r="O10" i="2" l="1"/>
  <c r="E63" i="1" s="1"/>
  <c r="Y618" i="17"/>
  <c r="B301" i="2" l="1"/>
  <c r="B172" i="2"/>
  <c r="B304" i="2"/>
  <c r="B25" i="2" l="1"/>
  <c r="E64" i="1" l="1"/>
  <c r="J19" i="23"/>
  <c r="H19" i="23"/>
  <c r="G19" i="23"/>
  <c r="P19" i="23" s="1"/>
  <c r="J18" i="23"/>
  <c r="H18" i="23"/>
  <c r="G18" i="23"/>
  <c r="P18" i="23" s="1"/>
  <c r="J17" i="23"/>
  <c r="H17" i="23"/>
  <c r="G17" i="23"/>
  <c r="P17" i="23" s="1"/>
  <c r="J16" i="23"/>
  <c r="H16" i="23"/>
  <c r="G16" i="23"/>
  <c r="P16" i="23" s="1"/>
  <c r="J15" i="23"/>
  <c r="H15" i="23"/>
  <c r="G15" i="23"/>
  <c r="P15" i="23" s="1"/>
  <c r="J14" i="23"/>
  <c r="H14" i="23"/>
  <c r="G14" i="23"/>
  <c r="P14" i="23" s="1"/>
  <c r="J13" i="23"/>
  <c r="H13" i="23"/>
  <c r="G13" i="23"/>
  <c r="P13" i="23" s="1"/>
  <c r="J12" i="23"/>
  <c r="H12" i="23"/>
  <c r="G12" i="23"/>
  <c r="P12" i="23" s="1"/>
  <c r="J11" i="23"/>
  <c r="H11" i="23"/>
  <c r="G11" i="23"/>
  <c r="P11" i="23" s="1"/>
  <c r="J10" i="23"/>
  <c r="H10" i="23"/>
  <c r="G10" i="23"/>
  <c r="P10" i="23" s="1"/>
  <c r="J9" i="23"/>
  <c r="H9" i="23"/>
  <c r="G9" i="23"/>
  <c r="P9" i="23" s="1"/>
  <c r="J8" i="23"/>
  <c r="H8" i="23"/>
  <c r="G8" i="23"/>
  <c r="P8" i="23" s="1"/>
  <c r="J7" i="23"/>
  <c r="H7" i="23"/>
  <c r="G7" i="23"/>
  <c r="P7" i="23" s="1"/>
  <c r="J6" i="23"/>
  <c r="H6" i="23"/>
  <c r="G6" i="23"/>
  <c r="P6" i="23" s="1"/>
  <c r="J5" i="23"/>
  <c r="H5" i="23"/>
  <c r="G5" i="23"/>
  <c r="P5" i="23" s="1"/>
  <c r="J4" i="23"/>
  <c r="H4" i="23"/>
  <c r="J3" i="23"/>
  <c r="H3" i="23"/>
  <c r="G3" i="23"/>
  <c r="G4" i="23"/>
  <c r="P4" i="23" s="1"/>
  <c r="H2" i="8"/>
  <c r="L11" i="23" l="1"/>
  <c r="M18" i="23"/>
  <c r="N18" i="23"/>
  <c r="O14" i="23"/>
  <c r="M4" i="23"/>
  <c r="M6" i="23"/>
  <c r="N11" i="23"/>
  <c r="M13" i="23"/>
  <c r="L8" i="23"/>
  <c r="M15" i="23"/>
  <c r="L17" i="23"/>
  <c r="L4" i="23"/>
  <c r="L6" i="23"/>
  <c r="O9" i="23"/>
  <c r="M11" i="23"/>
  <c r="L13" i="23"/>
  <c r="L15" i="23"/>
  <c r="O16" i="23"/>
  <c r="O18" i="23"/>
  <c r="N4" i="23"/>
  <c r="N6" i="23"/>
  <c r="M8" i="23"/>
  <c r="L10" i="23"/>
  <c r="O11" i="23"/>
  <c r="N13" i="23"/>
  <c r="N15" i="23"/>
  <c r="M17" i="23"/>
  <c r="L19" i="23"/>
  <c r="O4" i="23"/>
  <c r="O6" i="23"/>
  <c r="N8" i="23"/>
  <c r="M10" i="23"/>
  <c r="O13" i="23"/>
  <c r="O15" i="23"/>
  <c r="N17" i="23"/>
  <c r="M19" i="23"/>
  <c r="L5" i="23"/>
  <c r="L7" i="23"/>
  <c r="O8" i="23"/>
  <c r="N10" i="23"/>
  <c r="L12" i="23"/>
  <c r="L14" i="23"/>
  <c r="O17" i="23"/>
  <c r="N19" i="23"/>
  <c r="M5" i="23"/>
  <c r="M7" i="23"/>
  <c r="L9" i="23"/>
  <c r="O10" i="23"/>
  <c r="M12" i="23"/>
  <c r="M14" i="23"/>
  <c r="L16" i="23"/>
  <c r="L18" i="23"/>
  <c r="O19" i="23"/>
  <c r="N5" i="23"/>
  <c r="N7" i="23"/>
  <c r="M9" i="23"/>
  <c r="N12" i="23"/>
  <c r="N14" i="23"/>
  <c r="M16" i="23"/>
  <c r="O5" i="23"/>
  <c r="O7" i="23"/>
  <c r="N9" i="23"/>
  <c r="O12" i="23"/>
  <c r="N16" i="23"/>
  <c r="B296" i="2"/>
  <c r="U6" i="28" l="1"/>
  <c r="E5" i="28"/>
  <c r="E4" i="28"/>
  <c r="R5" i="23"/>
  <c r="B282" i="2"/>
  <c r="V4" i="17"/>
  <c r="V5" i="17"/>
  <c r="B285" i="2"/>
  <c r="R10" i="23"/>
  <c r="R14" i="23"/>
  <c r="R11" i="23"/>
  <c r="R13" i="23"/>
  <c r="R15" i="23"/>
  <c r="R8" i="23"/>
  <c r="R9" i="23"/>
  <c r="R12" i="23"/>
  <c r="R16" i="23"/>
  <c r="R17" i="23"/>
  <c r="R7" i="23"/>
  <c r="R6" i="23"/>
  <c r="R18" i="23"/>
  <c r="R19" i="23"/>
  <c r="R4" i="23"/>
  <c r="AM611" i="28" l="1"/>
  <c r="AM539" i="28"/>
  <c r="AM573" i="28"/>
  <c r="AM17" i="28"/>
  <c r="AM586" i="28"/>
  <c r="AM511" i="28"/>
  <c r="AM425" i="28"/>
  <c r="AM379" i="28"/>
  <c r="AM368" i="28"/>
  <c r="AM267" i="28"/>
  <c r="AM211" i="28"/>
  <c r="AM153" i="28"/>
  <c r="AM166" i="28"/>
  <c r="AM572" i="28"/>
  <c r="AM512" i="28"/>
  <c r="AM600" i="28"/>
  <c r="AM29" i="28"/>
  <c r="AM549" i="28"/>
  <c r="AM19" i="28"/>
  <c r="AM580" i="28"/>
  <c r="AM520" i="28"/>
  <c r="AM431" i="28"/>
  <c r="AM384" i="28"/>
  <c r="AM296" i="28"/>
  <c r="AM238" i="28"/>
  <c r="AM196" i="28"/>
  <c r="AM170" i="28"/>
  <c r="AM103" i="28"/>
  <c r="AM563" i="28"/>
  <c r="AM597" i="28"/>
  <c r="AM606" i="28"/>
  <c r="AM564" i="28"/>
  <c r="AM613" i="28"/>
  <c r="AM570" i="28"/>
  <c r="AM491" i="28"/>
  <c r="AM429" i="28"/>
  <c r="AM372" i="28"/>
  <c r="AM318" i="28"/>
  <c r="AM217" i="28"/>
  <c r="AM14" i="28"/>
  <c r="AM569" i="28"/>
  <c r="AM589" i="28"/>
  <c r="AM588" i="28"/>
  <c r="AM27" i="28"/>
  <c r="AM559" i="28"/>
  <c r="AM451" i="28"/>
  <c r="AM403" i="28"/>
  <c r="AM344" i="28"/>
  <c r="AM255" i="28"/>
  <c r="AM20" i="28"/>
  <c r="AM583" i="28"/>
  <c r="AM24" i="28"/>
  <c r="AM455" i="28"/>
  <c r="AM327" i="28"/>
  <c r="AM213" i="28"/>
  <c r="AM125" i="28"/>
  <c r="AM33" i="28"/>
  <c r="AM556" i="28"/>
  <c r="AM453" i="28"/>
  <c r="AM404" i="28"/>
  <c r="AM306" i="28"/>
  <c r="AM280" i="28"/>
  <c r="AM163" i="28"/>
  <c r="AM117" i="28"/>
  <c r="AM96" i="28"/>
  <c r="AM605" i="28"/>
  <c r="AM521" i="28"/>
  <c r="AM472" i="28"/>
  <c r="AM389" i="28"/>
  <c r="AM332" i="28"/>
  <c r="AM272" i="28"/>
  <c r="AM155" i="28"/>
  <c r="AM109" i="28"/>
  <c r="AM88" i="28"/>
  <c r="AM604" i="28"/>
  <c r="AM513" i="28"/>
  <c r="AM464" i="28"/>
  <c r="BA625" i="28"/>
  <c r="AM516" i="28"/>
  <c r="AM456" i="28"/>
  <c r="AM402" i="28"/>
  <c r="AM317" i="28"/>
  <c r="AM290" i="28"/>
  <c r="AM190" i="28"/>
  <c r="AM145" i="28"/>
  <c r="AM72" i="28"/>
  <c r="AM567" i="28"/>
  <c r="AM488" i="28"/>
  <c r="AM452" i="28"/>
  <c r="AM369" i="28"/>
  <c r="AM360" i="28"/>
  <c r="AM198" i="28"/>
  <c r="AM545" i="28"/>
  <c r="AM467" i="28"/>
  <c r="AM419" i="28"/>
  <c r="AM349" i="28"/>
  <c r="AM271" i="28"/>
  <c r="AM229" i="28"/>
  <c r="AM140" i="28"/>
  <c r="AM97" i="28"/>
  <c r="AM23" i="28"/>
  <c r="AM274" i="28"/>
  <c r="AM129" i="28"/>
  <c r="AM463" i="28"/>
  <c r="AM182" i="28"/>
  <c r="AM42" i="28"/>
  <c r="AM303" i="28"/>
  <c r="AM120" i="28"/>
  <c r="AM519" i="28"/>
  <c r="AM240" i="28"/>
  <c r="AM57" i="28"/>
  <c r="AM321" i="28"/>
  <c r="AM52" i="28"/>
  <c r="AM387" i="28"/>
  <c r="AM99" i="28"/>
  <c r="AM333" i="28"/>
  <c r="AM148" i="28"/>
  <c r="AM341" i="28"/>
  <c r="AM133" i="28"/>
  <c r="AM235" i="28"/>
  <c r="AM263" i="28"/>
  <c r="AM591" i="28"/>
  <c r="AM128" i="28"/>
  <c r="AM207" i="28"/>
  <c r="AM136" i="28"/>
  <c r="AM48" i="28"/>
  <c r="AM135" i="28"/>
  <c r="AM204" i="28"/>
  <c r="AM218" i="28"/>
  <c r="AM489" i="28"/>
  <c r="AM465" i="28"/>
  <c r="AM531" i="28"/>
  <c r="AM13" i="28"/>
  <c r="AM562" i="28"/>
  <c r="AM593" i="28"/>
  <c r="AM461" i="28"/>
  <c r="AM314" i="28"/>
  <c r="AM216" i="28"/>
  <c r="AM118" i="28"/>
  <c r="AM35" i="28"/>
  <c r="AM510" i="28"/>
  <c r="AM476" i="28"/>
  <c r="AM390" i="28"/>
  <c r="AM337" i="28"/>
  <c r="AM259" i="28"/>
  <c r="AM193" i="28"/>
  <c r="AM150" i="28"/>
  <c r="AM106" i="28"/>
  <c r="AM579" i="28"/>
  <c r="AM522" i="28"/>
  <c r="AM449" i="28"/>
  <c r="AM375" i="28"/>
  <c r="AM334" i="28"/>
  <c r="AM251" i="28"/>
  <c r="AM185" i="28"/>
  <c r="AM139" i="28"/>
  <c r="AM98" i="28"/>
  <c r="AM585" i="28"/>
  <c r="AM514" i="28"/>
  <c r="AM444" i="28"/>
  <c r="AM574" i="28"/>
  <c r="AM506" i="28"/>
  <c r="AM436" i="28"/>
  <c r="AM363" i="28"/>
  <c r="AM328" i="28"/>
  <c r="AM227" i="28"/>
  <c r="AM169" i="28"/>
  <c r="AM123" i="28"/>
  <c r="AM83" i="28"/>
  <c r="AM551" i="28"/>
  <c r="AM478" i="28"/>
  <c r="AM435" i="28"/>
  <c r="AM367" i="28"/>
  <c r="AM307" i="28"/>
  <c r="AM246" i="28"/>
  <c r="AM540" i="28"/>
  <c r="AM471" i="28"/>
  <c r="AM401" i="28"/>
  <c r="AM300" i="28"/>
  <c r="AM250" i="28"/>
  <c r="AM232" i="28"/>
  <c r="AM127" i="28"/>
  <c r="AM85" i="28"/>
  <c r="AM43" i="28"/>
  <c r="AM214" i="28"/>
  <c r="AM80" i="28"/>
  <c r="AM420" i="28"/>
  <c r="AM151" i="28"/>
  <c r="AM122" i="28"/>
  <c r="AM294" i="28"/>
  <c r="AM105" i="28"/>
  <c r="AM433" i="28"/>
  <c r="AM177" i="28"/>
  <c r="AM59" i="28"/>
  <c r="AM264" i="28"/>
  <c r="AM77" i="28"/>
  <c r="AM382" i="28"/>
  <c r="AM45" i="28"/>
  <c r="AM292" i="28"/>
  <c r="AM95" i="28"/>
  <c r="AM304" i="28"/>
  <c r="AM63" i="28"/>
  <c r="AM112" i="28"/>
  <c r="AM352" i="28"/>
  <c r="AM224" i="28"/>
  <c r="AM257" i="28"/>
  <c r="AM245" i="28"/>
  <c r="AM28" i="28"/>
  <c r="AM417" i="28"/>
  <c r="AM592" i="28"/>
  <c r="AM609" i="28"/>
  <c r="AM546" i="28"/>
  <c r="AM438" i="28"/>
  <c r="AM273" i="28"/>
  <c r="AM171" i="28"/>
  <c r="AM76" i="28"/>
  <c r="AM15" i="28"/>
  <c r="AM503" i="28"/>
  <c r="AM442" i="28"/>
  <c r="AM380" i="28"/>
  <c r="AM288" i="28"/>
  <c r="AM230" i="28"/>
  <c r="AM188" i="28"/>
  <c r="AM158" i="28"/>
  <c r="AM94" i="28"/>
  <c r="AM575" i="28"/>
  <c r="AM493" i="28"/>
  <c r="AM434" i="28"/>
  <c r="AM374" i="28"/>
  <c r="AM342" i="28"/>
  <c r="AM222" i="28"/>
  <c r="AM180" i="28"/>
  <c r="AM154" i="28"/>
  <c r="AM86" i="28"/>
  <c r="AM578" i="28"/>
  <c r="AM485" i="28"/>
  <c r="AM426" i="28"/>
  <c r="AM581" i="28"/>
  <c r="AM496" i="28"/>
  <c r="AM462" i="28"/>
  <c r="AM358" i="28"/>
  <c r="AM315" i="28"/>
  <c r="AM206" i="28"/>
  <c r="AM164" i="28"/>
  <c r="AM146" i="28"/>
  <c r="AM70" i="28"/>
  <c r="AM544" i="28"/>
  <c r="AM504" i="28"/>
  <c r="AM399" i="28"/>
  <c r="AM354" i="28"/>
  <c r="AM276" i="28"/>
  <c r="AM603" i="28"/>
  <c r="AM507" i="28"/>
  <c r="AM475" i="28"/>
  <c r="AM391" i="28"/>
  <c r="AM331" i="28"/>
  <c r="AM313" i="28"/>
  <c r="AM187" i="28"/>
  <c r="AM141" i="28"/>
  <c r="AM137" i="28"/>
  <c r="AM537" i="28"/>
  <c r="AM237" i="28"/>
  <c r="AM46" i="28"/>
  <c r="AM353" i="28"/>
  <c r="AM132" i="28"/>
  <c r="AM62" i="28"/>
  <c r="AM269" i="28"/>
  <c r="AM58" i="28"/>
  <c r="AM394" i="28"/>
  <c r="AM194" i="28"/>
  <c r="AM582" i="28"/>
  <c r="AM262" i="28"/>
  <c r="AM75" i="28"/>
  <c r="AM293" i="28"/>
  <c r="AM178" i="28"/>
  <c r="AM441" i="28"/>
  <c r="AM283" i="28"/>
  <c r="AM56" i="28"/>
  <c r="AM39" i="28"/>
  <c r="AM612" i="28"/>
  <c r="AM351" i="28"/>
  <c r="AM509" i="28"/>
  <c r="AM260" i="28"/>
  <c r="AM78" i="28"/>
  <c r="AM195" i="28"/>
  <c r="AM228" i="28"/>
  <c r="AM550" i="28"/>
  <c r="AM422" i="28"/>
  <c r="AM412" i="28"/>
  <c r="AM530" i="28"/>
  <c r="AM330" i="28"/>
  <c r="AM89" i="28"/>
  <c r="AM406" i="28"/>
  <c r="AM266" i="28"/>
  <c r="AM577" i="28"/>
  <c r="AM601" i="28"/>
  <c r="AM558" i="28"/>
  <c r="AM421" i="28"/>
  <c r="AM252" i="28"/>
  <c r="AM175" i="28"/>
  <c r="AM87" i="28"/>
  <c r="D625" i="28"/>
  <c r="AM483" i="28"/>
  <c r="AM440" i="28"/>
  <c r="AM364" i="28"/>
  <c r="AM310" i="28"/>
  <c r="AM209" i="28"/>
  <c r="AM167" i="28"/>
  <c r="AM110" i="28"/>
  <c r="AM32" i="28"/>
  <c r="AM576" i="28"/>
  <c r="AM498" i="28"/>
  <c r="AM432" i="28"/>
  <c r="AM356" i="28"/>
  <c r="AM302" i="28"/>
  <c r="AM201" i="28"/>
  <c r="AM159" i="28"/>
  <c r="AM147" i="28"/>
  <c r="AM65" i="28"/>
  <c r="AM571" i="28"/>
  <c r="AM494" i="28"/>
  <c r="AM470" i="28"/>
  <c r="AM561" i="28"/>
  <c r="AM486" i="28"/>
  <c r="AM443" i="28"/>
  <c r="AM340" i="28"/>
  <c r="AM329" i="28"/>
  <c r="AM247" i="28"/>
  <c r="AM231" i="28"/>
  <c r="AM113" i="28"/>
  <c r="AM22" i="28"/>
  <c r="AM553" i="28"/>
  <c r="AM473" i="28"/>
  <c r="AM400" i="28"/>
  <c r="AM357" i="28"/>
  <c r="AM279" i="28"/>
  <c r="AM529" i="28"/>
  <c r="AM395" i="28"/>
  <c r="AM301" i="28"/>
  <c r="AM174" i="28"/>
  <c r="AM459" i="28"/>
  <c r="AM270" i="28"/>
  <c r="AM554" i="28"/>
  <c r="AM66" i="28"/>
  <c r="AM566" i="28"/>
  <c r="AM31" i="28"/>
  <c r="AM532" i="28"/>
  <c r="AM393" i="28"/>
  <c r="AM305" i="28"/>
  <c r="AM186" i="28"/>
  <c r="AM82" i="28"/>
  <c r="AM596" i="28"/>
  <c r="AM499" i="28"/>
  <c r="AM430" i="28"/>
  <c r="AM335" i="28"/>
  <c r="AM265" i="28"/>
  <c r="AM220" i="28"/>
  <c r="AM197" i="28"/>
  <c r="AM68" i="28"/>
  <c r="AM25" i="28"/>
  <c r="AM541" i="28"/>
  <c r="AM492" i="28"/>
  <c r="AM423" i="28"/>
  <c r="AM383" i="28"/>
  <c r="AM350" i="28"/>
  <c r="AM212" i="28"/>
  <c r="AM189" i="28"/>
  <c r="AM60" i="28"/>
  <c r="AM34" i="28"/>
  <c r="AM533" i="28"/>
  <c r="AM484" i="28"/>
  <c r="AM415" i="28"/>
  <c r="AM552" i="28"/>
  <c r="AM505" i="28"/>
  <c r="AM407" i="28"/>
  <c r="AM362" i="28"/>
  <c r="AM284" i="28"/>
  <c r="AM249" i="28"/>
  <c r="AM173" i="28"/>
  <c r="AM44" i="28"/>
  <c r="AM41" i="28"/>
  <c r="AM523" i="28"/>
  <c r="AM460" i="28"/>
  <c r="AM409" i="28"/>
  <c r="AM308" i="28"/>
  <c r="AM258" i="28"/>
  <c r="AM584" i="28"/>
  <c r="AM517" i="28"/>
  <c r="AM454" i="28"/>
  <c r="AM347" i="28"/>
  <c r="AM312" i="28"/>
  <c r="AM286" i="28"/>
  <c r="AM239" i="28"/>
  <c r="AM107" i="28"/>
  <c r="AM67" i="28"/>
  <c r="AM411" i="28"/>
  <c r="AM183" i="28"/>
  <c r="AM18" i="28"/>
  <c r="AM326" i="28"/>
  <c r="AM121" i="28"/>
  <c r="AM524" i="28"/>
  <c r="AM254" i="28"/>
  <c r="AM73" i="28"/>
  <c r="AM322" i="28"/>
  <c r="AM131" i="28"/>
  <c r="AM439" i="28"/>
  <c r="AM161" i="28"/>
  <c r="AM142" i="28"/>
  <c r="AM275" i="28"/>
  <c r="AM547" i="28"/>
  <c r="AM291" i="28"/>
  <c r="AM282" i="28"/>
  <c r="AM457" i="28"/>
  <c r="AM248" i="28"/>
  <c r="AM557" i="28"/>
  <c r="AM16" i="28"/>
  <c r="AM518" i="28"/>
  <c r="AM386" i="28"/>
  <c r="AM297" i="28"/>
  <c r="AM192" i="28"/>
  <c r="AM69" i="28"/>
  <c r="AM538" i="28"/>
  <c r="AM490" i="28"/>
  <c r="AM413" i="28"/>
  <c r="AM377" i="28"/>
  <c r="AM244" i="28"/>
  <c r="AM202" i="28"/>
  <c r="AM184" i="28"/>
  <c r="AM79" i="28"/>
  <c r="AM36" i="28"/>
  <c r="AM542" i="28"/>
  <c r="AM482" i="28"/>
  <c r="AM405" i="28"/>
  <c r="AM376" i="28"/>
  <c r="AM295" i="28"/>
  <c r="AM278" i="28"/>
  <c r="AM176" i="28"/>
  <c r="AM71" i="28"/>
  <c r="AM30" i="28"/>
  <c r="AM534" i="28"/>
  <c r="AM474" i="28"/>
  <c r="AM416" i="28"/>
  <c r="AM560" i="28"/>
  <c r="AM477" i="28"/>
  <c r="AM408" i="28"/>
  <c r="AM365" i="28"/>
  <c r="AM289" i="28"/>
  <c r="AM243" i="28"/>
  <c r="AM160" i="28"/>
  <c r="AM55" i="28"/>
  <c r="AM602" i="28"/>
  <c r="AM515" i="28"/>
  <c r="AM487" i="28"/>
  <c r="AM388" i="28"/>
  <c r="AM336" i="28"/>
  <c r="AM253" i="28"/>
  <c r="AM565" i="28"/>
  <c r="AM480" i="28"/>
  <c r="AM445" i="28"/>
  <c r="AM361" i="28"/>
  <c r="AM346" i="28"/>
  <c r="AM233" i="28"/>
  <c r="AM191" i="28"/>
  <c r="AM134" i="28"/>
  <c r="AM54" i="28"/>
  <c r="AM366" i="28"/>
  <c r="AM152" i="28"/>
  <c r="AM40" i="28"/>
  <c r="AM242" i="28"/>
  <c r="AM90" i="28"/>
  <c r="AM469" i="28"/>
  <c r="AM215" i="28"/>
  <c r="AM81" i="28"/>
  <c r="AM281" i="28"/>
  <c r="AM84" i="28"/>
  <c r="AM381" i="28"/>
  <c r="AM181" i="28"/>
  <c r="AM568" i="28"/>
  <c r="AM234" i="28"/>
  <c r="AM446" i="28"/>
  <c r="AM172" i="28"/>
  <c r="AM495" i="28"/>
  <c r="AM179" i="28"/>
  <c r="AM599" i="28"/>
  <c r="AM610" i="28"/>
  <c r="AM481" i="28"/>
  <c r="AM343" i="28"/>
  <c r="AM124" i="28"/>
  <c r="AM104" i="28"/>
  <c r="AM479" i="28"/>
  <c r="AM338" i="28"/>
  <c r="AM74" i="28"/>
  <c r="AM414" i="28"/>
  <c r="AM108" i="28"/>
  <c r="AM525" i="28"/>
  <c r="AM316" i="28"/>
  <c r="AM51" i="28"/>
  <c r="AM587" i="28"/>
  <c r="AM595" i="28"/>
  <c r="AM501" i="28"/>
  <c r="AM378" i="28"/>
  <c r="AM210" i="28"/>
  <c r="AM144" i="28"/>
  <c r="AM38" i="28"/>
  <c r="AM548" i="28"/>
  <c r="AM447" i="28"/>
  <c r="AM385" i="28"/>
  <c r="AM319" i="28"/>
  <c r="AM285" i="28"/>
  <c r="AM208" i="28"/>
  <c r="AM138" i="28"/>
  <c r="AM61" i="28"/>
  <c r="G635" i="28"/>
  <c r="AM536" i="28"/>
  <c r="AM466" i="28"/>
  <c r="AM424" i="28"/>
  <c r="AM311" i="28"/>
  <c r="AM277" i="28"/>
  <c r="AM200" i="28"/>
  <c r="AM130" i="28"/>
  <c r="AM53" i="28"/>
  <c r="AM607" i="28"/>
  <c r="AM535" i="28"/>
  <c r="AM458" i="28"/>
  <c r="AM608" i="28"/>
  <c r="AM527" i="28"/>
  <c r="AM450" i="28"/>
  <c r="AM396" i="28"/>
  <c r="AM345" i="28"/>
  <c r="AM261" i="28"/>
  <c r="AM199" i="28"/>
  <c r="AM114" i="28"/>
  <c r="AM37" i="28"/>
  <c r="AM594" i="28"/>
  <c r="AM528" i="28"/>
  <c r="AM428" i="28"/>
  <c r="AM355" i="28"/>
  <c r="AM320" i="28"/>
  <c r="AM219" i="28"/>
  <c r="AM555" i="28"/>
  <c r="AM500" i="28"/>
  <c r="AM418" i="28"/>
  <c r="AM397" i="28"/>
  <c r="AM268" i="28"/>
  <c r="AM226" i="28"/>
  <c r="AM157" i="28"/>
  <c r="AM102" i="28"/>
  <c r="AM49" i="28"/>
  <c r="AM323" i="28"/>
  <c r="AM126" i="28"/>
  <c r="AM526" i="28"/>
  <c r="AM221" i="28"/>
  <c r="AM47" i="28"/>
  <c r="AM348" i="28"/>
  <c r="AM100" i="28"/>
  <c r="AM598" i="28"/>
  <c r="AM236" i="28"/>
  <c r="AM91" i="28"/>
  <c r="AM325" i="28"/>
  <c r="AM115" i="28"/>
  <c r="AM437" i="28"/>
  <c r="AM165" i="28"/>
  <c r="AM373" i="28"/>
  <c r="AM162" i="28"/>
  <c r="AM339" i="28"/>
  <c r="AM168" i="28"/>
  <c r="AM116" i="28"/>
  <c r="AM256" i="28"/>
  <c r="AM468" i="28"/>
  <c r="AM143" i="28"/>
  <c r="AM543" i="28"/>
  <c r="AM21" i="28"/>
  <c r="AM111" i="28"/>
  <c r="AM149" i="28"/>
  <c r="AM50" i="28"/>
  <c r="AM497" i="28"/>
  <c r="AM324" i="28"/>
  <c r="AM298" i="28"/>
  <c r="AM410" i="28"/>
  <c r="AM590" i="28"/>
  <c r="AM427" i="28"/>
  <c r="AM93" i="28"/>
  <c r="AM156" i="28"/>
  <c r="AM508" i="28"/>
  <c r="AM26" i="28"/>
  <c r="AM448" i="28"/>
  <c r="AM299" i="28"/>
  <c r="AM392" i="28"/>
  <c r="AM64" i="28"/>
  <c r="AM309" i="28"/>
  <c r="AM223" i="28"/>
  <c r="AM92" i="28"/>
  <c r="AM101" i="28"/>
  <c r="AM359" i="28"/>
  <c r="AM370" i="28"/>
  <c r="AM225" i="28"/>
  <c r="AM241" i="28"/>
  <c r="AM502" i="28"/>
  <c r="AM398" i="28"/>
  <c r="AM205" i="28"/>
  <c r="AM119" i="28"/>
  <c r="AM203" i="28"/>
  <c r="AM287" i="28"/>
  <c r="AM371" i="28"/>
  <c r="AJ96" i="28"/>
  <c r="AJ588" i="28"/>
  <c r="AJ517" i="28"/>
  <c r="AJ475" i="28"/>
  <c r="AJ419" i="28"/>
  <c r="AJ313" i="28"/>
  <c r="AJ271" i="28"/>
  <c r="AJ230" i="28"/>
  <c r="AJ165" i="28"/>
  <c r="AJ145" i="28"/>
  <c r="AJ578" i="28"/>
  <c r="AJ509" i="28"/>
  <c r="AJ471" i="28"/>
  <c r="AJ393" i="28"/>
  <c r="AJ305" i="28"/>
  <c r="AJ263" i="28"/>
  <c r="AJ206" i="28"/>
  <c r="AJ140" i="28"/>
  <c r="AJ97" i="28"/>
  <c r="AJ574" i="28"/>
  <c r="AJ521" i="28"/>
  <c r="AJ453" i="28"/>
  <c r="AJ378" i="28"/>
  <c r="AJ341" i="28"/>
  <c r="AJ290" i="28"/>
  <c r="AJ168" i="28"/>
  <c r="AJ587" i="28"/>
  <c r="AJ534" i="28"/>
  <c r="AJ457" i="28"/>
  <c r="AJ384" i="28"/>
  <c r="AJ351" i="28"/>
  <c r="AJ260" i="28"/>
  <c r="AJ186" i="28"/>
  <c r="AJ147" i="28"/>
  <c r="AJ44" i="28"/>
  <c r="AJ604" i="28"/>
  <c r="AJ541" i="28"/>
  <c r="AJ466" i="28"/>
  <c r="AJ415" i="28"/>
  <c r="AJ383" i="28"/>
  <c r="AJ262" i="28"/>
  <c r="AJ261" i="28"/>
  <c r="AJ167" i="28"/>
  <c r="AJ89" i="28"/>
  <c r="AJ576" i="28"/>
  <c r="AJ507" i="28"/>
  <c r="AJ474" i="28"/>
  <c r="AJ586" i="28"/>
  <c r="AJ530" i="28"/>
  <c r="AJ459" i="28"/>
  <c r="AJ416" i="28"/>
  <c r="AJ367" i="28"/>
  <c r="AJ349" i="28"/>
  <c r="AJ207" i="28"/>
  <c r="AJ134" i="28"/>
  <c r="AJ84" i="28"/>
  <c r="AJ589" i="28"/>
  <c r="AJ547" i="28"/>
  <c r="AJ470" i="28"/>
  <c r="AJ408" i="28"/>
  <c r="AJ326" i="28"/>
  <c r="AJ296" i="28"/>
  <c r="AJ180" i="28"/>
  <c r="AJ50" i="28"/>
  <c r="AJ122" i="28"/>
  <c r="AJ234" i="28"/>
  <c r="AJ74" i="28"/>
  <c r="AJ183" i="28"/>
  <c r="AJ213" i="28"/>
  <c r="AJ85" i="28"/>
  <c r="AJ108" i="28"/>
  <c r="AJ277" i="28"/>
  <c r="AJ61" i="28"/>
  <c r="AJ41" i="28"/>
  <c r="AJ136" i="28"/>
  <c r="AJ92" i="28"/>
  <c r="AJ19" i="28"/>
  <c r="AJ571" i="28"/>
  <c r="AJ510" i="28"/>
  <c r="AJ432" i="28"/>
  <c r="AJ394" i="28"/>
  <c r="AJ300" i="28"/>
  <c r="AJ258" i="28"/>
  <c r="AJ184" i="28"/>
  <c r="AJ135" i="28"/>
  <c r="AJ47" i="28"/>
  <c r="AJ583" i="28"/>
  <c r="AJ502" i="28"/>
  <c r="AJ469" i="28"/>
  <c r="AJ386" i="28"/>
  <c r="AJ292" i="28"/>
  <c r="AJ250" i="28"/>
  <c r="AJ176" i="28"/>
  <c r="AJ127" i="28"/>
  <c r="AJ128" i="28"/>
  <c r="AJ572" i="28"/>
  <c r="AJ511" i="28"/>
  <c r="AJ441" i="28"/>
  <c r="AJ382" i="28"/>
  <c r="AJ332" i="28"/>
  <c r="AJ237" i="28"/>
  <c r="AJ163" i="28"/>
  <c r="AJ581" i="28"/>
  <c r="AJ512" i="28"/>
  <c r="AJ455" i="28"/>
  <c r="AJ396" i="28"/>
  <c r="AJ345" i="28"/>
  <c r="AJ298" i="28"/>
  <c r="AJ189" i="28"/>
  <c r="AJ124" i="28"/>
  <c r="AJ87" i="28"/>
  <c r="AJ601" i="28"/>
  <c r="AJ524" i="28"/>
  <c r="AJ473" i="28"/>
  <c r="AJ405" i="28"/>
  <c r="AJ307" i="28"/>
  <c r="AJ249" i="28"/>
  <c r="AJ223" i="28"/>
  <c r="AJ99" i="28"/>
  <c r="AJ102" i="28"/>
  <c r="AJ580" i="28"/>
  <c r="AJ516" i="28"/>
  <c r="AJ435" i="28"/>
  <c r="AJ585" i="28"/>
  <c r="AJ514" i="28"/>
  <c r="AJ460" i="28"/>
  <c r="AJ411" i="28"/>
  <c r="AJ329" i="28"/>
  <c r="AJ289" i="28"/>
  <c r="AJ162" i="28"/>
  <c r="AJ121" i="28"/>
  <c r="AJ29" i="28"/>
  <c r="AJ599" i="28"/>
  <c r="AJ506" i="28"/>
  <c r="AJ452" i="28"/>
  <c r="AJ390" i="28"/>
  <c r="AJ321" i="28"/>
  <c r="AJ279" i="28"/>
  <c r="AJ126" i="28"/>
  <c r="AJ380" i="28"/>
  <c r="AJ86" i="28"/>
  <c r="AJ255" i="28"/>
  <c r="AJ14" i="28"/>
  <c r="AJ177" i="28"/>
  <c r="AJ215" i="28"/>
  <c r="AJ417" i="28"/>
  <c r="AJ109" i="28"/>
  <c r="AJ170" i="28"/>
  <c r="AJ46" i="28"/>
  <c r="AJ154" i="28"/>
  <c r="AJ142" i="28"/>
  <c r="AJ38" i="28"/>
  <c r="AJ22" i="28"/>
  <c r="AJ561" i="28"/>
  <c r="AJ527" i="28"/>
  <c r="AJ438" i="28"/>
  <c r="AJ338" i="28"/>
  <c r="AJ295" i="28"/>
  <c r="AJ256" i="28"/>
  <c r="AJ179" i="28"/>
  <c r="AJ114" i="28"/>
  <c r="AJ104" i="28"/>
  <c r="AJ564" i="28"/>
  <c r="AJ519" i="28"/>
  <c r="AJ430" i="28"/>
  <c r="AJ387" i="28"/>
  <c r="AJ337" i="28"/>
  <c r="AJ248" i="28"/>
  <c r="AJ171" i="28"/>
  <c r="AJ106" i="28"/>
  <c r="AJ93" i="28"/>
  <c r="AJ550" i="28"/>
  <c r="AJ479" i="28"/>
  <c r="AJ442" i="28"/>
  <c r="AJ381" i="28"/>
  <c r="AJ293" i="28"/>
  <c r="AJ216" i="28"/>
  <c r="AJ150" i="28"/>
  <c r="AJ582" i="28"/>
  <c r="AJ513" i="28"/>
  <c r="AJ448" i="28"/>
  <c r="AJ376" i="28"/>
  <c r="AJ336" i="28"/>
  <c r="AJ269" i="28"/>
  <c r="AJ160" i="28"/>
  <c r="AJ161" i="28"/>
  <c r="AJ90" i="28"/>
  <c r="AJ593" i="28"/>
  <c r="AJ526" i="28"/>
  <c r="AJ449" i="28"/>
  <c r="AJ397" i="28"/>
  <c r="AJ344" i="28"/>
  <c r="AJ252" i="28"/>
  <c r="AJ178" i="28"/>
  <c r="AJ137" i="28"/>
  <c r="AJ36" i="28"/>
  <c r="AJ565" i="28"/>
  <c r="AJ499" i="28"/>
  <c r="AJ436" i="28"/>
  <c r="AJ584" i="28"/>
  <c r="AJ523" i="28"/>
  <c r="AJ451" i="28"/>
  <c r="AJ403" i="28"/>
  <c r="AJ316" i="28"/>
  <c r="AJ274" i="28"/>
  <c r="AJ204" i="28"/>
  <c r="AJ100" i="28"/>
  <c r="AJ63" i="28"/>
  <c r="AJ579" i="28"/>
  <c r="AJ518" i="28"/>
  <c r="AJ440" i="28"/>
  <c r="AJ391" i="28"/>
  <c r="AJ308" i="28"/>
  <c r="AJ266" i="28"/>
  <c r="AJ138" i="28"/>
  <c r="AJ324" i="28"/>
  <c r="AJ52" i="28"/>
  <c r="AJ198" i="28"/>
  <c r="AJ64" i="28"/>
  <c r="AJ152" i="28"/>
  <c r="AJ190" i="28"/>
  <c r="AJ342" i="28"/>
  <c r="AJ65" i="28"/>
  <c r="AJ193" i="28"/>
  <c r="AJ20" i="28"/>
  <c r="AJ40" i="28"/>
  <c r="AJ119" i="28"/>
  <c r="AJ241" i="28"/>
  <c r="AJ34" i="28"/>
  <c r="AJ559" i="28"/>
  <c r="AJ495" i="28"/>
  <c r="AJ431" i="28"/>
  <c r="AJ360" i="28"/>
  <c r="AJ309" i="28"/>
  <c r="AJ232" i="28"/>
  <c r="AJ166" i="28"/>
  <c r="AJ125" i="28"/>
  <c r="AJ37" i="28"/>
  <c r="AJ558" i="28"/>
  <c r="AJ487" i="28"/>
  <c r="AJ486" i="28"/>
  <c r="AJ352" i="28"/>
  <c r="AJ301" i="28"/>
  <c r="AJ224" i="28"/>
  <c r="AJ158" i="28"/>
  <c r="AJ117" i="28"/>
  <c r="G634" i="28"/>
  <c r="AJ556" i="28"/>
  <c r="AJ488" i="28"/>
  <c r="AJ406" i="28"/>
  <c r="AJ366" i="28"/>
  <c r="AJ275" i="28"/>
  <c r="AJ320" i="28"/>
  <c r="AJ32" i="28"/>
  <c r="AJ569" i="28"/>
  <c r="AJ504" i="28"/>
  <c r="AJ433" i="28"/>
  <c r="AJ377" i="28"/>
  <c r="AJ331" i="28"/>
  <c r="AJ229" i="28"/>
  <c r="AJ155" i="28"/>
  <c r="AJ157" i="28"/>
  <c r="AJ77" i="28"/>
  <c r="AJ573" i="28"/>
  <c r="AJ515" i="28"/>
  <c r="AJ447" i="28"/>
  <c r="AJ388" i="28"/>
  <c r="AJ330" i="28"/>
  <c r="AJ288" i="28"/>
  <c r="AJ181" i="28"/>
  <c r="AJ116" i="28"/>
  <c r="AJ18" i="28"/>
  <c r="AJ560" i="28"/>
  <c r="AJ482" i="28"/>
  <c r="AJ445" i="28"/>
  <c r="AJ566" i="28"/>
  <c r="AJ508" i="28"/>
  <c r="AJ427" i="28"/>
  <c r="AJ354" i="28"/>
  <c r="AJ311" i="28"/>
  <c r="AJ226" i="28"/>
  <c r="AJ195" i="28"/>
  <c r="AJ130" i="28"/>
  <c r="AJ66" i="28"/>
  <c r="AJ575" i="28"/>
  <c r="AJ528" i="28"/>
  <c r="AJ446" i="28"/>
  <c r="AJ80" i="28"/>
  <c r="AJ537" i="28"/>
  <c r="AJ477" i="28"/>
  <c r="AJ422" i="28"/>
  <c r="AJ339" i="28"/>
  <c r="AJ287" i="28"/>
  <c r="AJ219" i="28"/>
  <c r="AJ196" i="28"/>
  <c r="AJ67" i="28"/>
  <c r="AJ25" i="28"/>
  <c r="AJ562" i="28"/>
  <c r="AJ496" i="28"/>
  <c r="AJ414" i="28"/>
  <c r="AJ374" i="28"/>
  <c r="AJ283" i="28"/>
  <c r="AJ211" i="28"/>
  <c r="AJ188" i="28"/>
  <c r="AJ59" i="28"/>
  <c r="AJ605" i="28"/>
  <c r="AJ557" i="28"/>
  <c r="AJ489" i="28"/>
  <c r="AJ404" i="28"/>
  <c r="AJ361" i="28"/>
  <c r="AJ278" i="28"/>
  <c r="AJ201" i="28"/>
  <c r="AJ39" i="28"/>
  <c r="AJ542" i="28"/>
  <c r="AJ501" i="28"/>
  <c r="AJ434" i="28"/>
  <c r="AJ375" i="28"/>
  <c r="AJ306" i="28"/>
  <c r="AJ208" i="28"/>
  <c r="AJ210" i="28"/>
  <c r="AJ110" i="28"/>
  <c r="AJ15" i="28"/>
  <c r="AJ577" i="28"/>
  <c r="AJ505" i="28"/>
  <c r="AJ443" i="28"/>
  <c r="AJ370" i="28"/>
  <c r="AJ327" i="28"/>
  <c r="AJ245" i="28"/>
  <c r="AJ244" i="28"/>
  <c r="AJ144" i="28"/>
  <c r="AJ613" i="28"/>
  <c r="AJ551" i="28"/>
  <c r="AJ483" i="28"/>
  <c r="AJ30" i="28"/>
  <c r="AJ568" i="28"/>
  <c r="AJ492" i="28"/>
  <c r="AJ428" i="28"/>
  <c r="AJ357" i="28"/>
  <c r="AJ325" i="28"/>
  <c r="AJ205" i="28"/>
  <c r="AJ182" i="28"/>
  <c r="AJ141" i="28"/>
  <c r="AJ53" i="28"/>
  <c r="AJ570" i="28"/>
  <c r="AJ484" i="28"/>
  <c r="AJ439" i="28"/>
  <c r="AJ368" i="28"/>
  <c r="AJ317" i="28"/>
  <c r="AJ335" i="28"/>
  <c r="AJ76" i="28"/>
  <c r="AJ225" i="28"/>
  <c r="AJ35" i="28"/>
  <c r="AJ129" i="28"/>
  <c r="AJ314" i="28"/>
  <c r="AJ146" i="28"/>
  <c r="AJ132" i="28"/>
  <c r="AJ240" i="28"/>
  <c r="AJ69" i="28"/>
  <c r="AJ143" i="28"/>
  <c r="AJ28" i="28"/>
  <c r="AJ48" i="28"/>
  <c r="AJ610" i="28"/>
  <c r="AJ546" i="28"/>
  <c r="AJ494" i="28"/>
  <c r="AJ420" i="28"/>
  <c r="AJ379" i="28"/>
  <c r="AJ333" i="28"/>
  <c r="AJ217" i="28"/>
  <c r="AJ200" i="28"/>
  <c r="AJ62" i="28"/>
  <c r="AJ608" i="28"/>
  <c r="AJ538" i="28"/>
  <c r="AJ497" i="28"/>
  <c r="AJ412" i="28"/>
  <c r="AJ369" i="28"/>
  <c r="AJ286" i="28"/>
  <c r="AJ209" i="28"/>
  <c r="AJ191" i="28"/>
  <c r="AJ54" i="28"/>
  <c r="AJ603" i="28"/>
  <c r="AJ529" i="28"/>
  <c r="AJ478" i="28"/>
  <c r="AJ421" i="28"/>
  <c r="AJ323" i="28"/>
  <c r="AJ265" i="28"/>
  <c r="AJ239" i="28"/>
  <c r="D624" i="28"/>
  <c r="AJ548" i="28"/>
  <c r="AJ480" i="28"/>
  <c r="AJ398" i="28"/>
  <c r="AJ358" i="28"/>
  <c r="AJ267" i="28"/>
  <c r="AJ253" i="28"/>
  <c r="AJ172" i="28"/>
  <c r="AJ43" i="28"/>
  <c r="AJ13" i="28"/>
  <c r="AJ567" i="28"/>
  <c r="AJ500" i="28"/>
  <c r="AJ444" i="28"/>
  <c r="AJ373" i="28"/>
  <c r="AJ322" i="28"/>
  <c r="AJ221" i="28"/>
  <c r="AJ214" i="28"/>
  <c r="AJ153" i="28"/>
  <c r="AJ592" i="28"/>
  <c r="AJ533" i="28"/>
  <c r="AJ458" i="28"/>
  <c r="AJ26" i="28"/>
  <c r="AJ553" i="28"/>
  <c r="AJ493" i="28"/>
  <c r="AJ437" i="28"/>
  <c r="AJ355" i="28"/>
  <c r="AJ272" i="28"/>
  <c r="AJ235" i="28"/>
  <c r="AJ185" i="28"/>
  <c r="AJ83" i="28"/>
  <c r="AJ21" i="28"/>
  <c r="AJ545" i="28"/>
  <c r="AJ485" i="28"/>
  <c r="AJ429" i="28"/>
  <c r="AJ347" i="28"/>
  <c r="AJ264" i="28"/>
  <c r="AJ291" i="28"/>
  <c r="AJ112" i="28"/>
  <c r="AJ192" i="28"/>
  <c r="AJ101" i="28"/>
  <c r="AJ98" i="28"/>
  <c r="AJ218" i="28"/>
  <c r="AJ58" i="28"/>
  <c r="AJ133" i="28"/>
  <c r="AJ199" i="28"/>
  <c r="AJ407" i="28"/>
  <c r="AJ91" i="28"/>
  <c r="AJ227" i="28"/>
  <c r="AJ203" i="28"/>
  <c r="AJ426" i="28"/>
  <c r="AJ597" i="28"/>
  <c r="AJ539" i="28"/>
  <c r="AJ462" i="28"/>
  <c r="AJ400" i="28"/>
  <c r="AJ318" i="28"/>
  <c r="AJ284" i="28"/>
  <c r="AJ247" i="28"/>
  <c r="AJ118" i="28"/>
  <c r="AJ68" i="28"/>
  <c r="AJ600" i="28"/>
  <c r="AJ525" i="28"/>
  <c r="AJ454" i="28"/>
  <c r="AJ401" i="28"/>
  <c r="AJ310" i="28"/>
  <c r="AJ276" i="28"/>
  <c r="AJ238" i="28"/>
  <c r="AJ169" i="28"/>
  <c r="AJ60" i="28"/>
  <c r="AJ591" i="28"/>
  <c r="AJ520" i="28"/>
  <c r="AJ463" i="28"/>
  <c r="AJ385" i="28"/>
  <c r="AJ359" i="28"/>
  <c r="AJ328" i="28"/>
  <c r="AJ197" i="28"/>
  <c r="AJ594" i="28"/>
  <c r="AJ532" i="28"/>
  <c r="AJ476" i="28"/>
  <c r="AJ413" i="28"/>
  <c r="AJ315" i="28"/>
  <c r="AJ257" i="28"/>
  <c r="AJ231" i="28"/>
  <c r="AJ107" i="28"/>
  <c r="AJ111" i="28"/>
  <c r="BA624" i="28"/>
  <c r="AJ540" i="28"/>
  <c r="AJ491" i="28"/>
  <c r="AJ425" i="28"/>
  <c r="AJ350" i="28"/>
  <c r="AJ259" i="28"/>
  <c r="AJ246" i="28"/>
  <c r="AJ164" i="28"/>
  <c r="AJ94" i="28"/>
  <c r="AJ590" i="28"/>
  <c r="AJ522" i="28"/>
  <c r="AJ468" i="28"/>
  <c r="AJ612" i="28"/>
  <c r="AJ552" i="28"/>
  <c r="AJ450" i="28"/>
  <c r="AJ399" i="28"/>
  <c r="AJ364" i="28"/>
  <c r="AJ312" i="28"/>
  <c r="AJ236" i="28"/>
  <c r="AJ151" i="28"/>
  <c r="AJ73" i="28"/>
  <c r="AJ602" i="28"/>
  <c r="AJ544" i="28"/>
  <c r="AJ472" i="28"/>
  <c r="AJ418" i="28"/>
  <c r="AJ356" i="28"/>
  <c r="AJ294" i="28"/>
  <c r="AJ173" i="28"/>
  <c r="AJ56" i="28"/>
  <c r="AJ149" i="28"/>
  <c r="AJ319" i="28"/>
  <c r="AJ33" i="28"/>
  <c r="AJ187" i="28"/>
  <c r="AJ280" i="28"/>
  <c r="AJ95" i="28"/>
  <c r="AJ139" i="28"/>
  <c r="AJ254" i="28"/>
  <c r="AJ71" i="28"/>
  <c r="AJ42" i="28"/>
  <c r="AJ609" i="28"/>
  <c r="AJ57" i="28"/>
  <c r="AJ123" i="28"/>
  <c r="AJ194" i="28"/>
  <c r="AJ175" i="28"/>
  <c r="AJ297" i="28"/>
  <c r="AJ503" i="28"/>
  <c r="AJ554" i="28"/>
  <c r="AJ242" i="28"/>
  <c r="AJ70" i="28"/>
  <c r="AJ174" i="28"/>
  <c r="AJ17" i="28"/>
  <c r="AJ273" i="28"/>
  <c r="AJ536" i="28"/>
  <c r="AJ598" i="28"/>
  <c r="AJ49" i="28"/>
  <c r="AJ611" i="28"/>
  <c r="AJ105" i="28"/>
  <c r="AJ202" i="28"/>
  <c r="AJ409" i="28"/>
  <c r="AJ498" i="28"/>
  <c r="AJ51" i="28"/>
  <c r="AJ365" i="28"/>
  <c r="AJ79" i="28"/>
  <c r="AJ72" i="28"/>
  <c r="AJ270" i="28"/>
  <c r="AJ464" i="28"/>
  <c r="AJ535" i="28"/>
  <c r="AJ595" i="28"/>
  <c r="AJ549" i="28"/>
  <c r="AJ16" i="28"/>
  <c r="AJ103" i="28"/>
  <c r="AJ334" i="28"/>
  <c r="AJ424" i="28"/>
  <c r="AJ88" i="28"/>
  <c r="AJ228" i="28"/>
  <c r="AJ372" i="28"/>
  <c r="AJ24" i="28"/>
  <c r="AJ302" i="28"/>
  <c r="AJ410" i="28"/>
  <c r="AJ456" i="28"/>
  <c r="AJ531" i="28"/>
  <c r="AJ481" i="28"/>
  <c r="AJ563" i="28"/>
  <c r="AJ596" i="28"/>
  <c r="AJ243" i="28"/>
  <c r="AJ346" i="28"/>
  <c r="AJ282" i="28"/>
  <c r="AJ113" i="28"/>
  <c r="AJ115" i="28"/>
  <c r="AJ27" i="28"/>
  <c r="AJ78" i="28"/>
  <c r="AJ348" i="28"/>
  <c r="AJ402" i="28"/>
  <c r="AJ465" i="28"/>
  <c r="AJ423" i="28"/>
  <c r="AJ490" i="28"/>
  <c r="AJ555" i="28"/>
  <c r="AJ233" i="28"/>
  <c r="AJ389" i="28"/>
  <c r="AJ156" i="28"/>
  <c r="AJ363" i="28"/>
  <c r="AJ120" i="28"/>
  <c r="AJ75" i="28"/>
  <c r="AJ371" i="28"/>
  <c r="AJ281" i="28"/>
  <c r="AJ340" i="28"/>
  <c r="AJ392" i="28"/>
  <c r="AJ353" i="28"/>
  <c r="AJ461" i="28"/>
  <c r="AJ467" i="28"/>
  <c r="AJ148" i="28"/>
  <c r="AJ303" i="28"/>
  <c r="AJ82" i="28"/>
  <c r="AJ159" i="28"/>
  <c r="AJ31" i="28"/>
  <c r="AJ299" i="28"/>
  <c r="AJ220" i="28"/>
  <c r="AJ606" i="28"/>
  <c r="AJ343" i="28"/>
  <c r="AJ362" i="28"/>
  <c r="AJ81" i="28"/>
  <c r="AJ45" i="28"/>
  <c r="AJ131" i="28"/>
  <c r="AJ212" i="28"/>
  <c r="AJ268" i="28"/>
  <c r="AJ285" i="28"/>
  <c r="AJ304" i="28"/>
  <c r="AJ543" i="28"/>
  <c r="AJ607" i="28"/>
  <c r="AJ395" i="28"/>
  <c r="AJ222" i="28"/>
  <c r="AJ251" i="28"/>
  <c r="AJ23" i="28"/>
  <c r="AJ55" i="28"/>
  <c r="V7" i="17"/>
  <c r="S611" i="17" s="1"/>
  <c r="E7" i="28"/>
  <c r="O590" i="17"/>
  <c r="O574" i="17"/>
  <c r="P558" i="17"/>
  <c r="P542" i="17"/>
  <c r="O463" i="17"/>
  <c r="O552" i="17"/>
  <c r="P601" i="17"/>
  <c r="O607" i="17"/>
  <c r="P591" i="17"/>
  <c r="P575" i="17"/>
  <c r="O494" i="17"/>
  <c r="O478" i="17"/>
  <c r="P462" i="17"/>
  <c r="O585" i="17"/>
  <c r="O569" i="17"/>
  <c r="P553" i="17"/>
  <c r="P537" i="17"/>
  <c r="O456" i="17"/>
  <c r="O547" i="17"/>
  <c r="O531" i="17"/>
  <c r="P515" i="17"/>
  <c r="P499" i="17"/>
  <c r="P600" i="17"/>
  <c r="O521" i="17"/>
  <c r="O505" i="17"/>
  <c r="P489" i="17"/>
  <c r="P473" i="17"/>
  <c r="P560" i="17"/>
  <c r="O473" i="17"/>
  <c r="O425" i="17"/>
  <c r="O409" i="17"/>
  <c r="P393" i="17"/>
  <c r="O586" i="17"/>
  <c r="O570" i="17"/>
  <c r="P554" i="17"/>
  <c r="P538" i="17"/>
  <c r="O459" i="17"/>
  <c r="P613" i="17"/>
  <c r="P597" i="17"/>
  <c r="O603" i="17"/>
  <c r="P587" i="17"/>
  <c r="P571" i="17"/>
  <c r="O490" i="17"/>
  <c r="O474" i="17"/>
  <c r="P458" i="17"/>
  <c r="O581" i="17"/>
  <c r="O565" i="17"/>
  <c r="P549" i="17"/>
  <c r="P533" i="17"/>
  <c r="O559" i="17"/>
  <c r="O543" i="17"/>
  <c r="P527" i="17"/>
  <c r="P511" i="17"/>
  <c r="P612" i="17"/>
  <c r="P596" i="17"/>
  <c r="O517" i="17"/>
  <c r="O501" i="17"/>
  <c r="P485" i="17"/>
  <c r="P469" i="17"/>
  <c r="P526" i="17"/>
  <c r="P457" i="17"/>
  <c r="O421" i="17"/>
  <c r="O405" i="17"/>
  <c r="P389" i="17"/>
  <c r="O584" i="17"/>
  <c r="O568" i="17"/>
  <c r="P552" i="17"/>
  <c r="P536" i="17"/>
  <c r="O457" i="17"/>
  <c r="P611" i="17"/>
  <c r="P595" i="17"/>
  <c r="O601" i="17"/>
  <c r="P585" i="17"/>
  <c r="P569" i="17"/>
  <c r="O488" i="17"/>
  <c r="O472" i="17"/>
  <c r="P456" i="17"/>
  <c r="O579" i="17"/>
  <c r="O563" i="17"/>
  <c r="P547" i="17"/>
  <c r="P531" i="17"/>
  <c r="O557" i="17"/>
  <c r="O541" i="17"/>
  <c r="P525" i="17"/>
  <c r="P509" i="17"/>
  <c r="P610" i="17"/>
  <c r="P594" i="17"/>
  <c r="O515" i="17"/>
  <c r="O499" i="17"/>
  <c r="P483" i="17"/>
  <c r="P467" i="17"/>
  <c r="O516" i="17"/>
  <c r="P450" i="17"/>
  <c r="O419" i="17"/>
  <c r="O403" i="17"/>
  <c r="P387" i="17"/>
  <c r="O582" i="17"/>
  <c r="O566" i="17"/>
  <c r="P550" i="17"/>
  <c r="P534" i="17"/>
  <c r="O455" i="17"/>
  <c r="P609" i="17"/>
  <c r="P593" i="17"/>
  <c r="O599" i="17"/>
  <c r="P583" i="17"/>
  <c r="P567" i="17"/>
  <c r="O486" i="17"/>
  <c r="O470" i="17"/>
  <c r="P454" i="17"/>
  <c r="O577" i="17"/>
  <c r="O561" i="17"/>
  <c r="P545" i="17"/>
  <c r="P529" i="17"/>
  <c r="O555" i="17"/>
  <c r="O539" i="17"/>
  <c r="P523" i="17"/>
  <c r="P507" i="17"/>
  <c r="P608" i="17"/>
  <c r="P592" i="17"/>
  <c r="O513" i="17"/>
  <c r="O497" i="17"/>
  <c r="P481" i="17"/>
  <c r="P465" i="17"/>
  <c r="P510" i="17"/>
  <c r="P447" i="17"/>
  <c r="O417" i="17"/>
  <c r="O401" i="17"/>
  <c r="O580" i="17"/>
  <c r="O564" i="17"/>
  <c r="P548" i="17"/>
  <c r="P532" i="17"/>
  <c r="O558" i="17"/>
  <c r="P607" i="17"/>
  <c r="O613" i="17"/>
  <c r="O597" i="17"/>
  <c r="P581" i="17"/>
  <c r="P565" i="17"/>
  <c r="O484" i="17"/>
  <c r="O468" i="17"/>
  <c r="O591" i="17"/>
  <c r="O575" i="17"/>
  <c r="P559" i="17"/>
  <c r="P543" i="17"/>
  <c r="O462" i="17"/>
  <c r="O553" i="17"/>
  <c r="O537" i="17"/>
  <c r="P521" i="17"/>
  <c r="P505" i="17"/>
  <c r="P606" i="17"/>
  <c r="O527" i="17"/>
  <c r="O511" i="17"/>
  <c r="P495" i="17"/>
  <c r="P479" i="17"/>
  <c r="O608" i="17"/>
  <c r="O500" i="17"/>
  <c r="O431" i="17"/>
  <c r="O415" i="17"/>
  <c r="P399" i="17"/>
  <c r="P383" i="17"/>
  <c r="O578" i="17"/>
  <c r="O562" i="17"/>
  <c r="P546" i="17"/>
  <c r="P530" i="17"/>
  <c r="O556" i="17"/>
  <c r="P605" i="17"/>
  <c r="O611" i="17"/>
  <c r="O595" i="17"/>
  <c r="P579" i="17"/>
  <c r="P563" i="17"/>
  <c r="O482" i="17"/>
  <c r="O466" i="17"/>
  <c r="O589" i="17"/>
  <c r="O573" i="17"/>
  <c r="P557" i="17"/>
  <c r="P541" i="17"/>
  <c r="O460" i="17"/>
  <c r="O551" i="17"/>
  <c r="O535" i="17"/>
  <c r="P519" i="17"/>
  <c r="P503" i="17"/>
  <c r="P604" i="17"/>
  <c r="O525" i="17"/>
  <c r="O509" i="17"/>
  <c r="P493" i="17"/>
  <c r="P477" i="17"/>
  <c r="O592" i="17"/>
  <c r="O489" i="17"/>
  <c r="O429" i="17"/>
  <c r="O413" i="17"/>
  <c r="P397" i="17"/>
  <c r="P381" i="17"/>
  <c r="P544" i="17"/>
  <c r="O609" i="17"/>
  <c r="O480" i="17"/>
  <c r="P555" i="17"/>
  <c r="O533" i="17"/>
  <c r="O523" i="17"/>
  <c r="P576" i="17"/>
  <c r="P395" i="17"/>
  <c r="P369" i="17"/>
  <c r="P504" i="17"/>
  <c r="O397" i="17"/>
  <c r="O381" i="17"/>
  <c r="P365" i="17"/>
  <c r="P349" i="17"/>
  <c r="P588" i="17"/>
  <c r="O493" i="17"/>
  <c r="O508" i="17"/>
  <c r="O430" i="17"/>
  <c r="O414" i="17"/>
  <c r="P398" i="17"/>
  <c r="P382" i="17"/>
  <c r="O612" i="17"/>
  <c r="O448" i="17"/>
  <c r="O396" i="17"/>
  <c r="O339" i="17"/>
  <c r="P316" i="17"/>
  <c r="O451" i="17"/>
  <c r="O386" i="17"/>
  <c r="P482" i="17"/>
  <c r="P411" i="17"/>
  <c r="O336" i="17"/>
  <c r="O292" i="17"/>
  <c r="P276" i="17"/>
  <c r="O491" i="17"/>
  <c r="O433" i="17"/>
  <c r="O363" i="17"/>
  <c r="O276" i="17"/>
  <c r="P463" i="17"/>
  <c r="P410" i="17"/>
  <c r="O338" i="17"/>
  <c r="P317" i="17"/>
  <c r="O540" i="17"/>
  <c r="P441" i="17"/>
  <c r="O368" i="17"/>
  <c r="P332" i="17"/>
  <c r="O291" i="17"/>
  <c r="P275" i="17"/>
  <c r="O359" i="17"/>
  <c r="O253" i="17"/>
  <c r="O221" i="17"/>
  <c r="O189" i="17"/>
  <c r="P562" i="17"/>
  <c r="P312" i="17"/>
  <c r="P245" i="17"/>
  <c r="P213" i="17"/>
  <c r="P181" i="17"/>
  <c r="O334" i="17"/>
  <c r="P292" i="17"/>
  <c r="O262" i="17"/>
  <c r="O230" i="17"/>
  <c r="O198" i="17"/>
  <c r="O166" i="17"/>
  <c r="O326" i="17"/>
  <c r="P287" i="17"/>
  <c r="P254" i="17"/>
  <c r="P222" i="17"/>
  <c r="P190" i="17"/>
  <c r="O441" i="17"/>
  <c r="O270" i="17"/>
  <c r="P231" i="17"/>
  <c r="P199" i="17"/>
  <c r="P167" i="17"/>
  <c r="P257" i="17"/>
  <c r="O157" i="17"/>
  <c r="O125" i="17"/>
  <c r="O93" i="17"/>
  <c r="O522" i="17"/>
  <c r="P528" i="17"/>
  <c r="O593" i="17"/>
  <c r="O464" i="17"/>
  <c r="P539" i="17"/>
  <c r="P517" i="17"/>
  <c r="O507" i="17"/>
  <c r="P484" i="17"/>
  <c r="P385" i="17"/>
  <c r="P590" i="17"/>
  <c r="O483" i="17"/>
  <c r="O393" i="17"/>
  <c r="O377" i="17"/>
  <c r="P361" i="17"/>
  <c r="P345" i="17"/>
  <c r="O546" i="17"/>
  <c r="O600" i="17"/>
  <c r="P492" i="17"/>
  <c r="O426" i="17"/>
  <c r="O410" i="17"/>
  <c r="P394" i="17"/>
  <c r="P378" i="17"/>
  <c r="O538" i="17"/>
  <c r="P437" i="17"/>
  <c r="P364" i="17"/>
  <c r="P331" i="17"/>
  <c r="P578" i="17"/>
  <c r="O440" i="17"/>
  <c r="O367" i="17"/>
  <c r="O443" i="17"/>
  <c r="O376" i="17"/>
  <c r="P328" i="17"/>
  <c r="O288" i="17"/>
  <c r="P272" i="17"/>
  <c r="P464" i="17"/>
  <c r="P417" i="17"/>
  <c r="P350" i="17"/>
  <c r="O596" i="17"/>
  <c r="P445" i="17"/>
  <c r="O388" i="17"/>
  <c r="P330" i="17"/>
  <c r="P313" i="17"/>
  <c r="O498" i="17"/>
  <c r="O435" i="17"/>
  <c r="O362" i="17"/>
  <c r="O303" i="17"/>
  <c r="O287" i="17"/>
  <c r="P271" i="17"/>
  <c r="P342" i="17"/>
  <c r="P249" i="17"/>
  <c r="P217" i="17"/>
  <c r="P185" i="17"/>
  <c r="O445" i="17"/>
  <c r="P304" i="17"/>
  <c r="O234" i="17"/>
  <c r="O202" i="17"/>
  <c r="O170" i="17"/>
  <c r="O316" i="17"/>
  <c r="P284" i="17"/>
  <c r="P258" i="17"/>
  <c r="P226" i="17"/>
  <c r="P194" i="17"/>
  <c r="P461" i="17"/>
  <c r="O311" i="17"/>
  <c r="P279" i="17"/>
  <c r="O241" i="17"/>
  <c r="O209" i="17"/>
  <c r="O177" i="17"/>
  <c r="O390" i="17"/>
  <c r="O252" i="17"/>
  <c r="O220" i="17"/>
  <c r="O188" i="17"/>
  <c r="P452" i="17"/>
  <c r="O227" i="17"/>
  <c r="P153" i="17"/>
  <c r="P121" i="17"/>
  <c r="P89" i="17"/>
  <c r="O576" i="17"/>
  <c r="O554" i="17"/>
  <c r="P577" i="17"/>
  <c r="O587" i="17"/>
  <c r="O458" i="17"/>
  <c r="P501" i="17"/>
  <c r="P491" i="17"/>
  <c r="O427" i="17"/>
  <c r="P377" i="17"/>
  <c r="O536" i="17"/>
  <c r="O467" i="17"/>
  <c r="O389" i="17"/>
  <c r="O373" i="17"/>
  <c r="P357" i="17"/>
  <c r="P341" i="17"/>
  <c r="O520" i="17"/>
  <c r="P568" i="17"/>
  <c r="P476" i="17"/>
  <c r="O422" i="17"/>
  <c r="O406" i="17"/>
  <c r="P390" i="17"/>
  <c r="P374" i="17"/>
  <c r="O496" i="17"/>
  <c r="P431" i="17"/>
  <c r="O358" i="17"/>
  <c r="P324" i="17"/>
  <c r="P516" i="17"/>
  <c r="P424" i="17"/>
  <c r="O602" i="17"/>
  <c r="P433" i="17"/>
  <c r="O357" i="17"/>
  <c r="O300" i="17"/>
  <c r="O284" i="17"/>
  <c r="P566" i="17"/>
  <c r="O446" i="17"/>
  <c r="P401" i="17"/>
  <c r="O344" i="17"/>
  <c r="P522" i="17"/>
  <c r="O439" i="17"/>
  <c r="O366" i="17"/>
  <c r="P325" i="17"/>
  <c r="P309" i="17"/>
  <c r="O477" i="17"/>
  <c r="P419" i="17"/>
  <c r="O349" i="17"/>
  <c r="O299" i="17"/>
  <c r="O283" i="17"/>
  <c r="O518" i="17"/>
  <c r="O317" i="17"/>
  <c r="O238" i="17"/>
  <c r="O206" i="17"/>
  <c r="O174" i="17"/>
  <c r="O394" i="17"/>
  <c r="P262" i="17"/>
  <c r="P230" i="17"/>
  <c r="P198" i="17"/>
  <c r="P166" i="17"/>
  <c r="O308" i="17"/>
  <c r="O273" i="17"/>
  <c r="O245" i="17"/>
  <c r="O213" i="17"/>
  <c r="O181" i="17"/>
  <c r="P416" i="17"/>
  <c r="P303" i="17"/>
  <c r="O268" i="17"/>
  <c r="P237" i="17"/>
  <c r="P205" i="17"/>
  <c r="P173" i="17"/>
  <c r="P346" i="17"/>
  <c r="P248" i="17"/>
  <c r="P216" i="17"/>
  <c r="P184" i="17"/>
  <c r="O331" i="17"/>
  <c r="O197" i="17"/>
  <c r="O142" i="17"/>
  <c r="O110" i="17"/>
  <c r="O78" i="17"/>
  <c r="O572" i="17"/>
  <c r="O550" i="17"/>
  <c r="P573" i="17"/>
  <c r="O583" i="17"/>
  <c r="O454" i="17"/>
  <c r="P497" i="17"/>
  <c r="P487" i="17"/>
  <c r="O423" i="17"/>
  <c r="P375" i="17"/>
  <c r="O526" i="17"/>
  <c r="O450" i="17"/>
  <c r="O387" i="17"/>
  <c r="O371" i="17"/>
  <c r="P355" i="17"/>
  <c r="P339" i="17"/>
  <c r="P514" i="17"/>
  <c r="O534" i="17"/>
  <c r="O465" i="17"/>
  <c r="O420" i="17"/>
  <c r="O404" i="17"/>
  <c r="P388" i="17"/>
  <c r="P372" i="17"/>
  <c r="O485" i="17"/>
  <c r="P418" i="17"/>
  <c r="P348" i="17"/>
  <c r="P322" i="17"/>
  <c r="O506" i="17"/>
  <c r="P421" i="17"/>
  <c r="P570" i="17"/>
  <c r="P430" i="17"/>
  <c r="O354" i="17"/>
  <c r="O298" i="17"/>
  <c r="O282" i="17"/>
  <c r="O544" i="17"/>
  <c r="P442" i="17"/>
  <c r="O398" i="17"/>
  <c r="P338" i="17"/>
  <c r="O512" i="17"/>
  <c r="P432" i="17"/>
  <c r="P356" i="17"/>
  <c r="P323" i="17"/>
  <c r="P307" i="17"/>
  <c r="O469" i="17"/>
  <c r="P406" i="17"/>
  <c r="O346" i="17"/>
  <c r="O297" i="17"/>
  <c r="O281" i="17"/>
  <c r="P448" i="17"/>
  <c r="O277" i="17"/>
  <c r="O236" i="17"/>
  <c r="O204" i="17"/>
  <c r="O172" i="17"/>
  <c r="P358" i="17"/>
  <c r="P260" i="17"/>
  <c r="P228" i="17"/>
  <c r="P196" i="17"/>
  <c r="P164" i="17"/>
  <c r="O304" i="17"/>
  <c r="P268" i="17"/>
  <c r="O243" i="17"/>
  <c r="O211" i="17"/>
  <c r="O179" i="17"/>
  <c r="O378" i="17"/>
  <c r="P299" i="17"/>
  <c r="O266" i="17"/>
  <c r="P235" i="17"/>
  <c r="P203" i="17"/>
  <c r="P171" i="17"/>
  <c r="O332" i="17"/>
  <c r="O237" i="17"/>
  <c r="O205" i="17"/>
  <c r="O173" i="17"/>
  <c r="O318" i="17"/>
  <c r="P187" i="17"/>
  <c r="O140" i="17"/>
  <c r="O108" i="17"/>
  <c r="O76" i="17"/>
  <c r="O560" i="17"/>
  <c r="P603" i="17"/>
  <c r="P561" i="17"/>
  <c r="O571" i="17"/>
  <c r="O549" i="17"/>
  <c r="P602" i="17"/>
  <c r="P475" i="17"/>
  <c r="O411" i="17"/>
  <c r="P373" i="17"/>
  <c r="P520" i="17"/>
  <c r="O447" i="17"/>
  <c r="O385" i="17"/>
  <c r="O369" i="17"/>
  <c r="P353" i="17"/>
  <c r="P337" i="17"/>
  <c r="O504" i="17"/>
  <c r="O524" i="17"/>
  <c r="P451" i="17"/>
  <c r="O418" i="17"/>
  <c r="O402" i="17"/>
  <c r="P386" i="17"/>
  <c r="P370" i="17"/>
  <c r="O475" i="17"/>
  <c r="P415" i="17"/>
  <c r="O345" i="17"/>
  <c r="P320" i="17"/>
  <c r="O495" i="17"/>
  <c r="P408" i="17"/>
  <c r="P524" i="17"/>
  <c r="P427" i="17"/>
  <c r="P344" i="17"/>
  <c r="O296" i="17"/>
  <c r="O280" i="17"/>
  <c r="P512" i="17"/>
  <c r="P439" i="17"/>
  <c r="O382" i="17"/>
  <c r="O333" i="17"/>
  <c r="P480" i="17"/>
  <c r="P426" i="17"/>
  <c r="O353" i="17"/>
  <c r="P321" i="17"/>
  <c r="P305" i="17"/>
  <c r="O453" i="17"/>
  <c r="P403" i="17"/>
  <c r="O340" i="17"/>
  <c r="O295" i="17"/>
  <c r="O279" i="17"/>
  <c r="P434" i="17"/>
  <c r="O271" i="17"/>
  <c r="P234" i="17"/>
  <c r="P202" i="17"/>
  <c r="P170" i="17"/>
  <c r="O327" i="17"/>
  <c r="O249" i="17"/>
  <c r="O217" i="17"/>
  <c r="O185" i="17"/>
  <c r="O444" i="17"/>
  <c r="P300" i="17"/>
  <c r="P266" i="17"/>
  <c r="P241" i="17"/>
  <c r="P209" i="17"/>
  <c r="P177" i="17"/>
  <c r="O356" i="17"/>
  <c r="P295" i="17"/>
  <c r="O258" i="17"/>
  <c r="O226" i="17"/>
  <c r="O194" i="17"/>
  <c r="P496" i="17"/>
  <c r="O325" i="17"/>
  <c r="O235" i="17"/>
  <c r="O203" i="17"/>
  <c r="O171" i="17"/>
  <c r="O306" i="17"/>
  <c r="O182" i="17"/>
  <c r="P138" i="17"/>
  <c r="P106" i="17"/>
  <c r="P74" i="17"/>
  <c r="O492" i="17"/>
  <c r="P513" i="17"/>
  <c r="P391" i="17"/>
  <c r="O399" i="17"/>
  <c r="P359" i="17"/>
  <c r="P488" i="17"/>
  <c r="O416" i="17"/>
  <c r="P376" i="17"/>
  <c r="O380" i="17"/>
  <c r="P466" i="17"/>
  <c r="P436" i="17"/>
  <c r="O290" i="17"/>
  <c r="O436" i="17"/>
  <c r="P564" i="17"/>
  <c r="P335" i="17"/>
  <c r="P444" i="17"/>
  <c r="O301" i="17"/>
  <c r="O351" i="17"/>
  <c r="P200" i="17"/>
  <c r="P264" i="17"/>
  <c r="P179" i="17"/>
  <c r="O264" i="17"/>
  <c r="P192" i="17"/>
  <c r="P283" i="17"/>
  <c r="O192" i="17"/>
  <c r="P250" i="17"/>
  <c r="O594" i="17"/>
  <c r="P136" i="17"/>
  <c r="O313" i="17"/>
  <c r="O195" i="17"/>
  <c r="O143" i="17"/>
  <c r="O111" i="17"/>
  <c r="O79" i="17"/>
  <c r="O47" i="17"/>
  <c r="O15" i="17"/>
  <c r="P73" i="17"/>
  <c r="P310" i="17"/>
  <c r="P229" i="17"/>
  <c r="O156" i="17"/>
  <c r="P122" i="17"/>
  <c r="O60" i="17"/>
  <c r="O259" i="17"/>
  <c r="O164" i="17"/>
  <c r="P131" i="17"/>
  <c r="P99" i="17"/>
  <c r="P67" i="17"/>
  <c r="P35" i="17"/>
  <c r="P425" i="17"/>
  <c r="O218" i="17"/>
  <c r="O148" i="17"/>
  <c r="O116" i="17"/>
  <c r="O84" i="17"/>
  <c r="O52" i="17"/>
  <c r="O20" i="17"/>
  <c r="P286" i="17"/>
  <c r="O261" i="17"/>
  <c r="O329" i="17"/>
  <c r="O121" i="17"/>
  <c r="P46" i="17"/>
  <c r="O231" i="17"/>
  <c r="O95" i="17"/>
  <c r="O43" i="17"/>
  <c r="P29" i="17"/>
  <c r="O29" i="17"/>
  <c r="P195" i="17"/>
  <c r="O70" i="17"/>
  <c r="P191" i="17"/>
  <c r="P83" i="17"/>
  <c r="O352" i="17"/>
  <c r="P14" i="17"/>
  <c r="O72" i="17"/>
  <c r="P246" i="17"/>
  <c r="O119" i="17"/>
  <c r="P49" i="17"/>
  <c r="O18" i="17"/>
  <c r="O163" i="17"/>
  <c r="P221" i="17"/>
  <c r="O216" i="17"/>
  <c r="P556" i="17"/>
  <c r="P460" i="17"/>
  <c r="O519" i="17"/>
  <c r="P371" i="17"/>
  <c r="O391" i="17"/>
  <c r="P347" i="17"/>
  <c r="P518" i="17"/>
  <c r="O408" i="17"/>
  <c r="P580" i="17"/>
  <c r="O342" i="17"/>
  <c r="O437" i="17"/>
  <c r="O392" i="17"/>
  <c r="O278" i="17"/>
  <c r="P404" i="17"/>
  <c r="P449" i="17"/>
  <c r="P319" i="17"/>
  <c r="P422" i="17"/>
  <c r="O289" i="17"/>
  <c r="O269" i="17"/>
  <c r="P183" i="17"/>
  <c r="P243" i="17"/>
  <c r="P340" i="17"/>
  <c r="P256" i="17"/>
  <c r="P500" i="17"/>
  <c r="O256" i="17"/>
  <c r="O175" i="17"/>
  <c r="O222" i="17"/>
  <c r="P285" i="17"/>
  <c r="P119" i="17"/>
  <c r="P281" i="17"/>
  <c r="O165" i="17"/>
  <c r="P139" i="17"/>
  <c r="P107" i="17"/>
  <c r="P75" i="17"/>
  <c r="P43" i="17"/>
  <c r="P152" i="17"/>
  <c r="P58" i="17"/>
  <c r="P290" i="17"/>
  <c r="P214" i="17"/>
  <c r="O141" i="17"/>
  <c r="O109" i="17"/>
  <c r="P486" i="17"/>
  <c r="O229" i="17"/>
  <c r="O152" i="17"/>
  <c r="O120" i="17"/>
  <c r="O88" i="17"/>
  <c r="O56" i="17"/>
  <c r="O24" i="17"/>
  <c r="O309" i="17"/>
  <c r="P193" i="17"/>
  <c r="P144" i="17"/>
  <c r="P112" i="17"/>
  <c r="P80" i="17"/>
  <c r="P48" i="17"/>
  <c r="P16" i="17"/>
  <c r="P269" i="17"/>
  <c r="O55" i="17"/>
  <c r="P236" i="17"/>
  <c r="O106" i="17"/>
  <c r="O31" i="17"/>
  <c r="P155" i="17"/>
  <c r="O80" i="17"/>
  <c r="P34" i="17"/>
  <c r="P38" i="17"/>
  <c r="O257" i="17"/>
  <c r="P160" i="17"/>
  <c r="P53" i="17"/>
  <c r="P165" i="17"/>
  <c r="P68" i="17"/>
  <c r="O242" i="17"/>
  <c r="O176" i="17"/>
  <c r="P32" i="17"/>
  <c r="P180" i="17"/>
  <c r="O104" i="17"/>
  <c r="P39" i="17"/>
  <c r="O45" i="17"/>
  <c r="P143" i="17"/>
  <c r="O127" i="17"/>
  <c r="O147" i="17"/>
  <c r="O461" i="17"/>
  <c r="P551" i="17"/>
  <c r="P471" i="17"/>
  <c r="P574" i="17"/>
  <c r="O379" i="17"/>
  <c r="O604" i="17"/>
  <c r="O481" i="17"/>
  <c r="P396" i="17"/>
  <c r="O452" i="17"/>
  <c r="P326" i="17"/>
  <c r="O370" i="17"/>
  <c r="O341" i="17"/>
  <c r="O598" i="17"/>
  <c r="O360" i="17"/>
  <c r="P423" i="17"/>
  <c r="P311" i="17"/>
  <c r="O365" i="17"/>
  <c r="P277" i="17"/>
  <c r="P247" i="17"/>
  <c r="P470" i="17"/>
  <c r="O215" i="17"/>
  <c r="O312" i="17"/>
  <c r="O228" i="17"/>
  <c r="O348" i="17"/>
  <c r="O239" i="17"/>
  <c r="P428" i="17"/>
  <c r="P201" i="17"/>
  <c r="O212" i="17"/>
  <c r="O91" i="17"/>
  <c r="O250" i="17"/>
  <c r="O160" i="17"/>
  <c r="O128" i="17"/>
  <c r="O96" i="17"/>
  <c r="O64" i="17"/>
  <c r="O32" i="17"/>
  <c r="P103" i="17"/>
  <c r="P435" i="17"/>
  <c r="P259" i="17"/>
  <c r="O199" i="17"/>
  <c r="P137" i="17"/>
  <c r="O94" i="17"/>
  <c r="O310" i="17"/>
  <c r="O214" i="17"/>
  <c r="P148" i="17"/>
  <c r="P116" i="17"/>
  <c r="P84" i="17"/>
  <c r="P52" i="17"/>
  <c r="P20" i="17"/>
  <c r="P263" i="17"/>
  <c r="P163" i="17"/>
  <c r="O131" i="17"/>
  <c r="O99" i="17"/>
  <c r="O67" i="17"/>
  <c r="O35" i="17"/>
  <c r="P354" i="17"/>
  <c r="P253" i="17"/>
  <c r="O117" i="17"/>
  <c r="O161" i="17"/>
  <c r="P81" i="17"/>
  <c r="P19" i="17"/>
  <c r="P125" i="17"/>
  <c r="O65" i="17"/>
  <c r="O19" i="17"/>
  <c r="O51" i="17"/>
  <c r="P47" i="17"/>
  <c r="P130" i="17"/>
  <c r="O374" i="17"/>
  <c r="O134" i="17"/>
  <c r="P59" i="17"/>
  <c r="O138" i="17"/>
  <c r="P147" i="17"/>
  <c r="O449" i="17"/>
  <c r="P149" i="17"/>
  <c r="P79" i="17"/>
  <c r="O33" i="17"/>
  <c r="O30" i="17"/>
  <c r="O68" i="17"/>
  <c r="O97" i="17"/>
  <c r="P599" i="17"/>
  <c r="P535" i="17"/>
  <c r="O542" i="17"/>
  <c r="O510" i="17"/>
  <c r="O375" i="17"/>
  <c r="P572" i="17"/>
  <c r="P446" i="17"/>
  <c r="P392" i="17"/>
  <c r="P440" i="17"/>
  <c r="P318" i="17"/>
  <c r="O364" i="17"/>
  <c r="P333" i="17"/>
  <c r="O502" i="17"/>
  <c r="O347" i="17"/>
  <c r="P407" i="17"/>
  <c r="P586" i="17"/>
  <c r="P352" i="17"/>
  <c r="P273" i="17"/>
  <c r="P232" i="17"/>
  <c r="O432" i="17"/>
  <c r="P211" i="17"/>
  <c r="P296" i="17"/>
  <c r="P224" i="17"/>
  <c r="O315" i="17"/>
  <c r="O224" i="17"/>
  <c r="O355" i="17"/>
  <c r="O190" i="17"/>
  <c r="P172" i="17"/>
  <c r="P87" i="17"/>
  <c r="P240" i="17"/>
  <c r="P158" i="17"/>
  <c r="P126" i="17"/>
  <c r="P94" i="17"/>
  <c r="P62" i="17"/>
  <c r="P30" i="17"/>
  <c r="O92" i="17"/>
  <c r="P362" i="17"/>
  <c r="O255" i="17"/>
  <c r="O184" i="17"/>
  <c r="P135" i="17"/>
  <c r="P90" i="17"/>
  <c r="P289" i="17"/>
  <c r="P204" i="17"/>
  <c r="O137" i="17"/>
  <c r="O105" i="17"/>
  <c r="O73" i="17"/>
  <c r="O41" i="17"/>
  <c r="O223" i="17"/>
  <c r="O248" i="17"/>
  <c r="P161" i="17"/>
  <c r="P129" i="17"/>
  <c r="P97" i="17"/>
  <c r="P65" i="17"/>
  <c r="P33" i="17"/>
  <c r="P336" i="17"/>
  <c r="P238" i="17"/>
  <c r="P91" i="17"/>
  <c r="O151" i="17"/>
  <c r="P66" i="17"/>
  <c r="O16" i="17"/>
  <c r="P115" i="17"/>
  <c r="O61" i="17"/>
  <c r="O13" i="17"/>
  <c r="O25" i="17"/>
  <c r="O314" i="17"/>
  <c r="O115" i="17"/>
  <c r="O267" i="17"/>
  <c r="P123" i="17"/>
  <c r="O48" i="17"/>
  <c r="P128" i="17"/>
  <c r="P117" i="17"/>
  <c r="O132" i="17"/>
  <c r="O144" i="17"/>
  <c r="O74" i="17"/>
  <c r="O27" i="17"/>
  <c r="O532" i="17"/>
  <c r="O59" i="17"/>
  <c r="P41" i="17"/>
  <c r="O605" i="17"/>
  <c r="O545" i="17"/>
  <c r="P468" i="17"/>
  <c r="P494" i="17"/>
  <c r="P367" i="17"/>
  <c r="O530" i="17"/>
  <c r="O428" i="17"/>
  <c r="P384" i="17"/>
  <c r="O434" i="17"/>
  <c r="O610" i="17"/>
  <c r="O514" i="17"/>
  <c r="O302" i="17"/>
  <c r="P472" i="17"/>
  <c r="O328" i="17"/>
  <c r="O372" i="17"/>
  <c r="P508" i="17"/>
  <c r="O337" i="17"/>
  <c r="P582" i="17"/>
  <c r="O219" i="17"/>
  <c r="O322" i="17"/>
  <c r="O200" i="17"/>
  <c r="P288" i="17"/>
  <c r="P207" i="17"/>
  <c r="O307" i="17"/>
  <c r="P220" i="17"/>
  <c r="O320" i="17"/>
  <c r="P186" i="17"/>
  <c r="O155" i="17"/>
  <c r="P72" i="17"/>
  <c r="P225" i="17"/>
  <c r="P156" i="17"/>
  <c r="P124" i="17"/>
  <c r="P92" i="17"/>
  <c r="P60" i="17"/>
  <c r="P28" i="17"/>
  <c r="P88" i="17"/>
  <c r="O343" i="17"/>
  <c r="P244" i="17"/>
  <c r="O169" i="17"/>
  <c r="O126" i="17"/>
  <c r="O75" i="17"/>
  <c r="P278" i="17"/>
  <c r="P189" i="17"/>
  <c r="O135" i="17"/>
  <c r="O103" i="17"/>
  <c r="O71" i="17"/>
  <c r="O39" i="17"/>
  <c r="P212" i="17"/>
  <c r="O233" i="17"/>
  <c r="P159" i="17"/>
  <c r="P127" i="17"/>
  <c r="P95" i="17"/>
  <c r="P63" i="17"/>
  <c r="P31" i="17"/>
  <c r="P306" i="17"/>
  <c r="P227" i="17"/>
  <c r="O38" i="17"/>
  <c r="O146" i="17"/>
  <c r="P61" i="17"/>
  <c r="P412" i="17"/>
  <c r="P110" i="17"/>
  <c r="P57" i="17"/>
  <c r="P55" i="17"/>
  <c r="O82" i="17"/>
  <c r="O272" i="17"/>
  <c r="O100" i="17"/>
  <c r="O246" i="17"/>
  <c r="P108" i="17"/>
  <c r="O42" i="17"/>
  <c r="P113" i="17"/>
  <c r="P102" i="17"/>
  <c r="O305" i="17"/>
  <c r="P134" i="17"/>
  <c r="P64" i="17"/>
  <c r="P24" i="17"/>
  <c r="P261" i="17"/>
  <c r="P23" i="17"/>
  <c r="P26" i="17"/>
  <c r="O503" i="17"/>
  <c r="P351" i="17"/>
  <c r="P380" i="17"/>
  <c r="P405" i="17"/>
  <c r="P420" i="17"/>
  <c r="O487" i="17"/>
  <c r="O251" i="17"/>
  <c r="O168" i="17"/>
  <c r="P291" i="17"/>
  <c r="P218" i="17"/>
  <c r="P302" i="17"/>
  <c r="O113" i="17"/>
  <c r="O34" i="17"/>
  <c r="P301" i="17"/>
  <c r="O124" i="17"/>
  <c r="P219" i="17"/>
  <c r="O90" i="17"/>
  <c r="O479" i="17"/>
  <c r="O133" i="17"/>
  <c r="P50" i="17"/>
  <c r="O208" i="17"/>
  <c r="P96" i="17"/>
  <c r="P85" i="17"/>
  <c r="P51" i="17"/>
  <c r="P27" i="17"/>
  <c r="P294" i="17"/>
  <c r="P267" i="17"/>
  <c r="P36" i="17"/>
  <c r="P142" i="17"/>
  <c r="O588" i="17"/>
  <c r="O407" i="17"/>
  <c r="P343" i="17"/>
  <c r="P368" i="17"/>
  <c r="P474" i="17"/>
  <c r="P366" i="17"/>
  <c r="O438" i="17"/>
  <c r="P215" i="17"/>
  <c r="O321" i="17"/>
  <c r="P270" i="17"/>
  <c r="P169" i="17"/>
  <c r="P255" i="17"/>
  <c r="P109" i="17"/>
  <c r="O17" i="17"/>
  <c r="P265" i="17"/>
  <c r="P120" i="17"/>
  <c r="P174" i="17"/>
  <c r="P86" i="17"/>
  <c r="O319" i="17"/>
  <c r="O118" i="17"/>
  <c r="O37" i="17"/>
  <c r="P132" i="17"/>
  <c r="O50" i="17"/>
  <c r="P70" i="17"/>
  <c r="O14" i="17"/>
  <c r="P206" i="17"/>
  <c r="P176" i="17"/>
  <c r="O193" i="17"/>
  <c r="P21" i="17"/>
  <c r="O112" i="17"/>
  <c r="P540" i="17"/>
  <c r="P379" i="17"/>
  <c r="P498" i="17"/>
  <c r="P506" i="17"/>
  <c r="P414" i="17"/>
  <c r="O274" i="17"/>
  <c r="O384" i="17"/>
  <c r="O187" i="17"/>
  <c r="P280" i="17"/>
  <c r="P252" i="17"/>
  <c r="P413" i="17"/>
  <c r="P210" i="17"/>
  <c r="O98" i="17"/>
  <c r="P13" i="17"/>
  <c r="O240" i="17"/>
  <c r="P105" i="17"/>
  <c r="O154" i="17"/>
  <c r="P69" i="17"/>
  <c r="P298" i="17"/>
  <c r="P114" i="17"/>
  <c r="O22" i="17"/>
  <c r="P17" i="17"/>
  <c r="P40" i="17"/>
  <c r="O46" i="17"/>
  <c r="O186" i="17"/>
  <c r="O178" i="17"/>
  <c r="O83" i="17"/>
  <c r="O159" i="17"/>
  <c r="P15" i="17"/>
  <c r="O330" i="17"/>
  <c r="P589" i="17"/>
  <c r="O606" i="17"/>
  <c r="P584" i="17"/>
  <c r="P402" i="17"/>
  <c r="P360" i="17"/>
  <c r="O471" i="17"/>
  <c r="P329" i="17"/>
  <c r="P168" i="17"/>
  <c r="O260" i="17"/>
  <c r="O207" i="17"/>
  <c r="P242" i="17"/>
  <c r="O180" i="17"/>
  <c r="O81" i="17"/>
  <c r="O107" i="17"/>
  <c r="O225" i="17"/>
  <c r="P71" i="17"/>
  <c r="P150" i="17"/>
  <c r="O58" i="17"/>
  <c r="P223" i="17"/>
  <c r="O101" i="17"/>
  <c r="P18" i="17"/>
  <c r="P438" i="17"/>
  <c r="P25" i="17"/>
  <c r="O40" i="17"/>
  <c r="P251" i="17"/>
  <c r="O149" i="17"/>
  <c r="O201" i="17"/>
  <c r="O129" i="17"/>
  <c r="O36" i="17"/>
  <c r="P162" i="17"/>
  <c r="O476" i="17"/>
  <c r="P478" i="17"/>
  <c r="P502" i="17"/>
  <c r="O361" i="17"/>
  <c r="O294" i="17"/>
  <c r="O442" i="17"/>
  <c r="O293" i="17"/>
  <c r="P308" i="17"/>
  <c r="P239" i="17"/>
  <c r="P188" i="17"/>
  <c r="P151" i="17"/>
  <c r="O162" i="17"/>
  <c r="P77" i="17"/>
  <c r="O77" i="17"/>
  <c r="O210" i="17"/>
  <c r="P56" i="17"/>
  <c r="P133" i="17"/>
  <c r="P54" i="17"/>
  <c r="P208" i="17"/>
  <c r="O86" i="17"/>
  <c r="P453" i="17"/>
  <c r="P282" i="17"/>
  <c r="P314" i="17"/>
  <c r="O28" i="17"/>
  <c r="O167" i="17"/>
  <c r="P93" i="17"/>
  <c r="P157" i="17"/>
  <c r="O114" i="17"/>
  <c r="O191" i="17"/>
  <c r="O102" i="17"/>
  <c r="O567" i="17"/>
  <c r="O395" i="17"/>
  <c r="O424" i="17"/>
  <c r="P334" i="17"/>
  <c r="O286" i="17"/>
  <c r="O350" i="17"/>
  <c r="O285" i="17"/>
  <c r="O247" i="17"/>
  <c r="O196" i="17"/>
  <c r="P459" i="17"/>
  <c r="O123" i="17"/>
  <c r="O145" i="17"/>
  <c r="O66" i="17"/>
  <c r="O62" i="17"/>
  <c r="O158" i="17"/>
  <c r="O323" i="17"/>
  <c r="O122" i="17"/>
  <c r="P37" i="17"/>
  <c r="P178" i="17"/>
  <c r="P82" i="17"/>
  <c r="P297" i="17"/>
  <c r="P197" i="17"/>
  <c r="P182" i="17"/>
  <c r="P44" i="17"/>
  <c r="P145" i="17"/>
  <c r="P78" i="17"/>
  <c r="O87" i="17"/>
  <c r="O89" i="17"/>
  <c r="O153" i="17"/>
  <c r="O529" i="17"/>
  <c r="O383" i="17"/>
  <c r="O412" i="17"/>
  <c r="O548" i="17"/>
  <c r="P274" i="17"/>
  <c r="P327" i="17"/>
  <c r="P409" i="17"/>
  <c r="O232" i="17"/>
  <c r="P175" i="17"/>
  <c r="O254" i="17"/>
  <c r="P104" i="17"/>
  <c r="P141" i="17"/>
  <c r="O49" i="17"/>
  <c r="P490" i="17"/>
  <c r="P154" i="17"/>
  <c r="O265" i="17"/>
  <c r="P118" i="17"/>
  <c r="O26" i="17"/>
  <c r="O150" i="17"/>
  <c r="O69" i="17"/>
  <c r="O275" i="17"/>
  <c r="O136" i="17"/>
  <c r="P140" i="17"/>
  <c r="O528" i="17"/>
  <c r="O85" i="17"/>
  <c r="O63" i="17"/>
  <c r="O44" i="17"/>
  <c r="O53" i="17"/>
  <c r="P98" i="17"/>
  <c r="O183" i="17"/>
  <c r="O244" i="17"/>
  <c r="P76" i="17"/>
  <c r="P598" i="17"/>
  <c r="P429" i="17"/>
  <c r="P101" i="17"/>
  <c r="O57" i="17"/>
  <c r="P363" i="17"/>
  <c r="P233" i="17"/>
  <c r="P22" i="17"/>
  <c r="O21" i="17"/>
  <c r="O400" i="17"/>
  <c r="P400" i="17"/>
  <c r="P146" i="17"/>
  <c r="O23" i="17"/>
  <c r="P443" i="17"/>
  <c r="O130" i="17"/>
  <c r="O54" i="17"/>
  <c r="P42" i="17"/>
  <c r="P455" i="17"/>
  <c r="P45" i="17"/>
  <c r="O263" i="17"/>
  <c r="P293" i="17"/>
  <c r="P315" i="17"/>
  <c r="O324" i="17"/>
  <c r="P111" i="17"/>
  <c r="O335" i="17"/>
  <c r="O139" i="17"/>
  <c r="P100" i="17"/>
  <c r="Q17" i="17"/>
  <c r="Q13" i="17"/>
  <c r="R13" i="17"/>
  <c r="Q226" i="17"/>
  <c r="R199" i="17"/>
  <c r="R453" i="17"/>
  <c r="Q114" i="17"/>
  <c r="R159" i="17"/>
  <c r="Q167" i="17"/>
  <c r="R28" i="17"/>
  <c r="Q494" i="17"/>
  <c r="Q477" i="17"/>
  <c r="Q472" i="17"/>
  <c r="Q319" i="17"/>
  <c r="R355" i="17"/>
  <c r="Q238" i="17"/>
  <c r="Q359" i="17"/>
  <c r="R27" i="17"/>
  <c r="R248" i="17"/>
  <c r="R515" i="17"/>
  <c r="R482" i="17"/>
  <c r="R481" i="17"/>
  <c r="Q98" i="17"/>
  <c r="Q427" i="17"/>
  <c r="Q42" i="17"/>
  <c r="R87" i="17"/>
  <c r="Q47" i="17"/>
  <c r="R387" i="17"/>
  <c r="R326" i="17"/>
  <c r="R325" i="17"/>
  <c r="R520" i="17"/>
  <c r="Q122" i="17"/>
  <c r="Q462" i="17"/>
  <c r="Q134" i="17"/>
  <c r="R179" i="17"/>
  <c r="Q195" i="17"/>
  <c r="R64" i="17"/>
  <c r="Q438" i="17"/>
  <c r="Q433" i="17"/>
  <c r="Q404" i="17"/>
  <c r="R283" i="17"/>
  <c r="R239" i="17"/>
  <c r="R606" i="17"/>
  <c r="Q424" i="17"/>
  <c r="Q190" i="17"/>
  <c r="R235" i="17"/>
  <c r="Q267" i="17"/>
  <c r="R160" i="17"/>
  <c r="Q298" i="17"/>
  <c r="Q285" i="17"/>
  <c r="R609" i="17"/>
  <c r="R79" i="17"/>
  <c r="R135" i="17"/>
  <c r="Q297" i="17"/>
  <c r="Q246" i="17"/>
  <c r="Q423" i="17"/>
  <c r="R35" i="17"/>
  <c r="R264" i="17"/>
  <c r="R487" i="17"/>
  <c r="R474" i="17"/>
  <c r="R461" i="17"/>
  <c r="Q200" i="17"/>
  <c r="R448" i="17"/>
  <c r="Q248" i="17"/>
  <c r="R576" i="17"/>
  <c r="Q499" i="17"/>
  <c r="Q155" i="17"/>
  <c r="R128" i="17"/>
  <c r="R503" i="17"/>
  <c r="Q566" i="17"/>
  <c r="Q313" i="17"/>
  <c r="R389" i="17"/>
  <c r="Q464" i="17"/>
  <c r="R536" i="17"/>
  <c r="Q407" i="17"/>
  <c r="Q173" i="17"/>
  <c r="Q151" i="17"/>
  <c r="R124" i="17"/>
  <c r="R511" i="17"/>
  <c r="Q578" i="17"/>
  <c r="Q317" i="17"/>
  <c r="R393" i="17"/>
  <c r="Q468" i="17"/>
  <c r="R544" i="17"/>
  <c r="Q311" i="17"/>
  <c r="Q169" i="17"/>
  <c r="Q180" i="17"/>
  <c r="R77" i="17"/>
  <c r="Q34" i="17"/>
  <c r="R71" i="17"/>
  <c r="Q560" i="17"/>
  <c r="Q82" i="17"/>
  <c r="R127" i="17"/>
  <c r="Q127" i="17"/>
  <c r="R315" i="17"/>
  <c r="Q562" i="17"/>
  <c r="Q561" i="17"/>
  <c r="Q592" i="17"/>
  <c r="Q450" i="17"/>
  <c r="Q394" i="17"/>
  <c r="Q206" i="17"/>
  <c r="R251" i="17"/>
  <c r="Q419" i="17"/>
  <c r="R192" i="17"/>
  <c r="R587" i="17"/>
  <c r="R574" i="17"/>
  <c r="R569" i="17"/>
  <c r="R207" i="17"/>
  <c r="Q266" i="17"/>
  <c r="Q583" i="17"/>
  <c r="R55" i="17"/>
  <c r="Q511" i="17"/>
  <c r="R447" i="17"/>
  <c r="R418" i="17"/>
  <c r="R417" i="17"/>
  <c r="R201" i="17"/>
  <c r="Q26" i="17"/>
  <c r="R538" i="17"/>
  <c r="Q102" i="17"/>
  <c r="R147" i="17"/>
  <c r="Q147" i="17"/>
  <c r="R279" i="17"/>
  <c r="Q514" i="17"/>
  <c r="Q505" i="17"/>
  <c r="Q500" i="17"/>
  <c r="R471" i="17"/>
  <c r="Q271" i="17"/>
  <c r="Q349" i="17"/>
  <c r="Q504" i="17"/>
  <c r="Q158" i="17"/>
  <c r="R203" i="17"/>
  <c r="Q227" i="17"/>
  <c r="R104" i="17"/>
  <c r="Q374" i="17"/>
  <c r="Q361" i="17"/>
  <c r="Q344" i="17"/>
  <c r="Q143" i="17"/>
  <c r="Q263" i="17"/>
  <c r="Q541" i="17"/>
  <c r="Q214" i="17"/>
  <c r="R259" i="17"/>
  <c r="Q483" i="17"/>
  <c r="R200" i="17"/>
  <c r="R579" i="17"/>
  <c r="R550" i="17"/>
  <c r="R537" i="17"/>
  <c r="Q261" i="17"/>
  <c r="Q252" i="17"/>
  <c r="R205" i="17"/>
  <c r="Q152" i="17"/>
  <c r="Q69" i="17"/>
  <c r="Q115" i="17"/>
  <c r="R88" i="17"/>
  <c r="R551" i="17"/>
  <c r="R286" i="17"/>
  <c r="Q369" i="17"/>
  <c r="R441" i="17"/>
  <c r="Q508" i="17"/>
  <c r="R584" i="17"/>
  <c r="R241" i="17"/>
  <c r="Q109" i="17"/>
  <c r="Q111" i="17"/>
  <c r="R84" i="17"/>
  <c r="R555" i="17"/>
  <c r="R290" i="17"/>
  <c r="Q373" i="17"/>
  <c r="R449" i="17"/>
  <c r="Q520" i="17"/>
  <c r="R588" i="17"/>
  <c r="R237" i="17"/>
  <c r="Q105" i="17"/>
  <c r="Q124" i="17"/>
  <c r="R21" i="17"/>
  <c r="R111" i="17"/>
  <c r="Q175" i="17"/>
  <c r="Q491" i="17"/>
  <c r="Q50" i="17"/>
  <c r="R95" i="17"/>
  <c r="Q63" i="17"/>
  <c r="R363" i="17"/>
  <c r="R318" i="17"/>
  <c r="R313" i="17"/>
  <c r="R424" i="17"/>
  <c r="Q218" i="17"/>
  <c r="R378" i="17"/>
  <c r="Q174" i="17"/>
  <c r="R219" i="17"/>
  <c r="Q243" i="17"/>
  <c r="R136" i="17"/>
  <c r="Q338" i="17"/>
  <c r="Q329" i="17"/>
  <c r="Q304" i="17"/>
  <c r="Q231" i="17"/>
  <c r="Q234" i="17"/>
  <c r="Q327" i="17"/>
  <c r="R23" i="17"/>
  <c r="R244" i="17"/>
  <c r="R523" i="17"/>
  <c r="R506" i="17"/>
  <c r="R485" i="17"/>
  <c r="Q194" i="17"/>
  <c r="R231" i="17"/>
  <c r="Q348" i="17"/>
  <c r="Q70" i="17"/>
  <c r="R115" i="17"/>
  <c r="Q99" i="17"/>
  <c r="R343" i="17"/>
  <c r="Q598" i="17"/>
  <c r="Q597" i="17"/>
  <c r="R324" i="17"/>
  <c r="Q610" i="17"/>
  <c r="Q39" i="17"/>
  <c r="Q509" i="17"/>
  <c r="R344" i="17"/>
  <c r="Q126" i="17"/>
  <c r="R171" i="17"/>
  <c r="Q179" i="17"/>
  <c r="R56" i="17"/>
  <c r="Q458" i="17"/>
  <c r="Q445" i="17"/>
  <c r="Q436" i="17"/>
  <c r="R116" i="17"/>
  <c r="Q135" i="17"/>
  <c r="R281" i="17"/>
  <c r="Q182" i="17"/>
  <c r="R227" i="17"/>
  <c r="Q259" i="17"/>
  <c r="R152" i="17"/>
  <c r="Q306" i="17"/>
  <c r="Q305" i="17"/>
  <c r="Q284" i="17"/>
  <c r="R145" i="17"/>
  <c r="Q471" i="17"/>
  <c r="Q193" i="17"/>
  <c r="R253" i="17"/>
  <c r="Q65" i="17"/>
  <c r="Q75" i="17"/>
  <c r="R40" i="17"/>
  <c r="R607" i="17"/>
  <c r="R338" i="17"/>
  <c r="Q413" i="17"/>
  <c r="R489" i="17"/>
  <c r="Q564" i="17"/>
  <c r="Q379" i="17"/>
  <c r="R189" i="17"/>
  <c r="Q45" i="17"/>
  <c r="Q71" i="17"/>
  <c r="R36" i="17"/>
  <c r="R611" i="17"/>
  <c r="R346" i="17"/>
  <c r="Q425" i="17"/>
  <c r="R493" i="17"/>
  <c r="Q568" i="17"/>
  <c r="Q347" i="17"/>
  <c r="R181" i="17"/>
  <c r="Q41" i="17"/>
  <c r="Q72" i="17"/>
  <c r="Q339" i="17"/>
  <c r="Q191" i="17"/>
  <c r="R220" i="17"/>
  <c r="R274" i="17"/>
  <c r="Q18" i="17"/>
  <c r="R63" i="17"/>
  <c r="Q575" i="17"/>
  <c r="R439" i="17"/>
  <c r="R402" i="17"/>
  <c r="R385" i="17"/>
  <c r="Q52" i="17"/>
  <c r="Q455" i="17"/>
  <c r="Q377" i="17"/>
  <c r="Q142" i="17"/>
  <c r="R187" i="17"/>
  <c r="Q203" i="17"/>
  <c r="R72" i="17"/>
  <c r="Q406" i="17"/>
  <c r="Q405" i="17"/>
  <c r="Q392" i="17"/>
  <c r="R395" i="17"/>
  <c r="Q202" i="17"/>
  <c r="R247" i="17"/>
  <c r="Q387" i="17"/>
  <c r="R188" i="17"/>
  <c r="R599" i="17"/>
  <c r="R578" i="17"/>
  <c r="R577" i="17"/>
  <c r="Q519" i="17"/>
  <c r="R103" i="17"/>
  <c r="Q395" i="17"/>
  <c r="Q38" i="17"/>
  <c r="R83" i="17"/>
  <c r="Q43" i="17"/>
  <c r="R391" i="17"/>
  <c r="R350" i="17"/>
  <c r="R329" i="17"/>
  <c r="R524" i="17"/>
  <c r="R518" i="17"/>
  <c r="R60" i="17"/>
  <c r="Q601" i="17"/>
  <c r="Q539" i="17"/>
  <c r="Q94" i="17"/>
  <c r="R139" i="17"/>
  <c r="Q139" i="17"/>
  <c r="R295" i="17"/>
  <c r="Q546" i="17"/>
  <c r="Q533" i="17"/>
  <c r="Q552" i="17"/>
  <c r="Q362" i="17"/>
  <c r="Q275" i="17"/>
  <c r="R525" i="17"/>
  <c r="Q150" i="17"/>
  <c r="R195" i="17"/>
  <c r="Q211" i="17"/>
  <c r="R96" i="17"/>
  <c r="Q398" i="17"/>
  <c r="Q393" i="17"/>
  <c r="Q372" i="17"/>
  <c r="R580" i="17"/>
  <c r="Q197" i="17"/>
  <c r="Q257" i="17"/>
  <c r="R49" i="17"/>
  <c r="Q611" i="17"/>
  <c r="Q35" i="17"/>
  <c r="R287" i="17"/>
  <c r="Q310" i="17"/>
  <c r="R386" i="17"/>
  <c r="Q469" i="17"/>
  <c r="R545" i="17"/>
  <c r="R280" i="17"/>
  <c r="Q244" i="17"/>
  <c r="R141" i="17"/>
  <c r="Q579" i="17"/>
  <c r="Q31" i="17"/>
  <c r="R291" i="17"/>
  <c r="Q322" i="17"/>
  <c r="R390" i="17"/>
  <c r="Q473" i="17"/>
  <c r="R549" i="17"/>
  <c r="R288" i="17"/>
  <c r="Q232" i="17"/>
  <c r="R137" i="17"/>
  <c r="R492" i="17"/>
  <c r="Q24" i="17"/>
  <c r="Q229" i="17"/>
  <c r="R180" i="17"/>
  <c r="R299" i="17"/>
  <c r="Q242" i="17"/>
  <c r="Q391" i="17"/>
  <c r="R31" i="17"/>
  <c r="R260" i="17"/>
  <c r="R491" i="17"/>
  <c r="R478" i="17"/>
  <c r="R473" i="17"/>
  <c r="Q363" i="17"/>
  <c r="R167" i="17"/>
  <c r="R365" i="17"/>
  <c r="Q110" i="17"/>
  <c r="R155" i="17"/>
  <c r="Q163" i="17"/>
  <c r="R24" i="17"/>
  <c r="Q498" i="17"/>
  <c r="Q497" i="17"/>
  <c r="Q488" i="17"/>
  <c r="Q186" i="17"/>
  <c r="Q170" i="17"/>
  <c r="R215" i="17"/>
  <c r="Q239" i="17"/>
  <c r="R132" i="17"/>
  <c r="Q342" i="17"/>
  <c r="Q341" i="17"/>
  <c r="Q316" i="17"/>
  <c r="R47" i="17"/>
  <c r="Q223" i="17"/>
  <c r="Q262" i="17"/>
  <c r="Q551" i="17"/>
  <c r="R51" i="17"/>
  <c r="Q351" i="17"/>
  <c r="R451" i="17"/>
  <c r="R422" i="17"/>
  <c r="R421" i="17"/>
  <c r="R149" i="17"/>
  <c r="Q441" i="17"/>
  <c r="R347" i="17"/>
  <c r="R353" i="17"/>
  <c r="Q587" i="17"/>
  <c r="Q62" i="17"/>
  <c r="R107" i="17"/>
  <c r="Q83" i="17"/>
  <c r="R351" i="17"/>
  <c r="R282" i="17"/>
  <c r="Q605" i="17"/>
  <c r="R364" i="17"/>
  <c r="Q555" i="17"/>
  <c r="R52" i="17"/>
  <c r="Q280" i="17"/>
  <c r="Q118" i="17"/>
  <c r="R163" i="17"/>
  <c r="Q171" i="17"/>
  <c r="R32" i="17"/>
  <c r="Q482" i="17"/>
  <c r="Q465" i="17"/>
  <c r="Q456" i="17"/>
  <c r="Q92" i="17"/>
  <c r="Q444" i="17"/>
  <c r="Q439" i="17"/>
  <c r="Q129" i="17"/>
  <c r="Q355" i="17"/>
  <c r="Q415" i="17"/>
  <c r="R327" i="17"/>
  <c r="Q366" i="17"/>
  <c r="R442" i="17"/>
  <c r="Q521" i="17"/>
  <c r="R589" i="17"/>
  <c r="R328" i="17"/>
  <c r="Q188" i="17"/>
  <c r="R85" i="17"/>
  <c r="Q323" i="17"/>
  <c r="Q383" i="17"/>
  <c r="R331" i="17"/>
  <c r="Q370" i="17"/>
  <c r="R446" i="17"/>
  <c r="Q529" i="17"/>
  <c r="R601" i="17"/>
  <c r="R332" i="17"/>
  <c r="Q184" i="17"/>
  <c r="R81" i="17"/>
  <c r="R548" i="17"/>
  <c r="R276" i="17"/>
  <c r="Q165" i="17"/>
  <c r="Q290" i="17"/>
  <c r="Q302" i="17"/>
  <c r="Q210" i="17"/>
  <c r="R255" i="17"/>
  <c r="Q451" i="17"/>
  <c r="R196" i="17"/>
  <c r="R583" i="17"/>
  <c r="R570" i="17"/>
  <c r="R553" i="17"/>
  <c r="Q66" i="17"/>
  <c r="Q515" i="17"/>
  <c r="R376" i="17"/>
  <c r="Q78" i="17"/>
  <c r="R123" i="17"/>
  <c r="Q107" i="17"/>
  <c r="R319" i="17"/>
  <c r="Q586" i="17"/>
  <c r="Q565" i="17"/>
  <c r="Q600" i="17"/>
  <c r="R39" i="17"/>
  <c r="Q138" i="17"/>
  <c r="R183" i="17"/>
  <c r="Q199" i="17"/>
  <c r="R68" i="17"/>
  <c r="Q430" i="17"/>
  <c r="Q409" i="17"/>
  <c r="Q400" i="17"/>
  <c r="R228" i="17"/>
  <c r="Q15" i="17"/>
  <c r="Q230" i="17"/>
  <c r="Q295" i="17"/>
  <c r="R19" i="17"/>
  <c r="R232" i="17"/>
  <c r="R535" i="17"/>
  <c r="R514" i="17"/>
  <c r="R505" i="17"/>
  <c r="Q130" i="17"/>
  <c r="R585" i="17"/>
  <c r="R543" i="17"/>
  <c r="R425" i="17"/>
  <c r="Q331" i="17"/>
  <c r="Q30" i="17"/>
  <c r="R75" i="17"/>
  <c r="Q19" i="17"/>
  <c r="R407" i="17"/>
  <c r="R370" i="17"/>
  <c r="R361" i="17"/>
  <c r="Q443" i="17"/>
  <c r="Q154" i="17"/>
  <c r="R567" i="17"/>
  <c r="Q192" i="17"/>
  <c r="Q86" i="17"/>
  <c r="R131" i="17"/>
  <c r="Q131" i="17"/>
  <c r="R311" i="17"/>
  <c r="Q558" i="17"/>
  <c r="Q553" i="17"/>
  <c r="Q572" i="17"/>
  <c r="R105" i="17"/>
  <c r="Q536" i="17"/>
  <c r="R93" i="17"/>
  <c r="Q148" i="17"/>
  <c r="Q251" i="17"/>
  <c r="R256" i="17"/>
  <c r="R375" i="17"/>
  <c r="Q418" i="17"/>
  <c r="R486" i="17"/>
  <c r="Q569" i="17"/>
  <c r="Q308" i="17"/>
  <c r="R384" i="17"/>
  <c r="Q136" i="17"/>
  <c r="R41" i="17"/>
  <c r="Q247" i="17"/>
  <c r="R252" i="17"/>
  <c r="R379" i="17"/>
  <c r="Q426" i="17"/>
  <c r="R498" i="17"/>
  <c r="Q573" i="17"/>
  <c r="Q312" i="17"/>
  <c r="R388" i="17"/>
  <c r="Q128" i="17"/>
  <c r="R29" i="17"/>
  <c r="R600" i="17"/>
  <c r="R233" i="17"/>
  <c r="Q101" i="17"/>
  <c r="Q250" i="17"/>
  <c r="R294" i="17"/>
  <c r="Q178" i="17"/>
  <c r="R223" i="17"/>
  <c r="Q255" i="17"/>
  <c r="R148" i="17"/>
  <c r="Q330" i="17"/>
  <c r="Q309" i="17"/>
  <c r="Q296" i="17"/>
  <c r="R175" i="17"/>
  <c r="Q79" i="17"/>
  <c r="Q459" i="17"/>
  <c r="Q46" i="17"/>
  <c r="R91" i="17"/>
  <c r="Q51" i="17"/>
  <c r="R383" i="17"/>
  <c r="R322" i="17"/>
  <c r="R321" i="17"/>
  <c r="R480" i="17"/>
  <c r="R411" i="17"/>
  <c r="Q106" i="17"/>
  <c r="R151" i="17"/>
  <c r="Q159" i="17"/>
  <c r="R20" i="17"/>
  <c r="Q502" i="17"/>
  <c r="Q501" i="17"/>
  <c r="Q496" i="17"/>
  <c r="R358" i="17"/>
  <c r="R100" i="17"/>
  <c r="Q198" i="17"/>
  <c r="R243" i="17"/>
  <c r="Q291" i="17"/>
  <c r="R184" i="17"/>
  <c r="Q274" i="17"/>
  <c r="R582" i="17"/>
  <c r="R581" i="17"/>
  <c r="R143" i="17"/>
  <c r="Q435" i="17"/>
  <c r="Q530" i="17"/>
  <c r="R517" i="17"/>
  <c r="Q254" i="17"/>
  <c r="Q487" i="17"/>
  <c r="R43" i="17"/>
  <c r="Q287" i="17"/>
  <c r="R479" i="17"/>
  <c r="R450" i="17"/>
  <c r="R429" i="17"/>
  <c r="Q162" i="17"/>
  <c r="Q58" i="17"/>
  <c r="Q554" i="17"/>
  <c r="Q523" i="17"/>
  <c r="Q54" i="17"/>
  <c r="R99" i="17"/>
  <c r="Q67" i="17"/>
  <c r="R359" i="17"/>
  <c r="R314" i="17"/>
  <c r="R297" i="17"/>
  <c r="R420" i="17"/>
  <c r="Q528" i="17"/>
  <c r="R320" i="17"/>
  <c r="Q133" i="17"/>
  <c r="R245" i="17"/>
  <c r="Q219" i="17"/>
  <c r="R216" i="17"/>
  <c r="R415" i="17"/>
  <c r="Q466" i="17"/>
  <c r="R542" i="17"/>
  <c r="R289" i="17"/>
  <c r="Q360" i="17"/>
  <c r="R428" i="17"/>
  <c r="Q88" i="17"/>
  <c r="Q403" i="17"/>
  <c r="Q215" i="17"/>
  <c r="R212" i="17"/>
  <c r="R419" i="17"/>
  <c r="Q470" i="17"/>
  <c r="R546" i="17"/>
  <c r="R293" i="17"/>
  <c r="Q368" i="17"/>
  <c r="R440" i="17"/>
  <c r="Q84" i="17"/>
  <c r="Q371" i="17"/>
  <c r="Q315" i="17"/>
  <c r="R177" i="17"/>
  <c r="Q37" i="17"/>
  <c r="Q90" i="17"/>
  <c r="Q380" i="17"/>
  <c r="R414" i="17"/>
  <c r="Q594" i="17"/>
  <c r="R120" i="17"/>
  <c r="Q222" i="17"/>
  <c r="R263" i="17"/>
  <c r="R377" i="17"/>
  <c r="R455" i="17"/>
  <c r="Q183" i="17"/>
  <c r="Q28" i="17"/>
  <c r="Q278" i="17"/>
  <c r="R354" i="17"/>
  <c r="Q437" i="17"/>
  <c r="R513" i="17"/>
  <c r="Q584" i="17"/>
  <c r="Q283" i="17"/>
  <c r="R173" i="17"/>
  <c r="Q33" i="17"/>
  <c r="Q264" i="17"/>
  <c r="R169" i="17"/>
  <c r="Q596" i="17"/>
  <c r="Q256" i="17"/>
  <c r="R157" i="17"/>
  <c r="Q123" i="17"/>
  <c r="R176" i="17"/>
  <c r="R367" i="17"/>
  <c r="Q282" i="17"/>
  <c r="Q538" i="17"/>
  <c r="R458" i="17"/>
  <c r="Q385" i="17"/>
  <c r="R305" i="17"/>
  <c r="R561" i="17"/>
  <c r="Q480" i="17"/>
  <c r="R400" i="17"/>
  <c r="Q272" i="17"/>
  <c r="Q16" i="17"/>
  <c r="R69" i="17"/>
  <c r="Q125" i="17"/>
  <c r="Q447" i="17"/>
  <c r="R44" i="17"/>
  <c r="R499" i="17"/>
  <c r="Q414" i="17"/>
  <c r="R334" i="17"/>
  <c r="R590" i="17"/>
  <c r="Q517" i="17"/>
  <c r="R437" i="17"/>
  <c r="Q356" i="17"/>
  <c r="Q612" i="17"/>
  <c r="R532" i="17"/>
  <c r="Q140" i="17"/>
  <c r="R193" i="17"/>
  <c r="Q249" i="17"/>
  <c r="Q457" i="17"/>
  <c r="R15" i="17"/>
  <c r="R397" i="17"/>
  <c r="Q585" i="17"/>
  <c r="Q354" i="17"/>
  <c r="R267" i="17"/>
  <c r="R466" i="17"/>
  <c r="Q96" i="17"/>
  <c r="Q522" i="17"/>
  <c r="R164" i="17"/>
  <c r="Q233" i="17"/>
  <c r="Q334" i="17"/>
  <c r="R410" i="17"/>
  <c r="Q489" i="17"/>
  <c r="R557" i="17"/>
  <c r="R296" i="17"/>
  <c r="Q220" i="17"/>
  <c r="R117" i="17"/>
  <c r="R300" i="17"/>
  <c r="Q216" i="17"/>
  <c r="R113" i="17"/>
  <c r="R312" i="17"/>
  <c r="Q212" i="17"/>
  <c r="R109" i="17"/>
  <c r="Q91" i="17"/>
  <c r="R144" i="17"/>
  <c r="R399" i="17"/>
  <c r="Q314" i="17"/>
  <c r="Q570" i="17"/>
  <c r="R490" i="17"/>
  <c r="Q417" i="17"/>
  <c r="R337" i="17"/>
  <c r="R593" i="17"/>
  <c r="Q512" i="17"/>
  <c r="R432" i="17"/>
  <c r="Q240" i="17"/>
  <c r="Q375" i="17"/>
  <c r="R37" i="17"/>
  <c r="Q93" i="17"/>
  <c r="Q146" i="17"/>
  <c r="R156" i="17"/>
  <c r="Q40" i="17"/>
  <c r="Q604" i="17"/>
  <c r="Q345" i="17"/>
  <c r="Q547" i="17"/>
  <c r="Q277" i="17"/>
  <c r="R292" i="17"/>
  <c r="R594" i="17"/>
  <c r="R459" i="17"/>
  <c r="Q224" i="17"/>
  <c r="Q386" i="17"/>
  <c r="R454" i="17"/>
  <c r="Q537" i="17"/>
  <c r="R613" i="17"/>
  <c r="R352" i="17"/>
  <c r="Q168" i="17"/>
  <c r="R73" i="17"/>
  <c r="R356" i="17"/>
  <c r="Q160" i="17"/>
  <c r="R61" i="17"/>
  <c r="R360" i="17"/>
  <c r="Q156" i="17"/>
  <c r="R53" i="17"/>
  <c r="Q59" i="17"/>
  <c r="R112" i="17"/>
  <c r="R431" i="17"/>
  <c r="Q346" i="17"/>
  <c r="Q602" i="17"/>
  <c r="R522" i="17"/>
  <c r="Q449" i="17"/>
  <c r="R369" i="17"/>
  <c r="Q288" i="17"/>
  <c r="Q544" i="17"/>
  <c r="R464" i="17"/>
  <c r="Q208" i="17"/>
  <c r="R261" i="17"/>
  <c r="Q563" i="17"/>
  <c r="Q61" i="17"/>
  <c r="R236" i="17"/>
  <c r="R307" i="17"/>
  <c r="R563" i="17"/>
  <c r="Q478" i="17"/>
  <c r="R398" i="17"/>
  <c r="Q325" i="17"/>
  <c r="Q581" i="17"/>
  <c r="R501" i="17"/>
  <c r="Q420" i="17"/>
  <c r="R340" i="17"/>
  <c r="R596" i="17"/>
  <c r="Q76" i="17"/>
  <c r="R129" i="17"/>
  <c r="Q185" i="17"/>
  <c r="R191" i="17"/>
  <c r="Q270" i="17"/>
  <c r="Q440" i="17"/>
  <c r="Q299" i="17"/>
  <c r="Q336" i="17"/>
  <c r="R224" i="17"/>
  <c r="Q22" i="17"/>
  <c r="R472" i="17"/>
  <c r="R333" i="17"/>
  <c r="Q526" i="17"/>
  <c r="R125" i="17"/>
  <c r="Q434" i="17"/>
  <c r="R510" i="17"/>
  <c r="Q593" i="17"/>
  <c r="Q328" i="17"/>
  <c r="R396" i="17"/>
  <c r="Q120" i="17"/>
  <c r="R17" i="17"/>
  <c r="R408" i="17"/>
  <c r="Q116" i="17"/>
  <c r="Q269" i="17"/>
  <c r="R416" i="17"/>
  <c r="Q104" i="17"/>
  <c r="Q595" i="17"/>
  <c r="Q27" i="17"/>
  <c r="R80" i="17"/>
  <c r="R463" i="17"/>
  <c r="Q378" i="17"/>
  <c r="R298" i="17"/>
  <c r="R554" i="17"/>
  <c r="Q481" i="17"/>
  <c r="R401" i="17"/>
  <c r="Q320" i="17"/>
  <c r="Q576" i="17"/>
  <c r="R496" i="17"/>
  <c r="Q176" i="17"/>
  <c r="R229" i="17"/>
  <c r="Q307" i="17"/>
  <c r="Q29" i="17"/>
  <c r="R204" i="17"/>
  <c r="R339" i="17"/>
  <c r="R595" i="17"/>
  <c r="Q510" i="17"/>
  <c r="R430" i="17"/>
  <c r="Q357" i="17"/>
  <c r="Q613" i="17"/>
  <c r="R533" i="17"/>
  <c r="Q452" i="17"/>
  <c r="R372" i="17"/>
  <c r="Q475" i="17"/>
  <c r="Q44" i="17"/>
  <c r="R97" i="17"/>
  <c r="Q153" i="17"/>
  <c r="Q207" i="17"/>
  <c r="Q14" i="17"/>
  <c r="Q74" i="17"/>
  <c r="R483" i="17"/>
  <c r="Q95" i="17"/>
  <c r="R547" i="17"/>
  <c r="R67" i="17"/>
  <c r="R392" i="17"/>
  <c r="Q408" i="17"/>
  <c r="R602" i="17"/>
  <c r="R427" i="17"/>
  <c r="Q490" i="17"/>
  <c r="R562" i="17"/>
  <c r="R301" i="17"/>
  <c r="Q376" i="17"/>
  <c r="R452" i="17"/>
  <c r="Q64" i="17"/>
  <c r="Q276" i="17"/>
  <c r="R456" i="17"/>
  <c r="Q60" i="17"/>
  <c r="Q205" i="17"/>
  <c r="R460" i="17"/>
  <c r="Q56" i="17"/>
  <c r="Q265" i="17"/>
  <c r="Q479" i="17"/>
  <c r="R48" i="17"/>
  <c r="R495" i="17"/>
  <c r="Q410" i="17"/>
  <c r="R330" i="17"/>
  <c r="R586" i="17"/>
  <c r="Q513" i="17"/>
  <c r="R433" i="17"/>
  <c r="Q352" i="17"/>
  <c r="Q608" i="17"/>
  <c r="R528" i="17"/>
  <c r="Q144" i="17"/>
  <c r="R197" i="17"/>
  <c r="Q253" i="17"/>
  <c r="Q119" i="17"/>
  <c r="R172" i="17"/>
  <c r="R371" i="17"/>
  <c r="Q286" i="17"/>
  <c r="Q542" i="17"/>
  <c r="R462" i="17"/>
  <c r="Q389" i="17"/>
  <c r="R309" i="17"/>
  <c r="R565" i="17"/>
  <c r="Q484" i="17"/>
  <c r="R404" i="17"/>
  <c r="Q268" i="17"/>
  <c r="Q599" i="17"/>
  <c r="R65" i="17"/>
  <c r="Q121" i="17"/>
  <c r="R92" i="17"/>
  <c r="R59" i="17"/>
  <c r="R119" i="17"/>
  <c r="Q166" i="17"/>
  <c r="Q258" i="17"/>
  <c r="R530" i="17"/>
  <c r="Q607" i="17"/>
  <c r="R45" i="17"/>
  <c r="R484" i="17"/>
  <c r="R345" i="17"/>
  <c r="R475" i="17"/>
  <c r="Q534" i="17"/>
  <c r="R610" i="17"/>
  <c r="R357" i="17"/>
  <c r="Q432" i="17"/>
  <c r="R504" i="17"/>
  <c r="Q20" i="17"/>
  <c r="Q225" i="17"/>
  <c r="R512" i="17"/>
  <c r="Q567" i="17"/>
  <c r="Q141" i="17"/>
  <c r="R516" i="17"/>
  <c r="Q503" i="17"/>
  <c r="Q201" i="17"/>
  <c r="R272" i="17"/>
  <c r="R16" i="17"/>
  <c r="R527" i="17"/>
  <c r="Q442" i="17"/>
  <c r="R362" i="17"/>
  <c r="Q289" i="17"/>
  <c r="Q545" i="17"/>
  <c r="R465" i="17"/>
  <c r="Q384" i="17"/>
  <c r="R304" i="17"/>
  <c r="R560" i="17"/>
  <c r="Q112" i="17"/>
  <c r="R165" i="17"/>
  <c r="Q221" i="17"/>
  <c r="Q87" i="17"/>
  <c r="R140" i="17"/>
  <c r="R403" i="17"/>
  <c r="Q318" i="17"/>
  <c r="Q574" i="17"/>
  <c r="R494" i="17"/>
  <c r="Q421" i="17"/>
  <c r="R341" i="17"/>
  <c r="R597" i="17"/>
  <c r="Q516" i="17"/>
  <c r="R436" i="17"/>
  <c r="Q236" i="17"/>
  <c r="Q343" i="17"/>
  <c r="R33" i="17"/>
  <c r="Q89" i="17"/>
  <c r="Q402" i="17"/>
  <c r="Q543" i="17"/>
  <c r="Q103" i="17"/>
  <c r="R211" i="17"/>
  <c r="R434" i="17"/>
  <c r="R521" i="17"/>
  <c r="R423" i="17"/>
  <c r="Q187" i="17"/>
  <c r="Q32" i="17"/>
  <c r="Q412" i="17"/>
  <c r="R519" i="17"/>
  <c r="Q590" i="17"/>
  <c r="Q337" i="17"/>
  <c r="R409" i="17"/>
  <c r="Q476" i="17"/>
  <c r="R552" i="17"/>
  <c r="R273" i="17"/>
  <c r="Q161" i="17"/>
  <c r="R556" i="17"/>
  <c r="R269" i="17"/>
  <c r="Q77" i="17"/>
  <c r="R568" i="17"/>
  <c r="R265" i="17"/>
  <c r="Q137" i="17"/>
  <c r="R240" i="17"/>
  <c r="R303" i="17"/>
  <c r="R559" i="17"/>
  <c r="Q474" i="17"/>
  <c r="R394" i="17"/>
  <c r="Q321" i="17"/>
  <c r="Q577" i="17"/>
  <c r="R497" i="17"/>
  <c r="Q416" i="17"/>
  <c r="R336" i="17"/>
  <c r="R592" i="17"/>
  <c r="Q80" i="17"/>
  <c r="R133" i="17"/>
  <c r="Q189" i="17"/>
  <c r="Q55" i="17"/>
  <c r="R108" i="17"/>
  <c r="R435" i="17"/>
  <c r="Q350" i="17"/>
  <c r="Q606" i="17"/>
  <c r="R526" i="17"/>
  <c r="Q453" i="17"/>
  <c r="R373" i="17"/>
  <c r="Q292" i="17"/>
  <c r="Q548" i="17"/>
  <c r="R468" i="17"/>
  <c r="Q204" i="17"/>
  <c r="R257" i="17"/>
  <c r="Q531" i="17"/>
  <c r="Q57" i="17"/>
  <c r="Q401" i="17"/>
  <c r="Q237" i="17"/>
  <c r="R221" i="17"/>
  <c r="R208" i="17"/>
  <c r="Q448" i="17"/>
  <c r="R76" i="17"/>
  <c r="R558" i="17"/>
  <c r="Q580" i="17"/>
  <c r="Q279" i="17"/>
  <c r="R323" i="17"/>
  <c r="R575" i="17"/>
  <c r="R612" i="17"/>
  <c r="R591" i="17"/>
  <c r="Q507" i="17"/>
  <c r="R467" i="17"/>
  <c r="Q485" i="17"/>
  <c r="R500" i="17"/>
  <c r="Q25" i="17"/>
  <c r="Q340" i="17"/>
  <c r="Q381" i="17"/>
  <c r="Q540" i="17"/>
  <c r="R426" i="17"/>
  <c r="R101" i="17"/>
  <c r="Q382" i="17"/>
  <c r="R405" i="17"/>
  <c r="Q172" i="17"/>
  <c r="R271" i="17"/>
  <c r="R457" i="17"/>
  <c r="Q571" i="17"/>
  <c r="Q353" i="17"/>
  <c r="Q157" i="17"/>
  <c r="Q446" i="17"/>
  <c r="R469" i="17"/>
  <c r="Q108" i="17"/>
  <c r="R382" i="17"/>
  <c r="Q532" i="17"/>
  <c r="R209" i="17"/>
  <c r="Q609" i="17"/>
  <c r="Q23" i="17"/>
  <c r="R302" i="17"/>
  <c r="Q324" i="17"/>
  <c r="R225" i="17"/>
  <c r="R443" i="17"/>
  <c r="Q73" i="17"/>
  <c r="R531" i="17"/>
  <c r="Q217" i="17"/>
  <c r="Q117" i="17"/>
  <c r="Q294" i="17"/>
  <c r="Q550" i="17"/>
  <c r="R470" i="17"/>
  <c r="Q397" i="17"/>
  <c r="R317" i="17"/>
  <c r="R573" i="17"/>
  <c r="Q492" i="17"/>
  <c r="R412" i="17"/>
  <c r="Q260" i="17"/>
  <c r="Q535" i="17"/>
  <c r="R57" i="17"/>
  <c r="Q113" i="17"/>
  <c r="R168" i="17"/>
  <c r="Q506" i="17"/>
  <c r="Q293" i="17"/>
  <c r="Q53" i="17"/>
  <c r="Q358" i="17"/>
  <c r="R278" i="17"/>
  <c r="R534" i="17"/>
  <c r="Q461" i="17"/>
  <c r="R381" i="17"/>
  <c r="Q300" i="17"/>
  <c r="Q556" i="17"/>
  <c r="R476" i="17"/>
  <c r="Q196" i="17"/>
  <c r="R249" i="17"/>
  <c r="Q467" i="17"/>
  <c r="Q49" i="17"/>
  <c r="R306" i="17"/>
  <c r="R368" i="17"/>
  <c r="Q388" i="17"/>
  <c r="Q245" i="17"/>
  <c r="R507" i="17"/>
  <c r="Q422" i="17"/>
  <c r="R342" i="17"/>
  <c r="R608" i="17"/>
  <c r="Q48" i="17"/>
  <c r="R308" i="17"/>
  <c r="Q213" i="17"/>
  <c r="R539" i="17"/>
  <c r="Q454" i="17"/>
  <c r="R374" i="17"/>
  <c r="Q97" i="17"/>
  <c r="R268" i="17"/>
  <c r="R564" i="17"/>
  <c r="Q181" i="17"/>
  <c r="R571" i="17"/>
  <c r="Q486" i="17"/>
  <c r="R406" i="17"/>
  <c r="Q235" i="17"/>
  <c r="R161" i="17"/>
  <c r="R603" i="17"/>
  <c r="R566" i="17"/>
  <c r="Q557" i="17"/>
  <c r="R541" i="17"/>
  <c r="Q588" i="17"/>
  <c r="R572" i="17"/>
  <c r="Q36" i="17"/>
  <c r="Q273" i="17"/>
  <c r="R488" i="17"/>
  <c r="Q326" i="17"/>
  <c r="R598" i="17"/>
  <c r="Q589" i="17"/>
  <c r="R605" i="17"/>
  <c r="R284" i="17"/>
  <c r="R604" i="17"/>
  <c r="Q281" i="17"/>
  <c r="Q241" i="17"/>
  <c r="R213" i="17"/>
  <c r="Q390" i="17"/>
  <c r="Q301" i="17"/>
  <c r="R285" i="17"/>
  <c r="Q332" i="17"/>
  <c r="R316" i="17"/>
  <c r="Q411" i="17"/>
  <c r="R217" i="17"/>
  <c r="Q209" i="17"/>
  <c r="R335" i="17"/>
  <c r="Q518" i="17"/>
  <c r="Q333" i="17"/>
  <c r="R349" i="17"/>
  <c r="Q364" i="17"/>
  <c r="R348" i="17"/>
  <c r="Q228" i="17"/>
  <c r="R185" i="17"/>
  <c r="Q177" i="17"/>
  <c r="R529" i="17"/>
  <c r="Q582" i="17"/>
  <c r="Q365" i="17"/>
  <c r="R413" i="17"/>
  <c r="Q396" i="17"/>
  <c r="R380" i="17"/>
  <c r="Q164" i="17"/>
  <c r="R153" i="17"/>
  <c r="Q145" i="17"/>
  <c r="R275" i="17"/>
  <c r="Q149" i="17"/>
  <c r="R310" i="17"/>
  <c r="Q429" i="17"/>
  <c r="R445" i="17"/>
  <c r="Q428" i="17"/>
  <c r="R444" i="17"/>
  <c r="Q132" i="17"/>
  <c r="R121" i="17"/>
  <c r="Q81" i="17"/>
  <c r="R366" i="17"/>
  <c r="Q85" i="17"/>
  <c r="R438" i="17"/>
  <c r="Q493" i="17"/>
  <c r="R477" i="17"/>
  <c r="Q460" i="17"/>
  <c r="R508" i="17"/>
  <c r="Q100" i="17"/>
  <c r="R89" i="17"/>
  <c r="Q549" i="17"/>
  <c r="Q525" i="17"/>
  <c r="Q495" i="17"/>
  <c r="R230" i="17"/>
  <c r="Q431" i="17"/>
  <c r="R214" i="17"/>
  <c r="R122" i="17"/>
  <c r="R150" i="17"/>
  <c r="R242" i="17"/>
  <c r="R126" i="17"/>
  <c r="R42" i="17"/>
  <c r="R62" i="17"/>
  <c r="R509" i="17"/>
  <c r="Q524" i="17"/>
  <c r="R540" i="17"/>
  <c r="Q335" i="17"/>
  <c r="R266" i="17"/>
  <c r="R190" i="17"/>
  <c r="R134" i="17"/>
  <c r="R26" i="17"/>
  <c r="R146" i="17"/>
  <c r="R142" i="17"/>
  <c r="R130" i="17"/>
  <c r="R158" i="17"/>
  <c r="Q68" i="17"/>
  <c r="R25" i="17"/>
  <c r="Q591" i="17"/>
  <c r="R270" i="17"/>
  <c r="R226" i="17"/>
  <c r="R218" i="17"/>
  <c r="R70" i="17"/>
  <c r="R86" i="17"/>
  <c r="R82" i="17"/>
  <c r="R78" i="17"/>
  <c r="R66" i="17"/>
  <c r="R94" i="17"/>
  <c r="R186" i="17"/>
  <c r="R54" i="17"/>
  <c r="R46" i="17"/>
  <c r="R210" i="17"/>
  <c r="Q21" i="17"/>
  <c r="Q559" i="17"/>
  <c r="Q303" i="17"/>
  <c r="R194" i="17"/>
  <c r="R170" i="17"/>
  <c r="R50" i="17"/>
  <c r="R30" i="17"/>
  <c r="Q527" i="17"/>
  <c r="R162" i="17"/>
  <c r="R154" i="17"/>
  <c r="R18" i="17"/>
  <c r="R74" i="17"/>
  <c r="R222" i="17"/>
  <c r="R238" i="17"/>
  <c r="R38" i="17"/>
  <c r="R34" i="17"/>
  <c r="R106" i="17"/>
  <c r="Q463" i="17"/>
  <c r="R254" i="17"/>
  <c r="R90" i="17"/>
  <c r="R277" i="17"/>
  <c r="R138" i="17"/>
  <c r="R58" i="17"/>
  <c r="R98" i="17"/>
  <c r="R182" i="17"/>
  <c r="R114" i="17"/>
  <c r="Q367" i="17"/>
  <c r="R234" i="17"/>
  <c r="R502" i="17"/>
  <c r="Q399" i="17"/>
  <c r="R250" i="17"/>
  <c r="R118" i="17"/>
  <c r="R110" i="17"/>
  <c r="R206" i="17"/>
  <c r="R246" i="17"/>
  <c r="R14" i="17"/>
  <c r="R198" i="17"/>
  <c r="R262" i="17"/>
  <c r="R174" i="17"/>
  <c r="R258" i="17"/>
  <c r="R166" i="17"/>
  <c r="R202" i="17"/>
  <c r="R178" i="17"/>
  <c r="R22" i="17"/>
  <c r="Q603" i="17"/>
  <c r="R102" i="17"/>
  <c r="S524" i="17"/>
  <c r="S508" i="17"/>
  <c r="T492" i="17"/>
  <c r="T476" i="17"/>
  <c r="T599" i="17"/>
  <c r="S520" i="17"/>
  <c r="S504" i="17"/>
  <c r="T488" i="17"/>
  <c r="T559" i="17"/>
  <c r="T609" i="17"/>
  <c r="S526" i="17"/>
  <c r="S502" i="17"/>
  <c r="S581" i="17"/>
  <c r="S565" i="17"/>
  <c r="T549" i="17"/>
  <c r="S543" i="17"/>
  <c r="S517" i="17"/>
  <c r="S501" i="17"/>
  <c r="T485" i="17"/>
  <c r="T469" i="17"/>
  <c r="S475" i="17"/>
  <c r="T459" i="17"/>
  <c r="S590" i="17"/>
  <c r="S574" i="17"/>
  <c r="T462" i="17"/>
  <c r="T432" i="17"/>
  <c r="S351" i="17"/>
  <c r="S335" i="17"/>
  <c r="S331" i="17"/>
  <c r="S482" i="17"/>
  <c r="S470" i="17"/>
  <c r="T607" i="17"/>
  <c r="T587" i="17"/>
  <c r="T567" i="17"/>
  <c r="S579" i="17"/>
  <c r="S563" i="17"/>
  <c r="T612" i="17"/>
  <c r="T596" i="17"/>
  <c r="S515" i="17"/>
  <c r="S499" i="17"/>
  <c r="T570" i="17"/>
  <c r="S489" i="17"/>
  <c r="S473" i="17"/>
  <c r="T457" i="17"/>
  <c r="S459" i="17"/>
  <c r="T605" i="17"/>
  <c r="S518" i="17"/>
  <c r="S498" i="17"/>
  <c r="S577" i="17"/>
  <c r="S561" i="17"/>
  <c r="S555" i="17"/>
  <c r="S539" i="17"/>
  <c r="S513" i="17"/>
  <c r="S497" i="17"/>
  <c r="T481" i="17"/>
  <c r="T465" i="17"/>
  <c r="S471" i="17"/>
  <c r="T455" i="17"/>
  <c r="S586" i="17"/>
  <c r="S570" i="17"/>
  <c r="T444" i="17"/>
  <c r="S363" i="17"/>
  <c r="S347" i="17"/>
  <c r="T331" i="17"/>
  <c r="S327" i="17"/>
  <c r="S544" i="17"/>
  <c r="T454" i="17"/>
  <c r="T431" i="17"/>
  <c r="S484" i="17"/>
  <c r="S414" i="17"/>
  <c r="T379" i="17"/>
  <c r="S456" i="17"/>
  <c r="S496" i="17"/>
  <c r="T474" i="17"/>
  <c r="S603" i="17"/>
  <c r="T583" i="17"/>
  <c r="S537" i="17"/>
  <c r="T521" i="17"/>
  <c r="T505" i="17"/>
  <c r="T608" i="17"/>
  <c r="T463" i="17"/>
  <c r="S598" i="17"/>
  <c r="T582" i="17"/>
  <c r="T566" i="17"/>
  <c r="S568" i="17"/>
  <c r="T552" i="17"/>
  <c r="T536" i="17"/>
  <c r="S455" i="17"/>
  <c r="S601" i="17"/>
  <c r="T581" i="17"/>
  <c r="S589" i="17"/>
  <c r="S573" i="17"/>
  <c r="T503" i="17"/>
  <c r="T606" i="17"/>
  <c r="S525" i="17"/>
  <c r="S509" i="17"/>
  <c r="T580" i="17"/>
  <c r="T564" i="17"/>
  <c r="S483" i="17"/>
  <c r="S467" i="17"/>
  <c r="T468" i="17"/>
  <c r="S599" i="17"/>
  <c r="T577" i="17"/>
  <c r="S587" i="17"/>
  <c r="T517" i="17"/>
  <c r="T501" i="17"/>
  <c r="T604" i="17"/>
  <c r="S523" i="17"/>
  <c r="S594" i="17"/>
  <c r="T578" i="17"/>
  <c r="T562" i="17"/>
  <c r="S481" i="17"/>
  <c r="T548" i="17"/>
  <c r="T532" i="17"/>
  <c r="S451" i="17"/>
  <c r="T504" i="17"/>
  <c r="S462" i="17"/>
  <c r="S434" i="17"/>
  <c r="T418" i="17"/>
  <c r="T402" i="17"/>
  <c r="S346" i="17"/>
  <c r="S443" i="17"/>
  <c r="T389" i="17"/>
  <c r="T351" i="17"/>
  <c r="T466" i="17"/>
  <c r="S597" i="17"/>
  <c r="T573" i="17"/>
  <c r="S585" i="17"/>
  <c r="T515" i="17"/>
  <c r="T499" i="17"/>
  <c r="T602" i="17"/>
  <c r="S521" i="17"/>
  <c r="S592" i="17"/>
  <c r="T576" i="17"/>
  <c r="T560" i="17"/>
  <c r="S479" i="17"/>
  <c r="T546" i="17"/>
  <c r="T530" i="17"/>
  <c r="S449" i="17"/>
  <c r="S494" i="17"/>
  <c r="T456" i="17"/>
  <c r="S432" i="17"/>
  <c r="T416" i="17"/>
  <c r="T400" i="17"/>
  <c r="S344" i="17"/>
  <c r="T427" i="17"/>
  <c r="S386" i="17"/>
  <c r="S506" i="17"/>
  <c r="T440" i="17"/>
  <c r="S343" i="17"/>
  <c r="S472" i="17"/>
  <c r="T420" i="17"/>
  <c r="S367" i="17"/>
  <c r="T446" i="17"/>
  <c r="T395" i="17"/>
  <c r="T502" i="17"/>
  <c r="T533" i="17"/>
  <c r="S410" i="17"/>
  <c r="S372" i="17"/>
  <c r="S323" i="17"/>
  <c r="T381" i="17"/>
  <c r="S340" i="17"/>
  <c r="S289" i="17"/>
  <c r="T529" i="17"/>
  <c r="S328" i="17"/>
  <c r="T288" i="17"/>
  <c r="T256" i="17"/>
  <c r="T224" i="17"/>
  <c r="T237" i="17"/>
  <c r="T205" i="17"/>
  <c r="T173" i="17"/>
  <c r="S380" i="17"/>
  <c r="T272" i="17"/>
  <c r="S233" i="17"/>
  <c r="S201" i="17"/>
  <c r="S169" i="17"/>
  <c r="T206" i="17"/>
  <c r="T174" i="17"/>
  <c r="S262" i="17"/>
  <c r="S191" i="17"/>
  <c r="T219" i="17"/>
  <c r="S150" i="17"/>
  <c r="S118" i="17"/>
  <c r="S86" i="17"/>
  <c r="T179" i="17"/>
  <c r="S133" i="17"/>
  <c r="S84" i="17"/>
  <c r="S298" i="17"/>
  <c r="S46" i="17"/>
  <c r="S14" i="17"/>
  <c r="S269" i="17"/>
  <c r="T187" i="17"/>
  <c r="T386" i="17"/>
  <c r="S172" i="17"/>
  <c r="T170" i="17"/>
  <c r="T75" i="17"/>
  <c r="T409" i="17"/>
  <c r="S119" i="17"/>
  <c r="S49" i="17"/>
  <c r="S18" i="17"/>
  <c r="T374" i="17"/>
  <c r="T83" i="17"/>
  <c r="T132" i="17"/>
  <c r="S187" i="17"/>
  <c r="S576" i="17"/>
  <c r="S447" i="17"/>
  <c r="T434" i="17"/>
  <c r="S337" i="17"/>
  <c r="S350" i="17"/>
  <c r="S421" i="17"/>
  <c r="T354" i="17"/>
  <c r="S433" i="17"/>
  <c r="T323" i="17"/>
  <c r="T307" i="17"/>
  <c r="T522" i="17"/>
  <c r="S407" i="17"/>
  <c r="S532" i="17"/>
  <c r="S413" i="17"/>
  <c r="S378" i="17"/>
  <c r="T332" i="17"/>
  <c r="T322" i="17"/>
  <c r="T306" i="17"/>
  <c r="S322" i="17"/>
  <c r="T284" i="17"/>
  <c r="S296" i="17"/>
  <c r="T268" i="17"/>
  <c r="T235" i="17"/>
  <c r="T203" i="17"/>
  <c r="T184" i="17"/>
  <c r="S403" i="17"/>
  <c r="T263" i="17"/>
  <c r="S231" i="17"/>
  <c r="S261" i="17"/>
  <c r="S229" i="17"/>
  <c r="S197" i="17"/>
  <c r="S165" i="17"/>
  <c r="T79" i="17"/>
  <c r="S290" i="17"/>
  <c r="S215" i="17"/>
  <c r="T148" i="17"/>
  <c r="S271" i="17"/>
  <c r="T164" i="17"/>
  <c r="S131" i="17"/>
  <c r="T80" i="17"/>
  <c r="S566" i="17"/>
  <c r="T547" i="17"/>
  <c r="S365" i="17"/>
  <c r="T333" i="17"/>
  <c r="S348" i="17"/>
  <c r="T411" i="17"/>
  <c r="S336" i="17"/>
  <c r="S430" i="17"/>
  <c r="T321" i="17"/>
  <c r="T305" i="17"/>
  <c r="S480" i="17"/>
  <c r="T394" i="17"/>
  <c r="T500" i="17"/>
  <c r="T403" i="17"/>
  <c r="S375" i="17"/>
  <c r="S301" i="17"/>
  <c r="T320" i="17"/>
  <c r="T304" i="17"/>
  <c r="S312" i="17"/>
  <c r="T280" i="17"/>
  <c r="S292" i="17"/>
  <c r="S256" i="17"/>
  <c r="S224" i="17"/>
  <c r="S192" i="17"/>
  <c r="T182" i="17"/>
  <c r="T390" i="17"/>
  <c r="T261" i="17"/>
  <c r="T229" i="17"/>
  <c r="S259" i="17"/>
  <c r="S227" i="17"/>
  <c r="S195" i="17"/>
  <c r="S163" i="17"/>
  <c r="S68" i="17"/>
  <c r="T271" i="17"/>
  <c r="T204" i="17"/>
  <c r="T146" i="17"/>
  <c r="S67" i="17"/>
  <c r="T249" i="17"/>
  <c r="T161" i="17"/>
  <c r="T129" i="17"/>
  <c r="T106" i="17"/>
  <c r="T74" i="17"/>
  <c r="T42" i="17"/>
  <c r="S257" i="17"/>
  <c r="T72" i="17"/>
  <c r="T40" i="17"/>
  <c r="T247" i="17"/>
  <c r="T71" i="17"/>
  <c r="T15" i="17"/>
  <c r="S593" i="17"/>
  <c r="T497" i="17"/>
  <c r="T574" i="17"/>
  <c r="S438" i="17"/>
  <c r="T406" i="17"/>
  <c r="T539" i="17"/>
  <c r="T433" i="17"/>
  <c r="T382" i="17"/>
  <c r="T450" i="17"/>
  <c r="S398" i="17"/>
  <c r="T363" i="17"/>
  <c r="T353" i="17"/>
  <c r="S317" i="17"/>
  <c r="T301" i="17"/>
  <c r="T285" i="17"/>
  <c r="S283" i="17"/>
  <c r="S448" i="17"/>
  <c r="T396" i="17"/>
  <c r="T358" i="17"/>
  <c r="S243" i="17"/>
  <c r="S211" i="17"/>
  <c r="S179" i="17"/>
  <c r="S368" i="17"/>
  <c r="T506" i="17"/>
  <c r="T348" i="17"/>
  <c r="S237" i="17"/>
  <c r="S205" i="17"/>
  <c r="T195" i="17"/>
  <c r="T163" i="17"/>
  <c r="S310" i="17"/>
  <c r="T278" i="17"/>
  <c r="T236" i="17"/>
  <c r="T162" i="17"/>
  <c r="S130" i="17"/>
  <c r="S98" i="17"/>
  <c r="S105" i="17"/>
  <c r="S73" i="17"/>
  <c r="S41" i="17"/>
  <c r="T127" i="17"/>
  <c r="S50" i="17"/>
  <c r="S249" i="17"/>
  <c r="S161" i="17"/>
  <c r="S129" i="17"/>
  <c r="T243" i="17"/>
  <c r="S168" i="17"/>
  <c r="T134" i="17"/>
  <c r="T102" i="17"/>
  <c r="T130" i="17"/>
  <c r="T53" i="17"/>
  <c r="T196" i="17"/>
  <c r="S90" i="17"/>
  <c r="S36" i="17"/>
  <c r="S225" i="17"/>
  <c r="T88" i="17"/>
  <c r="S202" i="17"/>
  <c r="S87" i="17"/>
  <c r="S77" i="17"/>
  <c r="T16" i="17"/>
  <c r="T571" i="17"/>
  <c r="S359" i="17"/>
  <c r="T327" i="17"/>
  <c r="S436" i="17"/>
  <c r="T404" i="17"/>
  <c r="T537" i="17"/>
  <c r="T417" i="17"/>
  <c r="S376" i="17"/>
  <c r="S446" i="17"/>
  <c r="T429" i="17"/>
  <c r="S388" i="17"/>
  <c r="T340" i="17"/>
  <c r="S315" i="17"/>
  <c r="T362" i="17"/>
  <c r="S297" i="17"/>
  <c r="S281" i="17"/>
  <c r="S431" i="17"/>
  <c r="S304" i="17"/>
  <c r="T266" i="17"/>
  <c r="T241" i="17"/>
  <c r="T209" i="17"/>
  <c r="T177" i="17"/>
  <c r="T220" i="17"/>
  <c r="T188" i="17"/>
  <c r="S468" i="17"/>
  <c r="S326" i="17"/>
  <c r="S235" i="17"/>
  <c r="S248" i="17"/>
  <c r="S216" i="17"/>
  <c r="S184" i="17"/>
  <c r="S538" i="17"/>
  <c r="S306" i="17"/>
  <c r="T191" i="17"/>
  <c r="T352" i="17"/>
  <c r="S232" i="17"/>
  <c r="T160" i="17"/>
  <c r="T128" i="17"/>
  <c r="T189" i="17"/>
  <c r="S135" i="17"/>
  <c r="S103" i="17"/>
  <c r="S71" i="17"/>
  <c r="S39" i="17"/>
  <c r="S148" i="17"/>
  <c r="S114" i="17"/>
  <c r="T425" i="17"/>
  <c r="S238" i="17"/>
  <c r="S159" i="17"/>
  <c r="S31" i="17"/>
  <c r="T387" i="17"/>
  <c r="T228" i="17"/>
  <c r="S157" i="17"/>
  <c r="S125" i="17"/>
  <c r="T117" i="17"/>
  <c r="T115" i="17"/>
  <c r="S43" i="17"/>
  <c r="S583" i="17"/>
  <c r="S519" i="17"/>
  <c r="S353" i="17"/>
  <c r="T541" i="17"/>
  <c r="T430" i="17"/>
  <c r="S333" i="17"/>
  <c r="S486" i="17"/>
  <c r="T526" i="17"/>
  <c r="S411" i="17"/>
  <c r="S373" i="17"/>
  <c r="S439" i="17"/>
  <c r="T388" i="17"/>
  <c r="S426" i="17"/>
  <c r="S385" i="17"/>
  <c r="T335" i="17"/>
  <c r="S313" i="17"/>
  <c r="T297" i="17"/>
  <c r="T281" i="17"/>
  <c r="T359" i="17"/>
  <c r="S295" i="17"/>
  <c r="S279" i="17"/>
  <c r="S428" i="17"/>
  <c r="S390" i="17"/>
  <c r="T342" i="17"/>
  <c r="T300" i="17"/>
  <c r="S264" i="17"/>
  <c r="T239" i="17"/>
  <c r="T207" i="17"/>
  <c r="T175" i="17"/>
  <c r="T341" i="17"/>
  <c r="T218" i="17"/>
  <c r="T186" i="17"/>
  <c r="S418" i="17"/>
  <c r="S276" i="17"/>
  <c r="T233" i="17"/>
  <c r="T201" i="17"/>
  <c r="S246" i="17"/>
  <c r="S214" i="17"/>
  <c r="S182" i="17"/>
  <c r="S415" i="17"/>
  <c r="T302" i="17"/>
  <c r="S272" i="17"/>
  <c r="S180" i="17"/>
  <c r="S294" i="17"/>
  <c r="T221" i="17"/>
  <c r="T158" i="17"/>
  <c r="T126" i="17"/>
  <c r="T94" i="17"/>
  <c r="S185" i="17"/>
  <c r="T133" i="17"/>
  <c r="T101" i="17"/>
  <c r="T69" i="17"/>
  <c r="T37" i="17"/>
  <c r="S99" i="17"/>
  <c r="S146" i="17"/>
  <c r="T112" i="17"/>
  <c r="S397" i="17"/>
  <c r="S223" i="17"/>
  <c r="T157" i="17"/>
  <c r="T125" i="17"/>
  <c r="T29" i="17"/>
  <c r="T360" i="17"/>
  <c r="T213" i="17"/>
  <c r="S155" i="17"/>
  <c r="S123" i="17"/>
  <c r="S91" i="17"/>
  <c r="S92" i="17"/>
  <c r="S255" i="17"/>
  <c r="T100" i="17"/>
  <c r="S37" i="17"/>
  <c r="S160" i="17"/>
  <c r="S53" i="17"/>
  <c r="T139" i="17"/>
  <c r="S79" i="17"/>
  <c r="S30" i="17"/>
  <c r="S153" i="17"/>
  <c r="S55" i="17"/>
  <c r="S102" i="17"/>
  <c r="S124" i="17"/>
  <c r="S23" i="17"/>
  <c r="T47" i="17"/>
  <c r="S47" i="17"/>
  <c r="T611" i="17"/>
  <c r="S567" i="17"/>
  <c r="T534" i="17"/>
  <c r="T452" i="17"/>
  <c r="S349" i="17"/>
  <c r="T514" i="17"/>
  <c r="T426" i="17"/>
  <c r="S329" i="17"/>
  <c r="S466" i="17"/>
  <c r="T376" i="17"/>
  <c r="S474" i="17"/>
  <c r="T401" i="17"/>
  <c r="T545" i="17"/>
  <c r="T423" i="17"/>
  <c r="T313" i="17"/>
  <c r="T264" i="17"/>
  <c r="S423" i="17"/>
  <c r="T378" i="17"/>
  <c r="S330" i="17"/>
  <c r="S311" i="17"/>
  <c r="S429" i="17"/>
  <c r="S391" i="17"/>
  <c r="T346" i="17"/>
  <c r="S293" i="17"/>
  <c r="S277" i="17"/>
  <c r="S425" i="17"/>
  <c r="T312" i="17"/>
  <c r="T383" i="17"/>
  <c r="T296" i="17"/>
  <c r="S260" i="17"/>
  <c r="S228" i="17"/>
  <c r="S196" i="17"/>
  <c r="T276" i="17"/>
  <c r="S241" i="17"/>
  <c r="S209" i="17"/>
  <c r="S177" i="17"/>
  <c r="T405" i="17"/>
  <c r="S270" i="17"/>
  <c r="T199" i="17"/>
  <c r="T167" i="17"/>
  <c r="S320" i="17"/>
  <c r="T244" i="17"/>
  <c r="T212" i="17"/>
  <c r="T180" i="17"/>
  <c r="S402" i="17"/>
  <c r="T298" i="17"/>
  <c r="T267" i="17"/>
  <c r="S242" i="17"/>
  <c r="S210" i="17"/>
  <c r="S178" i="17"/>
  <c r="T274" i="17"/>
  <c r="S217" i="17"/>
  <c r="S149" i="17"/>
  <c r="S117" i="17"/>
  <c r="S85" i="17"/>
  <c r="T371" i="17"/>
  <c r="T234" i="17"/>
  <c r="S174" i="17"/>
  <c r="T131" i="17"/>
  <c r="T99" i="17"/>
  <c r="T67" i="17"/>
  <c r="T35" i="17"/>
  <c r="T95" i="17"/>
  <c r="T46" i="17"/>
  <c r="T194" i="17"/>
  <c r="T144" i="17"/>
  <c r="S101" i="17"/>
  <c r="T361" i="17"/>
  <c r="S208" i="17"/>
  <c r="T155" i="17"/>
  <c r="T123" i="17"/>
  <c r="T91" i="17"/>
  <c r="T59" i="17"/>
  <c r="T27" i="17"/>
  <c r="T336" i="17"/>
  <c r="T202" i="17"/>
  <c r="T153" i="17"/>
  <c r="T121" i="17"/>
  <c r="T89" i="17"/>
  <c r="T57" i="17"/>
  <c r="T25" i="17"/>
  <c r="T34" i="17"/>
  <c r="T215" i="17"/>
  <c r="T90" i="17"/>
  <c r="S28" i="17"/>
  <c r="T150" i="17"/>
  <c r="T49" i="17"/>
  <c r="S236" i="17"/>
  <c r="S34" i="17"/>
  <c r="S134" i="17"/>
  <c r="S64" i="17"/>
  <c r="T24" i="17"/>
  <c r="S143" i="17"/>
  <c r="T51" i="17"/>
  <c r="T92" i="17"/>
  <c r="T137" i="17"/>
  <c r="T28" i="17"/>
  <c r="S109" i="17"/>
  <c r="T17" i="17"/>
  <c r="S32" i="17"/>
  <c r="T19" i="17"/>
  <c r="T528" i="17"/>
  <c r="T458" i="17"/>
  <c r="T311" i="17"/>
  <c r="T419" i="17"/>
  <c r="T310" i="17"/>
  <c r="S273" i="17"/>
  <c r="S542" i="17"/>
  <c r="T240" i="17"/>
  <c r="T344" i="17"/>
  <c r="S82" i="17"/>
  <c r="S144" i="17"/>
  <c r="S16" i="17"/>
  <c r="T119" i="17"/>
  <c r="S282" i="17"/>
  <c r="S251" i="17"/>
  <c r="T141" i="17"/>
  <c r="T124" i="17"/>
  <c r="S21" i="17"/>
  <c r="S38" i="17"/>
  <c r="T58" i="17"/>
  <c r="T98" i="17"/>
  <c r="S17" i="17"/>
  <c r="T152" i="17"/>
  <c r="T551" i="17"/>
  <c r="S42" i="17"/>
  <c r="T122" i="17"/>
  <c r="S139" i="17"/>
  <c r="T442" i="17"/>
  <c r="T373" i="17"/>
  <c r="T262" i="17"/>
  <c r="T384" i="17"/>
  <c r="T370" i="17"/>
  <c r="S239" i="17"/>
  <c r="T275" i="17"/>
  <c r="T208" i="17"/>
  <c r="S230" i="17"/>
  <c r="S399" i="17"/>
  <c r="T140" i="17"/>
  <c r="S422" i="17"/>
  <c r="S106" i="17"/>
  <c r="S136" i="17"/>
  <c r="S170" i="17"/>
  <c r="S240" i="17"/>
  <c r="T109" i="17"/>
  <c r="S15" i="17"/>
  <c r="T26" i="17"/>
  <c r="T156" i="17"/>
  <c r="T68" i="17"/>
  <c r="S162" i="17"/>
  <c r="S60" i="17"/>
  <c r="T337" i="17"/>
  <c r="T45" i="17"/>
  <c r="S26" i="17"/>
  <c r="S345" i="17"/>
  <c r="S458" i="17"/>
  <c r="T413" i="17"/>
  <c r="T343" i="17"/>
  <c r="T292" i="17"/>
  <c r="S207" i="17"/>
  <c r="T242" i="17"/>
  <c r="T176" i="17"/>
  <c r="S152" i="17"/>
  <c r="S189" i="17"/>
  <c r="S112" i="17"/>
  <c r="S286" i="17"/>
  <c r="T87" i="17"/>
  <c r="T22" i="17"/>
  <c r="S145" i="17"/>
  <c r="S122" i="17"/>
  <c r="S104" i="17"/>
  <c r="S302" i="17"/>
  <c r="T14" i="17"/>
  <c r="S111" i="17"/>
  <c r="S420" i="17"/>
  <c r="T76" i="17"/>
  <c r="S51" i="17"/>
  <c r="T77" i="17"/>
  <c r="S488" i="17"/>
  <c r="T398" i="17"/>
  <c r="T375" i="17"/>
  <c r="S291" i="17"/>
  <c r="S258" i="17"/>
  <c r="S175" i="17"/>
  <c r="T210" i="17"/>
  <c r="S267" i="17"/>
  <c r="S120" i="17"/>
  <c r="T142" i="17"/>
  <c r="T108" i="17"/>
  <c r="T258" i="17"/>
  <c r="S74" i="17"/>
  <c r="T185" i="17"/>
  <c r="T120" i="17"/>
  <c r="S121" i="17"/>
  <c r="S89" i="17"/>
  <c r="S158" i="17"/>
  <c r="T147" i="17"/>
  <c r="S58" i="17"/>
  <c r="S45" i="17"/>
  <c r="T66" i="17"/>
  <c r="S556" i="17"/>
  <c r="T415" i="17"/>
  <c r="S194" i="17"/>
  <c r="S252" i="17"/>
  <c r="S377" i="17"/>
  <c r="S88" i="17"/>
  <c r="S183" i="17"/>
  <c r="T36" i="17"/>
  <c r="T230" i="17"/>
  <c r="T226" i="17"/>
  <c r="T591" i="17"/>
  <c r="T422" i="17"/>
  <c r="S534" i="17"/>
  <c r="S325" i="17"/>
  <c r="S554" i="17"/>
  <c r="S226" i="17"/>
  <c r="S393" i="17"/>
  <c r="T178" i="17"/>
  <c r="S206" i="17"/>
  <c r="T116" i="17"/>
  <c r="T97" i="17"/>
  <c r="S80" i="17"/>
  <c r="S198" i="17"/>
  <c r="T55" i="17"/>
  <c r="S156" i="17"/>
  <c r="S75" i="17"/>
  <c r="S19" i="17"/>
  <c r="T60" i="17"/>
  <c r="S128" i="17"/>
  <c r="S72" i="17"/>
  <c r="T13" i="17"/>
  <c r="S221" i="17"/>
  <c r="S126" i="17"/>
  <c r="S309" i="17"/>
  <c r="S147" i="17"/>
  <c r="T85" i="17"/>
  <c r="S113" i="17"/>
  <c r="T43" i="17"/>
  <c r="T33" i="17"/>
  <c r="T487" i="17"/>
  <c r="T448" i="17"/>
  <c r="S382" i="17"/>
  <c r="T293" i="17"/>
  <c r="T380" i="17"/>
  <c r="T510" i="17"/>
  <c r="S220" i="17"/>
  <c r="T294" i="17"/>
  <c r="S115" i="17"/>
  <c r="S56" i="17"/>
  <c r="T198" i="17"/>
  <c r="S48" i="17"/>
  <c r="T151" i="17"/>
  <c r="T23" i="17"/>
  <c r="S70" i="17"/>
  <c r="T21" i="17"/>
  <c r="T181" i="17"/>
  <c r="T39" i="17"/>
  <c r="T103" i="17"/>
  <c r="T41" i="17"/>
  <c r="S166" i="17"/>
  <c r="T107" i="17"/>
  <c r="S25" i="17"/>
  <c r="T445" i="17"/>
  <c r="S356" i="17"/>
  <c r="T330" i="17"/>
  <c r="T277" i="17"/>
  <c r="T326" i="17"/>
  <c r="S316" i="17"/>
  <c r="S188" i="17"/>
  <c r="T265" i="17"/>
  <c r="S24" i="17"/>
  <c r="T183" i="17"/>
  <c r="T44" i="17"/>
  <c r="S138" i="17"/>
  <c r="S318" i="17"/>
  <c r="S13" i="17"/>
  <c r="T149" i="17"/>
  <c r="T73" i="17"/>
  <c r="S83" i="17"/>
  <c r="S107" i="17"/>
  <c r="B350" i="2"/>
  <c r="B351" i="2" s="1"/>
  <c r="AK606" i="28" l="1"/>
  <c r="AL606" i="28"/>
  <c r="AL16" i="28"/>
  <c r="AK16" i="28"/>
  <c r="AL602" i="28"/>
  <c r="AK602" i="28"/>
  <c r="AK426" i="28"/>
  <c r="AL426" i="28"/>
  <c r="AL548" i="28"/>
  <c r="AK548" i="28"/>
  <c r="AK205" i="28"/>
  <c r="AL205" i="28"/>
  <c r="AL489" i="28"/>
  <c r="AK489" i="28"/>
  <c r="AL224" i="28"/>
  <c r="AK224" i="28"/>
  <c r="AK316" i="28"/>
  <c r="AL316" i="28"/>
  <c r="AL550" i="28"/>
  <c r="AK550" i="28"/>
  <c r="AK29" i="28"/>
  <c r="AL29" i="28"/>
  <c r="AL250" i="28"/>
  <c r="AK250" i="28"/>
  <c r="AK367" i="28"/>
  <c r="AL367" i="28"/>
  <c r="AL509" i="28"/>
  <c r="AK509" i="28"/>
  <c r="AO497" i="28"/>
  <c r="AN497" i="28"/>
  <c r="AO268" i="28"/>
  <c r="AN268" i="28"/>
  <c r="AO38" i="28"/>
  <c r="AN38" i="28"/>
  <c r="AN253" i="28"/>
  <c r="AO253" i="28"/>
  <c r="AO16" i="28"/>
  <c r="AN16" i="28"/>
  <c r="AO60" i="28"/>
  <c r="AN60" i="28"/>
  <c r="AN247" i="28"/>
  <c r="AO247" i="28"/>
  <c r="AO440" i="28"/>
  <c r="AN440" i="28"/>
  <c r="AO353" i="28"/>
  <c r="AN353" i="28"/>
  <c r="AO331" i="28"/>
  <c r="AN331" i="28"/>
  <c r="AN504" i="28"/>
  <c r="AO504" i="28"/>
  <c r="AN462" i="28"/>
  <c r="AO462" i="28"/>
  <c r="AO180" i="28"/>
  <c r="AN180" i="28"/>
  <c r="AN158" i="28"/>
  <c r="AO158" i="28"/>
  <c r="AO76" i="28"/>
  <c r="AN76" i="28"/>
  <c r="AO28" i="28"/>
  <c r="AN28" i="28"/>
  <c r="AO95" i="28"/>
  <c r="AN95" i="28"/>
  <c r="AN433" i="28"/>
  <c r="AO433" i="28"/>
  <c r="AO375" i="28"/>
  <c r="AN375" i="28"/>
  <c r="AO337" i="28"/>
  <c r="AN337" i="28"/>
  <c r="AO461" i="28"/>
  <c r="AN461" i="28"/>
  <c r="AN204" i="28"/>
  <c r="AO204" i="28"/>
  <c r="AN235" i="28"/>
  <c r="AO235" i="28"/>
  <c r="AN321" i="28"/>
  <c r="AO321" i="28"/>
  <c r="AO463" i="28"/>
  <c r="AN463" i="28"/>
  <c r="AN349" i="28"/>
  <c r="AO349" i="28"/>
  <c r="AN488" i="28"/>
  <c r="AO488" i="28"/>
  <c r="AO456" i="28"/>
  <c r="AN456" i="28"/>
  <c r="AO155" i="28"/>
  <c r="AN155" i="28"/>
  <c r="AN117" i="28"/>
  <c r="AO117" i="28"/>
  <c r="AO125" i="28"/>
  <c r="AN125" i="28"/>
  <c r="AO344" i="28"/>
  <c r="AN344" i="28"/>
  <c r="AN14" i="28"/>
  <c r="AO14" i="28"/>
  <c r="AO564" i="28"/>
  <c r="AN564" i="28"/>
  <c r="AO296" i="28"/>
  <c r="AN296" i="28"/>
  <c r="AN600" i="28"/>
  <c r="AO600" i="28"/>
  <c r="AO379" i="28"/>
  <c r="AN379" i="28"/>
  <c r="AL55" i="28"/>
  <c r="AK55" i="28"/>
  <c r="AK346" i="28"/>
  <c r="AL346" i="28"/>
  <c r="AK503" i="28"/>
  <c r="AL503" i="28"/>
  <c r="AL231" i="28"/>
  <c r="AK231" i="28"/>
  <c r="AK429" i="28"/>
  <c r="AL429" i="28"/>
  <c r="AK538" i="28"/>
  <c r="AL538" i="28"/>
  <c r="AL505" i="28"/>
  <c r="AK505" i="28"/>
  <c r="AL66" i="28"/>
  <c r="AK66" i="28"/>
  <c r="AL241" i="28"/>
  <c r="AK241" i="28"/>
  <c r="AK593" i="28"/>
  <c r="AL593" i="28"/>
  <c r="AL170" i="28"/>
  <c r="AK170" i="28"/>
  <c r="AL298" i="28"/>
  <c r="AK298" i="28"/>
  <c r="AK92" i="28"/>
  <c r="AL92" i="28"/>
  <c r="AK604" i="28"/>
  <c r="AL604" i="28"/>
  <c r="AN205" i="28"/>
  <c r="AO205" i="28"/>
  <c r="AN115" i="28"/>
  <c r="AO115" i="28"/>
  <c r="AO215" i="28"/>
  <c r="AN215" i="28"/>
  <c r="AN534" i="28"/>
  <c r="AO534" i="28"/>
  <c r="AN121" i="28"/>
  <c r="AO121" i="28"/>
  <c r="AN25" i="28"/>
  <c r="AO25" i="28"/>
  <c r="AN571" i="28"/>
  <c r="AO571" i="28"/>
  <c r="AO422" i="28"/>
  <c r="AN422" i="28"/>
  <c r="AN43" i="28"/>
  <c r="AO43" i="28"/>
  <c r="AK302" i="28"/>
  <c r="AL302" i="28"/>
  <c r="AL149" i="28"/>
  <c r="AK149" i="28"/>
  <c r="AK218" i="28"/>
  <c r="AL218" i="28"/>
  <c r="AL603" i="28"/>
  <c r="AK603" i="28"/>
  <c r="AL551" i="28"/>
  <c r="AK551" i="28"/>
  <c r="AK330" i="28"/>
  <c r="AL330" i="28"/>
  <c r="AK391" i="28"/>
  <c r="AL391" i="28"/>
  <c r="AL438" i="28"/>
  <c r="AK438" i="28"/>
  <c r="AL307" i="28"/>
  <c r="AK307" i="28"/>
  <c r="AK408" i="28"/>
  <c r="AL408" i="28"/>
  <c r="AL574" i="28"/>
  <c r="AK574" i="28"/>
  <c r="AN508" i="28"/>
  <c r="AO508" i="28"/>
  <c r="AO396" i="28"/>
  <c r="AN396" i="28"/>
  <c r="AO446" i="28"/>
  <c r="AN446" i="28"/>
  <c r="AO482" i="28"/>
  <c r="AN482" i="28"/>
  <c r="AN409" i="28"/>
  <c r="AO409" i="28"/>
  <c r="AO66" i="28"/>
  <c r="AN66" i="28"/>
  <c r="AN612" i="28"/>
  <c r="AO612" i="28"/>
  <c r="AN540" i="28"/>
  <c r="AO540" i="28"/>
  <c r="AL467" i="28"/>
  <c r="AK467" i="28"/>
  <c r="AL365" i="28"/>
  <c r="AK365" i="28"/>
  <c r="AL552" i="28"/>
  <c r="AK552" i="28"/>
  <c r="AK118" i="28"/>
  <c r="AL118" i="28"/>
  <c r="AL13" i="28"/>
  <c r="AK13" i="28"/>
  <c r="AL317" i="28"/>
  <c r="AK317" i="28"/>
  <c r="AK414" i="28"/>
  <c r="AL414" i="28"/>
  <c r="AK166" i="28"/>
  <c r="AL166" i="28"/>
  <c r="AL36" i="28"/>
  <c r="AK36" i="28"/>
  <c r="AL519" i="28"/>
  <c r="AK519" i="28"/>
  <c r="AL585" i="28"/>
  <c r="AK585" i="28"/>
  <c r="AL184" i="28"/>
  <c r="AK184" i="28"/>
  <c r="AK89" i="28"/>
  <c r="AL89" i="28"/>
  <c r="AK475" i="28"/>
  <c r="AL475" i="28"/>
  <c r="AO256" i="28"/>
  <c r="AN256" i="28"/>
  <c r="AO428" i="28"/>
  <c r="AN428" i="28"/>
  <c r="AO316" i="28"/>
  <c r="AN316" i="28"/>
  <c r="AO134" i="28"/>
  <c r="AN134" i="28"/>
  <c r="AO413" i="28"/>
  <c r="AN413" i="28"/>
  <c r="AN286" i="28"/>
  <c r="AO286" i="28"/>
  <c r="AO596" i="28"/>
  <c r="AN596" i="28"/>
  <c r="AN498" i="28"/>
  <c r="AO498" i="28"/>
  <c r="AO262" i="28"/>
  <c r="AN262" i="28"/>
  <c r="AO123" i="28"/>
  <c r="AN123" i="28"/>
  <c r="AL120" i="28"/>
  <c r="AK120" i="28"/>
  <c r="AL598" i="28"/>
  <c r="AK598" i="28"/>
  <c r="AL259" i="28"/>
  <c r="AK259" i="28"/>
  <c r="AK238" i="28"/>
  <c r="AL238" i="28"/>
  <c r="AK153" i="28"/>
  <c r="AL153" i="28"/>
  <c r="AK132" i="28"/>
  <c r="AL132" i="28"/>
  <c r="AK434" i="28"/>
  <c r="AL434" i="28"/>
  <c r="AL566" i="28"/>
  <c r="AK566" i="28"/>
  <c r="AK152" i="28"/>
  <c r="AL152" i="28"/>
  <c r="AL513" i="28"/>
  <c r="AK513" i="28"/>
  <c r="AK380" i="28"/>
  <c r="AL380" i="28"/>
  <c r="AL332" i="28"/>
  <c r="AK332" i="28"/>
  <c r="AL183" i="28"/>
  <c r="AK183" i="28"/>
  <c r="AK534" i="28"/>
  <c r="AL534" i="28"/>
  <c r="AO92" i="28"/>
  <c r="AN92" i="28"/>
  <c r="AN221" i="28"/>
  <c r="AO221" i="28"/>
  <c r="AO61" i="28"/>
  <c r="AN61" i="28"/>
  <c r="AO124" i="28"/>
  <c r="AN124" i="28"/>
  <c r="AO243" i="28"/>
  <c r="AN243" i="28"/>
  <c r="AN142" i="28"/>
  <c r="AO142" i="28"/>
  <c r="AN362" i="28"/>
  <c r="AO362" i="28"/>
  <c r="AN279" i="28"/>
  <c r="AO279" i="28"/>
  <c r="AO601" i="28"/>
  <c r="AN601" i="28"/>
  <c r="AN444" i="28"/>
  <c r="AO444" i="28"/>
  <c r="AL285" i="28"/>
  <c r="AK285" i="28"/>
  <c r="AL465" i="28"/>
  <c r="AK465" i="28"/>
  <c r="AK71" i="28"/>
  <c r="AL71" i="28"/>
  <c r="AK328" i="28"/>
  <c r="AL328" i="28"/>
  <c r="AK355" i="28"/>
  <c r="AL355" i="28"/>
  <c r="AL494" i="28"/>
  <c r="AK494" i="28"/>
  <c r="AK339" i="28"/>
  <c r="AL339" i="28"/>
  <c r="AN130" i="28"/>
  <c r="AO130" i="28"/>
  <c r="AK229" i="28"/>
  <c r="AL229" i="28"/>
  <c r="AK543" i="28"/>
  <c r="AL543" i="28"/>
  <c r="AL362" i="28"/>
  <c r="AK362" i="28"/>
  <c r="AL303" i="28"/>
  <c r="AK303" i="28"/>
  <c r="AL275" i="28"/>
  <c r="AK275" i="28"/>
  <c r="S334" i="17"/>
  <c r="T334" i="17"/>
  <c r="T279" i="17"/>
  <c r="S338" i="17"/>
  <c r="S358" i="17"/>
  <c r="T461" i="17"/>
  <c r="S40" i="17"/>
  <c r="S96" i="17"/>
  <c r="S27" i="17"/>
  <c r="T61" i="17"/>
  <c r="S204" i="17"/>
  <c r="T245" i="17"/>
  <c r="S212" i="17"/>
  <c r="S332" i="17"/>
  <c r="T250" i="17"/>
  <c r="S396" i="17"/>
  <c r="S394" i="17"/>
  <c r="S266" i="17"/>
  <c r="S383" i="17"/>
  <c r="S478" i="17"/>
  <c r="S29" i="17"/>
  <c r="S63" i="17"/>
  <c r="S219" i="17"/>
  <c r="T260" i="17"/>
  <c r="T223" i="17"/>
  <c r="T339" i="17"/>
  <c r="T252" i="17"/>
  <c r="T421" i="17"/>
  <c r="T397" i="17"/>
  <c r="S268" i="17"/>
  <c r="T392" i="17"/>
  <c r="T520" i="17"/>
  <c r="T56" i="17"/>
  <c r="S94" i="17"/>
  <c r="T54" i="17"/>
  <c r="T232" i="17"/>
  <c r="S116" i="17"/>
  <c r="S137" i="17"/>
  <c r="S384" i="17"/>
  <c r="T227" i="17"/>
  <c r="S190" i="17"/>
  <c r="T273" i="17"/>
  <c r="S299" i="17"/>
  <c r="T391" i="17"/>
  <c r="S427" i="17"/>
  <c r="T329" i="17"/>
  <c r="T105" i="17"/>
  <c r="T104" i="17"/>
  <c r="T138" i="17"/>
  <c r="T18" i="17"/>
  <c r="S100" i="17"/>
  <c r="T282" i="17"/>
  <c r="T214" i="17"/>
  <c r="S381" i="17"/>
  <c r="S371" i="17"/>
  <c r="T287" i="17"/>
  <c r="T366" i="17"/>
  <c r="T435" i="17"/>
  <c r="T590" i="17"/>
  <c r="S69" i="17"/>
  <c r="T111" i="17"/>
  <c r="T286" i="17"/>
  <c r="T216" i="17"/>
  <c r="S406" i="17"/>
  <c r="S374" i="17"/>
  <c r="T289" i="17"/>
  <c r="T369" i="17"/>
  <c r="T437" i="17"/>
  <c r="S606" i="17"/>
  <c r="T200" i="17"/>
  <c r="T31" i="17"/>
  <c r="S44" i="17"/>
  <c r="S78" i="17"/>
  <c r="S278" i="17"/>
  <c r="S324" i="17"/>
  <c r="T238" i="17"/>
  <c r="S441" i="17"/>
  <c r="T270" i="17"/>
  <c r="T308" i="17"/>
  <c r="S416" i="17"/>
  <c r="T309" i="17"/>
  <c r="S424" i="17"/>
  <c r="S453" i="17"/>
  <c r="S360" i="17"/>
  <c r="S546" i="17"/>
  <c r="S562" i="17"/>
  <c r="S608" i="17"/>
  <c r="S531" i="17"/>
  <c r="T486" i="17"/>
  <c r="S362" i="17"/>
  <c r="S558" i="17"/>
  <c r="S564" i="17"/>
  <c r="S610" i="17"/>
  <c r="S533" i="17"/>
  <c r="T490" i="17"/>
  <c r="S596" i="17"/>
  <c r="T519" i="17"/>
  <c r="T470" i="17"/>
  <c r="S584" i="17"/>
  <c r="T479" i="17"/>
  <c r="S553" i="17"/>
  <c r="S516" i="17"/>
  <c r="S370" i="17"/>
  <c r="T408" i="17"/>
  <c r="S536" i="17"/>
  <c r="S487" i="17"/>
  <c r="T594" i="17"/>
  <c r="T565" i="17"/>
  <c r="T540" i="17"/>
  <c r="T586" i="17"/>
  <c r="T509" i="17"/>
  <c r="S609" i="17"/>
  <c r="T412" i="17"/>
  <c r="S445" i="17"/>
  <c r="S491" i="17"/>
  <c r="T598" i="17"/>
  <c r="T569" i="17"/>
  <c r="T575" i="17"/>
  <c r="T563" i="17"/>
  <c r="T603" i="17"/>
  <c r="AL23" i="28"/>
  <c r="AK23" i="28"/>
  <c r="AL268" i="28"/>
  <c r="AK268" i="28"/>
  <c r="AK220" i="28"/>
  <c r="AL220" i="28"/>
  <c r="AK461" i="28"/>
  <c r="AL461" i="28"/>
  <c r="AK363" i="28"/>
  <c r="AL363" i="28"/>
  <c r="AL402" i="28"/>
  <c r="AK402" i="28"/>
  <c r="AL243" i="28"/>
  <c r="AK243" i="28"/>
  <c r="AL24" i="28"/>
  <c r="AK24" i="28"/>
  <c r="AL549" i="28"/>
  <c r="AK549" i="28"/>
  <c r="AK51" i="28"/>
  <c r="AL51" i="28"/>
  <c r="AL536" i="28"/>
  <c r="AK536" i="28"/>
  <c r="AL297" i="28"/>
  <c r="AK297" i="28"/>
  <c r="AL254" i="28"/>
  <c r="AK254" i="28"/>
  <c r="AK56" i="28"/>
  <c r="AL56" i="28"/>
  <c r="AL73" i="28"/>
  <c r="AK73" i="28"/>
  <c r="AL612" i="28"/>
  <c r="AK612" i="28"/>
  <c r="AK350" i="28"/>
  <c r="AL350" i="28"/>
  <c r="AL257" i="28"/>
  <c r="AK257" i="28"/>
  <c r="AK359" i="28"/>
  <c r="AL359" i="28"/>
  <c r="AK276" i="28"/>
  <c r="AL276" i="28"/>
  <c r="AK247" i="28"/>
  <c r="AL247" i="28"/>
  <c r="AK203" i="28"/>
  <c r="AL203" i="28"/>
  <c r="AL98" i="28"/>
  <c r="AK98" i="28"/>
  <c r="AK485" i="28"/>
  <c r="AL485" i="28"/>
  <c r="AK437" i="28"/>
  <c r="AL437" i="28"/>
  <c r="AK214" i="28"/>
  <c r="AL214" i="28"/>
  <c r="AL43" i="28"/>
  <c r="AK43" i="28"/>
  <c r="AJ624" i="28"/>
  <c r="AM624" i="28"/>
  <c r="AK54" i="28"/>
  <c r="AL54" i="28"/>
  <c r="AK608" i="28"/>
  <c r="AL608" i="28"/>
  <c r="AL546" i="28"/>
  <c r="AK546" i="28"/>
  <c r="AK146" i="28"/>
  <c r="AL146" i="28"/>
  <c r="AK368" i="28"/>
  <c r="AL368" i="28"/>
  <c r="AK325" i="28"/>
  <c r="AL325" i="28"/>
  <c r="AK613" i="28"/>
  <c r="AL613" i="28"/>
  <c r="AL577" i="28"/>
  <c r="AK577" i="28"/>
  <c r="AK501" i="28"/>
  <c r="AL501" i="28"/>
  <c r="AL557" i="28"/>
  <c r="AK557" i="28"/>
  <c r="AK496" i="28"/>
  <c r="AL496" i="28"/>
  <c r="AL422" i="28"/>
  <c r="AK422" i="28"/>
  <c r="AL130" i="28"/>
  <c r="AK130" i="28"/>
  <c r="AL445" i="28"/>
  <c r="AK445" i="28"/>
  <c r="AL388" i="28"/>
  <c r="AK388" i="28"/>
  <c r="AL331" i="28"/>
  <c r="AK331" i="28"/>
  <c r="AK366" i="28"/>
  <c r="AL366" i="28"/>
  <c r="AK301" i="28"/>
  <c r="AL301" i="28"/>
  <c r="AL232" i="28"/>
  <c r="AK232" i="28"/>
  <c r="AK119" i="28"/>
  <c r="AL119" i="28"/>
  <c r="AK64" i="28"/>
  <c r="AL64" i="28"/>
  <c r="AK440" i="28"/>
  <c r="AL440" i="28"/>
  <c r="AL403" i="28"/>
  <c r="AK403" i="28"/>
  <c r="AK137" i="28"/>
  <c r="AL137" i="28"/>
  <c r="AK90" i="28"/>
  <c r="AL90" i="28"/>
  <c r="AK582" i="28"/>
  <c r="AL582" i="28"/>
  <c r="AK93" i="28"/>
  <c r="AL93" i="28"/>
  <c r="AK564" i="28"/>
  <c r="AL564" i="28"/>
  <c r="AK527" i="28"/>
  <c r="AL527" i="28"/>
  <c r="AK109" i="28"/>
  <c r="AL109" i="28"/>
  <c r="AL126" i="28"/>
  <c r="AK126" i="28"/>
  <c r="AK121" i="28"/>
  <c r="AL121" i="28"/>
  <c r="AK435" i="28"/>
  <c r="AL435" i="28"/>
  <c r="AL405" i="28"/>
  <c r="AK405" i="28"/>
  <c r="AL345" i="28"/>
  <c r="AK345" i="28"/>
  <c r="AK382" i="28"/>
  <c r="AL382" i="28"/>
  <c r="AL292" i="28"/>
  <c r="AK292" i="28"/>
  <c r="AL258" i="28"/>
  <c r="AK258" i="28"/>
  <c r="AK136" i="28"/>
  <c r="AL136" i="28"/>
  <c r="AK74" i="28"/>
  <c r="AL74" i="28"/>
  <c r="AK470" i="28"/>
  <c r="AL470" i="28"/>
  <c r="AK416" i="28"/>
  <c r="AL416" i="28"/>
  <c r="AK167" i="28"/>
  <c r="AL167" i="28"/>
  <c r="AL44" i="28"/>
  <c r="AK44" i="28"/>
  <c r="AK587" i="28"/>
  <c r="AL587" i="28"/>
  <c r="AK97" i="28"/>
  <c r="AL97" i="28"/>
  <c r="AL578" i="28"/>
  <c r="AK578" i="28"/>
  <c r="AL517" i="28"/>
  <c r="AK517" i="28"/>
  <c r="AN398" i="28"/>
  <c r="AO398" i="28"/>
  <c r="AO223" i="28"/>
  <c r="AN223" i="28"/>
  <c r="AO156" i="28"/>
  <c r="AN156" i="28"/>
  <c r="AO50" i="28"/>
  <c r="AN50" i="28"/>
  <c r="AO116" i="28"/>
  <c r="AN116" i="28"/>
  <c r="AO325" i="28"/>
  <c r="AN325" i="28"/>
  <c r="AN526" i="28"/>
  <c r="AO526" i="28"/>
  <c r="AN397" i="28"/>
  <c r="AO397" i="28"/>
  <c r="AN528" i="28"/>
  <c r="AO528" i="28"/>
  <c r="AO450" i="28"/>
  <c r="AN450" i="28"/>
  <c r="AN200" i="28"/>
  <c r="AO200" i="28"/>
  <c r="AO138" i="28"/>
  <c r="AN138" i="28"/>
  <c r="AO144" i="28"/>
  <c r="AN144" i="28"/>
  <c r="AO525" i="28"/>
  <c r="AN525" i="28"/>
  <c r="AN343" i="28"/>
  <c r="AO343" i="28"/>
  <c r="AN234" i="28"/>
  <c r="AO234" i="28"/>
  <c r="AO469" i="28"/>
  <c r="AN469" i="28"/>
  <c r="AO191" i="28"/>
  <c r="AN191" i="28"/>
  <c r="AO336" i="28"/>
  <c r="AN336" i="28"/>
  <c r="AO289" i="28"/>
  <c r="AN289" i="28"/>
  <c r="AN30" i="28"/>
  <c r="AO30" i="28"/>
  <c r="AO542" i="28"/>
  <c r="AN542" i="28"/>
  <c r="AO490" i="28"/>
  <c r="AN490" i="28"/>
  <c r="AO557" i="28"/>
  <c r="AN557" i="28"/>
  <c r="AO161" i="28"/>
  <c r="AN161" i="28"/>
  <c r="AN326" i="28"/>
  <c r="AO326" i="28"/>
  <c r="AO312" i="28"/>
  <c r="AN312" i="28"/>
  <c r="AN460" i="28"/>
  <c r="AO460" i="28"/>
  <c r="AO407" i="28"/>
  <c r="AN407" i="28"/>
  <c r="AN189" i="28"/>
  <c r="AO189" i="28"/>
  <c r="AO68" i="28"/>
  <c r="AN68" i="28"/>
  <c r="AO82" i="28"/>
  <c r="AN82" i="28"/>
  <c r="AN554" i="28"/>
  <c r="AO554" i="28"/>
  <c r="AN357" i="28"/>
  <c r="AO357" i="28"/>
  <c r="AN329" i="28"/>
  <c r="AO329" i="28"/>
  <c r="AO65" i="28"/>
  <c r="AN65" i="28"/>
  <c r="AN576" i="28"/>
  <c r="AO576" i="28"/>
  <c r="AN483" i="28"/>
  <c r="AO483" i="28"/>
  <c r="AN577" i="28"/>
  <c r="AO577" i="28"/>
  <c r="AO550" i="28"/>
  <c r="AN550" i="28"/>
  <c r="AN39" i="28"/>
  <c r="AO39" i="28"/>
  <c r="AO582" i="28"/>
  <c r="AN582" i="28"/>
  <c r="AN46" i="28"/>
  <c r="AO46" i="28"/>
  <c r="AO391" i="28"/>
  <c r="AN391" i="28"/>
  <c r="AO544" i="28"/>
  <c r="AN544" i="28"/>
  <c r="AN496" i="28"/>
  <c r="AO496" i="28"/>
  <c r="AN222" i="28"/>
  <c r="AO222" i="28"/>
  <c r="AO188" i="28"/>
  <c r="AN188" i="28"/>
  <c r="AO171" i="28"/>
  <c r="AN171" i="28"/>
  <c r="AO245" i="28"/>
  <c r="AN245" i="28"/>
  <c r="AO292" i="28"/>
  <c r="AN292" i="28"/>
  <c r="AO105" i="28"/>
  <c r="AN105" i="28"/>
  <c r="AO85" i="28"/>
  <c r="AN85" i="28"/>
  <c r="AN246" i="28"/>
  <c r="AO246" i="28"/>
  <c r="AN169" i="28"/>
  <c r="AO169" i="28"/>
  <c r="AN514" i="28"/>
  <c r="AO514" i="28"/>
  <c r="AO449" i="28"/>
  <c r="AN449" i="28"/>
  <c r="AO390" i="28"/>
  <c r="AN390" i="28"/>
  <c r="AN593" i="28"/>
  <c r="AO593" i="28"/>
  <c r="AO135" i="28"/>
  <c r="AN135" i="28"/>
  <c r="AN133" i="28"/>
  <c r="AO133" i="28"/>
  <c r="AO57" i="28"/>
  <c r="AN57" i="28"/>
  <c r="AN129" i="28"/>
  <c r="AO129" i="28"/>
  <c r="AN419" i="28"/>
  <c r="AO419" i="28"/>
  <c r="AN567" i="28"/>
  <c r="AO567" i="28"/>
  <c r="AN516" i="28"/>
  <c r="AO516" i="28"/>
  <c r="AO272" i="28"/>
  <c r="AN272" i="28"/>
  <c r="AO163" i="28"/>
  <c r="AN163" i="28"/>
  <c r="AN213" i="28"/>
  <c r="AO213" i="28"/>
  <c r="AN403" i="28"/>
  <c r="AO403" i="28"/>
  <c r="AN217" i="28"/>
  <c r="AO217" i="28"/>
  <c r="AO606" i="28"/>
  <c r="AN606" i="28"/>
  <c r="AN384" i="28"/>
  <c r="AO384" i="28"/>
  <c r="AO512" i="28"/>
  <c r="AN512" i="28"/>
  <c r="AO425" i="28"/>
  <c r="AN425" i="28"/>
  <c r="T231" i="17"/>
  <c r="S164" i="17"/>
  <c r="S387" i="17"/>
  <c r="T295" i="17"/>
  <c r="T385" i="17"/>
  <c r="S460" i="17"/>
  <c r="S503" i="17"/>
  <c r="T345" i="17"/>
  <c r="S62" i="17"/>
  <c r="S59" i="17"/>
  <c r="T93" i="17"/>
  <c r="T48" i="17"/>
  <c r="S437" i="17"/>
  <c r="S244" i="17"/>
  <c r="T169" i="17"/>
  <c r="S280" i="17"/>
  <c r="T314" i="17"/>
  <c r="S435" i="17"/>
  <c r="T315" i="17"/>
  <c r="T527" i="17"/>
  <c r="T544" i="17"/>
  <c r="S61" i="17"/>
  <c r="S95" i="17"/>
  <c r="S52" i="17"/>
  <c r="T64" i="17"/>
  <c r="T255" i="17"/>
  <c r="S171" i="17"/>
  <c r="S284" i="17"/>
  <c r="T316" i="17"/>
  <c r="S454" i="17"/>
  <c r="T317" i="17"/>
  <c r="S548" i="17"/>
  <c r="T550" i="17"/>
  <c r="S154" i="17"/>
  <c r="T154" i="17"/>
  <c r="T217" i="17"/>
  <c r="S33" i="17"/>
  <c r="T159" i="17"/>
  <c r="S200" i="17"/>
  <c r="T193" i="17"/>
  <c r="T259" i="17"/>
  <c r="S222" i="17"/>
  <c r="S308" i="17"/>
  <c r="T368" i="17"/>
  <c r="S450" i="17"/>
  <c r="T328" i="17"/>
  <c r="S361" i="17"/>
  <c r="T211" i="17"/>
  <c r="T136" i="17"/>
  <c r="T168" i="17"/>
  <c r="T50" i="17"/>
  <c r="S132" i="17"/>
  <c r="S314" i="17"/>
  <c r="T246" i="17"/>
  <c r="S181" i="17"/>
  <c r="T399" i="17"/>
  <c r="S303" i="17"/>
  <c r="S401" i="17"/>
  <c r="S552" i="17"/>
  <c r="T513" i="17"/>
  <c r="T20" i="17"/>
  <c r="T143" i="17"/>
  <c r="T338" i="17"/>
  <c r="T248" i="17"/>
  <c r="T190" i="17"/>
  <c r="S409" i="17"/>
  <c r="S305" i="17"/>
  <c r="T407" i="17"/>
  <c r="T508" i="17"/>
  <c r="S529" i="17"/>
  <c r="T62" i="17"/>
  <c r="T30" i="17"/>
  <c r="S76" i="17"/>
  <c r="S110" i="17"/>
  <c r="T78" i="17"/>
  <c r="T81" i="17"/>
  <c r="S263" i="17"/>
  <c r="S186" i="17"/>
  <c r="S300" i="17"/>
  <c r="T324" i="17"/>
  <c r="T543" i="17"/>
  <c r="T325" i="17"/>
  <c r="S354" i="17"/>
  <c r="S582" i="17"/>
  <c r="T439" i="17"/>
  <c r="S339" i="17"/>
  <c r="S578" i="17"/>
  <c r="T473" i="17"/>
  <c r="S547" i="17"/>
  <c r="S510" i="17"/>
  <c r="T441" i="17"/>
  <c r="S341" i="17"/>
  <c r="S580" i="17"/>
  <c r="T475" i="17"/>
  <c r="S549" i="17"/>
  <c r="S512" i="17"/>
  <c r="S612" i="17"/>
  <c r="S535" i="17"/>
  <c r="T494" i="17"/>
  <c r="T453" i="17"/>
  <c r="S495" i="17"/>
  <c r="S559" i="17"/>
  <c r="T601" i="17"/>
  <c r="S408" i="17"/>
  <c r="T424" i="17"/>
  <c r="S457" i="17"/>
  <c r="T568" i="17"/>
  <c r="T610" i="17"/>
  <c r="T585" i="17"/>
  <c r="T556" i="17"/>
  <c r="S602" i="17"/>
  <c r="T525" i="17"/>
  <c r="T480" i="17"/>
  <c r="T428" i="17"/>
  <c r="S461" i="17"/>
  <c r="T572" i="17"/>
  <c r="T495" i="17"/>
  <c r="T589" i="17"/>
  <c r="S591" i="17"/>
  <c r="T579" i="17"/>
  <c r="AK251" i="28"/>
  <c r="AL251" i="28"/>
  <c r="AK212" i="28"/>
  <c r="AL212" i="28"/>
  <c r="AK299" i="28"/>
  <c r="AL299" i="28"/>
  <c r="AL353" i="28"/>
  <c r="AK353" i="28"/>
  <c r="AK156" i="28"/>
  <c r="AL156" i="28"/>
  <c r="AL348" i="28"/>
  <c r="AK348" i="28"/>
  <c r="AK596" i="28"/>
  <c r="AL596" i="28"/>
  <c r="AL372" i="28"/>
  <c r="AK372" i="28"/>
  <c r="AK595" i="28"/>
  <c r="AL595" i="28"/>
  <c r="AL498" i="28"/>
  <c r="AK498" i="28"/>
  <c r="AL273" i="28"/>
  <c r="AK273" i="28"/>
  <c r="AK175" i="28"/>
  <c r="AL175" i="28"/>
  <c r="AK139" i="28"/>
  <c r="AL139" i="28"/>
  <c r="AL173" i="28"/>
  <c r="AK173" i="28"/>
  <c r="AK151" i="28"/>
  <c r="AL151" i="28"/>
  <c r="AK468" i="28"/>
  <c r="AL468" i="28"/>
  <c r="AK425" i="28"/>
  <c r="AL425" i="28"/>
  <c r="AL315" i="28"/>
  <c r="AK315" i="28"/>
  <c r="AK385" i="28"/>
  <c r="AL385" i="28"/>
  <c r="AL310" i="28"/>
  <c r="AK310" i="28"/>
  <c r="AL284" i="28"/>
  <c r="AK284" i="28"/>
  <c r="AK227" i="28"/>
  <c r="AL227" i="28"/>
  <c r="AL101" i="28"/>
  <c r="AK101" i="28"/>
  <c r="AL545" i="28"/>
  <c r="AK545" i="28"/>
  <c r="AK493" i="28"/>
  <c r="AL493" i="28"/>
  <c r="AL221" i="28"/>
  <c r="AK221" i="28"/>
  <c r="AL172" i="28"/>
  <c r="AK172" i="28"/>
  <c r="AL239" i="28"/>
  <c r="AK239" i="28"/>
  <c r="AL191" i="28"/>
  <c r="AK191" i="28"/>
  <c r="AK62" i="28"/>
  <c r="AL62" i="28"/>
  <c r="AL610" i="28"/>
  <c r="AK610" i="28"/>
  <c r="AK314" i="28"/>
  <c r="AL314" i="28"/>
  <c r="AK439" i="28"/>
  <c r="AL439" i="28"/>
  <c r="AL357" i="28"/>
  <c r="AK357" i="28"/>
  <c r="AK144" i="28"/>
  <c r="AL144" i="28"/>
  <c r="AK15" i="28"/>
  <c r="AL15" i="28"/>
  <c r="AK542" i="28"/>
  <c r="AL542" i="28"/>
  <c r="AL605" i="28"/>
  <c r="AK605" i="28"/>
  <c r="AK562" i="28"/>
  <c r="AL562" i="28"/>
  <c r="AK477" i="28"/>
  <c r="AL477" i="28"/>
  <c r="AL195" i="28"/>
  <c r="AK195" i="28"/>
  <c r="AK482" i="28"/>
  <c r="AL482" i="28"/>
  <c r="AL447" i="28"/>
  <c r="AK447" i="28"/>
  <c r="AK377" i="28"/>
  <c r="AL377" i="28"/>
  <c r="AK406" i="28"/>
  <c r="AL406" i="28"/>
  <c r="AK352" i="28"/>
  <c r="AL352" i="28"/>
  <c r="AL309" i="28"/>
  <c r="AK309" i="28"/>
  <c r="AL40" i="28"/>
  <c r="AK40" i="28"/>
  <c r="AK198" i="28"/>
  <c r="AL198" i="28"/>
  <c r="AK518" i="28"/>
  <c r="AL518" i="28"/>
  <c r="AK451" i="28"/>
  <c r="AL451" i="28"/>
  <c r="AK178" i="28"/>
  <c r="AL178" i="28"/>
  <c r="AL161" i="28"/>
  <c r="AK161" i="28"/>
  <c r="AK150" i="28"/>
  <c r="AL150" i="28"/>
  <c r="AL106" i="28"/>
  <c r="AK106" i="28"/>
  <c r="AL104" i="28"/>
  <c r="AK104" i="28"/>
  <c r="AK561" i="28"/>
  <c r="AL561" i="28"/>
  <c r="AK417" i="28"/>
  <c r="AL417" i="28"/>
  <c r="AL279" i="28"/>
  <c r="AK279" i="28"/>
  <c r="AL162" i="28"/>
  <c r="AK162" i="28"/>
  <c r="AK516" i="28"/>
  <c r="AL516" i="28"/>
  <c r="AL473" i="28"/>
  <c r="AK473" i="28"/>
  <c r="AK396" i="28"/>
  <c r="AL396" i="28"/>
  <c r="AK441" i="28"/>
  <c r="AL441" i="28"/>
  <c r="AK386" i="28"/>
  <c r="AL386" i="28"/>
  <c r="AK300" i="28"/>
  <c r="AL300" i="28"/>
  <c r="AL41" i="28"/>
  <c r="AK41" i="28"/>
  <c r="AK234" i="28"/>
  <c r="AL234" i="28"/>
  <c r="AK547" i="28"/>
  <c r="AL547" i="28"/>
  <c r="AL459" i="28"/>
  <c r="AK459" i="28"/>
  <c r="AK261" i="28"/>
  <c r="AL261" i="28"/>
  <c r="AK147" i="28"/>
  <c r="AL147" i="28"/>
  <c r="AL168" i="28"/>
  <c r="AK168" i="28"/>
  <c r="AK140" i="28"/>
  <c r="AL140" i="28"/>
  <c r="AK145" i="28"/>
  <c r="AL145" i="28"/>
  <c r="AK588" i="28"/>
  <c r="AL588" i="28"/>
  <c r="AN502" i="28"/>
  <c r="AO502" i="28"/>
  <c r="AN309" i="28"/>
  <c r="AO309" i="28"/>
  <c r="AN93" i="28"/>
  <c r="AO93" i="28"/>
  <c r="AO149" i="28"/>
  <c r="AN149" i="28"/>
  <c r="AO168" i="28"/>
  <c r="AN168" i="28"/>
  <c r="AN91" i="28"/>
  <c r="AO91" i="28"/>
  <c r="AN126" i="28"/>
  <c r="AO126" i="28"/>
  <c r="AO418" i="28"/>
  <c r="AN418" i="28"/>
  <c r="AN594" i="28"/>
  <c r="AO594" i="28"/>
  <c r="AN527" i="28"/>
  <c r="AO527" i="28"/>
  <c r="AN277" i="28"/>
  <c r="AO277" i="28"/>
  <c r="AO208" i="28"/>
  <c r="AN208" i="28"/>
  <c r="AO210" i="28"/>
  <c r="AN210" i="28"/>
  <c r="AO108" i="28"/>
  <c r="AN108" i="28"/>
  <c r="AO481" i="28"/>
  <c r="AN481" i="28"/>
  <c r="AO568" i="28"/>
  <c r="AN568" i="28"/>
  <c r="AN90" i="28"/>
  <c r="AO90" i="28"/>
  <c r="AO233" i="28"/>
  <c r="AN233" i="28"/>
  <c r="AO388" i="28"/>
  <c r="AN388" i="28"/>
  <c r="AN365" i="28"/>
  <c r="AO365" i="28"/>
  <c r="AN71" i="28"/>
  <c r="AO71" i="28"/>
  <c r="AO36" i="28"/>
  <c r="AN36" i="28"/>
  <c r="AN538" i="28"/>
  <c r="AO538" i="28"/>
  <c r="AO248" i="28"/>
  <c r="AN248" i="28"/>
  <c r="AN439" i="28"/>
  <c r="AO439" i="28"/>
  <c r="AO18" i="28"/>
  <c r="AN18" i="28"/>
  <c r="AN347" i="28"/>
  <c r="AO347" i="28"/>
  <c r="AN523" i="28"/>
  <c r="AO523" i="28"/>
  <c r="AN505" i="28"/>
  <c r="AO505" i="28"/>
  <c r="AO212" i="28"/>
  <c r="AN212" i="28"/>
  <c r="AN197" i="28"/>
  <c r="AO197" i="28"/>
  <c r="AO186" i="28"/>
  <c r="AN186" i="28"/>
  <c r="AO270" i="28"/>
  <c r="AN270" i="28"/>
  <c r="AO400" i="28"/>
  <c r="AN400" i="28"/>
  <c r="AN340" i="28"/>
  <c r="AO340" i="28"/>
  <c r="AN147" i="28"/>
  <c r="AO147" i="28"/>
  <c r="AO32" i="28"/>
  <c r="AN32" i="28"/>
  <c r="AM625" i="28"/>
  <c r="AJ625" i="28"/>
  <c r="AO266" i="28"/>
  <c r="AN266" i="28"/>
  <c r="AO228" i="28"/>
  <c r="AN228" i="28"/>
  <c r="AO56" i="28"/>
  <c r="AN56" i="28"/>
  <c r="AN194" i="28"/>
  <c r="AO194" i="28"/>
  <c r="AO237" i="28"/>
  <c r="AN237" i="28"/>
  <c r="AN475" i="28"/>
  <c r="AO475" i="28"/>
  <c r="AN70" i="28"/>
  <c r="AO70" i="28"/>
  <c r="AN581" i="28"/>
  <c r="AO581" i="28"/>
  <c r="AN342" i="28"/>
  <c r="AO342" i="28"/>
  <c r="AN230" i="28"/>
  <c r="AO230" i="28"/>
  <c r="AO273" i="28"/>
  <c r="AN273" i="28"/>
  <c r="AN257" i="28"/>
  <c r="AO257" i="28"/>
  <c r="AN45" i="28"/>
  <c r="AO45" i="28"/>
  <c r="AN294" i="28"/>
  <c r="AO294" i="28"/>
  <c r="AN127" i="28"/>
  <c r="AO127" i="28"/>
  <c r="AO307" i="28"/>
  <c r="AN307" i="28"/>
  <c r="AN227" i="28"/>
  <c r="AO227" i="28"/>
  <c r="AN585" i="28"/>
  <c r="AO585" i="28"/>
  <c r="AO522" i="28"/>
  <c r="AN522" i="28"/>
  <c r="AO476" i="28"/>
  <c r="AN476" i="28"/>
  <c r="AO562" i="28"/>
  <c r="AN562" i="28"/>
  <c r="AO48" i="28"/>
  <c r="AN48" i="28"/>
  <c r="AO341" i="28"/>
  <c r="AN341" i="28"/>
  <c r="AO240" i="28"/>
  <c r="AN240" i="28"/>
  <c r="AN274" i="28"/>
  <c r="AO274" i="28"/>
  <c r="AO467" i="28"/>
  <c r="AN467" i="28"/>
  <c r="AN72" i="28"/>
  <c r="AO72" i="28"/>
  <c r="AO332" i="28"/>
  <c r="AN332" i="28"/>
  <c r="AN280" i="28"/>
  <c r="AO280" i="28"/>
  <c r="AO327" i="28"/>
  <c r="AN327" i="28"/>
  <c r="AO451" i="28"/>
  <c r="AN451" i="28"/>
  <c r="AO318" i="28"/>
  <c r="AN318" i="28"/>
  <c r="AN597" i="28"/>
  <c r="AO597" i="28"/>
  <c r="AN431" i="28"/>
  <c r="AO431" i="28"/>
  <c r="AN572" i="28"/>
  <c r="AO572" i="28"/>
  <c r="AN511" i="28"/>
  <c r="AO511" i="28"/>
  <c r="T347" i="17"/>
  <c r="S364" i="17"/>
  <c r="S477" i="17"/>
  <c r="S93" i="17"/>
  <c r="S127" i="17"/>
  <c r="T110" i="17"/>
  <c r="T96" i="17"/>
  <c r="S275" i="17"/>
  <c r="S203" i="17"/>
  <c r="T349" i="17"/>
  <c r="T355" i="17"/>
  <c r="T283" i="17"/>
  <c r="T350" i="17"/>
  <c r="S366" i="17"/>
  <c r="S493" i="17"/>
  <c r="T86" i="17"/>
  <c r="S151" i="17"/>
  <c r="T38" i="17"/>
  <c r="S65" i="17"/>
  <c r="S234" i="17"/>
  <c r="S265" i="17"/>
  <c r="T225" i="17"/>
  <c r="T365" i="17"/>
  <c r="S254" i="17"/>
  <c r="S476" i="17"/>
  <c r="S400" i="17"/>
  <c r="T303" i="17"/>
  <c r="S405" i="17"/>
  <c r="T531" i="17"/>
  <c r="S57" i="17"/>
  <c r="T172" i="17"/>
  <c r="T253" i="17"/>
  <c r="T82" i="17"/>
  <c r="T166" i="17"/>
  <c r="T165" i="17"/>
  <c r="T357" i="17"/>
  <c r="S213" i="17"/>
  <c r="T460" i="17"/>
  <c r="S319" i="17"/>
  <c r="S464" i="17"/>
  <c r="T410" i="17"/>
  <c r="T464" i="17"/>
  <c r="T52" i="17"/>
  <c r="S176" i="17"/>
  <c r="S167" i="17"/>
  <c r="T367" i="17"/>
  <c r="T222" i="17"/>
  <c r="T518" i="17"/>
  <c r="S321" i="17"/>
  <c r="S492" i="17"/>
  <c r="T414" i="17"/>
  <c r="T484" i="17"/>
  <c r="T32" i="17"/>
  <c r="T135" i="17"/>
  <c r="S108" i="17"/>
  <c r="S142" i="17"/>
  <c r="S22" i="17"/>
  <c r="T113" i="17"/>
  <c r="T290" i="17"/>
  <c r="S218" i="17"/>
  <c r="S419" i="17"/>
  <c r="T377" i="17"/>
  <c r="T291" i="17"/>
  <c r="S379" i="17"/>
  <c r="T443" i="17"/>
  <c r="T471" i="17"/>
  <c r="T496" i="17"/>
  <c r="S355" i="17"/>
  <c r="T447" i="17"/>
  <c r="T489" i="17"/>
  <c r="T553" i="17"/>
  <c r="T593" i="17"/>
  <c r="T512" i="17"/>
  <c r="S357" i="17"/>
  <c r="T449" i="17"/>
  <c r="T491" i="17"/>
  <c r="T555" i="17"/>
  <c r="T595" i="17"/>
  <c r="T477" i="17"/>
  <c r="S551" i="17"/>
  <c r="S514" i="17"/>
  <c r="S469" i="17"/>
  <c r="S511" i="17"/>
  <c r="S575" i="17"/>
  <c r="T372" i="17"/>
  <c r="T516" i="17"/>
  <c r="S440" i="17"/>
  <c r="T538" i="17"/>
  <c r="T584" i="17"/>
  <c r="T507" i="17"/>
  <c r="S605" i="17"/>
  <c r="S572" i="17"/>
  <c r="T467" i="17"/>
  <c r="S541" i="17"/>
  <c r="S500" i="17"/>
  <c r="S444" i="17"/>
  <c r="T542" i="17"/>
  <c r="T588" i="17"/>
  <c r="T511" i="17"/>
  <c r="S613" i="17"/>
  <c r="S607" i="17"/>
  <c r="S595" i="17"/>
  <c r="AL222" i="28"/>
  <c r="AK222" i="28"/>
  <c r="AL131" i="28"/>
  <c r="AK131" i="28"/>
  <c r="AL31" i="28"/>
  <c r="AK31" i="28"/>
  <c r="AL392" i="28"/>
  <c r="AK392" i="28"/>
  <c r="AL389" i="28"/>
  <c r="AK389" i="28"/>
  <c r="AL78" i="28"/>
  <c r="AK78" i="28"/>
  <c r="AL563" i="28"/>
  <c r="AK563" i="28"/>
  <c r="AL228" i="28"/>
  <c r="AK228" i="28"/>
  <c r="AL535" i="28"/>
  <c r="AK535" i="28"/>
  <c r="AL409" i="28"/>
  <c r="AK409" i="28"/>
  <c r="AK17" i="28"/>
  <c r="AL17" i="28"/>
  <c r="AL194" i="28"/>
  <c r="AK194" i="28"/>
  <c r="AL95" i="28"/>
  <c r="AK95" i="28"/>
  <c r="AK294" i="28"/>
  <c r="AL294" i="28"/>
  <c r="AK236" i="28"/>
  <c r="AL236" i="28"/>
  <c r="AL522" i="28"/>
  <c r="AK522" i="28"/>
  <c r="AK491" i="28"/>
  <c r="AL491" i="28"/>
  <c r="AL413" i="28"/>
  <c r="AK413" i="28"/>
  <c r="AL463" i="28"/>
  <c r="AK463" i="28"/>
  <c r="AL401" i="28"/>
  <c r="AK401" i="28"/>
  <c r="AK318" i="28"/>
  <c r="AL318" i="28"/>
  <c r="AL91" i="28"/>
  <c r="AK91" i="28"/>
  <c r="AL192" i="28"/>
  <c r="AK192" i="28"/>
  <c r="AK21" i="28"/>
  <c r="AL21" i="28"/>
  <c r="AL553" i="28"/>
  <c r="AK553" i="28"/>
  <c r="AL322" i="28"/>
  <c r="AK322" i="28"/>
  <c r="AK253" i="28"/>
  <c r="AL253" i="28"/>
  <c r="AL265" i="28"/>
  <c r="AK265" i="28"/>
  <c r="AL209" i="28"/>
  <c r="AK209" i="28"/>
  <c r="AK200" i="28"/>
  <c r="AL200" i="28"/>
  <c r="AK48" i="28"/>
  <c r="AL48" i="28"/>
  <c r="AL129" i="28"/>
  <c r="AK129" i="28"/>
  <c r="AL484" i="28"/>
  <c r="AK484" i="28"/>
  <c r="AK428" i="28"/>
  <c r="AL428" i="28"/>
  <c r="AK244" i="28"/>
  <c r="AL244" i="28"/>
  <c r="AL110" i="28"/>
  <c r="AK110" i="28"/>
  <c r="AK39" i="28"/>
  <c r="AL39" i="28"/>
  <c r="AL59" i="28"/>
  <c r="AK59" i="28"/>
  <c r="AL25" i="28"/>
  <c r="AK25" i="28"/>
  <c r="AK537" i="28"/>
  <c r="AL537" i="28"/>
  <c r="AK226" i="28"/>
  <c r="AL226" i="28"/>
  <c r="AL560" i="28"/>
  <c r="AK560" i="28"/>
  <c r="AL515" i="28"/>
  <c r="AK515" i="28"/>
  <c r="AK433" i="28"/>
  <c r="AL433" i="28"/>
  <c r="AL488" i="28"/>
  <c r="AK488" i="28"/>
  <c r="AK486" i="28"/>
  <c r="AL486" i="28"/>
  <c r="AL360" i="28"/>
  <c r="AK360" i="28"/>
  <c r="AL20" i="28"/>
  <c r="AK20" i="28"/>
  <c r="AL52" i="28"/>
  <c r="AK52" i="28"/>
  <c r="AL579" i="28"/>
  <c r="AK579" i="28"/>
  <c r="AK523" i="28"/>
  <c r="AL523" i="28"/>
  <c r="AK252" i="28"/>
  <c r="AL252" i="28"/>
  <c r="AL160" i="28"/>
  <c r="AK160" i="28"/>
  <c r="AK216" i="28"/>
  <c r="AL216" i="28"/>
  <c r="AL171" i="28"/>
  <c r="AK171" i="28"/>
  <c r="AL114" i="28"/>
  <c r="AK114" i="28"/>
  <c r="AL22" i="28"/>
  <c r="AK22" i="28"/>
  <c r="AK215" i="28"/>
  <c r="AL215" i="28"/>
  <c r="AK321" i="28"/>
  <c r="AL321" i="28"/>
  <c r="AK289" i="28"/>
  <c r="AL289" i="28"/>
  <c r="AK580" i="28"/>
  <c r="AL580" i="28"/>
  <c r="AK524" i="28"/>
  <c r="AL524" i="28"/>
  <c r="AL455" i="28"/>
  <c r="AK455" i="28"/>
  <c r="AL511" i="28"/>
  <c r="AK511" i="28"/>
  <c r="AK469" i="28"/>
  <c r="AL469" i="28"/>
  <c r="AL394" i="28"/>
  <c r="AK394" i="28"/>
  <c r="AK61" i="28"/>
  <c r="AL61" i="28"/>
  <c r="AK122" i="28"/>
  <c r="AL122" i="28"/>
  <c r="AL589" i="28"/>
  <c r="AK589" i="28"/>
  <c r="AL530" i="28"/>
  <c r="AK530" i="28"/>
  <c r="AL262" i="28"/>
  <c r="AK262" i="28"/>
  <c r="AK186" i="28"/>
  <c r="AL186" i="28"/>
  <c r="AK290" i="28"/>
  <c r="AL290" i="28"/>
  <c r="AK206" i="28"/>
  <c r="AL206" i="28"/>
  <c r="AL165" i="28"/>
  <c r="AK165" i="28"/>
  <c r="AL96" i="28"/>
  <c r="AK96" i="28"/>
  <c r="AO241" i="28"/>
  <c r="AN241" i="28"/>
  <c r="AO64" i="28"/>
  <c r="AN64" i="28"/>
  <c r="AO427" i="28"/>
  <c r="AN427" i="28"/>
  <c r="AN111" i="28"/>
  <c r="AO111" i="28"/>
  <c r="AN339" i="28"/>
  <c r="AO339" i="28"/>
  <c r="AN236" i="28"/>
  <c r="AO236" i="28"/>
  <c r="AN323" i="28"/>
  <c r="AO323" i="28"/>
  <c r="AO500" i="28"/>
  <c r="AN500" i="28"/>
  <c r="AO37" i="28"/>
  <c r="AN37" i="28"/>
  <c r="AN608" i="28"/>
  <c r="AO608" i="28"/>
  <c r="AO311" i="28"/>
  <c r="AN311" i="28"/>
  <c r="AO285" i="28"/>
  <c r="AN285" i="28"/>
  <c r="AN378" i="28"/>
  <c r="AO378" i="28"/>
  <c r="AO414" i="28"/>
  <c r="AN414" i="28"/>
  <c r="AO610" i="28"/>
  <c r="AN610" i="28"/>
  <c r="AO181" i="28"/>
  <c r="AN181" i="28"/>
  <c r="AO242" i="28"/>
  <c r="AN242" i="28"/>
  <c r="AO346" i="28"/>
  <c r="AN346" i="28"/>
  <c r="AN487" i="28"/>
  <c r="AO487" i="28"/>
  <c r="AN408" i="28"/>
  <c r="AO408" i="28"/>
  <c r="AN176" i="28"/>
  <c r="AO176" i="28"/>
  <c r="AN79" i="28"/>
  <c r="AO79" i="28"/>
  <c r="AN69" i="28"/>
  <c r="AO69" i="28"/>
  <c r="AN457" i="28"/>
  <c r="AO457" i="28"/>
  <c r="AN131" i="28"/>
  <c r="AO131" i="28"/>
  <c r="AN183" i="28"/>
  <c r="AO183" i="28"/>
  <c r="AN454" i="28"/>
  <c r="AO454" i="28"/>
  <c r="AO41" i="28"/>
  <c r="AN41" i="28"/>
  <c r="AO552" i="28"/>
  <c r="AN552" i="28"/>
  <c r="AN350" i="28"/>
  <c r="AO350" i="28"/>
  <c r="AN220" i="28"/>
  <c r="AO220" i="28"/>
  <c r="AO305" i="28"/>
  <c r="AN305" i="28"/>
  <c r="AN459" i="28"/>
  <c r="AO459" i="28"/>
  <c r="AN473" i="28"/>
  <c r="AO473" i="28"/>
  <c r="AO443" i="28"/>
  <c r="AN443" i="28"/>
  <c r="AO159" i="28"/>
  <c r="AN159" i="28"/>
  <c r="AN110" i="28"/>
  <c r="AO110" i="28"/>
  <c r="AN87" i="28"/>
  <c r="AO87" i="28"/>
  <c r="AN406" i="28"/>
  <c r="AO406" i="28"/>
  <c r="AN195" i="28"/>
  <c r="AO195" i="28"/>
  <c r="AN283" i="28"/>
  <c r="AO283" i="28"/>
  <c r="AN394" i="28"/>
  <c r="AO394" i="28"/>
  <c r="AO537" i="28"/>
  <c r="AN537" i="28"/>
  <c r="AN507" i="28"/>
  <c r="AO507" i="28"/>
  <c r="AO146" i="28"/>
  <c r="AN146" i="28"/>
  <c r="AO426" i="28"/>
  <c r="AN426" i="28"/>
  <c r="AO374" i="28"/>
  <c r="AN374" i="28"/>
  <c r="AO288" i="28"/>
  <c r="AN288" i="28"/>
  <c r="AO438" i="28"/>
  <c r="AN438" i="28"/>
  <c r="AO224" i="28"/>
  <c r="AN224" i="28"/>
  <c r="AN382" i="28"/>
  <c r="AO382" i="28"/>
  <c r="AN122" i="28"/>
  <c r="AO122" i="28"/>
  <c r="AO232" i="28"/>
  <c r="AN232" i="28"/>
  <c r="AO367" i="28"/>
  <c r="AN367" i="28"/>
  <c r="AN328" i="28"/>
  <c r="AO328" i="28"/>
  <c r="AO98" i="28"/>
  <c r="AN98" i="28"/>
  <c r="AO579" i="28"/>
  <c r="AN579" i="28"/>
  <c r="AO510" i="28"/>
  <c r="AN510" i="28"/>
  <c r="AO13" i="28"/>
  <c r="AN13" i="28"/>
  <c r="AO136" i="28"/>
  <c r="AN136" i="28"/>
  <c r="AN148" i="28"/>
  <c r="AO148" i="28"/>
  <c r="AO519" i="28"/>
  <c r="AN519" i="28"/>
  <c r="AN23" i="28"/>
  <c r="AO23" i="28"/>
  <c r="AO545" i="28"/>
  <c r="AN545" i="28"/>
  <c r="AO145" i="28"/>
  <c r="AN145" i="28"/>
  <c r="AO464" i="28"/>
  <c r="AN464" i="28"/>
  <c r="AO389" i="28"/>
  <c r="AN389" i="28"/>
  <c r="AN306" i="28"/>
  <c r="AO306" i="28"/>
  <c r="AO455" i="28"/>
  <c r="AN455" i="28"/>
  <c r="AO559" i="28"/>
  <c r="AN559" i="28"/>
  <c r="AN372" i="28"/>
  <c r="AO372" i="28"/>
  <c r="AN563" i="28"/>
  <c r="AO563" i="28"/>
  <c r="AO520" i="28"/>
  <c r="AN520" i="28"/>
  <c r="AN166" i="28"/>
  <c r="AO166" i="28"/>
  <c r="AN586" i="28"/>
  <c r="AO586" i="28"/>
  <c r="T393" i="17"/>
  <c r="T299" i="17"/>
  <c r="S395" i="17"/>
  <c r="S528" i="17"/>
  <c r="T600" i="17"/>
  <c r="S35" i="17"/>
  <c r="S20" i="17"/>
  <c r="T70" i="17"/>
  <c r="S97" i="17"/>
  <c r="T63" i="17"/>
  <c r="S66" i="17"/>
  <c r="T257" i="17"/>
  <c r="S173" i="17"/>
  <c r="S288" i="17"/>
  <c r="T318" i="17"/>
  <c r="S490" i="17"/>
  <c r="T319" i="17"/>
  <c r="S342" i="17"/>
  <c r="S560" i="17"/>
  <c r="S141" i="17"/>
  <c r="S253" i="17"/>
  <c r="T65" i="17"/>
  <c r="T114" i="17"/>
  <c r="S247" i="17"/>
  <c r="T197" i="17"/>
  <c r="S550" i="17"/>
  <c r="S245" i="17"/>
  <c r="S285" i="17"/>
  <c r="T356" i="17"/>
  <c r="S389" i="17"/>
  <c r="S442" i="17"/>
  <c r="T269" i="17"/>
  <c r="T84" i="17"/>
  <c r="T251" i="17"/>
  <c r="S199" i="17"/>
  <c r="T171" i="17"/>
  <c r="T254" i="17"/>
  <c r="S287" i="17"/>
  <c r="S369" i="17"/>
  <c r="S392" i="17"/>
  <c r="S452" i="17"/>
  <c r="S81" i="17"/>
  <c r="T118" i="17"/>
  <c r="S274" i="17"/>
  <c r="S140" i="17"/>
  <c r="S193" i="17"/>
  <c r="S54" i="17"/>
  <c r="T145" i="17"/>
  <c r="T364" i="17"/>
  <c r="S250" i="17"/>
  <c r="T192" i="17"/>
  <c r="S412" i="17"/>
  <c r="S307" i="17"/>
  <c r="S417" i="17"/>
  <c r="S540" i="17"/>
  <c r="S545" i="17"/>
  <c r="T524" i="17"/>
  <c r="T436" i="17"/>
  <c r="S463" i="17"/>
  <c r="S505" i="17"/>
  <c r="S569" i="17"/>
  <c r="T613" i="17"/>
  <c r="T535" i="17"/>
  <c r="T438" i="17"/>
  <c r="S465" i="17"/>
  <c r="S507" i="17"/>
  <c r="S571" i="17"/>
  <c r="T451" i="17"/>
  <c r="T493" i="17"/>
  <c r="T557" i="17"/>
  <c r="T597" i="17"/>
  <c r="S485" i="17"/>
  <c r="T592" i="17"/>
  <c r="T561" i="17"/>
  <c r="S404" i="17"/>
  <c r="S352" i="17"/>
  <c r="T498" i="17"/>
  <c r="T554" i="17"/>
  <c r="S600" i="17"/>
  <c r="T523" i="17"/>
  <c r="T478" i="17"/>
  <c r="S588" i="17"/>
  <c r="T483" i="17"/>
  <c r="S557" i="17"/>
  <c r="S522" i="17"/>
  <c r="S530" i="17"/>
  <c r="T558" i="17"/>
  <c r="S604" i="17"/>
  <c r="S527" i="17"/>
  <c r="T482" i="17"/>
  <c r="T472" i="17"/>
  <c r="AK395" i="28"/>
  <c r="AL395" i="28"/>
  <c r="AL45" i="28"/>
  <c r="AK45" i="28"/>
  <c r="AK159" i="28"/>
  <c r="AL159" i="28"/>
  <c r="AL340" i="28"/>
  <c r="AK340" i="28"/>
  <c r="AK233" i="28"/>
  <c r="AL233" i="28"/>
  <c r="AL27" i="28"/>
  <c r="AK27" i="28"/>
  <c r="AL481" i="28"/>
  <c r="AK481" i="28"/>
  <c r="AL88" i="28"/>
  <c r="AK88" i="28"/>
  <c r="AL464" i="28"/>
  <c r="AK464" i="28"/>
  <c r="AK202" i="28"/>
  <c r="AL202" i="28"/>
  <c r="AK174" i="28"/>
  <c r="AL174" i="28"/>
  <c r="AL123" i="28"/>
  <c r="AK123" i="28"/>
  <c r="AK280" i="28"/>
  <c r="AL280" i="28"/>
  <c r="AK356" i="28"/>
  <c r="AL356" i="28"/>
  <c r="AL312" i="28"/>
  <c r="AK312" i="28"/>
  <c r="AK590" i="28"/>
  <c r="AL590" i="28"/>
  <c r="AK540" i="28"/>
  <c r="AL540" i="28"/>
  <c r="AK476" i="28"/>
  <c r="AL476" i="28"/>
  <c r="AL520" i="28"/>
  <c r="AK520" i="28"/>
  <c r="AK454" i="28"/>
  <c r="AL454" i="28"/>
  <c r="AL400" i="28"/>
  <c r="AK400" i="28"/>
  <c r="AL407" i="28"/>
  <c r="AK407" i="28"/>
  <c r="AL112" i="28"/>
  <c r="AK112" i="28"/>
  <c r="AK83" i="28"/>
  <c r="AL83" i="28"/>
  <c r="AL26" i="28"/>
  <c r="AK26" i="28"/>
  <c r="AK373" i="28"/>
  <c r="AL373" i="28"/>
  <c r="AK267" i="28"/>
  <c r="AL267" i="28"/>
  <c r="AL323" i="28"/>
  <c r="AK323" i="28"/>
  <c r="AL286" i="28"/>
  <c r="AK286" i="28"/>
  <c r="AL217" i="28"/>
  <c r="AK217" i="28"/>
  <c r="AK28" i="28"/>
  <c r="AL28" i="28"/>
  <c r="AL35" i="28"/>
  <c r="AK35" i="28"/>
  <c r="AK570" i="28"/>
  <c r="AL570" i="28"/>
  <c r="AK492" i="28"/>
  <c r="AL492" i="28"/>
  <c r="AL245" i="28"/>
  <c r="AK245" i="28"/>
  <c r="AK210" i="28"/>
  <c r="AL210" i="28"/>
  <c r="AL201" i="28"/>
  <c r="AK201" i="28"/>
  <c r="AK188" i="28"/>
  <c r="AL188" i="28"/>
  <c r="AK67" i="28"/>
  <c r="AL67" i="28"/>
  <c r="AK80" i="28"/>
  <c r="AL80" i="28"/>
  <c r="AL311" i="28"/>
  <c r="AK311" i="28"/>
  <c r="AL18" i="28"/>
  <c r="AK18" i="28"/>
  <c r="AK573" i="28"/>
  <c r="AL573" i="28"/>
  <c r="AL504" i="28"/>
  <c r="AK504" i="28"/>
  <c r="AK556" i="28"/>
  <c r="AL556" i="28"/>
  <c r="AK487" i="28"/>
  <c r="AL487" i="28"/>
  <c r="AK431" i="28"/>
  <c r="AL431" i="28"/>
  <c r="AL193" i="28"/>
  <c r="AK193" i="28"/>
  <c r="AK324" i="28"/>
  <c r="AL324" i="28"/>
  <c r="AK63" i="28"/>
  <c r="AL63" i="28"/>
  <c r="AK584" i="28"/>
  <c r="AL584" i="28"/>
  <c r="AL344" i="28"/>
  <c r="AK344" i="28"/>
  <c r="AL269" i="28"/>
  <c r="AK269" i="28"/>
  <c r="AL293" i="28"/>
  <c r="AK293" i="28"/>
  <c r="AL248" i="28"/>
  <c r="AK248" i="28"/>
  <c r="AL179" i="28"/>
  <c r="AK179" i="28"/>
  <c r="AL38" i="28"/>
  <c r="AK38" i="28"/>
  <c r="AK177" i="28"/>
  <c r="AL177" i="28"/>
  <c r="AK390" i="28"/>
  <c r="AL390" i="28"/>
  <c r="AK329" i="28"/>
  <c r="AL329" i="28"/>
  <c r="AL102" i="28"/>
  <c r="AK102" i="28"/>
  <c r="AK601" i="28"/>
  <c r="AL601" i="28"/>
  <c r="AL512" i="28"/>
  <c r="AK512" i="28"/>
  <c r="AL572" i="28"/>
  <c r="AK572" i="28"/>
  <c r="AK502" i="28"/>
  <c r="AL502" i="28"/>
  <c r="AL432" i="28"/>
  <c r="AK432" i="28"/>
  <c r="AL277" i="28"/>
  <c r="AK277" i="28"/>
  <c r="AL50" i="28"/>
  <c r="AK50" i="28"/>
  <c r="AK84" i="28"/>
  <c r="AL84" i="28"/>
  <c r="AK586" i="28"/>
  <c r="AL586" i="28"/>
  <c r="AL383" i="28"/>
  <c r="AK383" i="28"/>
  <c r="AK260" i="28"/>
  <c r="AL260" i="28"/>
  <c r="AK341" i="28"/>
  <c r="AL341" i="28"/>
  <c r="AK263" i="28"/>
  <c r="AL263" i="28"/>
  <c r="AK230" i="28"/>
  <c r="AL230" i="28"/>
  <c r="AN371" i="28"/>
  <c r="AO371" i="28"/>
  <c r="AO225" i="28"/>
  <c r="AN225" i="28"/>
  <c r="AN392" i="28"/>
  <c r="AO392" i="28"/>
  <c r="AN590" i="28"/>
  <c r="AO590" i="28"/>
  <c r="AN21" i="28"/>
  <c r="AO21" i="28"/>
  <c r="AO162" i="28"/>
  <c r="AN162" i="28"/>
  <c r="AO598" i="28"/>
  <c r="AN598" i="28"/>
  <c r="AN49" i="28"/>
  <c r="AO49" i="28"/>
  <c r="AN555" i="28"/>
  <c r="AO555" i="28"/>
  <c r="AN114" i="28"/>
  <c r="AO114" i="28"/>
  <c r="AN458" i="28"/>
  <c r="AO458" i="28"/>
  <c r="AO424" i="28"/>
  <c r="AN424" i="28"/>
  <c r="AN319" i="28"/>
  <c r="AO319" i="28"/>
  <c r="AN501" i="28"/>
  <c r="AO501" i="28"/>
  <c r="AO74" i="28"/>
  <c r="AN74" i="28"/>
  <c r="AO599" i="28"/>
  <c r="AN599" i="28"/>
  <c r="AN381" i="28"/>
  <c r="AO381" i="28"/>
  <c r="AN40" i="28"/>
  <c r="AO40" i="28"/>
  <c r="AO361" i="28"/>
  <c r="AN361" i="28"/>
  <c r="AO515" i="28"/>
  <c r="AN515" i="28"/>
  <c r="AO477" i="28"/>
  <c r="AN477" i="28"/>
  <c r="AO278" i="28"/>
  <c r="AN278" i="28"/>
  <c r="AO184" i="28"/>
  <c r="AN184" i="28"/>
  <c r="AO192" i="28"/>
  <c r="AN192" i="28"/>
  <c r="AO282" i="28"/>
  <c r="AN282" i="28"/>
  <c r="AN322" i="28"/>
  <c r="AO322" i="28"/>
  <c r="AN411" i="28"/>
  <c r="AO411" i="28"/>
  <c r="AO517" i="28"/>
  <c r="AN517" i="28"/>
  <c r="AN44" i="28"/>
  <c r="AO44" i="28"/>
  <c r="AO415" i="28"/>
  <c r="AN415" i="28"/>
  <c r="AO383" i="28"/>
  <c r="AN383" i="28"/>
  <c r="AN265" i="28"/>
  <c r="AO265" i="28"/>
  <c r="AN393" i="28"/>
  <c r="AO393" i="28"/>
  <c r="AO174" i="28"/>
  <c r="AN174" i="28"/>
  <c r="AO553" i="28"/>
  <c r="AN553" i="28"/>
  <c r="AO486" i="28"/>
  <c r="AN486" i="28"/>
  <c r="AN201" i="28"/>
  <c r="AO201" i="28"/>
  <c r="AO167" i="28"/>
  <c r="AN167" i="28"/>
  <c r="AN175" i="28"/>
  <c r="AO175" i="28"/>
  <c r="AO89" i="28"/>
  <c r="AN89" i="28"/>
  <c r="AO78" i="28"/>
  <c r="AN78" i="28"/>
  <c r="AN441" i="28"/>
  <c r="AO441" i="28"/>
  <c r="AN58" i="28"/>
  <c r="AO58" i="28"/>
  <c r="AO137" i="28"/>
  <c r="AN137" i="28"/>
  <c r="AN603" i="28"/>
  <c r="AO603" i="28"/>
  <c r="AN164" i="28"/>
  <c r="AO164" i="28"/>
  <c r="AO485" i="28"/>
  <c r="AN485" i="28"/>
  <c r="AO434" i="28"/>
  <c r="AN434" i="28"/>
  <c r="AN380" i="28"/>
  <c r="AO380" i="28"/>
  <c r="AO546" i="28"/>
  <c r="AN546" i="28"/>
  <c r="AO352" i="28"/>
  <c r="AN352" i="28"/>
  <c r="AO77" i="28"/>
  <c r="AN77" i="28"/>
  <c r="AN151" i="28"/>
  <c r="AO151" i="28"/>
  <c r="AN250" i="28"/>
  <c r="AO250" i="28"/>
  <c r="AN435" i="28"/>
  <c r="AO435" i="28"/>
  <c r="AO363" i="28"/>
  <c r="AN363" i="28"/>
  <c r="AN139" i="28"/>
  <c r="AO139" i="28"/>
  <c r="AO106" i="28"/>
  <c r="AN106" i="28"/>
  <c r="AO35" i="28"/>
  <c r="AN35" i="28"/>
  <c r="AO531" i="28"/>
  <c r="AN531" i="28"/>
  <c r="AN207" i="28"/>
  <c r="AO207" i="28"/>
  <c r="AN333" i="28"/>
  <c r="AO333" i="28"/>
  <c r="AO120" i="28"/>
  <c r="AN120" i="28"/>
  <c r="AO97" i="28"/>
  <c r="AN97" i="28"/>
  <c r="AN198" i="28"/>
  <c r="AO198" i="28"/>
  <c r="AO190" i="28"/>
  <c r="AN190" i="28"/>
  <c r="AO513" i="28"/>
  <c r="AN513" i="28"/>
  <c r="AN472" i="28"/>
  <c r="AO472" i="28"/>
  <c r="AN404" i="28"/>
  <c r="AO404" i="28"/>
  <c r="AO24" i="28"/>
  <c r="AN24" i="28"/>
  <c r="AN27" i="28"/>
  <c r="AO27" i="28"/>
  <c r="AO429" i="28"/>
  <c r="AN429" i="28"/>
  <c r="AN103" i="28"/>
  <c r="AO103" i="28"/>
  <c r="AN580" i="28"/>
  <c r="AO580" i="28"/>
  <c r="AO153" i="28"/>
  <c r="AN153" i="28"/>
  <c r="AN17" i="28"/>
  <c r="AO17" i="28"/>
  <c r="AK607" i="28"/>
  <c r="AL607" i="28"/>
  <c r="AK81" i="28"/>
  <c r="AL81" i="28"/>
  <c r="AK82" i="28"/>
  <c r="AL82" i="28"/>
  <c r="AL281" i="28"/>
  <c r="AK281" i="28"/>
  <c r="AK555" i="28"/>
  <c r="AL555" i="28"/>
  <c r="AL115" i="28"/>
  <c r="AK115" i="28"/>
  <c r="AL531" i="28"/>
  <c r="AK531" i="28"/>
  <c r="AL424" i="28"/>
  <c r="AK424" i="28"/>
  <c r="AL270" i="28"/>
  <c r="AK270" i="28"/>
  <c r="AL105" i="28"/>
  <c r="AK105" i="28"/>
  <c r="AK70" i="28"/>
  <c r="AL70" i="28"/>
  <c r="AL57" i="28"/>
  <c r="AK57" i="28"/>
  <c r="AK187" i="28"/>
  <c r="AL187" i="28"/>
  <c r="AK418" i="28"/>
  <c r="AL418" i="28"/>
  <c r="AL364" i="28"/>
  <c r="AK364" i="28"/>
  <c r="AL94" i="28"/>
  <c r="AK94" i="28"/>
  <c r="AK532" i="28"/>
  <c r="AL532" i="28"/>
  <c r="AL591" i="28"/>
  <c r="AK591" i="28"/>
  <c r="AL525" i="28"/>
  <c r="AK525" i="28"/>
  <c r="AL462" i="28"/>
  <c r="AK462" i="28"/>
  <c r="AK199" i="28"/>
  <c r="AL199" i="28"/>
  <c r="AL291" i="28"/>
  <c r="AK291" i="28"/>
  <c r="AK185" i="28"/>
  <c r="AL185" i="28"/>
  <c r="AL458" i="28"/>
  <c r="AK458" i="28"/>
  <c r="AL444" i="28"/>
  <c r="AK444" i="28"/>
  <c r="AL358" i="28"/>
  <c r="AK358" i="28"/>
  <c r="AL421" i="28"/>
  <c r="AK421" i="28"/>
  <c r="AL369" i="28"/>
  <c r="AK369" i="28"/>
  <c r="AL333" i="28"/>
  <c r="AK333" i="28"/>
  <c r="AK143" i="28"/>
  <c r="AL143" i="28"/>
  <c r="AL225" i="28"/>
  <c r="AK225" i="28"/>
  <c r="AK53" i="28"/>
  <c r="AL53" i="28"/>
  <c r="AK568" i="28"/>
  <c r="AL568" i="28"/>
  <c r="AL327" i="28"/>
  <c r="AK327" i="28"/>
  <c r="AL208" i="28"/>
  <c r="AK208" i="28"/>
  <c r="AL278" i="28"/>
  <c r="AK278" i="28"/>
  <c r="AK211" i="28"/>
  <c r="AL211" i="28"/>
  <c r="AL196" i="28"/>
  <c r="AK196" i="28"/>
  <c r="AK446" i="28"/>
  <c r="AL446" i="28"/>
  <c r="AL354" i="28"/>
  <c r="AK354" i="28"/>
  <c r="AK116" i="28"/>
  <c r="AL116" i="28"/>
  <c r="AL77" i="28"/>
  <c r="AK77" i="28"/>
  <c r="AL569" i="28"/>
  <c r="AK569" i="28"/>
  <c r="AK558" i="28"/>
  <c r="AL558" i="28"/>
  <c r="AK495" i="28"/>
  <c r="AL495" i="28"/>
  <c r="AL65" i="28"/>
  <c r="AK65" i="28"/>
  <c r="AL138" i="28"/>
  <c r="AK138" i="28"/>
  <c r="AL100" i="28"/>
  <c r="AK100" i="28"/>
  <c r="AL436" i="28"/>
  <c r="AK436" i="28"/>
  <c r="AK397" i="28"/>
  <c r="AL397" i="28"/>
  <c r="AK336" i="28"/>
  <c r="AL336" i="28"/>
  <c r="AL381" i="28"/>
  <c r="AK381" i="28"/>
  <c r="AK337" i="28"/>
  <c r="AL337" i="28"/>
  <c r="AK256" i="28"/>
  <c r="AL256" i="28"/>
  <c r="AL142" i="28"/>
  <c r="AK142" i="28"/>
  <c r="AL14" i="28"/>
  <c r="AK14" i="28"/>
  <c r="AK452" i="28"/>
  <c r="AL452" i="28"/>
  <c r="AK411" i="28"/>
  <c r="AL411" i="28"/>
  <c r="AK99" i="28"/>
  <c r="AL99" i="28"/>
  <c r="AL87" i="28"/>
  <c r="AK87" i="28"/>
  <c r="AK581" i="28"/>
  <c r="AL581" i="28"/>
  <c r="AL128" i="28"/>
  <c r="AK128" i="28"/>
  <c r="AL583" i="28"/>
  <c r="AK583" i="28"/>
  <c r="AL510" i="28"/>
  <c r="AK510" i="28"/>
  <c r="AK108" i="28"/>
  <c r="AL108" i="28"/>
  <c r="AK180" i="28"/>
  <c r="AL180" i="28"/>
  <c r="AL134" i="28"/>
  <c r="AK134" i="28"/>
  <c r="AL474" i="28"/>
  <c r="AK474" i="28"/>
  <c r="AL415" i="28"/>
  <c r="AK415" i="28"/>
  <c r="AK351" i="28"/>
  <c r="AL351" i="28"/>
  <c r="AK378" i="28"/>
  <c r="AL378" i="28"/>
  <c r="AK305" i="28"/>
  <c r="AL305" i="28"/>
  <c r="AL271" i="28"/>
  <c r="AK271" i="28"/>
  <c r="AN287" i="28"/>
  <c r="AO287" i="28"/>
  <c r="AO370" i="28"/>
  <c r="AN370" i="28"/>
  <c r="AO299" i="28"/>
  <c r="AN299" i="28"/>
  <c r="AN410" i="28"/>
  <c r="AO410" i="28"/>
  <c r="AN543" i="28"/>
  <c r="AO543" i="28"/>
  <c r="AN373" i="28"/>
  <c r="AO373" i="28"/>
  <c r="AN100" i="28"/>
  <c r="AO100" i="28"/>
  <c r="AO102" i="28"/>
  <c r="AN102" i="28"/>
  <c r="AN219" i="28"/>
  <c r="AO219" i="28"/>
  <c r="AN199" i="28"/>
  <c r="AO199" i="28"/>
  <c r="AN535" i="28"/>
  <c r="AO535" i="28"/>
  <c r="AN466" i="28"/>
  <c r="AO466" i="28"/>
  <c r="AO385" i="28"/>
  <c r="AN385" i="28"/>
  <c r="AO595" i="28"/>
  <c r="AN595" i="28"/>
  <c r="AO338" i="28"/>
  <c r="AN338" i="28"/>
  <c r="AN179" i="28"/>
  <c r="AO179" i="28"/>
  <c r="AN84" i="28"/>
  <c r="AO84" i="28"/>
  <c r="AO152" i="28"/>
  <c r="AN152" i="28"/>
  <c r="AO445" i="28"/>
  <c r="AN445" i="28"/>
  <c r="AO602" i="28"/>
  <c r="AN602" i="28"/>
  <c r="AN560" i="28"/>
  <c r="AO560" i="28"/>
  <c r="AN295" i="28"/>
  <c r="AO295" i="28"/>
  <c r="AO202" i="28"/>
  <c r="AN202" i="28"/>
  <c r="AN297" i="28"/>
  <c r="AO297" i="28"/>
  <c r="AO291" i="28"/>
  <c r="AN291" i="28"/>
  <c r="AO73" i="28"/>
  <c r="AN73" i="28"/>
  <c r="AO67" i="28"/>
  <c r="AN67" i="28"/>
  <c r="AO584" i="28"/>
  <c r="AN584" i="28"/>
  <c r="AO173" i="28"/>
  <c r="AN173" i="28"/>
  <c r="AN484" i="28"/>
  <c r="AO484" i="28"/>
  <c r="AN423" i="28"/>
  <c r="AO423" i="28"/>
  <c r="AN335" i="28"/>
  <c r="AO335" i="28"/>
  <c r="AN532" i="28"/>
  <c r="AO532" i="28"/>
  <c r="AO301" i="28"/>
  <c r="AN301" i="28"/>
  <c r="AO22" i="28"/>
  <c r="AN22" i="28"/>
  <c r="AO561" i="28"/>
  <c r="AN561" i="28"/>
  <c r="AO302" i="28"/>
  <c r="AN302" i="28"/>
  <c r="AO209" i="28"/>
  <c r="AN209" i="28"/>
  <c r="AN252" i="28"/>
  <c r="AO252" i="28"/>
  <c r="AN330" i="28"/>
  <c r="AO330" i="28"/>
  <c r="AO260" i="28"/>
  <c r="AN260" i="28"/>
  <c r="AN178" i="28"/>
  <c r="AO178" i="28"/>
  <c r="AN269" i="28"/>
  <c r="AO269" i="28"/>
  <c r="AO141" i="28"/>
  <c r="AN141" i="28"/>
  <c r="AO276" i="28"/>
  <c r="AN276" i="28"/>
  <c r="AN206" i="28"/>
  <c r="AO206" i="28"/>
  <c r="AN578" i="28"/>
  <c r="AO578" i="28"/>
  <c r="AO493" i="28"/>
  <c r="AN493" i="28"/>
  <c r="AO442" i="28"/>
  <c r="AN442" i="28"/>
  <c r="AO609" i="28"/>
  <c r="AN609" i="28"/>
  <c r="AO112" i="28"/>
  <c r="AN112" i="28"/>
  <c r="AO264" i="28"/>
  <c r="AN264" i="28"/>
  <c r="AN420" i="28"/>
  <c r="AO420" i="28"/>
  <c r="AO300" i="28"/>
  <c r="AN300" i="28"/>
  <c r="AN478" i="28"/>
  <c r="AO478" i="28"/>
  <c r="AO436" i="28"/>
  <c r="AN436" i="28"/>
  <c r="AN185" i="28"/>
  <c r="AO185" i="28"/>
  <c r="AN150" i="28"/>
  <c r="AO150" i="28"/>
  <c r="AN118" i="28"/>
  <c r="AO118" i="28"/>
  <c r="AO465" i="28"/>
  <c r="AN465" i="28"/>
  <c r="AN128" i="28"/>
  <c r="AO128" i="28"/>
  <c r="AO99" i="28"/>
  <c r="AN99" i="28"/>
  <c r="AN303" i="28"/>
  <c r="AO303" i="28"/>
  <c r="AN140" i="28"/>
  <c r="AO140" i="28"/>
  <c r="AO360" i="28"/>
  <c r="AN360" i="28"/>
  <c r="AN290" i="28"/>
  <c r="AO290" i="28"/>
  <c r="AN604" i="28"/>
  <c r="AO604" i="28"/>
  <c r="AN521" i="28"/>
  <c r="AO521" i="28"/>
  <c r="AN453" i="28"/>
  <c r="AO453" i="28"/>
  <c r="AN583" i="28"/>
  <c r="AO583" i="28"/>
  <c r="AO588" i="28"/>
  <c r="AN588" i="28"/>
  <c r="AO491" i="28"/>
  <c r="AN491" i="28"/>
  <c r="AO170" i="28"/>
  <c r="AN170" i="28"/>
  <c r="AN19" i="28"/>
  <c r="AO19" i="28"/>
  <c r="AO211" i="28"/>
  <c r="AN211" i="28"/>
  <c r="AO573" i="28"/>
  <c r="AN573" i="28"/>
  <c r="AL371" i="28"/>
  <c r="AK371" i="28"/>
  <c r="AL490" i="28"/>
  <c r="AK490" i="28"/>
  <c r="AL113" i="28"/>
  <c r="AK113" i="28"/>
  <c r="AL456" i="28"/>
  <c r="AK456" i="28"/>
  <c r="AK334" i="28"/>
  <c r="AL334" i="28"/>
  <c r="AL72" i="28"/>
  <c r="AK72" i="28"/>
  <c r="AK611" i="28"/>
  <c r="AL611" i="28"/>
  <c r="AK242" i="28"/>
  <c r="AL242" i="28"/>
  <c r="AK609" i="28"/>
  <c r="AL609" i="28"/>
  <c r="AK33" i="28"/>
  <c r="AL33" i="28"/>
  <c r="AK472" i="28"/>
  <c r="AL472" i="28"/>
  <c r="AL399" i="28"/>
  <c r="AK399" i="28"/>
  <c r="AK164" i="28"/>
  <c r="AL164" i="28"/>
  <c r="AK111" i="28"/>
  <c r="AL111" i="28"/>
  <c r="AL594" i="28"/>
  <c r="AK594" i="28"/>
  <c r="AK60" i="28"/>
  <c r="AL60" i="28"/>
  <c r="AK600" i="28"/>
  <c r="AL600" i="28"/>
  <c r="AL539" i="28"/>
  <c r="AK539" i="28"/>
  <c r="AK133" i="28"/>
  <c r="AL133" i="28"/>
  <c r="AK264" i="28"/>
  <c r="AL264" i="28"/>
  <c r="AK235" i="28"/>
  <c r="AL235" i="28"/>
  <c r="AL533" i="28"/>
  <c r="AK533" i="28"/>
  <c r="AL500" i="28"/>
  <c r="AK500" i="28"/>
  <c r="AL398" i="28"/>
  <c r="AK398" i="28"/>
  <c r="AL478" i="28"/>
  <c r="AK478" i="28"/>
  <c r="AL412" i="28"/>
  <c r="AK412" i="28"/>
  <c r="AL379" i="28"/>
  <c r="AK379" i="28"/>
  <c r="AK69" i="28"/>
  <c r="AL69" i="28"/>
  <c r="AK76" i="28"/>
  <c r="AL76" i="28"/>
  <c r="AK141" i="28"/>
  <c r="AL141" i="28"/>
  <c r="AL30" i="28"/>
  <c r="AK30" i="28"/>
  <c r="AL370" i="28"/>
  <c r="AK370" i="28"/>
  <c r="AK306" i="28"/>
  <c r="AL306" i="28"/>
  <c r="AL361" i="28"/>
  <c r="AK361" i="28"/>
  <c r="AL283" i="28"/>
  <c r="AK283" i="28"/>
  <c r="AK219" i="28"/>
  <c r="AL219" i="28"/>
  <c r="AK528" i="28"/>
  <c r="AL528" i="28"/>
  <c r="AK427" i="28"/>
  <c r="AL427" i="28"/>
  <c r="AL181" i="28"/>
  <c r="AK181" i="28"/>
  <c r="AK157" i="28"/>
  <c r="AL157" i="28"/>
  <c r="AK32" i="28"/>
  <c r="AL32" i="28"/>
  <c r="AK117" i="28"/>
  <c r="AL117" i="28"/>
  <c r="AL37" i="28"/>
  <c r="AK37" i="28"/>
  <c r="AL559" i="28"/>
  <c r="AK559" i="28"/>
  <c r="AL342" i="28"/>
  <c r="AK342" i="28"/>
  <c r="AK266" i="28"/>
  <c r="AL266" i="28"/>
  <c r="AL204" i="28"/>
  <c r="AK204" i="28"/>
  <c r="AK499" i="28"/>
  <c r="AL499" i="28"/>
  <c r="AK449" i="28"/>
  <c r="AL449" i="28"/>
  <c r="AL376" i="28"/>
  <c r="AK376" i="28"/>
  <c r="AL442" i="28"/>
  <c r="AK442" i="28"/>
  <c r="AK387" i="28"/>
  <c r="AL387" i="28"/>
  <c r="AK295" i="28"/>
  <c r="AL295" i="28"/>
  <c r="AL154" i="28"/>
  <c r="AK154" i="28"/>
  <c r="AL255" i="28"/>
  <c r="AK255" i="28"/>
  <c r="AL506" i="28"/>
  <c r="AK506" i="28"/>
  <c r="AL460" i="28"/>
  <c r="AK460" i="28"/>
  <c r="AL223" i="28"/>
  <c r="AK223" i="28"/>
  <c r="AK124" i="28"/>
  <c r="AL124" i="28"/>
  <c r="AL163" i="28"/>
  <c r="AK163" i="28"/>
  <c r="AK127" i="28"/>
  <c r="AL127" i="28"/>
  <c r="AL47" i="28"/>
  <c r="AK47" i="28"/>
  <c r="AK571" i="28"/>
  <c r="AL571" i="28"/>
  <c r="AL85" i="28"/>
  <c r="AK85" i="28"/>
  <c r="AL296" i="28"/>
  <c r="AK296" i="28"/>
  <c r="AK207" i="28"/>
  <c r="AL207" i="28"/>
  <c r="AK507" i="28"/>
  <c r="AL507" i="28"/>
  <c r="AL466" i="28"/>
  <c r="AK466" i="28"/>
  <c r="AK384" i="28"/>
  <c r="AL384" i="28"/>
  <c r="AK453" i="28"/>
  <c r="AL453" i="28"/>
  <c r="AK393" i="28"/>
  <c r="AL393" i="28"/>
  <c r="AK313" i="28"/>
  <c r="AL313" i="28"/>
  <c r="AN203" i="28"/>
  <c r="AO203" i="28"/>
  <c r="AO359" i="28"/>
  <c r="AN359" i="28"/>
  <c r="AN448" i="28"/>
  <c r="AO448" i="28"/>
  <c r="AN298" i="28"/>
  <c r="AO298" i="28"/>
  <c r="AN143" i="28"/>
  <c r="AO143" i="28"/>
  <c r="AN165" i="28"/>
  <c r="AO165" i="28"/>
  <c r="AN348" i="28"/>
  <c r="AO348" i="28"/>
  <c r="AN157" i="28"/>
  <c r="AO157" i="28"/>
  <c r="AN320" i="28"/>
  <c r="AO320" i="28"/>
  <c r="AN261" i="28"/>
  <c r="AO261" i="28"/>
  <c r="AO607" i="28"/>
  <c r="AN607" i="28"/>
  <c r="AN536" i="28"/>
  <c r="AO536" i="28"/>
  <c r="AO447" i="28"/>
  <c r="AN447" i="28"/>
  <c r="AO587" i="28"/>
  <c r="AN587" i="28"/>
  <c r="AO479" i="28"/>
  <c r="AN479" i="28"/>
  <c r="AO495" i="28"/>
  <c r="AN495" i="28"/>
  <c r="AN281" i="28"/>
  <c r="AO281" i="28"/>
  <c r="AO366" i="28"/>
  <c r="AN366" i="28"/>
  <c r="AN480" i="28"/>
  <c r="AO480" i="28"/>
  <c r="AO55" i="28"/>
  <c r="AN55" i="28"/>
  <c r="AN416" i="28"/>
  <c r="AO416" i="28"/>
  <c r="AN376" i="28"/>
  <c r="AO376" i="28"/>
  <c r="AO244" i="28"/>
  <c r="AN244" i="28"/>
  <c r="AN386" i="28"/>
  <c r="AO386" i="28"/>
  <c r="AN547" i="28"/>
  <c r="AO547" i="28"/>
  <c r="AO254" i="28"/>
  <c r="AN254" i="28"/>
  <c r="AN107" i="28"/>
  <c r="AO107" i="28"/>
  <c r="AN258" i="28"/>
  <c r="AO258" i="28"/>
  <c r="AN249" i="28"/>
  <c r="AO249" i="28"/>
  <c r="AO533" i="28"/>
  <c r="AN533" i="28"/>
  <c r="AO492" i="28"/>
  <c r="AN492" i="28"/>
  <c r="AN430" i="28"/>
  <c r="AO430" i="28"/>
  <c r="AN31" i="28"/>
  <c r="AO31" i="28"/>
  <c r="AO395" i="28"/>
  <c r="AN395" i="28"/>
  <c r="AN113" i="28"/>
  <c r="AO113" i="28"/>
  <c r="AO470" i="28"/>
  <c r="AN470" i="28"/>
  <c r="AN356" i="28"/>
  <c r="AO356" i="28"/>
  <c r="AO310" i="28"/>
  <c r="AN310" i="28"/>
  <c r="AN421" i="28"/>
  <c r="AO421" i="28"/>
  <c r="AO530" i="28"/>
  <c r="AN530" i="28"/>
  <c r="AO509" i="28"/>
  <c r="AN509" i="28"/>
  <c r="AO293" i="28"/>
  <c r="AN293" i="28"/>
  <c r="AN62" i="28"/>
  <c r="AO62" i="28"/>
  <c r="AO187" i="28"/>
  <c r="AN187" i="28"/>
  <c r="AN354" i="28"/>
  <c r="AO354" i="28"/>
  <c r="AO315" i="28"/>
  <c r="AN315" i="28"/>
  <c r="AO86" i="28"/>
  <c r="AN86" i="28"/>
  <c r="AO575" i="28"/>
  <c r="AN575" i="28"/>
  <c r="AN503" i="28"/>
  <c r="AO503" i="28"/>
  <c r="AO592" i="28"/>
  <c r="AN592" i="28"/>
  <c r="AO63" i="28"/>
  <c r="AN63" i="28"/>
  <c r="AO59" i="28"/>
  <c r="AN59" i="28"/>
  <c r="AO80" i="28"/>
  <c r="AN80" i="28"/>
  <c r="AO401" i="28"/>
  <c r="AN401" i="28"/>
  <c r="AO551" i="28"/>
  <c r="AN551" i="28"/>
  <c r="AN506" i="28"/>
  <c r="AO506" i="28"/>
  <c r="AO251" i="28"/>
  <c r="AN251" i="28"/>
  <c r="AO193" i="28"/>
  <c r="AN193" i="28"/>
  <c r="AN216" i="28"/>
  <c r="AO216" i="28"/>
  <c r="AO489" i="28"/>
  <c r="AN489" i="28"/>
  <c r="AN591" i="28"/>
  <c r="AO591" i="28"/>
  <c r="AO387" i="28"/>
  <c r="AN387" i="28"/>
  <c r="AN42" i="28"/>
  <c r="AO42" i="28"/>
  <c r="AO229" i="28"/>
  <c r="AN229" i="28"/>
  <c r="AO369" i="28"/>
  <c r="AN369" i="28"/>
  <c r="AN317" i="28"/>
  <c r="AO317" i="28"/>
  <c r="AO88" i="28"/>
  <c r="AN88" i="28"/>
  <c r="AN605" i="28"/>
  <c r="AO605" i="28"/>
  <c r="AO556" i="28"/>
  <c r="AN556" i="28"/>
  <c r="AO20" i="28"/>
  <c r="AN20" i="28"/>
  <c r="AO589" i="28"/>
  <c r="AN589" i="28"/>
  <c r="AO570" i="28"/>
  <c r="AN570" i="28"/>
  <c r="AN196" i="28"/>
  <c r="AO196" i="28"/>
  <c r="AN549" i="28"/>
  <c r="AO549" i="28"/>
  <c r="AN267" i="28"/>
  <c r="AO267" i="28"/>
  <c r="AO539" i="28"/>
  <c r="AN539" i="28"/>
  <c r="AK304" i="28"/>
  <c r="AL304" i="28"/>
  <c r="AK343" i="28"/>
  <c r="AL343" i="28"/>
  <c r="AK148" i="28"/>
  <c r="AL148" i="28"/>
  <c r="AK75" i="28"/>
  <c r="AL75" i="28"/>
  <c r="AL423" i="28"/>
  <c r="AK423" i="28"/>
  <c r="AK282" i="28"/>
  <c r="AL282" i="28"/>
  <c r="AL410" i="28"/>
  <c r="AK410" i="28"/>
  <c r="AK103" i="28"/>
  <c r="AL103" i="28"/>
  <c r="AK79" i="28"/>
  <c r="AL79" i="28"/>
  <c r="AL49" i="28"/>
  <c r="AK49" i="28"/>
  <c r="AL554" i="28"/>
  <c r="AK554" i="28"/>
  <c r="AL42" i="28"/>
  <c r="AK42" i="28"/>
  <c r="AK319" i="28"/>
  <c r="AL319" i="28"/>
  <c r="AK544" i="28"/>
  <c r="AL544" i="28"/>
  <c r="AK450" i="28"/>
  <c r="AL450" i="28"/>
  <c r="AL246" i="28"/>
  <c r="AK246" i="28"/>
  <c r="AL107" i="28"/>
  <c r="AK107" i="28"/>
  <c r="AK197" i="28"/>
  <c r="AL197" i="28"/>
  <c r="AK169" i="28"/>
  <c r="AL169" i="28"/>
  <c r="AL68" i="28"/>
  <c r="AK68" i="28"/>
  <c r="AK597" i="28"/>
  <c r="AL597" i="28"/>
  <c r="AL58" i="28"/>
  <c r="AK58" i="28"/>
  <c r="AK347" i="28"/>
  <c r="AL347" i="28"/>
  <c r="AK272" i="28"/>
  <c r="AL272" i="28"/>
  <c r="AK592" i="28"/>
  <c r="AL592" i="28"/>
  <c r="AL567" i="28"/>
  <c r="AK567" i="28"/>
  <c r="AL480" i="28"/>
  <c r="AK480" i="28"/>
  <c r="AK529" i="28"/>
  <c r="AL529" i="28"/>
  <c r="AL497" i="28"/>
  <c r="AK497" i="28"/>
  <c r="AL420" i="28"/>
  <c r="AK420" i="28"/>
  <c r="AK240" i="28"/>
  <c r="AL240" i="28"/>
  <c r="AK335" i="28"/>
  <c r="AL335" i="28"/>
  <c r="AK182" i="28"/>
  <c r="AL182" i="28"/>
  <c r="AK483" i="28"/>
  <c r="AL483" i="28"/>
  <c r="AK443" i="28"/>
  <c r="AL443" i="28"/>
  <c r="AL375" i="28"/>
  <c r="AK375" i="28"/>
  <c r="AK404" i="28"/>
  <c r="AL404" i="28"/>
  <c r="AL374" i="28"/>
  <c r="AK374" i="28"/>
  <c r="AK287" i="28"/>
  <c r="AL287" i="28"/>
  <c r="AL575" i="28"/>
  <c r="AK575" i="28"/>
  <c r="AK508" i="28"/>
  <c r="AL508" i="28"/>
  <c r="AK288" i="28"/>
  <c r="AL288" i="28"/>
  <c r="AK155" i="28"/>
  <c r="AL155" i="28"/>
  <c r="AL320" i="28"/>
  <c r="AK320" i="28"/>
  <c r="AK158" i="28"/>
  <c r="AL158" i="28"/>
  <c r="AL125" i="28"/>
  <c r="AK125" i="28"/>
  <c r="AL34" i="28"/>
  <c r="AK34" i="28"/>
  <c r="AK190" i="28"/>
  <c r="AL190" i="28"/>
  <c r="AL308" i="28"/>
  <c r="AK308" i="28"/>
  <c r="AK274" i="28"/>
  <c r="AL274" i="28"/>
  <c r="AK565" i="28"/>
  <c r="AL565" i="28"/>
  <c r="AL526" i="28"/>
  <c r="AK526" i="28"/>
  <c r="AL448" i="28"/>
  <c r="AK448" i="28"/>
  <c r="AL479" i="28"/>
  <c r="AK479" i="28"/>
  <c r="AL430" i="28"/>
  <c r="AK430" i="28"/>
  <c r="AL338" i="28"/>
  <c r="AK338" i="28"/>
  <c r="AL46" i="28"/>
  <c r="AK46" i="28"/>
  <c r="AL86" i="28"/>
  <c r="AK86" i="28"/>
  <c r="AK599" i="28"/>
  <c r="AL599" i="28"/>
  <c r="AK514" i="28"/>
  <c r="AL514" i="28"/>
  <c r="AK249" i="28"/>
  <c r="AL249" i="28"/>
  <c r="AK189" i="28"/>
  <c r="AL189" i="28"/>
  <c r="AK237" i="28"/>
  <c r="AL237" i="28"/>
  <c r="AL176" i="28"/>
  <c r="AK176" i="28"/>
  <c r="AL135" i="28"/>
  <c r="AK135" i="28"/>
  <c r="AK19" i="28"/>
  <c r="AL19" i="28"/>
  <c r="AK213" i="28"/>
  <c r="AL213" i="28"/>
  <c r="AL326" i="28"/>
  <c r="AK326" i="28"/>
  <c r="AL349" i="28"/>
  <c r="AK349" i="28"/>
  <c r="AL576" i="28"/>
  <c r="AK576" i="28"/>
  <c r="AK541" i="28"/>
  <c r="AL541" i="28"/>
  <c r="AK457" i="28"/>
  <c r="AL457" i="28"/>
  <c r="AL521" i="28"/>
  <c r="AK521" i="28"/>
  <c r="AK471" i="28"/>
  <c r="AL471" i="28"/>
  <c r="AL419" i="28"/>
  <c r="AK419" i="28"/>
  <c r="AO119" i="28"/>
  <c r="AN119" i="28"/>
  <c r="AO101" i="28"/>
  <c r="AN101" i="28"/>
  <c r="AN26" i="28"/>
  <c r="AO26" i="28"/>
  <c r="AN324" i="28"/>
  <c r="AO324" i="28"/>
  <c r="AN468" i="28"/>
  <c r="AO468" i="28"/>
  <c r="AO437" i="28"/>
  <c r="AN437" i="28"/>
  <c r="AO47" i="28"/>
  <c r="AN47" i="28"/>
  <c r="AN226" i="28"/>
  <c r="AO226" i="28"/>
  <c r="AN355" i="28"/>
  <c r="AO355" i="28"/>
  <c r="AN345" i="28"/>
  <c r="AO345" i="28"/>
  <c r="AN53" i="28"/>
  <c r="AO53" i="28"/>
  <c r="AO548" i="28"/>
  <c r="AN548" i="28"/>
  <c r="AO51" i="28"/>
  <c r="AN51" i="28"/>
  <c r="AN104" i="28"/>
  <c r="AO104" i="28"/>
  <c r="AN172" i="28"/>
  <c r="AO172" i="28"/>
  <c r="AO81" i="28"/>
  <c r="AN81" i="28"/>
  <c r="AO54" i="28"/>
  <c r="AN54" i="28"/>
  <c r="AO565" i="28"/>
  <c r="AN565" i="28"/>
  <c r="AO160" i="28"/>
  <c r="AN160" i="28"/>
  <c r="AN474" i="28"/>
  <c r="AO474" i="28"/>
  <c r="AO405" i="28"/>
  <c r="AN405" i="28"/>
  <c r="AO377" i="28"/>
  <c r="AN377" i="28"/>
  <c r="AN518" i="28"/>
  <c r="AO518" i="28"/>
  <c r="AO275" i="28"/>
  <c r="AN275" i="28"/>
  <c r="AO524" i="28"/>
  <c r="AN524" i="28"/>
  <c r="AN239" i="28"/>
  <c r="AO239" i="28"/>
  <c r="AN308" i="28"/>
  <c r="AO308" i="28"/>
  <c r="AO284" i="28"/>
  <c r="AN284" i="28"/>
  <c r="AN34" i="28"/>
  <c r="AO34" i="28"/>
  <c r="AO541" i="28"/>
  <c r="AN541" i="28"/>
  <c r="AN499" i="28"/>
  <c r="AO499" i="28"/>
  <c r="AO566" i="28"/>
  <c r="AN566" i="28"/>
  <c r="AN529" i="28"/>
  <c r="AO529" i="28"/>
  <c r="AN231" i="28"/>
  <c r="AO231" i="28"/>
  <c r="AO494" i="28"/>
  <c r="AN494" i="28"/>
  <c r="AN432" i="28"/>
  <c r="AO432" i="28"/>
  <c r="AO364" i="28"/>
  <c r="AN364" i="28"/>
  <c r="AN558" i="28"/>
  <c r="AO558" i="28"/>
  <c r="AO412" i="28"/>
  <c r="AN412" i="28"/>
  <c r="AO351" i="28"/>
  <c r="AN351" i="28"/>
  <c r="AO75" i="28"/>
  <c r="AN75" i="28"/>
  <c r="AO132" i="28"/>
  <c r="AN132" i="28"/>
  <c r="AN313" i="28"/>
  <c r="AO313" i="28"/>
  <c r="AO399" i="28"/>
  <c r="AN399" i="28"/>
  <c r="AO358" i="28"/>
  <c r="AN358" i="28"/>
  <c r="AN154" i="28"/>
  <c r="AO154" i="28"/>
  <c r="AN94" i="28"/>
  <c r="AO94" i="28"/>
  <c r="AO15" i="28"/>
  <c r="AN15" i="28"/>
  <c r="AO417" i="28"/>
  <c r="AN417" i="28"/>
  <c r="AN304" i="28"/>
  <c r="AO304" i="28"/>
  <c r="AN177" i="28"/>
  <c r="AO177" i="28"/>
  <c r="AN214" i="28"/>
  <c r="AO214" i="28"/>
  <c r="AO471" i="28"/>
  <c r="AN471" i="28"/>
  <c r="AN83" i="28"/>
  <c r="AO83" i="28"/>
  <c r="AO574" i="28"/>
  <c r="AN574" i="28"/>
  <c r="AN334" i="28"/>
  <c r="AO334" i="28"/>
  <c r="AO259" i="28"/>
  <c r="AN259" i="28"/>
  <c r="AO314" i="28"/>
  <c r="AN314" i="28"/>
  <c r="AO218" i="28"/>
  <c r="AN218" i="28"/>
  <c r="AO263" i="28"/>
  <c r="AN263" i="28"/>
  <c r="AO52" i="28"/>
  <c r="AN52" i="28"/>
  <c r="AN182" i="28"/>
  <c r="AO182" i="28"/>
  <c r="AN271" i="28"/>
  <c r="AO271" i="28"/>
  <c r="AO452" i="28"/>
  <c r="AN452" i="28"/>
  <c r="AO402" i="28"/>
  <c r="AN402" i="28"/>
  <c r="AO109" i="28"/>
  <c r="AN109" i="28"/>
  <c r="AO96" i="28"/>
  <c r="AN96" i="28"/>
  <c r="AO33" i="28"/>
  <c r="AN33" i="28"/>
  <c r="AN255" i="28"/>
  <c r="AO255" i="28"/>
  <c r="AN569" i="28"/>
  <c r="AO569" i="28"/>
  <c r="AN613" i="28"/>
  <c r="AO613" i="28"/>
  <c r="AN238" i="28"/>
  <c r="AO238" i="28"/>
  <c r="AN29" i="28"/>
  <c r="AO29" i="28"/>
  <c r="AO368" i="28"/>
  <c r="AN368" i="28"/>
  <c r="AN611" i="28"/>
  <c r="AO611" i="28"/>
  <c r="AP30" i="28"/>
  <c r="AS30" i="28" s="1"/>
  <c r="AP48" i="28"/>
  <c r="AS48" i="28" s="1"/>
  <c r="AP25" i="28"/>
  <c r="AS25" i="28" s="1"/>
  <c r="AP18" i="28"/>
  <c r="AS18" i="28" s="1"/>
  <c r="AP15" i="28"/>
  <c r="AS15" i="28" s="1"/>
  <c r="AP40" i="28"/>
  <c r="AS40" i="28" s="1"/>
  <c r="AP21" i="28"/>
  <c r="AS21" i="28" s="1"/>
  <c r="AP14" i="28"/>
  <c r="AS14" i="28" s="1"/>
  <c r="AP27" i="28"/>
  <c r="AS27" i="28" s="1"/>
  <c r="AP50" i="28"/>
  <c r="AS50" i="28" s="1"/>
  <c r="AP17" i="28"/>
  <c r="AS17" i="28" s="1"/>
  <c r="AP23" i="28"/>
  <c r="AS23" i="28" s="1"/>
  <c r="AP29" i="28"/>
  <c r="AS29" i="28" s="1"/>
  <c r="AP20" i="28"/>
  <c r="AS20" i="28" s="1"/>
  <c r="AP105" i="28"/>
  <c r="AS105" i="28" s="1"/>
  <c r="AP43" i="28"/>
  <c r="AS43" i="28" s="1"/>
  <c r="AP82" i="28"/>
  <c r="AS82" i="28" s="1"/>
  <c r="AP113" i="28"/>
  <c r="AS113" i="28" s="1"/>
  <c r="AP604" i="28"/>
  <c r="AS604" i="28" s="1"/>
  <c r="AP592" i="28"/>
  <c r="AS592" i="28" s="1"/>
  <c r="AP598" i="28"/>
  <c r="AS598" i="28" s="1"/>
  <c r="AP582" i="28"/>
  <c r="AS582" i="28" s="1"/>
  <c r="AP576" i="28"/>
  <c r="AS576" i="28" s="1"/>
  <c r="AP571" i="28"/>
  <c r="AS571" i="28" s="1"/>
  <c r="AP565" i="28"/>
  <c r="AS565" i="28" s="1"/>
  <c r="AP542" i="28"/>
  <c r="AS542" i="28" s="1"/>
  <c r="AP560" i="28"/>
  <c r="AS560" i="28" s="1"/>
  <c r="AP523" i="28"/>
  <c r="AS523" i="28" s="1"/>
  <c r="AP541" i="28"/>
  <c r="AS541" i="28" s="1"/>
  <c r="AP511" i="28"/>
  <c r="AS511" i="28" s="1"/>
  <c r="AP530" i="28"/>
  <c r="AS530" i="28" s="1"/>
  <c r="AP505" i="28"/>
  <c r="AS505" i="28" s="1"/>
  <c r="AP506" i="28"/>
  <c r="AS506" i="28" s="1"/>
  <c r="AP503" i="28"/>
  <c r="AS503" i="28" s="1"/>
  <c r="AP483" i="28"/>
  <c r="AS483" i="28" s="1"/>
  <c r="AP458" i="28"/>
  <c r="AS458" i="28" s="1"/>
  <c r="AP474" i="28"/>
  <c r="AS474" i="28" s="1"/>
  <c r="AP454" i="28"/>
  <c r="AS454" i="28" s="1"/>
  <c r="AP434" i="28"/>
  <c r="AS434" i="28" s="1"/>
  <c r="AP435" i="28"/>
  <c r="AS435" i="28" s="1"/>
  <c r="AP433" i="28"/>
  <c r="AS433" i="28" s="1"/>
  <c r="AP416" i="28"/>
  <c r="AS416" i="28" s="1"/>
  <c r="AP417" i="28"/>
  <c r="AS417" i="28" s="1"/>
  <c r="AP415" i="28"/>
  <c r="AS415" i="28" s="1"/>
  <c r="AP389" i="28"/>
  <c r="AS389" i="28" s="1"/>
  <c r="AP399" i="28"/>
  <c r="AS399" i="28" s="1"/>
  <c r="AP384" i="28"/>
  <c r="AS384" i="28" s="1"/>
  <c r="AP367" i="28"/>
  <c r="AS367" i="28" s="1"/>
  <c r="AP378" i="28"/>
  <c r="AS378" i="28" s="1"/>
  <c r="AP376" i="28"/>
  <c r="AS376" i="28" s="1"/>
  <c r="AP363" i="28"/>
  <c r="AS363" i="28" s="1"/>
  <c r="AP345" i="28"/>
  <c r="AS345" i="28" s="1"/>
  <c r="AP328" i="28"/>
  <c r="AS328" i="28" s="1"/>
  <c r="AP315" i="28"/>
  <c r="AS315" i="28" s="1"/>
  <c r="AP343" i="28"/>
  <c r="AS343" i="28" s="1"/>
  <c r="AP324" i="28"/>
  <c r="AS324" i="28" s="1"/>
  <c r="AP303" i="28"/>
  <c r="AS303" i="28" s="1"/>
  <c r="AP296" i="28"/>
  <c r="AS296" i="28" s="1"/>
  <c r="AP280" i="28"/>
  <c r="AS280" i="28" s="1"/>
  <c r="AP275" i="28"/>
  <c r="AS275" i="28" s="1"/>
  <c r="AP278" i="28"/>
  <c r="AS278" i="28" s="1"/>
  <c r="AP265" i="28"/>
  <c r="AS265" i="28" s="1"/>
  <c r="AP279" i="28"/>
  <c r="AS279" i="28" s="1"/>
  <c r="AP247" i="28"/>
  <c r="AS247" i="28" s="1"/>
  <c r="AP263" i="28"/>
  <c r="AS263" i="28" s="1"/>
  <c r="AP237" i="28"/>
  <c r="AS237" i="28" s="1"/>
  <c r="AP227" i="28"/>
  <c r="AS227" i="28" s="1"/>
  <c r="AP214" i="28"/>
  <c r="AS214" i="28" s="1"/>
  <c r="AP201" i="28"/>
  <c r="AS201" i="28" s="1"/>
  <c r="AP183" i="28"/>
  <c r="AS183" i="28" s="1"/>
  <c r="AP197" i="28"/>
  <c r="AS197" i="28" s="1"/>
  <c r="AP200" i="28"/>
  <c r="AS200" i="28" s="1"/>
  <c r="AP195" i="28"/>
  <c r="AS195" i="28" s="1"/>
  <c r="AP166" i="28"/>
  <c r="AS166" i="28" s="1"/>
  <c r="AP177" i="28"/>
  <c r="AS177" i="28" s="1"/>
  <c r="AP117" i="28"/>
  <c r="AS117" i="28" s="1"/>
  <c r="AP120" i="28"/>
  <c r="AS120" i="28" s="1"/>
  <c r="AP151" i="28"/>
  <c r="AS151" i="28" s="1"/>
  <c r="AP102" i="28"/>
  <c r="AS102" i="28" s="1"/>
  <c r="AP116" i="28"/>
  <c r="AS116" i="28" s="1"/>
  <c r="AP111" i="28"/>
  <c r="AS111" i="28" s="1"/>
  <c r="AP61" i="28"/>
  <c r="AS61" i="28" s="1"/>
  <c r="AP56" i="28"/>
  <c r="AS56" i="28" s="1"/>
  <c r="AP59" i="28"/>
  <c r="AS59" i="28" s="1"/>
  <c r="AP62" i="28"/>
  <c r="AS62" i="28" s="1"/>
  <c r="AP89" i="28"/>
  <c r="AS89" i="28" s="1"/>
  <c r="AP84" i="28"/>
  <c r="AS84" i="28" s="1"/>
  <c r="AP79" i="28"/>
  <c r="AS79" i="28" s="1"/>
  <c r="AP16" i="28"/>
  <c r="AS16" i="28" s="1"/>
  <c r="AP610" i="28"/>
  <c r="AS610" i="28" s="1"/>
  <c r="D629" i="28"/>
  <c r="AP589" i="28"/>
  <c r="AS589" i="28" s="1"/>
  <c r="AP580" i="28"/>
  <c r="AS580" i="28" s="1"/>
  <c r="AP579" i="28"/>
  <c r="AS579" i="28" s="1"/>
  <c r="AP570" i="28"/>
  <c r="AS570" i="28" s="1"/>
  <c r="AP552" i="28"/>
  <c r="AS552" i="28" s="1"/>
  <c r="AP534" i="28"/>
  <c r="AS534" i="28" s="1"/>
  <c r="AP551" i="28"/>
  <c r="AS551" i="28" s="1"/>
  <c r="AP557" i="28"/>
  <c r="AS557" i="28" s="1"/>
  <c r="AP536" i="28"/>
  <c r="AS536" i="28" s="1"/>
  <c r="AP522" i="28"/>
  <c r="AS522" i="28" s="1"/>
  <c r="AP515" i="28"/>
  <c r="AS515" i="28" s="1"/>
  <c r="AP502" i="28"/>
  <c r="AS502" i="28" s="1"/>
  <c r="AP499" i="28"/>
  <c r="AS499" i="28" s="1"/>
  <c r="AP490" i="28"/>
  <c r="AS490" i="28" s="1"/>
  <c r="AP475" i="28"/>
  <c r="AS475" i="28" s="1"/>
  <c r="AP469" i="28"/>
  <c r="AS469" i="28" s="1"/>
  <c r="AP467" i="28"/>
  <c r="AS467" i="28" s="1"/>
  <c r="AP465" i="28"/>
  <c r="AS465" i="28" s="1"/>
  <c r="AP426" i="28"/>
  <c r="AS426" i="28" s="1"/>
  <c r="AP427" i="28"/>
  <c r="AS427" i="28" s="1"/>
  <c r="AP463" i="28"/>
  <c r="AS463" i="28" s="1"/>
  <c r="AP408" i="28"/>
  <c r="AS408" i="28" s="1"/>
  <c r="AP409" i="28"/>
  <c r="AS409" i="28" s="1"/>
  <c r="AP407" i="28"/>
  <c r="AS407" i="28" s="1"/>
  <c r="AP392" i="28"/>
  <c r="AS392" i="28" s="1"/>
  <c r="AP397" i="28"/>
  <c r="AS397" i="28" s="1"/>
  <c r="AP381" i="28"/>
  <c r="AS381" i="28" s="1"/>
  <c r="AP359" i="28"/>
  <c r="AS359" i="28" s="1"/>
  <c r="AP373" i="28"/>
  <c r="AS373" i="28" s="1"/>
  <c r="AP368" i="28"/>
  <c r="AS368" i="28" s="1"/>
  <c r="AP355" i="28"/>
  <c r="AS355" i="28" s="1"/>
  <c r="AP332" i="28"/>
  <c r="AS332" i="28" s="1"/>
  <c r="AP320" i="28"/>
  <c r="AS320" i="28" s="1"/>
  <c r="AP307" i="28"/>
  <c r="AS307" i="28" s="1"/>
  <c r="AP329" i="28"/>
  <c r="AS329" i="28" s="1"/>
  <c r="AP316" i="28"/>
  <c r="AS316" i="28" s="1"/>
  <c r="AP295" i="28"/>
  <c r="AS295" i="28" s="1"/>
  <c r="AP285" i="28"/>
  <c r="AS285" i="28" s="1"/>
  <c r="AP272" i="28"/>
  <c r="AS272" i="28" s="1"/>
  <c r="AP267" i="28"/>
  <c r="AS267" i="28" s="1"/>
  <c r="AP270" i="28"/>
  <c r="AS270" i="28" s="1"/>
  <c r="AP284" i="28"/>
  <c r="AS284" i="28" s="1"/>
  <c r="AP242" i="28"/>
  <c r="AS242" i="28" s="1"/>
  <c r="AP246" i="28"/>
  <c r="AS246" i="28" s="1"/>
  <c r="AP249" i="28"/>
  <c r="AS249" i="28" s="1"/>
  <c r="AP229" i="28"/>
  <c r="AS229" i="28" s="1"/>
  <c r="D627" i="28"/>
  <c r="AP605" i="28"/>
  <c r="AS605" i="28" s="1"/>
  <c r="AP603" i="28"/>
  <c r="AS603" i="28" s="1"/>
  <c r="AP599" i="28"/>
  <c r="AS599" i="28" s="1"/>
  <c r="AP584" i="28"/>
  <c r="AS584" i="28" s="1"/>
  <c r="AP597" i="28"/>
  <c r="AS597" i="28" s="1"/>
  <c r="AP566" i="28"/>
  <c r="AS566" i="28" s="1"/>
  <c r="AP544" i="28"/>
  <c r="AS544" i="28" s="1"/>
  <c r="AP553" i="28"/>
  <c r="AS553" i="28" s="1"/>
  <c r="AP543" i="28"/>
  <c r="AS543" i="28" s="1"/>
  <c r="AP526" i="28"/>
  <c r="AS526" i="28" s="1"/>
  <c r="AP537" i="28"/>
  <c r="AS537" i="28" s="1"/>
  <c r="AP514" i="28"/>
  <c r="AS514" i="28" s="1"/>
  <c r="AP507" i="28"/>
  <c r="AS507" i="28" s="1"/>
  <c r="AP494" i="28"/>
  <c r="AS494" i="28" s="1"/>
  <c r="AP492" i="28"/>
  <c r="AS492" i="28" s="1"/>
  <c r="AP482" i="28"/>
  <c r="AS482" i="28" s="1"/>
  <c r="AP476" i="28"/>
  <c r="AS476" i="28" s="1"/>
  <c r="AP461" i="28"/>
  <c r="AS461" i="28" s="1"/>
  <c r="AP459" i="28"/>
  <c r="AS459" i="28" s="1"/>
  <c r="AP457" i="28"/>
  <c r="AS457" i="28" s="1"/>
  <c r="AP445" i="28"/>
  <c r="AS445" i="28" s="1"/>
  <c r="AP455" i="28"/>
  <c r="AS455" i="28" s="1"/>
  <c r="AP444" i="28"/>
  <c r="AS444" i="28" s="1"/>
  <c r="AP400" i="28"/>
  <c r="AS400" i="28" s="1"/>
  <c r="AP401" i="28"/>
  <c r="AS401" i="28" s="1"/>
  <c r="AP425" i="28"/>
  <c r="AS425" i="28" s="1"/>
  <c r="AP413" i="28"/>
  <c r="AS413" i="28" s="1"/>
  <c r="AP390" i="28"/>
  <c r="AS390" i="28" s="1"/>
  <c r="AP372" i="28"/>
  <c r="AS372" i="28" s="1"/>
  <c r="AP391" i="28"/>
  <c r="AS391" i="28" s="1"/>
  <c r="AP365" i="28"/>
  <c r="AS365" i="28" s="1"/>
  <c r="AP360" i="28"/>
  <c r="AS360" i="28" s="1"/>
  <c r="AP374" i="28"/>
  <c r="AS374" i="28" s="1"/>
  <c r="AP325" i="28"/>
  <c r="AS325" i="28" s="1"/>
  <c r="AP312" i="28"/>
  <c r="AS312" i="28" s="1"/>
  <c r="AP353" i="28"/>
  <c r="AS353" i="28" s="1"/>
  <c r="AP321" i="28"/>
  <c r="AS321" i="28" s="1"/>
  <c r="AP369" i="28"/>
  <c r="AS369" i="28" s="1"/>
  <c r="AP287" i="28"/>
  <c r="AS287" i="28" s="1"/>
  <c r="AP277" i="28"/>
  <c r="AS277" i="28" s="1"/>
  <c r="AP264" i="28"/>
  <c r="AS264" i="28" s="1"/>
  <c r="AP259" i="28"/>
  <c r="AS259" i="28" s="1"/>
  <c r="AP262" i="28"/>
  <c r="AS262" i="28" s="1"/>
  <c r="AP276" i="28"/>
  <c r="AS276" i="28" s="1"/>
  <c r="AP241" i="28"/>
  <c r="AS241" i="28" s="1"/>
  <c r="AP239" i="28"/>
  <c r="AS239" i="28" s="1"/>
  <c r="AP234" i="28"/>
  <c r="AS234" i="28" s="1"/>
  <c r="AP221" i="28"/>
  <c r="AS221" i="28" s="1"/>
  <c r="AP608" i="28"/>
  <c r="AS608" i="28" s="1"/>
  <c r="AP611" i="28"/>
  <c r="AS611" i="28" s="1"/>
  <c r="AP596" i="28"/>
  <c r="AS596" i="28" s="1"/>
  <c r="AP587" i="28"/>
  <c r="AS587" i="28" s="1"/>
  <c r="AP575" i="28"/>
  <c r="AS575" i="28" s="1"/>
  <c r="AP577" i="28"/>
  <c r="AS577" i="28" s="1"/>
  <c r="AP561" i="28"/>
  <c r="AS561" i="28" s="1"/>
  <c r="AP555" i="28"/>
  <c r="AS555" i="28" s="1"/>
  <c r="AP545" i="28"/>
  <c r="AS545" i="28" s="1"/>
  <c r="AP535" i="28"/>
  <c r="AS535" i="28" s="1"/>
  <c r="AP549" i="28"/>
  <c r="AS549" i="28" s="1"/>
  <c r="AP533" i="28"/>
  <c r="AS533" i="28" s="1"/>
  <c r="AP517" i="28"/>
  <c r="AS517" i="28" s="1"/>
  <c r="AP518" i="28"/>
  <c r="AS518" i="28" s="1"/>
  <c r="AP486" i="28"/>
  <c r="AS486" i="28" s="1"/>
  <c r="AP484" i="28"/>
  <c r="AS484" i="28" s="1"/>
  <c r="AP501" i="28"/>
  <c r="AS501" i="28" s="1"/>
  <c r="AP468" i="28"/>
  <c r="AS468" i="28" s="1"/>
  <c r="AP480" i="28"/>
  <c r="AS480" i="28" s="1"/>
  <c r="AP451" i="28"/>
  <c r="AS451" i="28" s="1"/>
  <c r="AP449" i="28"/>
  <c r="AS449" i="28" s="1"/>
  <c r="AP437" i="28"/>
  <c r="AS437" i="28" s="1"/>
  <c r="AP446" i="28"/>
  <c r="AS446" i="28" s="1"/>
  <c r="AP436" i="28"/>
  <c r="AS436" i="28" s="1"/>
  <c r="AP419" i="28"/>
  <c r="AS419" i="28" s="1"/>
  <c r="AP420" i="28"/>
  <c r="AS420" i="28" s="1"/>
  <c r="AP418" i="28"/>
  <c r="AS418" i="28" s="1"/>
  <c r="AP395" i="28"/>
  <c r="AS395" i="28" s="1"/>
  <c r="AP382" i="28"/>
  <c r="AS382" i="28" s="1"/>
  <c r="AP364" i="28"/>
  <c r="AS364" i="28" s="1"/>
  <c r="AP370" i="28"/>
  <c r="AS370" i="28" s="1"/>
  <c r="AP357" i="28"/>
  <c r="AS357" i="28" s="1"/>
  <c r="AP352" i="28"/>
  <c r="AS352" i="28" s="1"/>
  <c r="AP366" i="28"/>
  <c r="AS366" i="28" s="1"/>
  <c r="AP317" i="28"/>
  <c r="AS317" i="28" s="1"/>
  <c r="AP304" i="28"/>
  <c r="AS304" i="28" s="1"/>
  <c r="AP326" i="28"/>
  <c r="AS326" i="28" s="1"/>
  <c r="AP313" i="28"/>
  <c r="AS313" i="28" s="1"/>
  <c r="AP335" i="28"/>
  <c r="AS335" i="28" s="1"/>
  <c r="AP292" i="28"/>
  <c r="AS292" i="28" s="1"/>
  <c r="AP269" i="28"/>
  <c r="AS269" i="28" s="1"/>
  <c r="AP256" i="28"/>
  <c r="AS256" i="28" s="1"/>
  <c r="AP251" i="28"/>
  <c r="AS251" i="28" s="1"/>
  <c r="AP254" i="28"/>
  <c r="AS254" i="28" s="1"/>
  <c r="AP268" i="28"/>
  <c r="AS268" i="28" s="1"/>
  <c r="AP236" i="28"/>
  <c r="AS236" i="28" s="1"/>
  <c r="AP231" i="28"/>
  <c r="AS231" i="28" s="1"/>
  <c r="AP226" i="28"/>
  <c r="AS226" i="28" s="1"/>
  <c r="AP213" i="28"/>
  <c r="AS213" i="28" s="1"/>
  <c r="AP203" i="28"/>
  <c r="AS203" i="28" s="1"/>
  <c r="AP257" i="28"/>
  <c r="AS257" i="28" s="1"/>
  <c r="AP180" i="28"/>
  <c r="AS180" i="28" s="1"/>
  <c r="AP186" i="28"/>
  <c r="AS186" i="28" s="1"/>
  <c r="AP173" i="28"/>
  <c r="AS173" i="28" s="1"/>
  <c r="AP176" i="28"/>
  <c r="AS176" i="28" s="1"/>
  <c r="AP216" i="28"/>
  <c r="AS216" i="28" s="1"/>
  <c r="AP212" i="28"/>
  <c r="AS212" i="28" s="1"/>
  <c r="AP153" i="28"/>
  <c r="AS153" i="28" s="1"/>
  <c r="AP171" i="28"/>
  <c r="AS171" i="28" s="1"/>
  <c r="AP139" i="28"/>
  <c r="AS139" i="28" s="1"/>
  <c r="AP142" i="28"/>
  <c r="AS142" i="28" s="1"/>
  <c r="AP121" i="28"/>
  <c r="AS121" i="28" s="1"/>
  <c r="AP147" i="28"/>
  <c r="AS147" i="28" s="1"/>
  <c r="AP99" i="28"/>
  <c r="AS99" i="28" s="1"/>
  <c r="AP149" i="28"/>
  <c r="AS149" i="28" s="1"/>
  <c r="AP96" i="28"/>
  <c r="AS96" i="28" s="1"/>
  <c r="AP98" i="28"/>
  <c r="AS98" i="28" s="1"/>
  <c r="AP38" i="28"/>
  <c r="AS38" i="28" s="1"/>
  <c r="AP65" i="28"/>
  <c r="AS65" i="28" s="1"/>
  <c r="AP60" i="28"/>
  <c r="AS60" i="28" s="1"/>
  <c r="AP55" i="28"/>
  <c r="AS55" i="28" s="1"/>
  <c r="AP19" i="28"/>
  <c r="AS19" i="28" s="1"/>
  <c r="AP24" i="28"/>
  <c r="AS24" i="28" s="1"/>
  <c r="AP613" i="28"/>
  <c r="AS613" i="28" s="1"/>
  <c r="AP601" i="28"/>
  <c r="AS601" i="28" s="1"/>
  <c r="AP591" i="28"/>
  <c r="AS591" i="28" s="1"/>
  <c r="AP585" i="28"/>
  <c r="AS585" i="28" s="1"/>
  <c r="AP573" i="28"/>
  <c r="AS573" i="28" s="1"/>
  <c r="AP563" i="28"/>
  <c r="AS563" i="28" s="1"/>
  <c r="AP569" i="28"/>
  <c r="AS569" i="28" s="1"/>
  <c r="AP558" i="28"/>
  <c r="AS558" i="28" s="1"/>
  <c r="AP548" i="28"/>
  <c r="AS548" i="28" s="1"/>
  <c r="AP538" i="28"/>
  <c r="AS538" i="28" s="1"/>
  <c r="AP524" i="28"/>
  <c r="AS524" i="28" s="1"/>
  <c r="AP508" i="28"/>
  <c r="AS508" i="28" s="1"/>
  <c r="AP512" i="28"/>
  <c r="AS512" i="28" s="1"/>
  <c r="AP521" i="28"/>
  <c r="AS521" i="28" s="1"/>
  <c r="AP489" i="28"/>
  <c r="AS489" i="28" s="1"/>
  <c r="AP487" i="28"/>
  <c r="AS487" i="28" s="1"/>
  <c r="AP496" i="28"/>
  <c r="AS496" i="28" s="1"/>
  <c r="AP478" i="28"/>
  <c r="AS478" i="28" s="1"/>
  <c r="AP456" i="28"/>
  <c r="AS456" i="28" s="1"/>
  <c r="AP470" i="28"/>
  <c r="AS470" i="28" s="1"/>
  <c r="AP450" i="28"/>
  <c r="AS450" i="28" s="1"/>
  <c r="AP432" i="28"/>
  <c r="AS432" i="28" s="1"/>
  <c r="AP447" i="28"/>
  <c r="AS447" i="28" s="1"/>
  <c r="AP439" i="28"/>
  <c r="AS439" i="28" s="1"/>
  <c r="AP414" i="28"/>
  <c r="AS414" i="28" s="1"/>
  <c r="AP424" i="28"/>
  <c r="AS424" i="28" s="1"/>
  <c r="AP394" i="28"/>
  <c r="AS394" i="28" s="1"/>
  <c r="AP405" i="28"/>
  <c r="AS405" i="28" s="1"/>
  <c r="AP388" i="28"/>
  <c r="AS388" i="28" s="1"/>
  <c r="AP340" i="28"/>
  <c r="AS340" i="28" s="1"/>
  <c r="AP385" i="28"/>
  <c r="AS385" i="28" s="1"/>
  <c r="AP398" i="28"/>
  <c r="AS398" i="28" s="1"/>
  <c r="AP375" i="28"/>
  <c r="AS375" i="28" s="1"/>
  <c r="AP342" i="28"/>
  <c r="AS342" i="28" s="1"/>
  <c r="AP351" i="28"/>
  <c r="AS351" i="28" s="1"/>
  <c r="AP333" i="28"/>
  <c r="AS333" i="28" s="1"/>
  <c r="AP302" i="28"/>
  <c r="AS302" i="28" s="1"/>
  <c r="AP289" i="28"/>
  <c r="AS289" i="28" s="1"/>
  <c r="AP319" i="28"/>
  <c r="AS319" i="28" s="1"/>
  <c r="AP266" i="28"/>
  <c r="AS266" i="28" s="1"/>
  <c r="AP245" i="28"/>
  <c r="AS245" i="28" s="1"/>
  <c r="AP288" i="28"/>
  <c r="AS288" i="28" s="1"/>
  <c r="AP293" i="28"/>
  <c r="AS293" i="28" s="1"/>
  <c r="AP281" i="28"/>
  <c r="AS281" i="28" s="1"/>
  <c r="AP244" i="28"/>
  <c r="AS244" i="28" s="1"/>
  <c r="AP347" i="28"/>
  <c r="AS347" i="28" s="1"/>
  <c r="AP207" i="28"/>
  <c r="AS207" i="28" s="1"/>
  <c r="AP202" i="28"/>
  <c r="AS202" i="28" s="1"/>
  <c r="AP271" i="28"/>
  <c r="AS271" i="28" s="1"/>
  <c r="AP230" i="28"/>
  <c r="AS230" i="28" s="1"/>
  <c r="AP217" i="28"/>
  <c r="AS217" i="28" s="1"/>
  <c r="AP156" i="28"/>
  <c r="AS156" i="28" s="1"/>
  <c r="AP162" i="28"/>
  <c r="AS162" i="28" s="1"/>
  <c r="AP240" i="28"/>
  <c r="AS240" i="28" s="1"/>
  <c r="AP152" i="28"/>
  <c r="AS152" i="28" s="1"/>
  <c r="AP182" i="28"/>
  <c r="AS182" i="28" s="1"/>
  <c r="AP193" i="28"/>
  <c r="AS193" i="28" s="1"/>
  <c r="AP133" i="28"/>
  <c r="AS133" i="28" s="1"/>
  <c r="AP136" i="28"/>
  <c r="AS136" i="28" s="1"/>
  <c r="AP115" i="28"/>
  <c r="AS115" i="28" s="1"/>
  <c r="AP118" i="28"/>
  <c r="AS118" i="28" s="1"/>
  <c r="AP132" i="28"/>
  <c r="AS132" i="28" s="1"/>
  <c r="AP127" i="28"/>
  <c r="AS127" i="28" s="1"/>
  <c r="AP77" i="28"/>
  <c r="AS77" i="28" s="1"/>
  <c r="AP72" i="28"/>
  <c r="AS72" i="28" s="1"/>
  <c r="AP75" i="28"/>
  <c r="AS75" i="28" s="1"/>
  <c r="AP78" i="28"/>
  <c r="AS78" i="28" s="1"/>
  <c r="AP122" i="28"/>
  <c r="AS122" i="28" s="1"/>
  <c r="AP114" i="28"/>
  <c r="AS114" i="28" s="1"/>
  <c r="AP95" i="28"/>
  <c r="AS95" i="28" s="1"/>
  <c r="AP33" i="28"/>
  <c r="AS33" i="28" s="1"/>
  <c r="AP600" i="28"/>
  <c r="AS600" i="28" s="1"/>
  <c r="AP583" i="28"/>
  <c r="AS583" i="28" s="1"/>
  <c r="AP567" i="28"/>
  <c r="AS567" i="28" s="1"/>
  <c r="AP554" i="28"/>
  <c r="AS554" i="28" s="1"/>
  <c r="AP519" i="28"/>
  <c r="AS519" i="28" s="1"/>
  <c r="AP497" i="28"/>
  <c r="AS497" i="28" s="1"/>
  <c r="AP460" i="28"/>
  <c r="AS460" i="28" s="1"/>
  <c r="AP462" i="28"/>
  <c r="AS462" i="28" s="1"/>
  <c r="AP430" i="28"/>
  <c r="AS430" i="28" s="1"/>
  <c r="AP412" i="28"/>
  <c r="AS412" i="28" s="1"/>
  <c r="AP403" i="28"/>
  <c r="AS403" i="28" s="1"/>
  <c r="AP354" i="28"/>
  <c r="AS354" i="28" s="1"/>
  <c r="AP358" i="28"/>
  <c r="AS358" i="28" s="1"/>
  <c r="AP323" i="28"/>
  <c r="AS323" i="28" s="1"/>
  <c r="AP327" i="28"/>
  <c r="AS327" i="28" s="1"/>
  <c r="AP322" i="28"/>
  <c r="AS322" i="28" s="1"/>
  <c r="AP273" i="28"/>
  <c r="AS273" i="28" s="1"/>
  <c r="AP215" i="28"/>
  <c r="AS215" i="28" s="1"/>
  <c r="AP219" i="28"/>
  <c r="AS219" i="28" s="1"/>
  <c r="AP225" i="28"/>
  <c r="AS225" i="28" s="1"/>
  <c r="AP194" i="28"/>
  <c r="AS194" i="28" s="1"/>
  <c r="AP224" i="28"/>
  <c r="AS224" i="28" s="1"/>
  <c r="AP206" i="28"/>
  <c r="AS206" i="28" s="1"/>
  <c r="AP169" i="28"/>
  <c r="AS169" i="28" s="1"/>
  <c r="AP145" i="28"/>
  <c r="AS145" i="28" s="1"/>
  <c r="AP146" i="28"/>
  <c r="AS146" i="28" s="1"/>
  <c r="AP124" i="28"/>
  <c r="AS124" i="28" s="1"/>
  <c r="AP93" i="28"/>
  <c r="AS93" i="28" s="1"/>
  <c r="AP112" i="28"/>
  <c r="AS112" i="28" s="1"/>
  <c r="AP86" i="28"/>
  <c r="AS86" i="28" s="1"/>
  <c r="AP73" i="28"/>
  <c r="AS73" i="28" s="1"/>
  <c r="AP87" i="28"/>
  <c r="AS87" i="28" s="1"/>
  <c r="AP22" i="28"/>
  <c r="AS22" i="28" s="1"/>
  <c r="AP42" i="28"/>
  <c r="AS42" i="28" s="1"/>
  <c r="AP58" i="28"/>
  <c r="AS58" i="28" s="1"/>
  <c r="AP594" i="28"/>
  <c r="AS594" i="28" s="1"/>
  <c r="AP578" i="28"/>
  <c r="AS578" i="28" s="1"/>
  <c r="AP562" i="28"/>
  <c r="AS562" i="28" s="1"/>
  <c r="AP546" i="28"/>
  <c r="AS546" i="28" s="1"/>
  <c r="AP509" i="28"/>
  <c r="AS509" i="28" s="1"/>
  <c r="AP481" i="28"/>
  <c r="AS481" i="28" s="1"/>
  <c r="AP452" i="28"/>
  <c r="AS452" i="28" s="1"/>
  <c r="AP471" i="28"/>
  <c r="AS471" i="28" s="1"/>
  <c r="AP441" i="28"/>
  <c r="AS441" i="28" s="1"/>
  <c r="AP404" i="28"/>
  <c r="AS404" i="28" s="1"/>
  <c r="AP393" i="28"/>
  <c r="AS393" i="28" s="1"/>
  <c r="AP383" i="28"/>
  <c r="AS383" i="28" s="1"/>
  <c r="AP350" i="28"/>
  <c r="AS350" i="28" s="1"/>
  <c r="AP318" i="28"/>
  <c r="AS318" i="28" s="1"/>
  <c r="AP311" i="28"/>
  <c r="AS311" i="28" s="1"/>
  <c r="AP290" i="28"/>
  <c r="AS290" i="28" s="1"/>
  <c r="AP260" i="28"/>
  <c r="AS260" i="28" s="1"/>
  <c r="AP199" i="28"/>
  <c r="AS199" i="28" s="1"/>
  <c r="AP211" i="28"/>
  <c r="AS211" i="28" s="1"/>
  <c r="AP209" i="28"/>
  <c r="AS209" i="28" s="1"/>
  <c r="AP178" i="28"/>
  <c r="AS178" i="28" s="1"/>
  <c r="AP192" i="28"/>
  <c r="AS192" i="28" s="1"/>
  <c r="AP190" i="28"/>
  <c r="AS190" i="28" s="1"/>
  <c r="AP161" i="28"/>
  <c r="AS161" i="28" s="1"/>
  <c r="AP128" i="28"/>
  <c r="AS128" i="28" s="1"/>
  <c r="AP134" i="28"/>
  <c r="AS134" i="28" s="1"/>
  <c r="AP108" i="28"/>
  <c r="AS108" i="28" s="1"/>
  <c r="AP85" i="28"/>
  <c r="AS85" i="28" s="1"/>
  <c r="AP104" i="28"/>
  <c r="AS104" i="28" s="1"/>
  <c r="AP70" i="28"/>
  <c r="AS70" i="28" s="1"/>
  <c r="AP57" i="28"/>
  <c r="AS57" i="28" s="1"/>
  <c r="AP71" i="28"/>
  <c r="AS71" i="28" s="1"/>
  <c r="AP34" i="28"/>
  <c r="AS34" i="28" s="1"/>
  <c r="AP607" i="28"/>
  <c r="AS607" i="28" s="1"/>
  <c r="AP581" i="28"/>
  <c r="AS581" i="28" s="1"/>
  <c r="AP547" i="28"/>
  <c r="AS547" i="28" s="1"/>
  <c r="AP531" i="28"/>
  <c r="AS531" i="28" s="1"/>
  <c r="AP520" i="28"/>
  <c r="AS520" i="28" s="1"/>
  <c r="AP500" i="28"/>
  <c r="AS500" i="28" s="1"/>
  <c r="AP466" i="28"/>
  <c r="AS466" i="28" s="1"/>
  <c r="AP453" i="28"/>
  <c r="AS453" i="28" s="1"/>
  <c r="AP428" i="28"/>
  <c r="AS428" i="28" s="1"/>
  <c r="AP423" i="28"/>
  <c r="AS423" i="28" s="1"/>
  <c r="AP396" i="28"/>
  <c r="AS396" i="28" s="1"/>
  <c r="AP349" i="28"/>
  <c r="AS349" i="28" s="1"/>
  <c r="AP361" i="28"/>
  <c r="AS361" i="28" s="1"/>
  <c r="AP310" i="28"/>
  <c r="AS310" i="28" s="1"/>
  <c r="AP282" i="28"/>
  <c r="AS282" i="28" s="1"/>
  <c r="AP283" i="28"/>
  <c r="AS283" i="28" s="1"/>
  <c r="AP252" i="28"/>
  <c r="AS252" i="28" s="1"/>
  <c r="AP218" i="28"/>
  <c r="AS218" i="28" s="1"/>
  <c r="AP248" i="28"/>
  <c r="AS248" i="28" s="1"/>
  <c r="AP196" i="28"/>
  <c r="AS196" i="28" s="1"/>
  <c r="AP170" i="28"/>
  <c r="AS170" i="28" s="1"/>
  <c r="AP184" i="28"/>
  <c r="AS184" i="28" s="1"/>
  <c r="AP174" i="28"/>
  <c r="AS174" i="28" s="1"/>
  <c r="AP144" i="28"/>
  <c r="AS144" i="28" s="1"/>
  <c r="AP179" i="28"/>
  <c r="AS179" i="28" s="1"/>
  <c r="AP126" i="28"/>
  <c r="AS126" i="28" s="1"/>
  <c r="AP100" i="28"/>
  <c r="AS100" i="28" s="1"/>
  <c r="AP69" i="28"/>
  <c r="AS69" i="28" s="1"/>
  <c r="AP91" i="28"/>
  <c r="AS91" i="28" s="1"/>
  <c r="AP54" i="28"/>
  <c r="AS54" i="28" s="1"/>
  <c r="AP49" i="28"/>
  <c r="AS49" i="28" s="1"/>
  <c r="AP63" i="28"/>
  <c r="AS63" i="28" s="1"/>
  <c r="AP35" i="28"/>
  <c r="AS35" i="28" s="1"/>
  <c r="AP31" i="28"/>
  <c r="AS31" i="28" s="1"/>
  <c r="AP588" i="28"/>
  <c r="AS588" i="28" s="1"/>
  <c r="AP595" i="28"/>
  <c r="AS595" i="28" s="1"/>
  <c r="AP539" i="28"/>
  <c r="AS539" i="28" s="1"/>
  <c r="AP529" i="28"/>
  <c r="AS529" i="28" s="1"/>
  <c r="AP504" i="28"/>
  <c r="AS504" i="28" s="1"/>
  <c r="AP495" i="28"/>
  <c r="AS495" i="28" s="1"/>
  <c r="AP472" i="28"/>
  <c r="AS472" i="28" s="1"/>
  <c r="AP442" i="28"/>
  <c r="AS442" i="28" s="1"/>
  <c r="AP488" i="28"/>
  <c r="AS488" i="28" s="1"/>
  <c r="AP410" i="28"/>
  <c r="AS410" i="28" s="1"/>
  <c r="AP380" i="28"/>
  <c r="AS380" i="28" s="1"/>
  <c r="AP341" i="28"/>
  <c r="AS341" i="28" s="1"/>
  <c r="AP309" i="28"/>
  <c r="AS309" i="28" s="1"/>
  <c r="AP294" i="28"/>
  <c r="AS294" i="28" s="1"/>
  <c r="AP274" i="28"/>
  <c r="AS274" i="28" s="1"/>
  <c r="AP243" i="28"/>
  <c r="AS243" i="28" s="1"/>
  <c r="AP299" i="28"/>
  <c r="AS299" i="28" s="1"/>
  <c r="AP210" i="28"/>
  <c r="AS210" i="28" s="1"/>
  <c r="AP238" i="28"/>
  <c r="AS238" i="28" s="1"/>
  <c r="AP188" i="28"/>
  <c r="AS188" i="28" s="1"/>
  <c r="AP205" i="28"/>
  <c r="AS205" i="28" s="1"/>
  <c r="AP168" i="28"/>
  <c r="AS168" i="28" s="1"/>
  <c r="AP158" i="28"/>
  <c r="AS158" i="28" s="1"/>
  <c r="AP141" i="28"/>
  <c r="AS141" i="28" s="1"/>
  <c r="AP159" i="28"/>
  <c r="AS159" i="28" s="1"/>
  <c r="AP110" i="28"/>
  <c r="AS110" i="28" s="1"/>
  <c r="AP143" i="28"/>
  <c r="AS143" i="28" s="1"/>
  <c r="AP53" i="28"/>
  <c r="AS53" i="28" s="1"/>
  <c r="AP83" i="28"/>
  <c r="AS83" i="28" s="1"/>
  <c r="AP46" i="28"/>
  <c r="AS46" i="28" s="1"/>
  <c r="AP92" i="28"/>
  <c r="AS92" i="28" s="1"/>
  <c r="AP47" i="28"/>
  <c r="AS47" i="28" s="1"/>
  <c r="AP26" i="28"/>
  <c r="AS26" i="28" s="1"/>
  <c r="AP74" i="28"/>
  <c r="AS74" i="28" s="1"/>
  <c r="AP90" i="28"/>
  <c r="AS90" i="28" s="1"/>
  <c r="AP66" i="28"/>
  <c r="AS66" i="28" s="1"/>
  <c r="AP593" i="28"/>
  <c r="AS593" i="28" s="1"/>
  <c r="AP568" i="28"/>
  <c r="AS568" i="28" s="1"/>
  <c r="AP550" i="28"/>
  <c r="AS550" i="28" s="1"/>
  <c r="AP532" i="28"/>
  <c r="AS532" i="28" s="1"/>
  <c r="AP510" i="28"/>
  <c r="AS510" i="28" s="1"/>
  <c r="AP479" i="28"/>
  <c r="AS479" i="28" s="1"/>
  <c r="AP464" i="28"/>
  <c r="AS464" i="28" s="1"/>
  <c r="AP429" i="28"/>
  <c r="AS429" i="28" s="1"/>
  <c r="AP431" i="28"/>
  <c r="AS431" i="28" s="1"/>
  <c r="AP402" i="28"/>
  <c r="AS402" i="28" s="1"/>
  <c r="AP356" i="28"/>
  <c r="AS356" i="28" s="1"/>
  <c r="AP377" i="28"/>
  <c r="AS377" i="28" s="1"/>
  <c r="AP301" i="28"/>
  <c r="AS301" i="28" s="1"/>
  <c r="AP305" i="28"/>
  <c r="AS305" i="28" s="1"/>
  <c r="AP300" i="28"/>
  <c r="AS300" i="28" s="1"/>
  <c r="AP298" i="28"/>
  <c r="AS298" i="28" s="1"/>
  <c r="AP228" i="28"/>
  <c r="AS228" i="28" s="1"/>
  <c r="AP314" i="28"/>
  <c r="AS314" i="28" s="1"/>
  <c r="AP222" i="28"/>
  <c r="AS222" i="28" s="1"/>
  <c r="AP172" i="28"/>
  <c r="AS172" i="28" s="1"/>
  <c r="AP189" i="28"/>
  <c r="AS189" i="28" s="1"/>
  <c r="AP160" i="28"/>
  <c r="AS160" i="28" s="1"/>
  <c r="AP150" i="28"/>
  <c r="AS150" i="28" s="1"/>
  <c r="AP125" i="28"/>
  <c r="AS125" i="28" s="1"/>
  <c r="AP131" i="28"/>
  <c r="AS131" i="28" s="1"/>
  <c r="AP137" i="28"/>
  <c r="AS137" i="28" s="1"/>
  <c r="AP135" i="28"/>
  <c r="AS135" i="28" s="1"/>
  <c r="AP45" i="28"/>
  <c r="AS45" i="28" s="1"/>
  <c r="AP67" i="28"/>
  <c r="AS67" i="28" s="1"/>
  <c r="AP32" i="28"/>
  <c r="AS32" i="28" s="1"/>
  <c r="AP76" i="28"/>
  <c r="AS76" i="28" s="1"/>
  <c r="AP39" i="28"/>
  <c r="AS39" i="28" s="1"/>
  <c r="AP606" i="28"/>
  <c r="AS606" i="28" s="1"/>
  <c r="AP602" i="28"/>
  <c r="AS602" i="28" s="1"/>
  <c r="AP574" i="28"/>
  <c r="AS574" i="28" s="1"/>
  <c r="AP556" i="28"/>
  <c r="AS556" i="28" s="1"/>
  <c r="AP528" i="28"/>
  <c r="AS528" i="28" s="1"/>
  <c r="AP513" i="28"/>
  <c r="AS513" i="28" s="1"/>
  <c r="AP485" i="28"/>
  <c r="AS485" i="28" s="1"/>
  <c r="AP477" i="28"/>
  <c r="AS477" i="28" s="1"/>
  <c r="AP443" i="28"/>
  <c r="AS443" i="28" s="1"/>
  <c r="AP422" i="28"/>
  <c r="AS422" i="28" s="1"/>
  <c r="AP387" i="28"/>
  <c r="AS387" i="28" s="1"/>
  <c r="AP379" i="28"/>
  <c r="AS379" i="28" s="1"/>
  <c r="AP336" i="28"/>
  <c r="AS336" i="28" s="1"/>
  <c r="AP337" i="28"/>
  <c r="AS337" i="28" s="1"/>
  <c r="AP346" i="28"/>
  <c r="AS346" i="28" s="1"/>
  <c r="AP253" i="28"/>
  <c r="AS253" i="28" s="1"/>
  <c r="AP331" i="28"/>
  <c r="AS331" i="28" s="1"/>
  <c r="AP306" i="28"/>
  <c r="AS306" i="28" s="1"/>
  <c r="AP250" i="28"/>
  <c r="AS250" i="28" s="1"/>
  <c r="AP258" i="28"/>
  <c r="AS258" i="28" s="1"/>
  <c r="AP191" i="28"/>
  <c r="AS191" i="28" s="1"/>
  <c r="AP165" i="28"/>
  <c r="AS165" i="28" s="1"/>
  <c r="AP187" i="28"/>
  <c r="AS187" i="28" s="1"/>
  <c r="AP198" i="28"/>
  <c r="AS198" i="28" s="1"/>
  <c r="AP101" i="28"/>
  <c r="AS101" i="28" s="1"/>
  <c r="AP167" i="28"/>
  <c r="AS167" i="28" s="1"/>
  <c r="AP154" i="28"/>
  <c r="AS154" i="28" s="1"/>
  <c r="AP155" i="28"/>
  <c r="AS155" i="28" s="1"/>
  <c r="AP80" i="28"/>
  <c r="AS80" i="28" s="1"/>
  <c r="AP106" i="28"/>
  <c r="AS106" i="28" s="1"/>
  <c r="AP103" i="28"/>
  <c r="AS103" i="28" s="1"/>
  <c r="AP130" i="28"/>
  <c r="AS130" i="28" s="1"/>
  <c r="AP41" i="28"/>
  <c r="AS41" i="28" s="1"/>
  <c r="AP612" i="28"/>
  <c r="AS612" i="28" s="1"/>
  <c r="AP516" i="28"/>
  <c r="AS516" i="28" s="1"/>
  <c r="AP438" i="28"/>
  <c r="AS438" i="28" s="1"/>
  <c r="AP371" i="28"/>
  <c r="AS371" i="28" s="1"/>
  <c r="AP308" i="28"/>
  <c r="AS308" i="28" s="1"/>
  <c r="AP175" i="28"/>
  <c r="AS175" i="28" s="1"/>
  <c r="AP163" i="28"/>
  <c r="AS163" i="28" s="1"/>
  <c r="AP64" i="28"/>
  <c r="AS64" i="28" s="1"/>
  <c r="AP37" i="28"/>
  <c r="AS37" i="28" s="1"/>
  <c r="AP586" i="28"/>
  <c r="AS586" i="28" s="1"/>
  <c r="AP525" i="28"/>
  <c r="AS525" i="28" s="1"/>
  <c r="AP411" i="28"/>
  <c r="AS411" i="28" s="1"/>
  <c r="AP339" i="28"/>
  <c r="AS339" i="28" s="1"/>
  <c r="AP220" i="28"/>
  <c r="AS220" i="28" s="1"/>
  <c r="AP181" i="28"/>
  <c r="AS181" i="28" s="1"/>
  <c r="AP123" i="28"/>
  <c r="AS123" i="28" s="1"/>
  <c r="AP51" i="28"/>
  <c r="AS51" i="28" s="1"/>
  <c r="AP590" i="28"/>
  <c r="AS590" i="28" s="1"/>
  <c r="AP498" i="28"/>
  <c r="AS498" i="28" s="1"/>
  <c r="AP406" i="28"/>
  <c r="AS406" i="28" s="1"/>
  <c r="AP334" i="28"/>
  <c r="AS334" i="28" s="1"/>
  <c r="AP223" i="28"/>
  <c r="AS223" i="28" s="1"/>
  <c r="AP157" i="28"/>
  <c r="AS157" i="28" s="1"/>
  <c r="AP148" i="28"/>
  <c r="AS148" i="28" s="1"/>
  <c r="AP94" i="28"/>
  <c r="AS94" i="28" s="1"/>
  <c r="AP36" i="28"/>
  <c r="AS36" i="28" s="1"/>
  <c r="AP564" i="28"/>
  <c r="AS564" i="28" s="1"/>
  <c r="AP491" i="28"/>
  <c r="AS491" i="28" s="1"/>
  <c r="AP421" i="28"/>
  <c r="AS421" i="28" s="1"/>
  <c r="AP330" i="28"/>
  <c r="AS330" i="28" s="1"/>
  <c r="AP235" i="28"/>
  <c r="AS235" i="28" s="1"/>
  <c r="AP232" i="28"/>
  <c r="AS232" i="28" s="1"/>
  <c r="AP140" i="28"/>
  <c r="AS140" i="28" s="1"/>
  <c r="AP81" i="28"/>
  <c r="AS81" i="28" s="1"/>
  <c r="AP52" i="28"/>
  <c r="AS52" i="28" s="1"/>
  <c r="AP97" i="28"/>
  <c r="AS97" i="28" s="1"/>
  <c r="AP559" i="28"/>
  <c r="AS559" i="28" s="1"/>
  <c r="AP448" i="28"/>
  <c r="AS448" i="28" s="1"/>
  <c r="AP348" i="28"/>
  <c r="AS348" i="28" s="1"/>
  <c r="AP261" i="28"/>
  <c r="AS261" i="28" s="1"/>
  <c r="AP338" i="28"/>
  <c r="AS338" i="28" s="1"/>
  <c r="AP204" i="28"/>
  <c r="AS204" i="28" s="1"/>
  <c r="AP119" i="28"/>
  <c r="AS119" i="28" s="1"/>
  <c r="AP68" i="28"/>
  <c r="AS68" i="28" s="1"/>
  <c r="AP440" i="28"/>
  <c r="AS440" i="28" s="1"/>
  <c r="AP233" i="28"/>
  <c r="AS233" i="28" s="1"/>
  <c r="AP28" i="28"/>
  <c r="AS28" i="28" s="1"/>
  <c r="AP386" i="28"/>
  <c r="AS386" i="28" s="1"/>
  <c r="AP164" i="28"/>
  <c r="AS164" i="28" s="1"/>
  <c r="AP107" i="28"/>
  <c r="AS107" i="28" s="1"/>
  <c r="AP44" i="28"/>
  <c r="AS44" i="28" s="1"/>
  <c r="AP609" i="28"/>
  <c r="AS609" i="28" s="1"/>
  <c r="AP362" i="28"/>
  <c r="AS362" i="28" s="1"/>
  <c r="AP208" i="28"/>
  <c r="AS208" i="28" s="1"/>
  <c r="AP13" i="28"/>
  <c r="AP572" i="28"/>
  <c r="AS572" i="28" s="1"/>
  <c r="AP344" i="28"/>
  <c r="AS344" i="28" s="1"/>
  <c r="AP185" i="28"/>
  <c r="AS185" i="28" s="1"/>
  <c r="AP540" i="28"/>
  <c r="AS540" i="28" s="1"/>
  <c r="AP297" i="28"/>
  <c r="AS297" i="28" s="1"/>
  <c r="AP109" i="28"/>
  <c r="AS109" i="28" s="1"/>
  <c r="AP527" i="28"/>
  <c r="AS527" i="28" s="1"/>
  <c r="AP291" i="28"/>
  <c r="AS291" i="28" s="1"/>
  <c r="AP129" i="28"/>
  <c r="AS129" i="28" s="1"/>
  <c r="AP493" i="28"/>
  <c r="AS493" i="28" s="1"/>
  <c r="AP473" i="28"/>
  <c r="AS473" i="28" s="1"/>
  <c r="AP286" i="28"/>
  <c r="AS286" i="28" s="1"/>
  <c r="AP255" i="28"/>
  <c r="AS255" i="28" s="1"/>
  <c r="AP138" i="28"/>
  <c r="AS138" i="28" s="1"/>
  <c r="AP88" i="28"/>
  <c r="AS88" i="28" s="1"/>
  <c r="AP624" i="28"/>
  <c r="AS624" i="28" s="1"/>
  <c r="AP625" i="28"/>
  <c r="AS625" i="28" s="1"/>
  <c r="C514" i="2"/>
  <c r="AK625" i="28" l="1"/>
  <c r="AL625" i="28"/>
  <c r="AN625" i="28"/>
  <c r="AO625" i="28"/>
  <c r="AN624" i="28"/>
  <c r="AO624" i="28"/>
  <c r="AK624" i="28"/>
  <c r="AL624" i="28"/>
  <c r="AQ44" i="28"/>
  <c r="AR44" i="28"/>
  <c r="AR525" i="28"/>
  <c r="AQ525" i="28"/>
  <c r="AR172" i="28"/>
  <c r="AQ172" i="28"/>
  <c r="AR141" i="28"/>
  <c r="AQ141" i="28"/>
  <c r="AR423" i="28"/>
  <c r="AQ423" i="28"/>
  <c r="AR393" i="28"/>
  <c r="AQ393" i="28"/>
  <c r="AQ323" i="28"/>
  <c r="AR323" i="28"/>
  <c r="AQ118" i="28"/>
  <c r="AR118" i="28"/>
  <c r="AQ388" i="28"/>
  <c r="AR388" i="28"/>
  <c r="AQ60" i="28"/>
  <c r="AR60" i="28"/>
  <c r="AR313" i="28"/>
  <c r="AQ313" i="28"/>
  <c r="AR577" i="28"/>
  <c r="AQ577" i="28"/>
  <c r="AQ455" i="28"/>
  <c r="AR455" i="28"/>
  <c r="AQ295" i="28"/>
  <c r="AR295" i="28"/>
  <c r="AR499" i="28"/>
  <c r="AQ499" i="28"/>
  <c r="AR116" i="28"/>
  <c r="AQ116" i="28"/>
  <c r="AR324" i="28"/>
  <c r="AQ324" i="28"/>
  <c r="AR435" i="28"/>
  <c r="AQ435" i="28"/>
  <c r="AR14" i="28"/>
  <c r="AQ14" i="28"/>
  <c r="AR473" i="28"/>
  <c r="AQ473" i="28"/>
  <c r="AR185" i="28"/>
  <c r="AQ185" i="28"/>
  <c r="AR107" i="28"/>
  <c r="AQ107" i="28"/>
  <c r="AQ204" i="28"/>
  <c r="AR204" i="28"/>
  <c r="AR81" i="28"/>
  <c r="AQ81" i="28"/>
  <c r="AR36" i="28"/>
  <c r="AQ36" i="28"/>
  <c r="AQ590" i="28"/>
  <c r="AR590" i="28"/>
  <c r="AR586" i="28"/>
  <c r="AQ586" i="28"/>
  <c r="AQ516" i="28"/>
  <c r="AR516" i="28"/>
  <c r="AR154" i="28"/>
  <c r="AQ154" i="28"/>
  <c r="AR250" i="28"/>
  <c r="AQ250" i="28"/>
  <c r="AQ387" i="28"/>
  <c r="AR387" i="28"/>
  <c r="AR574" i="28"/>
  <c r="AQ574" i="28"/>
  <c r="AQ135" i="28"/>
  <c r="AR135" i="28"/>
  <c r="AQ222" i="28"/>
  <c r="AR222" i="28"/>
  <c r="AR356" i="28"/>
  <c r="AQ356" i="28"/>
  <c r="AQ550" i="28"/>
  <c r="AR550" i="28"/>
  <c r="AR92" i="28"/>
  <c r="AQ92" i="28"/>
  <c r="AR158" i="28"/>
  <c r="AQ158" i="28"/>
  <c r="AQ274" i="28"/>
  <c r="AR274" i="28"/>
  <c r="AR472" i="28"/>
  <c r="AQ472" i="28"/>
  <c r="AR35" i="28"/>
  <c r="AQ35" i="28"/>
  <c r="AQ179" i="28"/>
  <c r="AR179" i="28"/>
  <c r="AR252" i="28"/>
  <c r="AQ252" i="28"/>
  <c r="AR428" i="28"/>
  <c r="AQ428" i="28"/>
  <c r="AR607" i="28"/>
  <c r="AQ607" i="28"/>
  <c r="AR134" i="28"/>
  <c r="AQ134" i="28"/>
  <c r="AR199" i="28"/>
  <c r="AQ199" i="28"/>
  <c r="AR404" i="28"/>
  <c r="AQ404" i="28"/>
  <c r="AR578" i="28"/>
  <c r="AQ578" i="28"/>
  <c r="AQ112" i="28"/>
  <c r="AR112" i="28"/>
  <c r="AR194" i="28"/>
  <c r="AQ194" i="28"/>
  <c r="AR358" i="28"/>
  <c r="AQ358" i="28"/>
  <c r="AR519" i="28"/>
  <c r="AQ519" i="28"/>
  <c r="AQ122" i="28"/>
  <c r="AR122" i="28"/>
  <c r="AQ115" i="28"/>
  <c r="AR115" i="28"/>
  <c r="AQ156" i="28"/>
  <c r="AR156" i="28"/>
  <c r="AQ281" i="28"/>
  <c r="AR281" i="28"/>
  <c r="AQ333" i="28"/>
  <c r="AR333" i="28"/>
  <c r="AQ405" i="28"/>
  <c r="AR405" i="28"/>
  <c r="AQ470" i="28"/>
  <c r="AR470" i="28"/>
  <c r="AQ508" i="28"/>
  <c r="AR508" i="28"/>
  <c r="AQ585" i="28"/>
  <c r="AR585" i="28"/>
  <c r="AR65" i="28"/>
  <c r="AQ65" i="28"/>
  <c r="AR142" i="28"/>
  <c r="AQ142" i="28"/>
  <c r="AR186" i="28"/>
  <c r="AQ186" i="28"/>
  <c r="AR268" i="28"/>
  <c r="AQ268" i="28"/>
  <c r="AR326" i="28"/>
  <c r="AQ326" i="28"/>
  <c r="AQ382" i="28"/>
  <c r="AR382" i="28"/>
  <c r="AR449" i="28"/>
  <c r="AQ449" i="28"/>
  <c r="AR517" i="28"/>
  <c r="AQ517" i="28"/>
  <c r="AQ575" i="28"/>
  <c r="AR575" i="28"/>
  <c r="AR241" i="28"/>
  <c r="AQ241" i="28"/>
  <c r="AR321" i="28"/>
  <c r="AQ321" i="28"/>
  <c r="AR372" i="28"/>
  <c r="AQ372" i="28"/>
  <c r="AQ445" i="28"/>
  <c r="AR445" i="28"/>
  <c r="AR507" i="28"/>
  <c r="AQ507" i="28"/>
  <c r="AQ597" i="28"/>
  <c r="AR597" i="28"/>
  <c r="AQ246" i="28"/>
  <c r="AR246" i="28"/>
  <c r="AR316" i="28"/>
  <c r="AQ316" i="28"/>
  <c r="AQ359" i="28"/>
  <c r="AR359" i="28"/>
  <c r="AR427" i="28"/>
  <c r="AQ427" i="28"/>
  <c r="AR502" i="28"/>
  <c r="AQ502" i="28"/>
  <c r="AQ570" i="28"/>
  <c r="AR570" i="28"/>
  <c r="AR84" i="28"/>
  <c r="AQ84" i="28"/>
  <c r="AR102" i="28"/>
  <c r="AQ102" i="28"/>
  <c r="AR197" i="28"/>
  <c r="AQ197" i="28"/>
  <c r="AR279" i="28"/>
  <c r="AQ279" i="28"/>
  <c r="AQ343" i="28"/>
  <c r="AR343" i="28"/>
  <c r="AR384" i="28"/>
  <c r="AQ384" i="28"/>
  <c r="AR434" i="28"/>
  <c r="AQ434" i="28"/>
  <c r="AR530" i="28"/>
  <c r="AQ530" i="28"/>
  <c r="AR576" i="28"/>
  <c r="AQ576" i="28"/>
  <c r="AR105" i="28"/>
  <c r="AQ105" i="28"/>
  <c r="AQ21" i="28"/>
  <c r="AR21" i="28"/>
  <c r="AR286" i="28"/>
  <c r="AQ286" i="28"/>
  <c r="AQ498" i="28"/>
  <c r="AR498" i="28"/>
  <c r="AR45" i="28"/>
  <c r="AQ45" i="28"/>
  <c r="AR47" i="28"/>
  <c r="AQ47" i="28"/>
  <c r="AR581" i="28"/>
  <c r="AQ581" i="28"/>
  <c r="AQ562" i="28"/>
  <c r="AR562" i="28"/>
  <c r="AQ114" i="28"/>
  <c r="AR114" i="28"/>
  <c r="AQ302" i="28"/>
  <c r="AR302" i="28"/>
  <c r="AQ573" i="28"/>
  <c r="AR573" i="28"/>
  <c r="AR236" i="28"/>
  <c r="AQ236" i="28"/>
  <c r="AR518" i="28"/>
  <c r="AQ518" i="28"/>
  <c r="AR391" i="28"/>
  <c r="AQ391" i="28"/>
  <c r="AQ249" i="28"/>
  <c r="AR249" i="28"/>
  <c r="AR463" i="28"/>
  <c r="AQ463" i="28"/>
  <c r="AR200" i="28"/>
  <c r="AQ200" i="28"/>
  <c r="AR571" i="28"/>
  <c r="AQ571" i="28"/>
  <c r="AQ625" i="28"/>
  <c r="AR625" i="28"/>
  <c r="AR493" i="28"/>
  <c r="AQ493" i="28"/>
  <c r="AQ344" i="28"/>
  <c r="AR344" i="28"/>
  <c r="AQ164" i="28"/>
  <c r="AR164" i="28"/>
  <c r="AR338" i="28"/>
  <c r="AQ338" i="28"/>
  <c r="AR140" i="28"/>
  <c r="AQ140" i="28"/>
  <c r="AR94" i="28"/>
  <c r="AQ94" i="28"/>
  <c r="AR51" i="28"/>
  <c r="AQ51" i="28"/>
  <c r="AR37" i="28"/>
  <c r="AQ37" i="28"/>
  <c r="AR612" i="28"/>
  <c r="AQ612" i="28"/>
  <c r="AR167" i="28"/>
  <c r="AQ167" i="28"/>
  <c r="AQ306" i="28"/>
  <c r="AR306" i="28"/>
  <c r="AR422" i="28"/>
  <c r="AQ422" i="28"/>
  <c r="AR602" i="28"/>
  <c r="AQ602" i="28"/>
  <c r="AR137" i="28"/>
  <c r="AQ137" i="28"/>
  <c r="AQ314" i="28"/>
  <c r="AR314" i="28"/>
  <c r="AQ402" i="28"/>
  <c r="AR402" i="28"/>
  <c r="AR568" i="28"/>
  <c r="AQ568" i="28"/>
  <c r="AR46" i="28"/>
  <c r="AQ46" i="28"/>
  <c r="AR168" i="28"/>
  <c r="AQ168" i="28"/>
  <c r="AR294" i="28"/>
  <c r="AQ294" i="28"/>
  <c r="AQ495" i="28"/>
  <c r="AR495" i="28"/>
  <c r="AR63" i="28"/>
  <c r="AQ63" i="28"/>
  <c r="AR144" i="28"/>
  <c r="AQ144" i="28"/>
  <c r="AR283" i="28"/>
  <c r="AQ283" i="28"/>
  <c r="AQ453" i="28"/>
  <c r="AR453" i="28"/>
  <c r="AQ34" i="28"/>
  <c r="AR34" i="28"/>
  <c r="AQ128" i="28"/>
  <c r="AR128" i="28"/>
  <c r="AR260" i="28"/>
  <c r="AQ260" i="28"/>
  <c r="AR441" i="28"/>
  <c r="AQ441" i="28"/>
  <c r="AR594" i="28"/>
  <c r="AQ594" i="28"/>
  <c r="AR93" i="28"/>
  <c r="AQ93" i="28"/>
  <c r="AQ225" i="28"/>
  <c r="AR225" i="28"/>
  <c r="AQ354" i="28"/>
  <c r="AR354" i="28"/>
  <c r="AR554" i="28"/>
  <c r="AQ554" i="28"/>
  <c r="AR78" i="28"/>
  <c r="AQ78" i="28"/>
  <c r="AQ136" i="28"/>
  <c r="AR136" i="28"/>
  <c r="AR217" i="28"/>
  <c r="AQ217" i="28"/>
  <c r="AR293" i="28"/>
  <c r="AQ293" i="28"/>
  <c r="AQ351" i="28"/>
  <c r="AR351" i="28"/>
  <c r="AR394" i="28"/>
  <c r="AQ394" i="28"/>
  <c r="AR456" i="28"/>
  <c r="AQ456" i="28"/>
  <c r="AR524" i="28"/>
  <c r="AQ524" i="28"/>
  <c r="AQ591" i="28"/>
  <c r="AR591" i="28"/>
  <c r="AR38" i="28"/>
  <c r="AQ38" i="28"/>
  <c r="AR139" i="28"/>
  <c r="AQ139" i="28"/>
  <c r="AR180" i="28"/>
  <c r="AQ180" i="28"/>
  <c r="AR254" i="28"/>
  <c r="AQ254" i="28"/>
  <c r="AQ304" i="28"/>
  <c r="AR304" i="28"/>
  <c r="AR395" i="28"/>
  <c r="AQ395" i="28"/>
  <c r="AQ451" i="28"/>
  <c r="AR451" i="28"/>
  <c r="AR533" i="28"/>
  <c r="AQ533" i="28"/>
  <c r="AR587" i="28"/>
  <c r="AQ587" i="28"/>
  <c r="AR276" i="28"/>
  <c r="AQ276" i="28"/>
  <c r="AR353" i="28"/>
  <c r="AQ353" i="28"/>
  <c r="AR390" i="28"/>
  <c r="AQ390" i="28"/>
  <c r="AR457" i="28"/>
  <c r="AQ457" i="28"/>
  <c r="AR514" i="28"/>
  <c r="AQ514" i="28"/>
  <c r="AQ584" i="28"/>
  <c r="AR584" i="28"/>
  <c r="AR242" i="28"/>
  <c r="AQ242" i="28"/>
  <c r="AR329" i="28"/>
  <c r="AQ329" i="28"/>
  <c r="AR381" i="28"/>
  <c r="AQ381" i="28"/>
  <c r="AQ426" i="28"/>
  <c r="AR426" i="28"/>
  <c r="AR515" i="28"/>
  <c r="AQ515" i="28"/>
  <c r="AR579" i="28"/>
  <c r="AQ579" i="28"/>
  <c r="AR89" i="28"/>
  <c r="AQ89" i="28"/>
  <c r="AQ151" i="28"/>
  <c r="AR151" i="28"/>
  <c r="AQ183" i="28"/>
  <c r="AR183" i="28"/>
  <c r="AR265" i="28"/>
  <c r="AQ265" i="28"/>
  <c r="AR315" i="28"/>
  <c r="AQ315" i="28"/>
  <c r="AR399" i="28"/>
  <c r="AQ399" i="28"/>
  <c r="AR454" i="28"/>
  <c r="AQ454" i="28"/>
  <c r="AQ511" i="28"/>
  <c r="AR511" i="28"/>
  <c r="AQ582" i="28"/>
  <c r="AR582" i="28"/>
  <c r="AQ20" i="28"/>
  <c r="AR20" i="28"/>
  <c r="AQ40" i="28"/>
  <c r="AR40" i="28"/>
  <c r="AR564" i="28"/>
  <c r="AQ564" i="28"/>
  <c r="AR556" i="28"/>
  <c r="AQ556" i="28"/>
  <c r="AQ532" i="28"/>
  <c r="AR532" i="28"/>
  <c r="AR243" i="28"/>
  <c r="AQ243" i="28"/>
  <c r="AR108" i="28"/>
  <c r="AQ108" i="28"/>
  <c r="AQ86" i="28"/>
  <c r="AR86" i="28"/>
  <c r="AR497" i="28"/>
  <c r="AQ497" i="28"/>
  <c r="AQ244" i="28"/>
  <c r="AR244" i="28"/>
  <c r="AR512" i="28"/>
  <c r="AQ512" i="28"/>
  <c r="AR173" i="28"/>
  <c r="AQ173" i="28"/>
  <c r="AR364" i="28"/>
  <c r="AQ364" i="28"/>
  <c r="AQ239" i="28"/>
  <c r="AR239" i="28"/>
  <c r="AR494" i="28"/>
  <c r="AQ494" i="28"/>
  <c r="AQ373" i="28"/>
  <c r="AR373" i="28"/>
  <c r="AR79" i="28"/>
  <c r="AQ79" i="28"/>
  <c r="AQ247" i="28"/>
  <c r="AR247" i="28"/>
  <c r="AQ367" i="28"/>
  <c r="AR367" i="28"/>
  <c r="AQ43" i="28"/>
  <c r="AR43" i="28"/>
  <c r="AR129" i="28"/>
  <c r="AQ129" i="28"/>
  <c r="AQ572" i="28"/>
  <c r="AR572" i="28"/>
  <c r="AR386" i="28"/>
  <c r="AQ386" i="28"/>
  <c r="AR261" i="28"/>
  <c r="AQ261" i="28"/>
  <c r="AR232" i="28"/>
  <c r="AQ232" i="28"/>
  <c r="AQ148" i="28"/>
  <c r="AR148" i="28"/>
  <c r="AQ123" i="28"/>
  <c r="AR123" i="28"/>
  <c r="AQ64" i="28"/>
  <c r="AR64" i="28"/>
  <c r="AQ41" i="28"/>
  <c r="AR41" i="28"/>
  <c r="AR101" i="28"/>
  <c r="AQ101" i="28"/>
  <c r="AQ331" i="28"/>
  <c r="AR331" i="28"/>
  <c r="AR443" i="28"/>
  <c r="AQ443" i="28"/>
  <c r="AR606" i="28"/>
  <c r="AQ606" i="28"/>
  <c r="AR131" i="28"/>
  <c r="AQ131" i="28"/>
  <c r="AR228" i="28"/>
  <c r="AQ228" i="28"/>
  <c r="AQ431" i="28"/>
  <c r="AR431" i="28"/>
  <c r="AR593" i="28"/>
  <c r="AQ593" i="28"/>
  <c r="AR83" i="28"/>
  <c r="AQ83" i="28"/>
  <c r="AR205" i="28"/>
  <c r="AQ205" i="28"/>
  <c r="AR309" i="28"/>
  <c r="AQ309" i="28"/>
  <c r="AQ504" i="28"/>
  <c r="AR504" i="28"/>
  <c r="AR49" i="28"/>
  <c r="AQ49" i="28"/>
  <c r="AR174" i="28"/>
  <c r="AQ174" i="28"/>
  <c r="AR282" i="28"/>
  <c r="AQ282" i="28"/>
  <c r="AR466" i="28"/>
  <c r="AQ466" i="28"/>
  <c r="AR71" i="28"/>
  <c r="AQ71" i="28"/>
  <c r="AQ161" i="28"/>
  <c r="AR161" i="28"/>
  <c r="AQ290" i="28"/>
  <c r="AR290" i="28"/>
  <c r="AQ471" i="28"/>
  <c r="AR471" i="28"/>
  <c r="AQ58" i="28"/>
  <c r="AR58" i="28"/>
  <c r="AQ124" i="28"/>
  <c r="AR124" i="28"/>
  <c r="AR219" i="28"/>
  <c r="AQ219" i="28"/>
  <c r="AR403" i="28"/>
  <c r="AQ403" i="28"/>
  <c r="AQ567" i="28"/>
  <c r="AR567" i="28"/>
  <c r="AQ75" i="28"/>
  <c r="AR75" i="28"/>
  <c r="AQ133" i="28"/>
  <c r="AR133" i="28"/>
  <c r="AR230" i="28"/>
  <c r="AQ230" i="28"/>
  <c r="AQ288" i="28"/>
  <c r="AR288" i="28"/>
  <c r="AQ342" i="28"/>
  <c r="AR342" i="28"/>
  <c r="AR424" i="28"/>
  <c r="AQ424" i="28"/>
  <c r="AR478" i="28"/>
  <c r="AQ478" i="28"/>
  <c r="AQ538" i="28"/>
  <c r="AR538" i="28"/>
  <c r="AR601" i="28"/>
  <c r="AQ601" i="28"/>
  <c r="AR98" i="28"/>
  <c r="AQ98" i="28"/>
  <c r="AR171" i="28"/>
  <c r="AQ171" i="28"/>
  <c r="AR257" i="28"/>
  <c r="AQ257" i="28"/>
  <c r="AR251" i="28"/>
  <c r="AQ251" i="28"/>
  <c r="AR317" i="28"/>
  <c r="AQ317" i="28"/>
  <c r="AR418" i="28"/>
  <c r="AQ418" i="28"/>
  <c r="AR480" i="28"/>
  <c r="AQ480" i="28"/>
  <c r="AR549" i="28"/>
  <c r="AQ549" i="28"/>
  <c r="AR596" i="28"/>
  <c r="AQ596" i="28"/>
  <c r="AR262" i="28"/>
  <c r="AQ262" i="28"/>
  <c r="AQ312" i="28"/>
  <c r="AR312" i="28"/>
  <c r="AR413" i="28"/>
  <c r="AQ413" i="28"/>
  <c r="AR459" i="28"/>
  <c r="AQ459" i="28"/>
  <c r="AR537" i="28"/>
  <c r="AQ537" i="28"/>
  <c r="AQ599" i="28"/>
  <c r="AR599" i="28"/>
  <c r="AQ284" i="28"/>
  <c r="AR284" i="28"/>
  <c r="AR307" i="28"/>
  <c r="AQ307" i="28"/>
  <c r="AR397" i="28"/>
  <c r="AQ397" i="28"/>
  <c r="AQ465" i="28"/>
  <c r="AR465" i="28"/>
  <c r="AQ522" i="28"/>
  <c r="AR522" i="28"/>
  <c r="AR580" i="28"/>
  <c r="AQ580" i="28"/>
  <c r="AR62" i="28"/>
  <c r="AQ62" i="28"/>
  <c r="AQ120" i="28"/>
  <c r="AR120" i="28"/>
  <c r="AR201" i="28"/>
  <c r="AQ201" i="28"/>
  <c r="AR278" i="28"/>
  <c r="AQ278" i="28"/>
  <c r="AQ328" i="28"/>
  <c r="AR328" i="28"/>
  <c r="AQ389" i="28"/>
  <c r="AR389" i="28"/>
  <c r="AQ474" i="28"/>
  <c r="AR474" i="28"/>
  <c r="AR541" i="28"/>
  <c r="AQ541" i="28"/>
  <c r="AR598" i="28"/>
  <c r="AQ598" i="28"/>
  <c r="AQ29" i="28"/>
  <c r="AR29" i="28"/>
  <c r="AQ15" i="28"/>
  <c r="AR15" i="28"/>
  <c r="AR119" i="28"/>
  <c r="AQ119" i="28"/>
  <c r="AQ155" i="28"/>
  <c r="AR155" i="28"/>
  <c r="AR377" i="28"/>
  <c r="AQ377" i="28"/>
  <c r="AR442" i="28"/>
  <c r="AQ442" i="28"/>
  <c r="AR211" i="28"/>
  <c r="AQ211" i="28"/>
  <c r="AR224" i="28"/>
  <c r="AQ224" i="28"/>
  <c r="AR162" i="28"/>
  <c r="AQ162" i="28"/>
  <c r="AR450" i="28"/>
  <c r="AQ450" i="28"/>
  <c r="AR121" i="28"/>
  <c r="AQ121" i="28"/>
  <c r="AQ437" i="28"/>
  <c r="AR437" i="28"/>
  <c r="AR369" i="28"/>
  <c r="AQ369" i="28"/>
  <c r="AR566" i="28"/>
  <c r="AQ566" i="28"/>
  <c r="AQ552" i="28"/>
  <c r="AR552" i="28"/>
  <c r="AR505" i="28"/>
  <c r="AQ505" i="28"/>
  <c r="AR624" i="28"/>
  <c r="AQ624" i="28"/>
  <c r="AR291" i="28"/>
  <c r="AQ291" i="28"/>
  <c r="AS13" i="28"/>
  <c r="AQ13" i="28"/>
  <c r="AR13" i="28"/>
  <c r="AQ28" i="28"/>
  <c r="AR28" i="28"/>
  <c r="AR348" i="28"/>
  <c r="AQ348" i="28"/>
  <c r="AR235" i="28"/>
  <c r="AQ235" i="28"/>
  <c r="AR157" i="28"/>
  <c r="AQ157" i="28"/>
  <c r="AR181" i="28"/>
  <c r="AQ181" i="28"/>
  <c r="AR163" i="28"/>
  <c r="AQ163" i="28"/>
  <c r="AQ130" i="28"/>
  <c r="AR130" i="28"/>
  <c r="AR198" i="28"/>
  <c r="AQ198" i="28"/>
  <c r="AR253" i="28"/>
  <c r="AQ253" i="28"/>
  <c r="AR477" i="28"/>
  <c r="AQ477" i="28"/>
  <c r="AR39" i="28"/>
  <c r="AQ39" i="28"/>
  <c r="AR125" i="28"/>
  <c r="AQ125" i="28"/>
  <c r="AR298" i="28"/>
  <c r="AQ298" i="28"/>
  <c r="AQ429" i="28"/>
  <c r="AR429" i="28"/>
  <c r="AR66" i="28"/>
  <c r="AQ66" i="28"/>
  <c r="AQ53" i="28"/>
  <c r="AR53" i="28"/>
  <c r="AR188" i="28"/>
  <c r="AQ188" i="28"/>
  <c r="AQ341" i="28"/>
  <c r="AR341" i="28"/>
  <c r="AR529" i="28"/>
  <c r="AQ529" i="28"/>
  <c r="AQ54" i="28"/>
  <c r="AR54" i="28"/>
  <c r="AR184" i="28"/>
  <c r="AQ184" i="28"/>
  <c r="AR310" i="28"/>
  <c r="AQ310" i="28"/>
  <c r="AR500" i="28"/>
  <c r="AQ500" i="28"/>
  <c r="AR57" i="28"/>
  <c r="AQ57" i="28"/>
  <c r="AR190" i="28"/>
  <c r="AQ190" i="28"/>
  <c r="AR311" i="28"/>
  <c r="AQ311" i="28"/>
  <c r="AR452" i="28"/>
  <c r="AQ452" i="28"/>
  <c r="AQ42" i="28"/>
  <c r="AR42" i="28"/>
  <c r="AR146" i="28"/>
  <c r="AQ146" i="28"/>
  <c r="AQ215" i="28"/>
  <c r="AR215" i="28"/>
  <c r="AR412" i="28"/>
  <c r="AQ412" i="28"/>
  <c r="AR583" i="28"/>
  <c r="AQ583" i="28"/>
  <c r="AQ72" i="28"/>
  <c r="AR72" i="28"/>
  <c r="AR193" i="28"/>
  <c r="AQ193" i="28"/>
  <c r="AR271" i="28"/>
  <c r="AQ271" i="28"/>
  <c r="AR245" i="28"/>
  <c r="AQ245" i="28"/>
  <c r="AQ375" i="28"/>
  <c r="AR375" i="28"/>
  <c r="AR414" i="28"/>
  <c r="AQ414" i="28"/>
  <c r="AQ496" i="28"/>
  <c r="AR496" i="28"/>
  <c r="AR548" i="28"/>
  <c r="AQ548" i="28"/>
  <c r="AQ613" i="28"/>
  <c r="AR613" i="28"/>
  <c r="AQ96" i="28"/>
  <c r="AR96" i="28"/>
  <c r="AQ153" i="28"/>
  <c r="AR153" i="28"/>
  <c r="AR203" i="28"/>
  <c r="AQ203" i="28"/>
  <c r="AQ256" i="28"/>
  <c r="AR256" i="28"/>
  <c r="AR366" i="28"/>
  <c r="AQ366" i="28"/>
  <c r="AR420" i="28"/>
  <c r="AQ420" i="28"/>
  <c r="AR468" i="28"/>
  <c r="AQ468" i="28"/>
  <c r="AQ535" i="28"/>
  <c r="AR535" i="28"/>
  <c r="AQ611" i="28"/>
  <c r="AR611" i="28"/>
  <c r="AR259" i="28"/>
  <c r="AQ259" i="28"/>
  <c r="AR325" i="28"/>
  <c r="AQ325" i="28"/>
  <c r="AQ425" i="28"/>
  <c r="AR425" i="28"/>
  <c r="AQ461" i="28"/>
  <c r="AR461" i="28"/>
  <c r="AQ526" i="28"/>
  <c r="AR526" i="28"/>
  <c r="AR603" i="28"/>
  <c r="AQ603" i="28"/>
  <c r="AQ270" i="28"/>
  <c r="AR270" i="28"/>
  <c r="AR320" i="28"/>
  <c r="AQ320" i="28"/>
  <c r="AQ392" i="28"/>
  <c r="AR392" i="28"/>
  <c r="AQ467" i="28"/>
  <c r="AR467" i="28"/>
  <c r="AQ536" i="28"/>
  <c r="AR536" i="28"/>
  <c r="AQ589" i="28"/>
  <c r="AR589" i="28"/>
  <c r="AR59" i="28"/>
  <c r="AQ59" i="28"/>
  <c r="AR117" i="28"/>
  <c r="AQ117" i="28"/>
  <c r="AQ214" i="28"/>
  <c r="AR214" i="28"/>
  <c r="AR275" i="28"/>
  <c r="AQ275" i="28"/>
  <c r="AQ345" i="28"/>
  <c r="AR345" i="28"/>
  <c r="AR415" i="28"/>
  <c r="AQ415" i="28"/>
  <c r="AR458" i="28"/>
  <c r="AQ458" i="28"/>
  <c r="AQ523" i="28"/>
  <c r="AR523" i="28"/>
  <c r="AR592" i="28"/>
  <c r="AQ592" i="28"/>
  <c r="AR23" i="28"/>
  <c r="AQ23" i="28"/>
  <c r="AQ18" i="28"/>
  <c r="AR18" i="28"/>
  <c r="AR438" i="28"/>
  <c r="AQ438" i="28"/>
  <c r="AR31" i="28"/>
  <c r="AQ31" i="28"/>
  <c r="AR208" i="28"/>
  <c r="AQ208" i="28"/>
  <c r="AR233" i="28"/>
  <c r="AQ233" i="28"/>
  <c r="AR448" i="28"/>
  <c r="AQ448" i="28"/>
  <c r="AR330" i="28"/>
  <c r="AQ330" i="28"/>
  <c r="AQ223" i="28"/>
  <c r="AR223" i="28"/>
  <c r="AR220" i="28"/>
  <c r="AQ220" i="28"/>
  <c r="AR175" i="28"/>
  <c r="AQ175" i="28"/>
  <c r="AQ103" i="28"/>
  <c r="AR103" i="28"/>
  <c r="AQ187" i="28"/>
  <c r="AR187" i="28"/>
  <c r="AR346" i="28"/>
  <c r="AQ346" i="28"/>
  <c r="AR485" i="28"/>
  <c r="AQ485" i="28"/>
  <c r="AR76" i="28"/>
  <c r="AQ76" i="28"/>
  <c r="AR150" i="28"/>
  <c r="AQ150" i="28"/>
  <c r="AQ300" i="28"/>
  <c r="AR300" i="28"/>
  <c r="AQ464" i="28"/>
  <c r="AR464" i="28"/>
  <c r="AR90" i="28"/>
  <c r="AQ90" i="28"/>
  <c r="AR143" i="28"/>
  <c r="AQ143" i="28"/>
  <c r="AQ238" i="28"/>
  <c r="AR238" i="28"/>
  <c r="AR380" i="28"/>
  <c r="AQ380" i="28"/>
  <c r="AQ539" i="28"/>
  <c r="AR539" i="28"/>
  <c r="AR91" i="28"/>
  <c r="AQ91" i="28"/>
  <c r="AR170" i="28"/>
  <c r="AQ170" i="28"/>
  <c r="AR361" i="28"/>
  <c r="AQ361" i="28"/>
  <c r="AR520" i="28"/>
  <c r="AQ520" i="28"/>
  <c r="AR70" i="28"/>
  <c r="AQ70" i="28"/>
  <c r="AR192" i="28"/>
  <c r="AQ192" i="28"/>
  <c r="AR318" i="28"/>
  <c r="AQ318" i="28"/>
  <c r="AQ481" i="28"/>
  <c r="AR481" i="28"/>
  <c r="AQ22" i="28"/>
  <c r="AR22" i="28"/>
  <c r="AR145" i="28"/>
  <c r="AQ145" i="28"/>
  <c r="AQ273" i="28"/>
  <c r="AR273" i="28"/>
  <c r="AQ430" i="28"/>
  <c r="AR430" i="28"/>
  <c r="AQ600" i="28"/>
  <c r="AR600" i="28"/>
  <c r="AQ77" i="28"/>
  <c r="AR77" i="28"/>
  <c r="AQ182" i="28"/>
  <c r="AR182" i="28"/>
  <c r="AR202" i="28"/>
  <c r="AQ202" i="28"/>
  <c r="AQ266" i="28"/>
  <c r="AR266" i="28"/>
  <c r="AQ398" i="28"/>
  <c r="AR398" i="28"/>
  <c r="AQ439" i="28"/>
  <c r="AR439" i="28"/>
  <c r="AQ487" i="28"/>
  <c r="AR487" i="28"/>
  <c r="AQ558" i="28"/>
  <c r="AR558" i="28"/>
  <c r="AR24" i="28"/>
  <c r="AQ24" i="28"/>
  <c r="AR149" i="28"/>
  <c r="AQ149" i="28"/>
  <c r="AR212" i="28"/>
  <c r="AQ212" i="28"/>
  <c r="AR213" i="28"/>
  <c r="AQ213" i="28"/>
  <c r="AQ269" i="28"/>
  <c r="AR269" i="28"/>
  <c r="AR352" i="28"/>
  <c r="AQ352" i="28"/>
  <c r="AQ419" i="28"/>
  <c r="AR419" i="28"/>
  <c r="AR501" i="28"/>
  <c r="AQ501" i="28"/>
  <c r="AR545" i="28"/>
  <c r="AQ545" i="28"/>
  <c r="AR608" i="28"/>
  <c r="AQ608" i="28"/>
  <c r="AR264" i="28"/>
  <c r="AQ264" i="28"/>
  <c r="AR374" i="28"/>
  <c r="AQ374" i="28"/>
  <c r="AQ401" i="28"/>
  <c r="AR401" i="28"/>
  <c r="AQ476" i="28"/>
  <c r="AR476" i="28"/>
  <c r="AR543" i="28"/>
  <c r="AQ543" i="28"/>
  <c r="AQ605" i="28"/>
  <c r="AR605" i="28"/>
  <c r="AR267" i="28"/>
  <c r="AQ267" i="28"/>
  <c r="AR332" i="28"/>
  <c r="AQ332" i="28"/>
  <c r="AR407" i="28"/>
  <c r="AQ407" i="28"/>
  <c r="AQ469" i="28"/>
  <c r="AR469" i="28"/>
  <c r="AR557" i="28"/>
  <c r="AQ557" i="28"/>
  <c r="AM629" i="28"/>
  <c r="AP629" i="28"/>
  <c r="AJ629" i="28"/>
  <c r="AQ56" i="28"/>
  <c r="AR56" i="28"/>
  <c r="AQ177" i="28"/>
  <c r="AR177" i="28"/>
  <c r="AR227" i="28"/>
  <c r="AQ227" i="28"/>
  <c r="AR280" i="28"/>
  <c r="AQ280" i="28"/>
  <c r="AR363" i="28"/>
  <c r="AQ363" i="28"/>
  <c r="AR417" i="28"/>
  <c r="AQ417" i="28"/>
  <c r="AR483" i="28"/>
  <c r="AQ483" i="28"/>
  <c r="AR560" i="28"/>
  <c r="AQ560" i="28"/>
  <c r="AQ604" i="28"/>
  <c r="AR604" i="28"/>
  <c r="AR17" i="28"/>
  <c r="AQ17" i="28"/>
  <c r="AQ25" i="28"/>
  <c r="AR25" i="28"/>
  <c r="AR540" i="28"/>
  <c r="AQ540" i="28"/>
  <c r="AR258" i="28"/>
  <c r="AQ258" i="28"/>
  <c r="AR126" i="28"/>
  <c r="AQ126" i="28"/>
  <c r="AQ88" i="28"/>
  <c r="AR88" i="28"/>
  <c r="AR138" i="28"/>
  <c r="AQ138" i="28"/>
  <c r="AR362" i="28"/>
  <c r="AQ362" i="28"/>
  <c r="AR559" i="28"/>
  <c r="AQ559" i="28"/>
  <c r="AQ421" i="28"/>
  <c r="AR421" i="28"/>
  <c r="AR334" i="28"/>
  <c r="AQ334" i="28"/>
  <c r="AR339" i="28"/>
  <c r="AQ339" i="28"/>
  <c r="AQ308" i="28"/>
  <c r="AR308" i="28"/>
  <c r="AR106" i="28"/>
  <c r="AQ106" i="28"/>
  <c r="AR165" i="28"/>
  <c r="AQ165" i="28"/>
  <c r="AQ337" i="28"/>
  <c r="AR337" i="28"/>
  <c r="AR513" i="28"/>
  <c r="AQ513" i="28"/>
  <c r="AR32" i="28"/>
  <c r="AQ32" i="28"/>
  <c r="AQ160" i="28"/>
  <c r="AR160" i="28"/>
  <c r="AQ305" i="28"/>
  <c r="AR305" i="28"/>
  <c r="AQ479" i="28"/>
  <c r="AR479" i="28"/>
  <c r="AR74" i="28"/>
  <c r="AQ74" i="28"/>
  <c r="AR110" i="28"/>
  <c r="AQ110" i="28"/>
  <c r="AR210" i="28"/>
  <c r="AQ210" i="28"/>
  <c r="AR410" i="28"/>
  <c r="AQ410" i="28"/>
  <c r="AQ595" i="28"/>
  <c r="AR595" i="28"/>
  <c r="AR69" i="28"/>
  <c r="AQ69" i="28"/>
  <c r="AQ196" i="28"/>
  <c r="AR196" i="28"/>
  <c r="AR349" i="28"/>
  <c r="AQ349" i="28"/>
  <c r="AR531" i="28"/>
  <c r="AQ531" i="28"/>
  <c r="AQ104" i="28"/>
  <c r="AR104" i="28"/>
  <c r="AR178" i="28"/>
  <c r="AQ178" i="28"/>
  <c r="AR350" i="28"/>
  <c r="AQ350" i="28"/>
  <c r="AR509" i="28"/>
  <c r="AQ509" i="28"/>
  <c r="AR87" i="28"/>
  <c r="AQ87" i="28"/>
  <c r="AQ169" i="28"/>
  <c r="AR169" i="28"/>
  <c r="AR322" i="28"/>
  <c r="AQ322" i="28"/>
  <c r="AQ462" i="28"/>
  <c r="AR462" i="28"/>
  <c r="AR33" i="28"/>
  <c r="AQ33" i="28"/>
  <c r="AR127" i="28"/>
  <c r="AQ127" i="28"/>
  <c r="AQ152" i="28"/>
  <c r="AR152" i="28"/>
  <c r="AR207" i="28"/>
  <c r="AQ207" i="28"/>
  <c r="AR319" i="28"/>
  <c r="AQ319" i="28"/>
  <c r="AR385" i="28"/>
  <c r="AQ385" i="28"/>
  <c r="AR447" i="28"/>
  <c r="AQ447" i="28"/>
  <c r="AQ489" i="28"/>
  <c r="AR489" i="28"/>
  <c r="AR569" i="28"/>
  <c r="AQ569" i="28"/>
  <c r="AQ19" i="28"/>
  <c r="AR19" i="28"/>
  <c r="AR99" i="28"/>
  <c r="AQ99" i="28"/>
  <c r="AR216" i="28"/>
  <c r="AQ216" i="28"/>
  <c r="AR226" i="28"/>
  <c r="AQ226" i="28"/>
  <c r="AR292" i="28"/>
  <c r="AQ292" i="28"/>
  <c r="AR357" i="28"/>
  <c r="AQ357" i="28"/>
  <c r="AR436" i="28"/>
  <c r="AQ436" i="28"/>
  <c r="AR484" i="28"/>
  <c r="AQ484" i="28"/>
  <c r="AQ555" i="28"/>
  <c r="AR555" i="28"/>
  <c r="AR221" i="28"/>
  <c r="AQ221" i="28"/>
  <c r="AQ277" i="28"/>
  <c r="AR277" i="28"/>
  <c r="AR360" i="28"/>
  <c r="AQ360" i="28"/>
  <c r="AR400" i="28"/>
  <c r="AQ400" i="28"/>
  <c r="AR482" i="28"/>
  <c r="AQ482" i="28"/>
  <c r="AR553" i="28"/>
  <c r="AQ553" i="28"/>
  <c r="AM627" i="28"/>
  <c r="AP627" i="28"/>
  <c r="AJ627" i="28"/>
  <c r="AR272" i="28"/>
  <c r="AQ272" i="28"/>
  <c r="AR355" i="28"/>
  <c r="AQ355" i="28"/>
  <c r="AR409" i="28"/>
  <c r="AQ409" i="28"/>
  <c r="AR475" i="28"/>
  <c r="AQ475" i="28"/>
  <c r="AR551" i="28"/>
  <c r="AQ551" i="28"/>
  <c r="AR610" i="28"/>
  <c r="AQ610" i="28"/>
  <c r="AR61" i="28"/>
  <c r="AQ61" i="28"/>
  <c r="AR166" i="28"/>
  <c r="AQ166" i="28"/>
  <c r="AR237" i="28"/>
  <c r="AQ237" i="28"/>
  <c r="AQ296" i="28"/>
  <c r="AR296" i="28"/>
  <c r="AR376" i="28"/>
  <c r="AQ376" i="28"/>
  <c r="AR416" i="28"/>
  <c r="AQ416" i="28"/>
  <c r="AQ503" i="28"/>
  <c r="AR503" i="28"/>
  <c r="AR542" i="28"/>
  <c r="AQ542" i="28"/>
  <c r="AQ113" i="28"/>
  <c r="AR113" i="28"/>
  <c r="AQ50" i="28"/>
  <c r="AR50" i="28"/>
  <c r="AQ48" i="28"/>
  <c r="AR48" i="28"/>
  <c r="AR52" i="28"/>
  <c r="AQ52" i="28"/>
  <c r="AQ379" i="28"/>
  <c r="AR379" i="28"/>
  <c r="AR218" i="28"/>
  <c r="AQ218" i="28"/>
  <c r="AQ527" i="28"/>
  <c r="AR527" i="28"/>
  <c r="AR109" i="28"/>
  <c r="AQ109" i="28"/>
  <c r="AR440" i="28"/>
  <c r="AQ440" i="28"/>
  <c r="AQ255" i="28"/>
  <c r="AR255" i="28"/>
  <c r="AQ297" i="28"/>
  <c r="AR297" i="28"/>
  <c r="AR609" i="28"/>
  <c r="AQ609" i="28"/>
  <c r="AR68" i="28"/>
  <c r="AQ68" i="28"/>
  <c r="AQ97" i="28"/>
  <c r="AR97" i="28"/>
  <c r="AR491" i="28"/>
  <c r="AQ491" i="28"/>
  <c r="AR406" i="28"/>
  <c r="AQ406" i="28"/>
  <c r="AQ411" i="28"/>
  <c r="AR411" i="28"/>
  <c r="AR371" i="28"/>
  <c r="AQ371" i="28"/>
  <c r="AQ80" i="28"/>
  <c r="AR80" i="28"/>
  <c r="AR191" i="28"/>
  <c r="AQ191" i="28"/>
  <c r="AQ336" i="28"/>
  <c r="AR336" i="28"/>
  <c r="AR528" i="28"/>
  <c r="AQ528" i="28"/>
  <c r="AQ67" i="28"/>
  <c r="AR67" i="28"/>
  <c r="AR189" i="28"/>
  <c r="AQ189" i="28"/>
  <c r="AQ301" i="28"/>
  <c r="AR301" i="28"/>
  <c r="AQ510" i="28"/>
  <c r="AR510" i="28"/>
  <c r="AR26" i="28"/>
  <c r="AQ26" i="28"/>
  <c r="AQ159" i="28"/>
  <c r="AR159" i="28"/>
  <c r="AR299" i="28"/>
  <c r="AQ299" i="28"/>
  <c r="AQ488" i="28"/>
  <c r="AR488" i="28"/>
  <c r="AR588" i="28"/>
  <c r="AQ588" i="28"/>
  <c r="AR100" i="28"/>
  <c r="AQ100" i="28"/>
  <c r="AR248" i="28"/>
  <c r="AQ248" i="28"/>
  <c r="AR396" i="28"/>
  <c r="AQ396" i="28"/>
  <c r="AQ547" i="28"/>
  <c r="AR547" i="28"/>
  <c r="AQ85" i="28"/>
  <c r="AR85" i="28"/>
  <c r="AR209" i="28"/>
  <c r="AQ209" i="28"/>
  <c r="AQ383" i="28"/>
  <c r="AR383" i="28"/>
  <c r="AR546" i="28"/>
  <c r="AQ546" i="28"/>
  <c r="AR73" i="28"/>
  <c r="AQ73" i="28"/>
  <c r="AQ206" i="28"/>
  <c r="AR206" i="28"/>
  <c r="AQ327" i="28"/>
  <c r="AR327" i="28"/>
  <c r="AQ460" i="28"/>
  <c r="AR460" i="28"/>
  <c r="AQ95" i="28"/>
  <c r="AR95" i="28"/>
  <c r="AQ132" i="28"/>
  <c r="AR132" i="28"/>
  <c r="AQ240" i="28"/>
  <c r="AR240" i="28"/>
  <c r="AQ347" i="28"/>
  <c r="AR347" i="28"/>
  <c r="AR289" i="28"/>
  <c r="AQ289" i="28"/>
  <c r="AQ340" i="28"/>
  <c r="AR340" i="28"/>
  <c r="AQ432" i="28"/>
  <c r="AR432" i="28"/>
  <c r="AQ521" i="28"/>
  <c r="AR521" i="28"/>
  <c r="AR563" i="28"/>
  <c r="AQ563" i="28"/>
  <c r="AQ55" i="28"/>
  <c r="AR55" i="28"/>
  <c r="AQ147" i="28"/>
  <c r="AR147" i="28"/>
  <c r="AR176" i="28"/>
  <c r="AQ176" i="28"/>
  <c r="AQ231" i="28"/>
  <c r="AR231" i="28"/>
  <c r="AQ335" i="28"/>
  <c r="AR335" i="28"/>
  <c r="AR370" i="28"/>
  <c r="AQ370" i="28"/>
  <c r="AR446" i="28"/>
  <c r="AQ446" i="28"/>
  <c r="AQ486" i="28"/>
  <c r="AR486" i="28"/>
  <c r="AR561" i="28"/>
  <c r="AQ561" i="28"/>
  <c r="AR234" i="28"/>
  <c r="AQ234" i="28"/>
  <c r="AR287" i="28"/>
  <c r="AQ287" i="28"/>
  <c r="AR365" i="28"/>
  <c r="AQ365" i="28"/>
  <c r="AR444" i="28"/>
  <c r="AQ444" i="28"/>
  <c r="AR492" i="28"/>
  <c r="AQ492" i="28"/>
  <c r="AR544" i="28"/>
  <c r="AQ544" i="28"/>
  <c r="AQ229" i="28"/>
  <c r="AR229" i="28"/>
  <c r="AR285" i="28"/>
  <c r="AQ285" i="28"/>
  <c r="AQ368" i="28"/>
  <c r="AR368" i="28"/>
  <c r="AQ408" i="28"/>
  <c r="AR408" i="28"/>
  <c r="AR490" i="28"/>
  <c r="AQ490" i="28"/>
  <c r="AR534" i="28"/>
  <c r="AQ534" i="28"/>
  <c r="AQ16" i="28"/>
  <c r="AR16" i="28"/>
  <c r="AQ111" i="28"/>
  <c r="AR111" i="28"/>
  <c r="AR195" i="28"/>
  <c r="AQ195" i="28"/>
  <c r="AR263" i="28"/>
  <c r="AQ263" i="28"/>
  <c r="AR303" i="28"/>
  <c r="AQ303" i="28"/>
  <c r="AR378" i="28"/>
  <c r="AQ378" i="28"/>
  <c r="AR433" i="28"/>
  <c r="AQ433" i="28"/>
  <c r="AR506" i="28"/>
  <c r="AQ506" i="28"/>
  <c r="AR565" i="28"/>
  <c r="AQ565" i="28"/>
  <c r="AR82" i="28"/>
  <c r="AQ82" i="28"/>
  <c r="AR27" i="28"/>
  <c r="AQ27" i="28"/>
  <c r="AR30" i="28"/>
  <c r="AQ30" i="28"/>
  <c r="B417" i="2"/>
  <c r="CD16" i="33" l="1"/>
  <c r="CD17" i="31"/>
  <c r="CD17" i="33"/>
  <c r="CD15" i="31"/>
  <c r="CD13" i="31"/>
  <c r="CD11" i="31"/>
  <c r="CD12" i="33"/>
  <c r="CD11" i="33"/>
  <c r="B16" i="33"/>
  <c r="CD13" i="33"/>
  <c r="CD9" i="33"/>
  <c r="CD14" i="33"/>
  <c r="CD16" i="31"/>
  <c r="CD9" i="31"/>
  <c r="CD14" i="31"/>
  <c r="B16" i="31"/>
  <c r="CD12" i="31"/>
  <c r="CD15" i="33"/>
  <c r="AS629" i="28"/>
  <c r="AS627" i="28"/>
  <c r="AU588" i="28"/>
  <c r="AT588" i="28"/>
  <c r="AU385" i="28"/>
  <c r="AT385" i="28"/>
  <c r="AU264" i="28"/>
  <c r="AT264" i="28"/>
  <c r="AU330" i="28"/>
  <c r="AT330" i="28"/>
  <c r="AU66" i="28"/>
  <c r="AT66" i="28"/>
  <c r="AT284" i="28"/>
  <c r="AU284" i="28"/>
  <c r="AU86" i="28"/>
  <c r="AT86" i="28"/>
  <c r="AT493" i="28"/>
  <c r="AU493" i="28"/>
  <c r="AU142" i="28"/>
  <c r="AT142" i="28"/>
  <c r="AT116" i="28"/>
  <c r="AU116" i="28"/>
  <c r="AU27" i="28"/>
  <c r="AT27" i="28"/>
  <c r="AU85" i="28"/>
  <c r="AT85" i="28"/>
  <c r="AT296" i="28"/>
  <c r="AU296" i="28"/>
  <c r="AT99" i="28"/>
  <c r="AU99" i="28"/>
  <c r="AU350" i="28"/>
  <c r="AT350" i="28"/>
  <c r="AU513" i="28"/>
  <c r="AT513" i="28"/>
  <c r="AT17" i="28"/>
  <c r="AU17" i="28"/>
  <c r="AT605" i="28"/>
  <c r="AU605" i="28"/>
  <c r="AU501" i="28"/>
  <c r="AT501" i="28"/>
  <c r="AU558" i="28"/>
  <c r="AT558" i="28"/>
  <c r="AU600" i="28"/>
  <c r="AT600" i="28"/>
  <c r="AT70" i="28"/>
  <c r="AU70" i="28"/>
  <c r="AU143" i="28"/>
  <c r="AT143" i="28"/>
  <c r="AT187" i="28"/>
  <c r="AU187" i="28"/>
  <c r="AU208" i="28"/>
  <c r="AT208" i="28"/>
  <c r="AT415" i="28"/>
  <c r="AU415" i="28"/>
  <c r="AU467" i="28"/>
  <c r="AT467" i="28"/>
  <c r="AU325" i="28"/>
  <c r="AT325" i="28"/>
  <c r="AT203" i="28"/>
  <c r="AU203" i="28"/>
  <c r="AU245" i="28"/>
  <c r="AT245" i="28"/>
  <c r="AT42" i="28"/>
  <c r="AU42" i="28"/>
  <c r="AU54" i="28"/>
  <c r="AT54" i="28"/>
  <c r="AU125" i="28"/>
  <c r="AT125" i="28"/>
  <c r="AT157" i="28"/>
  <c r="AU157" i="28"/>
  <c r="AT552" i="28"/>
  <c r="AU552" i="28"/>
  <c r="AT211" i="28"/>
  <c r="AU211" i="28"/>
  <c r="AU541" i="28"/>
  <c r="AT541" i="28"/>
  <c r="AU580" i="28"/>
  <c r="AT580" i="28"/>
  <c r="AU459" i="28"/>
  <c r="AT459" i="28"/>
  <c r="AU317" i="28"/>
  <c r="AT317" i="28"/>
  <c r="AU424" i="28"/>
  <c r="AT424" i="28"/>
  <c r="AT219" i="28"/>
  <c r="AU219" i="28"/>
  <c r="AU282" i="28"/>
  <c r="AT282" i="28"/>
  <c r="AU431" i="28"/>
  <c r="AT431" i="28"/>
  <c r="AU64" i="28"/>
  <c r="AT64" i="28"/>
  <c r="AU364" i="28"/>
  <c r="AT364" i="28"/>
  <c r="AT532" i="28"/>
  <c r="AU532" i="28"/>
  <c r="AU399" i="28"/>
  <c r="AT399" i="28"/>
  <c r="AT426" i="28"/>
  <c r="AU426" i="28"/>
  <c r="AU353" i="28"/>
  <c r="AT353" i="28"/>
  <c r="AU180" i="28"/>
  <c r="AT180" i="28"/>
  <c r="AT293" i="28"/>
  <c r="AU293" i="28"/>
  <c r="AU594" i="28"/>
  <c r="AT594" i="28"/>
  <c r="AU63" i="28"/>
  <c r="AT63" i="28"/>
  <c r="AT137" i="28"/>
  <c r="AU137" i="28"/>
  <c r="AU94" i="28"/>
  <c r="AT94" i="28"/>
  <c r="AU200" i="28"/>
  <c r="AT200" i="28"/>
  <c r="AT114" i="28"/>
  <c r="AU114" i="28"/>
  <c r="AT105" i="28"/>
  <c r="AU105" i="28"/>
  <c r="AU102" i="28"/>
  <c r="AT102" i="28"/>
  <c r="AT597" i="28"/>
  <c r="AU597" i="28"/>
  <c r="AU449" i="28"/>
  <c r="AT449" i="28"/>
  <c r="AT508" i="28"/>
  <c r="AU508" i="28"/>
  <c r="AU519" i="28"/>
  <c r="AT519" i="28"/>
  <c r="AU607" i="28"/>
  <c r="AT607" i="28"/>
  <c r="AU92" i="28"/>
  <c r="AT92" i="28"/>
  <c r="AU154" i="28"/>
  <c r="AT154" i="28"/>
  <c r="AU185" i="28"/>
  <c r="AT185" i="28"/>
  <c r="AU455" i="28"/>
  <c r="AT455" i="28"/>
  <c r="AU423" i="28"/>
  <c r="AT423" i="28"/>
  <c r="AU287" i="28"/>
  <c r="AT287" i="28"/>
  <c r="AU491" i="28"/>
  <c r="AT491" i="28"/>
  <c r="AT292" i="28"/>
  <c r="AU292" i="28"/>
  <c r="AU363" i="28"/>
  <c r="AT363" i="28"/>
  <c r="AU202" i="28"/>
  <c r="AT202" i="28"/>
  <c r="AT526" i="28"/>
  <c r="AU526" i="28"/>
  <c r="AT130" i="28"/>
  <c r="AU130" i="28"/>
  <c r="AU549" i="28"/>
  <c r="AT549" i="28"/>
  <c r="AU386" i="28"/>
  <c r="AT386" i="28"/>
  <c r="AU514" i="28"/>
  <c r="AT514" i="28"/>
  <c r="AU568" i="28"/>
  <c r="AT568" i="28"/>
  <c r="AU359" i="28"/>
  <c r="AT359" i="28"/>
  <c r="AU472" i="28"/>
  <c r="AT472" i="28"/>
  <c r="AU486" i="28"/>
  <c r="AT486" i="28"/>
  <c r="AU52" i="28"/>
  <c r="AT52" i="28"/>
  <c r="AL627" i="28"/>
  <c r="AK627" i="28"/>
  <c r="AT152" i="28"/>
  <c r="AU152" i="28"/>
  <c r="AU410" i="28"/>
  <c r="AT410" i="28"/>
  <c r="AT559" i="28"/>
  <c r="AU559" i="28"/>
  <c r="AT177" i="28"/>
  <c r="AU177" i="28"/>
  <c r="AU506" i="28"/>
  <c r="AT506" i="28"/>
  <c r="AU534" i="28"/>
  <c r="AT534" i="28"/>
  <c r="AT444" i="28"/>
  <c r="AU444" i="28"/>
  <c r="AU335" i="28"/>
  <c r="AT335" i="28"/>
  <c r="AU340" i="28"/>
  <c r="AT340" i="28"/>
  <c r="AT206" i="28"/>
  <c r="AU206" i="28"/>
  <c r="AU248" i="28"/>
  <c r="AT248" i="28"/>
  <c r="AT301" i="28"/>
  <c r="AU301" i="28"/>
  <c r="AT411" i="28"/>
  <c r="AU411" i="28"/>
  <c r="AT440" i="28"/>
  <c r="AU440" i="28"/>
  <c r="AT113" i="28"/>
  <c r="AU113" i="28"/>
  <c r="AT61" i="28"/>
  <c r="AU61" i="28"/>
  <c r="AU553" i="28"/>
  <c r="AT553" i="28"/>
  <c r="AU436" i="28"/>
  <c r="AT436" i="28"/>
  <c r="AT489" i="28"/>
  <c r="AU489" i="28"/>
  <c r="AT462" i="28"/>
  <c r="AU462" i="28"/>
  <c r="AU531" i="28"/>
  <c r="AT531" i="28"/>
  <c r="AU74" i="28"/>
  <c r="AT74" i="28"/>
  <c r="AT106" i="28"/>
  <c r="AU106" i="28"/>
  <c r="AU88" i="28"/>
  <c r="AT88" i="28"/>
  <c r="AU483" i="28"/>
  <c r="AT483" i="28"/>
  <c r="AU557" i="28"/>
  <c r="AT557" i="28"/>
  <c r="AU401" i="28"/>
  <c r="AT401" i="28"/>
  <c r="AU269" i="28"/>
  <c r="AT269" i="28"/>
  <c r="AT398" i="28"/>
  <c r="AU398" i="28"/>
  <c r="AU145" i="28"/>
  <c r="AT145" i="28"/>
  <c r="AU170" i="28"/>
  <c r="AT170" i="28"/>
  <c r="AU300" i="28"/>
  <c r="AT300" i="28"/>
  <c r="AU220" i="28"/>
  <c r="AT220" i="28"/>
  <c r="AU18" i="28"/>
  <c r="AT18" i="28"/>
  <c r="AU214" i="28"/>
  <c r="AT214" i="28"/>
  <c r="AT270" i="28"/>
  <c r="AU270" i="28"/>
  <c r="AT535" i="28"/>
  <c r="AU535" i="28"/>
  <c r="AU613" i="28"/>
  <c r="AT613" i="28"/>
  <c r="AU72" i="28"/>
  <c r="AT72" i="28"/>
  <c r="AT190" i="28"/>
  <c r="AU190" i="28"/>
  <c r="AU188" i="28"/>
  <c r="AT188" i="28"/>
  <c r="AU253" i="28"/>
  <c r="AT253" i="28"/>
  <c r="AT28" i="28"/>
  <c r="AU28" i="28"/>
  <c r="AU437" i="28"/>
  <c r="AT437" i="28"/>
  <c r="AU155" i="28"/>
  <c r="AT155" i="28"/>
  <c r="AT328" i="28"/>
  <c r="AU328" i="28"/>
  <c r="AT397" i="28"/>
  <c r="AU397" i="28"/>
  <c r="AU262" i="28"/>
  <c r="AT262" i="28"/>
  <c r="AU171" i="28"/>
  <c r="AT171" i="28"/>
  <c r="AU230" i="28"/>
  <c r="AT230" i="28"/>
  <c r="AU471" i="28"/>
  <c r="AT471" i="28"/>
  <c r="AT504" i="28"/>
  <c r="AU504" i="28"/>
  <c r="AU606" i="28"/>
  <c r="AT606" i="28"/>
  <c r="AT232" i="28"/>
  <c r="AU232" i="28"/>
  <c r="AU247" i="28"/>
  <c r="AT247" i="28"/>
  <c r="AU244" i="28"/>
  <c r="AT244" i="28"/>
  <c r="AU40" i="28"/>
  <c r="AT40" i="28"/>
  <c r="AU183" i="28"/>
  <c r="AT183" i="28"/>
  <c r="AT242" i="28"/>
  <c r="AU242" i="28"/>
  <c r="AT533" i="28"/>
  <c r="AU533" i="28"/>
  <c r="AT591" i="28"/>
  <c r="AU591" i="28"/>
  <c r="AU78" i="28"/>
  <c r="AT78" i="28"/>
  <c r="AU128" i="28"/>
  <c r="AT128" i="28"/>
  <c r="AT168" i="28"/>
  <c r="AU168" i="28"/>
  <c r="AU306" i="28"/>
  <c r="AT306" i="28"/>
  <c r="AU164" i="28"/>
  <c r="AT164" i="28"/>
  <c r="AU391" i="28"/>
  <c r="AT391" i="28"/>
  <c r="AU47" i="28"/>
  <c r="AT47" i="28"/>
  <c r="AU434" i="28"/>
  <c r="AT434" i="28"/>
  <c r="AT502" i="28"/>
  <c r="AU502" i="28"/>
  <c r="AU372" i="28"/>
  <c r="AT372" i="28"/>
  <c r="AU268" i="28"/>
  <c r="AT268" i="28"/>
  <c r="AU333" i="28"/>
  <c r="AT333" i="28"/>
  <c r="AU112" i="28"/>
  <c r="AT112" i="28"/>
  <c r="AT179" i="28"/>
  <c r="AU179" i="28"/>
  <c r="AU222" i="28"/>
  <c r="AT222" i="28"/>
  <c r="AT590" i="28"/>
  <c r="AU590" i="28"/>
  <c r="AU435" i="28"/>
  <c r="AT435" i="28"/>
  <c r="AU60" i="28"/>
  <c r="AT60" i="28"/>
  <c r="AU525" i="28"/>
  <c r="AT525" i="28"/>
  <c r="AT378" i="28"/>
  <c r="AU378" i="28"/>
  <c r="AT503" i="28"/>
  <c r="AU503" i="28"/>
  <c r="AT305" i="28"/>
  <c r="AU305" i="28"/>
  <c r="AU481" i="28"/>
  <c r="AT481" i="28"/>
  <c r="AU496" i="28"/>
  <c r="AT496" i="28"/>
  <c r="AU161" i="28"/>
  <c r="AT161" i="28"/>
  <c r="AU456" i="28"/>
  <c r="AT456" i="28"/>
  <c r="AT498" i="28"/>
  <c r="AU498" i="28"/>
  <c r="AT574" i="28"/>
  <c r="AU574" i="28"/>
  <c r="AU159" i="28"/>
  <c r="AT159" i="28"/>
  <c r="AU355" i="28"/>
  <c r="AT355" i="28"/>
  <c r="AU303" i="28"/>
  <c r="AT303" i="28"/>
  <c r="AT368" i="28"/>
  <c r="AU368" i="28"/>
  <c r="AU234" i="28"/>
  <c r="AT234" i="28"/>
  <c r="AU147" i="28"/>
  <c r="AT147" i="28"/>
  <c r="AT240" i="28"/>
  <c r="AU240" i="28"/>
  <c r="AT383" i="28"/>
  <c r="AU383" i="28"/>
  <c r="AU488" i="28"/>
  <c r="AT488" i="28"/>
  <c r="AT528" i="28"/>
  <c r="AU528" i="28"/>
  <c r="AU97" i="28"/>
  <c r="AT97" i="28"/>
  <c r="AT218" i="28"/>
  <c r="AU218" i="28"/>
  <c r="AU416" i="28"/>
  <c r="AT416" i="28"/>
  <c r="AT475" i="28"/>
  <c r="AU475" i="28"/>
  <c r="AR627" i="28"/>
  <c r="AQ627" i="28"/>
  <c r="AU360" i="28"/>
  <c r="AT360" i="28"/>
  <c r="AU226" i="28"/>
  <c r="AT226" i="28"/>
  <c r="AU319" i="28"/>
  <c r="AT319" i="28"/>
  <c r="AU87" i="28"/>
  <c r="AT87" i="28"/>
  <c r="AT69" i="28"/>
  <c r="AU69" i="28"/>
  <c r="AU160" i="28"/>
  <c r="AT160" i="28"/>
  <c r="AT334" i="28"/>
  <c r="AU334" i="28"/>
  <c r="AT540" i="28"/>
  <c r="AU540" i="28"/>
  <c r="AT280" i="28"/>
  <c r="AU280" i="28"/>
  <c r="AQ629" i="28"/>
  <c r="AR629" i="28"/>
  <c r="AT332" i="28"/>
  <c r="AU332" i="28"/>
  <c r="AT608" i="28"/>
  <c r="AU608" i="28"/>
  <c r="AU149" i="28"/>
  <c r="AT149" i="28"/>
  <c r="AU182" i="28"/>
  <c r="AT182" i="28"/>
  <c r="AT318" i="28"/>
  <c r="AU318" i="28"/>
  <c r="AT380" i="28"/>
  <c r="AU380" i="28"/>
  <c r="AU485" i="28"/>
  <c r="AT485" i="28"/>
  <c r="AT448" i="28"/>
  <c r="AU448" i="28"/>
  <c r="AU523" i="28"/>
  <c r="AT523" i="28"/>
  <c r="AU589" i="28"/>
  <c r="AT589" i="28"/>
  <c r="AU461" i="28"/>
  <c r="AT461" i="28"/>
  <c r="AU366" i="28"/>
  <c r="AT366" i="28"/>
  <c r="AU414" i="28"/>
  <c r="AT414" i="28"/>
  <c r="AT215" i="28"/>
  <c r="AU215" i="28"/>
  <c r="AU310" i="28"/>
  <c r="AT310" i="28"/>
  <c r="AU429" i="28"/>
  <c r="AT429" i="28"/>
  <c r="AU163" i="28"/>
  <c r="AT163" i="28"/>
  <c r="AT624" i="28"/>
  <c r="AU624" i="28"/>
  <c r="AU162" i="28"/>
  <c r="AT162" i="28"/>
  <c r="AT29" i="28"/>
  <c r="AU29" i="28"/>
  <c r="AU120" i="28"/>
  <c r="AT120" i="28"/>
  <c r="AU599" i="28"/>
  <c r="AT599" i="28"/>
  <c r="AU480" i="28"/>
  <c r="AT480" i="28"/>
  <c r="AU538" i="28"/>
  <c r="AT538" i="28"/>
  <c r="AU567" i="28"/>
  <c r="AT567" i="28"/>
  <c r="AU71" i="28"/>
  <c r="AT71" i="28"/>
  <c r="AU83" i="28"/>
  <c r="AT83" i="28"/>
  <c r="AT101" i="28"/>
  <c r="AU101" i="28"/>
  <c r="AU572" i="28"/>
  <c r="AT572" i="28"/>
  <c r="AU494" i="28"/>
  <c r="AT494" i="28"/>
  <c r="AU108" i="28"/>
  <c r="AT108" i="28"/>
  <c r="AU511" i="28"/>
  <c r="AT511" i="28"/>
  <c r="AU579" i="28"/>
  <c r="AT579" i="28"/>
  <c r="AU457" i="28"/>
  <c r="AT457" i="28"/>
  <c r="AT304" i="28"/>
  <c r="AU304" i="28"/>
  <c r="AT394" i="28"/>
  <c r="AU394" i="28"/>
  <c r="AT225" i="28"/>
  <c r="AU225" i="28"/>
  <c r="AT283" i="28"/>
  <c r="AU283" i="28"/>
  <c r="AT402" i="28"/>
  <c r="AU402" i="28"/>
  <c r="AU37" i="28"/>
  <c r="AT37" i="28"/>
  <c r="AU625" i="28"/>
  <c r="AT625" i="28"/>
  <c r="AT573" i="28"/>
  <c r="AU573" i="28"/>
  <c r="AU286" i="28"/>
  <c r="AT286" i="28"/>
  <c r="AT279" i="28"/>
  <c r="AU279" i="28"/>
  <c r="AT316" i="28"/>
  <c r="AU316" i="28"/>
  <c r="AU575" i="28"/>
  <c r="AT575" i="28"/>
  <c r="AT65" i="28"/>
  <c r="AU65" i="28"/>
  <c r="AU115" i="28"/>
  <c r="AT115" i="28"/>
  <c r="AU199" i="28"/>
  <c r="AT199" i="28"/>
  <c r="AU274" i="28"/>
  <c r="AT274" i="28"/>
  <c r="AU387" i="28"/>
  <c r="AT387" i="28"/>
  <c r="AU204" i="28"/>
  <c r="AT204" i="28"/>
  <c r="AU499" i="28"/>
  <c r="AT499" i="28"/>
  <c r="AT323" i="28"/>
  <c r="AU323" i="28"/>
  <c r="AT176" i="28"/>
  <c r="AU176" i="28"/>
  <c r="AU67" i="28"/>
  <c r="AT67" i="28"/>
  <c r="AU169" i="28"/>
  <c r="AT169" i="28"/>
  <c r="AU212" i="28"/>
  <c r="AT212" i="28"/>
  <c r="AU59" i="28"/>
  <c r="AT59" i="28"/>
  <c r="AT291" i="28"/>
  <c r="AU291" i="28"/>
  <c r="AT601" i="28"/>
  <c r="AU601" i="28"/>
  <c r="AU373" i="28"/>
  <c r="AT373" i="28"/>
  <c r="AU453" i="28"/>
  <c r="AT453" i="28"/>
  <c r="AT343" i="28"/>
  <c r="AU343" i="28"/>
  <c r="AT404" i="28"/>
  <c r="AU404" i="28"/>
  <c r="AT195" i="28"/>
  <c r="AU195" i="28"/>
  <c r="AU95" i="28"/>
  <c r="AT95" i="28"/>
  <c r="AU609" i="28"/>
  <c r="AT609" i="28"/>
  <c r="AU221" i="28"/>
  <c r="AT221" i="28"/>
  <c r="AU82" i="28"/>
  <c r="AT82" i="28"/>
  <c r="AT111" i="28"/>
  <c r="AU111" i="28"/>
  <c r="AU544" i="28"/>
  <c r="AT544" i="28"/>
  <c r="AU446" i="28"/>
  <c r="AT446" i="28"/>
  <c r="AU521" i="28"/>
  <c r="AT521" i="28"/>
  <c r="AT460" i="28"/>
  <c r="AU460" i="28"/>
  <c r="AU547" i="28"/>
  <c r="AT547" i="28"/>
  <c r="AT26" i="28"/>
  <c r="AU26" i="28"/>
  <c r="AT80" i="28"/>
  <c r="AU80" i="28"/>
  <c r="AU297" i="28"/>
  <c r="AT297" i="28"/>
  <c r="AU48" i="28"/>
  <c r="AT48" i="28"/>
  <c r="AT237" i="28"/>
  <c r="AU237" i="28"/>
  <c r="AU272" i="28"/>
  <c r="AT272" i="28"/>
  <c r="AU555" i="28"/>
  <c r="AT555" i="28"/>
  <c r="AT19" i="28"/>
  <c r="AU19" i="28"/>
  <c r="AU127" i="28"/>
  <c r="AT127" i="28"/>
  <c r="AU178" i="28"/>
  <c r="AT178" i="28"/>
  <c r="AU210" i="28"/>
  <c r="AT210" i="28"/>
  <c r="AT337" i="28"/>
  <c r="AU337" i="28"/>
  <c r="AU362" i="28"/>
  <c r="AT362" i="28"/>
  <c r="AT604" i="28"/>
  <c r="AU604" i="28"/>
  <c r="AT56" i="28"/>
  <c r="AU56" i="28"/>
  <c r="AU543" i="28"/>
  <c r="AT543" i="28"/>
  <c r="AU419" i="28"/>
  <c r="AT419" i="28"/>
  <c r="AU487" i="28"/>
  <c r="AT487" i="28"/>
  <c r="AT430" i="28"/>
  <c r="AU430" i="28"/>
  <c r="AU520" i="28"/>
  <c r="AT520" i="28"/>
  <c r="AU90" i="28"/>
  <c r="AT90" i="28"/>
  <c r="AU103" i="28"/>
  <c r="AT103" i="28"/>
  <c r="AU31" i="28"/>
  <c r="AT31" i="28"/>
  <c r="AT345" i="28"/>
  <c r="AU345" i="28"/>
  <c r="AU392" i="28"/>
  <c r="AT392" i="28"/>
  <c r="AT259" i="28"/>
  <c r="AU259" i="28"/>
  <c r="AU153" i="28"/>
  <c r="AT153" i="28"/>
  <c r="AU271" i="28"/>
  <c r="AT271" i="28"/>
  <c r="AT452" i="28"/>
  <c r="AU452" i="28"/>
  <c r="AU529" i="28"/>
  <c r="AT529" i="28"/>
  <c r="AT39" i="28"/>
  <c r="AU39" i="28"/>
  <c r="AU235" i="28"/>
  <c r="AT235" i="28"/>
  <c r="AU566" i="28"/>
  <c r="AT566" i="28"/>
  <c r="AT442" i="28"/>
  <c r="AU442" i="28"/>
  <c r="AT474" i="28"/>
  <c r="AU474" i="28"/>
  <c r="AU522" i="28"/>
  <c r="AT522" i="28"/>
  <c r="AT413" i="28"/>
  <c r="AU413" i="28"/>
  <c r="AU251" i="28"/>
  <c r="AT251" i="28"/>
  <c r="AU342" i="28"/>
  <c r="AT342" i="28"/>
  <c r="AU124" i="28"/>
  <c r="AT124" i="28"/>
  <c r="AU174" i="28"/>
  <c r="AT174" i="28"/>
  <c r="AU228" i="28"/>
  <c r="AT228" i="28"/>
  <c r="AU123" i="28"/>
  <c r="AT123" i="28"/>
  <c r="AT43" i="28"/>
  <c r="AU43" i="28"/>
  <c r="AT173" i="28"/>
  <c r="AU173" i="28"/>
  <c r="AT556" i="28"/>
  <c r="AU556" i="28"/>
  <c r="AU315" i="28"/>
  <c r="AT315" i="28"/>
  <c r="AT381" i="28"/>
  <c r="AU381" i="28"/>
  <c r="AU276" i="28"/>
  <c r="AT276" i="28"/>
  <c r="AU139" i="28"/>
  <c r="AT139" i="28"/>
  <c r="AU217" i="28"/>
  <c r="AT217" i="28"/>
  <c r="AU441" i="28"/>
  <c r="AT441" i="28"/>
  <c r="AU495" i="28"/>
  <c r="AT495" i="28"/>
  <c r="AU602" i="28"/>
  <c r="AT602" i="28"/>
  <c r="AU140" i="28"/>
  <c r="AT140" i="28"/>
  <c r="AU463" i="28"/>
  <c r="AT463" i="28"/>
  <c r="AU562" i="28"/>
  <c r="AT562" i="28"/>
  <c r="AT576" i="28"/>
  <c r="AU576" i="28"/>
  <c r="AU84" i="28"/>
  <c r="AT84" i="28"/>
  <c r="AT507" i="28"/>
  <c r="AU507" i="28"/>
  <c r="AU382" i="28"/>
  <c r="AT382" i="28"/>
  <c r="AU470" i="28"/>
  <c r="AT470" i="28"/>
  <c r="AU358" i="28"/>
  <c r="AT358" i="28"/>
  <c r="AU428" i="28"/>
  <c r="AT428" i="28"/>
  <c r="AU550" i="28"/>
  <c r="AT550" i="28"/>
  <c r="AU516" i="28"/>
  <c r="AT516" i="28"/>
  <c r="AT473" i="28"/>
  <c r="AU473" i="28"/>
  <c r="AU577" i="28"/>
  <c r="AT577" i="28"/>
  <c r="AT141" i="28"/>
  <c r="AU141" i="28"/>
  <c r="AU347" i="28"/>
  <c r="AT347" i="28"/>
  <c r="AT527" i="28"/>
  <c r="AU527" i="28"/>
  <c r="AT196" i="28"/>
  <c r="AU196" i="28"/>
  <c r="AU407" i="28"/>
  <c r="AT407" i="28"/>
  <c r="AT592" i="28"/>
  <c r="AU592" i="28"/>
  <c r="AT412" i="28"/>
  <c r="AU412" i="28"/>
  <c r="AU15" i="28"/>
  <c r="AT15" i="28"/>
  <c r="AU75" i="28"/>
  <c r="AT75" i="28"/>
  <c r="AT582" i="28"/>
  <c r="AU582" i="28"/>
  <c r="AT354" i="28"/>
  <c r="AU354" i="28"/>
  <c r="AT241" i="28"/>
  <c r="AU241" i="28"/>
  <c r="AT118" i="28"/>
  <c r="AU118" i="28"/>
  <c r="AT563" i="28"/>
  <c r="AU563" i="28"/>
  <c r="AU490" i="28"/>
  <c r="AT490" i="28"/>
  <c r="AU231" i="28"/>
  <c r="AT231" i="28"/>
  <c r="AU289" i="28"/>
  <c r="AT289" i="28"/>
  <c r="AU100" i="28"/>
  <c r="AT100" i="28"/>
  <c r="AU189" i="28"/>
  <c r="AT189" i="28"/>
  <c r="AU406" i="28"/>
  <c r="AT406" i="28"/>
  <c r="AT109" i="28"/>
  <c r="AU109" i="28"/>
  <c r="AU542" i="28"/>
  <c r="AT542" i="28"/>
  <c r="AT610" i="28"/>
  <c r="AU610" i="28"/>
  <c r="AT482" i="28"/>
  <c r="AU482" i="28"/>
  <c r="AU357" i="28"/>
  <c r="AT357" i="28"/>
  <c r="AU447" i="28"/>
  <c r="AT447" i="28"/>
  <c r="AU322" i="28"/>
  <c r="AT322" i="28"/>
  <c r="AU349" i="28"/>
  <c r="AT349" i="28"/>
  <c r="AT479" i="28"/>
  <c r="AU479" i="28"/>
  <c r="AU308" i="28"/>
  <c r="AT308" i="28"/>
  <c r="AU126" i="28"/>
  <c r="AT126" i="28"/>
  <c r="AU417" i="28"/>
  <c r="AT417" i="28"/>
  <c r="AT469" i="28"/>
  <c r="AU469" i="28"/>
  <c r="AU374" i="28"/>
  <c r="AT374" i="28"/>
  <c r="AU213" i="28"/>
  <c r="AT213" i="28"/>
  <c r="AU266" i="28"/>
  <c r="AT266" i="28"/>
  <c r="AU22" i="28"/>
  <c r="AT22" i="28"/>
  <c r="AU91" i="28"/>
  <c r="AT91" i="28"/>
  <c r="AU150" i="28"/>
  <c r="AT150" i="28"/>
  <c r="AT223" i="28"/>
  <c r="AU223" i="28"/>
  <c r="AU23" i="28"/>
  <c r="AT23" i="28"/>
  <c r="AU117" i="28"/>
  <c r="AT117" i="28"/>
  <c r="AT603" i="28"/>
  <c r="AU603" i="28"/>
  <c r="AT468" i="28"/>
  <c r="AU468" i="28"/>
  <c r="AT548" i="28"/>
  <c r="AU548" i="28"/>
  <c r="AT583" i="28"/>
  <c r="AU583" i="28"/>
  <c r="AT57" i="28"/>
  <c r="AU57" i="28"/>
  <c r="AU53" i="28"/>
  <c r="AT53" i="28"/>
  <c r="AU198" i="28"/>
  <c r="AT198" i="28"/>
  <c r="AT121" i="28"/>
  <c r="AU121" i="28"/>
  <c r="AT119" i="28"/>
  <c r="AU119" i="28"/>
  <c r="AT278" i="28"/>
  <c r="AU278" i="28"/>
  <c r="AU307" i="28"/>
  <c r="AT307" i="28"/>
  <c r="AT596" i="28"/>
  <c r="AU596" i="28"/>
  <c r="AT98" i="28"/>
  <c r="AU98" i="28"/>
  <c r="AU133" i="28"/>
  <c r="AT133" i="28"/>
  <c r="AT290" i="28"/>
  <c r="AU290" i="28"/>
  <c r="AU309" i="28"/>
  <c r="AT309" i="28"/>
  <c r="AU443" i="28"/>
  <c r="AT443" i="28"/>
  <c r="AU261" i="28"/>
  <c r="AT261" i="28"/>
  <c r="AU79" i="28"/>
  <c r="AT79" i="28"/>
  <c r="AT497" i="28"/>
  <c r="AU497" i="28"/>
  <c r="AU20" i="28"/>
  <c r="AT20" i="28"/>
  <c r="AU151" i="28"/>
  <c r="AT151" i="28"/>
  <c r="AT584" i="28"/>
  <c r="AU584" i="28"/>
  <c r="AU451" i="28"/>
  <c r="AT451" i="28"/>
  <c r="AT524" i="28"/>
  <c r="AU524" i="28"/>
  <c r="AT554" i="28"/>
  <c r="AU554" i="28"/>
  <c r="AT34" i="28"/>
  <c r="AU34" i="28"/>
  <c r="AU46" i="28"/>
  <c r="AT46" i="28"/>
  <c r="AU167" i="28"/>
  <c r="AT167" i="28"/>
  <c r="AT344" i="28"/>
  <c r="AU344" i="28"/>
  <c r="AU518" i="28"/>
  <c r="AT518" i="28"/>
  <c r="AT45" i="28"/>
  <c r="AU45" i="28"/>
  <c r="AT384" i="28"/>
  <c r="AU384" i="28"/>
  <c r="AU427" i="28"/>
  <c r="AT427" i="28"/>
  <c r="AT321" i="28"/>
  <c r="AU321" i="28"/>
  <c r="AU186" i="28"/>
  <c r="AT186" i="28"/>
  <c r="AU281" i="28"/>
  <c r="AT281" i="28"/>
  <c r="AU578" i="28"/>
  <c r="AT578" i="28"/>
  <c r="AT35" i="28"/>
  <c r="AU35" i="28"/>
  <c r="AU135" i="28"/>
  <c r="AT135" i="28"/>
  <c r="AU36" i="28"/>
  <c r="AT36" i="28"/>
  <c r="AU324" i="28"/>
  <c r="AT324" i="28"/>
  <c r="AU388" i="28"/>
  <c r="AT388" i="28"/>
  <c r="AU44" i="28"/>
  <c r="AT44" i="28"/>
  <c r="AU546" i="28"/>
  <c r="AT546" i="28"/>
  <c r="AU400" i="28"/>
  <c r="AT400" i="28"/>
  <c r="AU339" i="28"/>
  <c r="AT339" i="28"/>
  <c r="AL629" i="28"/>
  <c r="AK629" i="28"/>
  <c r="AT76" i="28"/>
  <c r="AU76" i="28"/>
  <c r="AT420" i="28"/>
  <c r="AU420" i="28"/>
  <c r="AU450" i="28"/>
  <c r="AT450" i="28"/>
  <c r="AU205" i="28"/>
  <c r="AT205" i="28"/>
  <c r="AU89" i="28"/>
  <c r="AT89" i="28"/>
  <c r="AT612" i="28"/>
  <c r="AU612" i="28"/>
  <c r="AU156" i="28"/>
  <c r="AT156" i="28"/>
  <c r="AT81" i="28"/>
  <c r="AU81" i="28"/>
  <c r="AT229" i="28"/>
  <c r="AU229" i="28"/>
  <c r="AU191" i="28"/>
  <c r="AT191" i="28"/>
  <c r="AU433" i="28"/>
  <c r="AT433" i="28"/>
  <c r="AU365" i="28"/>
  <c r="AT365" i="28"/>
  <c r="AT73" i="28"/>
  <c r="AU73" i="28"/>
  <c r="AT30" i="28"/>
  <c r="AU30" i="28"/>
  <c r="AU263" i="28"/>
  <c r="AT263" i="28"/>
  <c r="AU285" i="28"/>
  <c r="AT285" i="28"/>
  <c r="AU561" i="28"/>
  <c r="AT561" i="28"/>
  <c r="AT55" i="28"/>
  <c r="AU55" i="28"/>
  <c r="AU132" i="28"/>
  <c r="AT132" i="28"/>
  <c r="AU209" i="28"/>
  <c r="AT209" i="28"/>
  <c r="AU299" i="28"/>
  <c r="AT299" i="28"/>
  <c r="AU336" i="28"/>
  <c r="AT336" i="28"/>
  <c r="AU68" i="28"/>
  <c r="AT68" i="28"/>
  <c r="AT379" i="28"/>
  <c r="AU379" i="28"/>
  <c r="AT376" i="28"/>
  <c r="AU376" i="28"/>
  <c r="AU409" i="28"/>
  <c r="AT409" i="28"/>
  <c r="AN627" i="28"/>
  <c r="AO627" i="28"/>
  <c r="AU277" i="28"/>
  <c r="AT277" i="28"/>
  <c r="AU216" i="28"/>
  <c r="AT216" i="28"/>
  <c r="AT207" i="28"/>
  <c r="AU207" i="28"/>
  <c r="AU509" i="28"/>
  <c r="AT509" i="28"/>
  <c r="AU595" i="28"/>
  <c r="AT595" i="28"/>
  <c r="AT32" i="28"/>
  <c r="AU32" i="28"/>
  <c r="AT421" i="28"/>
  <c r="AU421" i="28"/>
  <c r="AU25" i="28"/>
  <c r="AT25" i="28"/>
  <c r="AU227" i="28"/>
  <c r="AT227" i="28"/>
  <c r="AN629" i="28"/>
  <c r="AO629" i="28"/>
  <c r="AT267" i="28"/>
  <c r="AU267" i="28"/>
  <c r="AU545" i="28"/>
  <c r="AT545" i="28"/>
  <c r="AT24" i="28"/>
  <c r="AU24" i="28"/>
  <c r="AU77" i="28"/>
  <c r="AT77" i="28"/>
  <c r="AT192" i="28"/>
  <c r="AU192" i="28"/>
  <c r="AU238" i="28"/>
  <c r="AT238" i="28"/>
  <c r="AU346" i="28"/>
  <c r="AT346" i="28"/>
  <c r="AT233" i="28"/>
  <c r="AU233" i="28"/>
  <c r="AT458" i="28"/>
  <c r="AU458" i="28"/>
  <c r="AT536" i="28"/>
  <c r="AU536" i="28"/>
  <c r="AU425" i="28"/>
  <c r="AT425" i="28"/>
  <c r="AT256" i="28"/>
  <c r="AU256" i="28"/>
  <c r="AU375" i="28"/>
  <c r="AT375" i="28"/>
  <c r="AU146" i="28"/>
  <c r="AT146" i="28"/>
  <c r="AU184" i="28"/>
  <c r="AT184" i="28"/>
  <c r="AT298" i="28"/>
  <c r="AU298" i="28"/>
  <c r="AU181" i="28"/>
  <c r="AT181" i="28"/>
  <c r="AT505" i="28"/>
  <c r="AU505" i="28"/>
  <c r="AT224" i="28"/>
  <c r="AU224" i="28"/>
  <c r="AT598" i="28"/>
  <c r="AU598" i="28"/>
  <c r="AU62" i="28"/>
  <c r="AT62" i="28"/>
  <c r="AU537" i="28"/>
  <c r="AT537" i="28"/>
  <c r="AU418" i="28"/>
  <c r="AT418" i="28"/>
  <c r="AU478" i="28"/>
  <c r="AT478" i="28"/>
  <c r="AU403" i="28"/>
  <c r="AT403" i="28"/>
  <c r="AT466" i="28"/>
  <c r="AU466" i="28"/>
  <c r="AT593" i="28"/>
  <c r="AU593" i="28"/>
  <c r="AT41" i="28"/>
  <c r="AU41" i="28"/>
  <c r="AT129" i="28"/>
  <c r="AU129" i="28"/>
  <c r="AU239" i="28"/>
  <c r="AT239" i="28"/>
  <c r="AT243" i="28"/>
  <c r="AU243" i="28"/>
  <c r="AT454" i="28"/>
  <c r="AU454" i="28"/>
  <c r="AT515" i="28"/>
  <c r="AU515" i="28"/>
  <c r="AT390" i="28"/>
  <c r="AU390" i="28"/>
  <c r="AU254" i="28"/>
  <c r="AT254" i="28"/>
  <c r="AU351" i="28"/>
  <c r="AT351" i="28"/>
  <c r="AU93" i="28"/>
  <c r="AT93" i="28"/>
  <c r="AU144" i="28"/>
  <c r="AT144" i="28"/>
  <c r="AT314" i="28"/>
  <c r="AU314" i="28"/>
  <c r="AT51" i="28"/>
  <c r="AU51" i="28"/>
  <c r="AT571" i="28"/>
  <c r="AU571" i="28"/>
  <c r="AU302" i="28"/>
  <c r="AT302" i="28"/>
  <c r="AT21" i="28"/>
  <c r="AU21" i="28"/>
  <c r="AT197" i="28"/>
  <c r="AU197" i="28"/>
  <c r="AU246" i="28"/>
  <c r="AT246" i="28"/>
  <c r="AU517" i="28"/>
  <c r="AT517" i="28"/>
  <c r="AU585" i="28"/>
  <c r="AT585" i="28"/>
  <c r="AU122" i="28"/>
  <c r="AT122" i="28"/>
  <c r="AT134" i="28"/>
  <c r="AU134" i="28"/>
  <c r="AU158" i="28"/>
  <c r="AT158" i="28"/>
  <c r="AU250" i="28"/>
  <c r="AT250" i="28"/>
  <c r="AU107" i="28"/>
  <c r="AT107" i="28"/>
  <c r="AU295" i="28"/>
  <c r="AT295" i="28"/>
  <c r="AU393" i="28"/>
  <c r="AT393" i="28"/>
  <c r="AU408" i="28"/>
  <c r="AT408" i="28"/>
  <c r="AT551" i="28"/>
  <c r="AU551" i="28"/>
  <c r="AU258" i="28"/>
  <c r="AT258" i="28"/>
  <c r="AU539" i="28"/>
  <c r="AT539" i="28"/>
  <c r="AU500" i="28"/>
  <c r="AT500" i="28"/>
  <c r="AT201" i="28"/>
  <c r="AU201" i="28"/>
  <c r="AU331" i="28"/>
  <c r="AT331" i="28"/>
  <c r="AU395" i="28"/>
  <c r="AT395" i="28"/>
  <c r="AT236" i="28"/>
  <c r="AU236" i="28"/>
  <c r="AU565" i="28"/>
  <c r="AT565" i="28"/>
  <c r="AU16" i="28"/>
  <c r="AT16" i="28"/>
  <c r="AT492" i="28"/>
  <c r="AU492" i="28"/>
  <c r="AU370" i="28"/>
  <c r="AT370" i="28"/>
  <c r="AT432" i="28"/>
  <c r="AU432" i="28"/>
  <c r="AU327" i="28"/>
  <c r="AT327" i="28"/>
  <c r="AU396" i="28"/>
  <c r="AT396" i="28"/>
  <c r="AU510" i="28"/>
  <c r="AT510" i="28"/>
  <c r="AT371" i="28"/>
  <c r="AU371" i="28"/>
  <c r="AT255" i="28"/>
  <c r="AU255" i="28"/>
  <c r="AU50" i="28"/>
  <c r="AT50" i="28"/>
  <c r="AT166" i="28"/>
  <c r="AU166" i="28"/>
  <c r="AU484" i="28"/>
  <c r="AT484" i="28"/>
  <c r="AT569" i="28"/>
  <c r="AU569" i="28"/>
  <c r="AU33" i="28"/>
  <c r="AT33" i="28"/>
  <c r="AU104" i="28"/>
  <c r="AT104" i="28"/>
  <c r="AT110" i="28"/>
  <c r="AU110" i="28"/>
  <c r="AU165" i="28"/>
  <c r="AT165" i="28"/>
  <c r="AU138" i="28"/>
  <c r="AT138" i="28"/>
  <c r="AU560" i="28"/>
  <c r="AT560" i="28"/>
  <c r="AT476" i="28"/>
  <c r="AU476" i="28"/>
  <c r="AT352" i="28"/>
  <c r="AU352" i="28"/>
  <c r="AU439" i="28"/>
  <c r="AT439" i="28"/>
  <c r="AT273" i="28"/>
  <c r="AU273" i="28"/>
  <c r="AU361" i="28"/>
  <c r="AT361" i="28"/>
  <c r="AT464" i="28"/>
  <c r="AU464" i="28"/>
  <c r="AU175" i="28"/>
  <c r="AT175" i="28"/>
  <c r="AU438" i="28"/>
  <c r="AT438" i="28"/>
  <c r="AU275" i="28"/>
  <c r="AT275" i="28"/>
  <c r="AU320" i="28"/>
  <c r="AT320" i="28"/>
  <c r="AU611" i="28"/>
  <c r="AT611" i="28"/>
  <c r="AU96" i="28"/>
  <c r="AT96" i="28"/>
  <c r="AU193" i="28"/>
  <c r="AT193" i="28"/>
  <c r="AU311" i="28"/>
  <c r="AT311" i="28"/>
  <c r="AT341" i="28"/>
  <c r="AU341" i="28"/>
  <c r="AU477" i="28"/>
  <c r="AT477" i="28"/>
  <c r="AU348" i="28"/>
  <c r="AT348" i="28"/>
  <c r="AU13" i="28"/>
  <c r="BC6" i="28"/>
  <c r="AT13" i="28"/>
  <c r="AU369" i="28"/>
  <c r="AT369" i="28"/>
  <c r="AU377" i="28"/>
  <c r="AT377" i="28"/>
  <c r="AU389" i="28"/>
  <c r="AT389" i="28"/>
  <c r="AT465" i="28"/>
  <c r="AU465" i="28"/>
  <c r="AT312" i="28"/>
  <c r="AU312" i="28"/>
  <c r="AU257" i="28"/>
  <c r="AT257" i="28"/>
  <c r="AT288" i="28"/>
  <c r="AU288" i="28"/>
  <c r="AT58" i="28"/>
  <c r="AU58" i="28"/>
  <c r="AT49" i="28"/>
  <c r="AU49" i="28"/>
  <c r="AU131" i="28"/>
  <c r="AT131" i="28"/>
  <c r="AT148" i="28"/>
  <c r="AU148" i="28"/>
  <c r="AU367" i="28"/>
  <c r="AT367" i="28"/>
  <c r="AT512" i="28"/>
  <c r="AU512" i="28"/>
  <c r="AT564" i="28"/>
  <c r="AU564" i="28"/>
  <c r="AU265" i="28"/>
  <c r="AT265" i="28"/>
  <c r="AU329" i="28"/>
  <c r="AT329" i="28"/>
  <c r="AU587" i="28"/>
  <c r="AT587" i="28"/>
  <c r="AT38" i="28"/>
  <c r="AU38" i="28"/>
  <c r="AU136" i="28"/>
  <c r="AT136" i="28"/>
  <c r="AU260" i="28"/>
  <c r="AT260" i="28"/>
  <c r="AU294" i="28"/>
  <c r="AT294" i="28"/>
  <c r="AU422" i="28"/>
  <c r="AT422" i="28"/>
  <c r="AT338" i="28"/>
  <c r="AU338" i="28"/>
  <c r="AT249" i="28"/>
  <c r="AU249" i="28"/>
  <c r="AT581" i="28"/>
  <c r="AU581" i="28"/>
  <c r="AU530" i="28"/>
  <c r="AT530" i="28"/>
  <c r="AT570" i="28"/>
  <c r="AU570" i="28"/>
  <c r="AU445" i="28"/>
  <c r="AT445" i="28"/>
  <c r="AU326" i="28"/>
  <c r="AT326" i="28"/>
  <c r="AU405" i="28"/>
  <c r="AT405" i="28"/>
  <c r="AT194" i="28"/>
  <c r="AU194" i="28"/>
  <c r="AT252" i="28"/>
  <c r="AU252" i="28"/>
  <c r="AU356" i="28"/>
  <c r="AT356" i="28"/>
  <c r="AU586" i="28"/>
  <c r="AT586" i="28"/>
  <c r="AT14" i="28"/>
  <c r="AU14" i="28"/>
  <c r="AT313" i="28"/>
  <c r="AU313" i="28"/>
  <c r="AU172" i="28"/>
  <c r="AT172" i="28"/>
  <c r="CG11" i="33" l="1"/>
  <c r="CJ11" i="33"/>
  <c r="CH11" i="33"/>
  <c r="CL11" i="33"/>
  <c r="CE11" i="33"/>
  <c r="CF11" i="33"/>
  <c r="CK11" i="33"/>
  <c r="CM11" i="33"/>
  <c r="CN11" i="33"/>
  <c r="CI11" i="33"/>
  <c r="CE14" i="31"/>
  <c r="CJ14" i="31"/>
  <c r="CL14" i="31"/>
  <c r="CN14" i="31"/>
  <c r="CG14" i="31"/>
  <c r="CM14" i="31"/>
  <c r="CK14" i="31"/>
  <c r="CF14" i="31"/>
  <c r="CI14" i="31"/>
  <c r="CH14" i="31"/>
  <c r="CI12" i="33"/>
  <c r="CJ12" i="33"/>
  <c r="CL12" i="33"/>
  <c r="CK12" i="33"/>
  <c r="CE12" i="33"/>
  <c r="CN12" i="33"/>
  <c r="CM12" i="33"/>
  <c r="CG12" i="33"/>
  <c r="CH12" i="33"/>
  <c r="CF12" i="33"/>
  <c r="CL9" i="31"/>
  <c r="CE9" i="31"/>
  <c r="CK9" i="31"/>
  <c r="CH9" i="31"/>
  <c r="CN9" i="31"/>
  <c r="CG9" i="31"/>
  <c r="CJ9" i="31"/>
  <c r="CF9" i="31"/>
  <c r="CM9" i="31"/>
  <c r="CI9" i="31"/>
  <c r="CN11" i="31"/>
  <c r="CH11" i="31"/>
  <c r="CL11" i="31"/>
  <c r="CJ11" i="31"/>
  <c r="CE11" i="31"/>
  <c r="CI11" i="31"/>
  <c r="CK11" i="31"/>
  <c r="CG11" i="31"/>
  <c r="CF11" i="31"/>
  <c r="CM11" i="31"/>
  <c r="CI16" i="31"/>
  <c r="CM16" i="31"/>
  <c r="CG16" i="31"/>
  <c r="CK16" i="31"/>
  <c r="CF16" i="31"/>
  <c r="CH16" i="31"/>
  <c r="CJ16" i="31"/>
  <c r="CN16" i="31"/>
  <c r="CL16" i="31"/>
  <c r="CE16" i="31"/>
  <c r="CK13" i="31"/>
  <c r="CE13" i="31"/>
  <c r="CJ13" i="31"/>
  <c r="CM13" i="31"/>
  <c r="CI13" i="31"/>
  <c r="CH13" i="31"/>
  <c r="CL13" i="31"/>
  <c r="CG13" i="31"/>
  <c r="CF13" i="31"/>
  <c r="CN13" i="31"/>
  <c r="CM14" i="33"/>
  <c r="CH14" i="33"/>
  <c r="CF14" i="33"/>
  <c r="CK14" i="33"/>
  <c r="CE14" i="33"/>
  <c r="CL14" i="33"/>
  <c r="CN14" i="33"/>
  <c r="CI14" i="33"/>
  <c r="CJ14" i="33"/>
  <c r="CG14" i="33"/>
  <c r="CG15" i="31"/>
  <c r="CK15" i="31"/>
  <c r="CH15" i="31"/>
  <c r="CM15" i="31"/>
  <c r="CN15" i="31"/>
  <c r="CL15" i="31"/>
  <c r="CI15" i="31"/>
  <c r="CJ15" i="31"/>
  <c r="CF15" i="31"/>
  <c r="CE15" i="31"/>
  <c r="CG9" i="33"/>
  <c r="CN9" i="33"/>
  <c r="CH9" i="33"/>
  <c r="CE9" i="33"/>
  <c r="CL9" i="33"/>
  <c r="CM9" i="33"/>
  <c r="CK9" i="33"/>
  <c r="CI9" i="33"/>
  <c r="CF9" i="33"/>
  <c r="CJ9" i="33"/>
  <c r="CL17" i="33"/>
  <c r="CG17" i="33"/>
  <c r="CF17" i="33"/>
  <c r="CK17" i="33"/>
  <c r="CI17" i="33"/>
  <c r="CN17" i="33"/>
  <c r="CE17" i="33"/>
  <c r="CJ17" i="33"/>
  <c r="CH17" i="33"/>
  <c r="CM17" i="33"/>
  <c r="CG15" i="33"/>
  <c r="CJ15" i="33"/>
  <c r="CE15" i="33"/>
  <c r="CL15" i="33"/>
  <c r="CM15" i="33"/>
  <c r="CF15" i="33"/>
  <c r="CH15" i="33"/>
  <c r="CN15" i="33"/>
  <c r="CI15" i="33"/>
  <c r="CK15" i="33"/>
  <c r="CK13" i="33"/>
  <c r="CH13" i="33"/>
  <c r="CL13" i="33"/>
  <c r="CG13" i="33"/>
  <c r="CE13" i="33"/>
  <c r="CN13" i="33"/>
  <c r="CF13" i="33"/>
  <c r="CM13" i="33"/>
  <c r="CI13" i="33"/>
  <c r="CJ13" i="33"/>
  <c r="CH17" i="31"/>
  <c r="CL17" i="31"/>
  <c r="CN17" i="31"/>
  <c r="CJ17" i="31"/>
  <c r="CK17" i="31"/>
  <c r="CG17" i="31"/>
  <c r="CF17" i="31"/>
  <c r="CM17" i="31"/>
  <c r="CE17" i="31"/>
  <c r="CI17" i="31"/>
  <c r="CM12" i="31"/>
  <c r="CF12" i="31"/>
  <c r="CE12" i="31"/>
  <c r="CK12" i="31"/>
  <c r="CI12" i="31"/>
  <c r="CL12" i="31"/>
  <c r="CH12" i="31"/>
  <c r="CG12" i="31"/>
  <c r="CJ12" i="31"/>
  <c r="CN12" i="31"/>
  <c r="CI16" i="33"/>
  <c r="CK16" i="33"/>
  <c r="CL16" i="33"/>
  <c r="CJ16" i="33"/>
  <c r="CG16" i="33"/>
  <c r="CF16" i="33"/>
  <c r="CH16" i="33"/>
  <c r="CE16" i="33"/>
  <c r="CN16" i="33"/>
  <c r="CM16" i="33"/>
  <c r="AU629" i="28"/>
  <c r="AT629" i="28"/>
  <c r="AT627" i="28"/>
  <c r="AU627" i="28"/>
  <c r="D464" i="2"/>
  <c r="D463" i="2"/>
  <c r="D460" i="2"/>
  <c r="D458" i="2"/>
  <c r="D457" i="2"/>
  <c r="D454" i="2"/>
  <c r="D453" i="2"/>
  <c r="D451" i="2"/>
  <c r="D450" i="2"/>
  <c r="D449" i="2"/>
  <c r="D447" i="2"/>
  <c r="D443" i="2"/>
  <c r="D441" i="2"/>
  <c r="D440" i="2"/>
  <c r="D437" i="2"/>
  <c r="D436" i="2"/>
  <c r="D435" i="2"/>
  <c r="D434" i="2"/>
  <c r="D433" i="2"/>
  <c r="D432" i="2"/>
  <c r="D430" i="2"/>
  <c r="B51" i="31" l="1"/>
  <c r="B51" i="33"/>
  <c r="B52" i="33"/>
  <c r="B52" i="31"/>
  <c r="B53" i="31"/>
  <c r="B53" i="33"/>
  <c r="B56" i="33"/>
  <c r="B56" i="31"/>
  <c r="B49" i="33"/>
  <c r="B49" i="31"/>
  <c r="B54" i="33"/>
  <c r="B54" i="31"/>
  <c r="K204" i="2"/>
  <c r="B453" i="2"/>
  <c r="B454" i="2"/>
  <c r="B450" i="2"/>
  <c r="B451" i="2"/>
  <c r="B441" i="2"/>
  <c r="B502" i="2"/>
  <c r="A490" i="2" l="1"/>
  <c r="B498" i="2"/>
  <c r="A497" i="2"/>
  <c r="I3" i="17" l="1"/>
  <c r="B511" i="2"/>
  <c r="A511" i="2"/>
  <c r="B348" i="2"/>
  <c r="B286" i="2" s="1"/>
  <c r="B146" i="2"/>
  <c r="B29" i="28" l="1"/>
  <c r="O64" i="2"/>
  <c r="L64" i="2"/>
  <c r="B148" i="2"/>
  <c r="B149" i="2"/>
  <c r="B298" i="2"/>
  <c r="B510" i="2"/>
  <c r="A510" i="2"/>
  <c r="B509" i="2"/>
  <c r="A509" i="2"/>
  <c r="L354" i="2" l="1"/>
  <c r="B360" i="2"/>
  <c r="AJ687" i="17" l="1"/>
  <c r="B352" i="2" l="1"/>
  <c r="Q6" i="17"/>
  <c r="V629" i="28" l="1"/>
  <c r="V617" i="28"/>
  <c r="V587" i="28"/>
  <c r="V583" i="28"/>
  <c r="V576" i="28"/>
  <c r="V575" i="28"/>
  <c r="V628" i="28"/>
  <c r="V606" i="28"/>
  <c r="V596" i="28"/>
  <c r="V584" i="28"/>
  <c r="V565" i="28"/>
  <c r="V562" i="28"/>
  <c r="V627" i="28"/>
  <c r="V608" i="28"/>
  <c r="V602" i="28"/>
  <c r="V595" i="28"/>
  <c r="V594" i="28"/>
  <c r="V585" i="28"/>
  <c r="V577" i="28"/>
  <c r="V626" i="28"/>
  <c r="V613" i="28"/>
  <c r="V610" i="28"/>
  <c r="V609" i="28"/>
  <c r="V607" i="28"/>
  <c r="V603" i="28"/>
  <c r="V597" i="28"/>
  <c r="V558" i="28"/>
  <c r="V625" i="28"/>
  <c r="V612" i="28"/>
  <c r="V611" i="28"/>
  <c r="V598" i="28"/>
  <c r="V593" i="28"/>
  <c r="V572" i="28"/>
  <c r="V566" i="28"/>
  <c r="V624" i="28"/>
  <c r="V604" i="28"/>
  <c r="V586" i="28"/>
  <c r="V578" i="28"/>
  <c r="V569" i="28"/>
  <c r="V568" i="28"/>
  <c r="V553" i="28"/>
  <c r="V552" i="28"/>
  <c r="V623" i="28"/>
  <c r="V605" i="28"/>
  <c r="V600" i="28"/>
  <c r="V599" i="28"/>
  <c r="V592" i="28"/>
  <c r="V591" i="28"/>
  <c r="V580" i="28"/>
  <c r="V573" i="28"/>
  <c r="V570" i="28"/>
  <c r="V567" i="28"/>
  <c r="V560" i="28"/>
  <c r="V559" i="28"/>
  <c r="V554" i="28"/>
  <c r="V581" i="28"/>
  <c r="V549" i="28"/>
  <c r="V529" i="28"/>
  <c r="V513" i="28"/>
  <c r="V504" i="28"/>
  <c r="V499" i="28"/>
  <c r="V498" i="28"/>
  <c r="V497" i="28"/>
  <c r="V479" i="28"/>
  <c r="V476" i="28"/>
  <c r="V475" i="28"/>
  <c r="V474" i="28"/>
  <c r="V470" i="28"/>
  <c r="V466" i="28"/>
  <c r="V464" i="28"/>
  <c r="V451" i="28"/>
  <c r="V622" i="28"/>
  <c r="V555" i="28"/>
  <c r="V541" i="28"/>
  <c r="V538" i="28"/>
  <c r="V527" i="28"/>
  <c r="V514" i="28"/>
  <c r="V505" i="28"/>
  <c r="V501" i="28"/>
  <c r="V601" i="28"/>
  <c r="V589" i="28"/>
  <c r="V574" i="28"/>
  <c r="V571" i="28"/>
  <c r="V564" i="28"/>
  <c r="V557" i="28"/>
  <c r="V550" i="28"/>
  <c r="V545" i="28"/>
  <c r="V544" i="28"/>
  <c r="V530" i="28"/>
  <c r="V518" i="28"/>
  <c r="V517" i="28"/>
  <c r="V516" i="28"/>
  <c r="V515" i="28"/>
  <c r="V500" i="28"/>
  <c r="V486" i="28"/>
  <c r="V485" i="28"/>
  <c r="V484" i="28"/>
  <c r="V480" i="28"/>
  <c r="V471" i="28"/>
  <c r="V465" i="28"/>
  <c r="V546" i="28"/>
  <c r="V542" i="28"/>
  <c r="V520" i="28"/>
  <c r="V519" i="28"/>
  <c r="V506" i="28"/>
  <c r="V502" i="28"/>
  <c r="V487" i="28"/>
  <c r="V483" i="28"/>
  <c r="V481" i="28"/>
  <c r="V477" i="28"/>
  <c r="V547" i="28"/>
  <c r="V543" i="28"/>
  <c r="V534" i="28"/>
  <c r="V533" i="28"/>
  <c r="V522" i="28"/>
  <c r="V521" i="28"/>
  <c r="V494" i="28"/>
  <c r="V493" i="28"/>
  <c r="V492" i="28"/>
  <c r="V472" i="28"/>
  <c r="V462" i="28"/>
  <c r="V458" i="28"/>
  <c r="V442" i="28"/>
  <c r="V588" i="28"/>
  <c r="V582" i="28"/>
  <c r="V579" i="28"/>
  <c r="V563" i="28"/>
  <c r="V561" i="28"/>
  <c r="V551" i="28"/>
  <c r="V548" i="28"/>
  <c r="V536" i="28"/>
  <c r="V535" i="28"/>
  <c r="V531" i="28"/>
  <c r="V525" i="28"/>
  <c r="V523" i="28"/>
  <c r="V510" i="28"/>
  <c r="V509" i="28"/>
  <c r="V495" i="28"/>
  <c r="V491" i="28"/>
  <c r="V488" i="28"/>
  <c r="V482" i="28"/>
  <c r="V456" i="28"/>
  <c r="V445" i="28"/>
  <c r="V444" i="28"/>
  <c r="V443" i="28"/>
  <c r="V556" i="28"/>
  <c r="V537" i="28"/>
  <c r="V532" i="28"/>
  <c r="V524" i="28"/>
  <c r="V511" i="28"/>
  <c r="V507" i="28"/>
  <c r="V503" i="28"/>
  <c r="V478" i="28"/>
  <c r="V473" i="28"/>
  <c r="V463" i="28"/>
  <c r="V457" i="28"/>
  <c r="V590" i="28"/>
  <c r="V540" i="28"/>
  <c r="V468" i="28"/>
  <c r="V455" i="28"/>
  <c r="V450" i="28"/>
  <c r="V447" i="28"/>
  <c r="V437" i="28"/>
  <c r="V434" i="28"/>
  <c r="V424" i="28"/>
  <c r="V414" i="28"/>
  <c r="V390" i="28"/>
  <c r="V377" i="28"/>
  <c r="V374" i="28"/>
  <c r="V373" i="28"/>
  <c r="V364" i="28"/>
  <c r="V363" i="28"/>
  <c r="V354" i="28"/>
  <c r="V350" i="28"/>
  <c r="V344" i="28"/>
  <c r="V316" i="28"/>
  <c r="V460" i="28"/>
  <c r="V448" i="28"/>
  <c r="V438" i="28"/>
  <c r="V423" i="28"/>
  <c r="V406" i="28"/>
  <c r="V391" i="28"/>
  <c r="V389" i="28"/>
  <c r="V385" i="28"/>
  <c r="V378" i="28"/>
  <c r="V372" i="28"/>
  <c r="V349" i="28"/>
  <c r="V333" i="28"/>
  <c r="V332" i="28"/>
  <c r="V331" i="28"/>
  <c r="V330" i="28"/>
  <c r="V328" i="28"/>
  <c r="V326" i="28"/>
  <c r="V325" i="28"/>
  <c r="V322" i="28"/>
  <c r="V320" i="28"/>
  <c r="V313" i="28"/>
  <c r="V512" i="28"/>
  <c r="V453" i="28"/>
  <c r="V440" i="28"/>
  <c r="V439" i="28"/>
  <c r="V420" i="28"/>
  <c r="V419" i="28"/>
  <c r="V402" i="28"/>
  <c r="V398" i="28"/>
  <c r="V388" i="28"/>
  <c r="V387" i="28"/>
  <c r="V371" i="28"/>
  <c r="V360" i="28"/>
  <c r="V345" i="28"/>
  <c r="V339" i="28"/>
  <c r="V334" i="28"/>
  <c r="V539" i="28"/>
  <c r="V508" i="28"/>
  <c r="V496" i="28"/>
  <c r="V490" i="28"/>
  <c r="V441" i="28"/>
  <c r="V425" i="28"/>
  <c r="V418" i="28"/>
  <c r="V417" i="28"/>
  <c r="V416" i="28"/>
  <c r="V415" i="28"/>
  <c r="V412" i="28"/>
  <c r="V411" i="28"/>
  <c r="V403" i="28"/>
  <c r="V400" i="28"/>
  <c r="V392" i="28"/>
  <c r="V386" i="28"/>
  <c r="V382" i="28"/>
  <c r="V380" i="28"/>
  <c r="V379" i="28"/>
  <c r="V361" i="28"/>
  <c r="V359" i="28"/>
  <c r="V356" i="28"/>
  <c r="V355" i="28"/>
  <c r="V351" i="28"/>
  <c r="V346" i="28"/>
  <c r="V340" i="28"/>
  <c r="V336" i="28"/>
  <c r="V335" i="28"/>
  <c r="V323" i="28"/>
  <c r="V526" i="28"/>
  <c r="V469" i="28"/>
  <c r="V467" i="28"/>
  <c r="V461" i="28"/>
  <c r="V428" i="28"/>
  <c r="V427" i="28"/>
  <c r="V421" i="28"/>
  <c r="V410" i="28"/>
  <c r="V408" i="28"/>
  <c r="V407" i="28"/>
  <c r="V404" i="28"/>
  <c r="V401" i="28"/>
  <c r="V399" i="28"/>
  <c r="V397" i="28"/>
  <c r="V381" i="28"/>
  <c r="V368" i="28"/>
  <c r="V358" i="28"/>
  <c r="V454" i="28"/>
  <c r="V449" i="28"/>
  <c r="V446" i="28"/>
  <c r="V429" i="28"/>
  <c r="V413" i="28"/>
  <c r="V409" i="28"/>
  <c r="V396" i="28"/>
  <c r="V383" i="28"/>
  <c r="V369" i="28"/>
  <c r="V367" i="28"/>
  <c r="V362" i="28"/>
  <c r="V357" i="28"/>
  <c r="V352" i="28"/>
  <c r="V347" i="28"/>
  <c r="V341" i="28"/>
  <c r="V315" i="28"/>
  <c r="V307" i="28"/>
  <c r="V306" i="28"/>
  <c r="V528" i="28"/>
  <c r="V489" i="28"/>
  <c r="V459" i="28"/>
  <c r="V432" i="28"/>
  <c r="V431" i="28"/>
  <c r="V430" i="28"/>
  <c r="V426" i="28"/>
  <c r="V395" i="28"/>
  <c r="V394" i="28"/>
  <c r="V393" i="28"/>
  <c r="V366" i="28"/>
  <c r="V353" i="28"/>
  <c r="V348" i="28"/>
  <c r="V452" i="28"/>
  <c r="V321" i="28"/>
  <c r="V291" i="28"/>
  <c r="V255" i="28"/>
  <c r="V245" i="28"/>
  <c r="V239" i="28"/>
  <c r="V220" i="28"/>
  <c r="V219" i="28"/>
  <c r="V206" i="28"/>
  <c r="V199" i="28"/>
  <c r="V190" i="28"/>
  <c r="V174" i="28"/>
  <c r="V168" i="28"/>
  <c r="V163" i="28"/>
  <c r="V158" i="28"/>
  <c r="V154" i="28"/>
  <c r="V149" i="28"/>
  <c r="V131" i="28"/>
  <c r="V115" i="28"/>
  <c r="V110" i="28"/>
  <c r="V104" i="28"/>
  <c r="V92" i="28"/>
  <c r="V89" i="28"/>
  <c r="V88" i="28"/>
  <c r="V86" i="28"/>
  <c r="V85" i="28"/>
  <c r="V436" i="28"/>
  <c r="V342" i="28"/>
  <c r="V337" i="28"/>
  <c r="V318" i="28"/>
  <c r="V298" i="28"/>
  <c r="V292" i="28"/>
  <c r="V288" i="28"/>
  <c r="V279" i="28"/>
  <c r="V270" i="28"/>
  <c r="V265" i="28"/>
  <c r="V257" i="28"/>
  <c r="V246" i="28"/>
  <c r="V240" i="28"/>
  <c r="V234" i="28"/>
  <c r="V229" i="28"/>
  <c r="V226" i="28"/>
  <c r="V213" i="28"/>
  <c r="V207" i="28"/>
  <c r="V201" i="28"/>
  <c r="V200" i="28"/>
  <c r="V189" i="28"/>
  <c r="V173" i="28"/>
  <c r="V157" i="28"/>
  <c r="V150" i="28"/>
  <c r="V139" i="28"/>
  <c r="V124" i="28"/>
  <c r="V118" i="28"/>
  <c r="V116" i="28"/>
  <c r="V433" i="28"/>
  <c r="V365" i="28"/>
  <c r="V314" i="28"/>
  <c r="V310" i="28"/>
  <c r="V305" i="28"/>
  <c r="V269" i="28"/>
  <c r="V268" i="28"/>
  <c r="V267" i="28"/>
  <c r="V266" i="28"/>
  <c r="V241" i="28"/>
  <c r="V230" i="28"/>
  <c r="V221" i="28"/>
  <c r="V218" i="28"/>
  <c r="V208" i="28"/>
  <c r="V195" i="28"/>
  <c r="V194" i="28"/>
  <c r="V193" i="28"/>
  <c r="V192" i="28"/>
  <c r="V191" i="28"/>
  <c r="V182" i="28"/>
  <c r="V169" i="28"/>
  <c r="V164" i="28"/>
  <c r="V155" i="28"/>
  <c r="V132" i="28"/>
  <c r="V129" i="28"/>
  <c r="V128" i="28"/>
  <c r="V329" i="28"/>
  <c r="V308" i="28"/>
  <c r="V304" i="28"/>
  <c r="V301" i="28"/>
  <c r="V299" i="28"/>
  <c r="V293" i="28"/>
  <c r="V289" i="28"/>
  <c r="V280" i="28"/>
  <c r="V271" i="28"/>
  <c r="V258" i="28"/>
  <c r="V249" i="28"/>
  <c r="V231" i="28"/>
  <c r="V223" i="28"/>
  <c r="V222" i="28"/>
  <c r="V209" i="28"/>
  <c r="V204" i="28"/>
  <c r="V203" i="28"/>
  <c r="V196" i="28"/>
  <c r="V181" i="28"/>
  <c r="V175" i="28"/>
  <c r="V170" i="28"/>
  <c r="V159" i="28"/>
  <c r="V147" i="28"/>
  <c r="V145" i="28"/>
  <c r="V144" i="28"/>
  <c r="V142" i="28"/>
  <c r="V140" i="28"/>
  <c r="V137" i="28"/>
  <c r="V136" i="28"/>
  <c r="V134" i="28"/>
  <c r="V127" i="28"/>
  <c r="V125" i="28"/>
  <c r="V119" i="28"/>
  <c r="V435" i="28"/>
  <c r="V405" i="28"/>
  <c r="V376" i="28"/>
  <c r="V324" i="28"/>
  <c r="V319" i="28"/>
  <c r="V311" i="28"/>
  <c r="V303" i="28"/>
  <c r="V302" i="28"/>
  <c r="V294" i="28"/>
  <c r="V286" i="28"/>
  <c r="V284" i="28"/>
  <c r="V272" i="28"/>
  <c r="V262" i="28"/>
  <c r="V259" i="28"/>
  <c r="V250" i="28"/>
  <c r="V232" i="28"/>
  <c r="V224" i="28"/>
  <c r="V214" i="28"/>
  <c r="V202" i="28"/>
  <c r="V185" i="28"/>
  <c r="V184" i="28"/>
  <c r="V183" i="28"/>
  <c r="V178" i="28"/>
  <c r="V177" i="28"/>
  <c r="V176" i="28"/>
  <c r="V171" i="28"/>
  <c r="V166" i="28"/>
  <c r="V151" i="28"/>
  <c r="V148" i="28"/>
  <c r="V143" i="28"/>
  <c r="V422" i="28"/>
  <c r="V338" i="28"/>
  <c r="V312" i="28"/>
  <c r="V297" i="28"/>
  <c r="V295" i="28"/>
  <c r="V285" i="28"/>
  <c r="V283" i="28"/>
  <c r="V282" i="28"/>
  <c r="V281" i="28"/>
  <c r="V261" i="28"/>
  <c r="V260" i="28"/>
  <c r="V252" i="28"/>
  <c r="V251" i="28"/>
  <c r="V247" i="28"/>
  <c r="V233" i="28"/>
  <c r="V225" i="28"/>
  <c r="V215" i="28"/>
  <c r="V211" i="28"/>
  <c r="V205" i="28"/>
  <c r="V187" i="28"/>
  <c r="V186" i="28"/>
  <c r="V179" i="28"/>
  <c r="V165" i="28"/>
  <c r="V160" i="28"/>
  <c r="V156" i="28"/>
  <c r="V375" i="28"/>
  <c r="V327" i="28"/>
  <c r="V309" i="28"/>
  <c r="V300" i="28"/>
  <c r="V287" i="28"/>
  <c r="V277" i="28"/>
  <c r="V275" i="28"/>
  <c r="V274" i="28"/>
  <c r="V264" i="28"/>
  <c r="V256" i="28"/>
  <c r="V248" i="28"/>
  <c r="V244" i="28"/>
  <c r="V238" i="28"/>
  <c r="V237" i="28"/>
  <c r="V235" i="28"/>
  <c r="V228" i="28"/>
  <c r="V227" i="28"/>
  <c r="V217" i="28"/>
  <c r="V210" i="28"/>
  <c r="V197" i="28"/>
  <c r="V180" i="28"/>
  <c r="V162" i="28"/>
  <c r="V153" i="28"/>
  <c r="V123" i="28"/>
  <c r="V107" i="28"/>
  <c r="V370" i="28"/>
  <c r="V276" i="28"/>
  <c r="V216" i="28"/>
  <c r="V172" i="28"/>
  <c r="V141" i="28"/>
  <c r="V117" i="28"/>
  <c r="V112" i="28"/>
  <c r="V103" i="28"/>
  <c r="V97" i="28"/>
  <c r="V67" i="28"/>
  <c r="V59" i="28"/>
  <c r="V51" i="28"/>
  <c r="V44" i="28"/>
  <c r="V35" i="28"/>
  <c r="V32" i="28"/>
  <c r="V31" i="28"/>
  <c r="V14" i="28"/>
  <c r="V58" i="28"/>
  <c r="V95" i="28"/>
  <c r="V79" i="28"/>
  <c r="V273" i="28"/>
  <c r="V242" i="28"/>
  <c r="V212" i="28"/>
  <c r="V133" i="28"/>
  <c r="V126" i="28"/>
  <c r="V109" i="28"/>
  <c r="V82" i="28"/>
  <c r="V75" i="28"/>
  <c r="V52" i="28"/>
  <c r="V102" i="28"/>
  <c r="V63" i="28"/>
  <c r="V37" i="28"/>
  <c r="V36" i="28"/>
  <c r="V26" i="28"/>
  <c r="V108" i="28"/>
  <c r="V34" i="28"/>
  <c r="V33" i="28"/>
  <c r="V29" i="28"/>
  <c r="V15" i="28"/>
  <c r="V384" i="28"/>
  <c r="V278" i="28"/>
  <c r="V236" i="28"/>
  <c r="V146" i="28"/>
  <c r="V138" i="28"/>
  <c r="V122" i="28"/>
  <c r="V120" i="28"/>
  <c r="V113" i="28"/>
  <c r="V106" i="28"/>
  <c r="V98" i="28"/>
  <c r="V90" i="28"/>
  <c r="V13" i="28"/>
  <c r="V41" i="28"/>
  <c r="V22" i="28"/>
  <c r="V20" i="28"/>
  <c r="V198" i="28"/>
  <c r="V80" i="28"/>
  <c r="V77" i="28"/>
  <c r="V66" i="28"/>
  <c r="V27" i="28"/>
  <c r="V254" i="28"/>
  <c r="V188" i="28"/>
  <c r="V152" i="28"/>
  <c r="V135" i="28"/>
  <c r="V130" i="28"/>
  <c r="V83" i="28"/>
  <c r="V68" i="28"/>
  <c r="V60" i="28"/>
  <c r="V57" i="28"/>
  <c r="V53" i="28"/>
  <c r="V21" i="28"/>
  <c r="V19" i="28"/>
  <c r="V17" i="28"/>
  <c r="V42" i="28"/>
  <c r="V39" i="28"/>
  <c r="V96" i="28"/>
  <c r="V84" i="28"/>
  <c r="V317" i="28"/>
  <c r="V161" i="28"/>
  <c r="V99" i="28"/>
  <c r="V93" i="28"/>
  <c r="V76" i="28"/>
  <c r="V73" i="28"/>
  <c r="V72" i="28"/>
  <c r="V65" i="28"/>
  <c r="V56" i="28"/>
  <c r="V54" i="28"/>
  <c r="V49" i="28"/>
  <c r="V47" i="28"/>
  <c r="V46" i="28"/>
  <c r="V45" i="28"/>
  <c r="V40" i="28"/>
  <c r="V25" i="28"/>
  <c r="V23" i="28"/>
  <c r="V18" i="28"/>
  <c r="V24" i="28"/>
  <c r="V290" i="28"/>
  <c r="V253" i="28"/>
  <c r="V243" i="28"/>
  <c r="V114" i="28"/>
  <c r="V111" i="28"/>
  <c r="V105" i="28"/>
  <c r="V101" i="28"/>
  <c r="V50" i="28"/>
  <c r="V263" i="28"/>
  <c r="V167" i="28"/>
  <c r="V121" i="28"/>
  <c r="V100" i="28"/>
  <c r="V94" i="28"/>
  <c r="V91" i="28"/>
  <c r="V87" i="28"/>
  <c r="V71" i="28"/>
  <c r="V70" i="28"/>
  <c r="V69" i="28"/>
  <c r="V64" i="28"/>
  <c r="V62" i="28"/>
  <c r="V61" i="28"/>
  <c r="V55" i="28"/>
  <c r="V48" i="28"/>
  <c r="V43" i="28"/>
  <c r="V38" i="28"/>
  <c r="V81" i="28"/>
  <c r="V78" i="28"/>
  <c r="V28" i="28"/>
  <c r="V16" i="28"/>
  <c r="V343" i="28"/>
  <c r="V296" i="28"/>
  <c r="V74" i="28"/>
  <c r="V30" i="28"/>
  <c r="C6" i="17"/>
  <c r="B492" i="2"/>
  <c r="A492" i="2"/>
  <c r="N19" i="8"/>
  <c r="B198" i="2"/>
  <c r="B24" i="33" s="1"/>
  <c r="B268" i="2"/>
  <c r="B8" i="2"/>
  <c r="B9" i="2"/>
  <c r="AA30" i="29" l="1"/>
  <c r="AG25" i="29"/>
  <c r="H109" i="31"/>
  <c r="H107" i="31"/>
  <c r="H105" i="31"/>
  <c r="H103" i="31"/>
  <c r="H101" i="31"/>
  <c r="H99" i="31"/>
  <c r="H97" i="31"/>
  <c r="H76" i="31"/>
  <c r="H74" i="31"/>
  <c r="H72" i="31"/>
  <c r="H70" i="31"/>
  <c r="H68" i="31"/>
  <c r="H49" i="31"/>
  <c r="H39" i="31"/>
  <c r="H34" i="31"/>
  <c r="H25" i="31"/>
  <c r="H13" i="31"/>
  <c r="H28" i="31"/>
  <c r="H21" i="31"/>
  <c r="H14" i="31"/>
  <c r="H100" i="31"/>
  <c r="H75" i="31"/>
  <c r="H69" i="31"/>
  <c r="H58" i="31"/>
  <c r="H95" i="31"/>
  <c r="H93" i="31"/>
  <c r="H91" i="31"/>
  <c r="H66" i="31"/>
  <c r="H64" i="31"/>
  <c r="H62" i="31"/>
  <c r="H57" i="31"/>
  <c r="H52" i="31"/>
  <c r="H47" i="31"/>
  <c r="H42" i="31"/>
  <c r="H32" i="31"/>
  <c r="H30" i="31"/>
  <c r="H23" i="31"/>
  <c r="H18" i="31"/>
  <c r="H10" i="31"/>
  <c r="H104" i="31"/>
  <c r="H71" i="31"/>
  <c r="H33" i="31"/>
  <c r="H26" i="31"/>
  <c r="H19" i="31"/>
  <c r="H16" i="31"/>
  <c r="H89" i="31"/>
  <c r="H87" i="31"/>
  <c r="H85" i="31"/>
  <c r="H83" i="31"/>
  <c r="H81" i="31"/>
  <c r="H79" i="31"/>
  <c r="H60" i="31"/>
  <c r="H55" i="31"/>
  <c r="H37" i="31"/>
  <c r="H108" i="31"/>
  <c r="H98" i="31"/>
  <c r="H73" i="31"/>
  <c r="H77" i="31"/>
  <c r="H50" i="31"/>
  <c r="H45" i="31"/>
  <c r="H40" i="31"/>
  <c r="H35" i="31"/>
  <c r="H106" i="31"/>
  <c r="H53" i="31"/>
  <c r="H15" i="31"/>
  <c r="H88" i="31"/>
  <c r="H86" i="31"/>
  <c r="H84" i="31"/>
  <c r="H82" i="31"/>
  <c r="H80" i="31"/>
  <c r="H78" i="31"/>
  <c r="H61" i="31"/>
  <c r="H51" i="31"/>
  <c r="H46" i="31"/>
  <c r="H41" i="31"/>
  <c r="H29" i="31"/>
  <c r="H22" i="31"/>
  <c r="H12" i="31"/>
  <c r="H9" i="31"/>
  <c r="H102" i="31"/>
  <c r="H43" i="31"/>
  <c r="H11" i="31"/>
  <c r="B11" i="33"/>
  <c r="H59" i="31"/>
  <c r="H54" i="31"/>
  <c r="H44" i="31"/>
  <c r="H36" i="31"/>
  <c r="H27" i="31"/>
  <c r="H20" i="31"/>
  <c r="H17" i="31"/>
  <c r="H94" i="31"/>
  <c r="H48" i="31"/>
  <c r="H67" i="31"/>
  <c r="H90" i="31"/>
  <c r="H31" i="31"/>
  <c r="H96" i="31"/>
  <c r="H63" i="31"/>
  <c r="H92" i="31"/>
  <c r="B11" i="31"/>
  <c r="H65" i="31"/>
  <c r="H56" i="31"/>
  <c r="H38" i="31"/>
  <c r="H24" i="31"/>
  <c r="B5" i="29"/>
  <c r="B4" i="28"/>
  <c r="B270" i="2"/>
  <c r="B287" i="2"/>
  <c r="F287" i="2" s="1"/>
  <c r="B7" i="28" s="1"/>
  <c r="B3" i="28"/>
  <c r="N97" i="1"/>
  <c r="N59" i="1"/>
  <c r="B499" i="2"/>
  <c r="A513" i="2"/>
  <c r="B359" i="2"/>
  <c r="B354" i="2"/>
  <c r="H3" i="28" s="1"/>
  <c r="B538" i="2"/>
  <c r="B513" i="2"/>
  <c r="B535" i="2"/>
  <c r="B6" i="28" l="1"/>
  <c r="A528" i="2"/>
  <c r="B15" i="28"/>
  <c r="B528" i="2"/>
  <c r="B274" i="2"/>
  <c r="E73" i="1" s="1"/>
  <c r="E72" i="1"/>
  <c r="N21" i="8"/>
  <c r="N6" i="8"/>
  <c r="F3" i="17"/>
  <c r="BC30" i="28" l="1"/>
  <c r="BC26" i="28"/>
  <c r="BC22" i="28"/>
  <c r="BC18" i="28"/>
  <c r="BC14" i="28"/>
  <c r="BC32" i="28"/>
  <c r="BB28" i="28"/>
  <c r="BC23" i="28"/>
  <c r="BB19" i="28"/>
  <c r="BB14" i="28"/>
  <c r="BB627" i="28"/>
  <c r="BB611" i="28"/>
  <c r="BB607" i="28"/>
  <c r="BB603" i="28"/>
  <c r="BB599" i="28"/>
  <c r="BB595" i="28"/>
  <c r="BB591" i="28"/>
  <c r="BB587" i="28"/>
  <c r="BB583" i="28"/>
  <c r="BB579" i="28"/>
  <c r="BB575" i="28"/>
  <c r="BB571" i="28"/>
  <c r="BB567" i="28"/>
  <c r="BB563" i="28"/>
  <c r="BB559" i="28"/>
  <c r="BB555" i="28"/>
  <c r="BB551" i="28"/>
  <c r="BB547" i="28"/>
  <c r="BB543" i="28"/>
  <c r="BB539" i="28"/>
  <c r="BB535" i="28"/>
  <c r="BB531" i="28"/>
  <c r="BB527" i="28"/>
  <c r="BB523" i="28"/>
  <c r="BB519" i="28"/>
  <c r="BB515" i="28"/>
  <c r="BB511" i="28"/>
  <c r="BB507" i="28"/>
  <c r="BB503" i="28"/>
  <c r="BB499" i="28"/>
  <c r="BB495" i="28"/>
  <c r="BB491" i="28"/>
  <c r="BB487" i="28"/>
  <c r="BB483" i="28"/>
  <c r="BB479" i="28"/>
  <c r="BB475" i="28"/>
  <c r="BB471" i="28"/>
  <c r="BB467" i="28"/>
  <c r="BB463" i="28"/>
  <c r="BB459" i="28"/>
  <c r="BB455" i="28"/>
  <c r="BB451" i="28"/>
  <c r="BB447" i="28"/>
  <c r="BB443" i="28"/>
  <c r="BB439" i="28"/>
  <c r="BB435" i="28"/>
  <c r="BB431" i="28"/>
  <c r="BB427" i="28"/>
  <c r="BB423" i="28"/>
  <c r="BB419" i="28"/>
  <c r="BB415" i="28"/>
  <c r="BB411" i="28"/>
  <c r="BB407" i="28"/>
  <c r="BB403" i="28"/>
  <c r="BB399" i="28"/>
  <c r="BB395" i="28"/>
  <c r="BB391" i="28"/>
  <c r="BB387" i="28"/>
  <c r="BB383" i="28"/>
  <c r="BB379" i="28"/>
  <c r="BB375" i="28"/>
  <c r="BB371" i="28"/>
  <c r="BB367" i="28"/>
  <c r="BB363" i="28"/>
  <c r="BB359" i="28"/>
  <c r="BB355" i="28"/>
  <c r="BB351" i="28"/>
  <c r="BB347" i="28"/>
  <c r="BB343" i="28"/>
  <c r="BB339" i="28"/>
  <c r="BB335" i="28"/>
  <c r="BB331" i="28"/>
  <c r="BB327" i="28"/>
  <c r="BB323" i="28"/>
  <c r="BB319" i="28"/>
  <c r="BB315" i="28"/>
  <c r="BB311" i="28"/>
  <c r="BB307" i="28"/>
  <c r="BB303" i="28"/>
  <c r="BB299" i="28"/>
  <c r="BB295" i="28"/>
  <c r="BB291" i="28"/>
  <c r="BB287" i="28"/>
  <c r="BB283" i="28"/>
  <c r="BB279" i="28"/>
  <c r="BB275" i="28"/>
  <c r="BB271" i="28"/>
  <c r="BB267" i="28"/>
  <c r="BB263" i="28"/>
  <c r="BB259" i="28"/>
  <c r="BB255" i="28"/>
  <c r="BB251" i="28"/>
  <c r="BB247" i="28"/>
  <c r="BB243" i="28"/>
  <c r="BB239" i="28"/>
  <c r="BB235" i="28"/>
  <c r="BB231" i="28"/>
  <c r="BB227" i="28"/>
  <c r="BB223" i="28"/>
  <c r="BB219" i="28"/>
  <c r="BB215" i="28"/>
  <c r="BB211" i="28"/>
  <c r="BB207" i="28"/>
  <c r="BB203" i="28"/>
  <c r="BB199" i="28"/>
  <c r="BB195" i="28"/>
  <c r="BB191" i="28"/>
  <c r="BB187" i="28"/>
  <c r="BB183" i="28"/>
  <c r="BB179" i="28"/>
  <c r="BB175" i="28"/>
  <c r="BB171" i="28"/>
  <c r="BB167" i="28"/>
  <c r="BB163" i="28"/>
  <c r="BB159" i="28"/>
  <c r="BB155" i="28"/>
  <c r="BB151" i="28"/>
  <c r="BB147" i="28"/>
  <c r="BB143" i="28"/>
  <c r="BB139" i="28"/>
  <c r="BB135" i="28"/>
  <c r="BB131" i="28"/>
  <c r="BB127" i="28"/>
  <c r="BB123" i="28"/>
  <c r="BB119" i="28"/>
  <c r="BB115" i="28"/>
  <c r="BB111" i="28"/>
  <c r="BB107" i="28"/>
  <c r="BB103" i="28"/>
  <c r="BB99" i="28"/>
  <c r="BB95" i="28"/>
  <c r="BB91" i="28"/>
  <c r="BB87" i="28"/>
  <c r="BB83" i="28"/>
  <c r="BB79" i="28"/>
  <c r="BB32" i="28"/>
  <c r="BC27" i="28"/>
  <c r="BB23" i="28"/>
  <c r="BB18" i="28"/>
  <c r="BN18" i="28" s="1"/>
  <c r="BO18" i="28" s="1"/>
  <c r="BC13" i="28"/>
  <c r="BC610" i="28"/>
  <c r="BC606" i="28"/>
  <c r="BC602" i="28"/>
  <c r="BC598" i="28"/>
  <c r="BC594" i="28"/>
  <c r="BC590" i="28"/>
  <c r="BC586" i="28"/>
  <c r="BC582" i="28"/>
  <c r="BC578" i="28"/>
  <c r="BC574" i="28"/>
  <c r="BC570" i="28"/>
  <c r="BC566" i="28"/>
  <c r="BC562" i="28"/>
  <c r="BC558" i="28"/>
  <c r="BC554" i="28"/>
  <c r="BC550" i="28"/>
  <c r="BC546" i="28"/>
  <c r="BC542" i="28"/>
  <c r="BC538" i="28"/>
  <c r="BC534" i="28"/>
  <c r="BC530" i="28"/>
  <c r="BC526" i="28"/>
  <c r="BC522" i="28"/>
  <c r="BC518" i="28"/>
  <c r="BC514" i="28"/>
  <c r="BC510" i="28"/>
  <c r="BC506" i="28"/>
  <c r="BC502" i="28"/>
  <c r="BC498" i="28"/>
  <c r="BC494" i="28"/>
  <c r="BC490" i="28"/>
  <c r="BC486" i="28"/>
  <c r="BC482" i="28"/>
  <c r="BC478" i="28"/>
  <c r="BC474" i="28"/>
  <c r="BC470" i="28"/>
  <c r="BC466" i="28"/>
  <c r="BC462" i="28"/>
  <c r="BC458" i="28"/>
  <c r="BC454" i="28"/>
  <c r="BC450" i="28"/>
  <c r="BC446" i="28"/>
  <c r="BC442" i="28"/>
  <c r="BC438" i="28"/>
  <c r="BC434" i="28"/>
  <c r="BC430" i="28"/>
  <c r="BC426" i="28"/>
  <c r="BC422" i="28"/>
  <c r="BC418" i="28"/>
  <c r="BC414" i="28"/>
  <c r="BC410" i="28"/>
  <c r="BC406" i="28"/>
  <c r="BC402" i="28"/>
  <c r="BC398" i="28"/>
  <c r="BC394" i="28"/>
  <c r="BC390" i="28"/>
  <c r="BC386" i="28"/>
  <c r="BC382" i="28"/>
  <c r="BC378" i="28"/>
  <c r="BC374" i="28"/>
  <c r="BC370" i="28"/>
  <c r="BC366" i="28"/>
  <c r="BC362" i="28"/>
  <c r="BC358" i="28"/>
  <c r="BC354" i="28"/>
  <c r="BC350" i="28"/>
  <c r="BC346" i="28"/>
  <c r="BC342" i="28"/>
  <c r="BC338" i="28"/>
  <c r="BC334" i="28"/>
  <c r="BC330" i="28"/>
  <c r="BC326" i="28"/>
  <c r="BC322" i="28"/>
  <c r="BC318" i="28"/>
  <c r="BC314" i="28"/>
  <c r="BC310" i="28"/>
  <c r="BC306" i="28"/>
  <c r="BC302" i="28"/>
  <c r="BC298" i="28"/>
  <c r="BC294" i="28"/>
  <c r="BC290" i="28"/>
  <c r="BC286" i="28"/>
  <c r="BC282" i="28"/>
  <c r="BC278" i="28"/>
  <c r="BC274" i="28"/>
  <c r="BC270" i="28"/>
  <c r="BC266" i="28"/>
  <c r="BC262" i="28"/>
  <c r="BC258" i="28"/>
  <c r="BC254" i="28"/>
  <c r="BC250" i="28"/>
  <c r="BC246" i="28"/>
  <c r="BC242" i="28"/>
  <c r="BC238" i="28"/>
  <c r="BC234" i="28"/>
  <c r="BC230" i="28"/>
  <c r="BC226" i="28"/>
  <c r="BC222" i="28"/>
  <c r="BC218" i="28"/>
  <c r="BC214" i="28"/>
  <c r="BC210" i="28"/>
  <c r="BC206" i="28"/>
  <c r="BC202" i="28"/>
  <c r="BC198" i="28"/>
  <c r="BC194" i="28"/>
  <c r="BC190" i="28"/>
  <c r="BC186" i="28"/>
  <c r="BC182" i="28"/>
  <c r="BC178" i="28"/>
  <c r="BC174" i="28"/>
  <c r="BC170" i="28"/>
  <c r="BC166" i="28"/>
  <c r="BC162" i="28"/>
  <c r="BC31" i="28"/>
  <c r="BB27" i="28"/>
  <c r="BB22" i="28"/>
  <c r="BC17" i="28"/>
  <c r="BB13" i="28"/>
  <c r="BB610" i="28"/>
  <c r="BB606" i="28"/>
  <c r="BB602" i="28"/>
  <c r="BB598" i="28"/>
  <c r="BB594" i="28"/>
  <c r="BB590" i="28"/>
  <c r="BB586" i="28"/>
  <c r="BB582" i="28"/>
  <c r="BB578" i="28"/>
  <c r="BB574" i="28"/>
  <c r="BB570" i="28"/>
  <c r="BB566" i="28"/>
  <c r="BB562" i="28"/>
  <c r="BB558" i="28"/>
  <c r="BB554" i="28"/>
  <c r="BB550" i="28"/>
  <c r="BB546" i="28"/>
  <c r="BB542" i="28"/>
  <c r="BB538" i="28"/>
  <c r="BB534" i="28"/>
  <c r="BB530" i="28"/>
  <c r="BB526" i="28"/>
  <c r="BB522" i="28"/>
  <c r="BB518" i="28"/>
  <c r="BB514" i="28"/>
  <c r="BN514" i="28" s="1"/>
  <c r="BO514" i="28" s="1"/>
  <c r="BB510" i="28"/>
  <c r="BB506" i="28"/>
  <c r="BB502" i="28"/>
  <c r="BB498" i="28"/>
  <c r="BB494" i="28"/>
  <c r="BB490" i="28"/>
  <c r="BB486" i="28"/>
  <c r="BB482" i="28"/>
  <c r="BB478" i="28"/>
  <c r="BB474" i="28"/>
  <c r="BB470" i="28"/>
  <c r="BB466" i="28"/>
  <c r="BB462" i="28"/>
  <c r="BN462" i="28" s="1"/>
  <c r="BO462" i="28" s="1"/>
  <c r="BB458" i="28"/>
  <c r="BB454" i="28"/>
  <c r="BB450" i="28"/>
  <c r="BB446" i="28"/>
  <c r="BN446" i="28" s="1"/>
  <c r="BO446" i="28" s="1"/>
  <c r="BB442" i="28"/>
  <c r="BB438" i="28"/>
  <c r="BB434" i="28"/>
  <c r="BB430" i="28"/>
  <c r="BB426" i="28"/>
  <c r="BB422" i="28"/>
  <c r="BB418" i="28"/>
  <c r="BB414" i="28"/>
  <c r="BB410" i="28"/>
  <c r="BB406" i="28"/>
  <c r="BB402" i="28"/>
  <c r="BB398" i="28"/>
  <c r="BB394" i="28"/>
  <c r="BB390" i="28"/>
  <c r="BB386" i="28"/>
  <c r="BB382" i="28"/>
  <c r="BB378" i="28"/>
  <c r="BB374" i="28"/>
  <c r="BB370" i="28"/>
  <c r="BB366" i="28"/>
  <c r="BN366" i="28" s="1"/>
  <c r="BO366" i="28" s="1"/>
  <c r="BB362" i="28"/>
  <c r="BB358" i="28"/>
  <c r="BB354" i="28"/>
  <c r="BN354" i="28" s="1"/>
  <c r="BO354" i="28" s="1"/>
  <c r="BB350" i="28"/>
  <c r="BB346" i="28"/>
  <c r="BB342" i="28"/>
  <c r="BB338" i="28"/>
  <c r="BB334" i="28"/>
  <c r="BB330" i="28"/>
  <c r="BB326" i="28"/>
  <c r="BB322" i="28"/>
  <c r="BN322" i="28" s="1"/>
  <c r="BO322" i="28" s="1"/>
  <c r="BB318" i="28"/>
  <c r="BN318" i="28" s="1"/>
  <c r="BO318" i="28" s="1"/>
  <c r="BB314" i="28"/>
  <c r="BB310" i="28"/>
  <c r="BB306" i="28"/>
  <c r="BB302" i="28"/>
  <c r="BB298" i="28"/>
  <c r="BB294" i="28"/>
  <c r="BB290" i="28"/>
  <c r="BN290" i="28" s="1"/>
  <c r="BO290" i="28" s="1"/>
  <c r="BB286" i="28"/>
  <c r="BB282" i="28"/>
  <c r="BB278" i="28"/>
  <c r="BB274" i="28"/>
  <c r="BB270" i="28"/>
  <c r="BB266" i="28"/>
  <c r="BB262" i="28"/>
  <c r="BB258" i="28"/>
  <c r="BB30" i="28"/>
  <c r="BC25" i="28"/>
  <c r="BB21" i="28"/>
  <c r="BC16" i="28"/>
  <c r="BB629" i="28"/>
  <c r="BB625" i="28"/>
  <c r="BB613" i="28"/>
  <c r="BB609" i="28"/>
  <c r="BB605" i="28"/>
  <c r="BB601" i="28"/>
  <c r="BB597" i="28"/>
  <c r="BB593" i="28"/>
  <c r="BB589" i="28"/>
  <c r="BB585" i="28"/>
  <c r="BB581" i="28"/>
  <c r="BB577" i="28"/>
  <c r="BB573" i="28"/>
  <c r="BB569" i="28"/>
  <c r="BB565" i="28"/>
  <c r="BB561" i="28"/>
  <c r="BB557" i="28"/>
  <c r="BB553" i="28"/>
  <c r="BB549" i="28"/>
  <c r="BB545" i="28"/>
  <c r="BB541" i="28"/>
  <c r="BB537" i="28"/>
  <c r="BB533" i="28"/>
  <c r="BB529" i="28"/>
  <c r="BB525" i="28"/>
  <c r="BB521" i="28"/>
  <c r="BB517" i="28"/>
  <c r="BB513" i="28"/>
  <c r="BB509" i="28"/>
  <c r="BB505" i="28"/>
  <c r="BB501" i="28"/>
  <c r="BB497" i="28"/>
  <c r="BB493" i="28"/>
  <c r="BB489" i="28"/>
  <c r="BB485" i="28"/>
  <c r="BB481" i="28"/>
  <c r="BB477" i="28"/>
  <c r="BB473" i="28"/>
  <c r="BB469" i="28"/>
  <c r="BB465" i="28"/>
  <c r="BB461" i="28"/>
  <c r="BB457" i="28"/>
  <c r="BB453" i="28"/>
  <c r="BN453" i="28" s="1"/>
  <c r="BO453" i="28" s="1"/>
  <c r="BB449" i="28"/>
  <c r="BB445" i="28"/>
  <c r="BB441" i="28"/>
  <c r="BB437" i="28"/>
  <c r="BN437" i="28" s="1"/>
  <c r="BO437" i="28" s="1"/>
  <c r="BB433" i="28"/>
  <c r="BB429" i="28"/>
  <c r="BB425" i="28"/>
  <c r="BB421" i="28"/>
  <c r="BB417" i="28"/>
  <c r="BB413" i="28"/>
  <c r="BB409" i="28"/>
  <c r="BB405" i="28"/>
  <c r="BB401" i="28"/>
  <c r="BB397" i="28"/>
  <c r="BB393" i="28"/>
  <c r="BB389" i="28"/>
  <c r="BB385" i="28"/>
  <c r="BB381" i="28"/>
  <c r="BB377" i="28"/>
  <c r="BB373" i="28"/>
  <c r="BB369" i="28"/>
  <c r="BB365" i="28"/>
  <c r="BB361" i="28"/>
  <c r="BB357" i="28"/>
  <c r="BB353" i="28"/>
  <c r="BB349" i="28"/>
  <c r="BB345" i="28"/>
  <c r="BB341" i="28"/>
  <c r="BB337" i="28"/>
  <c r="BB333" i="28"/>
  <c r="BB329" i="28"/>
  <c r="BB325" i="28"/>
  <c r="BB321" i="28"/>
  <c r="BB317" i="28"/>
  <c r="BB313" i="28"/>
  <c r="BB309" i="28"/>
  <c r="BB305" i="28"/>
  <c r="BB301" i="28"/>
  <c r="BB297" i="28"/>
  <c r="BB293" i="28"/>
  <c r="BB289" i="28"/>
  <c r="BC29" i="28"/>
  <c r="BB25" i="28"/>
  <c r="BC20" i="28"/>
  <c r="BB16" i="28"/>
  <c r="BC624" i="28"/>
  <c r="BC612" i="28"/>
  <c r="BC608" i="28"/>
  <c r="BC604" i="28"/>
  <c r="BC600" i="28"/>
  <c r="BC596" i="28"/>
  <c r="BC592" i="28"/>
  <c r="BC588" i="28"/>
  <c r="BC584" i="28"/>
  <c r="BC580" i="28"/>
  <c r="BC576" i="28"/>
  <c r="BC572" i="28"/>
  <c r="BC568" i="28"/>
  <c r="BC564" i="28"/>
  <c r="BC560" i="28"/>
  <c r="BC556" i="28"/>
  <c r="BC552" i="28"/>
  <c r="BC548" i="28"/>
  <c r="BC544" i="28"/>
  <c r="BC540" i="28"/>
  <c r="BC536" i="28"/>
  <c r="BC532" i="28"/>
  <c r="BC528" i="28"/>
  <c r="BC524" i="28"/>
  <c r="BC520" i="28"/>
  <c r="BC516" i="28"/>
  <c r="BC512" i="28"/>
  <c r="BC508" i="28"/>
  <c r="BC504" i="28"/>
  <c r="BC500" i="28"/>
  <c r="BC496" i="28"/>
  <c r="BC492" i="28"/>
  <c r="BC488" i="28"/>
  <c r="BC484" i="28"/>
  <c r="BC480" i="28"/>
  <c r="BC476" i="28"/>
  <c r="BC472" i="28"/>
  <c r="BC468" i="28"/>
  <c r="BC464" i="28"/>
  <c r="BC460" i="28"/>
  <c r="BC456" i="28"/>
  <c r="BC452" i="28"/>
  <c r="BC448" i="28"/>
  <c r="BC444" i="28"/>
  <c r="BC440" i="28"/>
  <c r="BC436" i="28"/>
  <c r="BC432" i="28"/>
  <c r="BC428" i="28"/>
  <c r="BC424" i="28"/>
  <c r="BC420" i="28"/>
  <c r="BC416" i="28"/>
  <c r="BC412" i="28"/>
  <c r="BC408" i="28"/>
  <c r="BC404" i="28"/>
  <c r="BC400" i="28"/>
  <c r="BC396" i="28"/>
  <c r="BC392" i="28"/>
  <c r="BC388" i="28"/>
  <c r="BC384" i="28"/>
  <c r="BC380" i="28"/>
  <c r="BC376" i="28"/>
  <c r="BC372" i="28"/>
  <c r="BC368" i="28"/>
  <c r="BC364" i="28"/>
  <c r="BC360" i="28"/>
  <c r="BC356" i="28"/>
  <c r="BC352" i="28"/>
  <c r="BC348" i="28"/>
  <c r="BB26" i="28"/>
  <c r="BB15" i="28"/>
  <c r="BB612" i="28"/>
  <c r="BC601" i="28"/>
  <c r="BC591" i="28"/>
  <c r="BB580" i="28"/>
  <c r="BC569" i="28"/>
  <c r="BC559" i="28"/>
  <c r="BB548" i="28"/>
  <c r="BC537" i="28"/>
  <c r="BC527" i="28"/>
  <c r="BB516" i="28"/>
  <c r="BC505" i="28"/>
  <c r="BC495" i="28"/>
  <c r="BB484" i="28"/>
  <c r="BC473" i="28"/>
  <c r="BC463" i="28"/>
  <c r="BB452" i="28"/>
  <c r="BC441" i="28"/>
  <c r="BC431" i="28"/>
  <c r="BB420" i="28"/>
  <c r="BC409" i="28"/>
  <c r="BC399" i="28"/>
  <c r="BB388" i="28"/>
  <c r="BC377" i="28"/>
  <c r="BC367" i="28"/>
  <c r="BB356" i="28"/>
  <c r="BC345" i="28"/>
  <c r="BC337" i="28"/>
  <c r="BC329" i="28"/>
  <c r="BC321" i="28"/>
  <c r="BC313" i="28"/>
  <c r="BC305" i="28"/>
  <c r="BC297" i="28"/>
  <c r="BC289" i="28"/>
  <c r="BC283" i="28"/>
  <c r="BC276" i="28"/>
  <c r="BC269" i="28"/>
  <c r="BB264" i="28"/>
  <c r="BB257" i="28"/>
  <c r="BB252" i="28"/>
  <c r="BB246" i="28"/>
  <c r="BB241" i="28"/>
  <c r="BB236" i="28"/>
  <c r="BB230" i="28"/>
  <c r="BB225" i="28"/>
  <c r="BB220" i="28"/>
  <c r="BB214" i="28"/>
  <c r="BB209" i="28"/>
  <c r="BB204" i="28"/>
  <c r="BB198" i="28"/>
  <c r="BB193" i="28"/>
  <c r="BB188" i="28"/>
  <c r="BB182" i="28"/>
  <c r="BB177" i="28"/>
  <c r="BB172" i="28"/>
  <c r="BB166" i="28"/>
  <c r="BB161" i="28"/>
  <c r="BC156" i="28"/>
  <c r="BB152" i="28"/>
  <c r="BC147" i="28"/>
  <c r="BC142" i="28"/>
  <c r="BB138" i="28"/>
  <c r="BC133" i="28"/>
  <c r="BB129" i="28"/>
  <c r="BC124" i="28"/>
  <c r="BB120" i="28"/>
  <c r="BC115" i="28"/>
  <c r="BC110" i="28"/>
  <c r="BB106" i="28"/>
  <c r="BC101" i="28"/>
  <c r="BB97" i="28"/>
  <c r="BC92" i="28"/>
  <c r="BB88" i="28"/>
  <c r="BC83" i="28"/>
  <c r="BC78" i="28"/>
  <c r="BC74" i="28"/>
  <c r="BC70" i="28"/>
  <c r="BC66" i="28"/>
  <c r="BC62" i="28"/>
  <c r="BC58" i="28"/>
  <c r="BC54" i="28"/>
  <c r="BC50" i="28"/>
  <c r="BC46" i="28"/>
  <c r="BC42" i="28"/>
  <c r="BC38" i="28"/>
  <c r="BC34" i="28"/>
  <c r="BC365" i="28"/>
  <c r="BC355" i="28"/>
  <c r="BC344" i="28"/>
  <c r="BC336" i="28"/>
  <c r="BC328" i="28"/>
  <c r="BC320" i="28"/>
  <c r="BC312" i="28"/>
  <c r="BC304" i="28"/>
  <c r="BC296" i="28"/>
  <c r="BC288" i="28"/>
  <c r="BC281" i="28"/>
  <c r="BB276" i="28"/>
  <c r="BB269" i="28"/>
  <c r="BC263" i="28"/>
  <c r="BC256" i="28"/>
  <c r="BC251" i="28"/>
  <c r="BC245" i="28"/>
  <c r="BC240" i="28"/>
  <c r="BC235" i="28"/>
  <c r="BC229" i="28"/>
  <c r="BC224" i="28"/>
  <c r="BC219" i="28"/>
  <c r="BC213" i="28"/>
  <c r="BC208" i="28"/>
  <c r="BC203" i="28"/>
  <c r="BC197" i="28"/>
  <c r="BC192" i="28"/>
  <c r="BC187" i="28"/>
  <c r="BC181" i="28"/>
  <c r="BC176" i="28"/>
  <c r="BC171" i="28"/>
  <c r="BC165" i="28"/>
  <c r="BC160" i="28"/>
  <c r="BB156" i="28"/>
  <c r="BC151" i="28"/>
  <c r="BC146" i="28"/>
  <c r="BB142" i="28"/>
  <c r="BN142" i="28" s="1"/>
  <c r="BO142" i="28" s="1"/>
  <c r="BC137" i="28"/>
  <c r="BB133" i="28"/>
  <c r="BC128" i="28"/>
  <c r="BB124" i="28"/>
  <c r="BC119" i="28"/>
  <c r="BC114" i="28"/>
  <c r="BB110" i="28"/>
  <c r="BC105" i="28"/>
  <c r="BB101" i="28"/>
  <c r="BC96" i="28"/>
  <c r="BB92" i="28"/>
  <c r="BC87" i="28"/>
  <c r="BC82" i="28"/>
  <c r="BB78" i="28"/>
  <c r="BB74" i="28"/>
  <c r="BB70" i="28"/>
  <c r="BB66" i="28"/>
  <c r="BB62" i="28"/>
  <c r="BB58" i="28"/>
  <c r="BC24" i="28"/>
  <c r="BC629" i="28"/>
  <c r="BC611" i="28"/>
  <c r="BB600" i="28"/>
  <c r="BC589" i="28"/>
  <c r="BC579" i="28"/>
  <c r="BB568" i="28"/>
  <c r="BC557" i="28"/>
  <c r="BC547" i="28"/>
  <c r="BB536" i="28"/>
  <c r="BC525" i="28"/>
  <c r="BC515" i="28"/>
  <c r="BB504" i="28"/>
  <c r="BC493" i="28"/>
  <c r="BC483" i="28"/>
  <c r="BB472" i="28"/>
  <c r="BC461" i="28"/>
  <c r="BC451" i="28"/>
  <c r="BB440" i="28"/>
  <c r="BC429" i="28"/>
  <c r="BC419" i="28"/>
  <c r="BB408" i="28"/>
  <c r="BC397" i="28"/>
  <c r="BC387" i="28"/>
  <c r="BB24" i="28"/>
  <c r="BN23" i="28" s="1"/>
  <c r="BO23" i="28" s="1"/>
  <c r="BC609" i="28"/>
  <c r="BC599" i="28"/>
  <c r="BB588" i="28"/>
  <c r="BC577" i="28"/>
  <c r="BC567" i="28"/>
  <c r="BB556" i="28"/>
  <c r="BC545" i="28"/>
  <c r="BC535" i="28"/>
  <c r="BB524" i="28"/>
  <c r="BC513" i="28"/>
  <c r="BC503" i="28"/>
  <c r="BB492" i="28"/>
  <c r="BC481" i="28"/>
  <c r="BC471" i="28"/>
  <c r="BB460" i="28"/>
  <c r="BC449" i="28"/>
  <c r="BC439" i="28"/>
  <c r="BB428" i="28"/>
  <c r="BC417" i="28"/>
  <c r="BC407" i="28"/>
  <c r="BB396" i="28"/>
  <c r="BC385" i="28"/>
  <c r="BC375" i="28"/>
  <c r="BB364" i="28"/>
  <c r="BC353" i="28"/>
  <c r="BB344" i="28"/>
  <c r="BN343" i="28" s="1"/>
  <c r="BO343" i="28" s="1"/>
  <c r="BB336" i="28"/>
  <c r="BB328" i="28"/>
  <c r="BB320" i="28"/>
  <c r="BB312" i="28"/>
  <c r="BB304" i="28"/>
  <c r="BB296" i="28"/>
  <c r="BB288" i="28"/>
  <c r="BB281" i="28"/>
  <c r="BC275" i="28"/>
  <c r="BC268" i="28"/>
  <c r="BC261" i="28"/>
  <c r="BB256" i="28"/>
  <c r="BB250" i="28"/>
  <c r="BB245" i="28"/>
  <c r="BB240" i="28"/>
  <c r="BB234" i="28"/>
  <c r="BB229" i="28"/>
  <c r="BB224" i="28"/>
  <c r="BB218" i="28"/>
  <c r="BB213" i="28"/>
  <c r="BB208" i="28"/>
  <c r="BB202" i="28"/>
  <c r="BN202" i="28" s="1"/>
  <c r="BO202" i="28" s="1"/>
  <c r="BB197" i="28"/>
  <c r="BB192" i="28"/>
  <c r="BB186" i="28"/>
  <c r="BB181" i="28"/>
  <c r="BB176" i="28"/>
  <c r="BB170" i="28"/>
  <c r="BB165" i="28"/>
  <c r="BB160" i="28"/>
  <c r="BN159" i="28" s="1"/>
  <c r="BO159" i="28" s="1"/>
  <c r="BC155" i="28"/>
  <c r="BC150" i="28"/>
  <c r="BB146" i="28"/>
  <c r="BC141" i="28"/>
  <c r="BB137" i="28"/>
  <c r="BC132" i="28"/>
  <c r="BB128" i="28"/>
  <c r="BC123" i="28"/>
  <c r="BC118" i="28"/>
  <c r="BB114" i="28"/>
  <c r="BC109" i="28"/>
  <c r="BB105" i="28"/>
  <c r="BC100" i="28"/>
  <c r="BB96" i="28"/>
  <c r="BC91" i="28"/>
  <c r="BC86" i="28"/>
  <c r="BB82" i="28"/>
  <c r="BC77" i="28"/>
  <c r="BC73" i="28"/>
  <c r="BC69" i="28"/>
  <c r="BC65" i="28"/>
  <c r="BC61" i="28"/>
  <c r="BC57" i="28"/>
  <c r="BC53" i="28"/>
  <c r="BC49" i="28"/>
  <c r="BC45" i="28"/>
  <c r="BC41" i="28"/>
  <c r="BC37" i="28"/>
  <c r="BC33" i="28"/>
  <c r="BC104" i="28"/>
  <c r="BC81" i="28"/>
  <c r="BB73" i="28"/>
  <c r="BB65" i="28"/>
  <c r="BB57" i="28"/>
  <c r="BB49" i="28"/>
  <c r="BB41" i="28"/>
  <c r="BB33" i="28"/>
  <c r="BB552" i="28"/>
  <c r="BC499" i="28"/>
  <c r="BB456" i="28"/>
  <c r="BC413" i="28"/>
  <c r="BC371" i="28"/>
  <c r="BC332" i="28"/>
  <c r="BC300" i="28"/>
  <c r="BC272" i="28"/>
  <c r="BC248" i="28"/>
  <c r="BC232" i="28"/>
  <c r="BC211" i="28"/>
  <c r="BC189" i="28"/>
  <c r="BC168" i="28"/>
  <c r="BB149" i="28"/>
  <c r="BC135" i="28"/>
  <c r="BC21" i="28"/>
  <c r="BC627" i="28"/>
  <c r="BB608" i="28"/>
  <c r="BC597" i="28"/>
  <c r="BC587" i="28"/>
  <c r="BB576" i="28"/>
  <c r="BC565" i="28"/>
  <c r="BC555" i="28"/>
  <c r="BB544" i="28"/>
  <c r="BC533" i="28"/>
  <c r="BC523" i="28"/>
  <c r="BB512" i="28"/>
  <c r="BC501" i="28"/>
  <c r="BC491" i="28"/>
  <c r="BB480" i="28"/>
  <c r="BC469" i="28"/>
  <c r="BC459" i="28"/>
  <c r="BB448" i="28"/>
  <c r="BC437" i="28"/>
  <c r="BC427" i="28"/>
  <c r="BB416" i="28"/>
  <c r="BC405" i="28"/>
  <c r="BC395" i="28"/>
  <c r="BB384" i="28"/>
  <c r="BC373" i="28"/>
  <c r="BC363" i="28"/>
  <c r="BB352" i="28"/>
  <c r="BC343" i="28"/>
  <c r="BC335" i="28"/>
  <c r="BC327" i="28"/>
  <c r="BC319" i="28"/>
  <c r="BC311" i="28"/>
  <c r="BC303" i="28"/>
  <c r="BC295" i="28"/>
  <c r="BC287" i="28"/>
  <c r="BC280" i="28"/>
  <c r="BC273" i="28"/>
  <c r="BB268" i="28"/>
  <c r="BB261" i="28"/>
  <c r="BC255" i="28"/>
  <c r="BC249" i="28"/>
  <c r="BC244" i="28"/>
  <c r="BC239" i="28"/>
  <c r="BC233" i="28"/>
  <c r="BC228" i="28"/>
  <c r="BC223" i="28"/>
  <c r="BC217" i="28"/>
  <c r="BC212" i="28"/>
  <c r="BC207" i="28"/>
  <c r="BC201" i="28"/>
  <c r="BC196" i="28"/>
  <c r="BC191" i="28"/>
  <c r="BC185" i="28"/>
  <c r="BC180" i="28"/>
  <c r="BC175" i="28"/>
  <c r="BC169" i="28"/>
  <c r="BC164" i="28"/>
  <c r="BC159" i="28"/>
  <c r="BC154" i="28"/>
  <c r="BB150" i="28"/>
  <c r="BC145" i="28"/>
  <c r="BB141" i="28"/>
  <c r="BC136" i="28"/>
  <c r="BB132" i="28"/>
  <c r="BC127" i="28"/>
  <c r="BC122" i="28"/>
  <c r="BB118" i="28"/>
  <c r="BC113" i="28"/>
  <c r="BB109" i="28"/>
  <c r="BB100" i="28"/>
  <c r="BC95" i="28"/>
  <c r="BC90" i="28"/>
  <c r="BB86" i="28"/>
  <c r="BB77" i="28"/>
  <c r="BB69" i="28"/>
  <c r="BB61" i="28"/>
  <c r="BB53" i="28"/>
  <c r="BB45" i="28"/>
  <c r="BB37" i="28"/>
  <c r="BB31" i="28"/>
  <c r="BN31" i="28" s="1"/>
  <c r="BO31" i="28" s="1"/>
  <c r="BC19" i="28"/>
  <c r="BB624" i="28"/>
  <c r="BC605" i="28"/>
  <c r="BC595" i="28"/>
  <c r="BB584" i="28"/>
  <c r="BC573" i="28"/>
  <c r="BC541" i="28"/>
  <c r="BC531" i="28"/>
  <c r="BC509" i="28"/>
  <c r="BB488" i="28"/>
  <c r="BN488" i="28" s="1"/>
  <c r="BO488" i="28" s="1"/>
  <c r="BC467" i="28"/>
  <c r="BC445" i="28"/>
  <c r="BB424" i="28"/>
  <c r="BC403" i="28"/>
  <c r="BC381" i="28"/>
  <c r="BB360" i="28"/>
  <c r="BC340" i="28"/>
  <c r="BC324" i="28"/>
  <c r="BC308" i="28"/>
  <c r="BC292" i="28"/>
  <c r="BC279" i="28"/>
  <c r="BB260" i="28"/>
  <c r="BC253" i="28"/>
  <c r="BC237" i="28"/>
  <c r="BC221" i="28"/>
  <c r="BC216" i="28"/>
  <c r="BC200" i="28"/>
  <c r="BC195" i="28"/>
  <c r="BC179" i="28"/>
  <c r="BC163" i="28"/>
  <c r="BC153" i="28"/>
  <c r="BC144" i="28"/>
  <c r="BB20" i="28"/>
  <c r="BC625" i="28"/>
  <c r="BC607" i="28"/>
  <c r="BB596" i="28"/>
  <c r="BC585" i="28"/>
  <c r="BC575" i="28"/>
  <c r="BB564" i="28"/>
  <c r="BC553" i="28"/>
  <c r="BC543" i="28"/>
  <c r="BB532" i="28"/>
  <c r="BC521" i="28"/>
  <c r="BC511" i="28"/>
  <c r="BB500" i="28"/>
  <c r="BC489" i="28"/>
  <c r="BC479" i="28"/>
  <c r="BB468" i="28"/>
  <c r="BC457" i="28"/>
  <c r="BC447" i="28"/>
  <c r="BB436" i="28"/>
  <c r="BC425" i="28"/>
  <c r="BC415" i="28"/>
  <c r="BB404" i="28"/>
  <c r="BC393" i="28"/>
  <c r="BC383" i="28"/>
  <c r="BB372" i="28"/>
  <c r="BC361" i="28"/>
  <c r="BC351" i="28"/>
  <c r="BC341" i="28"/>
  <c r="BC333" i="28"/>
  <c r="BC325" i="28"/>
  <c r="BC317" i="28"/>
  <c r="BC309" i="28"/>
  <c r="BC301" i="28"/>
  <c r="BC293" i="28"/>
  <c r="BC285" i="28"/>
  <c r="BB280" i="28"/>
  <c r="BB273" i="28"/>
  <c r="BC267" i="28"/>
  <c r="BC260" i="28"/>
  <c r="BB254" i="28"/>
  <c r="BB249" i="28"/>
  <c r="BB244" i="28"/>
  <c r="BB238" i="28"/>
  <c r="BB233" i="28"/>
  <c r="BB228" i="28"/>
  <c r="BB222" i="28"/>
  <c r="BB217" i="28"/>
  <c r="BB212" i="28"/>
  <c r="BB206" i="28"/>
  <c r="BB201" i="28"/>
  <c r="BB196" i="28"/>
  <c r="BB190" i="28"/>
  <c r="BB185" i="28"/>
  <c r="BB180" i="28"/>
  <c r="BB174" i="28"/>
  <c r="BN174" i="28" s="1"/>
  <c r="BO174" i="28" s="1"/>
  <c r="BB169" i="28"/>
  <c r="BB164" i="28"/>
  <c r="BC158" i="28"/>
  <c r="BB154" i="28"/>
  <c r="BC149" i="28"/>
  <c r="BB145" i="28"/>
  <c r="BC140" i="28"/>
  <c r="BB136" i="28"/>
  <c r="BC131" i="28"/>
  <c r="BC126" i="28"/>
  <c r="BB122" i="28"/>
  <c r="BC117" i="28"/>
  <c r="BB113" i="28"/>
  <c r="BC108" i="28"/>
  <c r="BB104" i="28"/>
  <c r="BC99" i="28"/>
  <c r="BC94" i="28"/>
  <c r="BB90" i="28"/>
  <c r="BC85" i="28"/>
  <c r="BB81" i="28"/>
  <c r="BC76" i="28"/>
  <c r="BC72" i="28"/>
  <c r="BC68" i="28"/>
  <c r="BC64" i="28"/>
  <c r="BC60" i="28"/>
  <c r="BC56" i="28"/>
  <c r="BC52" i="28"/>
  <c r="BC48" i="28"/>
  <c r="BC44" i="28"/>
  <c r="BC40" i="28"/>
  <c r="BC36" i="28"/>
  <c r="BC563" i="28"/>
  <c r="BB520" i="28"/>
  <c r="BN520" i="28" s="1"/>
  <c r="BO520" i="28" s="1"/>
  <c r="BC477" i="28"/>
  <c r="BC435" i="28"/>
  <c r="BB392" i="28"/>
  <c r="BC349" i="28"/>
  <c r="BC316" i="28"/>
  <c r="BB285" i="28"/>
  <c r="BC265" i="28"/>
  <c r="BC243" i="28"/>
  <c r="BC227" i="28"/>
  <c r="BC205" i="28"/>
  <c r="BC184" i="28"/>
  <c r="BC173" i="28"/>
  <c r="BB158" i="28"/>
  <c r="BB29" i="28"/>
  <c r="BB17" i="28"/>
  <c r="BB604" i="28"/>
  <c r="BC593" i="28"/>
  <c r="BC583" i="28"/>
  <c r="BB572" i="28"/>
  <c r="BC561" i="28"/>
  <c r="BC551" i="28"/>
  <c r="BB540" i="28"/>
  <c r="BC529" i="28"/>
  <c r="BC519" i="28"/>
  <c r="BB508" i="28"/>
  <c r="BC497" i="28"/>
  <c r="BC487" i="28"/>
  <c r="BB476" i="28"/>
  <c r="BC465" i="28"/>
  <c r="BC455" i="28"/>
  <c r="BB444" i="28"/>
  <c r="BC433" i="28"/>
  <c r="BC423" i="28"/>
  <c r="BB412" i="28"/>
  <c r="BC401" i="28"/>
  <c r="BC391" i="28"/>
  <c r="BB380" i="28"/>
  <c r="BC369" i="28"/>
  <c r="BC359" i="28"/>
  <c r="BB348" i="28"/>
  <c r="BB340" i="28"/>
  <c r="BB332" i="28"/>
  <c r="BB324" i="28"/>
  <c r="BB316" i="28"/>
  <c r="BB308" i="28"/>
  <c r="BB300" i="28"/>
  <c r="BB292" i="28"/>
  <c r="BC284" i="28"/>
  <c r="BC277" i="28"/>
  <c r="BB272" i="28"/>
  <c r="BN271" i="28" s="1"/>
  <c r="BO271" i="28" s="1"/>
  <c r="BB265" i="28"/>
  <c r="BN264" i="28" s="1"/>
  <c r="BO264" i="28" s="1"/>
  <c r="BC259" i="28"/>
  <c r="BB253" i="28"/>
  <c r="BB248" i="28"/>
  <c r="BB242" i="28"/>
  <c r="BB237" i="28"/>
  <c r="BB232" i="28"/>
  <c r="BB226" i="28"/>
  <c r="BN226" i="28" s="1"/>
  <c r="BO226" i="28" s="1"/>
  <c r="BB221" i="28"/>
  <c r="BB216" i="28"/>
  <c r="BB210" i="28"/>
  <c r="BB205" i="28"/>
  <c r="BB200" i="28"/>
  <c r="BN199" i="28" s="1"/>
  <c r="BO199" i="28" s="1"/>
  <c r="BB194" i="28"/>
  <c r="BB189" i="28"/>
  <c r="BB184" i="28"/>
  <c r="BB178" i="28"/>
  <c r="BN177" i="28" s="1"/>
  <c r="BO177" i="28" s="1"/>
  <c r="BB173" i="28"/>
  <c r="BB168" i="28"/>
  <c r="BB162" i="28"/>
  <c r="BC157" i="28"/>
  <c r="BB153" i="28"/>
  <c r="BC148" i="28"/>
  <c r="BB144" i="28"/>
  <c r="BN143" i="28" s="1"/>
  <c r="BO143" i="28" s="1"/>
  <c r="BC139" i="28"/>
  <c r="BC134" i="28"/>
  <c r="BB130" i="28"/>
  <c r="BC125" i="28"/>
  <c r="BB121" i="28"/>
  <c r="BC116" i="28"/>
  <c r="BB112" i="28"/>
  <c r="BC107" i="28"/>
  <c r="BC102" i="28"/>
  <c r="BB98" i="28"/>
  <c r="BN97" i="28" s="1"/>
  <c r="BO97" i="28" s="1"/>
  <c r="BC93" i="28"/>
  <c r="BB89" i="28"/>
  <c r="BN88" i="28" s="1"/>
  <c r="BO88" i="28" s="1"/>
  <c r="BC84" i="28"/>
  <c r="BB80" i="28"/>
  <c r="BN79" i="28" s="1"/>
  <c r="BO79" i="28" s="1"/>
  <c r="BC75" i="28"/>
  <c r="BC71" i="28"/>
  <c r="BC67" i="28"/>
  <c r="BC63" i="28"/>
  <c r="BC59" i="28"/>
  <c r="BC55" i="28"/>
  <c r="BC51" i="28"/>
  <c r="BC47" i="28"/>
  <c r="BC43" i="28"/>
  <c r="BC39" i="28"/>
  <c r="BC35" i="28"/>
  <c r="BC28" i="28"/>
  <c r="BC15" i="28"/>
  <c r="BC613" i="28"/>
  <c r="BC603" i="28"/>
  <c r="BB592" i="28"/>
  <c r="BC581" i="28"/>
  <c r="BC571" i="28"/>
  <c r="BB560" i="28"/>
  <c r="BC549" i="28"/>
  <c r="BC539" i="28"/>
  <c r="BB528" i="28"/>
  <c r="BN527" i="28" s="1"/>
  <c r="BO527" i="28" s="1"/>
  <c r="BC517" i="28"/>
  <c r="BC507" i="28"/>
  <c r="BB496" i="28"/>
  <c r="BN496" i="28" s="1"/>
  <c r="BO496" i="28" s="1"/>
  <c r="BC485" i="28"/>
  <c r="BC475" i="28"/>
  <c r="BB464" i="28"/>
  <c r="BC453" i="28"/>
  <c r="BC443" i="28"/>
  <c r="BB432" i="28"/>
  <c r="BN431" i="28" s="1"/>
  <c r="BO431" i="28" s="1"/>
  <c r="BC421" i="28"/>
  <c r="BC411" i="28"/>
  <c r="BB400" i="28"/>
  <c r="BC389" i="28"/>
  <c r="BC379" i="28"/>
  <c r="BB368" i="28"/>
  <c r="BC357" i="28"/>
  <c r="BC347" i="28"/>
  <c r="BC339" i="28"/>
  <c r="BC331" i="28"/>
  <c r="BC323" i="28"/>
  <c r="BC315" i="28"/>
  <c r="BC307" i="28"/>
  <c r="BC299" i="28"/>
  <c r="BC291" i="28"/>
  <c r="BB284" i="28"/>
  <c r="BB277" i="28"/>
  <c r="BC271" i="28"/>
  <c r="BC264" i="28"/>
  <c r="BC257" i="28"/>
  <c r="BC252" i="28"/>
  <c r="BC247" i="28"/>
  <c r="BC241" i="28"/>
  <c r="BC236" i="28"/>
  <c r="BC231" i="28"/>
  <c r="BC225" i="28"/>
  <c r="BC220" i="28"/>
  <c r="BC215" i="28"/>
  <c r="BC209" i="28"/>
  <c r="BC204" i="28"/>
  <c r="BC199" i="28"/>
  <c r="BC193" i="28"/>
  <c r="BC188" i="28"/>
  <c r="BC183" i="28"/>
  <c r="BC177" i="28"/>
  <c r="BC172" i="28"/>
  <c r="BC167" i="28"/>
  <c r="BC161" i="28"/>
  <c r="BB157" i="28"/>
  <c r="BC152" i="28"/>
  <c r="BB148" i="28"/>
  <c r="BB134" i="28"/>
  <c r="BB116" i="28"/>
  <c r="BC97" i="28"/>
  <c r="BC79" i="28"/>
  <c r="BB63" i="28"/>
  <c r="BB50" i="28"/>
  <c r="BB39" i="28"/>
  <c r="BB47" i="28"/>
  <c r="BB72" i="28"/>
  <c r="BB56" i="28"/>
  <c r="BB125" i="28"/>
  <c r="BC88" i="28"/>
  <c r="BC103" i="28"/>
  <c r="BB68" i="28"/>
  <c r="BC138" i="28"/>
  <c r="BC130" i="28"/>
  <c r="BC112" i="28"/>
  <c r="BB94" i="28"/>
  <c r="BB76" i="28"/>
  <c r="BB60" i="28"/>
  <c r="BB48" i="28"/>
  <c r="BB38" i="28"/>
  <c r="BB59" i="28"/>
  <c r="BC89" i="28"/>
  <c r="BB376" i="28"/>
  <c r="BB71" i="28"/>
  <c r="BC121" i="28"/>
  <c r="BB54" i="28"/>
  <c r="BB42" i="28"/>
  <c r="BB64" i="28"/>
  <c r="BC129" i="28"/>
  <c r="BC111" i="28"/>
  <c r="BB93" i="28"/>
  <c r="BB75" i="28"/>
  <c r="BB36" i="28"/>
  <c r="BB46" i="28"/>
  <c r="BC106" i="28"/>
  <c r="BB44" i="28"/>
  <c r="BB85" i="28"/>
  <c r="BB43" i="28"/>
  <c r="BB117" i="28"/>
  <c r="BB51" i="28"/>
  <c r="BB126" i="28"/>
  <c r="BB108" i="28"/>
  <c r="BB35" i="28"/>
  <c r="BB55" i="28"/>
  <c r="BB34" i="28"/>
  <c r="BC143" i="28"/>
  <c r="BB67" i="28"/>
  <c r="BC98" i="28"/>
  <c r="BB40" i="28"/>
  <c r="BB140" i="28"/>
  <c r="BC120" i="28"/>
  <c r="BB102" i="28"/>
  <c r="BB84" i="28"/>
  <c r="BB52" i="28"/>
  <c r="BC80" i="28"/>
  <c r="BN22" i="28"/>
  <c r="BO22" i="28" s="1"/>
  <c r="BN552" i="28"/>
  <c r="BO552" i="28" s="1"/>
  <c r="BN553" i="28"/>
  <c r="BO553" i="28" s="1"/>
  <c r="BN518" i="28"/>
  <c r="BO518" i="28" s="1"/>
  <c r="BN362" i="28"/>
  <c r="BO362" i="28" s="1"/>
  <c r="BN558" i="28"/>
  <c r="BO558" i="28" s="1"/>
  <c r="BN365" i="28"/>
  <c r="BO365" i="28" s="1"/>
  <c r="BN550" i="28"/>
  <c r="BO550" i="28" s="1"/>
  <c r="BN297" i="28"/>
  <c r="BO297" i="28" s="1"/>
  <c r="BN137" i="28"/>
  <c r="BO137" i="28" s="1"/>
  <c r="BN580" i="28"/>
  <c r="BO580" i="28" s="1"/>
  <c r="BB6" i="28"/>
  <c r="BN493" i="28"/>
  <c r="BO493" i="28" s="1"/>
  <c r="BN582" i="28"/>
  <c r="BO582" i="28" s="1"/>
  <c r="BN266" i="28"/>
  <c r="BO266" i="28" s="1"/>
  <c r="BN294" i="28"/>
  <c r="BO294" i="28" s="1"/>
  <c r="BN330" i="28"/>
  <c r="BO330" i="28" s="1"/>
  <c r="BN298" i="28"/>
  <c r="BO298" i="28" s="1"/>
  <c r="BN395" i="28"/>
  <c r="BO395" i="28" s="1"/>
  <c r="B22" i="2"/>
  <c r="BN86" i="28" l="1"/>
  <c r="BO86" i="28" s="1"/>
  <c r="BN26" i="28"/>
  <c r="BO26" i="28" s="1"/>
  <c r="BN301" i="28"/>
  <c r="BO301" i="28" s="1"/>
  <c r="BN491" i="28"/>
  <c r="BO491" i="28" s="1"/>
  <c r="BN85" i="28"/>
  <c r="BO85" i="28" s="1"/>
  <c r="BN217" i="28"/>
  <c r="BO217" i="28" s="1"/>
  <c r="BN588" i="28"/>
  <c r="BO588" i="28" s="1"/>
  <c r="BN100" i="28"/>
  <c r="BO100" i="28" s="1"/>
  <c r="BN234" i="28"/>
  <c r="BO234" i="28" s="1"/>
  <c r="BN203" i="28"/>
  <c r="BO203" i="28" s="1"/>
  <c r="BN416" i="28"/>
  <c r="BO416" i="28" s="1"/>
  <c r="BN171" i="28"/>
  <c r="BO171" i="28" s="1"/>
  <c r="B13" i="33"/>
  <c r="B13" i="31"/>
  <c r="M78" i="29"/>
  <c r="B3" i="29"/>
  <c r="M43" i="29"/>
  <c r="M35" i="29"/>
  <c r="M59" i="29"/>
  <c r="W18" i="29"/>
  <c r="B78" i="33"/>
  <c r="B78" i="31"/>
  <c r="BN138" i="28"/>
  <c r="BO138" i="28" s="1"/>
  <c r="BN332" i="28"/>
  <c r="BO332" i="28" s="1"/>
  <c r="BN310" i="28"/>
  <c r="BO310" i="28" s="1"/>
  <c r="BN342" i="28"/>
  <c r="BO342" i="28" s="1"/>
  <c r="BN534" i="28"/>
  <c r="BO534" i="28" s="1"/>
  <c r="BN481" i="28"/>
  <c r="BO481" i="28" s="1"/>
  <c r="BN420" i="28"/>
  <c r="BO420" i="28" s="1"/>
  <c r="BN293" i="28"/>
  <c r="BO293" i="28" s="1"/>
  <c r="BN357" i="28"/>
  <c r="BO357" i="28" s="1"/>
  <c r="BN183" i="28"/>
  <c r="BO183" i="28" s="1"/>
  <c r="BN472" i="28"/>
  <c r="BO472" i="28" s="1"/>
  <c r="BN95" i="28"/>
  <c r="BO95" i="28" s="1"/>
  <c r="BN444" i="28"/>
  <c r="BO444" i="28" s="1"/>
  <c r="BN456" i="28"/>
  <c r="BO456" i="28" s="1"/>
  <c r="BN133" i="28"/>
  <c r="BO133" i="28" s="1"/>
  <c r="BN360" i="28"/>
  <c r="BO360" i="28" s="1"/>
  <c r="BN328" i="28"/>
  <c r="BO328" i="28" s="1"/>
  <c r="BN59" i="28"/>
  <c r="BO59" i="28" s="1"/>
  <c r="BN37" i="28"/>
  <c r="BO37" i="28" s="1"/>
  <c r="BN248" i="28"/>
  <c r="BO248" i="28" s="1"/>
  <c r="BN372" i="28"/>
  <c r="BO372" i="28" s="1"/>
  <c r="BN20" i="28"/>
  <c r="BO20" i="28" s="1"/>
  <c r="BN402" i="28"/>
  <c r="BO402" i="28" s="1"/>
  <c r="BN61" i="28"/>
  <c r="BO61" i="28" s="1"/>
  <c r="BN563" i="28"/>
  <c r="BO563" i="28" s="1"/>
  <c r="BN65" i="28"/>
  <c r="BO65" i="28" s="1"/>
  <c r="BN548" i="28"/>
  <c r="BO548" i="28" s="1"/>
  <c r="BN90" i="28"/>
  <c r="BO90" i="28" s="1"/>
  <c r="BN232" i="28"/>
  <c r="BO232" i="28" s="1"/>
  <c r="BN245" i="28"/>
  <c r="BO245" i="28" s="1"/>
  <c r="BN256" i="28"/>
  <c r="BO256" i="28" s="1"/>
  <c r="BN544" i="28"/>
  <c r="BO544" i="28" s="1"/>
  <c r="BN531" i="28"/>
  <c r="BO531" i="28" s="1"/>
  <c r="BN385" i="28"/>
  <c r="BO385" i="28" s="1"/>
  <c r="BN513" i="28"/>
  <c r="BO513" i="28" s="1"/>
  <c r="BN242" i="28"/>
  <c r="BO242" i="28" s="1"/>
  <c r="BN474" i="28"/>
  <c r="BO474" i="28" s="1"/>
  <c r="BN386" i="28"/>
  <c r="BO386" i="28" s="1"/>
  <c r="BN164" i="28"/>
  <c r="BO164" i="28" s="1"/>
  <c r="BN30" i="28"/>
  <c r="BO30" i="28" s="1"/>
  <c r="BN211" i="28"/>
  <c r="BO211" i="28" s="1"/>
  <c r="BN467" i="28"/>
  <c r="BO467" i="28" s="1"/>
  <c r="BN180" i="28"/>
  <c r="BO180" i="28" s="1"/>
  <c r="BN141" i="28"/>
  <c r="BO141" i="28" s="1"/>
  <c r="BN192" i="28"/>
  <c r="BO192" i="28" s="1"/>
  <c r="BN440" i="28"/>
  <c r="BO440" i="28" s="1"/>
  <c r="BN504" i="28"/>
  <c r="BO504" i="28" s="1"/>
  <c r="BN568" i="28"/>
  <c r="BO568" i="28" s="1"/>
  <c r="BN345" i="28"/>
  <c r="BO345" i="28" s="1"/>
  <c r="BN601" i="28"/>
  <c r="BO601" i="28" s="1"/>
  <c r="BN374" i="28"/>
  <c r="BO374" i="28" s="1"/>
  <c r="BN503" i="28"/>
  <c r="BO503" i="28" s="1"/>
  <c r="BN253" i="28"/>
  <c r="BO253" i="28" s="1"/>
  <c r="BN42" i="28"/>
  <c r="BO42" i="28" s="1"/>
  <c r="BN237" i="28"/>
  <c r="BO237" i="28" s="1"/>
  <c r="BN69" i="28"/>
  <c r="BO69" i="28" s="1"/>
  <c r="BN153" i="28"/>
  <c r="BO153" i="28" s="1"/>
  <c r="BN308" i="28"/>
  <c r="BO308" i="28" s="1"/>
  <c r="BN145" i="28"/>
  <c r="BO145" i="28" s="1"/>
  <c r="BN499" i="28"/>
  <c r="BO499" i="28" s="1"/>
  <c r="BN165" i="28"/>
  <c r="BO165" i="28" s="1"/>
  <c r="BN208" i="28"/>
  <c r="BO208" i="28" s="1"/>
  <c r="BN572" i="28"/>
  <c r="BO572" i="28" s="1"/>
  <c r="BN605" i="28"/>
  <c r="BO605" i="28" s="1"/>
  <c r="BN187" i="28"/>
  <c r="BO187" i="28" s="1"/>
  <c r="BN219" i="28"/>
  <c r="BO219" i="28" s="1"/>
  <c r="BN282" i="28"/>
  <c r="BO282" i="28" s="1"/>
  <c r="BN404" i="28"/>
  <c r="BO404" i="28" s="1"/>
  <c r="BN45" i="28"/>
  <c r="BO45" i="28" s="1"/>
  <c r="BN34" i="28"/>
  <c r="BO34" i="28" s="1"/>
  <c r="BN443" i="28"/>
  <c r="BO443" i="28" s="1"/>
  <c r="BN74" i="28"/>
  <c r="BO74" i="28" s="1"/>
  <c r="BN116" i="28"/>
  <c r="BO116" i="28" s="1"/>
  <c r="BN114" i="28"/>
  <c r="BO114" i="28" s="1"/>
  <c r="BN498" i="28"/>
  <c r="BO498" i="28" s="1"/>
  <c r="BN562" i="28"/>
  <c r="BO562" i="28" s="1"/>
  <c r="BN594" i="28"/>
  <c r="BO594" i="28" s="1"/>
  <c r="BN68" i="28"/>
  <c r="BO68" i="28" s="1"/>
  <c r="BN156" i="28"/>
  <c r="BO156" i="28" s="1"/>
  <c r="BN540" i="28"/>
  <c r="BO540" i="28" s="1"/>
  <c r="BN221" i="28"/>
  <c r="BO221" i="28" s="1"/>
  <c r="BN57" i="28"/>
  <c r="BO57" i="28" s="1"/>
  <c r="BN178" i="28"/>
  <c r="BO178" i="28" s="1"/>
  <c r="BN200" i="28"/>
  <c r="BO200" i="28" s="1"/>
  <c r="BN475" i="28"/>
  <c r="BO475" i="28" s="1"/>
  <c r="BN112" i="28"/>
  <c r="BO112" i="28" s="1"/>
  <c r="BN307" i="28"/>
  <c r="BO307" i="28" s="1"/>
  <c r="BN120" i="28"/>
  <c r="BO120" i="28" s="1"/>
  <c r="BN63" i="28"/>
  <c r="BO63" i="28" s="1"/>
  <c r="BN190" i="28"/>
  <c r="BO190" i="28" s="1"/>
  <c r="BN222" i="28"/>
  <c r="BO222" i="28" s="1"/>
  <c r="BN287" i="28"/>
  <c r="BO287" i="28" s="1"/>
  <c r="BN350" i="28"/>
  <c r="BO350" i="28" s="1"/>
  <c r="BN414" i="28"/>
  <c r="BO414" i="28" s="1"/>
  <c r="BN35" i="28"/>
  <c r="BO35" i="28" s="1"/>
  <c r="BN304" i="28"/>
  <c r="BO304" i="28" s="1"/>
  <c r="BN400" i="28"/>
  <c r="BO400" i="28" s="1"/>
  <c r="BN592" i="28"/>
  <c r="BO592" i="28" s="1"/>
  <c r="BN433" i="28"/>
  <c r="BO433" i="28" s="1"/>
  <c r="B26" i="2"/>
  <c r="K607" i="28"/>
  <c r="K599" i="28"/>
  <c r="K591" i="28"/>
  <c r="K583" i="28"/>
  <c r="K575" i="28"/>
  <c r="K567" i="28"/>
  <c r="K559" i="28"/>
  <c r="K551" i="28"/>
  <c r="K543" i="28"/>
  <c r="K535" i="28"/>
  <c r="K527" i="28"/>
  <c r="K519" i="28"/>
  <c r="K511" i="28"/>
  <c r="K503" i="28"/>
  <c r="K495" i="28"/>
  <c r="K487" i="28"/>
  <c r="K479" i="28"/>
  <c r="K471" i="28"/>
  <c r="K463" i="28"/>
  <c r="K455" i="28"/>
  <c r="K447" i="28"/>
  <c r="K439" i="28"/>
  <c r="K431" i="28"/>
  <c r="K423" i="28"/>
  <c r="K415" i="28"/>
  <c r="K407" i="28"/>
  <c r="K399" i="28"/>
  <c r="K391" i="28"/>
  <c r="K383" i="28"/>
  <c r="K375" i="28"/>
  <c r="K367" i="28"/>
  <c r="K359" i="28"/>
  <c r="K351" i="28"/>
  <c r="K343" i="28"/>
  <c r="K335" i="28"/>
  <c r="K327" i="28"/>
  <c r="K319" i="28"/>
  <c r="K311" i="28"/>
  <c r="K303" i="28"/>
  <c r="K295" i="28"/>
  <c r="K287" i="28"/>
  <c r="K279" i="28"/>
  <c r="K271" i="28"/>
  <c r="K263" i="28"/>
  <c r="K255" i="28"/>
  <c r="K247" i="28"/>
  <c r="K239" i="28"/>
  <c r="K231" i="28"/>
  <c r="K223" i="28"/>
  <c r="K215" i="28"/>
  <c r="K207" i="28"/>
  <c r="K199" i="28"/>
  <c r="K191" i="28"/>
  <c r="K183" i="28"/>
  <c r="K175" i="28"/>
  <c r="K167" i="28"/>
  <c r="K159" i="28"/>
  <c r="K151" i="28"/>
  <c r="K143" i="28"/>
  <c r="K135" i="28"/>
  <c r="K127" i="28"/>
  <c r="K119" i="28"/>
  <c r="K111" i="28"/>
  <c r="K103" i="28"/>
  <c r="K95" i="28"/>
  <c r="K87" i="28"/>
  <c r="K79" i="28"/>
  <c r="K606" i="28"/>
  <c r="K598" i="28"/>
  <c r="K590" i="28"/>
  <c r="K582" i="28"/>
  <c r="K574" i="28"/>
  <c r="K566" i="28"/>
  <c r="K558" i="28"/>
  <c r="K550" i="28"/>
  <c r="K542" i="28"/>
  <c r="K534" i="28"/>
  <c r="K526" i="28"/>
  <c r="K518" i="28"/>
  <c r="K510" i="28"/>
  <c r="K502" i="28"/>
  <c r="K494" i="28"/>
  <c r="K486" i="28"/>
  <c r="K478" i="28"/>
  <c r="K470" i="28"/>
  <c r="K462" i="28"/>
  <c r="K454" i="28"/>
  <c r="K446" i="28"/>
  <c r="K438" i="28"/>
  <c r="K430" i="28"/>
  <c r="K422" i="28"/>
  <c r="K414" i="28"/>
  <c r="K406" i="28"/>
  <c r="K398" i="28"/>
  <c r="K390" i="28"/>
  <c r="K382" i="28"/>
  <c r="K374" i="28"/>
  <c r="K366" i="28"/>
  <c r="K358" i="28"/>
  <c r="K350" i="28"/>
  <c r="K342" i="28"/>
  <c r="K334" i="28"/>
  <c r="K326" i="28"/>
  <c r="K318" i="28"/>
  <c r="K310" i="28"/>
  <c r="K302" i="28"/>
  <c r="K294" i="28"/>
  <c r="K286" i="28"/>
  <c r="K278" i="28"/>
  <c r="K270" i="28"/>
  <c r="K262" i="28"/>
  <c r="K254" i="28"/>
  <c r="K246" i="28"/>
  <c r="K238" i="28"/>
  <c r="K230" i="28"/>
  <c r="K222" i="28"/>
  <c r="K214" i="28"/>
  <c r="K206" i="28"/>
  <c r="K198" i="28"/>
  <c r="K190" i="28"/>
  <c r="K182" i="28"/>
  <c r="K174" i="28"/>
  <c r="K166" i="28"/>
  <c r="K158" i="28"/>
  <c r="K150" i="28"/>
  <c r="K142" i="28"/>
  <c r="K134" i="28"/>
  <c r="K126" i="28"/>
  <c r="K118" i="28"/>
  <c r="K110" i="28"/>
  <c r="K102" i="28"/>
  <c r="K94" i="28"/>
  <c r="K86" i="28"/>
  <c r="K78" i="28"/>
  <c r="K613" i="28"/>
  <c r="K605" i="28"/>
  <c r="K597" i="28"/>
  <c r="K589" i="28"/>
  <c r="K581" i="28"/>
  <c r="K573" i="28"/>
  <c r="K565" i="28"/>
  <c r="K557" i="28"/>
  <c r="K549" i="28"/>
  <c r="K541" i="28"/>
  <c r="K533" i="28"/>
  <c r="K525" i="28"/>
  <c r="K517" i="28"/>
  <c r="K509" i="28"/>
  <c r="K501" i="28"/>
  <c r="K493" i="28"/>
  <c r="K485" i="28"/>
  <c r="K477" i="28"/>
  <c r="K469" i="28"/>
  <c r="K461" i="28"/>
  <c r="K453" i="28"/>
  <c r="K445" i="28"/>
  <c r="K437" i="28"/>
  <c r="K429" i="28"/>
  <c r="K421" i="28"/>
  <c r="K413" i="28"/>
  <c r="K405" i="28"/>
  <c r="K397" i="28"/>
  <c r="K389" i="28"/>
  <c r="K381" i="28"/>
  <c r="K373" i="28"/>
  <c r="K365" i="28"/>
  <c r="K357" i="28"/>
  <c r="K349" i="28"/>
  <c r="K341" i="28"/>
  <c r="K333" i="28"/>
  <c r="K325" i="28"/>
  <c r="K317" i="28"/>
  <c r="K309" i="28"/>
  <c r="K301" i="28"/>
  <c r="K293" i="28"/>
  <c r="K285" i="28"/>
  <c r="K277" i="28"/>
  <c r="K269" i="28"/>
  <c r="K261" i="28"/>
  <c r="K253" i="28"/>
  <c r="K245" i="28"/>
  <c r="K237" i="28"/>
  <c r="K229" i="28"/>
  <c r="K221" i="28"/>
  <c r="K213" i="28"/>
  <c r="K205" i="28"/>
  <c r="K197" i="28"/>
  <c r="K189" i="28"/>
  <c r="K181" i="28"/>
  <c r="K173" i="28"/>
  <c r="K165" i="28"/>
  <c r="K157" i="28"/>
  <c r="K149" i="28"/>
  <c r="K141" i="28"/>
  <c r="K133" i="28"/>
  <c r="K125" i="28"/>
  <c r="K117" i="28"/>
  <c r="K109" i="28"/>
  <c r="K101" i="28"/>
  <c r="K93" i="28"/>
  <c r="K85" i="28"/>
  <c r="K77" i="28"/>
  <c r="K69" i="28"/>
  <c r="K61" i="28"/>
  <c r="K53" i="28"/>
  <c r="K45" i="28"/>
  <c r="K37" i="28"/>
  <c r="K23" i="28"/>
  <c r="K15" i="28"/>
  <c r="K212" i="28"/>
  <c r="K188" i="28"/>
  <c r="K180" i="28"/>
  <c r="K164" i="28"/>
  <c r="K148" i="28"/>
  <c r="K140" i="28"/>
  <c r="K124" i="28"/>
  <c r="K116" i="28"/>
  <c r="K100" i="28"/>
  <c r="K92" i="28"/>
  <c r="K84" i="28"/>
  <c r="K68" i="28"/>
  <c r="K60" i="28"/>
  <c r="K52" i="28"/>
  <c r="K36" i="28"/>
  <c r="K29" i="28"/>
  <c r="K14" i="28"/>
  <c r="R3" i="28"/>
  <c r="K612" i="28"/>
  <c r="K604" i="28"/>
  <c r="K596" i="28"/>
  <c r="K588" i="28"/>
  <c r="K580" i="28"/>
  <c r="K572" i="28"/>
  <c r="K564" i="28"/>
  <c r="K556" i="28"/>
  <c r="K548" i="28"/>
  <c r="K540" i="28"/>
  <c r="K532" i="28"/>
  <c r="K524" i="28"/>
  <c r="K516" i="28"/>
  <c r="K508" i="28"/>
  <c r="K500" i="28"/>
  <c r="K492" i="28"/>
  <c r="K484" i="28"/>
  <c r="K476" i="28"/>
  <c r="K468" i="28"/>
  <c r="K460" i="28"/>
  <c r="K452" i="28"/>
  <c r="K444" i="28"/>
  <c r="K436" i="28"/>
  <c r="K428" i="28"/>
  <c r="K420" i="28"/>
  <c r="K412" i="28"/>
  <c r="K404" i="28"/>
  <c r="K396" i="28"/>
  <c r="K388" i="28"/>
  <c r="K380" i="28"/>
  <c r="K372" i="28"/>
  <c r="K364" i="28"/>
  <c r="K356" i="28"/>
  <c r="K348" i="28"/>
  <c r="K340" i="28"/>
  <c r="K332" i="28"/>
  <c r="K324" i="28"/>
  <c r="K316" i="28"/>
  <c r="K308" i="28"/>
  <c r="K300" i="28"/>
  <c r="K292" i="28"/>
  <c r="K284" i="28"/>
  <c r="K276" i="28"/>
  <c r="K268" i="28"/>
  <c r="K260" i="28"/>
  <c r="K252" i="28"/>
  <c r="K244" i="28"/>
  <c r="K236" i="28"/>
  <c r="K228" i="28"/>
  <c r="K220" i="28"/>
  <c r="K204" i="28"/>
  <c r="K196" i="28"/>
  <c r="K172" i="28"/>
  <c r="K156" i="28"/>
  <c r="K132" i="28"/>
  <c r="K108" i="28"/>
  <c r="K76" i="28"/>
  <c r="K44" i="28"/>
  <c r="K22" i="28"/>
  <c r="K611" i="28"/>
  <c r="K603" i="28"/>
  <c r="K595" i="28"/>
  <c r="K587" i="28"/>
  <c r="K579" i="28"/>
  <c r="K571" i="28"/>
  <c r="K563" i="28"/>
  <c r="K555" i="28"/>
  <c r="K547" i="28"/>
  <c r="K539" i="28"/>
  <c r="K531" i="28"/>
  <c r="K523" i="28"/>
  <c r="K515" i="28"/>
  <c r="K507" i="28"/>
  <c r="K499" i="28"/>
  <c r="K491" i="28"/>
  <c r="K483" i="28"/>
  <c r="K475" i="28"/>
  <c r="K467" i="28"/>
  <c r="K459" i="28"/>
  <c r="K451" i="28"/>
  <c r="K443" i="28"/>
  <c r="K435" i="28"/>
  <c r="K427" i="28"/>
  <c r="K419" i="28"/>
  <c r="K411" i="28"/>
  <c r="K403" i="28"/>
  <c r="K395" i="28"/>
  <c r="K387" i="28"/>
  <c r="K379" i="28"/>
  <c r="K371" i="28"/>
  <c r="K363" i="28"/>
  <c r="K355" i="28"/>
  <c r="K347" i="28"/>
  <c r="K339" i="28"/>
  <c r="K331" i="28"/>
  <c r="K323" i="28"/>
  <c r="K315" i="28"/>
  <c r="K307" i="28"/>
  <c r="K299" i="28"/>
  <c r="K291" i="28"/>
  <c r="K283" i="28"/>
  <c r="K275" i="28"/>
  <c r="K267" i="28"/>
  <c r="K259" i="28"/>
  <c r="K251" i="28"/>
  <c r="K243" i="28"/>
  <c r="K235" i="28"/>
  <c r="K227" i="28"/>
  <c r="K219" i="28"/>
  <c r="K211" i="28"/>
  <c r="K203" i="28"/>
  <c r="K195" i="28"/>
  <c r="K187" i="28"/>
  <c r="K179" i="28"/>
  <c r="K171" i="28"/>
  <c r="K163" i="28"/>
  <c r="K155" i="28"/>
  <c r="K147" i="28"/>
  <c r="K131" i="28"/>
  <c r="K609" i="28"/>
  <c r="K601" i="28"/>
  <c r="K593" i="28"/>
  <c r="K585" i="28"/>
  <c r="K577" i="28"/>
  <c r="K569" i="28"/>
  <c r="K561" i="28"/>
  <c r="K553" i="28"/>
  <c r="K545" i="28"/>
  <c r="K537" i="28"/>
  <c r="K529" i="28"/>
  <c r="K521" i="28"/>
  <c r="K513" i="28"/>
  <c r="K505" i="28"/>
  <c r="K497" i="28"/>
  <c r="K489" i="28"/>
  <c r="K481" i="28"/>
  <c r="K473" i="28"/>
  <c r="K465" i="28"/>
  <c r="K457" i="28"/>
  <c r="K449" i="28"/>
  <c r="K441" i="28"/>
  <c r="K433" i="28"/>
  <c r="K425" i="28"/>
  <c r="K417" i="28"/>
  <c r="K409" i="28"/>
  <c r="K401" i="28"/>
  <c r="K393" i="28"/>
  <c r="K385" i="28"/>
  <c r="K377" i="28"/>
  <c r="K369" i="28"/>
  <c r="K361" i="28"/>
  <c r="K353" i="28"/>
  <c r="K345" i="28"/>
  <c r="K337" i="28"/>
  <c r="K329" i="28"/>
  <c r="K321" i="28"/>
  <c r="K313" i="28"/>
  <c r="K305" i="28"/>
  <c r="K297" i="28"/>
  <c r="K289" i="28"/>
  <c r="K281" i="28"/>
  <c r="K273" i="28"/>
  <c r="K265" i="28"/>
  <c r="K257" i="28"/>
  <c r="K249" i="28"/>
  <c r="K241" i="28"/>
  <c r="K233" i="28"/>
  <c r="K225" i="28"/>
  <c r="K217" i="28"/>
  <c r="K209" i="28"/>
  <c r="K201" i="28"/>
  <c r="K193" i="28"/>
  <c r="K185" i="28"/>
  <c r="K177" i="28"/>
  <c r="K169" i="28"/>
  <c r="K161" i="28"/>
  <c r="K153" i="28"/>
  <c r="K145" i="28"/>
  <c r="K137" i="28"/>
  <c r="K129" i="28"/>
  <c r="K121" i="28"/>
  <c r="K113" i="28"/>
  <c r="K105" i="28"/>
  <c r="K97" i="28"/>
  <c r="K89" i="28"/>
  <c r="K81" i="28"/>
  <c r="K73" i="28"/>
  <c r="K65" i="28"/>
  <c r="K57" i="28"/>
  <c r="K49" i="28"/>
  <c r="K41" i="28"/>
  <c r="K33" i="28"/>
  <c r="K27" i="28"/>
  <c r="K19" i="28"/>
  <c r="K594" i="28"/>
  <c r="K562" i="28"/>
  <c r="K530" i="28"/>
  <c r="K498" i="28"/>
  <c r="K466" i="28"/>
  <c r="K434" i="28"/>
  <c r="K402" i="28"/>
  <c r="K370" i="28"/>
  <c r="K338" i="28"/>
  <c r="K306" i="28"/>
  <c r="K274" i="28"/>
  <c r="K242" i="28"/>
  <c r="K210" i="28"/>
  <c r="K178" i="28"/>
  <c r="K146" i="28"/>
  <c r="K122" i="28"/>
  <c r="K99" i="28"/>
  <c r="K80" i="28"/>
  <c r="K64" i="28"/>
  <c r="K51" i="28"/>
  <c r="K39" i="28"/>
  <c r="K28" i="28"/>
  <c r="K16" i="28"/>
  <c r="K376" i="28"/>
  <c r="K123" i="28"/>
  <c r="K54" i="28"/>
  <c r="K592" i="28"/>
  <c r="K560" i="28"/>
  <c r="K528" i="28"/>
  <c r="K496" i="28"/>
  <c r="K464" i="28"/>
  <c r="K432" i="28"/>
  <c r="K400" i="28"/>
  <c r="K368" i="28"/>
  <c r="K336" i="28"/>
  <c r="K304" i="28"/>
  <c r="K272" i="28"/>
  <c r="K240" i="28"/>
  <c r="K208" i="28"/>
  <c r="K176" i="28"/>
  <c r="K144" i="28"/>
  <c r="K120" i="28"/>
  <c r="K98" i="28"/>
  <c r="K75" i="28"/>
  <c r="K63" i="28"/>
  <c r="K50" i="28"/>
  <c r="K38" i="28"/>
  <c r="K26" i="28"/>
  <c r="K13" i="28"/>
  <c r="K20" i="28"/>
  <c r="K570" i="28"/>
  <c r="K410" i="28"/>
  <c r="K250" i="28"/>
  <c r="K83" i="28"/>
  <c r="K18" i="28"/>
  <c r="K472" i="28"/>
  <c r="K248" i="28"/>
  <c r="K82" i="28"/>
  <c r="K586" i="28"/>
  <c r="K554" i="28"/>
  <c r="K522" i="28"/>
  <c r="K490" i="28"/>
  <c r="K458" i="28"/>
  <c r="K426" i="28"/>
  <c r="K394" i="28"/>
  <c r="K362" i="28"/>
  <c r="K330" i="28"/>
  <c r="K298" i="28"/>
  <c r="K266" i="28"/>
  <c r="K234" i="28"/>
  <c r="K202" i="28"/>
  <c r="K170" i="28"/>
  <c r="K139" i="28"/>
  <c r="K115" i="28"/>
  <c r="K96" i="28"/>
  <c r="K74" i="28"/>
  <c r="K62" i="28"/>
  <c r="K48" i="28"/>
  <c r="K35" i="28"/>
  <c r="K25" i="28"/>
  <c r="K31" i="28"/>
  <c r="K538" i="28"/>
  <c r="K314" i="28"/>
  <c r="K154" i="28"/>
  <c r="K42" i="28"/>
  <c r="K600" i="28"/>
  <c r="K408" i="28"/>
  <c r="K216" i="28"/>
  <c r="K40" i="28"/>
  <c r="K584" i="28"/>
  <c r="K552" i="28"/>
  <c r="K520" i="28"/>
  <c r="K488" i="28"/>
  <c r="K456" i="28"/>
  <c r="K424" i="28"/>
  <c r="K392" i="28"/>
  <c r="K360" i="28"/>
  <c r="K328" i="28"/>
  <c r="K296" i="28"/>
  <c r="K264" i="28"/>
  <c r="K232" i="28"/>
  <c r="K200" i="28"/>
  <c r="K168" i="28"/>
  <c r="K138" i="28"/>
  <c r="K114" i="28"/>
  <c r="K91" i="28"/>
  <c r="K72" i="28"/>
  <c r="K59" i="28"/>
  <c r="K47" i="28"/>
  <c r="K34" i="28"/>
  <c r="K24" i="28"/>
  <c r="K71" i="28"/>
  <c r="K46" i="28"/>
  <c r="K21" i="28"/>
  <c r="K474" i="28"/>
  <c r="K346" i="28"/>
  <c r="K218" i="28"/>
  <c r="K106" i="28"/>
  <c r="K55" i="28"/>
  <c r="K568" i="28"/>
  <c r="K440" i="28"/>
  <c r="K280" i="28"/>
  <c r="K184" i="28"/>
  <c r="K66" i="28"/>
  <c r="K610" i="28"/>
  <c r="K578" i="28"/>
  <c r="K546" i="28"/>
  <c r="K514" i="28"/>
  <c r="K482" i="28"/>
  <c r="K450" i="28"/>
  <c r="K418" i="28"/>
  <c r="K386" i="28"/>
  <c r="K354" i="28"/>
  <c r="K322" i="28"/>
  <c r="K290" i="28"/>
  <c r="K258" i="28"/>
  <c r="K226" i="28"/>
  <c r="K194" i="28"/>
  <c r="K162" i="28"/>
  <c r="K136" i="28"/>
  <c r="K112" i="28"/>
  <c r="K90" i="28"/>
  <c r="K58" i="28"/>
  <c r="K32" i="28"/>
  <c r="K602" i="28"/>
  <c r="K442" i="28"/>
  <c r="K282" i="28"/>
  <c r="K128" i="28"/>
  <c r="K30" i="28"/>
  <c r="K504" i="28"/>
  <c r="K344" i="28"/>
  <c r="K152" i="28"/>
  <c r="K608" i="28"/>
  <c r="K576" i="28"/>
  <c r="K544" i="28"/>
  <c r="K512" i="28"/>
  <c r="K480" i="28"/>
  <c r="K448" i="28"/>
  <c r="K416" i="28"/>
  <c r="K384" i="28"/>
  <c r="K352" i="28"/>
  <c r="K320" i="28"/>
  <c r="K288" i="28"/>
  <c r="K256" i="28"/>
  <c r="K224" i="28"/>
  <c r="K192" i="28"/>
  <c r="K160" i="28"/>
  <c r="K130" i="28"/>
  <c r="K107" i="28"/>
  <c r="K88" i="28"/>
  <c r="K70" i="28"/>
  <c r="K56" i="28"/>
  <c r="K43" i="28"/>
  <c r="K506" i="28"/>
  <c r="K378" i="28"/>
  <c r="K186" i="28"/>
  <c r="K67" i="28"/>
  <c r="K536" i="28"/>
  <c r="K312" i="28"/>
  <c r="K104" i="28"/>
  <c r="K17" i="28"/>
  <c r="K624" i="28"/>
  <c r="K625" i="28"/>
  <c r="K627" i="28"/>
  <c r="K629" i="28"/>
  <c r="BN223" i="28"/>
  <c r="BO223" i="28" s="1"/>
  <c r="BN476" i="28"/>
  <c r="BO476" i="28" s="1"/>
  <c r="BN36" i="28"/>
  <c r="BO36" i="28" s="1"/>
  <c r="BN102" i="28"/>
  <c r="BO102" i="28" s="1"/>
  <c r="BN407" i="28"/>
  <c r="BO407" i="28" s="1"/>
  <c r="BN597" i="28"/>
  <c r="BO597" i="28" s="1"/>
  <c r="BN367" i="28"/>
  <c r="BO367" i="28" s="1"/>
  <c r="BN281" i="28"/>
  <c r="BO281" i="28" s="1"/>
  <c r="BN591" i="28"/>
  <c r="BO591" i="28" s="1"/>
  <c r="BN379" i="28"/>
  <c r="BO379" i="28" s="1"/>
  <c r="BN230" i="28"/>
  <c r="BO230" i="28" s="1"/>
  <c r="BN240" i="28"/>
  <c r="BO240" i="28" s="1"/>
  <c r="BN464" i="28"/>
  <c r="BO464" i="28" s="1"/>
  <c r="BN376" i="28"/>
  <c r="BO376" i="28" s="1"/>
  <c r="BN127" i="28"/>
  <c r="BO127" i="28" s="1"/>
  <c r="BN15" i="28"/>
  <c r="BO15" i="28" s="1"/>
  <c r="BN254" i="28"/>
  <c r="BO254" i="28" s="1"/>
  <c r="BN529" i="28"/>
  <c r="BO529" i="28" s="1"/>
  <c r="BN607" i="28"/>
  <c r="BO607" i="28" s="1"/>
  <c r="BN169" i="28"/>
  <c r="BO169" i="28" s="1"/>
  <c r="BN284" i="28"/>
  <c r="BO284" i="28" s="1"/>
  <c r="BN486" i="28"/>
  <c r="BO486" i="28" s="1"/>
  <c r="BN358" i="28"/>
  <c r="BO358" i="28" s="1"/>
  <c r="BN336" i="28"/>
  <c r="BO336" i="28" s="1"/>
  <c r="BN570" i="28"/>
  <c r="BO570" i="28" s="1"/>
  <c r="BN106" i="28"/>
  <c r="BO106" i="28" s="1"/>
  <c r="BN238" i="28"/>
  <c r="BO238" i="28" s="1"/>
  <c r="BN291" i="28"/>
  <c r="BO291" i="28" s="1"/>
  <c r="BN337" i="28"/>
  <c r="BO337" i="28" s="1"/>
  <c r="BN427" i="28"/>
  <c r="BO427" i="28" s="1"/>
  <c r="BN610" i="28"/>
  <c r="BO610" i="28" s="1"/>
  <c r="BN574" i="28"/>
  <c r="BO574" i="28" s="1"/>
  <c r="BN383" i="28"/>
  <c r="BO383" i="28" s="1"/>
  <c r="BN479" i="28"/>
  <c r="BO479" i="28" s="1"/>
  <c r="BN225" i="28"/>
  <c r="BO225" i="28" s="1"/>
  <c r="BN505" i="28"/>
  <c r="BO505" i="28" s="1"/>
  <c r="BN577" i="28"/>
  <c r="BO577" i="28" s="1"/>
  <c r="BN276" i="28"/>
  <c r="BO276" i="28" s="1"/>
  <c r="BN542" i="28"/>
  <c r="BO542" i="28" s="1"/>
  <c r="BN235" i="28"/>
  <c r="BO235" i="28" s="1"/>
  <c r="BN92" i="28"/>
  <c r="BO92" i="28" s="1"/>
  <c r="BN162" i="28"/>
  <c r="BO162" i="28" s="1"/>
  <c r="BN533" i="28"/>
  <c r="BO533" i="28" s="1"/>
  <c r="BN405" i="28"/>
  <c r="BO405" i="28" s="1"/>
  <c r="BN210" i="28"/>
  <c r="BO210" i="28" s="1"/>
  <c r="BN346" i="28"/>
  <c r="BO346" i="28" s="1"/>
  <c r="BN272" i="28"/>
  <c r="BO272" i="28" s="1"/>
  <c r="BN339" i="28"/>
  <c r="BO339" i="28" s="1"/>
  <c r="BN508" i="28"/>
  <c r="BO508" i="28" s="1"/>
  <c r="BN595" i="28"/>
  <c r="BO595" i="28" s="1"/>
  <c r="BN213" i="28"/>
  <c r="BO213" i="28" s="1"/>
  <c r="BN325" i="28"/>
  <c r="BO325" i="28" s="1"/>
  <c r="BN39" i="28"/>
  <c r="BO39" i="28" s="1"/>
  <c r="BN47" i="28"/>
  <c r="BO47" i="28" s="1"/>
  <c r="BN118" i="28"/>
  <c r="BO118" i="28" s="1"/>
  <c r="BN205" i="28"/>
  <c r="BO205" i="28" s="1"/>
  <c r="BN147" i="28"/>
  <c r="BO147" i="28" s="1"/>
  <c r="BN335" i="28"/>
  <c r="BO335" i="28" s="1"/>
  <c r="BN424" i="28"/>
  <c r="BO424" i="28" s="1"/>
  <c r="BN206" i="28"/>
  <c r="BO206" i="28" s="1"/>
  <c r="BN543" i="28"/>
  <c r="BO543" i="28" s="1"/>
  <c r="BN214" i="28"/>
  <c r="BO214" i="28" s="1"/>
  <c r="BN48" i="28"/>
  <c r="BO48" i="28" s="1"/>
  <c r="BN538" i="28"/>
  <c r="BO538" i="28" s="1"/>
  <c r="BN389" i="28"/>
  <c r="BO389" i="28" s="1"/>
  <c r="BN535" i="28"/>
  <c r="BO535" i="28" s="1"/>
  <c r="BN311" i="28"/>
  <c r="BO311" i="28" s="1"/>
  <c r="BN348" i="28"/>
  <c r="BO348" i="28" s="1"/>
  <c r="BN194" i="28"/>
  <c r="BO194" i="28" s="1"/>
  <c r="BN150" i="28"/>
  <c r="BO150" i="28" s="1"/>
  <c r="BN515" i="28"/>
  <c r="BO515" i="28" s="1"/>
  <c r="BN273" i="28"/>
  <c r="BO273" i="28" s="1"/>
  <c r="BN468" i="28"/>
  <c r="BO468" i="28" s="1"/>
  <c r="BN122" i="28"/>
  <c r="BO122" i="28" s="1"/>
  <c r="BN554" i="28"/>
  <c r="BO554" i="28" s="1"/>
  <c r="BN107" i="28"/>
  <c r="BO107" i="28" s="1"/>
  <c r="BN148" i="28"/>
  <c r="BO148" i="28" s="1"/>
  <c r="BN243" i="28"/>
  <c r="BO243" i="28" s="1"/>
  <c r="BN268" i="28"/>
  <c r="BO268" i="28" s="1"/>
  <c r="BN387" i="28"/>
  <c r="BO387" i="28" s="1"/>
  <c r="BN459" i="28"/>
  <c r="BO459" i="28" s="1"/>
  <c r="BN96" i="28"/>
  <c r="BO96" i="28" s="1"/>
  <c r="BN261" i="28"/>
  <c r="BO261" i="28" s="1"/>
  <c r="BN422" i="28"/>
  <c r="BO422" i="28" s="1"/>
  <c r="BN314" i="28"/>
  <c r="BO314" i="28" s="1"/>
  <c r="BN119" i="28"/>
  <c r="BO119" i="28" s="1"/>
  <c r="BN51" i="28"/>
  <c r="BO51" i="28" s="1"/>
  <c r="BN104" i="28"/>
  <c r="BO104" i="28" s="1"/>
  <c r="BN557" i="28"/>
  <c r="BO557" i="28" s="1"/>
  <c r="BN320" i="28"/>
  <c r="BO320" i="28" s="1"/>
  <c r="BN391" i="28"/>
  <c r="BO391" i="28" s="1"/>
  <c r="BN82" i="28"/>
  <c r="BO82" i="28" s="1"/>
  <c r="BN167" i="28"/>
  <c r="BO167" i="28" s="1"/>
  <c r="BN130" i="28"/>
  <c r="BO130" i="28" s="1"/>
  <c r="BN509" i="28"/>
  <c r="BO509" i="28" s="1"/>
  <c r="BN340" i="28"/>
  <c r="BO340" i="28" s="1"/>
  <c r="BN428" i="28"/>
  <c r="BO428" i="28" s="1"/>
  <c r="BN326" i="28"/>
  <c r="BO326" i="28" s="1"/>
  <c r="BN191" i="28"/>
  <c r="BO191" i="28" s="1"/>
  <c r="BN369" i="28"/>
  <c r="BO369" i="28" s="1"/>
  <c r="BN399" i="28"/>
  <c r="BO399" i="28" s="1"/>
  <c r="BN438" i="28"/>
  <c r="BO438" i="28" s="1"/>
  <c r="BN259" i="28"/>
  <c r="BO259" i="28" s="1"/>
  <c r="BN185" i="28"/>
  <c r="BO185" i="28" s="1"/>
  <c r="BN410" i="28"/>
  <c r="BO410" i="28" s="1"/>
  <c r="BN611" i="28"/>
  <c r="BO611" i="28" s="1"/>
  <c r="BN247" i="28"/>
  <c r="BO247" i="28" s="1"/>
  <c r="BN448" i="28"/>
  <c r="BO448" i="28" s="1"/>
  <c r="BN132" i="28"/>
  <c r="BO132" i="28" s="1"/>
  <c r="BN495" i="28"/>
  <c r="BO495" i="28" s="1"/>
  <c r="BN525" i="28"/>
  <c r="BO525" i="28" s="1"/>
  <c r="BN173" i="28"/>
  <c r="BO173" i="28" s="1"/>
  <c r="BN412" i="28"/>
  <c r="BO412" i="28" s="1"/>
  <c r="BN76" i="28"/>
  <c r="BO76" i="28" s="1"/>
  <c r="BN435" i="28"/>
  <c r="BO435" i="28" s="1"/>
  <c r="BN483" i="28"/>
  <c r="BO483" i="28" s="1"/>
  <c r="BN455" i="28"/>
  <c r="BO455" i="28" s="1"/>
  <c r="BN265" i="28"/>
  <c r="BO265" i="28" s="1"/>
  <c r="BN584" i="28"/>
  <c r="BO584" i="28" s="1"/>
  <c r="BN305" i="28"/>
  <c r="BO305" i="28" s="1"/>
  <c r="BN135" i="28"/>
  <c r="BO135" i="28" s="1"/>
  <c r="BN196" i="28"/>
  <c r="BO196" i="28" s="1"/>
  <c r="BN228" i="28"/>
  <c r="BO228" i="28" s="1"/>
  <c r="BN44" i="28"/>
  <c r="BO44" i="28" s="1"/>
  <c r="BN278" i="28"/>
  <c r="BO278" i="28" s="1"/>
  <c r="BN589" i="28"/>
  <c r="BO589" i="28" s="1"/>
  <c r="BN179" i="28"/>
  <c r="BO179" i="28" s="1"/>
  <c r="BN602" i="28"/>
  <c r="BO602" i="28" s="1"/>
  <c r="BN29" i="28"/>
  <c r="BO29" i="28" s="1"/>
  <c r="BN78" i="28"/>
  <c r="BO78" i="28" s="1"/>
  <c r="BN111" i="28"/>
  <c r="BO111" i="28" s="1"/>
  <c r="BN296" i="28"/>
  <c r="BO296" i="28" s="1"/>
  <c r="BN561" i="28"/>
  <c r="BO561" i="28" s="1"/>
  <c r="BN134" i="28"/>
  <c r="BO134" i="28" s="1"/>
  <c r="BN521" i="28"/>
  <c r="BO521" i="28" s="1"/>
  <c r="BN251" i="28"/>
  <c r="BO251" i="28" s="1"/>
  <c r="BN585" i="28"/>
  <c r="BO585" i="28" s="1"/>
  <c r="BN351" i="28"/>
  <c r="BO351" i="28" s="1"/>
  <c r="BN24" i="28"/>
  <c r="BO24" i="28" s="1"/>
  <c r="BN575" i="28"/>
  <c r="BO575" i="28" s="1"/>
  <c r="BN490" i="28"/>
  <c r="BO490" i="28" s="1"/>
  <c r="BN54" i="28"/>
  <c r="BO54" i="28" s="1"/>
  <c r="BN463" i="28"/>
  <c r="BO463" i="28" s="1"/>
  <c r="BN421" i="28"/>
  <c r="BO421" i="28" s="1"/>
  <c r="BN482" i="28"/>
  <c r="BO482" i="28" s="1"/>
  <c r="BN312" i="28"/>
  <c r="BO312" i="28" s="1"/>
  <c r="BN368" i="28"/>
  <c r="BO368" i="28" s="1"/>
  <c r="BN50" i="28"/>
  <c r="BO50" i="28" s="1"/>
  <c r="BN477" i="28"/>
  <c r="BO477" i="28" s="1"/>
  <c r="BN555" i="28"/>
  <c r="BO555" i="28" s="1"/>
  <c r="BN537" i="28"/>
  <c r="BO537" i="28" s="1"/>
  <c r="BN469" i="28"/>
  <c r="BO469" i="28" s="1"/>
  <c r="BN184" i="28"/>
  <c r="BO184" i="28" s="1"/>
  <c r="BN423" i="28"/>
  <c r="BO423" i="28" s="1"/>
  <c r="BN599" i="28"/>
  <c r="BO599" i="28" s="1"/>
  <c r="BN195" i="28"/>
  <c r="BO195" i="28" s="1"/>
  <c r="BN583" i="28"/>
  <c r="BO583" i="28" s="1"/>
  <c r="BN149" i="28"/>
  <c r="BO149" i="28" s="1"/>
  <c r="BN406" i="28"/>
  <c r="BO406" i="28" s="1"/>
  <c r="BN494" i="28"/>
  <c r="BO494" i="28" s="1"/>
  <c r="BN418" i="28"/>
  <c r="BO418" i="28" s="1"/>
  <c r="BN401" i="28"/>
  <c r="BO401" i="28" s="1"/>
  <c r="BN522" i="28"/>
  <c r="BO522" i="28" s="1"/>
  <c r="BN267" i="28"/>
  <c r="BO267" i="28" s="1"/>
  <c r="BN269" i="28"/>
  <c r="BO269" i="28" s="1"/>
  <c r="BN409" i="28"/>
  <c r="BO409" i="28" s="1"/>
  <c r="BN80" i="28"/>
  <c r="BO80" i="28" s="1"/>
  <c r="BN55" i="28"/>
  <c r="BO55" i="28" s="1"/>
  <c r="BN303" i="28"/>
  <c r="BO303" i="28" s="1"/>
  <c r="BN77" i="28"/>
  <c r="BO77" i="28" s="1"/>
  <c r="BN131" i="28"/>
  <c r="BO131" i="28" s="1"/>
  <c r="BN489" i="28"/>
  <c r="BO489" i="28" s="1"/>
  <c r="BN110" i="28"/>
  <c r="BO110" i="28" s="1"/>
  <c r="BN182" i="28"/>
  <c r="BO182" i="28" s="1"/>
  <c r="BN454" i="28"/>
  <c r="BO454" i="28" s="1"/>
  <c r="BN53" i="28"/>
  <c r="BO53" i="28" s="1"/>
  <c r="BN75" i="28"/>
  <c r="BO75" i="28" s="1"/>
  <c r="BN172" i="28"/>
  <c r="BO172" i="28" s="1"/>
  <c r="BN64" i="28"/>
  <c r="BO64" i="28" s="1"/>
  <c r="BN524" i="28"/>
  <c r="BO524" i="28" s="1"/>
  <c r="BN129" i="28"/>
  <c r="BO129" i="28" s="1"/>
  <c r="BN545" i="28"/>
  <c r="BO545" i="28" s="1"/>
  <c r="BN465" i="28"/>
  <c r="BO465" i="28" s="1"/>
  <c r="BN250" i="28"/>
  <c r="BO250" i="28" s="1"/>
  <c r="BN511" i="28"/>
  <c r="BO511" i="28" s="1"/>
  <c r="BN260" i="28"/>
  <c r="BO260" i="28" s="1"/>
  <c r="BN375" i="28"/>
  <c r="BO375" i="28" s="1"/>
  <c r="BN559" i="28"/>
  <c r="BO559" i="28" s="1"/>
  <c r="BN457" i="28"/>
  <c r="BO457" i="28" s="1"/>
  <c r="BN347" i="28"/>
  <c r="BO347" i="28" s="1"/>
  <c r="BN564" i="28"/>
  <c r="BO564" i="28" s="1"/>
  <c r="BN255" i="28"/>
  <c r="BO255" i="28" s="1"/>
  <c r="BN14" i="28"/>
  <c r="BO14" i="28" s="1"/>
  <c r="BN151" i="28"/>
  <c r="BO151" i="28" s="1"/>
  <c r="BN569" i="28"/>
  <c r="BO569" i="28" s="1"/>
  <c r="BN105" i="28"/>
  <c r="BO105" i="28" s="1"/>
  <c r="BN373" i="28"/>
  <c r="BO373" i="28" s="1"/>
  <c r="BN546" i="28"/>
  <c r="BO546" i="28" s="1"/>
  <c r="BN28" i="28"/>
  <c r="BO28" i="28" s="1"/>
  <c r="BN283" i="28"/>
  <c r="BO283" i="28" s="1"/>
  <c r="BN380" i="28"/>
  <c r="BO380" i="28" s="1"/>
  <c r="BN333" i="28"/>
  <c r="BO333" i="28" s="1"/>
  <c r="BN91" i="28"/>
  <c r="BO91" i="28" s="1"/>
  <c r="BN458" i="28"/>
  <c r="BO458" i="28" s="1"/>
  <c r="BN16" i="28"/>
  <c r="BO16" i="28" s="1"/>
  <c r="BN576" i="28"/>
  <c r="BO576" i="28" s="1"/>
  <c r="BN81" i="28"/>
  <c r="BO81" i="28" s="1"/>
  <c r="BN382" i="28"/>
  <c r="BO382" i="28" s="1"/>
  <c r="BN289" i="28"/>
  <c r="BO289" i="28" s="1"/>
  <c r="BN212" i="28"/>
  <c r="BO212" i="28" s="1"/>
  <c r="BN526" i="28"/>
  <c r="BO526" i="28" s="1"/>
  <c r="BN275" i="28"/>
  <c r="BO275" i="28" s="1"/>
  <c r="BN209" i="28"/>
  <c r="BO209" i="28" s="1"/>
  <c r="BN578" i="28"/>
  <c r="BO578" i="28" s="1"/>
  <c r="BN484" i="28"/>
  <c r="BO484" i="28" s="1"/>
  <c r="BN46" i="28"/>
  <c r="BO46" i="28" s="1"/>
  <c r="BN299" i="28"/>
  <c r="BO299" i="28" s="1"/>
  <c r="BN352" i="28"/>
  <c r="BO352" i="28" s="1"/>
  <c r="BN204" i="28"/>
  <c r="BO204" i="28" s="1"/>
  <c r="BN609" i="28"/>
  <c r="BO609" i="28" s="1"/>
  <c r="BN126" i="28"/>
  <c r="BO126" i="28" s="1"/>
  <c r="BN161" i="28"/>
  <c r="BO161" i="28" s="1"/>
  <c r="BN532" i="28"/>
  <c r="BO532" i="28" s="1"/>
  <c r="BN485" i="28"/>
  <c r="BO485" i="28" s="1"/>
  <c r="BN560" i="28"/>
  <c r="BO560" i="28" s="1"/>
  <c r="BN117" i="28"/>
  <c r="BO117" i="28" s="1"/>
  <c r="BN168" i="28"/>
  <c r="BO168" i="28" s="1"/>
  <c r="BN556" i="28"/>
  <c r="BO556" i="28" s="1"/>
  <c r="BN606" i="28"/>
  <c r="BO606" i="28" s="1"/>
  <c r="BN324" i="28"/>
  <c r="BO324" i="28" s="1"/>
  <c r="BN338" i="28"/>
  <c r="BO338" i="28" s="1"/>
  <c r="BN38" i="28"/>
  <c r="BO38" i="28" s="1"/>
  <c r="BN224" i="28"/>
  <c r="BO224" i="28" s="1"/>
  <c r="BN163" i="28"/>
  <c r="BO163" i="28" s="1"/>
  <c r="BN507" i="28"/>
  <c r="BO507" i="28" s="1"/>
  <c r="BN541" i="28"/>
  <c r="BO541" i="28" s="1"/>
  <c r="BN274" i="28"/>
  <c r="BO274" i="28" s="1"/>
  <c r="BN608" i="28"/>
  <c r="BO608" i="28" s="1"/>
  <c r="BN124" i="28"/>
  <c r="BO124" i="28" s="1"/>
  <c r="BN263" i="28"/>
  <c r="BO263" i="28" s="1"/>
  <c r="BN506" i="28"/>
  <c r="BO506" i="28" s="1"/>
  <c r="BN197" i="28"/>
  <c r="BO197" i="28" s="1"/>
  <c r="BN125" i="28"/>
  <c r="BO125" i="28" s="1"/>
  <c r="BN549" i="28"/>
  <c r="BO549" i="28" s="1"/>
  <c r="BN403" i="28"/>
  <c r="BO403" i="28" s="1"/>
  <c r="BN571" i="28"/>
  <c r="BO571" i="28" s="1"/>
  <c r="BN331" i="28"/>
  <c r="BO331" i="28" s="1"/>
  <c r="BN231" i="28"/>
  <c r="BO231" i="28" s="1"/>
  <c r="BN87" i="28"/>
  <c r="BO87" i="28" s="1"/>
  <c r="BN207" i="28"/>
  <c r="BO207" i="28" s="1"/>
  <c r="BN188" i="28"/>
  <c r="BO188" i="28" s="1"/>
  <c r="BN445" i="28"/>
  <c r="BO445" i="28" s="1"/>
  <c r="BN497" i="28"/>
  <c r="BO497" i="28" s="1"/>
  <c r="BN189" i="28"/>
  <c r="BO189" i="28" s="1"/>
  <c r="BN62" i="28"/>
  <c r="BO62" i="28" s="1"/>
  <c r="BN72" i="28"/>
  <c r="BO72" i="28" s="1"/>
  <c r="BN317" i="28"/>
  <c r="BO317" i="28" s="1"/>
  <c r="BN471" i="28"/>
  <c r="BO471" i="28" s="1"/>
  <c r="BN136" i="28"/>
  <c r="BO136" i="28" s="1"/>
  <c r="BN604" i="28"/>
  <c r="BO604" i="28" s="1"/>
  <c r="BN33" i="28"/>
  <c r="BO33" i="28" s="1"/>
  <c r="BN429" i="28"/>
  <c r="BO429" i="28" s="1"/>
  <c r="BN309" i="28"/>
  <c r="BO309" i="28" s="1"/>
  <c r="BN327" i="28"/>
  <c r="BO327" i="28" s="1"/>
  <c r="BN218" i="28"/>
  <c r="BO218" i="28" s="1"/>
  <c r="BN262" i="28"/>
  <c r="BO262" i="28" s="1"/>
  <c r="BN425" i="28"/>
  <c r="BO425" i="28" s="1"/>
  <c r="BN27" i="28"/>
  <c r="BO27" i="28" s="1"/>
  <c r="BN510" i="28"/>
  <c r="BO510" i="28" s="1"/>
  <c r="BN388" i="28"/>
  <c r="BO388" i="28" s="1"/>
  <c r="BN377" i="28"/>
  <c r="BO377" i="28" s="1"/>
  <c r="BN392" i="28"/>
  <c r="BO392" i="28" s="1"/>
  <c r="BN181" i="28"/>
  <c r="BO181" i="28" s="1"/>
  <c r="BN109" i="28"/>
  <c r="BO109" i="28" s="1"/>
  <c r="BN128" i="28"/>
  <c r="BO128" i="28" s="1"/>
  <c r="BN397" i="28"/>
  <c r="BO397" i="28" s="1"/>
  <c r="BN313" i="28"/>
  <c r="BO313" i="28" s="1"/>
  <c r="BN52" i="28"/>
  <c r="BO52" i="28" s="1"/>
  <c r="BN390" i="28"/>
  <c r="BO390" i="28" s="1"/>
  <c r="BN257" i="28"/>
  <c r="BO257" i="28" s="1"/>
  <c r="BN277" i="28"/>
  <c r="BO277" i="28" s="1"/>
  <c r="BN98" i="28"/>
  <c r="BO98" i="28" s="1"/>
  <c r="BN40" i="28"/>
  <c r="BO40" i="28" s="1"/>
  <c r="BN528" i="28"/>
  <c r="BO528" i="28" s="1"/>
  <c r="BN596" i="28"/>
  <c r="BO596" i="28" s="1"/>
  <c r="BN394" i="28"/>
  <c r="BO394" i="28" s="1"/>
  <c r="BN450" i="28"/>
  <c r="BO450" i="28" s="1"/>
  <c r="BN66" i="28"/>
  <c r="BO66" i="28" s="1"/>
  <c r="BN573" i="28"/>
  <c r="BO573" i="28" s="1"/>
  <c r="BN419" i="28"/>
  <c r="BO419" i="28" s="1"/>
  <c r="BN101" i="28"/>
  <c r="BO101" i="28" s="1"/>
  <c r="BN41" i="28"/>
  <c r="BO41" i="28" s="1"/>
  <c r="BN587" i="28"/>
  <c r="BO587" i="28" s="1"/>
  <c r="BN441" i="28"/>
  <c r="BO441" i="28" s="1"/>
  <c r="BN279" i="28"/>
  <c r="BO279" i="28" s="1"/>
  <c r="BN590" i="28"/>
  <c r="BO590" i="28" s="1"/>
  <c r="BN113" i="28"/>
  <c r="BO113" i="28" s="1"/>
  <c r="BN280" i="28"/>
  <c r="BO280" i="28" s="1"/>
  <c r="BN56" i="28"/>
  <c r="BO56" i="28" s="1"/>
  <c r="BN478" i="28"/>
  <c r="BO478" i="28" s="1"/>
  <c r="BN565" i="28"/>
  <c r="BO565" i="28" s="1"/>
  <c r="BN600" i="28"/>
  <c r="BO600" i="28" s="1"/>
  <c r="BN566" i="28"/>
  <c r="BO566" i="28" s="1"/>
  <c r="BN487" i="28"/>
  <c r="BO487" i="28" s="1"/>
  <c r="BN500" i="28"/>
  <c r="BO500" i="28" s="1"/>
  <c r="BN166" i="28"/>
  <c r="BO166" i="28" s="1"/>
  <c r="BN353" i="28"/>
  <c r="BO353" i="28" s="1"/>
  <c r="BN94" i="28"/>
  <c r="BO94" i="28" s="1"/>
  <c r="BN502" i="28"/>
  <c r="BO502" i="28" s="1"/>
  <c r="BN17" i="28"/>
  <c r="BO17" i="28" s="1"/>
  <c r="BN292" i="28"/>
  <c r="BO292" i="28" s="1"/>
  <c r="BN432" i="28"/>
  <c r="BO432" i="28" s="1"/>
  <c r="BN473" i="28"/>
  <c r="BO473" i="28" s="1"/>
  <c r="BN539" i="28"/>
  <c r="BO539" i="28" s="1"/>
  <c r="BN567" i="28"/>
  <c r="BO567" i="28" s="1"/>
  <c r="BN593" i="28"/>
  <c r="BO593" i="28" s="1"/>
  <c r="BN512" i="28"/>
  <c r="BO512" i="28" s="1"/>
  <c r="BN356" i="28"/>
  <c r="BO356" i="28" s="1"/>
  <c r="BN361" i="28"/>
  <c r="BO361" i="28" s="1"/>
  <c r="BN413" i="28"/>
  <c r="BO413" i="28" s="1"/>
  <c r="BN436" i="28"/>
  <c r="BO436" i="28" s="1"/>
  <c r="BN244" i="28"/>
  <c r="BO244" i="28" s="1"/>
  <c r="BN319" i="28"/>
  <c r="BO319" i="28" s="1"/>
  <c r="BN417" i="28"/>
  <c r="BO417" i="28" s="1"/>
  <c r="BN103" i="28"/>
  <c r="BO103" i="28" s="1"/>
  <c r="BN396" i="28"/>
  <c r="BO396" i="28" s="1"/>
  <c r="BN227" i="28"/>
  <c r="BO227" i="28" s="1"/>
  <c r="BN32" i="28"/>
  <c r="BO32" i="28" s="1"/>
  <c r="BN516" i="28"/>
  <c r="BO516" i="28" s="1"/>
  <c r="BN536" i="28"/>
  <c r="BO536" i="28" s="1"/>
  <c r="BN408" i="28"/>
  <c r="BO408" i="28" s="1"/>
  <c r="BN146" i="28"/>
  <c r="BO146" i="28" s="1"/>
  <c r="BN449" i="28"/>
  <c r="BO449" i="28" s="1"/>
  <c r="BN258" i="28"/>
  <c r="BO258" i="28" s="1"/>
  <c r="BN43" i="28"/>
  <c r="BO43" i="28" s="1"/>
  <c r="BN398" i="28"/>
  <c r="BO398" i="28" s="1"/>
  <c r="BN378" i="28"/>
  <c r="BO378" i="28" s="1"/>
  <c r="BN99" i="28"/>
  <c r="BO99" i="28" s="1"/>
  <c r="BN270" i="28"/>
  <c r="BO270" i="28" s="1"/>
  <c r="BN246" i="28"/>
  <c r="BO246" i="28" s="1"/>
  <c r="BN93" i="28"/>
  <c r="BO93" i="28" s="1"/>
  <c r="BN547" i="28"/>
  <c r="BO547" i="28" s="1"/>
  <c r="BN321" i="28"/>
  <c r="BO321" i="28" s="1"/>
  <c r="BN381" i="28"/>
  <c r="BO381" i="28" s="1"/>
  <c r="BN451" i="28"/>
  <c r="BO451" i="28" s="1"/>
  <c r="BN175" i="28"/>
  <c r="BO175" i="28" s="1"/>
  <c r="BN239" i="28"/>
  <c r="BO239" i="28" s="1"/>
  <c r="BN229" i="28"/>
  <c r="BO229" i="28" s="1"/>
  <c r="BN334" i="28"/>
  <c r="BO334" i="28" s="1"/>
  <c r="BN295" i="28"/>
  <c r="BO295" i="28" s="1"/>
  <c r="BN19" i="28"/>
  <c r="BO19" i="28" s="1"/>
  <c r="BN411" i="28"/>
  <c r="BO411" i="28" s="1"/>
  <c r="BN434" i="28"/>
  <c r="BO434" i="28" s="1"/>
  <c r="BN144" i="28"/>
  <c r="BO144" i="28" s="1"/>
  <c r="BN551" i="28"/>
  <c r="BO551" i="28" s="1"/>
  <c r="BN155" i="28"/>
  <c r="BO155" i="28" s="1"/>
  <c r="BN236" i="28"/>
  <c r="BO236" i="28" s="1"/>
  <c r="BN430" i="28"/>
  <c r="BO430" i="28" s="1"/>
  <c r="BN84" i="28"/>
  <c r="BO84" i="28" s="1"/>
  <c r="BN140" i="28"/>
  <c r="BO140" i="28" s="1"/>
  <c r="BN220" i="28"/>
  <c r="BO220" i="28" s="1"/>
  <c r="BN415" i="28"/>
  <c r="BO415" i="28" s="1"/>
  <c r="BN73" i="28"/>
  <c r="BO73" i="28" s="1"/>
  <c r="BN186" i="28"/>
  <c r="BO186" i="28" s="1"/>
  <c r="BN215" i="28"/>
  <c r="BO215" i="28" s="1"/>
  <c r="BN123" i="28"/>
  <c r="BO123" i="28" s="1"/>
  <c r="BN71" i="28"/>
  <c r="BO71" i="28" s="1"/>
  <c r="BN49" i="28"/>
  <c r="BO49" i="28" s="1"/>
  <c r="BN13" i="28"/>
  <c r="BN519" i="28"/>
  <c r="BO519" i="28" s="1"/>
  <c r="BN363" i="28"/>
  <c r="BO363" i="28" s="1"/>
  <c r="BN466" i="28"/>
  <c r="BO466" i="28" s="1"/>
  <c r="BN344" i="28"/>
  <c r="BO344" i="28" s="1"/>
  <c r="BN359" i="28"/>
  <c r="BO359" i="28" s="1"/>
  <c r="BN170" i="28"/>
  <c r="BO170" i="28" s="1"/>
  <c r="BN349" i="28"/>
  <c r="BO349" i="28" s="1"/>
  <c r="BN517" i="28"/>
  <c r="BO517" i="28" s="1"/>
  <c r="BN288" i="28"/>
  <c r="BO288" i="28" s="1"/>
  <c r="BN83" i="28"/>
  <c r="BO83" i="28" s="1"/>
  <c r="BN302" i="28"/>
  <c r="BO302" i="28" s="1"/>
  <c r="BN252" i="28"/>
  <c r="BO252" i="28" s="1"/>
  <c r="BN341" i="28"/>
  <c r="BO341" i="28" s="1"/>
  <c r="BN315" i="28"/>
  <c r="BO315" i="28" s="1"/>
  <c r="BN60" i="28"/>
  <c r="BO60" i="28" s="1"/>
  <c r="BN306" i="28"/>
  <c r="BO306" i="28" s="1"/>
  <c r="BN160" i="28"/>
  <c r="BO160" i="28" s="1"/>
  <c r="BN201" i="28"/>
  <c r="BO201" i="28" s="1"/>
  <c r="BN316" i="28"/>
  <c r="BO316" i="28" s="1"/>
  <c r="BN329" i="28"/>
  <c r="BO329" i="28" s="1"/>
  <c r="BN452" i="28"/>
  <c r="BO452" i="28" s="1"/>
  <c r="BN233" i="28"/>
  <c r="BO233" i="28" s="1"/>
  <c r="BN461" i="28"/>
  <c r="BO461" i="28" s="1"/>
  <c r="BN115" i="28"/>
  <c r="BO115" i="28" s="1"/>
  <c r="BN108" i="28"/>
  <c r="BO108" i="28" s="1"/>
  <c r="BN70" i="28"/>
  <c r="BO70" i="28" s="1"/>
  <c r="BN249" i="28"/>
  <c r="BO249" i="28" s="1"/>
  <c r="BN323" i="28"/>
  <c r="BO323" i="28" s="1"/>
  <c r="BN154" i="28"/>
  <c r="BO154" i="28" s="1"/>
  <c r="BN586" i="28"/>
  <c r="BO586" i="28" s="1"/>
  <c r="BN598" i="28"/>
  <c r="BO598" i="28" s="1"/>
  <c r="BN193" i="28"/>
  <c r="BO193" i="28" s="1"/>
  <c r="BN370" i="28"/>
  <c r="BO370" i="28" s="1"/>
  <c r="BN426" i="28"/>
  <c r="BO426" i="28" s="1"/>
  <c r="BN371" i="28"/>
  <c r="BO371" i="28" s="1"/>
  <c r="BN157" i="28"/>
  <c r="BO157" i="28" s="1"/>
  <c r="BN355" i="28"/>
  <c r="BO355" i="28" s="1"/>
  <c r="BN121" i="28"/>
  <c r="BO121" i="28" s="1"/>
  <c r="BN470" i="28"/>
  <c r="BO470" i="28" s="1"/>
  <c r="BN393" i="28"/>
  <c r="BO393" i="28" s="1"/>
  <c r="BN241" i="28"/>
  <c r="BO241" i="28" s="1"/>
  <c r="BN581" i="28"/>
  <c r="BO581" i="28" s="1"/>
  <c r="BN447" i="28"/>
  <c r="BO447" i="28" s="1"/>
  <c r="BN603" i="28"/>
  <c r="BO603" i="28" s="1"/>
  <c r="BN530" i="28"/>
  <c r="BO530" i="28" s="1"/>
  <c r="BN523" i="28"/>
  <c r="BO523" i="28" s="1"/>
  <c r="BN139" i="28"/>
  <c r="BO139" i="28" s="1"/>
  <c r="BN89" i="28"/>
  <c r="BO89" i="28" s="1"/>
  <c r="BN198" i="28"/>
  <c r="BO198" i="28" s="1"/>
  <c r="BN460" i="28"/>
  <c r="BO460" i="28" s="1"/>
  <c r="BN613" i="28"/>
  <c r="BO613" i="28" s="1"/>
  <c r="BN612" i="28"/>
  <c r="BO612" i="28" s="1"/>
  <c r="BN176" i="28"/>
  <c r="BO176" i="28" s="1"/>
  <c r="BN364" i="28"/>
  <c r="BO364" i="28" s="1"/>
  <c r="BN442" i="28"/>
  <c r="BO442" i="28" s="1"/>
  <c r="BN152" i="28"/>
  <c r="BO152" i="28" s="1"/>
  <c r="BN285" i="28"/>
  <c r="BO285" i="28" s="1"/>
  <c r="BN501" i="28"/>
  <c r="BO501" i="28" s="1"/>
  <c r="BN439" i="28"/>
  <c r="BO439" i="28" s="1"/>
  <c r="BN67" i="28"/>
  <c r="BO67" i="28" s="1"/>
  <c r="BN21" i="28"/>
  <c r="BO21" i="28" s="1"/>
  <c r="BN25" i="28"/>
  <c r="BO25" i="28" s="1"/>
  <c r="BN480" i="28"/>
  <c r="BO480" i="28" s="1"/>
  <c r="BN286" i="28"/>
  <c r="BO286" i="28" s="1"/>
  <c r="BN579" i="28"/>
  <c r="BO579" i="28" s="1"/>
  <c r="BN384" i="28"/>
  <c r="BO384" i="28" s="1"/>
  <c r="BN216" i="28"/>
  <c r="BO216" i="28" s="1"/>
  <c r="BN58" i="28"/>
  <c r="BO58" i="28" s="1"/>
  <c r="BN158" i="28"/>
  <c r="BO158" i="28" s="1"/>
  <c r="BN300" i="28"/>
  <c r="BO300" i="28" s="1"/>
  <c r="BN492" i="28"/>
  <c r="BO492" i="28" s="1"/>
  <c r="N6" i="26"/>
  <c r="N9" i="26" s="1"/>
  <c r="B311" i="2"/>
  <c r="B23" i="2"/>
  <c r="B478" i="2"/>
  <c r="B375" i="2"/>
  <c r="B308" i="2"/>
  <c r="N3" i="17"/>
  <c r="N5" i="17" s="1"/>
  <c r="H3" i="8"/>
  <c r="N4" i="29" l="1"/>
  <c r="N2" i="29"/>
  <c r="N5" i="29" s="1"/>
  <c r="D626" i="28"/>
  <c r="R5" i="28"/>
  <c r="G636" i="28"/>
  <c r="BO13" i="28"/>
  <c r="BO9" i="28" s="1"/>
  <c r="BO8" i="28"/>
  <c r="N14" i="8"/>
  <c r="G3" i="8" s="1"/>
  <c r="B626" i="17"/>
  <c r="C636" i="17"/>
  <c r="T3" i="29" l="1"/>
  <c r="R3" i="29"/>
  <c r="R4" i="29" s="1"/>
  <c r="R2" i="29"/>
  <c r="P3" i="29"/>
  <c r="P4" i="29" s="1"/>
  <c r="T2" i="29"/>
  <c r="G9" i="29" s="1"/>
  <c r="G15" i="29" s="1"/>
  <c r="P2" i="29"/>
  <c r="N6" i="29"/>
  <c r="T5" i="29"/>
  <c r="K626" i="28"/>
  <c r="AM626" i="28"/>
  <c r="AJ626" i="28"/>
  <c r="AP626" i="28"/>
  <c r="B515" i="2"/>
  <c r="B239" i="2"/>
  <c r="B241" i="2" s="1"/>
  <c r="B242" i="2" s="1"/>
  <c r="B249" i="2"/>
  <c r="T4" i="29" l="1"/>
  <c r="G10" i="29" s="1"/>
  <c r="G16" i="29" s="1"/>
  <c r="H9" i="29"/>
  <c r="H15" i="29" s="1"/>
  <c r="H10" i="29"/>
  <c r="H16" i="29" s="1"/>
  <c r="T6" i="29"/>
  <c r="H11" i="29"/>
  <c r="H17" i="29" s="1"/>
  <c r="G11" i="29"/>
  <c r="G17" i="29" s="1"/>
  <c r="AS626" i="28"/>
  <c r="AR626" i="28"/>
  <c r="AQ626" i="28"/>
  <c r="AL626" i="28"/>
  <c r="AK626" i="28"/>
  <c r="AO626" i="28"/>
  <c r="AN626" i="28"/>
  <c r="F83" i="1"/>
  <c r="F10" i="29" l="1"/>
  <c r="F16" i="29" s="1"/>
  <c r="F11" i="29"/>
  <c r="F9" i="29"/>
  <c r="F15" i="29" s="1"/>
  <c r="AT626" i="28"/>
  <c r="AU626" i="28"/>
  <c r="BC626" i="28"/>
  <c r="BB626" i="28"/>
  <c r="F17" i="29" l="1"/>
  <c r="M56" i="29"/>
  <c r="M75" i="29"/>
  <c r="M40" i="29"/>
  <c r="M32" i="29"/>
  <c r="W15" i="29"/>
  <c r="B202" i="2"/>
  <c r="B380" i="2"/>
  <c r="B384" i="2" s="1"/>
  <c r="B12" i="2"/>
  <c r="B13" i="2"/>
  <c r="B75" i="2"/>
  <c r="B212" i="2"/>
  <c r="B464" i="2"/>
  <c r="B435" i="2"/>
  <c r="B490" i="2"/>
  <c r="B497" i="2"/>
  <c r="B76" i="2"/>
  <c r="B7" i="2"/>
  <c r="B218" i="2"/>
  <c r="B22" i="33" s="1"/>
  <c r="B430" i="2"/>
  <c r="B447" i="2"/>
  <c r="B396" i="2"/>
  <c r="N9" i="8" s="1"/>
  <c r="B460" i="2"/>
  <c r="B463" i="2"/>
  <c r="B457" i="2"/>
  <c r="B432" i="2"/>
  <c r="B449" i="2"/>
  <c r="B458" i="2"/>
  <c r="B440" i="2"/>
  <c r="B433" i="2"/>
  <c r="B434" i="2"/>
  <c r="B437" i="2"/>
  <c r="B436" i="2"/>
  <c r="B537" i="2"/>
  <c r="B443" i="2"/>
  <c r="B413" i="2"/>
  <c r="B223" i="2"/>
  <c r="B431" i="2"/>
  <c r="B448" i="2"/>
  <c r="D6" i="6"/>
  <c r="D7" i="6"/>
  <c r="D9" i="6"/>
  <c r="D10" i="6"/>
  <c r="D2" i="11"/>
  <c r="D3" i="11"/>
  <c r="B5" i="11"/>
  <c r="D5" i="11" s="1"/>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48" i="8" s="1"/>
  <c r="A60" i="8" s="1"/>
  <c r="A72" i="8" s="1"/>
  <c r="A84" i="8" s="1"/>
  <c r="A96" i="8" s="1"/>
  <c r="A108" i="8" s="1"/>
  <c r="A120" i="8" s="1"/>
  <c r="A132" i="8" s="1"/>
  <c r="A144" i="8" s="1"/>
  <c r="A156" i="8" s="1"/>
  <c r="A37" i="8"/>
  <c r="A49" i="8" s="1"/>
  <c r="A61" i="8" s="1"/>
  <c r="A73" i="8" s="1"/>
  <c r="A85" i="8" s="1"/>
  <c r="A97" i="8" s="1"/>
  <c r="A109" i="8" s="1"/>
  <c r="A121" i="8" s="1"/>
  <c r="A133" i="8" s="1"/>
  <c r="A145" i="8" s="1"/>
  <c r="A157" i="8" s="1"/>
  <c r="A38" i="8"/>
  <c r="A39" i="8"/>
  <c r="A40" i="8"/>
  <c r="A41" i="8"/>
  <c r="A42" i="8"/>
  <c r="A54" i="8" s="1"/>
  <c r="A66" i="8" s="1"/>
  <c r="A78" i="8" s="1"/>
  <c r="A90" i="8" s="1"/>
  <c r="A102" i="8" s="1"/>
  <c r="A114" i="8" s="1"/>
  <c r="A126" i="8" s="1"/>
  <c r="A138" i="8" s="1"/>
  <c r="A150" i="8" s="1"/>
  <c r="A43" i="8"/>
  <c r="A55" i="8" s="1"/>
  <c r="A67" i="8" s="1"/>
  <c r="A79" i="8" s="1"/>
  <c r="A91" i="8" s="1"/>
  <c r="A103" i="8" s="1"/>
  <c r="A115" i="8" s="1"/>
  <c r="A127" i="8" s="1"/>
  <c r="A139" i="8" s="1"/>
  <c r="A151" i="8" s="1"/>
  <c r="A44" i="8"/>
  <c r="A56" i="8" s="1"/>
  <c r="A68" i="8" s="1"/>
  <c r="A80" i="8" s="1"/>
  <c r="A92" i="8" s="1"/>
  <c r="A104" i="8" s="1"/>
  <c r="A116" i="8" s="1"/>
  <c r="A128" i="8" s="1"/>
  <c r="A140" i="8" s="1"/>
  <c r="A152" i="8" s="1"/>
  <c r="A45" i="8"/>
  <c r="A57" i="8" s="1"/>
  <c r="A69" i="8" s="1"/>
  <c r="A81" i="8" s="1"/>
  <c r="A93" i="8" s="1"/>
  <c r="A105" i="8" s="1"/>
  <c r="A117" i="8" s="1"/>
  <c r="A129" i="8" s="1"/>
  <c r="A141" i="8" s="1"/>
  <c r="A153" i="8" s="1"/>
  <c r="A50" i="8"/>
  <c r="A62" i="8" s="1"/>
  <c r="A74" i="8" s="1"/>
  <c r="A86" i="8" s="1"/>
  <c r="A98" i="8" s="1"/>
  <c r="A110" i="8" s="1"/>
  <c r="A122" i="8" s="1"/>
  <c r="A134" i="8" s="1"/>
  <c r="A146" i="8" s="1"/>
  <c r="A158" i="8" s="1"/>
  <c r="A51" i="8"/>
  <c r="A63" i="8" s="1"/>
  <c r="A75" i="8" s="1"/>
  <c r="A87" i="8" s="1"/>
  <c r="A99" i="8" s="1"/>
  <c r="A111" i="8" s="1"/>
  <c r="A123" i="8" s="1"/>
  <c r="A135" i="8" s="1"/>
  <c r="A147" i="8" s="1"/>
  <c r="A159" i="8" s="1"/>
  <c r="A52" i="8"/>
  <c r="A64" i="8" s="1"/>
  <c r="A76" i="8" s="1"/>
  <c r="A88" i="8" s="1"/>
  <c r="A100" i="8" s="1"/>
  <c r="A112" i="8" s="1"/>
  <c r="A124" i="8" s="1"/>
  <c r="A136" i="8" s="1"/>
  <c r="A148" i="8" s="1"/>
  <c r="A53" i="8"/>
  <c r="A65" i="8" s="1"/>
  <c r="A77" i="8" s="1"/>
  <c r="A89" i="8" s="1"/>
  <c r="A101" i="8" s="1"/>
  <c r="A113" i="8" s="1"/>
  <c r="A125" i="8" s="1"/>
  <c r="A137" i="8" s="1"/>
  <c r="A149" i="8" s="1"/>
  <c r="J3" i="8"/>
  <c r="B85" i="2"/>
  <c r="B194" i="2" s="1"/>
  <c r="A495" i="2"/>
  <c r="B495" i="2"/>
  <c r="A515" i="2"/>
  <c r="B536" i="2"/>
  <c r="B25" i="33" l="1"/>
  <c r="B25" i="31"/>
  <c r="B41" i="33"/>
  <c r="B41" i="31"/>
  <c r="B38" i="31"/>
  <c r="B38" i="33"/>
  <c r="B42" i="31"/>
  <c r="B42" i="33"/>
  <c r="B23" i="31"/>
  <c r="B23" i="33"/>
  <c r="B46" i="31"/>
  <c r="B46" i="33"/>
  <c r="B59" i="33"/>
  <c r="B59" i="31"/>
  <c r="B20" i="31"/>
  <c r="B20" i="33"/>
  <c r="B37" i="33"/>
  <c r="B37" i="31"/>
  <c r="B44" i="31"/>
  <c r="B44" i="33"/>
  <c r="B47" i="33"/>
  <c r="B47" i="31"/>
  <c r="B18" i="31"/>
  <c r="B18" i="33"/>
  <c r="B10" i="29"/>
  <c r="B50" i="31"/>
  <c r="B50" i="33"/>
  <c r="B40" i="33"/>
  <c r="B40" i="31"/>
  <c r="B77" i="33"/>
  <c r="B77" i="31"/>
  <c r="B39" i="33"/>
  <c r="B39" i="31"/>
  <c r="BG22" i="33"/>
  <c r="BG17" i="33"/>
  <c r="BG129" i="33"/>
  <c r="BG36" i="31"/>
  <c r="BG29" i="31"/>
  <c r="BG185" i="33"/>
  <c r="BG34" i="33"/>
  <c r="BG146" i="33"/>
  <c r="BG89" i="31"/>
  <c r="BG87" i="31"/>
  <c r="BG180" i="33"/>
  <c r="BG60" i="33"/>
  <c r="BG161" i="33"/>
  <c r="BG159" i="33"/>
  <c r="BG55" i="33"/>
  <c r="BG142" i="33"/>
  <c r="BG33" i="31"/>
  <c r="BG106" i="33"/>
  <c r="BG89" i="33"/>
  <c r="BG83" i="31"/>
  <c r="BG25" i="33"/>
  <c r="BG93" i="33"/>
  <c r="BG111" i="33"/>
  <c r="BG80" i="31"/>
  <c r="BG30" i="31"/>
  <c r="BG70" i="31"/>
  <c r="BG158" i="33"/>
  <c r="BG160" i="33"/>
  <c r="BG108" i="33"/>
  <c r="BG189" i="33"/>
  <c r="BG154" i="33"/>
  <c r="BG122" i="33"/>
  <c r="BG116" i="33"/>
  <c r="BG87" i="33"/>
  <c r="BG140" i="33"/>
  <c r="BG42" i="33"/>
  <c r="BG139" i="33"/>
  <c r="BG22" i="31"/>
  <c r="BG43" i="31"/>
  <c r="BG63" i="31"/>
  <c r="BG113" i="33"/>
  <c r="BG150" i="33"/>
  <c r="BG51" i="33"/>
  <c r="BG163" i="33"/>
  <c r="BG53" i="33"/>
  <c r="BG69" i="33"/>
  <c r="BG155" i="33"/>
  <c r="BG171" i="33"/>
  <c r="BG115" i="33"/>
  <c r="BG205" i="33"/>
  <c r="BG100" i="31"/>
  <c r="BG192" i="33"/>
  <c r="BG177" i="33"/>
  <c r="BG190" i="33"/>
  <c r="BG71" i="33"/>
  <c r="BG135" i="33"/>
  <c r="BG191" i="33"/>
  <c r="BG85" i="33"/>
  <c r="BG64" i="31"/>
  <c r="BG13" i="31"/>
  <c r="BG54" i="33"/>
  <c r="BG15" i="33"/>
  <c r="BG132" i="33"/>
  <c r="BG92" i="33"/>
  <c r="BG85" i="31"/>
  <c r="BG36" i="33"/>
  <c r="BG15" i="31"/>
  <c r="BG95" i="33"/>
  <c r="BG35" i="33"/>
  <c r="BG37" i="31"/>
  <c r="BG133" i="33"/>
  <c r="BG52" i="33"/>
  <c r="BG37" i="33"/>
  <c r="BG41" i="31"/>
  <c r="BG31" i="33"/>
  <c r="BG76" i="31"/>
  <c r="BG61" i="31"/>
  <c r="BG90" i="33"/>
  <c r="BG27" i="33"/>
  <c r="BG121" i="33"/>
  <c r="BG77" i="33"/>
  <c r="BG137" i="33"/>
  <c r="BG10" i="33"/>
  <c r="BG33" i="33"/>
  <c r="BG75" i="33"/>
  <c r="BG186" i="33"/>
  <c r="BG74" i="33"/>
  <c r="BG96" i="33"/>
  <c r="BG78" i="33"/>
  <c r="BG30" i="33"/>
  <c r="BG141" i="33"/>
  <c r="BG102" i="33"/>
  <c r="BG21" i="31"/>
  <c r="BG144" i="33"/>
  <c r="BG97" i="33"/>
  <c r="BG157" i="33"/>
  <c r="BG69" i="31"/>
  <c r="BG20" i="31"/>
  <c r="BG101" i="33"/>
  <c r="BG130" i="33"/>
  <c r="BG199" i="33"/>
  <c r="BG181" i="33"/>
  <c r="BG131" i="33"/>
  <c r="BG86" i="31"/>
  <c r="BG42" i="31"/>
  <c r="BG49" i="31"/>
  <c r="BG145" i="33"/>
  <c r="BG16" i="31"/>
  <c r="BG143" i="33"/>
  <c r="BG39" i="33"/>
  <c r="BG14" i="31"/>
  <c r="BG91" i="33"/>
  <c r="BG153" i="33"/>
  <c r="BG128" i="33"/>
  <c r="BG32" i="31"/>
  <c r="BG99" i="31"/>
  <c r="BG18" i="33"/>
  <c r="BG108" i="31"/>
  <c r="BG94" i="31"/>
  <c r="BG120" i="33"/>
  <c r="BG170" i="33"/>
  <c r="BG104" i="33"/>
  <c r="BG48" i="33"/>
  <c r="BG92" i="31"/>
  <c r="BG83" i="33"/>
  <c r="BG32" i="33"/>
  <c r="BG204" i="33"/>
  <c r="BG77" i="31"/>
  <c r="BG104" i="31"/>
  <c r="BG26" i="33"/>
  <c r="BG118" i="33"/>
  <c r="BG29" i="33"/>
  <c r="BG187" i="33"/>
  <c r="BG81" i="33"/>
  <c r="BG19" i="31"/>
  <c r="BG152" i="33"/>
  <c r="BG58" i="33"/>
  <c r="BG65" i="33"/>
  <c r="BG68" i="33"/>
  <c r="BG105" i="33"/>
  <c r="BG63" i="33"/>
  <c r="BG12" i="31"/>
  <c r="BG103" i="33"/>
  <c r="BG50" i="33"/>
  <c r="BG40" i="33"/>
  <c r="BG9" i="31"/>
  <c r="BG82" i="33"/>
  <c r="BG62" i="31"/>
  <c r="BG43" i="33"/>
  <c r="BG203" i="33"/>
  <c r="BG169" i="33"/>
  <c r="BG79" i="33"/>
  <c r="BG46" i="33"/>
  <c r="BG105" i="31"/>
  <c r="BG50" i="31"/>
  <c r="BG58" i="31"/>
  <c r="BG38" i="31"/>
  <c r="BG193" i="33"/>
  <c r="BG162" i="33"/>
  <c r="BG28" i="33"/>
  <c r="BG127" i="33"/>
  <c r="BG106" i="31"/>
  <c r="BG67" i="31"/>
  <c r="BG9" i="33"/>
  <c r="BG79" i="31"/>
  <c r="BG93" i="31"/>
  <c r="BG45" i="31"/>
  <c r="BG73" i="31"/>
  <c r="BG90" i="31"/>
  <c r="BG80" i="33"/>
  <c r="BG60" i="31"/>
  <c r="BG102" i="31"/>
  <c r="BG66" i="33"/>
  <c r="BG35" i="31"/>
  <c r="BG202" i="33"/>
  <c r="BG57" i="31"/>
  <c r="BG78" i="31"/>
  <c r="BG208" i="33"/>
  <c r="BG156" i="33"/>
  <c r="BG73" i="33"/>
  <c r="BG88" i="33"/>
  <c r="BG91" i="31"/>
  <c r="BG55" i="31"/>
  <c r="BG74" i="31"/>
  <c r="BG72" i="33"/>
  <c r="BG14" i="33"/>
  <c r="BG76" i="33"/>
  <c r="BG17" i="31"/>
  <c r="BG109" i="33"/>
  <c r="BG172" i="33"/>
  <c r="BG84" i="31"/>
  <c r="BG10" i="31"/>
  <c r="BG97" i="31"/>
  <c r="BG175" i="33"/>
  <c r="BG114" i="33"/>
  <c r="BG82" i="31"/>
  <c r="BG207" i="33"/>
  <c r="BG101" i="31"/>
  <c r="BG64" i="33"/>
  <c r="BG11" i="31"/>
  <c r="BG70" i="33"/>
  <c r="BG147" i="33"/>
  <c r="BG107" i="33"/>
  <c r="BG164" i="33"/>
  <c r="BG12" i="33"/>
  <c r="BG75" i="31"/>
  <c r="BG201" i="33"/>
  <c r="BG52" i="31"/>
  <c r="BG28" i="31"/>
  <c r="BG47" i="31"/>
  <c r="BG38" i="33"/>
  <c r="BG53" i="31"/>
  <c r="BG65" i="31"/>
  <c r="BG95" i="31"/>
  <c r="BG39" i="31"/>
  <c r="BG67" i="33"/>
  <c r="BG184" i="33"/>
  <c r="BG206" i="33"/>
  <c r="BG88" i="31"/>
  <c r="BG66" i="31"/>
  <c r="BG25" i="31"/>
  <c r="BG151" i="33"/>
  <c r="BG16" i="33"/>
  <c r="BG56" i="31"/>
  <c r="BG165" i="33"/>
  <c r="BG183" i="33"/>
  <c r="BG176" i="33"/>
  <c r="BG112" i="33"/>
  <c r="BG125" i="33"/>
  <c r="BG46" i="31"/>
  <c r="BG61" i="33"/>
  <c r="BG24" i="33"/>
  <c r="BG99" i="33"/>
  <c r="BG41" i="33"/>
  <c r="BG149" i="33"/>
  <c r="BG168" i="33"/>
  <c r="BG103" i="31"/>
  <c r="BG44" i="31"/>
  <c r="BG59" i="31"/>
  <c r="BG209" i="33"/>
  <c r="BG86" i="33"/>
  <c r="BG44" i="33"/>
  <c r="BG84" i="33"/>
  <c r="BG57" i="33"/>
  <c r="BG54" i="31"/>
  <c r="BG100" i="33"/>
  <c r="BG198" i="33"/>
  <c r="BG167" i="33"/>
  <c r="BG173" i="33"/>
  <c r="BG26" i="31"/>
  <c r="BG24" i="31"/>
  <c r="BG23" i="31"/>
  <c r="BG68" i="31"/>
  <c r="BG23" i="33"/>
  <c r="BG62" i="33"/>
  <c r="BG197" i="33"/>
  <c r="BG119" i="33"/>
  <c r="BG134" i="33"/>
  <c r="BG51" i="31"/>
  <c r="BG18" i="31"/>
  <c r="BG40" i="31"/>
  <c r="BG59" i="33"/>
  <c r="BG98" i="31"/>
  <c r="BG182" i="33"/>
  <c r="BG98" i="33"/>
  <c r="BG124" i="33"/>
  <c r="BG19" i="33"/>
  <c r="BG178" i="33"/>
  <c r="BG45" i="33"/>
  <c r="BG195" i="33"/>
  <c r="BG174" i="33"/>
  <c r="BG94" i="33"/>
  <c r="BG56" i="33"/>
  <c r="BG96" i="31"/>
  <c r="BG196" i="33"/>
  <c r="BG110" i="33"/>
  <c r="BG109" i="31"/>
  <c r="BG200" i="33"/>
  <c r="BG138" i="33"/>
  <c r="BG117" i="33"/>
  <c r="BG21" i="33"/>
  <c r="BG81" i="31"/>
  <c r="BG71" i="31"/>
  <c r="BG27" i="31"/>
  <c r="BG126" i="33"/>
  <c r="BG49" i="33"/>
  <c r="BG20" i="33"/>
  <c r="BG34" i="31"/>
  <c r="BG194" i="33"/>
  <c r="BG31" i="31"/>
  <c r="BG179" i="33"/>
  <c r="BG188" i="33"/>
  <c r="BG107" i="31"/>
  <c r="BG136" i="33"/>
  <c r="BG123" i="33"/>
  <c r="BG47" i="33"/>
  <c r="BG11" i="33"/>
  <c r="BG13" i="33"/>
  <c r="BG48" i="31"/>
  <c r="BG166" i="33"/>
  <c r="BG72" i="31"/>
  <c r="BG148" i="33"/>
  <c r="H191" i="33"/>
  <c r="H186" i="33"/>
  <c r="H164" i="33"/>
  <c r="H162" i="33"/>
  <c r="H160" i="33"/>
  <c r="H158" i="33"/>
  <c r="H156" i="33"/>
  <c r="H154" i="33"/>
  <c r="H149" i="33"/>
  <c r="H147" i="33"/>
  <c r="H145" i="33"/>
  <c r="H134" i="33"/>
  <c r="H132" i="33"/>
  <c r="H111" i="33"/>
  <c r="H109" i="33"/>
  <c r="H94" i="33"/>
  <c r="H85" i="33"/>
  <c r="H83" i="33"/>
  <c r="H76" i="33"/>
  <c r="H74" i="33"/>
  <c r="AJ74" i="33" s="1"/>
  <c r="H72" i="33"/>
  <c r="H63" i="33"/>
  <c r="H61" i="33"/>
  <c r="H56" i="33"/>
  <c r="H200" i="33"/>
  <c r="H198" i="33"/>
  <c r="H196" i="33"/>
  <c r="H184" i="33"/>
  <c r="H182" i="33"/>
  <c r="H180" i="33"/>
  <c r="H173" i="33"/>
  <c r="H143" i="33"/>
  <c r="H141" i="33"/>
  <c r="H139" i="33"/>
  <c r="H130" i="33"/>
  <c r="H107" i="33"/>
  <c r="H105" i="33"/>
  <c r="H81" i="33"/>
  <c r="H70" i="33"/>
  <c r="H194" i="33"/>
  <c r="H189" i="33"/>
  <c r="H178" i="33"/>
  <c r="H171" i="33"/>
  <c r="H169" i="33"/>
  <c r="H167" i="33"/>
  <c r="H152" i="33"/>
  <c r="H137" i="33"/>
  <c r="H128" i="33"/>
  <c r="H126" i="33"/>
  <c r="H124" i="33"/>
  <c r="H122" i="33"/>
  <c r="H103" i="33"/>
  <c r="H101" i="33"/>
  <c r="H92" i="33"/>
  <c r="H90" i="33"/>
  <c r="H79" i="33"/>
  <c r="H68" i="33"/>
  <c r="H59" i="33"/>
  <c r="H54" i="33"/>
  <c r="H209" i="33"/>
  <c r="H207" i="33"/>
  <c r="H205" i="33"/>
  <c r="H203" i="33"/>
  <c r="H187" i="33"/>
  <c r="H176" i="33"/>
  <c r="H150" i="33"/>
  <c r="H135" i="33"/>
  <c r="H120" i="33"/>
  <c r="H118" i="33"/>
  <c r="H116" i="33"/>
  <c r="H114" i="33"/>
  <c r="H99" i="33"/>
  <c r="H97" i="33"/>
  <c r="H88" i="33"/>
  <c r="H86" i="33"/>
  <c r="H77" i="33"/>
  <c r="H66" i="33"/>
  <c r="H201" i="33"/>
  <c r="H192" i="33"/>
  <c r="H185" i="33"/>
  <c r="H165" i="33"/>
  <c r="H163" i="33"/>
  <c r="H161" i="33"/>
  <c r="H159" i="33"/>
  <c r="H157" i="33"/>
  <c r="H155" i="33"/>
  <c r="H148" i="33"/>
  <c r="H146" i="33"/>
  <c r="H133" i="33"/>
  <c r="H131" i="33"/>
  <c r="H112" i="33"/>
  <c r="H110" i="33"/>
  <c r="H95" i="33"/>
  <c r="H84" i="33"/>
  <c r="H82" i="33"/>
  <c r="H199" i="33"/>
  <c r="H197" i="33"/>
  <c r="H190" i="33"/>
  <c r="H183" i="33"/>
  <c r="H181" i="33"/>
  <c r="H174" i="33"/>
  <c r="H144" i="33"/>
  <c r="H142" i="33"/>
  <c r="H140" i="33"/>
  <c r="H108" i="33"/>
  <c r="H106" i="33"/>
  <c r="H93" i="33"/>
  <c r="H80" i="33"/>
  <c r="H179" i="33"/>
  <c r="H172" i="33"/>
  <c r="H127" i="33"/>
  <c r="H104" i="33"/>
  <c r="H89" i="33"/>
  <c r="H75" i="33"/>
  <c r="H62" i="33"/>
  <c r="H52" i="33"/>
  <c r="H47" i="33"/>
  <c r="H42" i="33"/>
  <c r="H39" i="33"/>
  <c r="H36" i="33"/>
  <c r="H19" i="33"/>
  <c r="H11" i="33"/>
  <c r="H208" i="33"/>
  <c r="H193" i="33"/>
  <c r="H119" i="33"/>
  <c r="H96" i="33"/>
  <c r="H34" i="33"/>
  <c r="H24" i="33"/>
  <c r="H13" i="33"/>
  <c r="H9" i="33"/>
  <c r="H170" i="33"/>
  <c r="H125" i="33"/>
  <c r="H102" i="33"/>
  <c r="H69" i="33"/>
  <c r="H65" i="33"/>
  <c r="H50" i="33"/>
  <c r="H45" i="33"/>
  <c r="H37" i="33"/>
  <c r="H32" i="33"/>
  <c r="H30" i="33"/>
  <c r="H27" i="33"/>
  <c r="H22" i="33"/>
  <c r="H206" i="33"/>
  <c r="H177" i="33"/>
  <c r="H117" i="33"/>
  <c r="H87" i="33"/>
  <c r="H73" i="33"/>
  <c r="H53" i="33"/>
  <c r="H43" i="33"/>
  <c r="H40" i="33"/>
  <c r="H28" i="33"/>
  <c r="H25" i="33"/>
  <c r="H20" i="33"/>
  <c r="H15" i="33"/>
  <c r="H14" i="33"/>
  <c r="H168" i="33"/>
  <c r="AS168" i="33" s="1"/>
  <c r="H153" i="33"/>
  <c r="H138" i="33"/>
  <c r="H123" i="33"/>
  <c r="H78" i="33"/>
  <c r="H64" i="33"/>
  <c r="H60" i="33"/>
  <c r="H58" i="33"/>
  <c r="H55" i="33"/>
  <c r="H48" i="33"/>
  <c r="H35" i="33"/>
  <c r="H16" i="33"/>
  <c r="H10" i="33"/>
  <c r="H204" i="33"/>
  <c r="H175" i="33"/>
  <c r="H115" i="33"/>
  <c r="H100" i="33"/>
  <c r="H51" i="33"/>
  <c r="H46" i="33"/>
  <c r="H38" i="33"/>
  <c r="H33" i="33"/>
  <c r="H23" i="33"/>
  <c r="H18" i="33"/>
  <c r="H67" i="33"/>
  <c r="H49" i="33"/>
  <c r="H26" i="33"/>
  <c r="H91" i="33"/>
  <c r="H151" i="33"/>
  <c r="H202" i="33"/>
  <c r="H113" i="33"/>
  <c r="H41" i="33"/>
  <c r="H129" i="33"/>
  <c r="H195" i="33"/>
  <c r="H166" i="33"/>
  <c r="H29" i="33"/>
  <c r="H31" i="33"/>
  <c r="H136" i="33"/>
  <c r="H71" i="33"/>
  <c r="H17" i="33"/>
  <c r="H57" i="33"/>
  <c r="H188" i="33"/>
  <c r="H98" i="33"/>
  <c r="H44" i="33"/>
  <c r="H21" i="33"/>
  <c r="H12" i="33"/>
  <c r="H121" i="33"/>
  <c r="AA25" i="29"/>
  <c r="AB25" i="29"/>
  <c r="AB26" i="29" s="1"/>
  <c r="K200" i="33"/>
  <c r="K198" i="33"/>
  <c r="BJ198" i="33" s="1"/>
  <c r="K196" i="33"/>
  <c r="L196" i="33" s="1"/>
  <c r="K184" i="33"/>
  <c r="K182" i="33"/>
  <c r="BJ182" i="33" s="1"/>
  <c r="K180" i="33"/>
  <c r="BJ180" i="33" s="1"/>
  <c r="K173" i="33"/>
  <c r="BJ173" i="33" s="1"/>
  <c r="K143" i="33"/>
  <c r="K141" i="33"/>
  <c r="K139" i="33"/>
  <c r="BJ139" i="33" s="1"/>
  <c r="K130" i="33"/>
  <c r="K107" i="33"/>
  <c r="BJ107" i="33" s="1"/>
  <c r="K105" i="33"/>
  <c r="K81" i="33"/>
  <c r="BJ81" i="33" s="1"/>
  <c r="K70" i="33"/>
  <c r="K194" i="33"/>
  <c r="K189" i="33"/>
  <c r="K178" i="33"/>
  <c r="BJ178" i="33" s="1"/>
  <c r="K171" i="33"/>
  <c r="BJ171" i="33" s="1"/>
  <c r="K169" i="33"/>
  <c r="K167" i="33"/>
  <c r="K152" i="33"/>
  <c r="BJ152" i="33" s="1"/>
  <c r="K137" i="33"/>
  <c r="BJ137" i="33" s="1"/>
  <c r="K128" i="33"/>
  <c r="BJ128" i="33" s="1"/>
  <c r="K126" i="33"/>
  <c r="K124" i="33"/>
  <c r="BJ124" i="33" s="1"/>
  <c r="K122" i="33"/>
  <c r="BJ122" i="33" s="1"/>
  <c r="K103" i="33"/>
  <c r="K101" i="33"/>
  <c r="K92" i="33"/>
  <c r="BJ92" i="33" s="1"/>
  <c r="K90" i="33"/>
  <c r="K79" i="33"/>
  <c r="K68" i="33"/>
  <c r="K59" i="33"/>
  <c r="K54" i="33"/>
  <c r="K209" i="33"/>
  <c r="BJ209" i="33" s="1"/>
  <c r="K207" i="33"/>
  <c r="L207" i="33" s="1"/>
  <c r="K205" i="33"/>
  <c r="BJ205" i="33" s="1"/>
  <c r="K203" i="33"/>
  <c r="L203" i="33" s="1"/>
  <c r="K187" i="33"/>
  <c r="K176" i="33"/>
  <c r="K150" i="33"/>
  <c r="BJ150" i="33" s="1"/>
  <c r="K135" i="33"/>
  <c r="BJ135" i="33" s="1"/>
  <c r="K120" i="33"/>
  <c r="BJ120" i="33" s="1"/>
  <c r="K118" i="33"/>
  <c r="BJ118" i="33" s="1"/>
  <c r="K116" i="33"/>
  <c r="K114" i="33"/>
  <c r="BJ114" i="33" s="1"/>
  <c r="K99" i="33"/>
  <c r="K97" i="33"/>
  <c r="BJ97" i="33" s="1"/>
  <c r="K88" i="33"/>
  <c r="BJ88" i="33" s="1"/>
  <c r="K86" i="33"/>
  <c r="K77" i="33"/>
  <c r="BJ77" i="33" s="1"/>
  <c r="K66" i="33"/>
  <c r="BJ66" i="33" s="1"/>
  <c r="K201" i="33"/>
  <c r="K192" i="33"/>
  <c r="BJ192" i="33" s="1"/>
  <c r="K185" i="33"/>
  <c r="BJ185" i="33" s="1"/>
  <c r="K165" i="33"/>
  <c r="K163" i="33"/>
  <c r="K161" i="33"/>
  <c r="BJ161" i="33" s="1"/>
  <c r="K159" i="33"/>
  <c r="BJ159" i="33" s="1"/>
  <c r="K157" i="33"/>
  <c r="BJ157" i="33" s="1"/>
  <c r="K155" i="33"/>
  <c r="K148" i="33"/>
  <c r="BJ148" i="33" s="1"/>
  <c r="K146" i="33"/>
  <c r="K133" i="33"/>
  <c r="BJ133" i="33" s="1"/>
  <c r="K131" i="33"/>
  <c r="K112" i="33"/>
  <c r="K110" i="33"/>
  <c r="K95" i="33"/>
  <c r="K84" i="33"/>
  <c r="BJ84" i="33" s="1"/>
  <c r="K82" i="33"/>
  <c r="K75" i="33"/>
  <c r="K73" i="33"/>
  <c r="K71" i="33"/>
  <c r="BJ71" i="33" s="1"/>
  <c r="K199" i="33"/>
  <c r="BJ199" i="33" s="1"/>
  <c r="K197" i="33"/>
  <c r="BJ197" i="33" s="1"/>
  <c r="K190" i="33"/>
  <c r="BJ190" i="33" s="1"/>
  <c r="K183" i="33"/>
  <c r="BJ183" i="33" s="1"/>
  <c r="K181" i="33"/>
  <c r="K174" i="33"/>
  <c r="L174" i="33" s="1"/>
  <c r="K144" i="33"/>
  <c r="L144" i="33" s="1"/>
  <c r="K142" i="33"/>
  <c r="BJ142" i="33" s="1"/>
  <c r="K140" i="33"/>
  <c r="L140" i="33" s="1"/>
  <c r="K108" i="33"/>
  <c r="K106" i="33"/>
  <c r="BJ106" i="33" s="1"/>
  <c r="K93" i="33"/>
  <c r="K80" i="33"/>
  <c r="K195" i="33"/>
  <c r="K179" i="33"/>
  <c r="L179" i="33" s="1"/>
  <c r="K172" i="33"/>
  <c r="K170" i="33"/>
  <c r="K168" i="33"/>
  <c r="BJ168" i="33" s="1"/>
  <c r="K166" i="33"/>
  <c r="K153" i="33"/>
  <c r="K138" i="33"/>
  <c r="K129" i="33"/>
  <c r="K127" i="33"/>
  <c r="BJ127" i="33" s="1"/>
  <c r="K125" i="33"/>
  <c r="BJ125" i="33" s="1"/>
  <c r="K123" i="33"/>
  <c r="BJ123" i="33" s="1"/>
  <c r="K104" i="33"/>
  <c r="BJ104" i="33" s="1"/>
  <c r="K102" i="33"/>
  <c r="K91" i="33"/>
  <c r="K89" i="33"/>
  <c r="BJ89" i="33" s="1"/>
  <c r="K78" i="33"/>
  <c r="BJ78" i="33" s="1"/>
  <c r="K69" i="33"/>
  <c r="K208" i="33"/>
  <c r="BJ208" i="33" s="1"/>
  <c r="K193" i="33"/>
  <c r="BJ193" i="33" s="1"/>
  <c r="K119" i="33"/>
  <c r="BJ119" i="33" s="1"/>
  <c r="K96" i="33"/>
  <c r="BJ96" i="33" s="1"/>
  <c r="K34" i="33"/>
  <c r="BJ34" i="33" s="1"/>
  <c r="K24" i="33"/>
  <c r="K13" i="33"/>
  <c r="BJ13" i="33" s="1"/>
  <c r="K9" i="33"/>
  <c r="BJ9" i="33" s="1"/>
  <c r="K96" i="31"/>
  <c r="K92" i="31"/>
  <c r="K88" i="31"/>
  <c r="K84" i="31"/>
  <c r="BJ84" i="31" s="1"/>
  <c r="K80" i="31"/>
  <c r="K73" i="31"/>
  <c r="K69" i="31"/>
  <c r="BJ69" i="31" s="1"/>
  <c r="K53" i="31"/>
  <c r="BJ53" i="31" s="1"/>
  <c r="K39" i="31"/>
  <c r="BJ39" i="31" s="1"/>
  <c r="K33" i="31"/>
  <c r="K14" i="31"/>
  <c r="K12" i="31"/>
  <c r="K186" i="33"/>
  <c r="K164" i="33"/>
  <c r="BJ164" i="33" s="1"/>
  <c r="K156" i="33"/>
  <c r="BJ156" i="33" s="1"/>
  <c r="K149" i="33"/>
  <c r="K134" i="33"/>
  <c r="K111" i="33"/>
  <c r="L111" i="33" s="1"/>
  <c r="K65" i="33"/>
  <c r="K56" i="33"/>
  <c r="K50" i="33"/>
  <c r="BJ50" i="33" s="1"/>
  <c r="K45" i="33"/>
  <c r="BJ45" i="33" s="1"/>
  <c r="K37" i="33"/>
  <c r="BJ37" i="33" s="1"/>
  <c r="K32" i="33"/>
  <c r="L32" i="33" s="1"/>
  <c r="K30" i="33"/>
  <c r="K27" i="33"/>
  <c r="BJ27" i="33" s="1"/>
  <c r="K22" i="33"/>
  <c r="BJ22" i="33" s="1"/>
  <c r="K107" i="31"/>
  <c r="K103" i="31"/>
  <c r="K99" i="31"/>
  <c r="BJ99" i="31" s="1"/>
  <c r="K65" i="31"/>
  <c r="K50" i="31"/>
  <c r="BJ50" i="31" s="1"/>
  <c r="K47" i="31"/>
  <c r="K44" i="31"/>
  <c r="BJ44" i="31" s="1"/>
  <c r="K36" i="31"/>
  <c r="BJ36" i="31" s="1"/>
  <c r="K23" i="31"/>
  <c r="BJ23" i="31" s="1"/>
  <c r="K20" i="31"/>
  <c r="BJ20" i="31" s="1"/>
  <c r="B14" i="31"/>
  <c r="K206" i="33"/>
  <c r="BJ206" i="33" s="1"/>
  <c r="K177" i="33"/>
  <c r="K117" i="33"/>
  <c r="BJ117" i="33" s="1"/>
  <c r="K87" i="33"/>
  <c r="K74" i="33"/>
  <c r="BJ74" i="33" s="1"/>
  <c r="K61" i="33"/>
  <c r="BJ61" i="33" s="1"/>
  <c r="K53" i="33"/>
  <c r="K43" i="33"/>
  <c r="BJ43" i="33" s="1"/>
  <c r="K40" i="33"/>
  <c r="BJ40" i="33" s="1"/>
  <c r="K28" i="33"/>
  <c r="K25" i="33"/>
  <c r="BJ25" i="33" s="1"/>
  <c r="K20" i="33"/>
  <c r="BJ20" i="33" s="1"/>
  <c r="K15" i="33"/>
  <c r="K14" i="33"/>
  <c r="L14" i="33" s="1"/>
  <c r="K95" i="31"/>
  <c r="BJ95" i="31" s="1"/>
  <c r="K91" i="31"/>
  <c r="BJ91" i="31" s="1"/>
  <c r="K87" i="31"/>
  <c r="K83" i="31"/>
  <c r="BJ83" i="31" s="1"/>
  <c r="K79" i="31"/>
  <c r="BJ79" i="31" s="1"/>
  <c r="K76" i="31"/>
  <c r="K72" i="31"/>
  <c r="K68" i="31"/>
  <c r="BJ68" i="31" s="1"/>
  <c r="K61" i="31"/>
  <c r="K58" i="31"/>
  <c r="K55" i="31"/>
  <c r="K41" i="31"/>
  <c r="BJ41" i="31" s="1"/>
  <c r="K29" i="31"/>
  <c r="BJ29" i="31" s="1"/>
  <c r="K26" i="31"/>
  <c r="K191" i="33"/>
  <c r="BJ191" i="33" s="1"/>
  <c r="K162" i="33"/>
  <c r="K154" i="33"/>
  <c r="BJ154" i="33" s="1"/>
  <c r="K147" i="33"/>
  <c r="L147" i="33" s="1"/>
  <c r="K132" i="33"/>
  <c r="BJ132" i="33" s="1"/>
  <c r="K109" i="33"/>
  <c r="K94" i="33"/>
  <c r="K64" i="33"/>
  <c r="BJ64" i="33" s="1"/>
  <c r="K60" i="33"/>
  <c r="K58" i="33"/>
  <c r="BJ58" i="33" s="1"/>
  <c r="K55" i="33"/>
  <c r="BJ55" i="33" s="1"/>
  <c r="K48" i="33"/>
  <c r="K35" i="33"/>
  <c r="K16" i="33"/>
  <c r="BJ16" i="33" s="1"/>
  <c r="K10" i="33"/>
  <c r="BJ10" i="33" s="1"/>
  <c r="K106" i="31"/>
  <c r="BJ106" i="31" s="1"/>
  <c r="K102" i="31"/>
  <c r="K98" i="31"/>
  <c r="BJ98" i="31" s="1"/>
  <c r="K64" i="31"/>
  <c r="K204" i="33"/>
  <c r="BJ204" i="33" s="1"/>
  <c r="K175" i="33"/>
  <c r="BJ175" i="33" s="1"/>
  <c r="K115" i="33"/>
  <c r="K100" i="33"/>
  <c r="K51" i="33"/>
  <c r="L51" i="33" s="1"/>
  <c r="K46" i="33"/>
  <c r="BJ46" i="33" s="1"/>
  <c r="K38" i="33"/>
  <c r="K33" i="33"/>
  <c r="K23" i="33"/>
  <c r="BJ23" i="33" s="1"/>
  <c r="K18" i="33"/>
  <c r="L18" i="33" s="1"/>
  <c r="B14" i="33"/>
  <c r="K94" i="31"/>
  <c r="BJ94" i="31" s="1"/>
  <c r="K90" i="31"/>
  <c r="BJ90" i="31" s="1"/>
  <c r="K86" i="31"/>
  <c r="BJ86" i="31" s="1"/>
  <c r="K82" i="31"/>
  <c r="BJ82" i="31" s="1"/>
  <c r="K78" i="31"/>
  <c r="K75" i="31"/>
  <c r="K71" i="31"/>
  <c r="BJ71" i="31" s="1"/>
  <c r="K60" i="31"/>
  <c r="BJ60" i="31" s="1"/>
  <c r="K160" i="33"/>
  <c r="BJ160" i="33" s="1"/>
  <c r="K145" i="33"/>
  <c r="K85" i="33"/>
  <c r="BJ85" i="33" s="1"/>
  <c r="K72" i="33"/>
  <c r="BJ72" i="33" s="1"/>
  <c r="K57" i="33"/>
  <c r="BJ57" i="33" s="1"/>
  <c r="K44" i="33"/>
  <c r="K41" i="33"/>
  <c r="K31" i="33"/>
  <c r="K21" i="33"/>
  <c r="K109" i="31"/>
  <c r="BJ109" i="31" s="1"/>
  <c r="K105" i="31"/>
  <c r="K101" i="31"/>
  <c r="K97" i="31"/>
  <c r="K67" i="31"/>
  <c r="BJ67" i="31" s="1"/>
  <c r="K63" i="31"/>
  <c r="K57" i="31"/>
  <c r="BJ57" i="31" s="1"/>
  <c r="K54" i="31"/>
  <c r="BJ54" i="31" s="1"/>
  <c r="K40" i="31"/>
  <c r="BJ40" i="31" s="1"/>
  <c r="K31" i="31"/>
  <c r="BJ31" i="31" s="1"/>
  <c r="K202" i="33"/>
  <c r="BJ202" i="33" s="1"/>
  <c r="K113" i="33"/>
  <c r="BJ113" i="33" s="1"/>
  <c r="K42" i="33"/>
  <c r="BJ42" i="33" s="1"/>
  <c r="K36" i="33"/>
  <c r="K19" i="33"/>
  <c r="K100" i="31"/>
  <c r="K59" i="31"/>
  <c r="K46" i="31"/>
  <c r="K25" i="31"/>
  <c r="K19" i="31"/>
  <c r="K15" i="31"/>
  <c r="BJ15" i="31" s="1"/>
  <c r="K45" i="31"/>
  <c r="BJ45" i="31" s="1"/>
  <c r="K24" i="31"/>
  <c r="BJ24" i="31" s="1"/>
  <c r="K10" i="31"/>
  <c r="BJ10" i="31" s="1"/>
  <c r="K108" i="31"/>
  <c r="BJ108" i="31" s="1"/>
  <c r="K49" i="33"/>
  <c r="K83" i="33"/>
  <c r="K63" i="33"/>
  <c r="K29" i="33"/>
  <c r="BJ29" i="33" s="1"/>
  <c r="K81" i="31"/>
  <c r="BJ81" i="31" s="1"/>
  <c r="K51" i="31"/>
  <c r="BJ51" i="31" s="1"/>
  <c r="K34" i="31"/>
  <c r="K11" i="31"/>
  <c r="BJ11" i="31" s="1"/>
  <c r="K56" i="31"/>
  <c r="BJ56" i="31" s="1"/>
  <c r="K28" i="31"/>
  <c r="K18" i="31"/>
  <c r="K66" i="31"/>
  <c r="BJ66" i="31" s="1"/>
  <c r="K38" i="31"/>
  <c r="K17" i="31"/>
  <c r="BJ17" i="31" s="1"/>
  <c r="K52" i="33"/>
  <c r="K22" i="31"/>
  <c r="BJ22" i="31" s="1"/>
  <c r="K121" i="33"/>
  <c r="BJ121" i="33" s="1"/>
  <c r="K42" i="31"/>
  <c r="BJ42" i="31" s="1"/>
  <c r="K11" i="33"/>
  <c r="K35" i="31"/>
  <c r="BJ35" i="31" s="1"/>
  <c r="K136" i="33"/>
  <c r="BJ136" i="33" s="1"/>
  <c r="K62" i="33"/>
  <c r="BJ62" i="33" s="1"/>
  <c r="K47" i="33"/>
  <c r="BJ47" i="33" s="1"/>
  <c r="K98" i="33"/>
  <c r="K43" i="31"/>
  <c r="BJ43" i="31" s="1"/>
  <c r="K151" i="33"/>
  <c r="L151" i="33" s="1"/>
  <c r="K104" i="31"/>
  <c r="K76" i="33"/>
  <c r="BJ76" i="33" s="1"/>
  <c r="K17" i="33"/>
  <c r="L17" i="33" s="1"/>
  <c r="K93" i="31"/>
  <c r="BJ93" i="31" s="1"/>
  <c r="K77" i="31"/>
  <c r="K32" i="31"/>
  <c r="K67" i="33"/>
  <c r="K52" i="31"/>
  <c r="BJ52" i="31" s="1"/>
  <c r="K188" i="33"/>
  <c r="K39" i="33"/>
  <c r="BJ39" i="33" s="1"/>
  <c r="K12" i="33"/>
  <c r="BJ12" i="33" s="1"/>
  <c r="K49" i="31"/>
  <c r="BJ49" i="31" s="1"/>
  <c r="K48" i="31"/>
  <c r="BJ48" i="31" s="1"/>
  <c r="K85" i="31"/>
  <c r="K158" i="33"/>
  <c r="BJ158" i="33" s="1"/>
  <c r="K89" i="31"/>
  <c r="BJ89" i="31" s="1"/>
  <c r="K74" i="31"/>
  <c r="K62" i="31"/>
  <c r="BJ62" i="31" s="1"/>
  <c r="K37" i="31"/>
  <c r="K27" i="31"/>
  <c r="BJ27" i="31" s="1"/>
  <c r="K21" i="31"/>
  <c r="BJ21" i="31" s="1"/>
  <c r="K16" i="31"/>
  <c r="BJ16" i="31" s="1"/>
  <c r="K13" i="31"/>
  <c r="BJ13" i="31" s="1"/>
  <c r="K26" i="33"/>
  <c r="BJ26" i="33" s="1"/>
  <c r="K70" i="31"/>
  <c r="BJ70" i="31" s="1"/>
  <c r="K30" i="31"/>
  <c r="B7" i="29"/>
  <c r="BD194" i="33"/>
  <c r="BD137" i="33"/>
  <c r="BD88" i="33"/>
  <c r="BD201" i="33"/>
  <c r="BD116" i="33"/>
  <c r="BD64" i="33"/>
  <c r="BD155" i="33"/>
  <c r="BD84" i="33"/>
  <c r="BD199" i="33"/>
  <c r="BD140" i="33"/>
  <c r="BD193" i="33"/>
  <c r="BD127" i="33"/>
  <c r="BD78" i="33"/>
  <c r="BD134" i="33"/>
  <c r="BD85" i="33"/>
  <c r="BD81" i="33"/>
  <c r="BD22" i="33"/>
  <c r="BD28" i="33"/>
  <c r="BD154" i="33"/>
  <c r="BD35" i="33"/>
  <c r="BD38" i="33"/>
  <c r="BD44" i="33"/>
  <c r="BD92" i="33"/>
  <c r="BD158" i="33"/>
  <c r="BD11" i="33"/>
  <c r="BD13" i="33"/>
  <c r="BD203" i="33"/>
  <c r="BD89" i="33"/>
  <c r="BD162" i="33"/>
  <c r="BD83" i="33"/>
  <c r="BD189" i="33"/>
  <c r="BD128" i="33"/>
  <c r="BD68" i="33"/>
  <c r="BD192" i="33"/>
  <c r="BD114" i="33"/>
  <c r="BD190" i="33"/>
  <c r="BD148" i="33"/>
  <c r="BD82" i="33"/>
  <c r="BD197" i="33"/>
  <c r="BD129" i="33"/>
  <c r="BD177" i="33"/>
  <c r="BD125" i="33"/>
  <c r="BD208" i="33"/>
  <c r="BD119" i="33"/>
  <c r="BD67" i="33"/>
  <c r="BD70" i="33"/>
  <c r="BD141" i="33"/>
  <c r="BD25" i="33"/>
  <c r="BD147" i="33"/>
  <c r="BD16" i="33"/>
  <c r="BD33" i="33"/>
  <c r="BD41" i="33"/>
  <c r="BD63" i="33"/>
  <c r="BD42" i="33"/>
  <c r="BD76" i="33"/>
  <c r="BD66" i="33"/>
  <c r="BD48" i="33"/>
  <c r="BD178" i="33"/>
  <c r="BD126" i="33"/>
  <c r="BD59" i="33"/>
  <c r="BD187" i="33"/>
  <c r="BD99" i="33"/>
  <c r="BD185" i="33"/>
  <c r="BD146" i="33"/>
  <c r="BD75" i="33"/>
  <c r="BD183" i="33"/>
  <c r="BD108" i="33"/>
  <c r="BD170" i="33"/>
  <c r="BD123" i="33"/>
  <c r="BD206" i="33"/>
  <c r="BD117" i="33"/>
  <c r="BD65" i="33"/>
  <c r="BD56" i="33"/>
  <c r="BD74" i="33"/>
  <c r="BD20" i="33"/>
  <c r="BD132" i="33"/>
  <c r="BD10" i="33"/>
  <c r="BD23" i="33"/>
  <c r="BD31" i="33"/>
  <c r="BD49" i="33"/>
  <c r="BD19" i="33"/>
  <c r="BD27" i="33"/>
  <c r="BD90" i="33"/>
  <c r="BD87" i="33"/>
  <c r="BD107" i="33"/>
  <c r="BD171" i="33"/>
  <c r="BD124" i="33"/>
  <c r="BD54" i="33"/>
  <c r="BD176" i="33"/>
  <c r="BD97" i="33"/>
  <c r="BD174" i="33"/>
  <c r="BD144" i="33"/>
  <c r="BD73" i="33"/>
  <c r="BD181" i="33"/>
  <c r="BD106" i="33"/>
  <c r="BD168" i="33"/>
  <c r="BD121" i="33"/>
  <c r="BD204" i="33"/>
  <c r="BD115" i="33"/>
  <c r="BD200" i="33"/>
  <c r="BD50" i="33"/>
  <c r="BD69" i="33"/>
  <c r="BD15" i="33"/>
  <c r="BD109" i="33"/>
  <c r="BD198" i="33"/>
  <c r="BD18" i="33"/>
  <c r="BD21" i="33"/>
  <c r="BD36" i="33"/>
  <c r="BD173" i="33"/>
  <c r="BD180" i="33"/>
  <c r="BD110" i="33"/>
  <c r="BD169" i="33"/>
  <c r="BD122" i="33"/>
  <c r="BD209" i="33"/>
  <c r="BD150" i="33"/>
  <c r="BD95" i="33"/>
  <c r="BD163" i="33"/>
  <c r="BD133" i="33"/>
  <c r="BD71" i="33"/>
  <c r="BD179" i="33"/>
  <c r="BD104" i="33"/>
  <c r="BD166" i="33"/>
  <c r="BD102" i="33"/>
  <c r="BD202" i="33"/>
  <c r="BD113" i="33"/>
  <c r="BD164" i="33"/>
  <c r="BD45" i="33"/>
  <c r="BD61" i="33"/>
  <c r="BD14" i="33"/>
  <c r="BD94" i="33"/>
  <c r="BD139" i="33"/>
  <c r="BD160" i="33"/>
  <c r="BD17" i="33"/>
  <c r="BD29" i="33"/>
  <c r="BD143" i="33"/>
  <c r="BD105" i="33"/>
  <c r="BD152" i="33"/>
  <c r="BD142" i="33"/>
  <c r="BD175" i="33"/>
  <c r="BD30" i="33"/>
  <c r="BD72" i="33"/>
  <c r="BD167" i="33"/>
  <c r="BD103" i="33"/>
  <c r="BD207" i="33"/>
  <c r="BD135" i="33"/>
  <c r="BD86" i="33"/>
  <c r="BD161" i="33"/>
  <c r="BD131" i="33"/>
  <c r="BD62" i="33"/>
  <c r="BD172" i="33"/>
  <c r="BD93" i="33"/>
  <c r="BD151" i="33"/>
  <c r="BD100" i="33"/>
  <c r="BD188" i="33"/>
  <c r="BD98" i="33"/>
  <c r="BD156" i="33"/>
  <c r="BD37" i="33"/>
  <c r="BD53" i="33"/>
  <c r="BD191" i="33"/>
  <c r="BD58" i="33"/>
  <c r="BD79" i="33"/>
  <c r="BD145" i="33"/>
  <c r="BD196" i="33"/>
  <c r="BD26" i="33"/>
  <c r="BD47" i="33"/>
  <c r="BD52" i="33"/>
  <c r="BD157" i="33"/>
  <c r="BD40" i="33"/>
  <c r="BD9" i="33"/>
  <c r="BD165" i="33"/>
  <c r="BD101" i="33"/>
  <c r="BD205" i="33"/>
  <c r="BD120" i="33"/>
  <c r="BD77" i="33"/>
  <c r="BD159" i="33"/>
  <c r="BD112" i="33"/>
  <c r="BD60" i="33"/>
  <c r="BD153" i="33"/>
  <c r="BD80" i="33"/>
  <c r="BD138" i="33"/>
  <c r="BD91" i="33"/>
  <c r="BD186" i="33"/>
  <c r="BD96" i="33"/>
  <c r="BD149" i="33"/>
  <c r="BD32" i="33"/>
  <c r="BD43" i="33"/>
  <c r="BD184" i="33"/>
  <c r="BD55" i="33"/>
  <c r="BD51" i="33"/>
  <c r="BD130" i="33"/>
  <c r="BD182" i="33"/>
  <c r="BD12" i="33"/>
  <c r="BD24" i="33"/>
  <c r="BD39" i="33"/>
  <c r="BD118" i="33"/>
  <c r="BD57" i="33"/>
  <c r="BD195" i="33"/>
  <c r="BD136" i="33"/>
  <c r="BD111" i="33"/>
  <c r="BD46" i="33"/>
  <c r="BD34" i="33"/>
  <c r="B58" i="33"/>
  <c r="B58" i="31"/>
  <c r="B43" i="33"/>
  <c r="B43" i="31"/>
  <c r="B10" i="28"/>
  <c r="B19" i="33"/>
  <c r="B19" i="31"/>
  <c r="BE209" i="33"/>
  <c r="BE207" i="33"/>
  <c r="BE205" i="33"/>
  <c r="BE203" i="33"/>
  <c r="BE201" i="33"/>
  <c r="BE192" i="33"/>
  <c r="BE187" i="33"/>
  <c r="BE176" i="33"/>
  <c r="BJ174" i="33"/>
  <c r="BE150" i="33"/>
  <c r="BE135" i="33"/>
  <c r="BE120" i="33"/>
  <c r="BE118" i="33"/>
  <c r="BE116" i="33"/>
  <c r="BE114" i="33"/>
  <c r="BJ112" i="33"/>
  <c r="BE99" i="33"/>
  <c r="BE97" i="33"/>
  <c r="BE95" i="33"/>
  <c r="AS92" i="33"/>
  <c r="BE86" i="33"/>
  <c r="AS79" i="33"/>
  <c r="BE77" i="33"/>
  <c r="BE66" i="33"/>
  <c r="BE64" i="33"/>
  <c r="BE190" i="33"/>
  <c r="BE185" i="33"/>
  <c r="BE174" i="33"/>
  <c r="AS165" i="33"/>
  <c r="BE163" i="33"/>
  <c r="BE161" i="33"/>
  <c r="BE159" i="33"/>
  <c r="BE157" i="33"/>
  <c r="BE155" i="33"/>
  <c r="BJ153" i="33"/>
  <c r="BE148" i="33"/>
  <c r="BE146" i="33"/>
  <c r="BE144" i="33"/>
  <c r="BE133" i="33"/>
  <c r="BE131" i="33"/>
  <c r="BE112" i="33"/>
  <c r="BE110" i="33"/>
  <c r="BJ108" i="33"/>
  <c r="BJ93" i="33"/>
  <c r="AS88" i="33"/>
  <c r="BE84" i="33"/>
  <c r="BE82" i="33"/>
  <c r="BE75" i="33"/>
  <c r="BE73" i="33"/>
  <c r="BE71" i="33"/>
  <c r="BE62" i="33"/>
  <c r="BE60" i="33"/>
  <c r="BE57" i="33"/>
  <c r="AS201" i="33"/>
  <c r="BE199" i="33"/>
  <c r="BE197" i="33"/>
  <c r="BJ195" i="33"/>
  <c r="L192" i="33"/>
  <c r="BE183" i="33"/>
  <c r="BE181" i="33"/>
  <c r="BE179" i="33"/>
  <c r="BE172" i="33"/>
  <c r="BE153" i="33"/>
  <c r="BE142" i="33"/>
  <c r="BE140" i="33"/>
  <c r="BJ138" i="33"/>
  <c r="BE129" i="33"/>
  <c r="BE108" i="33"/>
  <c r="BE106" i="33"/>
  <c r="BE104" i="33"/>
  <c r="AS95" i="33"/>
  <c r="BE93" i="33"/>
  <c r="BE80" i="33"/>
  <c r="L64" i="33"/>
  <c r="BE55" i="33"/>
  <c r="BE195" i="33"/>
  <c r="BE193" i="33"/>
  <c r="AS190" i="33"/>
  <c r="BJ188" i="33"/>
  <c r="BE177" i="33"/>
  <c r="AS174" i="33"/>
  <c r="BE170" i="33"/>
  <c r="BE168" i="33"/>
  <c r="BE166" i="33"/>
  <c r="BE151" i="33"/>
  <c r="AS144" i="33"/>
  <c r="BE138" i="33"/>
  <c r="BE136" i="33"/>
  <c r="BE127" i="33"/>
  <c r="BE125" i="33"/>
  <c r="BE123" i="33"/>
  <c r="BE121" i="33"/>
  <c r="BE102" i="33"/>
  <c r="BE100" i="33"/>
  <c r="BE91" i="33"/>
  <c r="BE89" i="33"/>
  <c r="BE78" i="33"/>
  <c r="BE69" i="33"/>
  <c r="BE208" i="33"/>
  <c r="BE206" i="33"/>
  <c r="BE204" i="33"/>
  <c r="BE202" i="33"/>
  <c r="BE188" i="33"/>
  <c r="BE186" i="33"/>
  <c r="AS179" i="33"/>
  <c r="BE175" i="33"/>
  <c r="AS172" i="33"/>
  <c r="AS153" i="33"/>
  <c r="BE134" i="33"/>
  <c r="AS129" i="33"/>
  <c r="BE119" i="33"/>
  <c r="BE117" i="33"/>
  <c r="BE115" i="33"/>
  <c r="BE113" i="33"/>
  <c r="AS104" i="33"/>
  <c r="BE98" i="33"/>
  <c r="BE96" i="33"/>
  <c r="BE87" i="33"/>
  <c r="BE85" i="33"/>
  <c r="BE200" i="33"/>
  <c r="BE191" i="33"/>
  <c r="BE184" i="33"/>
  <c r="AS177" i="33"/>
  <c r="BE164" i="33"/>
  <c r="BE162" i="33"/>
  <c r="BE160" i="33"/>
  <c r="BE158" i="33"/>
  <c r="BE156" i="33"/>
  <c r="BE154" i="33"/>
  <c r="AS151" i="33"/>
  <c r="BE149" i="33"/>
  <c r="BE147" i="33"/>
  <c r="BE145" i="33"/>
  <c r="AS136" i="33"/>
  <c r="BE132" i="33"/>
  <c r="BE130" i="33"/>
  <c r="AS121" i="33"/>
  <c r="BE111" i="33"/>
  <c r="BE109" i="33"/>
  <c r="BE94" i="33"/>
  <c r="BE83" i="33"/>
  <c r="BE81" i="33"/>
  <c r="BE76" i="33"/>
  <c r="BE74" i="33"/>
  <c r="BE72" i="33"/>
  <c r="BJ70" i="33"/>
  <c r="BE63" i="33"/>
  <c r="BE61" i="33"/>
  <c r="AS186" i="33"/>
  <c r="BE141" i="33"/>
  <c r="BE65" i="33"/>
  <c r="BE53" i="33"/>
  <c r="BE43" i="33"/>
  <c r="BE40" i="33"/>
  <c r="BE28" i="33"/>
  <c r="L27" i="33"/>
  <c r="BE25" i="33"/>
  <c r="BE20" i="33"/>
  <c r="BE15" i="33"/>
  <c r="BE14" i="33"/>
  <c r="B12" i="33"/>
  <c r="BE107" i="31"/>
  <c r="BE103" i="31"/>
  <c r="BE99" i="31"/>
  <c r="BE65" i="31"/>
  <c r="BJ61" i="31"/>
  <c r="BE50" i="31"/>
  <c r="BE47" i="31"/>
  <c r="BE44" i="31"/>
  <c r="BE36" i="31"/>
  <c r="BE23" i="31"/>
  <c r="BE20" i="31"/>
  <c r="BJ9" i="31"/>
  <c r="AS200" i="33"/>
  <c r="BE178" i="33"/>
  <c r="BE171" i="33"/>
  <c r="BE126" i="33"/>
  <c r="BE103" i="33"/>
  <c r="BE88" i="33"/>
  <c r="L81" i="33"/>
  <c r="BE58" i="33"/>
  <c r="BE48" i="33"/>
  <c r="BE35" i="33"/>
  <c r="BE16" i="33"/>
  <c r="BE10" i="33"/>
  <c r="BE95" i="31"/>
  <c r="BE91" i="31"/>
  <c r="BE87" i="31"/>
  <c r="BE83" i="31"/>
  <c r="BE79" i="31"/>
  <c r="BE76" i="31"/>
  <c r="BE72" i="31"/>
  <c r="BE68" i="31"/>
  <c r="BE61" i="31"/>
  <c r="BE58" i="31"/>
  <c r="BE55" i="31"/>
  <c r="BE41" i="31"/>
  <c r="BE29" i="31"/>
  <c r="BE26" i="31"/>
  <c r="B12" i="31"/>
  <c r="BE9" i="31"/>
  <c r="BE198" i="33"/>
  <c r="BE139" i="33"/>
  <c r="BE79" i="33"/>
  <c r="BE51" i="33"/>
  <c r="BE46" i="33"/>
  <c r="BJ41" i="33"/>
  <c r="BE38" i="33"/>
  <c r="BE33" i="33"/>
  <c r="BE23" i="33"/>
  <c r="BE18" i="33"/>
  <c r="BE106" i="31"/>
  <c r="BE102" i="31"/>
  <c r="BE98" i="31"/>
  <c r="BE64" i="31"/>
  <c r="BE52" i="31"/>
  <c r="BE38" i="31"/>
  <c r="BE35" i="31"/>
  <c r="BE32" i="31"/>
  <c r="BE17" i="31"/>
  <c r="BE169" i="33"/>
  <c r="BE124" i="33"/>
  <c r="BE101" i="33"/>
  <c r="BE68" i="33"/>
  <c r="BE44" i="33"/>
  <c r="BE41" i="33"/>
  <c r="BE31" i="33"/>
  <c r="BE21" i="33"/>
  <c r="BE17" i="33"/>
  <c r="BE94" i="31"/>
  <c r="BE90" i="31"/>
  <c r="BE86" i="31"/>
  <c r="BE82" i="31"/>
  <c r="BE78" i="31"/>
  <c r="BE75" i="31"/>
  <c r="BE71" i="31"/>
  <c r="BE60" i="31"/>
  <c r="BE196" i="33"/>
  <c r="BE182" i="33"/>
  <c r="BE107" i="33"/>
  <c r="BE92" i="33"/>
  <c r="AS85" i="33"/>
  <c r="BE49" i="33"/>
  <c r="BE36" i="33"/>
  <c r="BE29" i="33"/>
  <c r="BE26" i="33"/>
  <c r="BE12" i="33"/>
  <c r="BJ11" i="33"/>
  <c r="BE109" i="31"/>
  <c r="BE105" i="31"/>
  <c r="BE101" i="31"/>
  <c r="BE97" i="31"/>
  <c r="BE67" i="31"/>
  <c r="BE63" i="31"/>
  <c r="BE57" i="31"/>
  <c r="BE189" i="33"/>
  <c r="BE167" i="33"/>
  <c r="BE152" i="33"/>
  <c r="BE137" i="33"/>
  <c r="AS130" i="33"/>
  <c r="BE122" i="33"/>
  <c r="BE67" i="33"/>
  <c r="BE52" i="33"/>
  <c r="BE47" i="33"/>
  <c r="BE42" i="33"/>
  <c r="BE39" i="33"/>
  <c r="BE27" i="33"/>
  <c r="BE24" i="33"/>
  <c r="BE19" i="33"/>
  <c r="AJ17" i="33"/>
  <c r="BE11" i="33"/>
  <c r="BE93" i="31"/>
  <c r="BE89" i="31"/>
  <c r="BE85" i="31"/>
  <c r="BE81" i="31"/>
  <c r="BE74" i="31"/>
  <c r="BE70" i="31"/>
  <c r="BE51" i="31"/>
  <c r="BE37" i="31"/>
  <c r="BE34" i="31"/>
  <c r="BE21" i="31"/>
  <c r="BE16" i="31"/>
  <c r="BE10" i="31"/>
  <c r="BE173" i="33"/>
  <c r="BE143" i="33"/>
  <c r="BE9" i="33"/>
  <c r="BE84" i="31"/>
  <c r="BE69" i="31"/>
  <c r="BE40" i="31"/>
  <c r="BE11" i="31"/>
  <c r="BE66" i="31"/>
  <c r="BE33" i="31"/>
  <c r="BE43" i="31"/>
  <c r="BE22" i="31"/>
  <c r="BE14" i="31"/>
  <c r="BE45" i="33"/>
  <c r="BE22" i="33"/>
  <c r="BE62" i="31"/>
  <c r="BE37" i="33"/>
  <c r="BE88" i="31"/>
  <c r="BE30" i="33"/>
  <c r="BE100" i="31"/>
  <c r="BE25" i="31"/>
  <c r="BE54" i="33"/>
  <c r="BJ14" i="33"/>
  <c r="BJ96" i="31"/>
  <c r="BE56" i="31"/>
  <c r="BE45" i="31"/>
  <c r="BE28" i="31"/>
  <c r="BE24" i="31"/>
  <c r="BE18" i="31"/>
  <c r="BE39" i="31"/>
  <c r="BE54" i="31"/>
  <c r="BE56" i="33"/>
  <c r="BE59" i="31"/>
  <c r="BE15" i="31"/>
  <c r="BE105" i="33"/>
  <c r="BE34" i="33"/>
  <c r="AJ24" i="33"/>
  <c r="BE13" i="33"/>
  <c r="BE96" i="31"/>
  <c r="BE80" i="31"/>
  <c r="BE92" i="31"/>
  <c r="BE27" i="31"/>
  <c r="BE13" i="31"/>
  <c r="BJ15" i="33"/>
  <c r="BE53" i="31"/>
  <c r="BE194" i="33"/>
  <c r="BE165" i="33"/>
  <c r="BE108" i="31"/>
  <c r="BE77" i="31"/>
  <c r="BE49" i="31"/>
  <c r="BE50" i="33"/>
  <c r="BE73" i="31"/>
  <c r="BJ59" i="33"/>
  <c r="BE90" i="33"/>
  <c r="AJ36" i="33"/>
  <c r="BE12" i="31"/>
  <c r="BE128" i="33"/>
  <c r="BE70" i="33"/>
  <c r="BE59" i="33"/>
  <c r="BE32" i="33"/>
  <c r="AJ27" i="33"/>
  <c r="BE104" i="31"/>
  <c r="BE48" i="31"/>
  <c r="BE42" i="31"/>
  <c r="BE31" i="31"/>
  <c r="BE180" i="33"/>
  <c r="BE30" i="31"/>
  <c r="BE46" i="31"/>
  <c r="BE19" i="31"/>
  <c r="BJ51" i="33"/>
  <c r="L24" i="33"/>
  <c r="AJ42" i="33"/>
  <c r="BJ34" i="31"/>
  <c r="L21" i="33"/>
  <c r="AJ37" i="33"/>
  <c r="BJ36" i="33"/>
  <c r="BJ54" i="33"/>
  <c r="L170" i="33"/>
  <c r="L56" i="33"/>
  <c r="L161" i="33"/>
  <c r="BJ151" i="33"/>
  <c r="AJ31" i="33"/>
  <c r="AJ26" i="33"/>
  <c r="L15" i="33"/>
  <c r="BJ33" i="33"/>
  <c r="L34" i="33"/>
  <c r="L47" i="33"/>
  <c r="BJ52" i="33"/>
  <c r="L58" i="33"/>
  <c r="L76" i="33"/>
  <c r="L97" i="33"/>
  <c r="L98" i="33"/>
  <c r="BJ101" i="33"/>
  <c r="L102" i="33"/>
  <c r="AS96" i="33"/>
  <c r="L117" i="33"/>
  <c r="L114" i="33"/>
  <c r="BJ134" i="33"/>
  <c r="AS141" i="33"/>
  <c r="AS137" i="33"/>
  <c r="AS156" i="33"/>
  <c r="L164" i="33"/>
  <c r="L157" i="33"/>
  <c r="L180" i="33"/>
  <c r="AS182" i="33"/>
  <c r="AS199" i="33"/>
  <c r="L206" i="33"/>
  <c r="AS205" i="33"/>
  <c r="BJ14" i="31"/>
  <c r="BJ74" i="31"/>
  <c r="BJ85" i="31"/>
  <c r="BJ37" i="31"/>
  <c r="BJ80" i="31"/>
  <c r="BJ107" i="31"/>
  <c r="L105" i="33"/>
  <c r="BJ97" i="31"/>
  <c r="L124" i="33"/>
  <c r="L59" i="33"/>
  <c r="AS109" i="33"/>
  <c r="L86" i="33"/>
  <c r="AS101" i="33"/>
  <c r="L128" i="33"/>
  <c r="AJ34" i="33"/>
  <c r="BJ33" i="31"/>
  <c r="L36" i="33"/>
  <c r="BJ49" i="33"/>
  <c r="L54" i="33"/>
  <c r="BJ56" i="33"/>
  <c r="BJ170" i="33"/>
  <c r="BJ18" i="33"/>
  <c r="L10" i="33"/>
  <c r="L11" i="33"/>
  <c r="AJ15" i="33"/>
  <c r="L33" i="33"/>
  <c r="L37" i="33"/>
  <c r="L43" i="33"/>
  <c r="L29" i="33"/>
  <c r="BJ94" i="33"/>
  <c r="BJ91" i="33"/>
  <c r="BJ82" i="33"/>
  <c r="L101" i="33"/>
  <c r="AS89" i="33"/>
  <c r="AS114" i="33"/>
  <c r="AS105" i="33"/>
  <c r="L119" i="33"/>
  <c r="L118" i="33"/>
  <c r="L135" i="33"/>
  <c r="L132" i="33"/>
  <c r="BJ166" i="33"/>
  <c r="AS163" i="33"/>
  <c r="L173" i="33"/>
  <c r="AS185" i="33"/>
  <c r="L191" i="33"/>
  <c r="AS194" i="33"/>
  <c r="BJ12" i="31"/>
  <c r="BJ75" i="31"/>
  <c r="BJ92" i="31"/>
  <c r="B6" i="29"/>
  <c r="AJ38" i="33"/>
  <c r="BJ98" i="33"/>
  <c r="AS106" i="33"/>
  <c r="L137" i="33"/>
  <c r="L190" i="33"/>
  <c r="L143" i="33"/>
  <c r="L71" i="33"/>
  <c r="L112" i="33"/>
  <c r="BJ103" i="33"/>
  <c r="L153" i="33"/>
  <c r="AS164" i="33"/>
  <c r="L48" i="33"/>
  <c r="L95" i="33"/>
  <c r="AJ10" i="33"/>
  <c r="L35" i="33"/>
  <c r="L72" i="33"/>
  <c r="L70" i="33"/>
  <c r="L175" i="33"/>
  <c r="L42" i="33"/>
  <c r="L16" i="33"/>
  <c r="AJ11" i="33"/>
  <c r="L45" i="33"/>
  <c r="L50" i="33"/>
  <c r="L41" i="33"/>
  <c r="BJ65" i="33"/>
  <c r="L94" i="33"/>
  <c r="L91" i="33"/>
  <c r="BJ86" i="33"/>
  <c r="L84" i="33"/>
  <c r="AS93" i="33"/>
  <c r="L104" i="33"/>
  <c r="AS108" i="33"/>
  <c r="L123" i="33"/>
  <c r="L122" i="33"/>
  <c r="L139" i="33"/>
  <c r="L136" i="33"/>
  <c r="AS143" i="33"/>
  <c r="AS148" i="33"/>
  <c r="L166" i="33"/>
  <c r="AS166" i="33"/>
  <c r="BJ181" i="33"/>
  <c r="L183" i="33"/>
  <c r="L197" i="33"/>
  <c r="AS198" i="33"/>
  <c r="L202" i="33"/>
  <c r="BJ19" i="31"/>
  <c r="BJ25" i="31"/>
  <c r="BJ46" i="31"/>
  <c r="BJ72" i="31"/>
  <c r="BJ102" i="31"/>
  <c r="L67" i="33"/>
  <c r="L131" i="33"/>
  <c r="L185" i="33"/>
  <c r="BJ26" i="31"/>
  <c r="L160" i="33"/>
  <c r="L155" i="33"/>
  <c r="L108" i="33"/>
  <c r="BJ196" i="33"/>
  <c r="BJ167" i="33"/>
  <c r="BJ48" i="33"/>
  <c r="BJ95" i="33"/>
  <c r="L75" i="33"/>
  <c r="L38" i="33"/>
  <c r="AS171" i="33"/>
  <c r="L85" i="33"/>
  <c r="BJ17" i="33"/>
  <c r="L66" i="33"/>
  <c r="AJ16" i="33"/>
  <c r="AJ33" i="33"/>
  <c r="L60" i="33"/>
  <c r="BJ53" i="33"/>
  <c r="L61" i="33"/>
  <c r="L65" i="33"/>
  <c r="L78" i="33"/>
  <c r="BJ80" i="33"/>
  <c r="L99" i="33"/>
  <c r="L88" i="33"/>
  <c r="L96" i="33"/>
  <c r="BJ110" i="33"/>
  <c r="L106" i="33"/>
  <c r="AS122" i="33"/>
  <c r="BJ146" i="33"/>
  <c r="L145" i="33"/>
  <c r="AS150" i="33"/>
  <c r="L154" i="33"/>
  <c r="BJ169" i="33"/>
  <c r="BJ186" i="33"/>
  <c r="AS202" i="33"/>
  <c r="BJ30" i="31"/>
  <c r="BJ55" i="31"/>
  <c r="BJ77" i="31"/>
  <c r="BJ105" i="31"/>
  <c r="BJ21" i="33"/>
  <c r="L187" i="33"/>
  <c r="BJ30" i="33"/>
  <c r="BJ44" i="33"/>
  <c r="L142" i="33"/>
  <c r="AJ25" i="33"/>
  <c r="AJ40" i="33"/>
  <c r="BJ102" i="33"/>
  <c r="BJ140" i="33"/>
  <c r="AS178" i="33"/>
  <c r="L182" i="33"/>
  <c r="L167" i="33"/>
  <c r="L158" i="33"/>
  <c r="AS138" i="33"/>
  <c r="BJ116" i="33"/>
  <c r="BJ79" i="33"/>
  <c r="AS170" i="33"/>
  <c r="BJ75" i="33"/>
  <c r="L90" i="33"/>
  <c r="BJ35" i="33"/>
  <c r="BJ24" i="33"/>
  <c r="L82" i="33"/>
  <c r="L12" i="33"/>
  <c r="L20" i="33"/>
  <c r="L39" i="33"/>
  <c r="BJ60" i="33"/>
  <c r="L63" i="33"/>
  <c r="AS83" i="33"/>
  <c r="BJ99" i="33"/>
  <c r="L92" i="33"/>
  <c r="BJ100" i="33"/>
  <c r="AS119" i="33"/>
  <c r="L130" i="33"/>
  <c r="AS126" i="33"/>
  <c r="L146" i="33"/>
  <c r="BJ145" i="33"/>
  <c r="L150" i="33"/>
  <c r="BJ162" i="33"/>
  <c r="AS161" i="33"/>
  <c r="AS173" i="33"/>
  <c r="BJ194" i="33"/>
  <c r="L198" i="33"/>
  <c r="BJ201" i="33"/>
  <c r="BJ38" i="31"/>
  <c r="BJ59" i="31"/>
  <c r="BJ73" i="31"/>
  <c r="BJ100" i="31"/>
  <c r="L44" i="33"/>
  <c r="AJ22" i="33"/>
  <c r="L186" i="33"/>
  <c r="L22" i="33"/>
  <c r="L26" i="33"/>
  <c r="AS94" i="33"/>
  <c r="BJ143" i="33"/>
  <c r="BJ163" i="33"/>
  <c r="L178" i="33"/>
  <c r="L116" i="33"/>
  <c r="AJ13" i="33"/>
  <c r="L79" i="33"/>
  <c r="BJ147" i="33"/>
  <c r="L204" i="33"/>
  <c r="L113" i="33"/>
  <c r="BJ38" i="33"/>
  <c r="L57" i="33"/>
  <c r="L208" i="33"/>
  <c r="AJ12" i="33"/>
  <c r="AJ20" i="33"/>
  <c r="L23" i="33"/>
  <c r="L46" i="33"/>
  <c r="AJ32" i="33"/>
  <c r="BJ63" i="33"/>
  <c r="BJ87" i="33"/>
  <c r="L74" i="33"/>
  <c r="BJ83" i="33"/>
  <c r="AS87" i="33"/>
  <c r="L89" i="33"/>
  <c r="BJ111" i="33"/>
  <c r="AS123" i="33"/>
  <c r="BJ130" i="33"/>
  <c r="BJ129" i="33"/>
  <c r="AS139" i="33"/>
  <c r="AS146" i="33"/>
  <c r="AS152" i="33"/>
  <c r="AS167" i="33"/>
  <c r="BJ172" i="33"/>
  <c r="BJ184" i="33"/>
  <c r="L194" i="33"/>
  <c r="L199" i="33"/>
  <c r="L201" i="33"/>
  <c r="BJ58" i="31"/>
  <c r="BJ18" i="31"/>
  <c r="BJ76" i="31"/>
  <c r="BJ32" i="31"/>
  <c r="BJ63" i="31"/>
  <c r="BJ78" i="31"/>
  <c r="BJ103" i="31"/>
  <c r="L152" i="33"/>
  <c r="AS206" i="33"/>
  <c r="L171" i="33"/>
  <c r="AJ28" i="33"/>
  <c r="BJ28" i="31"/>
  <c r="L13" i="33"/>
  <c r="BJ187" i="33"/>
  <c r="AS157" i="33"/>
  <c r="BJ207" i="33"/>
  <c r="BJ90" i="33"/>
  <c r="L121" i="33"/>
  <c r="L25" i="33"/>
  <c r="AJ9" i="33"/>
  <c r="AJ23" i="33"/>
  <c r="BJ67" i="33"/>
  <c r="L40" i="33"/>
  <c r="AJ35" i="33"/>
  <c r="L87" i="33"/>
  <c r="AS78" i="33"/>
  <c r="L83" i="33"/>
  <c r="AS91" i="33"/>
  <c r="L93" i="33"/>
  <c r="BJ105" i="33"/>
  <c r="AS118" i="33"/>
  <c r="AS102" i="33"/>
  <c r="BJ131" i="33"/>
  <c r="L129" i="33"/>
  <c r="AS140" i="33"/>
  <c r="BJ155" i="33"/>
  <c r="AS160" i="33"/>
  <c r="L163" i="33"/>
  <c r="L172" i="33"/>
  <c r="AS191" i="33"/>
  <c r="L205" i="33"/>
  <c r="BJ47" i="31"/>
  <c r="BJ65" i="31"/>
  <c r="BJ88" i="31"/>
  <c r="BJ104" i="31"/>
  <c r="BJ203" i="33"/>
  <c r="L156" i="33"/>
  <c r="BJ64" i="31"/>
  <c r="BJ101" i="31"/>
  <c r="BJ87" i="31"/>
  <c r="AJ48" i="33"/>
  <c r="AJ61" i="33"/>
  <c r="AJ47" i="33"/>
  <c r="AJ45" i="33"/>
  <c r="AJ60" i="33"/>
  <c r="AJ56" i="33"/>
  <c r="AJ51" i="33"/>
  <c r="AJ64" i="33"/>
  <c r="AJ62" i="33"/>
  <c r="AJ73" i="33"/>
  <c r="AJ43" i="33"/>
  <c r="AJ69" i="33"/>
  <c r="AJ59" i="33"/>
  <c r="AJ66" i="33"/>
  <c r="AJ63" i="33"/>
  <c r="AJ71" i="33"/>
  <c r="AJ65" i="33"/>
  <c r="AJ58" i="33"/>
  <c r="AJ68" i="33"/>
  <c r="AJ75" i="33"/>
  <c r="AJ44" i="33"/>
  <c r="AJ72" i="33"/>
  <c r="AJ50" i="33"/>
  <c r="AJ70" i="33"/>
  <c r="AJ53" i="33"/>
  <c r="AJ54" i="33"/>
  <c r="AJ67" i="33"/>
  <c r="AJ57" i="33"/>
  <c r="AJ46" i="33"/>
  <c r="M57" i="29"/>
  <c r="M58" i="29" s="1"/>
  <c r="M41" i="29"/>
  <c r="M42" i="29" s="1"/>
  <c r="W16" i="29"/>
  <c r="M33" i="29"/>
  <c r="M34" i="29" s="1"/>
  <c r="M76" i="29"/>
  <c r="M77" i="29" s="1"/>
  <c r="BM6" i="31"/>
  <c r="BL6" i="31"/>
  <c r="Y7" i="29"/>
  <c r="L99" i="31"/>
  <c r="L55" i="31"/>
  <c r="L70" i="31"/>
  <c r="L16" i="31"/>
  <c r="L11" i="31"/>
  <c r="L20" i="31"/>
  <c r="L39" i="31"/>
  <c r="L15" i="31"/>
  <c r="L109" i="31"/>
  <c r="L29" i="31"/>
  <c r="L31" i="31"/>
  <c r="L9" i="31"/>
  <c r="L58" i="31"/>
  <c r="L103" i="31"/>
  <c r="L18" i="31"/>
  <c r="L46" i="31"/>
  <c r="L74" i="31"/>
  <c r="L73" i="31"/>
  <c r="L35" i="31"/>
  <c r="L82" i="31"/>
  <c r="L13" i="31"/>
  <c r="L61" i="31"/>
  <c r="L25" i="31"/>
  <c r="L104" i="31"/>
  <c r="L44" i="31"/>
  <c r="L66" i="31"/>
  <c r="L107" i="31"/>
  <c r="L89" i="31"/>
  <c r="L33" i="31"/>
  <c r="L77" i="31"/>
  <c r="L106" i="31"/>
  <c r="L97" i="31"/>
  <c r="L34" i="31"/>
  <c r="L30" i="31"/>
  <c r="L86" i="31"/>
  <c r="L68" i="31"/>
  <c r="L42" i="31"/>
  <c r="L75" i="31"/>
  <c r="L87" i="31"/>
  <c r="L38" i="31"/>
  <c r="L26" i="31"/>
  <c r="L28" i="31"/>
  <c r="L98" i="31"/>
  <c r="L40" i="31"/>
  <c r="L96" i="31"/>
  <c r="L45" i="31"/>
  <c r="L101" i="31"/>
  <c r="L64" i="31"/>
  <c r="L88" i="31"/>
  <c r="L72" i="31"/>
  <c r="L54" i="31"/>
  <c r="L19" i="31"/>
  <c r="L59" i="31"/>
  <c r="L23" i="31"/>
  <c r="L56" i="31"/>
  <c r="L65" i="31"/>
  <c r="L108" i="31"/>
  <c r="L62" i="31"/>
  <c r="L78" i="31"/>
  <c r="L80" i="31"/>
  <c r="L94" i="31"/>
  <c r="L81" i="31"/>
  <c r="L32" i="31"/>
  <c r="L95" i="31"/>
  <c r="L12" i="31"/>
  <c r="L105" i="31"/>
  <c r="L47" i="31"/>
  <c r="L43" i="31"/>
  <c r="L52" i="31"/>
  <c r="L102" i="31"/>
  <c r="L63" i="31"/>
  <c r="L37" i="31"/>
  <c r="L79" i="31"/>
  <c r="L90" i="31"/>
  <c r="L14" i="31"/>
  <c r="L76" i="31"/>
  <c r="L48" i="31"/>
  <c r="L36" i="31"/>
  <c r="L71" i="31"/>
  <c r="L91" i="31"/>
  <c r="L69" i="31"/>
  <c r="L84" i="31"/>
  <c r="L92" i="31"/>
  <c r="L100" i="31"/>
  <c r="L22" i="31"/>
  <c r="L21" i="31"/>
  <c r="L67" i="31"/>
  <c r="L10" i="31"/>
  <c r="L85" i="31"/>
  <c r="B145" i="2"/>
  <c r="B31" i="28"/>
  <c r="E609" i="28"/>
  <c r="E601" i="28"/>
  <c r="E593" i="28"/>
  <c r="E585" i="28"/>
  <c r="E577" i="28"/>
  <c r="E569" i="28"/>
  <c r="E561" i="28"/>
  <c r="E553" i="28"/>
  <c r="E545" i="28"/>
  <c r="E537" i="28"/>
  <c r="E529" i="28"/>
  <c r="E521" i="28"/>
  <c r="E513" i="28"/>
  <c r="E505" i="28"/>
  <c r="E497" i="28"/>
  <c r="E489" i="28"/>
  <c r="E481" i="28"/>
  <c r="E473" i="28"/>
  <c r="E465" i="28"/>
  <c r="E457" i="28"/>
  <c r="E449" i="28"/>
  <c r="E441" i="28"/>
  <c r="E433" i="28"/>
  <c r="E425" i="28"/>
  <c r="E417" i="28"/>
  <c r="E409" i="28"/>
  <c r="E401" i="28"/>
  <c r="E393" i="28"/>
  <c r="E385" i="28"/>
  <c r="E377" i="28"/>
  <c r="E369" i="28"/>
  <c r="E361" i="28"/>
  <c r="E353" i="28"/>
  <c r="E345" i="28"/>
  <c r="E337" i="28"/>
  <c r="E329" i="28"/>
  <c r="E321" i="28"/>
  <c r="E313" i="28"/>
  <c r="E305" i="28"/>
  <c r="E297" i="28"/>
  <c r="E289" i="28"/>
  <c r="E281" i="28"/>
  <c r="E273" i="28"/>
  <c r="E265" i="28"/>
  <c r="E257" i="28"/>
  <c r="E249" i="28"/>
  <c r="E241" i="28"/>
  <c r="E233" i="28"/>
  <c r="E225" i="28"/>
  <c r="E217" i="28"/>
  <c r="E209" i="28"/>
  <c r="E201" i="28"/>
  <c r="E193" i="28"/>
  <c r="E185" i="28"/>
  <c r="E177" i="28"/>
  <c r="E169" i="28"/>
  <c r="E161" i="28"/>
  <c r="E153" i="28"/>
  <c r="E145" i="28"/>
  <c r="E137" i="28"/>
  <c r="E129" i="28"/>
  <c r="E121" i="28"/>
  <c r="E113" i="28"/>
  <c r="E105" i="28"/>
  <c r="E97" i="28"/>
  <c r="E89" i="28"/>
  <c r="E81" i="28"/>
  <c r="E73" i="28"/>
  <c r="E65" i="28"/>
  <c r="E57" i="28"/>
  <c r="E49" i="28"/>
  <c r="E41" i="28"/>
  <c r="E33" i="28"/>
  <c r="E25" i="28"/>
  <c r="E17" i="28"/>
  <c r="E608" i="28"/>
  <c r="E600" i="28"/>
  <c r="E592" i="28"/>
  <c r="E584" i="28"/>
  <c r="E576" i="28"/>
  <c r="E568" i="28"/>
  <c r="E560" i="28"/>
  <c r="E552" i="28"/>
  <c r="E544" i="28"/>
  <c r="E536" i="28"/>
  <c r="E528" i="28"/>
  <c r="E520" i="28"/>
  <c r="E512" i="28"/>
  <c r="E504" i="28"/>
  <c r="E496" i="28"/>
  <c r="E488" i="28"/>
  <c r="E480" i="28"/>
  <c r="E472" i="28"/>
  <c r="E464" i="28"/>
  <c r="E456" i="28"/>
  <c r="E448" i="28"/>
  <c r="E440" i="28"/>
  <c r="E432" i="28"/>
  <c r="E424" i="28"/>
  <c r="E416" i="28"/>
  <c r="E408" i="28"/>
  <c r="E400" i="28"/>
  <c r="E392" i="28"/>
  <c r="E384" i="28"/>
  <c r="E376" i="28"/>
  <c r="E368" i="28"/>
  <c r="E360" i="28"/>
  <c r="E352" i="28"/>
  <c r="E344" i="28"/>
  <c r="E336" i="28"/>
  <c r="E328" i="28"/>
  <c r="E320" i="28"/>
  <c r="E312" i="28"/>
  <c r="E304" i="28"/>
  <c r="E296" i="28"/>
  <c r="E288" i="28"/>
  <c r="E280" i="28"/>
  <c r="E272" i="28"/>
  <c r="E264" i="28"/>
  <c r="E256" i="28"/>
  <c r="E248" i="28"/>
  <c r="E240" i="28"/>
  <c r="E232" i="28"/>
  <c r="E224" i="28"/>
  <c r="E216" i="28"/>
  <c r="E208" i="28"/>
  <c r="E200" i="28"/>
  <c r="E192" i="28"/>
  <c r="E184" i="28"/>
  <c r="E176" i="28"/>
  <c r="E168" i="28"/>
  <c r="E160" i="28"/>
  <c r="E152" i="28"/>
  <c r="E144" i="28"/>
  <c r="E136" i="28"/>
  <c r="E128" i="28"/>
  <c r="E120" i="28"/>
  <c r="E112" i="28"/>
  <c r="E104" i="28"/>
  <c r="E96" i="28"/>
  <c r="E88" i="28"/>
  <c r="E80" i="28"/>
  <c r="E72" i="28"/>
  <c r="E64" i="28"/>
  <c r="E56" i="28"/>
  <c r="E48" i="28"/>
  <c r="E40" i="28"/>
  <c r="E32" i="28"/>
  <c r="E24" i="28"/>
  <c r="E16" i="28"/>
  <c r="E607" i="28"/>
  <c r="E599" i="28"/>
  <c r="E591" i="28"/>
  <c r="E583" i="28"/>
  <c r="E575" i="28"/>
  <c r="E567" i="28"/>
  <c r="E559" i="28"/>
  <c r="E551" i="28"/>
  <c r="E543" i="28"/>
  <c r="E535" i="28"/>
  <c r="E527" i="28"/>
  <c r="E519" i="28"/>
  <c r="E511" i="28"/>
  <c r="E503" i="28"/>
  <c r="E495" i="28"/>
  <c r="E487" i="28"/>
  <c r="E479" i="28"/>
  <c r="E471" i="28"/>
  <c r="E463" i="28"/>
  <c r="E455" i="28"/>
  <c r="E447" i="28"/>
  <c r="E439" i="28"/>
  <c r="E431" i="28"/>
  <c r="E423" i="28"/>
  <c r="E415" i="28"/>
  <c r="E407" i="28"/>
  <c r="E399" i="28"/>
  <c r="E391" i="28"/>
  <c r="E383" i="28"/>
  <c r="E375" i="28"/>
  <c r="E367" i="28"/>
  <c r="E359" i="28"/>
  <c r="E351" i="28"/>
  <c r="E343" i="28"/>
  <c r="E335" i="28"/>
  <c r="E327" i="28"/>
  <c r="E319" i="28"/>
  <c r="E311" i="28"/>
  <c r="E303" i="28"/>
  <c r="E295" i="28"/>
  <c r="E287" i="28"/>
  <c r="E279" i="28"/>
  <c r="E271" i="28"/>
  <c r="E263" i="28"/>
  <c r="E255" i="28"/>
  <c r="E247" i="28"/>
  <c r="E239" i="28"/>
  <c r="E231" i="28"/>
  <c r="E223" i="28"/>
  <c r="E215" i="28"/>
  <c r="E207" i="28"/>
  <c r="E199" i="28"/>
  <c r="E191" i="28"/>
  <c r="E183" i="28"/>
  <c r="E175" i="28"/>
  <c r="E167" i="28"/>
  <c r="E159" i="28"/>
  <c r="E151" i="28"/>
  <c r="E143" i="28"/>
  <c r="E135" i="28"/>
  <c r="E127" i="28"/>
  <c r="E119" i="28"/>
  <c r="E111" i="28"/>
  <c r="E103" i="28"/>
  <c r="E95" i="28"/>
  <c r="E87" i="28"/>
  <c r="E79" i="28"/>
  <c r="E71" i="28"/>
  <c r="E63" i="28"/>
  <c r="E55" i="28"/>
  <c r="E47" i="28"/>
  <c r="E39" i="28"/>
  <c r="E31" i="28"/>
  <c r="E23" i="28"/>
  <c r="E15" i="28"/>
  <c r="E606" i="28"/>
  <c r="E598" i="28"/>
  <c r="E590" i="28"/>
  <c r="E582" i="28"/>
  <c r="E574" i="28"/>
  <c r="E566" i="28"/>
  <c r="E558" i="28"/>
  <c r="E550" i="28"/>
  <c r="E542" i="28"/>
  <c r="E534" i="28"/>
  <c r="E526" i="28"/>
  <c r="E518" i="28"/>
  <c r="E510" i="28"/>
  <c r="E502" i="28"/>
  <c r="E494" i="28"/>
  <c r="E486" i="28"/>
  <c r="E478" i="28"/>
  <c r="E470" i="28"/>
  <c r="E462" i="28"/>
  <c r="E454" i="28"/>
  <c r="E446" i="28"/>
  <c r="E438" i="28"/>
  <c r="E430" i="28"/>
  <c r="E422" i="28"/>
  <c r="E414" i="28"/>
  <c r="E406" i="28"/>
  <c r="E398" i="28"/>
  <c r="E390" i="28"/>
  <c r="E382" i="28"/>
  <c r="E374" i="28"/>
  <c r="E366" i="28"/>
  <c r="E358" i="28"/>
  <c r="E350" i="28"/>
  <c r="E342" i="28"/>
  <c r="E334" i="28"/>
  <c r="E326" i="28"/>
  <c r="E318" i="28"/>
  <c r="E310" i="28"/>
  <c r="E302" i="28"/>
  <c r="E294" i="28"/>
  <c r="E286" i="28"/>
  <c r="E278" i="28"/>
  <c r="E270" i="28"/>
  <c r="E262" i="28"/>
  <c r="E254" i="28"/>
  <c r="E246" i="28"/>
  <c r="E238" i="28"/>
  <c r="E230" i="28"/>
  <c r="E222" i="28"/>
  <c r="E214" i="28"/>
  <c r="E206" i="28"/>
  <c r="E198" i="28"/>
  <c r="E190" i="28"/>
  <c r="E182" i="28"/>
  <c r="E174" i="28"/>
  <c r="E166" i="28"/>
  <c r="E158" i="28"/>
  <c r="E150" i="28"/>
  <c r="E142" i="28"/>
  <c r="E134" i="28"/>
  <c r="E126" i="28"/>
  <c r="E118" i="28"/>
  <c r="E110" i="28"/>
  <c r="E102" i="28"/>
  <c r="E94" i="28"/>
  <c r="E86" i="28"/>
  <c r="E78" i="28"/>
  <c r="E70" i="28"/>
  <c r="E62" i="28"/>
  <c r="E54" i="28"/>
  <c r="E46" i="28"/>
  <c r="E38" i="28"/>
  <c r="E30" i="28"/>
  <c r="E22" i="28"/>
  <c r="E14" i="28"/>
  <c r="E613" i="28"/>
  <c r="E605" i="28"/>
  <c r="E597" i="28"/>
  <c r="E589" i="28"/>
  <c r="E581" i="28"/>
  <c r="E573" i="28"/>
  <c r="E565" i="28"/>
  <c r="E557" i="28"/>
  <c r="E549" i="28"/>
  <c r="E541" i="28"/>
  <c r="E533" i="28"/>
  <c r="E525" i="28"/>
  <c r="E517" i="28"/>
  <c r="E509" i="28"/>
  <c r="E501" i="28"/>
  <c r="E493" i="28"/>
  <c r="E485" i="28"/>
  <c r="E477" i="28"/>
  <c r="E469" i="28"/>
  <c r="E461" i="28"/>
  <c r="E453" i="28"/>
  <c r="E445" i="28"/>
  <c r="E437" i="28"/>
  <c r="E429" i="28"/>
  <c r="E421" i="28"/>
  <c r="E413" i="28"/>
  <c r="E405" i="28"/>
  <c r="E397" i="28"/>
  <c r="E389" i="28"/>
  <c r="E381" i="28"/>
  <c r="E373" i="28"/>
  <c r="E365" i="28"/>
  <c r="E357" i="28"/>
  <c r="E349" i="28"/>
  <c r="E341" i="28"/>
  <c r="E333" i="28"/>
  <c r="E325" i="28"/>
  <c r="E317" i="28"/>
  <c r="E309" i="28"/>
  <c r="E301" i="28"/>
  <c r="E293" i="28"/>
  <c r="E285" i="28"/>
  <c r="E277" i="28"/>
  <c r="E269" i="28"/>
  <c r="E261" i="28"/>
  <c r="E253" i="28"/>
  <c r="E245" i="28"/>
  <c r="E237" i="28"/>
  <c r="E229" i="28"/>
  <c r="E221" i="28"/>
  <c r="E213" i="28"/>
  <c r="E205" i="28"/>
  <c r="E197" i="28"/>
  <c r="E189" i="28"/>
  <c r="E181" i="28"/>
  <c r="E173" i="28"/>
  <c r="E165" i="28"/>
  <c r="E157" i="28"/>
  <c r="E149" i="28"/>
  <c r="E141" i="28"/>
  <c r="E133" i="28"/>
  <c r="E125" i="28"/>
  <c r="E117" i="28"/>
  <c r="E109" i="28"/>
  <c r="E101" i="28"/>
  <c r="E93" i="28"/>
  <c r="E85" i="28"/>
  <c r="E77" i="28"/>
  <c r="E69" i="28"/>
  <c r="E61" i="28"/>
  <c r="E53" i="28"/>
  <c r="E45" i="28"/>
  <c r="E37" i="28"/>
  <c r="E29" i="28"/>
  <c r="E21" i="28"/>
  <c r="E611" i="28"/>
  <c r="E603" i="28"/>
  <c r="E595" i="28"/>
  <c r="E587" i="28"/>
  <c r="E579" i="28"/>
  <c r="E571" i="28"/>
  <c r="E563" i="28"/>
  <c r="E555" i="28"/>
  <c r="E547" i="28"/>
  <c r="E539" i="28"/>
  <c r="E531" i="28"/>
  <c r="E523" i="28"/>
  <c r="E515" i="28"/>
  <c r="E507" i="28"/>
  <c r="E499" i="28"/>
  <c r="E491" i="28"/>
  <c r="E483" i="28"/>
  <c r="E475" i="28"/>
  <c r="E467" i="28"/>
  <c r="E459" i="28"/>
  <c r="E451" i="28"/>
  <c r="E443" i="28"/>
  <c r="E435" i="28"/>
  <c r="E427" i="28"/>
  <c r="E419" i="28"/>
  <c r="E411" i="28"/>
  <c r="E403" i="28"/>
  <c r="E395" i="28"/>
  <c r="E387" i="28"/>
  <c r="E379" i="28"/>
  <c r="E371" i="28"/>
  <c r="E363" i="28"/>
  <c r="E355" i="28"/>
  <c r="E347" i="28"/>
  <c r="E339" i="28"/>
  <c r="E331" i="28"/>
  <c r="E323" i="28"/>
  <c r="E315" i="28"/>
  <c r="E307" i="28"/>
  <c r="E299" i="28"/>
  <c r="E291" i="28"/>
  <c r="E283" i="28"/>
  <c r="E275" i="28"/>
  <c r="E267" i="28"/>
  <c r="E259" i="28"/>
  <c r="E251" i="28"/>
  <c r="E243" i="28"/>
  <c r="E235" i="28"/>
  <c r="E227" i="28"/>
  <c r="E219" i="28"/>
  <c r="E211" i="28"/>
  <c r="E203" i="28"/>
  <c r="E195" i="28"/>
  <c r="E187" i="28"/>
  <c r="E179" i="28"/>
  <c r="E171" i="28"/>
  <c r="E163" i="28"/>
  <c r="E155" i="28"/>
  <c r="E147" i="28"/>
  <c r="E139" i="28"/>
  <c r="E131" i="28"/>
  <c r="E123" i="28"/>
  <c r="E115" i="28"/>
  <c r="E107" i="28"/>
  <c r="E99" i="28"/>
  <c r="E91" i="28"/>
  <c r="E83" i="28"/>
  <c r="E75" i="28"/>
  <c r="E67" i="28"/>
  <c r="E59" i="28"/>
  <c r="E51" i="28"/>
  <c r="E43" i="28"/>
  <c r="E35" i="28"/>
  <c r="E27" i="28"/>
  <c r="E19" i="28"/>
  <c r="B13" i="28"/>
  <c r="E610" i="28"/>
  <c r="E602" i="28"/>
  <c r="E594" i="28"/>
  <c r="E586" i="28"/>
  <c r="E578" i="28"/>
  <c r="E570" i="28"/>
  <c r="E562" i="28"/>
  <c r="E554" i="28"/>
  <c r="E546" i="28"/>
  <c r="E538" i="28"/>
  <c r="E530" i="28"/>
  <c r="E522" i="28"/>
  <c r="E514" i="28"/>
  <c r="E506" i="28"/>
  <c r="E498" i="28"/>
  <c r="E564" i="28"/>
  <c r="E500" i="28"/>
  <c r="E466" i="28"/>
  <c r="E434" i="28"/>
  <c r="E402" i="28"/>
  <c r="E370" i="28"/>
  <c r="E338" i="28"/>
  <c r="E306" i="28"/>
  <c r="E274" i="28"/>
  <c r="E242" i="28"/>
  <c r="E210" i="28"/>
  <c r="E178" i="28"/>
  <c r="E146" i="28"/>
  <c r="E114" i="28"/>
  <c r="E82" i="28"/>
  <c r="E50" i="28"/>
  <c r="E18" i="28"/>
  <c r="E556" i="28"/>
  <c r="E492" i="28"/>
  <c r="E460" i="28"/>
  <c r="E428" i="28"/>
  <c r="E396" i="28"/>
  <c r="E364" i="28"/>
  <c r="E332" i="28"/>
  <c r="E300" i="28"/>
  <c r="E268" i="28"/>
  <c r="E236" i="28"/>
  <c r="E204" i="28"/>
  <c r="E172" i="28"/>
  <c r="E140" i="28"/>
  <c r="E108" i="28"/>
  <c r="E76" i="28"/>
  <c r="E44" i="28"/>
  <c r="E13" i="28"/>
  <c r="E410" i="28"/>
  <c r="E122" i="28"/>
  <c r="E404" i="28"/>
  <c r="E244" i="28"/>
  <c r="E84" i="28"/>
  <c r="E612" i="28"/>
  <c r="E548" i="28"/>
  <c r="E490" i="28"/>
  <c r="E458" i="28"/>
  <c r="E426" i="28"/>
  <c r="E394" i="28"/>
  <c r="E362" i="28"/>
  <c r="E330" i="28"/>
  <c r="E298" i="28"/>
  <c r="E266" i="28"/>
  <c r="E234" i="28"/>
  <c r="E202" i="28"/>
  <c r="E170" i="28"/>
  <c r="E138" i="28"/>
  <c r="E106" i="28"/>
  <c r="E74" i="28"/>
  <c r="E42" i="28"/>
  <c r="E442" i="28"/>
  <c r="E90" i="28"/>
  <c r="E436" i="28"/>
  <c r="E212" i="28"/>
  <c r="E604" i="28"/>
  <c r="E540" i="28"/>
  <c r="E484" i="28"/>
  <c r="E452" i="28"/>
  <c r="E420" i="28"/>
  <c r="E388" i="28"/>
  <c r="E356" i="28"/>
  <c r="E324" i="28"/>
  <c r="E292" i="28"/>
  <c r="E260" i="28"/>
  <c r="E228" i="28"/>
  <c r="E196" i="28"/>
  <c r="E164" i="28"/>
  <c r="E132" i="28"/>
  <c r="E100" i="28"/>
  <c r="E68" i="28"/>
  <c r="E36" i="28"/>
  <c r="E580" i="28"/>
  <c r="E58" i="28"/>
  <c r="E508" i="28"/>
  <c r="E372" i="28"/>
  <c r="E276" i="28"/>
  <c r="E116" i="28"/>
  <c r="E596" i="28"/>
  <c r="E532" i="28"/>
  <c r="E482" i="28"/>
  <c r="E450" i="28"/>
  <c r="E418" i="28"/>
  <c r="E386" i="28"/>
  <c r="E354" i="28"/>
  <c r="E322" i="28"/>
  <c r="E290" i="28"/>
  <c r="E258" i="28"/>
  <c r="E226" i="28"/>
  <c r="E194" i="28"/>
  <c r="E162" i="28"/>
  <c r="E130" i="28"/>
  <c r="E98" i="28"/>
  <c r="E66" i="28"/>
  <c r="E34" i="28"/>
  <c r="E474" i="28"/>
  <c r="E346" i="28"/>
  <c r="E282" i="28"/>
  <c r="E218" i="28"/>
  <c r="E154" i="28"/>
  <c r="E468" i="28"/>
  <c r="E308" i="28"/>
  <c r="E148" i="28"/>
  <c r="E20" i="28"/>
  <c r="E588" i="28"/>
  <c r="E524" i="28"/>
  <c r="E476" i="28"/>
  <c r="E444" i="28"/>
  <c r="E412" i="28"/>
  <c r="E380" i="28"/>
  <c r="E348" i="28"/>
  <c r="E316" i="28"/>
  <c r="E284" i="28"/>
  <c r="E252" i="28"/>
  <c r="E220" i="28"/>
  <c r="E188" i="28"/>
  <c r="E156" i="28"/>
  <c r="E124" i="28"/>
  <c r="E92" i="28"/>
  <c r="E60" i="28"/>
  <c r="E28" i="28"/>
  <c r="E516" i="28"/>
  <c r="E378" i="28"/>
  <c r="E314" i="28"/>
  <c r="E250" i="28"/>
  <c r="E186" i="28"/>
  <c r="E26" i="28"/>
  <c r="E572" i="28"/>
  <c r="E340" i="28"/>
  <c r="E180" i="28"/>
  <c r="E52" i="28"/>
  <c r="E624" i="28"/>
  <c r="E625" i="28"/>
  <c r="E629" i="28"/>
  <c r="E627" i="28"/>
  <c r="E626" i="28"/>
  <c r="B162" i="2"/>
  <c r="E33" i="1" s="1"/>
  <c r="B2" i="28"/>
  <c r="B30" i="28"/>
  <c r="B32" i="28" s="1"/>
  <c r="B12" i="28"/>
  <c r="B11" i="28"/>
  <c r="B9" i="28"/>
  <c r="B8" i="28"/>
  <c r="B134" i="2"/>
  <c r="L73" i="2"/>
  <c r="B71" i="2"/>
  <c r="L66" i="2"/>
  <c r="O65" i="2"/>
  <c r="B72" i="2" s="1"/>
  <c r="O66" i="2"/>
  <c r="B73" i="2" s="1"/>
  <c r="L65" i="2"/>
  <c r="B147" i="2"/>
  <c r="B156" i="2"/>
  <c r="B158" i="2"/>
  <c r="B164" i="2"/>
  <c r="N15" i="8" s="1"/>
  <c r="O15" i="8" s="1"/>
  <c r="L81" i="2"/>
  <c r="B539" i="2"/>
  <c r="B4" i="11"/>
  <c r="D4" i="11" s="1"/>
  <c r="B6" i="11" s="1"/>
  <c r="D6" i="11" s="1"/>
  <c r="D209" i="2"/>
  <c r="D207" i="2"/>
  <c r="H207" i="2"/>
  <c r="D129" i="2"/>
  <c r="D128" i="2"/>
  <c r="D127" i="2"/>
  <c r="D438" i="2"/>
  <c r="B477" i="2"/>
  <c r="B438" i="2"/>
  <c r="C479" i="2"/>
  <c r="B503" i="2"/>
  <c r="K371" i="2"/>
  <c r="A491" i="2"/>
  <c r="B491" i="2"/>
  <c r="D151" i="2"/>
  <c r="B316" i="2"/>
  <c r="B315" i="2"/>
  <c r="B319" i="2" s="1"/>
  <c r="E392" i="2"/>
  <c r="D153" i="2"/>
  <c r="D156" i="2"/>
  <c r="D158" i="2"/>
  <c r="B78" i="2"/>
  <c r="B397" i="2"/>
  <c r="N10" i="8" s="1"/>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B15" i="2"/>
  <c r="B17" i="2" s="1"/>
  <c r="B353" i="2"/>
  <c r="B14" i="2"/>
  <c r="B5" i="28" s="1"/>
  <c r="D189" i="2"/>
  <c r="E87" i="2"/>
  <c r="E88" i="2"/>
  <c r="D191" i="2"/>
  <c r="E89" i="2"/>
  <c r="M173" i="2"/>
  <c r="D111" i="2"/>
  <c r="D178" i="2"/>
  <c r="C55" i="2"/>
  <c r="C81" i="2"/>
  <c r="C99" i="2"/>
  <c r="D65" i="2"/>
  <c r="C101" i="2"/>
  <c r="D67" i="2"/>
  <c r="C56" i="2"/>
  <c r="D112" i="2"/>
  <c r="C83" i="2"/>
  <c r="C57" i="2"/>
  <c r="D180" i="2"/>
  <c r="M175" i="2"/>
  <c r="C82" i="2"/>
  <c r="M174" i="2"/>
  <c r="D66" i="2"/>
  <c r="C100" i="2"/>
  <c r="D113" i="2"/>
  <c r="B57" i="2"/>
  <c r="B63" i="2" s="1"/>
  <c r="B55" i="2"/>
  <c r="B133" i="2" s="1"/>
  <c r="B56" i="2"/>
  <c r="B62" i="2" s="1"/>
  <c r="C52" i="2"/>
  <c r="B52" i="2"/>
  <c r="B53" i="2" s="1"/>
  <c r="B3" i="8"/>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B9" i="8" s="1"/>
  <c r="B8" i="8" s="1"/>
  <c r="B7" i="8" s="1"/>
  <c r="B6" i="8" s="1"/>
  <c r="B4" i="8" s="1"/>
  <c r="B501" i="2"/>
  <c r="O21" i="8"/>
  <c r="N4" i="8"/>
  <c r="O4" i="8" s="1"/>
  <c r="E12" i="1" s="1"/>
  <c r="O9" i="8"/>
  <c r="F86" i="1"/>
  <c r="B415" i="2"/>
  <c r="D392" i="2"/>
  <c r="H159" i="8"/>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B4" i="6"/>
  <c r="B12" i="6" s="1"/>
  <c r="B13" i="6" s="1"/>
  <c r="B104" i="2"/>
  <c r="B372" i="2"/>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L60" i="31" l="1"/>
  <c r="AJ52" i="33"/>
  <c r="BJ179" i="33"/>
  <c r="BJ109" i="33"/>
  <c r="L109" i="33"/>
  <c r="L149" i="33"/>
  <c r="BJ149" i="33"/>
  <c r="BJ69" i="33"/>
  <c r="L69" i="33"/>
  <c r="BJ68" i="33"/>
  <c r="L68" i="33"/>
  <c r="L188" i="33"/>
  <c r="AS188" i="33"/>
  <c r="L100" i="33"/>
  <c r="AS100" i="33"/>
  <c r="L53" i="33"/>
  <c r="AS193" i="33"/>
  <c r="L193" i="33"/>
  <c r="L181" i="33"/>
  <c r="AS181" i="33"/>
  <c r="L77" i="33"/>
  <c r="AS77" i="33"/>
  <c r="AS169" i="33"/>
  <c r="L169" i="33"/>
  <c r="AS134" i="33"/>
  <c r="L134" i="33"/>
  <c r="L50" i="31"/>
  <c r="L133" i="33"/>
  <c r="L80" i="33"/>
  <c r="L17" i="31"/>
  <c r="L19" i="33"/>
  <c r="BJ19" i="33"/>
  <c r="BJ31" i="33"/>
  <c r="L31" i="33"/>
  <c r="L115" i="33"/>
  <c r="BJ115" i="33"/>
  <c r="L177" i="33"/>
  <c r="BJ177" i="33"/>
  <c r="BJ126" i="33"/>
  <c r="L126" i="33"/>
  <c r="BJ141" i="33"/>
  <c r="L141" i="33"/>
  <c r="L195" i="33"/>
  <c r="AS195" i="33"/>
  <c r="L55" i="33"/>
  <c r="AJ55" i="33"/>
  <c r="L52" i="33"/>
  <c r="L110" i="33"/>
  <c r="AS110" i="33"/>
  <c r="AS120" i="33"/>
  <c r="L120" i="33"/>
  <c r="AS103" i="33"/>
  <c r="L103" i="33"/>
  <c r="AS184" i="33"/>
  <c r="L184" i="33"/>
  <c r="AS162" i="33"/>
  <c r="L162" i="33"/>
  <c r="L51" i="31"/>
  <c r="L49" i="31"/>
  <c r="L57" i="31"/>
  <c r="L62" i="33"/>
  <c r="BJ28" i="33"/>
  <c r="L28" i="33"/>
  <c r="L127" i="33"/>
  <c r="BJ73" i="33"/>
  <c r="L73" i="33"/>
  <c r="BJ165" i="33"/>
  <c r="L165" i="33"/>
  <c r="BJ176" i="33"/>
  <c r="L176" i="33"/>
  <c r="L189" i="33"/>
  <c r="BJ189" i="33"/>
  <c r="BJ200" i="33"/>
  <c r="L200" i="33"/>
  <c r="L49" i="33"/>
  <c r="L168" i="33"/>
  <c r="L125" i="33"/>
  <c r="AS125" i="33"/>
  <c r="AS80" i="33"/>
  <c r="L159" i="33"/>
  <c r="AS209" i="33"/>
  <c r="L209" i="33"/>
  <c r="AS107" i="33"/>
  <c r="L107" i="33"/>
  <c r="L41" i="31"/>
  <c r="L83" i="31"/>
  <c r="BJ144" i="33"/>
  <c r="L53" i="31"/>
  <c r="Y6" i="29"/>
  <c r="W17" i="29"/>
  <c r="Y8" i="29" s="1"/>
  <c r="AS159" i="33"/>
  <c r="BJ32" i="33"/>
  <c r="L24" i="31"/>
  <c r="L27" i="31"/>
  <c r="L93" i="31"/>
  <c r="AJ49" i="33"/>
  <c r="AJ30" i="33"/>
  <c r="L9" i="33"/>
  <c r="L30" i="33"/>
  <c r="T8" i="29"/>
  <c r="F5" i="29" s="1"/>
  <c r="R8" i="29"/>
  <c r="F4" i="29" s="1"/>
  <c r="R9" i="29"/>
  <c r="P9" i="29"/>
  <c r="F2" i="29" s="1"/>
  <c r="P8" i="29"/>
  <c r="T9" i="29"/>
  <c r="F3" i="29" s="1"/>
  <c r="AS115" i="33"/>
  <c r="AJ14" i="33"/>
  <c r="AS208" i="33"/>
  <c r="AS183" i="33"/>
  <c r="AS112" i="33"/>
  <c r="AS86" i="33"/>
  <c r="AS135" i="33"/>
  <c r="AS196" i="33"/>
  <c r="AS76" i="33"/>
  <c r="AS145" i="33"/>
  <c r="AJ41" i="33"/>
  <c r="AJ18" i="33"/>
  <c r="AS175" i="33"/>
  <c r="AS131" i="33"/>
  <c r="AS124" i="33"/>
  <c r="AS147" i="33"/>
  <c r="AS113" i="33"/>
  <c r="AS204" i="33"/>
  <c r="AS117" i="33"/>
  <c r="AJ19" i="33"/>
  <c r="AS197" i="33"/>
  <c r="AS133" i="33"/>
  <c r="AS97" i="33"/>
  <c r="AS176" i="33"/>
  <c r="AS189" i="33"/>
  <c r="AS149" i="33"/>
  <c r="AS99" i="33"/>
  <c r="AS187" i="33"/>
  <c r="AS128" i="33"/>
  <c r="AS154" i="33"/>
  <c r="Y3" i="29"/>
  <c r="Y1" i="29"/>
  <c r="Y2" i="29"/>
  <c r="Y12" i="29" s="1"/>
  <c r="AJ21" i="33"/>
  <c r="AJ39" i="33"/>
  <c r="AS127" i="33"/>
  <c r="AS142" i="33"/>
  <c r="AS82" i="33"/>
  <c r="L148" i="33"/>
  <c r="AS192" i="33"/>
  <c r="AS203" i="33"/>
  <c r="AS90" i="33"/>
  <c r="AJ29" i="33"/>
  <c r="L138" i="33"/>
  <c r="AS84" i="33"/>
  <c r="AS155" i="33"/>
  <c r="AS116" i="33"/>
  <c r="AS81" i="33"/>
  <c r="AS180" i="33"/>
  <c r="AS111" i="33"/>
  <c r="AS158" i="33"/>
  <c r="AS98" i="33"/>
  <c r="AS207" i="33"/>
  <c r="AS132" i="33"/>
  <c r="B72" i="33"/>
  <c r="B45" i="33"/>
  <c r="B73" i="33"/>
  <c r="F20" i="28"/>
  <c r="F591" i="28"/>
  <c r="F530" i="28"/>
  <c r="F22" i="28"/>
  <c r="F579" i="28"/>
  <c r="F578" i="28"/>
  <c r="F499" i="28"/>
  <c r="F427" i="28"/>
  <c r="F367" i="28"/>
  <c r="F297" i="28"/>
  <c r="F228" i="28"/>
  <c r="F178" i="28"/>
  <c r="F79" i="28"/>
  <c r="F36" i="28"/>
  <c r="F570" i="28"/>
  <c r="F486" i="28"/>
  <c r="F410" i="28"/>
  <c r="F354" i="28"/>
  <c r="F271" i="28"/>
  <c r="F207" i="28"/>
  <c r="F176" i="28"/>
  <c r="F82" i="28"/>
  <c r="F54" i="28"/>
  <c r="F553" i="28"/>
  <c r="F460" i="28"/>
  <c r="F404" i="28"/>
  <c r="F371" i="28"/>
  <c r="F253" i="28"/>
  <c r="F243" i="28"/>
  <c r="F111" i="28"/>
  <c r="F80" i="28"/>
  <c r="F595" i="28"/>
  <c r="F519" i="28"/>
  <c r="F457" i="28"/>
  <c r="F350" i="28"/>
  <c r="F307" i="28"/>
  <c r="F230" i="28"/>
  <c r="F180" i="28"/>
  <c r="F142" i="28"/>
  <c r="F62" i="28"/>
  <c r="F564" i="28"/>
  <c r="F481" i="28"/>
  <c r="F413" i="28"/>
  <c r="F539" i="28"/>
  <c r="F477" i="28"/>
  <c r="F417" i="28"/>
  <c r="F360" i="28"/>
  <c r="F285" i="28"/>
  <c r="F224" i="28"/>
  <c r="F143" i="28"/>
  <c r="F108" i="28"/>
  <c r="F575" i="28"/>
  <c r="F311" i="28"/>
  <c r="F192" i="28"/>
  <c r="F526" i="28"/>
  <c r="F291" i="28"/>
  <c r="F138" i="28"/>
  <c r="F543" i="28"/>
  <c r="F348" i="28"/>
  <c r="F148" i="28"/>
  <c r="F484" i="28"/>
  <c r="F266" i="28"/>
  <c r="F105" i="28"/>
  <c r="F485" i="28"/>
  <c r="F258" i="28"/>
  <c r="F87" i="28"/>
  <c r="F218" i="28"/>
  <c r="F268" i="28"/>
  <c r="F352" i="28"/>
  <c r="F384" i="28"/>
  <c r="F567" i="28"/>
  <c r="F558" i="28"/>
  <c r="F15" i="28"/>
  <c r="F254" i="28"/>
  <c r="F548" i="28"/>
  <c r="F489" i="28"/>
  <c r="F443" i="28"/>
  <c r="F44" i="28"/>
  <c r="F46" i="28"/>
  <c r="F577" i="28"/>
  <c r="F513" i="28"/>
  <c r="F76" i="28"/>
  <c r="F569" i="28"/>
  <c r="F566" i="28"/>
  <c r="F494" i="28"/>
  <c r="F418" i="28"/>
  <c r="F362" i="28"/>
  <c r="F279" i="28"/>
  <c r="F215" i="28"/>
  <c r="F184" i="28"/>
  <c r="F90" i="28"/>
  <c r="F68" i="28"/>
  <c r="F559" i="28"/>
  <c r="F495" i="28"/>
  <c r="F403" i="28"/>
  <c r="F357" i="28"/>
  <c r="F287" i="28"/>
  <c r="F205" i="28"/>
  <c r="F179" i="28"/>
  <c r="F77" i="28"/>
  <c r="F132" i="28"/>
  <c r="F533" i="28"/>
  <c r="F450" i="28"/>
  <c r="F389" i="28"/>
  <c r="F306" i="28"/>
  <c r="F256" i="28"/>
  <c r="F202" i="28"/>
  <c r="F181" i="28"/>
  <c r="F145" i="28"/>
  <c r="F574" i="28"/>
  <c r="F509" i="28"/>
  <c r="F432" i="28"/>
  <c r="F380" i="28"/>
  <c r="F318" i="28"/>
  <c r="F217" i="28"/>
  <c r="F159" i="28"/>
  <c r="F121" i="28"/>
  <c r="F57" i="28"/>
  <c r="F555" i="28"/>
  <c r="F493" i="28"/>
  <c r="F414" i="28"/>
  <c r="F540" i="28"/>
  <c r="F455" i="28"/>
  <c r="F399" i="28"/>
  <c r="F303" i="28"/>
  <c r="F293" i="28"/>
  <c r="F219" i="28"/>
  <c r="F146" i="28"/>
  <c r="F48" i="28"/>
  <c r="F525" i="28"/>
  <c r="F299" i="28"/>
  <c r="F165" i="28"/>
  <c r="F475" i="28"/>
  <c r="F247" i="28"/>
  <c r="F126" i="28"/>
  <c r="F500" i="28"/>
  <c r="F337" i="28"/>
  <c r="F110" i="28"/>
  <c r="F428" i="28"/>
  <c r="F283" i="28"/>
  <c r="F53" i="28"/>
  <c r="F434" i="28"/>
  <c r="F278" i="28"/>
  <c r="F149" i="28"/>
  <c r="F104" i="28"/>
  <c r="F265" i="28"/>
  <c r="F332" i="28"/>
  <c r="F319" i="28"/>
  <c r="F463" i="28"/>
  <c r="F444" i="28"/>
  <c r="F84" i="28"/>
  <c r="F437" i="28"/>
  <c r="F270" i="28"/>
  <c r="F24" i="28"/>
  <c r="F275" i="28"/>
  <c r="F516" i="28"/>
  <c r="F196" i="28"/>
  <c r="F488" i="28"/>
  <c r="F63" i="28"/>
  <c r="F245" i="28"/>
  <c r="F442" i="28"/>
  <c r="F194" i="28"/>
  <c r="F156" i="28"/>
  <c r="F597" i="28"/>
  <c r="F186" i="28"/>
  <c r="F47" i="28"/>
  <c r="F13" i="28"/>
  <c r="F52" i="28"/>
  <c r="F581" i="28"/>
  <c r="F522" i="28"/>
  <c r="F92" i="28"/>
  <c r="F549" i="28"/>
  <c r="F541" i="28"/>
  <c r="F476" i="28"/>
  <c r="F411" i="28"/>
  <c r="F365" i="28"/>
  <c r="F308" i="28"/>
  <c r="F213" i="28"/>
  <c r="F187" i="28"/>
  <c r="F85" i="28"/>
  <c r="F38" i="28"/>
  <c r="F542" i="28"/>
  <c r="F454" i="28"/>
  <c r="F412" i="28"/>
  <c r="F336" i="28"/>
  <c r="F261" i="28"/>
  <c r="F257" i="28"/>
  <c r="F119" i="28"/>
  <c r="F88" i="28"/>
  <c r="F604" i="28"/>
  <c r="F523" i="28"/>
  <c r="F467" i="28"/>
  <c r="F387" i="28"/>
  <c r="F328" i="28"/>
  <c r="F259" i="28"/>
  <c r="F206" i="28"/>
  <c r="F128" i="28"/>
  <c r="F124" i="28"/>
  <c r="F562" i="28"/>
  <c r="F480" i="28"/>
  <c r="F438" i="28"/>
  <c r="F343" i="28"/>
  <c r="F284" i="28"/>
  <c r="F204" i="28"/>
  <c r="F154" i="28"/>
  <c r="F55" i="28"/>
  <c r="F18" i="28"/>
  <c r="F556" i="28"/>
  <c r="F471" i="28"/>
  <c r="F608" i="28"/>
  <c r="F529" i="28"/>
  <c r="F474" i="28"/>
  <c r="F376" i="28"/>
  <c r="F325" i="28"/>
  <c r="F290" i="28"/>
  <c r="F174" i="28"/>
  <c r="F133" i="28"/>
  <c r="F67" i="28"/>
  <c r="F507" i="28"/>
  <c r="F316" i="28"/>
  <c r="F134" i="28"/>
  <c r="F453" i="28"/>
  <c r="F280" i="28"/>
  <c r="F58" i="28"/>
  <c r="F472" i="28"/>
  <c r="F324" i="28"/>
  <c r="F50" i="28"/>
  <c r="F419" i="28"/>
  <c r="F201" i="28"/>
  <c r="F59" i="28"/>
  <c r="F406" i="28"/>
  <c r="F236" i="28"/>
  <c r="F114" i="28"/>
  <c r="F75" i="28"/>
  <c r="F151" i="28"/>
  <c r="F239" i="28"/>
  <c r="F277" i="28"/>
  <c r="F398" i="28"/>
  <c r="F382" i="28"/>
  <c r="F465" i="28"/>
  <c r="F288" i="28"/>
  <c r="F624" i="28"/>
  <c r="F606" i="28"/>
  <c r="F366" i="28"/>
  <c r="F446" i="28"/>
  <c r="F537" i="28"/>
  <c r="F72" i="28"/>
  <c r="F356" i="28"/>
  <c r="F391" i="28"/>
  <c r="F383" i="28"/>
  <c r="F588" i="28"/>
  <c r="F94" i="28"/>
  <c r="F629" i="28"/>
  <c r="F17" i="28"/>
  <c r="F19" i="28"/>
  <c r="F571" i="28"/>
  <c r="F504" i="28"/>
  <c r="F603" i="28"/>
  <c r="F26" i="28"/>
  <c r="F550" i="28"/>
  <c r="F462" i="28"/>
  <c r="F420" i="28"/>
  <c r="F344" i="28"/>
  <c r="F269" i="28"/>
  <c r="F208" i="28"/>
  <c r="F127" i="28"/>
  <c r="F96" i="28"/>
  <c r="F28" i="28"/>
  <c r="F535" i="28"/>
  <c r="F458" i="28"/>
  <c r="F401" i="28"/>
  <c r="F314" i="28"/>
  <c r="F264" i="28"/>
  <c r="F214" i="28"/>
  <c r="F122" i="28"/>
  <c r="F157" i="28"/>
  <c r="F582" i="28"/>
  <c r="F508" i="28"/>
  <c r="F431" i="28"/>
  <c r="F358" i="28"/>
  <c r="F315" i="28"/>
  <c r="F238" i="28"/>
  <c r="F188" i="28"/>
  <c r="F115" i="28"/>
  <c r="F70" i="28"/>
  <c r="F573" i="28"/>
  <c r="F497" i="28"/>
  <c r="F421" i="28"/>
  <c r="F338" i="28"/>
  <c r="F255" i="28"/>
  <c r="F260" i="28"/>
  <c r="F160" i="28"/>
  <c r="F66" i="28"/>
  <c r="F32" i="28"/>
  <c r="F551" i="28"/>
  <c r="F461" i="28"/>
  <c r="F607" i="28"/>
  <c r="F524" i="28"/>
  <c r="F436" i="28"/>
  <c r="F390" i="28"/>
  <c r="F296" i="28"/>
  <c r="F262" i="28"/>
  <c r="F169" i="28"/>
  <c r="F153" i="28"/>
  <c r="F106" i="28"/>
  <c r="F482" i="28"/>
  <c r="F310" i="28"/>
  <c r="F98" i="28"/>
  <c r="F441" i="28"/>
  <c r="F294" i="28"/>
  <c r="F40" i="28"/>
  <c r="F425" i="28"/>
  <c r="F251" i="28"/>
  <c r="F83" i="28"/>
  <c r="F423" i="28"/>
  <c r="F240" i="28"/>
  <c r="F41" i="28"/>
  <c r="F405" i="28"/>
  <c r="F232" i="28"/>
  <c r="F514" i="28"/>
  <c r="F42" i="28"/>
  <c r="F139" i="28"/>
  <c r="F234" i="28"/>
  <c r="F221" i="28"/>
  <c r="F347" i="28"/>
  <c r="F304" i="28"/>
  <c r="F177" i="28"/>
  <c r="F100" i="28"/>
  <c r="F626" i="28"/>
  <c r="F117" i="28"/>
  <c r="F123" i="28"/>
  <c r="F351" i="28"/>
  <c r="F25" i="28"/>
  <c r="F242" i="28"/>
  <c r="F572" i="28"/>
  <c r="F95" i="28"/>
  <c r="F45" i="28"/>
  <c r="F368" i="28"/>
  <c r="F216" i="28"/>
  <c r="F16" i="28"/>
  <c r="F34" i="28"/>
  <c r="F554" i="28"/>
  <c r="F483" i="28"/>
  <c r="F602" i="28"/>
  <c r="F33" i="28"/>
  <c r="F528" i="28"/>
  <c r="F466" i="28"/>
  <c r="F386" i="28"/>
  <c r="F322" i="28"/>
  <c r="F272" i="28"/>
  <c r="F203" i="28"/>
  <c r="F130" i="28"/>
  <c r="F31" i="28"/>
  <c r="F605" i="28"/>
  <c r="F527" i="28"/>
  <c r="F456" i="28"/>
  <c r="F395" i="28"/>
  <c r="F301" i="28"/>
  <c r="F267" i="28"/>
  <c r="F150" i="28"/>
  <c r="F136" i="28"/>
  <c r="F43" i="28"/>
  <c r="F584" i="28"/>
  <c r="F517" i="28"/>
  <c r="F440" i="28"/>
  <c r="F353" i="28"/>
  <c r="F326" i="28"/>
  <c r="F225" i="28"/>
  <c r="F167" i="28"/>
  <c r="F129" i="28"/>
  <c r="F65" i="28"/>
  <c r="F544" i="28"/>
  <c r="F490" i="28"/>
  <c r="F422" i="28"/>
  <c r="F400" i="28"/>
  <c r="F274" i="28"/>
  <c r="F273" i="28"/>
  <c r="F163" i="28"/>
  <c r="F61" i="28"/>
  <c r="F599" i="28"/>
  <c r="F510" i="28"/>
  <c r="F451" i="28"/>
  <c r="F613" i="28"/>
  <c r="F532" i="28"/>
  <c r="F445" i="28"/>
  <c r="F397" i="28"/>
  <c r="F355" i="28"/>
  <c r="F281" i="28"/>
  <c r="F226" i="28"/>
  <c r="F118" i="28"/>
  <c r="F99" i="28"/>
  <c r="F435" i="28"/>
  <c r="F222" i="28"/>
  <c r="F56" i="28"/>
  <c r="F394" i="28"/>
  <c r="F244" i="28"/>
  <c r="F101" i="28"/>
  <c r="F392" i="28"/>
  <c r="F237" i="28"/>
  <c r="F89" i="28"/>
  <c r="F364" i="28"/>
  <c r="F166" i="28"/>
  <c r="F14" i="28"/>
  <c r="F375" i="28"/>
  <c r="F185" i="28"/>
  <c r="F416" i="28"/>
  <c r="F594" i="28"/>
  <c r="F109" i="28"/>
  <c r="F113" i="28"/>
  <c r="F197" i="28"/>
  <c r="F341" i="28"/>
  <c r="F292" i="28"/>
  <c r="F372" i="28"/>
  <c r="F329" i="28"/>
  <c r="F625" i="28"/>
  <c r="F35" i="28"/>
  <c r="F309" i="28"/>
  <c r="F609" i="28"/>
  <c r="F250" i="28"/>
  <c r="F576" i="28"/>
  <c r="F162" i="28"/>
  <c r="F327" i="28"/>
  <c r="F511" i="28"/>
  <c r="F313" i="28"/>
  <c r="F223" i="28"/>
  <c r="F211" i="28"/>
  <c r="F210" i="28"/>
  <c r="F586" i="28"/>
  <c r="F64" i="28"/>
  <c r="F23" i="28"/>
  <c r="F600" i="28"/>
  <c r="F545" i="28"/>
  <c r="F479" i="28"/>
  <c r="F601" i="28"/>
  <c r="F598" i="28"/>
  <c r="F505" i="28"/>
  <c r="F447" i="28"/>
  <c r="F374" i="28"/>
  <c r="F339" i="28"/>
  <c r="F246" i="28"/>
  <c r="F198" i="28"/>
  <c r="F131" i="28"/>
  <c r="F86" i="28"/>
  <c r="F589" i="28"/>
  <c r="F498" i="28"/>
  <c r="F449" i="28"/>
  <c r="F361" i="28"/>
  <c r="F331" i="28"/>
  <c r="F233" i="28"/>
  <c r="F175" i="28"/>
  <c r="F137" i="28"/>
  <c r="F73" i="28"/>
  <c r="F561" i="28"/>
  <c r="F478" i="28"/>
  <c r="F402" i="28"/>
  <c r="F346" i="28"/>
  <c r="F263" i="28"/>
  <c r="F249" i="28"/>
  <c r="F168" i="28"/>
  <c r="F74" i="28"/>
  <c r="F29" i="28"/>
  <c r="F531" i="28"/>
  <c r="F469" i="28"/>
  <c r="F381" i="28"/>
  <c r="F298" i="28"/>
  <c r="F248" i="28"/>
  <c r="F199" i="28"/>
  <c r="F161" i="28"/>
  <c r="F91" i="28"/>
  <c r="F587" i="28"/>
  <c r="F520" i="28"/>
  <c r="F424" i="28"/>
  <c r="F560" i="28"/>
  <c r="F501" i="28"/>
  <c r="F433" i="28"/>
  <c r="F379" i="28"/>
  <c r="F340" i="28"/>
  <c r="F231" i="28"/>
  <c r="F189" i="28"/>
  <c r="F107" i="28"/>
  <c r="F60" i="28"/>
  <c r="F342" i="28"/>
  <c r="F227" i="28"/>
  <c r="F610" i="28"/>
  <c r="F330" i="28"/>
  <c r="F164" i="28"/>
  <c r="F612" i="28"/>
  <c r="F385" i="28"/>
  <c r="F191" i="28"/>
  <c r="F557" i="28"/>
  <c r="F317" i="28"/>
  <c r="F155" i="28"/>
  <c r="F547" i="28"/>
  <c r="F312" i="28"/>
  <c r="F147" i="28"/>
  <c r="F276" i="28"/>
  <c r="F409" i="28"/>
  <c r="F473" i="28"/>
  <c r="F583" i="28"/>
  <c r="F49" i="28"/>
  <c r="F195" i="28"/>
  <c r="F135" i="28"/>
  <c r="F335" i="28"/>
  <c r="F502" i="28"/>
  <c r="F627" i="28"/>
  <c r="F590" i="28"/>
  <c r="F538" i="28"/>
  <c r="F464" i="28"/>
  <c r="F415" i="28"/>
  <c r="F158" i="28"/>
  <c r="F51" i="28"/>
  <c r="F439" i="28"/>
  <c r="F78" i="28"/>
  <c r="F212" i="28"/>
  <c r="F452" i="28"/>
  <c r="F103" i="28"/>
  <c r="F515" i="28"/>
  <c r="F21" i="28"/>
  <c r="F190" i="28"/>
  <c r="F393" i="28"/>
  <c r="F173" i="28"/>
  <c r="F39" i="28"/>
  <c r="F611" i="28"/>
  <c r="F534" i="28"/>
  <c r="F468" i="28"/>
  <c r="F580" i="28"/>
  <c r="F593" i="28"/>
  <c r="F506" i="28"/>
  <c r="F429" i="28"/>
  <c r="F369" i="28"/>
  <c r="F345" i="28"/>
  <c r="F241" i="28"/>
  <c r="F183" i="28"/>
  <c r="F102" i="28"/>
  <c r="F81" i="28"/>
  <c r="F592" i="28"/>
  <c r="F496" i="28"/>
  <c r="F448" i="28"/>
  <c r="F359" i="28"/>
  <c r="F289" i="28"/>
  <c r="F220" i="28"/>
  <c r="F170" i="28"/>
  <c r="F71" i="28"/>
  <c r="F37" i="28"/>
  <c r="F552" i="28"/>
  <c r="F487" i="28"/>
  <c r="F426" i="28"/>
  <c r="F349" i="28"/>
  <c r="F282" i="28"/>
  <c r="F300" i="28"/>
  <c r="F171" i="28"/>
  <c r="F69" i="28"/>
  <c r="F596" i="28"/>
  <c r="F518" i="28"/>
  <c r="F459" i="28"/>
  <c r="F407" i="28"/>
  <c r="F320" i="28"/>
  <c r="F286" i="28"/>
  <c r="F193" i="28"/>
  <c r="F120" i="28"/>
  <c r="F116" i="28"/>
  <c r="F565" i="28"/>
  <c r="F491" i="28"/>
  <c r="F430" i="28"/>
  <c r="F546" i="28"/>
  <c r="F492" i="28"/>
  <c r="F408" i="28"/>
  <c r="F377" i="28"/>
  <c r="F333" i="28"/>
  <c r="F229" i="28"/>
  <c r="F200" i="28"/>
  <c r="F97" i="28"/>
  <c r="F27" i="28"/>
  <c r="F370" i="28"/>
  <c r="F172" i="28"/>
  <c r="F568" i="28"/>
  <c r="F295" i="28"/>
  <c r="F152" i="28"/>
  <c r="F563" i="28"/>
  <c r="F363" i="28"/>
  <c r="F144" i="28"/>
  <c r="F521" i="28"/>
  <c r="F321" i="28"/>
  <c r="F125" i="28"/>
  <c r="F503" i="28"/>
  <c r="F305" i="28"/>
  <c r="F112" i="28"/>
  <c r="F209" i="28"/>
  <c r="F373" i="28"/>
  <c r="F388" i="28"/>
  <c r="F470" i="28"/>
  <c r="F30" i="28"/>
  <c r="F140" i="28"/>
  <c r="F93" i="28"/>
  <c r="F141" i="28"/>
  <c r="F182" i="28"/>
  <c r="F536" i="28"/>
  <c r="F323" i="28"/>
  <c r="F302" i="28"/>
  <c r="F396" i="28"/>
  <c r="F585" i="28"/>
  <c r="F252" i="28"/>
  <c r="F334" i="28"/>
  <c r="F378" i="28"/>
  <c r="F512" i="28"/>
  <c r="F235" i="28"/>
  <c r="G24" i="28"/>
  <c r="H24" i="28" s="1"/>
  <c r="G612" i="28"/>
  <c r="H612" i="28" s="1"/>
  <c r="G605" i="28"/>
  <c r="H605" i="28" s="1"/>
  <c r="G593" i="28"/>
  <c r="H593" i="28" s="1"/>
  <c r="G577" i="28"/>
  <c r="G581" i="28"/>
  <c r="G563" i="28"/>
  <c r="H563" i="28" s="1"/>
  <c r="G557" i="28"/>
  <c r="H557" i="28" s="1"/>
  <c r="G555" i="28"/>
  <c r="H555" i="28" s="1"/>
  <c r="G537" i="28"/>
  <c r="H537" i="28" s="1"/>
  <c r="G528" i="28"/>
  <c r="H528" i="28" s="1"/>
  <c r="G538" i="28"/>
  <c r="H538" i="28" s="1"/>
  <c r="G519" i="28"/>
  <c r="G520" i="28"/>
  <c r="G518" i="28"/>
  <c r="G497" i="28"/>
  <c r="H497" i="28" s="1"/>
  <c r="G479" i="28"/>
  <c r="H479" i="28" s="1"/>
  <c r="G496" i="28"/>
  <c r="H496" i="28" s="1"/>
  <c r="G455" i="28"/>
  <c r="H455" i="28" s="1"/>
  <c r="G472" i="28"/>
  <c r="G462" i="28"/>
  <c r="G426" i="28"/>
  <c r="G427" i="28"/>
  <c r="H427" i="28" s="1"/>
  <c r="G430" i="28"/>
  <c r="H430" i="28" s="1"/>
  <c r="G413" i="28"/>
  <c r="H413" i="28" s="1"/>
  <c r="G422" i="28"/>
  <c r="H422" i="28" s="1"/>
  <c r="G412" i="28"/>
  <c r="H412" i="28" s="1"/>
  <c r="G394" i="28"/>
  <c r="G379" i="28"/>
  <c r="H379" i="28" s="1"/>
  <c r="G383" i="28"/>
  <c r="G372" i="28"/>
  <c r="G351" i="28"/>
  <c r="H351" i="28" s="1"/>
  <c r="G373" i="28"/>
  <c r="H373" i="28" s="1"/>
  <c r="G360" i="28"/>
  <c r="H360" i="28" s="1"/>
  <c r="G322" i="28"/>
  <c r="H322" i="28" s="1"/>
  <c r="G301" i="28"/>
  <c r="G330" i="28"/>
  <c r="G336" i="28"/>
  <c r="G335" i="28"/>
  <c r="H335" i="28" s="1"/>
  <c r="G316" i="28"/>
  <c r="H316" i="28" s="1"/>
  <c r="G287" i="28"/>
  <c r="G269" i="28"/>
  <c r="G248" i="28"/>
  <c r="G295" i="28"/>
  <c r="G289" i="28"/>
  <c r="G246" i="28"/>
  <c r="G212" i="28"/>
  <c r="H212" i="28" s="1"/>
  <c r="G297" i="28"/>
  <c r="H297" i="28" s="1"/>
  <c r="G240" i="28"/>
  <c r="H240" i="28" s="1"/>
  <c r="G243" i="28"/>
  <c r="H243" i="28" s="1"/>
  <c r="G230" i="28"/>
  <c r="H230" i="28" s="1"/>
  <c r="G193" i="28"/>
  <c r="H193" i="28" s="1"/>
  <c r="G188" i="28"/>
  <c r="G159" i="28"/>
  <c r="G189" i="28"/>
  <c r="H189" i="28" s="1"/>
  <c r="G184" i="28"/>
  <c r="H184" i="28" s="1"/>
  <c r="G155" i="28"/>
  <c r="H155" i="28" s="1"/>
  <c r="G190" i="28"/>
  <c r="H190" i="28" s="1"/>
  <c r="G130" i="28"/>
  <c r="H130" i="28" s="1"/>
  <c r="G125" i="28"/>
  <c r="G131" i="28"/>
  <c r="G142" i="28"/>
  <c r="G121" i="28"/>
  <c r="H121" i="28" s="1"/>
  <c r="G116" i="28"/>
  <c r="H116" i="28" s="1"/>
  <c r="G58" i="28"/>
  <c r="G61" i="28"/>
  <c r="H61" i="28" s="1"/>
  <c r="G64" i="28"/>
  <c r="H64" i="28" s="1"/>
  <c r="G75" i="28"/>
  <c r="H75" i="28" s="1"/>
  <c r="G94" i="28"/>
  <c r="G89" i="28"/>
  <c r="G84" i="28"/>
  <c r="H84" i="28" s="1"/>
  <c r="G13" i="28"/>
  <c r="H13" i="28" s="1"/>
  <c r="J13" i="28" s="1"/>
  <c r="G31" i="28"/>
  <c r="G32" i="28"/>
  <c r="H32" i="28" s="1"/>
  <c r="G578" i="28"/>
  <c r="H578" i="28" s="1"/>
  <c r="G567" i="28"/>
  <c r="G553" i="28"/>
  <c r="G532" i="28"/>
  <c r="G509" i="28"/>
  <c r="H509" i="28" s="1"/>
  <c r="G486" i="28"/>
  <c r="H486" i="28" s="1"/>
  <c r="G493" i="28"/>
  <c r="G453" i="28"/>
  <c r="H453" i="28" s="1"/>
  <c r="G442" i="28"/>
  <c r="H442" i="28" s="1"/>
  <c r="G446" i="28"/>
  <c r="G411" i="28"/>
  <c r="G385" i="28"/>
  <c r="G367" i="28"/>
  <c r="H367" i="28" s="1"/>
  <c r="G347" i="28"/>
  <c r="H347" i="28" s="1"/>
  <c r="G304" i="28"/>
  <c r="G311" i="28"/>
  <c r="H311" i="28" s="1"/>
  <c r="G259" i="28"/>
  <c r="G215" i="28"/>
  <c r="G263" i="28"/>
  <c r="G175" i="28"/>
  <c r="G146" i="28"/>
  <c r="G137" i="28"/>
  <c r="H137" i="28" s="1"/>
  <c r="G77" i="28"/>
  <c r="G46" i="28"/>
  <c r="H46" i="28" s="1"/>
  <c r="G41" i="28"/>
  <c r="H41" i="28" s="1"/>
  <c r="G501" i="28"/>
  <c r="H501" i="28" s="1"/>
  <c r="G435" i="28"/>
  <c r="G391" i="28"/>
  <c r="G338" i="28"/>
  <c r="G348" i="28"/>
  <c r="H348" i="28" s="1"/>
  <c r="G251" i="28"/>
  <c r="H251" i="28" s="1"/>
  <c r="G255" i="28"/>
  <c r="H255" i="28" s="1"/>
  <c r="G197" i="28"/>
  <c r="H197" i="28" s="1"/>
  <c r="G133" i="28"/>
  <c r="G66" i="28"/>
  <c r="G101" i="28"/>
  <c r="G18" i="28"/>
  <c r="H18" i="28" s="1"/>
  <c r="G45" i="28"/>
  <c r="H45" i="28" s="1"/>
  <c r="G39" i="28"/>
  <c r="H39" i="28" s="1"/>
  <c r="G610" i="28"/>
  <c r="H610" i="28" s="1"/>
  <c r="G601" i="28"/>
  <c r="H601" i="28" s="1"/>
  <c r="G589" i="28"/>
  <c r="H589" i="28" s="1"/>
  <c r="G583" i="28"/>
  <c r="G573" i="28"/>
  <c r="G571" i="28"/>
  <c r="H571" i="28" s="1"/>
  <c r="G549" i="28"/>
  <c r="H549" i="28" s="1"/>
  <c r="G547" i="28"/>
  <c r="G556" i="28"/>
  <c r="H556" i="28" s="1"/>
  <c r="G534" i="28"/>
  <c r="H534" i="28" s="1"/>
  <c r="G530" i="28"/>
  <c r="H530" i="28" s="1"/>
  <c r="G511" i="28"/>
  <c r="G512" i="28"/>
  <c r="G510" i="28"/>
  <c r="H510" i="28" s="1"/>
  <c r="G489" i="28"/>
  <c r="H489" i="28" s="1"/>
  <c r="G490" i="28"/>
  <c r="H490" i="28" s="1"/>
  <c r="G488" i="28"/>
  <c r="H488" i="28" s="1"/>
  <c r="G473" i="28"/>
  <c r="H473" i="28" s="1"/>
  <c r="G464" i="28"/>
  <c r="G454" i="28"/>
  <c r="G445" i="28"/>
  <c r="G475" i="28"/>
  <c r="G441" i="28"/>
  <c r="H441" i="28" s="1"/>
  <c r="G405" i="28"/>
  <c r="H405" i="28" s="1"/>
  <c r="G414" i="28"/>
  <c r="H414" i="28" s="1"/>
  <c r="G404" i="28"/>
  <c r="G389" i="28"/>
  <c r="H389" i="28" s="1"/>
  <c r="G390" i="28"/>
  <c r="G369" i="28"/>
  <c r="G364" i="28"/>
  <c r="H364" i="28" s="1"/>
  <c r="G386" i="28"/>
  <c r="H386" i="28" s="1"/>
  <c r="G365" i="28"/>
  <c r="G352" i="28"/>
  <c r="H352" i="28" s="1"/>
  <c r="G314" i="28"/>
  <c r="H314" i="28" s="1"/>
  <c r="G374" i="28"/>
  <c r="H374" i="28" s="1"/>
  <c r="G323" i="28"/>
  <c r="G331" i="28"/>
  <c r="G329" i="28"/>
  <c r="H329" i="28" s="1"/>
  <c r="G308" i="28"/>
  <c r="H308" i="28" s="1"/>
  <c r="G282" i="28"/>
  <c r="H282" i="28" s="1"/>
  <c r="G261" i="28"/>
  <c r="H261" i="28" s="1"/>
  <c r="G327" i="28"/>
  <c r="H327" i="28" s="1"/>
  <c r="G288" i="28"/>
  <c r="H288" i="28" s="1"/>
  <c r="G281" i="28"/>
  <c r="G241" i="28"/>
  <c r="G204" i="28"/>
  <c r="H204" i="28" s="1"/>
  <c r="G234" i="28"/>
  <c r="H234" i="28" s="1"/>
  <c r="G232" i="28"/>
  <c r="H232" i="28" s="1"/>
  <c r="G242" i="28"/>
  <c r="H242" i="28" s="1"/>
  <c r="G222" i="28"/>
  <c r="G185" i="28"/>
  <c r="H185" i="28" s="1"/>
  <c r="G180" i="28"/>
  <c r="G194" i="28"/>
  <c r="G181" i="28"/>
  <c r="H181" i="28" s="1"/>
  <c r="G221" i="28"/>
  <c r="H221" i="28" s="1"/>
  <c r="G147" i="28"/>
  <c r="H147" i="28" s="1"/>
  <c r="G182" i="28"/>
  <c r="H182" i="28" s="1"/>
  <c r="G122" i="28"/>
  <c r="H122" i="28" s="1"/>
  <c r="G117" i="28"/>
  <c r="H117" i="28" s="1"/>
  <c r="G123" i="28"/>
  <c r="G134" i="28"/>
  <c r="G113" i="28"/>
  <c r="H113" i="28" s="1"/>
  <c r="G108" i="28"/>
  <c r="H108" i="28" s="1"/>
  <c r="G50" i="28"/>
  <c r="H50" i="28" s="1"/>
  <c r="G53" i="28"/>
  <c r="H53" i="28" s="1"/>
  <c r="G56" i="28"/>
  <c r="H56" i="28" s="1"/>
  <c r="G67" i="28"/>
  <c r="G86" i="28"/>
  <c r="G81" i="28"/>
  <c r="G76" i="28"/>
  <c r="H76" i="28" s="1"/>
  <c r="G16" i="28"/>
  <c r="H16" i="28" s="1"/>
  <c r="G22" i="28"/>
  <c r="H22" i="28" s="1"/>
  <c r="G401" i="28"/>
  <c r="H401" i="28" s="1"/>
  <c r="G366" i="28"/>
  <c r="H366" i="28" s="1"/>
  <c r="G319" i="28"/>
  <c r="H319" i="28" s="1"/>
  <c r="G268" i="28"/>
  <c r="G205" i="28"/>
  <c r="G160" i="28"/>
  <c r="H160" i="28" s="1"/>
  <c r="G80" i="28"/>
  <c r="H80" i="28" s="1"/>
  <c r="G112" i="28"/>
  <c r="H112" i="28" s="1"/>
  <c r="G594" i="28"/>
  <c r="H594" i="28" s="1"/>
  <c r="G570" i="28"/>
  <c r="H570" i="28" s="1"/>
  <c r="G561" i="28"/>
  <c r="H561" i="28" s="1"/>
  <c r="G524" i="28"/>
  <c r="G478" i="28"/>
  <c r="G463" i="28"/>
  <c r="H463" i="28" s="1"/>
  <c r="G434" i="28"/>
  <c r="H434" i="28" s="1"/>
  <c r="G420" i="28"/>
  <c r="H420" i="28" s="1"/>
  <c r="G380" i="28"/>
  <c r="H380" i="28" s="1"/>
  <c r="G309" i="28"/>
  <c r="H309" i="28" s="1"/>
  <c r="G350" i="28"/>
  <c r="G256" i="28"/>
  <c r="G247" i="28"/>
  <c r="G167" i="28"/>
  <c r="H167" i="28" s="1"/>
  <c r="G199" i="28"/>
  <c r="H199" i="28" s="1"/>
  <c r="G129" i="28"/>
  <c r="H129" i="28" s="1"/>
  <c r="G83" i="28"/>
  <c r="H83" i="28" s="1"/>
  <c r="G14" i="28"/>
  <c r="H14" i="28" s="1"/>
  <c r="G25" i="28"/>
  <c r="H25" i="28" s="1"/>
  <c r="G609" i="28"/>
  <c r="G595" i="28"/>
  <c r="G598" i="28"/>
  <c r="H598" i="28" s="1"/>
  <c r="G580" i="28"/>
  <c r="H580" i="28" s="1"/>
  <c r="G576" i="28"/>
  <c r="H576" i="28" s="1"/>
  <c r="G566" i="28"/>
  <c r="H566" i="28" s="1"/>
  <c r="G541" i="28"/>
  <c r="G539" i="28"/>
  <c r="H539" i="28" s="1"/>
  <c r="G548" i="28"/>
  <c r="G533" i="28"/>
  <c r="G525" i="28"/>
  <c r="H525" i="28" s="1"/>
  <c r="G522" i="28"/>
  <c r="H522" i="28" s="1"/>
  <c r="G504" i="28"/>
  <c r="H504" i="28" s="1"/>
  <c r="G491" i="28"/>
  <c r="H491" i="28" s="1"/>
  <c r="G481" i="28"/>
  <c r="H481" i="28" s="1"/>
  <c r="G482" i="28"/>
  <c r="H482" i="28" s="1"/>
  <c r="G480" i="28"/>
  <c r="H480" i="28" s="1"/>
  <c r="G466" i="28"/>
  <c r="G456" i="28"/>
  <c r="H456" i="28" s="1"/>
  <c r="G452" i="28"/>
  <c r="H452" i="28" s="1"/>
  <c r="G437" i="28"/>
  <c r="H437" i="28" s="1"/>
  <c r="G460" i="28"/>
  <c r="H460" i="28" s="1"/>
  <c r="G433" i="28"/>
  <c r="H433" i="28" s="1"/>
  <c r="G425" i="28"/>
  <c r="H425" i="28" s="1"/>
  <c r="G406" i="28"/>
  <c r="H406" i="28" s="1"/>
  <c r="G424" i="28"/>
  <c r="G418" i="28"/>
  <c r="H418" i="28" s="1"/>
  <c r="G402" i="28"/>
  <c r="H402" i="28" s="1"/>
  <c r="G361" i="28"/>
  <c r="H361" i="28" s="1"/>
  <c r="G356" i="28"/>
  <c r="H356" i="28" s="1"/>
  <c r="G382" i="28"/>
  <c r="H382" i="28" s="1"/>
  <c r="G357" i="28"/>
  <c r="H357" i="28" s="1"/>
  <c r="G376" i="28"/>
  <c r="G306" i="28"/>
  <c r="G344" i="28"/>
  <c r="H344" i="28" s="1"/>
  <c r="G315" i="28"/>
  <c r="H315" i="28" s="1"/>
  <c r="G326" i="28"/>
  <c r="H326" i="28" s="1"/>
  <c r="G321" i="28"/>
  <c r="H321" i="28" s="1"/>
  <c r="G300" i="28"/>
  <c r="H300" i="28" s="1"/>
  <c r="G274" i="28"/>
  <c r="G303" i="28"/>
  <c r="G290" i="28"/>
  <c r="G286" i="28"/>
  <c r="H286" i="28" s="1"/>
  <c r="G273" i="28"/>
  <c r="H273" i="28" s="1"/>
  <c r="G233" i="28"/>
  <c r="H233" i="28" s="1"/>
  <c r="G276" i="28"/>
  <c r="H276" i="28" s="1"/>
  <c r="G226" i="28"/>
  <c r="G224" i="28"/>
  <c r="H224" i="28" s="1"/>
  <c r="G235" i="28"/>
  <c r="H235" i="28" s="1"/>
  <c r="G214" i="28"/>
  <c r="G177" i="28"/>
  <c r="H177" i="28" s="1"/>
  <c r="G172" i="28"/>
  <c r="H172" i="28" s="1"/>
  <c r="G186" i="28"/>
  <c r="H186" i="28" s="1"/>
  <c r="G173" i="28"/>
  <c r="H173" i="28" s="1"/>
  <c r="G200" i="28"/>
  <c r="H200" i="28" s="1"/>
  <c r="G237" i="28"/>
  <c r="H237" i="28" s="1"/>
  <c r="G174" i="28"/>
  <c r="G114" i="28"/>
  <c r="G136" i="28"/>
  <c r="H136" i="28" s="1"/>
  <c r="G115" i="28"/>
  <c r="H115" i="28" s="1"/>
  <c r="G126" i="28"/>
  <c r="H126" i="28" s="1"/>
  <c r="G105" i="28"/>
  <c r="H105" i="28" s="1"/>
  <c r="G135" i="28"/>
  <c r="H135" i="28" s="1"/>
  <c r="G42" i="28"/>
  <c r="G143" i="28"/>
  <c r="G48" i="28"/>
  <c r="G59" i="28"/>
  <c r="H59" i="28" s="1"/>
  <c r="G78" i="28"/>
  <c r="H78" i="28" s="1"/>
  <c r="G73" i="28"/>
  <c r="H73" i="28" s="1"/>
  <c r="G68" i="28"/>
  <c r="H68" i="28" s="1"/>
  <c r="G19" i="28"/>
  <c r="H19" i="28" s="1"/>
  <c r="G79" i="28"/>
  <c r="G604" i="28"/>
  <c r="G285" i="28"/>
  <c r="G141" i="28"/>
  <c r="G30" i="28"/>
  <c r="H30" i="28" s="1"/>
  <c r="G607" i="28"/>
  <c r="H607" i="28" s="1"/>
  <c r="G438" i="28"/>
  <c r="H438" i="28" s="1"/>
  <c r="G359" i="28"/>
  <c r="H359" i="28" s="1"/>
  <c r="G305" i="28"/>
  <c r="G220" i="28"/>
  <c r="G196" i="28"/>
  <c r="G138" i="28"/>
  <c r="H138" i="28" s="1"/>
  <c r="G124" i="28"/>
  <c r="H124" i="28" s="1"/>
  <c r="G109" i="28"/>
  <c r="H109" i="28" s="1"/>
  <c r="G17" i="28"/>
  <c r="H17" i="28" s="1"/>
  <c r="G20" i="28"/>
  <c r="H20" i="28" s="1"/>
  <c r="G613" i="28"/>
  <c r="G603" i="28"/>
  <c r="H603" i="28" s="1"/>
  <c r="G585" i="28"/>
  <c r="G584" i="28"/>
  <c r="H584" i="28" s="1"/>
  <c r="G572" i="28"/>
  <c r="H572" i="28" s="1"/>
  <c r="G600" i="28"/>
  <c r="H600" i="28" s="1"/>
  <c r="G569" i="28"/>
  <c r="H569" i="28" s="1"/>
  <c r="G559" i="28"/>
  <c r="H559" i="28" s="1"/>
  <c r="G558" i="28"/>
  <c r="H558" i="28" s="1"/>
  <c r="G540" i="28"/>
  <c r="H540" i="28" s="1"/>
  <c r="G531" i="28"/>
  <c r="G521" i="28"/>
  <c r="G514" i="28"/>
  <c r="H514" i="28" s="1"/>
  <c r="G526" i="28"/>
  <c r="H526" i="28" s="1"/>
  <c r="G483" i="28"/>
  <c r="H483" i="28" s="1"/>
  <c r="G492" i="28"/>
  <c r="H492" i="28" s="1"/>
  <c r="G503" i="28"/>
  <c r="G465" i="28"/>
  <c r="H465" i="28" s="1"/>
  <c r="G458" i="28"/>
  <c r="G477" i="28"/>
  <c r="H477" i="28" s="1"/>
  <c r="G447" i="28"/>
  <c r="H447" i="28" s="1"/>
  <c r="G429" i="28"/>
  <c r="H429" i="28" s="1"/>
  <c r="G451" i="28"/>
  <c r="H451" i="28" s="1"/>
  <c r="G468" i="28"/>
  <c r="H468" i="28" s="1"/>
  <c r="G416" i="28"/>
  <c r="H416" i="28" s="1"/>
  <c r="G398" i="28"/>
  <c r="G423" i="28"/>
  <c r="G392" i="28"/>
  <c r="H392" i="28" s="1"/>
  <c r="G400" i="28"/>
  <c r="H400" i="28" s="1"/>
  <c r="G353" i="28"/>
  <c r="H353" i="28" s="1"/>
  <c r="G388" i="28"/>
  <c r="H388" i="28" s="1"/>
  <c r="G370" i="28"/>
  <c r="H370" i="28" s="1"/>
  <c r="G349" i="28"/>
  <c r="H349" i="28" s="1"/>
  <c r="G371" i="28"/>
  <c r="H371" i="28" s="1"/>
  <c r="G298" i="28"/>
  <c r="G328" i="28"/>
  <c r="H328" i="28" s="1"/>
  <c r="G307" i="28"/>
  <c r="H307" i="28" s="1"/>
  <c r="G318" i="28"/>
  <c r="H318" i="28" s="1"/>
  <c r="G313" i="28"/>
  <c r="H313" i="28" s="1"/>
  <c r="G292" i="28"/>
  <c r="H292" i="28" s="1"/>
  <c r="G266" i="28"/>
  <c r="H266" i="28" s="1"/>
  <c r="G293" i="28"/>
  <c r="H293" i="28" s="1"/>
  <c r="G283" i="28"/>
  <c r="G278" i="28"/>
  <c r="H278" i="28" s="1"/>
  <c r="G265" i="28"/>
  <c r="H265" i="28" s="1"/>
  <c r="G225" i="28"/>
  <c r="H225" i="28" s="1"/>
  <c r="G239" i="28"/>
  <c r="H239" i="28" s="1"/>
  <c r="G218" i="28"/>
  <c r="H218" i="28" s="1"/>
  <c r="G216" i="28"/>
  <c r="H216" i="28" s="1"/>
  <c r="G227" i="28"/>
  <c r="G206" i="28"/>
  <c r="G169" i="28"/>
  <c r="H169" i="28" s="1"/>
  <c r="G244" i="28"/>
  <c r="H244" i="28" s="1"/>
  <c r="G178" i="28"/>
  <c r="H178" i="28" s="1"/>
  <c r="G165" i="28"/>
  <c r="H165" i="28" s="1"/>
  <c r="G195" i="28"/>
  <c r="G229" i="28"/>
  <c r="H229" i="28" s="1"/>
  <c r="G166" i="28"/>
  <c r="H166" i="28" s="1"/>
  <c r="G106" i="28"/>
  <c r="G128" i="28"/>
  <c r="H128" i="28" s="1"/>
  <c r="G107" i="28"/>
  <c r="H107" i="28" s="1"/>
  <c r="G118" i="28"/>
  <c r="H118" i="28" s="1"/>
  <c r="G156" i="28"/>
  <c r="H156" i="28" s="1"/>
  <c r="G104" i="28"/>
  <c r="H104" i="28" s="1"/>
  <c r="G97" i="28"/>
  <c r="H97" i="28" s="1"/>
  <c r="G100" i="28"/>
  <c r="G111" i="28"/>
  <c r="H111" i="28" s="1"/>
  <c r="G51" i="28"/>
  <c r="H51" i="28" s="1"/>
  <c r="G70" i="28"/>
  <c r="H70" i="28" s="1"/>
  <c r="G65" i="28"/>
  <c r="H65" i="28" s="1"/>
  <c r="G60" i="28"/>
  <c r="H60" i="28" s="1"/>
  <c r="G26" i="28"/>
  <c r="H26" i="28" s="1"/>
  <c r="G95" i="28"/>
  <c r="H95" i="28" s="1"/>
  <c r="G596" i="28"/>
  <c r="G590" i="28"/>
  <c r="G568" i="28"/>
  <c r="H568" i="28" s="1"/>
  <c r="G536" i="28"/>
  <c r="H536" i="28" s="1"/>
  <c r="G535" i="28"/>
  <c r="H535" i="28" s="1"/>
  <c r="G516" i="28"/>
  <c r="H516" i="28" s="1"/>
  <c r="G527" i="28"/>
  <c r="H527" i="28" s="1"/>
  <c r="G495" i="28"/>
  <c r="H495" i="28" s="1"/>
  <c r="G471" i="28"/>
  <c r="G485" i="28"/>
  <c r="G443" i="28"/>
  <c r="H443" i="28" s="1"/>
  <c r="G428" i="28"/>
  <c r="H428" i="28" s="1"/>
  <c r="G399" i="28"/>
  <c r="H399" i="28" s="1"/>
  <c r="G396" i="28"/>
  <c r="H396" i="28" s="1"/>
  <c r="G346" i="28"/>
  <c r="H346" i="28" s="1"/>
  <c r="G317" i="28"/>
  <c r="H317" i="28" s="1"/>
  <c r="G332" i="28"/>
  <c r="H332" i="28" s="1"/>
  <c r="G264" i="28"/>
  <c r="G228" i="28"/>
  <c r="H228" i="28" s="1"/>
  <c r="G284" i="28"/>
  <c r="H284" i="28" s="1"/>
  <c r="G213" i="28"/>
  <c r="H213" i="28" s="1"/>
  <c r="G171" i="28"/>
  <c r="H171" i="28" s="1"/>
  <c r="G152" i="28"/>
  <c r="H152" i="28" s="1"/>
  <c r="G74" i="28"/>
  <c r="H74" i="28" s="1"/>
  <c r="G119" i="28"/>
  <c r="H119" i="28" s="1"/>
  <c r="G34" i="28"/>
  <c r="G586" i="28"/>
  <c r="H586" i="28" s="1"/>
  <c r="G562" i="28"/>
  <c r="H562" i="28" s="1"/>
  <c r="G545" i="28"/>
  <c r="H545" i="28" s="1"/>
  <c r="G508" i="28"/>
  <c r="H508" i="28" s="1"/>
  <c r="G487" i="28"/>
  <c r="H487" i="28" s="1"/>
  <c r="G474" i="28"/>
  <c r="H474" i="28" s="1"/>
  <c r="G421" i="28"/>
  <c r="H421" i="28" s="1"/>
  <c r="G387" i="28"/>
  <c r="G339" i="28"/>
  <c r="H339" i="28" s="1"/>
  <c r="G324" i="28"/>
  <c r="H324" i="28" s="1"/>
  <c r="G296" i="28"/>
  <c r="H296" i="28" s="1"/>
  <c r="G238" i="28"/>
  <c r="H238" i="28" s="1"/>
  <c r="G192" i="28"/>
  <c r="H192" i="28" s="1"/>
  <c r="G139" i="28"/>
  <c r="H139" i="28" s="1"/>
  <c r="G69" i="28"/>
  <c r="H69" i="28" s="1"/>
  <c r="G92" i="28"/>
  <c r="G21" i="28"/>
  <c r="H21" i="28" s="1"/>
  <c r="G15" i="28"/>
  <c r="H15" i="28" s="1"/>
  <c r="G71" i="28"/>
  <c r="H71" i="28" s="1"/>
  <c r="G63" i="28"/>
  <c r="H63" i="28" s="1"/>
  <c r="G611" i="28"/>
  <c r="G602" i="28"/>
  <c r="H602" i="28" s="1"/>
  <c r="G588" i="28"/>
  <c r="H588" i="28" s="1"/>
  <c r="G592" i="28"/>
  <c r="G582" i="28"/>
  <c r="G579" i="28"/>
  <c r="H579" i="28" s="1"/>
  <c r="G574" i="28"/>
  <c r="H574" i="28" s="1"/>
  <c r="G552" i="28"/>
  <c r="H552" i="28" s="1"/>
  <c r="G550" i="28"/>
  <c r="H550" i="28" s="1"/>
  <c r="G551" i="28"/>
  <c r="H551" i="28" s="1"/>
  <c r="G529" i="28"/>
  <c r="G513" i="28"/>
  <c r="G506" i="28"/>
  <c r="H506" i="28" s="1"/>
  <c r="G515" i="28"/>
  <c r="H515" i="28" s="1"/>
  <c r="G500" i="28"/>
  <c r="H500" i="28" s="1"/>
  <c r="G484" i="28"/>
  <c r="H484" i="28" s="1"/>
  <c r="G502" i="28"/>
  <c r="H502" i="28" s="1"/>
  <c r="G457" i="28"/>
  <c r="H457" i="28" s="1"/>
  <c r="G469" i="28"/>
  <c r="G467" i="28"/>
  <c r="G439" i="28"/>
  <c r="H439" i="28" s="1"/>
  <c r="G440" i="28"/>
  <c r="H440" i="28" s="1"/>
  <c r="G450" i="28"/>
  <c r="H450" i="28" s="1"/>
  <c r="G444" i="28"/>
  <c r="H444" i="28" s="1"/>
  <c r="G408" i="28"/>
  <c r="H408" i="28" s="1"/>
  <c r="G417" i="28"/>
  <c r="H417" i="28" s="1"/>
  <c r="G415" i="28"/>
  <c r="H415" i="28" s="1"/>
  <c r="G384" i="28"/>
  <c r="G397" i="28"/>
  <c r="H397" i="28" s="1"/>
  <c r="G345" i="28"/>
  <c r="H345" i="28" s="1"/>
  <c r="G381" i="28"/>
  <c r="H381" i="28" s="1"/>
  <c r="G362" i="28"/>
  <c r="H362" i="28" s="1"/>
  <c r="G341" i="28"/>
  <c r="H341" i="28" s="1"/>
  <c r="G363" i="28"/>
  <c r="H363" i="28" s="1"/>
  <c r="G343" i="28"/>
  <c r="H343" i="28" s="1"/>
  <c r="G320" i="28"/>
  <c r="G299" i="28"/>
  <c r="H299" i="28" s="1"/>
  <c r="G310" i="28"/>
  <c r="H310" i="28" s="1"/>
  <c r="G358" i="28"/>
  <c r="H358" i="28" s="1"/>
  <c r="G279" i="28"/>
  <c r="H279" i="28" s="1"/>
  <c r="G258" i="28"/>
  <c r="G280" i="28"/>
  <c r="G275" i="28"/>
  <c r="G270" i="28"/>
  <c r="G257" i="28"/>
  <c r="H257" i="28" s="1"/>
  <c r="G252" i="28"/>
  <c r="H252" i="28" s="1"/>
  <c r="G231" i="28"/>
  <c r="H231" i="28" s="1"/>
  <c r="G210" i="28"/>
  <c r="H210" i="28" s="1"/>
  <c r="G208" i="28"/>
  <c r="H208" i="28" s="1"/>
  <c r="G219" i="28"/>
  <c r="H219" i="28" s="1"/>
  <c r="G198" i="28"/>
  <c r="G161" i="28"/>
  <c r="G191" i="28"/>
  <c r="H191" i="28" s="1"/>
  <c r="G170" i="28"/>
  <c r="H170" i="28" s="1"/>
  <c r="G157" i="28"/>
  <c r="H157" i="28" s="1"/>
  <c r="G187" i="28"/>
  <c r="H187" i="28" s="1"/>
  <c r="G209" i="28"/>
  <c r="H209" i="28" s="1"/>
  <c r="G158" i="28"/>
  <c r="H158" i="28" s="1"/>
  <c r="G98" i="28"/>
  <c r="G120" i="28"/>
  <c r="G99" i="28"/>
  <c r="H99" i="28" s="1"/>
  <c r="G168" i="28"/>
  <c r="H168" i="28" s="1"/>
  <c r="G145" i="28"/>
  <c r="H145" i="28" s="1"/>
  <c r="G90" i="28"/>
  <c r="H90" i="28" s="1"/>
  <c r="G93" i="28"/>
  <c r="G96" i="28"/>
  <c r="H96" i="28" s="1"/>
  <c r="G110" i="28"/>
  <c r="G43" i="28"/>
  <c r="G62" i="28"/>
  <c r="H62" i="28" s="1"/>
  <c r="G57" i="28"/>
  <c r="H57" i="28" s="1"/>
  <c r="G52" i="28"/>
  <c r="H52" i="28" s="1"/>
  <c r="G28" i="28"/>
  <c r="H28" i="28" s="1"/>
  <c r="G102" i="28"/>
  <c r="G38" i="28"/>
  <c r="H38" i="28" s="1"/>
  <c r="G597" i="28"/>
  <c r="H597" i="28" s="1"/>
  <c r="G395" i="28"/>
  <c r="G294" i="28"/>
  <c r="H294" i="28" s="1"/>
  <c r="G254" i="28"/>
  <c r="H254" i="28" s="1"/>
  <c r="G217" i="28"/>
  <c r="H217" i="28" s="1"/>
  <c r="G201" i="28"/>
  <c r="H201" i="28" s="1"/>
  <c r="G132" i="28"/>
  <c r="H132" i="28" s="1"/>
  <c r="G91" i="28"/>
  <c r="G55" i="28"/>
  <c r="H55" i="28" s="1"/>
  <c r="G23" i="28"/>
  <c r="G560" i="28"/>
  <c r="H560" i="28" s="1"/>
  <c r="G554" i="28"/>
  <c r="H554" i="28" s="1"/>
  <c r="G523" i="28"/>
  <c r="H523" i="28" s="1"/>
  <c r="G499" i="28"/>
  <c r="H499" i="28" s="1"/>
  <c r="G470" i="28"/>
  <c r="H470" i="28" s="1"/>
  <c r="G403" i="28"/>
  <c r="H403" i="28" s="1"/>
  <c r="G377" i="28"/>
  <c r="H377" i="28" s="1"/>
  <c r="G368" i="28"/>
  <c r="G334" i="28"/>
  <c r="H334" i="28" s="1"/>
  <c r="G277" i="28"/>
  <c r="H277" i="28" s="1"/>
  <c r="G253" i="28"/>
  <c r="H253" i="28" s="1"/>
  <c r="G203" i="28"/>
  <c r="H203" i="28" s="1"/>
  <c r="G163" i="28"/>
  <c r="G151" i="28"/>
  <c r="H151" i="28" s="1"/>
  <c r="G72" i="28"/>
  <c r="H72" i="28" s="1"/>
  <c r="G33" i="28"/>
  <c r="G47" i="28"/>
  <c r="H47" i="28" s="1"/>
  <c r="G27" i="28"/>
  <c r="H27" i="28" s="1"/>
  <c r="G606" i="28"/>
  <c r="H606" i="28" s="1"/>
  <c r="G599" i="28"/>
  <c r="H599" i="28" s="1"/>
  <c r="G591" i="28"/>
  <c r="H591" i="28" s="1"/>
  <c r="G587" i="28"/>
  <c r="H587" i="28" s="1"/>
  <c r="G575" i="28"/>
  <c r="G565" i="28"/>
  <c r="H565" i="28" s="1"/>
  <c r="G564" i="28"/>
  <c r="H564" i="28" s="1"/>
  <c r="G544" i="28"/>
  <c r="H544" i="28" s="1"/>
  <c r="G542" i="28"/>
  <c r="H542" i="28" s="1"/>
  <c r="G543" i="28"/>
  <c r="H543" i="28" s="1"/>
  <c r="G546" i="28"/>
  <c r="H546" i="28" s="1"/>
  <c r="G505" i="28"/>
  <c r="H505" i="28" s="1"/>
  <c r="G517" i="28"/>
  <c r="H517" i="28" s="1"/>
  <c r="G507" i="28"/>
  <c r="H507" i="28" s="1"/>
  <c r="G494" i="28"/>
  <c r="H494" i="28" s="1"/>
  <c r="G476" i="28"/>
  <c r="H476" i="28" s="1"/>
  <c r="G498" i="28"/>
  <c r="H498" i="28" s="1"/>
  <c r="G449" i="28"/>
  <c r="H449" i="28" s="1"/>
  <c r="G461" i="28"/>
  <c r="H461" i="28" s="1"/>
  <c r="G459" i="28"/>
  <c r="H459" i="28" s="1"/>
  <c r="G431" i="28"/>
  <c r="G432" i="28"/>
  <c r="G448" i="28"/>
  <c r="H448" i="28" s="1"/>
  <c r="G436" i="28"/>
  <c r="H436" i="28" s="1"/>
  <c r="G419" i="28"/>
  <c r="H419" i="28" s="1"/>
  <c r="G409" i="28"/>
  <c r="H409" i="28" s="1"/>
  <c r="G407" i="28"/>
  <c r="H407" i="28" s="1"/>
  <c r="G410" i="28"/>
  <c r="H410" i="28" s="1"/>
  <c r="G393" i="28"/>
  <c r="H393" i="28" s="1"/>
  <c r="G337" i="28"/>
  <c r="G375" i="28"/>
  <c r="H375" i="28" s="1"/>
  <c r="G354" i="28"/>
  <c r="H354" i="28" s="1"/>
  <c r="G333" i="28"/>
  <c r="H333" i="28" s="1"/>
  <c r="G355" i="28"/>
  <c r="H355" i="28" s="1"/>
  <c r="G325" i="28"/>
  <c r="G312" i="28"/>
  <c r="H312" i="28" s="1"/>
  <c r="G291" i="28"/>
  <c r="H291" i="28" s="1"/>
  <c r="G302" i="28"/>
  <c r="H302" i="28" s="1"/>
  <c r="G340" i="28"/>
  <c r="H340" i="28" s="1"/>
  <c r="G271" i="28"/>
  <c r="H271" i="28" s="1"/>
  <c r="G250" i="28"/>
  <c r="H250" i="28" s="1"/>
  <c r="G272" i="28"/>
  <c r="H272" i="28" s="1"/>
  <c r="G267" i="28"/>
  <c r="H267" i="28" s="1"/>
  <c r="G262" i="28"/>
  <c r="H262" i="28" s="1"/>
  <c r="G249" i="28"/>
  <c r="H249" i="28" s="1"/>
  <c r="G236" i="28"/>
  <c r="G223" i="28"/>
  <c r="H223" i="28" s="1"/>
  <c r="G260" i="28"/>
  <c r="H260" i="28" s="1"/>
  <c r="G342" i="28"/>
  <c r="H342" i="28" s="1"/>
  <c r="G211" i="28"/>
  <c r="H211" i="28" s="1"/>
  <c r="G245" i="28"/>
  <c r="H245" i="28" s="1"/>
  <c r="G153" i="28"/>
  <c r="H153" i="28" s="1"/>
  <c r="G183" i="28"/>
  <c r="G162" i="28"/>
  <c r="G149" i="28"/>
  <c r="H149" i="28" s="1"/>
  <c r="G179" i="28"/>
  <c r="H179" i="28" s="1"/>
  <c r="G202" i="28"/>
  <c r="H202" i="28" s="1"/>
  <c r="G150" i="28"/>
  <c r="H150" i="28" s="1"/>
  <c r="G148" i="28"/>
  <c r="H148" i="28" s="1"/>
  <c r="G164" i="28"/>
  <c r="H164" i="28" s="1"/>
  <c r="G176" i="28"/>
  <c r="H176" i="28" s="1"/>
  <c r="G144" i="28"/>
  <c r="H144" i="28" s="1"/>
  <c r="G140" i="28"/>
  <c r="H140" i="28" s="1"/>
  <c r="G82" i="28"/>
  <c r="H82" i="28" s="1"/>
  <c r="G85" i="28"/>
  <c r="H85" i="28" s="1"/>
  <c r="G88" i="28"/>
  <c r="H88" i="28" s="1"/>
  <c r="G103" i="28"/>
  <c r="H103" i="28" s="1"/>
  <c r="G35" i="28"/>
  <c r="H35" i="28" s="1"/>
  <c r="G54" i="28"/>
  <c r="H54" i="28" s="1"/>
  <c r="G127" i="28"/>
  <c r="G44" i="28"/>
  <c r="H44" i="28" s="1"/>
  <c r="G29" i="28"/>
  <c r="H29" i="28" s="1"/>
  <c r="G37" i="28"/>
  <c r="H37" i="28" s="1"/>
  <c r="G49" i="28"/>
  <c r="H49" i="28" s="1"/>
  <c r="G378" i="28"/>
  <c r="G154" i="28"/>
  <c r="H154" i="28" s="1"/>
  <c r="G36" i="28"/>
  <c r="H36" i="28" s="1"/>
  <c r="G608" i="28"/>
  <c r="H608" i="28" s="1"/>
  <c r="G207" i="28"/>
  <c r="H207" i="28" s="1"/>
  <c r="G40" i="28"/>
  <c r="H40" i="28" s="1"/>
  <c r="G626" i="28"/>
  <c r="H626" i="28" s="1"/>
  <c r="G624" i="28"/>
  <c r="H624" i="28" s="1"/>
  <c r="G625" i="28"/>
  <c r="H625" i="28" s="1"/>
  <c r="G629" i="28"/>
  <c r="H629" i="28" s="1"/>
  <c r="G627" i="28"/>
  <c r="H627" i="28" s="1"/>
  <c r="G87" i="28"/>
  <c r="H87" i="28" s="1"/>
  <c r="B33" i="28"/>
  <c r="B34" i="28"/>
  <c r="K3" i="17"/>
  <c r="F49" i="17" s="1"/>
  <c r="O3" i="28"/>
  <c r="H583" i="28"/>
  <c r="H532" i="28"/>
  <c r="H462" i="28"/>
  <c r="H445" i="28"/>
  <c r="H431" i="28"/>
  <c r="H385" i="28"/>
  <c r="H338" i="28"/>
  <c r="H330" i="28"/>
  <c r="H214" i="28"/>
  <c r="H194" i="28"/>
  <c r="H611" i="28"/>
  <c r="H581" i="28"/>
  <c r="H577" i="28"/>
  <c r="H524" i="28"/>
  <c r="H454" i="28"/>
  <c r="H398" i="28"/>
  <c r="H325" i="28"/>
  <c r="H323" i="28"/>
  <c r="H289" i="28"/>
  <c r="H227" i="28"/>
  <c r="H195" i="28"/>
  <c r="H247" i="28"/>
  <c r="H142" i="28"/>
  <c r="H609" i="28"/>
  <c r="H573" i="28"/>
  <c r="H547" i="28"/>
  <c r="H548" i="28"/>
  <c r="H541" i="28"/>
  <c r="H466" i="28"/>
  <c r="H368" i="28"/>
  <c r="H383" i="28"/>
  <c r="H264" i="28"/>
  <c r="H298" i="28"/>
  <c r="H306" i="28"/>
  <c r="H258" i="28"/>
  <c r="H120" i="28"/>
  <c r="H134" i="28"/>
  <c r="H146" i="28"/>
  <c r="H159" i="28"/>
  <c r="H596" i="28"/>
  <c r="H567" i="28"/>
  <c r="H533" i="28"/>
  <c r="H518" i="28"/>
  <c r="H475" i="28"/>
  <c r="H458" i="28"/>
  <c r="H395" i="28"/>
  <c r="H384" i="28"/>
  <c r="H301" i="28"/>
  <c r="H303" i="28"/>
  <c r="H256" i="28"/>
  <c r="H236" i="28"/>
  <c r="H206" i="28"/>
  <c r="H133" i="28"/>
  <c r="H100" i="28"/>
  <c r="H94" i="28"/>
  <c r="H604" i="28"/>
  <c r="H531" i="28"/>
  <c r="H520" i="28"/>
  <c r="H503" i="28"/>
  <c r="H432" i="28"/>
  <c r="H585" i="28"/>
  <c r="H529" i="28"/>
  <c r="H519" i="28"/>
  <c r="H521" i="28"/>
  <c r="H472" i="28"/>
  <c r="H478" i="28"/>
  <c r="H435" i="28"/>
  <c r="H424" i="28"/>
  <c r="H390" i="28"/>
  <c r="H372" i="28"/>
  <c r="H336" i="28"/>
  <c r="H369" i="28"/>
  <c r="H241" i="28"/>
  <c r="H180" i="28"/>
  <c r="H175" i="28"/>
  <c r="H89" i="28"/>
  <c r="H305" i="28"/>
  <c r="H281" i="28"/>
  <c r="H246" i="28"/>
  <c r="H162" i="28"/>
  <c r="H123" i="28"/>
  <c r="H106" i="28"/>
  <c r="H511" i="28"/>
  <c r="H426" i="28"/>
  <c r="H404" i="28"/>
  <c r="H391" i="28"/>
  <c r="H143" i="28"/>
  <c r="H81" i="28"/>
  <c r="H33" i="28"/>
  <c r="H43" i="28"/>
  <c r="H590" i="28"/>
  <c r="H512" i="28"/>
  <c r="H423" i="28"/>
  <c r="H290" i="28"/>
  <c r="H196" i="28"/>
  <c r="H127" i="28"/>
  <c r="H66" i="28"/>
  <c r="H575" i="28"/>
  <c r="H553" i="28"/>
  <c r="H337" i="28"/>
  <c r="H283" i="28"/>
  <c r="H220" i="28"/>
  <c r="H188" i="28"/>
  <c r="H163" i="28"/>
  <c r="H67" i="28"/>
  <c r="H92" i="28"/>
  <c r="H394" i="28"/>
  <c r="H376" i="28"/>
  <c r="H331" i="28"/>
  <c r="H295" i="28"/>
  <c r="H125" i="28"/>
  <c r="H86" i="28"/>
  <c r="H411" i="28"/>
  <c r="H387" i="28"/>
  <c r="H274" i="28"/>
  <c r="H226" i="28"/>
  <c r="H222" i="28"/>
  <c r="H183" i="28"/>
  <c r="H101" i="28"/>
  <c r="H58" i="28"/>
  <c r="H513" i="28"/>
  <c r="H365" i="28"/>
  <c r="H270" i="28"/>
  <c r="H174" i="28"/>
  <c r="H114" i="28"/>
  <c r="H48" i="28"/>
  <c r="H464" i="28"/>
  <c r="H350" i="28"/>
  <c r="H595" i="28"/>
  <c r="H34" i="28"/>
  <c r="H248" i="28"/>
  <c r="H198" i="28"/>
  <c r="H131" i="28"/>
  <c r="H31" i="28"/>
  <c r="H98" i="28"/>
  <c r="H613" i="28"/>
  <c r="H287" i="28"/>
  <c r="H269" i="28"/>
  <c r="H446" i="28"/>
  <c r="H320" i="28"/>
  <c r="H469" i="28"/>
  <c r="H102" i="28"/>
  <c r="H42" i="28"/>
  <c r="H205" i="28"/>
  <c r="H161" i="28"/>
  <c r="H259" i="28"/>
  <c r="H378" i="28"/>
  <c r="H485" i="28"/>
  <c r="H91" i="28"/>
  <c r="H285" i="28"/>
  <c r="H79" i="28"/>
  <c r="H77" i="28"/>
  <c r="H268" i="28"/>
  <c r="H471" i="28"/>
  <c r="H23" i="28"/>
  <c r="H263" i="28"/>
  <c r="H493" i="28"/>
  <c r="H275" i="28"/>
  <c r="H582" i="28"/>
  <c r="H110" i="28"/>
  <c r="H280" i="28"/>
  <c r="H592" i="28"/>
  <c r="H467" i="28"/>
  <c r="H93" i="28"/>
  <c r="H141" i="28"/>
  <c r="H215" i="28"/>
  <c r="H304" i="28"/>
  <c r="B61" i="2"/>
  <c r="B96" i="2"/>
  <c r="L71" i="2"/>
  <c r="L70" i="2"/>
  <c r="B165" i="2"/>
  <c r="E34" i="1" s="1"/>
  <c r="O19" i="8"/>
  <c r="B471" i="2"/>
  <c r="B472" i="2"/>
  <c r="A493" i="2"/>
  <c r="B363" i="2"/>
  <c r="B367" i="2" s="1"/>
  <c r="B364" i="2"/>
  <c r="B493" i="2"/>
  <c r="B320" i="2"/>
  <c r="F80" i="17"/>
  <c r="C3" i="17"/>
  <c r="B20" i="2"/>
  <c r="B18" i="2"/>
  <c r="B19" i="2"/>
  <c r="B8" i="29" s="1"/>
  <c r="G159" i="8"/>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B533" i="2"/>
  <c r="O10" i="8"/>
  <c r="B398" i="2" s="1"/>
  <c r="B516" i="2" s="1"/>
  <c r="B475" i="2"/>
  <c r="B476" i="2" s="1"/>
  <c r="B79" i="2"/>
  <c r="E79" i="1"/>
  <c r="B235" i="2"/>
  <c r="B534" i="2"/>
  <c r="B47" i="2" l="1"/>
  <c r="AF25" i="29"/>
  <c r="AA29" i="29"/>
  <c r="B46" i="2"/>
  <c r="AE25" i="29"/>
  <c r="AE26" i="29" s="1"/>
  <c r="AA28" i="29"/>
  <c r="B44" i="2"/>
  <c r="AA26" i="29"/>
  <c r="AC25" i="29"/>
  <c r="AC26" i="29" s="1"/>
  <c r="B45" i="2"/>
  <c r="AA27" i="29"/>
  <c r="AD25" i="29"/>
  <c r="Y11" i="29"/>
  <c r="AA11" i="29"/>
  <c r="Y5" i="29"/>
  <c r="E277" i="17"/>
  <c r="E513" i="17"/>
  <c r="F214" i="17"/>
  <c r="F147" i="17"/>
  <c r="F175" i="17"/>
  <c r="F575" i="17"/>
  <c r="E506" i="17"/>
  <c r="E485" i="17"/>
  <c r="C63" i="2"/>
  <c r="B67" i="2" s="1"/>
  <c r="B83" i="2"/>
  <c r="F72" i="17"/>
  <c r="E353" i="17"/>
  <c r="F533" i="17"/>
  <c r="F64" i="17"/>
  <c r="E188" i="17"/>
  <c r="E578" i="17"/>
  <c r="F596" i="17"/>
  <c r="F128" i="17"/>
  <c r="E216" i="17"/>
  <c r="E381" i="17"/>
  <c r="F91" i="17"/>
  <c r="E104" i="17"/>
  <c r="E166" i="17"/>
  <c r="F372" i="17"/>
  <c r="F47" i="17"/>
  <c r="E587" i="17"/>
  <c r="F394" i="17"/>
  <c r="F203" i="17"/>
  <c r="F156" i="17"/>
  <c r="E403" i="17"/>
  <c r="F178" i="17"/>
  <c r="E456" i="17"/>
  <c r="F409" i="17"/>
  <c r="E221" i="17"/>
  <c r="F319" i="17"/>
  <c r="E484" i="17"/>
  <c r="E457" i="17"/>
  <c r="F562" i="17"/>
  <c r="E219" i="17"/>
  <c r="E328" i="17"/>
  <c r="F534" i="17"/>
  <c r="E48" i="17"/>
  <c r="F48" i="17"/>
  <c r="E275" i="17"/>
  <c r="F264" i="17"/>
  <c r="E266" i="17"/>
  <c r="F369" i="17"/>
  <c r="F253" i="17"/>
  <c r="E356" i="17"/>
  <c r="F454" i="17"/>
  <c r="F584" i="17"/>
  <c r="F459" i="17"/>
  <c r="F581" i="17"/>
  <c r="F89" i="17"/>
  <c r="E244" i="17"/>
  <c r="F40" i="17"/>
  <c r="F275" i="17"/>
  <c r="E536" i="17"/>
  <c r="F56" i="17"/>
  <c r="F341" i="17"/>
  <c r="F432" i="17"/>
  <c r="E129" i="17"/>
  <c r="E294" i="17"/>
  <c r="E378" i="17"/>
  <c r="E612" i="17"/>
  <c r="F487" i="17"/>
  <c r="F45" i="17"/>
  <c r="F96" i="17"/>
  <c r="F28" i="17"/>
  <c r="E157" i="17"/>
  <c r="E116" i="17"/>
  <c r="F316" i="17"/>
  <c r="E301" i="17"/>
  <c r="F303" i="17"/>
  <c r="E406" i="17"/>
  <c r="F510" i="17"/>
  <c r="E106" i="17"/>
  <c r="F509" i="17"/>
  <c r="E584" i="17"/>
  <c r="F242" i="17"/>
  <c r="F225" i="17"/>
  <c r="F431" i="17"/>
  <c r="F104" i="17"/>
  <c r="F292" i="17"/>
  <c r="F397" i="17"/>
  <c r="F482" i="17"/>
  <c r="F88" i="17"/>
  <c r="F14" i="17"/>
  <c r="E179" i="17"/>
  <c r="E138" i="17"/>
  <c r="F344" i="17"/>
  <c r="F125" i="17"/>
  <c r="E331" i="17"/>
  <c r="E428" i="17"/>
  <c r="E531" i="17"/>
  <c r="E50" i="17"/>
  <c r="E435" i="17"/>
  <c r="E565" i="17"/>
  <c r="E87" i="17"/>
  <c r="E225" i="17"/>
  <c r="E303" i="17"/>
  <c r="F462" i="17"/>
  <c r="E589" i="17"/>
  <c r="F62" i="17"/>
  <c r="F246" i="17"/>
  <c r="E363" i="17"/>
  <c r="E105" i="17"/>
  <c r="E97" i="17"/>
  <c r="E89" i="17"/>
  <c r="E81" i="17"/>
  <c r="E73" i="17"/>
  <c r="E65" i="17"/>
  <c r="E57" i="17"/>
  <c r="E49" i="17"/>
  <c r="E41" i="17"/>
  <c r="E29" i="17"/>
  <c r="F18" i="17"/>
  <c r="F126" i="17"/>
  <c r="F154" i="17"/>
  <c r="F176" i="17"/>
  <c r="E215" i="17"/>
  <c r="E259" i="17"/>
  <c r="E127" i="17"/>
  <c r="E155" i="17"/>
  <c r="E177" i="17"/>
  <c r="E217" i="17"/>
  <c r="E261" i="17"/>
  <c r="F212" i="17"/>
  <c r="F240" i="17"/>
  <c r="F262" i="17"/>
  <c r="F290" i="17"/>
  <c r="F312" i="17"/>
  <c r="E136" i="17"/>
  <c r="E164" i="17"/>
  <c r="E186" i="17"/>
  <c r="E214" i="17"/>
  <c r="E236" i="17"/>
  <c r="E264" i="17"/>
  <c r="E292" i="17"/>
  <c r="E314" i="17"/>
  <c r="F342" i="17"/>
  <c r="F364" i="17"/>
  <c r="F392" i="17"/>
  <c r="F317" i="17"/>
  <c r="F339" i="17"/>
  <c r="F367" i="17"/>
  <c r="F389" i="17"/>
  <c r="E299" i="17"/>
  <c r="F123" i="17"/>
  <c r="F145" i="17"/>
  <c r="F173" i="17"/>
  <c r="F195" i="17"/>
  <c r="F223" i="17"/>
  <c r="F251" i="17"/>
  <c r="F273" i="17"/>
  <c r="F301" i="17"/>
  <c r="E323" i="17"/>
  <c r="E351" i="17"/>
  <c r="E379" i="17"/>
  <c r="E401" i="17"/>
  <c r="E326" i="17"/>
  <c r="E348" i="17"/>
  <c r="E376" i="17"/>
  <c r="E404" i="17"/>
  <c r="E426" i="17"/>
  <c r="E454" i="17"/>
  <c r="E476" i="17"/>
  <c r="E504" i="17"/>
  <c r="F430" i="17"/>
  <c r="F452" i="17"/>
  <c r="F480" i="17"/>
  <c r="F502" i="17"/>
  <c r="E529" i="17"/>
  <c r="F571" i="17"/>
  <c r="F531" i="17"/>
  <c r="E574" i="17"/>
  <c r="F554" i="17"/>
  <c r="F582" i="17"/>
  <c r="E610" i="17"/>
  <c r="E613" i="17"/>
  <c r="E54" i="17"/>
  <c r="F107" i="17"/>
  <c r="F51" i="17"/>
  <c r="F407" i="17"/>
  <c r="F429" i="17"/>
  <c r="F457" i="17"/>
  <c r="F479" i="17"/>
  <c r="F507" i="17"/>
  <c r="E433" i="17"/>
  <c r="E455" i="17"/>
  <c r="E483" i="17"/>
  <c r="E505" i="17"/>
  <c r="F532" i="17"/>
  <c r="F577" i="17"/>
  <c r="E534" i="17"/>
  <c r="E580" i="17"/>
  <c r="E557" i="17"/>
  <c r="E585" i="17"/>
  <c r="F613" i="17"/>
  <c r="E108" i="17"/>
  <c r="E52" i="17"/>
  <c r="F105" i="17"/>
  <c r="F29" i="17"/>
  <c r="F61" i="17"/>
  <c r="F93" i="17"/>
  <c r="E28" i="17"/>
  <c r="E60" i="17"/>
  <c r="E92" i="17"/>
  <c r="F608" i="17"/>
  <c r="F611" i="17"/>
  <c r="E595" i="17"/>
  <c r="E579" i="17"/>
  <c r="E563" i="17"/>
  <c r="E547" i="17"/>
  <c r="E572" i="17"/>
  <c r="E542" i="17"/>
  <c r="E526" i="17"/>
  <c r="F573" i="17"/>
  <c r="F542" i="17"/>
  <c r="F526" i="17"/>
  <c r="E511" i="17"/>
  <c r="E495" i="17"/>
  <c r="E479" i="17"/>
  <c r="E463" i="17"/>
  <c r="E447" i="17"/>
  <c r="E431" i="17"/>
  <c r="F517" i="17"/>
  <c r="F501" i="17"/>
  <c r="F485" i="17"/>
  <c r="F469" i="17"/>
  <c r="F453" i="17"/>
  <c r="F437" i="17"/>
  <c r="F421" i="17"/>
  <c r="F405" i="17"/>
  <c r="F31" i="17"/>
  <c r="F63" i="17"/>
  <c r="F95" i="17"/>
  <c r="E30" i="17"/>
  <c r="E62" i="17"/>
  <c r="E94" i="17"/>
  <c r="E605" i="17"/>
  <c r="E608" i="17"/>
  <c r="F592" i="17"/>
  <c r="F576" i="17"/>
  <c r="F560" i="17"/>
  <c r="F544" i="17"/>
  <c r="E566" i="17"/>
  <c r="F539" i="17"/>
  <c r="F523" i="17"/>
  <c r="F567" i="17"/>
  <c r="E539" i="17"/>
  <c r="E523" i="17"/>
  <c r="F508" i="17"/>
  <c r="F492" i="17"/>
  <c r="F476" i="17"/>
  <c r="F460" i="17"/>
  <c r="F444" i="17"/>
  <c r="F428" i="17"/>
  <c r="E514" i="17"/>
  <c r="E498" i="17"/>
  <c r="E482" i="17"/>
  <c r="E466" i="17"/>
  <c r="E450" i="17"/>
  <c r="E434" i="17"/>
  <c r="E418" i="17"/>
  <c r="E402" i="17"/>
  <c r="E386" i="17"/>
  <c r="E370" i="17"/>
  <c r="E354" i="17"/>
  <c r="E338" i="17"/>
  <c r="E322" i="17"/>
  <c r="E409" i="17"/>
  <c r="E393" i="17"/>
  <c r="E377" i="17"/>
  <c r="E361" i="17"/>
  <c r="E345" i="17"/>
  <c r="E329" i="17"/>
  <c r="F313" i="17"/>
  <c r="F297" i="17"/>
  <c r="F281" i="17"/>
  <c r="F265" i="17"/>
  <c r="F249" i="17"/>
  <c r="F233" i="17"/>
  <c r="F217" i="17"/>
  <c r="F201" i="17"/>
  <c r="F185" i="17"/>
  <c r="F169" i="17"/>
  <c r="F153" i="17"/>
  <c r="F137" i="17"/>
  <c r="F121" i="17"/>
  <c r="E309" i="17"/>
  <c r="E293" i="17"/>
  <c r="F395" i="17"/>
  <c r="F379" i="17"/>
  <c r="F363" i="17"/>
  <c r="F347" i="17"/>
  <c r="F331" i="17"/>
  <c r="F315" i="17"/>
  <c r="F402" i="17"/>
  <c r="F386" i="17"/>
  <c r="F370" i="17"/>
  <c r="F354" i="17"/>
  <c r="F338" i="17"/>
  <c r="F322" i="17"/>
  <c r="E306" i="17"/>
  <c r="E290" i="17"/>
  <c r="E274" i="17"/>
  <c r="E258" i="17"/>
  <c r="E242" i="17"/>
  <c r="E226" i="17"/>
  <c r="E210" i="17"/>
  <c r="E194" i="17"/>
  <c r="E178" i="17"/>
  <c r="E162" i="17"/>
  <c r="E146" i="17"/>
  <c r="E130" i="17"/>
  <c r="E114" i="17"/>
  <c r="F302" i="17"/>
  <c r="F286" i="17"/>
  <c r="F270" i="17"/>
  <c r="F254" i="17"/>
  <c r="F238" i="17"/>
  <c r="F222" i="17"/>
  <c r="F206" i="17"/>
  <c r="E273" i="17"/>
  <c r="E241" i="17"/>
  <c r="E209" i="17"/>
  <c r="E185" i="17"/>
  <c r="E169" i="17"/>
  <c r="E153" i="17"/>
  <c r="E137" i="17"/>
  <c r="E121" i="17"/>
  <c r="E271" i="17"/>
  <c r="E239" i="17"/>
  <c r="E207" i="17"/>
  <c r="F184" i="17"/>
  <c r="F168" i="17"/>
  <c r="F152" i="17"/>
  <c r="F136" i="17"/>
  <c r="F120" i="17"/>
  <c r="E15" i="17"/>
  <c r="E23" i="17"/>
  <c r="E31" i="17"/>
  <c r="E39" i="17"/>
  <c r="F33" i="17"/>
  <c r="F65" i="17"/>
  <c r="F97" i="17"/>
  <c r="E32" i="17"/>
  <c r="E64" i="17"/>
  <c r="E96" i="17"/>
  <c r="F606" i="17"/>
  <c r="F609" i="17"/>
  <c r="E593" i="17"/>
  <c r="E577" i="17"/>
  <c r="E561" i="17"/>
  <c r="E545" i="17"/>
  <c r="E568" i="17"/>
  <c r="E540" i="17"/>
  <c r="E524" i="17"/>
  <c r="F569" i="17"/>
  <c r="F540" i="17"/>
  <c r="F524" i="17"/>
  <c r="E509" i="17"/>
  <c r="E493" i="17"/>
  <c r="E477" i="17"/>
  <c r="E461" i="17"/>
  <c r="E445" i="17"/>
  <c r="E429" i="17"/>
  <c r="F515" i="17"/>
  <c r="F499" i="17"/>
  <c r="F483" i="17"/>
  <c r="F467" i="17"/>
  <c r="F451" i="17"/>
  <c r="F435" i="17"/>
  <c r="F419" i="17"/>
  <c r="F403" i="17"/>
  <c r="F35" i="17"/>
  <c r="F67" i="17"/>
  <c r="F99" i="17"/>
  <c r="E34" i="17"/>
  <c r="E66" i="17"/>
  <c r="E98" i="17"/>
  <c r="E603" i="17"/>
  <c r="E606" i="17"/>
  <c r="F590" i="17"/>
  <c r="F574" i="17"/>
  <c r="F558" i="17"/>
  <c r="E594" i="17"/>
  <c r="E562" i="17"/>
  <c r="F537" i="17"/>
  <c r="F521" i="17"/>
  <c r="F563" i="17"/>
  <c r="E537" i="17"/>
  <c r="E521" i="17"/>
  <c r="F506" i="17"/>
  <c r="F490" i="17"/>
  <c r="F474" i="17"/>
  <c r="F458" i="17"/>
  <c r="F442" i="17"/>
  <c r="F426" i="17"/>
  <c r="E512" i="17"/>
  <c r="E496" i="17"/>
  <c r="E480" i="17"/>
  <c r="E464" i="17"/>
  <c r="E448" i="17"/>
  <c r="E432" i="17"/>
  <c r="E416" i="17"/>
  <c r="E400" i="17"/>
  <c r="E384" i="17"/>
  <c r="E368" i="17"/>
  <c r="E352" i="17"/>
  <c r="E336" i="17"/>
  <c r="E320" i="17"/>
  <c r="E407" i="17"/>
  <c r="E391" i="17"/>
  <c r="E375" i="17"/>
  <c r="E359" i="17"/>
  <c r="E343" i="17"/>
  <c r="E327" i="17"/>
  <c r="F311" i="17"/>
  <c r="F295" i="17"/>
  <c r="F279" i="17"/>
  <c r="F263" i="17"/>
  <c r="F247" i="17"/>
  <c r="F231" i="17"/>
  <c r="F215" i="17"/>
  <c r="F199" i="17"/>
  <c r="F183" i="17"/>
  <c r="F167" i="17"/>
  <c r="F151" i="17"/>
  <c r="F135" i="17"/>
  <c r="F119" i="17"/>
  <c r="E307" i="17"/>
  <c r="E291" i="17"/>
  <c r="F393" i="17"/>
  <c r="F377" i="17"/>
  <c r="F361" i="17"/>
  <c r="F345" i="17"/>
  <c r="F329" i="17"/>
  <c r="F416" i="17"/>
  <c r="F400" i="17"/>
  <c r="F384" i="17"/>
  <c r="F368" i="17"/>
  <c r="F352" i="17"/>
  <c r="F336" i="17"/>
  <c r="F320" i="17"/>
  <c r="E304" i="17"/>
  <c r="E288" i="17"/>
  <c r="E272" i="17"/>
  <c r="E256" i="17"/>
  <c r="E240" i="17"/>
  <c r="E224" i="17"/>
  <c r="E208" i="17"/>
  <c r="E192" i="17"/>
  <c r="E176" i="17"/>
  <c r="E160" i="17"/>
  <c r="E144" i="17"/>
  <c r="E128" i="17"/>
  <c r="E112" i="17"/>
  <c r="F300" i="17"/>
  <c r="F284" i="17"/>
  <c r="F268" i="17"/>
  <c r="F252" i="17"/>
  <c r="F236" i="17"/>
  <c r="F220" i="17"/>
  <c r="F204" i="17"/>
  <c r="E269" i="17"/>
  <c r="E237" i="17"/>
  <c r="E205" i="17"/>
  <c r="E183" i="17"/>
  <c r="E167" i="17"/>
  <c r="E151" i="17"/>
  <c r="E135" i="17"/>
  <c r="E119" i="17"/>
  <c r="E267" i="17"/>
  <c r="E235" i="17"/>
  <c r="E203" i="17"/>
  <c r="F182" i="17"/>
  <c r="F166" i="17"/>
  <c r="F150" i="17"/>
  <c r="F134" i="17"/>
  <c r="F118" i="17"/>
  <c r="F16" i="17"/>
  <c r="F24" i="17"/>
  <c r="F32" i="17"/>
  <c r="F37" i="17"/>
  <c r="F69" i="17"/>
  <c r="F101" i="17"/>
  <c r="E36" i="17"/>
  <c r="E68" i="17"/>
  <c r="E100" i="17"/>
  <c r="F604" i="17"/>
  <c r="F607" i="17"/>
  <c r="E591" i="17"/>
  <c r="E575" i="17"/>
  <c r="E559" i="17"/>
  <c r="F595" i="17"/>
  <c r="E564" i="17"/>
  <c r="E538" i="17"/>
  <c r="E522" i="17"/>
  <c r="F565" i="17"/>
  <c r="F538" i="17"/>
  <c r="F522" i="17"/>
  <c r="E507" i="17"/>
  <c r="E491" i="17"/>
  <c r="E475" i="17"/>
  <c r="E459" i="17"/>
  <c r="E443" i="17"/>
  <c r="E427" i="17"/>
  <c r="F513" i="17"/>
  <c r="F497" i="17"/>
  <c r="F481" i="17"/>
  <c r="F465" i="17"/>
  <c r="F449" i="17"/>
  <c r="F433" i="17"/>
  <c r="F417" i="17"/>
  <c r="F401" i="17"/>
  <c r="F39" i="17"/>
  <c r="F71" i="17"/>
  <c r="F103" i="17"/>
  <c r="E38" i="17"/>
  <c r="E70" i="17"/>
  <c r="E102" i="17"/>
  <c r="E601" i="17"/>
  <c r="E604" i="17"/>
  <c r="F588" i="17"/>
  <c r="F572" i="17"/>
  <c r="F556" i="17"/>
  <c r="E590" i="17"/>
  <c r="E558" i="17"/>
  <c r="F535" i="17"/>
  <c r="F591" i="17"/>
  <c r="F559" i="17"/>
  <c r="E535" i="17"/>
  <c r="E519" i="17"/>
  <c r="F504" i="17"/>
  <c r="F488" i="17"/>
  <c r="F472" i="17"/>
  <c r="F456" i="17"/>
  <c r="F440" i="17"/>
  <c r="F424" i="17"/>
  <c r="E510" i="17"/>
  <c r="E494" i="17"/>
  <c r="E478" i="17"/>
  <c r="E462" i="17"/>
  <c r="E446" i="17"/>
  <c r="E430" i="17"/>
  <c r="E414" i="17"/>
  <c r="E398" i="17"/>
  <c r="E382" i="17"/>
  <c r="E366" i="17"/>
  <c r="E350" i="17"/>
  <c r="E334" i="17"/>
  <c r="E318" i="17"/>
  <c r="E405" i="17"/>
  <c r="E389" i="17"/>
  <c r="E373" i="17"/>
  <c r="E357" i="17"/>
  <c r="E341" i="17"/>
  <c r="E325" i="17"/>
  <c r="F309" i="17"/>
  <c r="F293" i="17"/>
  <c r="F277" i="17"/>
  <c r="F261" i="17"/>
  <c r="F245" i="17"/>
  <c r="F229" i="17"/>
  <c r="F213" i="17"/>
  <c r="F197" i="17"/>
  <c r="F181" i="17"/>
  <c r="F165" i="17"/>
  <c r="F149" i="17"/>
  <c r="F133" i="17"/>
  <c r="F117" i="17"/>
  <c r="E305" i="17"/>
  <c r="E289" i="17"/>
  <c r="F391" i="17"/>
  <c r="F375" i="17"/>
  <c r="F359" i="17"/>
  <c r="F343" i="17"/>
  <c r="F327" i="17"/>
  <c r="F414" i="17"/>
  <c r="F398" i="17"/>
  <c r="F382" i="17"/>
  <c r="F366" i="17"/>
  <c r="F350" i="17"/>
  <c r="F334" i="17"/>
  <c r="F318" i="17"/>
  <c r="E302" i="17"/>
  <c r="E286" i="17"/>
  <c r="E270" i="17"/>
  <c r="E254" i="17"/>
  <c r="E238" i="17"/>
  <c r="E222" i="17"/>
  <c r="E206" i="17"/>
  <c r="E190" i="17"/>
  <c r="E174" i="17"/>
  <c r="E158" i="17"/>
  <c r="E142" i="17"/>
  <c r="E126" i="17"/>
  <c r="F314" i="17"/>
  <c r="F298" i="17"/>
  <c r="F282" i="17"/>
  <c r="F266" i="17"/>
  <c r="F250" i="17"/>
  <c r="F234" i="17"/>
  <c r="F218" i="17"/>
  <c r="F202" i="17"/>
  <c r="E265" i="17"/>
  <c r="E233" i="17"/>
  <c r="E201" i="17"/>
  <c r="E181" i="17"/>
  <c r="E165" i="17"/>
  <c r="E149" i="17"/>
  <c r="E133" i="17"/>
  <c r="E117" i="17"/>
  <c r="E263" i="17"/>
  <c r="E231" i="17"/>
  <c r="E199" i="17"/>
  <c r="F180" i="17"/>
  <c r="F164" i="17"/>
  <c r="F148" i="17"/>
  <c r="F132" i="17"/>
  <c r="F116" i="17"/>
  <c r="E17" i="17"/>
  <c r="E25" i="17"/>
  <c r="E33" i="17"/>
  <c r="E118" i="17"/>
  <c r="E90" i="17"/>
  <c r="E79" i="17"/>
  <c r="E47" i="17"/>
  <c r="F158" i="17"/>
  <c r="E131" i="17"/>
  <c r="F216" i="17"/>
  <c r="E140" i="17"/>
  <c r="E246" i="17"/>
  <c r="F374" i="17"/>
  <c r="F371" i="17"/>
  <c r="F205" i="17"/>
  <c r="F305" i="17"/>
  <c r="E411" i="17"/>
  <c r="E408" i="17"/>
  <c r="E508" i="17"/>
  <c r="F579" i="17"/>
  <c r="B623" i="17"/>
  <c r="E623" i="17" s="1"/>
  <c r="F439" i="17"/>
  <c r="E465" i="17"/>
  <c r="E588" i="17"/>
  <c r="E88" i="17"/>
  <c r="E626" i="17"/>
  <c r="F86" i="17"/>
  <c r="F54" i="17"/>
  <c r="F110" i="17"/>
  <c r="F160" i="17"/>
  <c r="E139" i="17"/>
  <c r="F196" i="17"/>
  <c r="F274" i="17"/>
  <c r="E170" i="17"/>
  <c r="E298" i="17"/>
  <c r="F376" i="17"/>
  <c r="F351" i="17"/>
  <c r="F129" i="17"/>
  <c r="F257" i="17"/>
  <c r="E385" i="17"/>
  <c r="E388" i="17"/>
  <c r="E460" i="17"/>
  <c r="F436" i="17"/>
  <c r="F514" i="17"/>
  <c r="F566" i="17"/>
  <c r="E42" i="17"/>
  <c r="F413" i="17"/>
  <c r="E520" i="17"/>
  <c r="E489" i="17"/>
  <c r="F589" i="17"/>
  <c r="F597" i="17"/>
  <c r="E84" i="17"/>
  <c r="F81" i="17"/>
  <c r="E95" i="17"/>
  <c r="E55" i="17"/>
  <c r="E13" i="17"/>
  <c r="E223" i="17"/>
  <c r="E187" i="17"/>
  <c r="F272" i="17"/>
  <c r="E196" i="17"/>
  <c r="E296" i="17"/>
  <c r="F396" i="17"/>
  <c r="E281" i="17"/>
  <c r="F177" i="17"/>
  <c r="F283" i="17"/>
  <c r="E383" i="17"/>
  <c r="E380" i="17"/>
  <c r="E486" i="17"/>
  <c r="F512" i="17"/>
  <c r="F541" i="17"/>
  <c r="F586" i="17"/>
  <c r="F43" i="17"/>
  <c r="F461" i="17"/>
  <c r="E437" i="17"/>
  <c r="F536" i="17"/>
  <c r="E567" i="17"/>
  <c r="F85" i="17"/>
  <c r="F94" i="17"/>
  <c r="E37" i="17"/>
  <c r="F188" i="17"/>
  <c r="E189" i="17"/>
  <c r="F296" i="17"/>
  <c r="E220" i="17"/>
  <c r="F326" i="17"/>
  <c r="F373" i="17"/>
  <c r="F179" i="17"/>
  <c r="F307" i="17"/>
  <c r="E360" i="17"/>
  <c r="E516" i="17"/>
  <c r="F543" i="17"/>
  <c r="E86" i="17"/>
  <c r="F491" i="17"/>
  <c r="E569" i="17"/>
  <c r="E109" i="17"/>
  <c r="E85" i="17"/>
  <c r="E53" i="17"/>
  <c r="F22" i="17"/>
  <c r="F162" i="17"/>
  <c r="E113" i="17"/>
  <c r="E245" i="17"/>
  <c r="F304" i="17"/>
  <c r="E172" i="17"/>
  <c r="E250" i="17"/>
  <c r="F356" i="17"/>
  <c r="F353" i="17"/>
  <c r="F159" i="17"/>
  <c r="F259" i="17"/>
  <c r="E365" i="17"/>
  <c r="E362" i="17"/>
  <c r="E468" i="17"/>
  <c r="F466" i="17"/>
  <c r="E546" i="17"/>
  <c r="F79" i="17"/>
  <c r="E469" i="17"/>
  <c r="E24" i="17"/>
  <c r="E103" i="17"/>
  <c r="E63" i="17"/>
  <c r="E27" i="17"/>
  <c r="F186" i="17"/>
  <c r="E159" i="17"/>
  <c r="F244" i="17"/>
  <c r="E168" i="17"/>
  <c r="E268" i="17"/>
  <c r="F346" i="17"/>
  <c r="F349" i="17"/>
  <c r="F155" i="17"/>
  <c r="F255" i="17"/>
  <c r="E355" i="17"/>
  <c r="E358" i="17"/>
  <c r="E436" i="17"/>
  <c r="F434" i="17"/>
  <c r="E533" i="17"/>
  <c r="F564" i="17"/>
  <c r="E46" i="17"/>
  <c r="F411" i="17"/>
  <c r="F511" i="17"/>
  <c r="E515" i="17"/>
  <c r="F585" i="17"/>
  <c r="F598" i="17"/>
  <c r="F41" i="17"/>
  <c r="F108" i="17"/>
  <c r="F100" i="17"/>
  <c r="F92" i="17"/>
  <c r="F84" i="17"/>
  <c r="F76" i="17"/>
  <c r="F68" i="17"/>
  <c r="F60" i="17"/>
  <c r="F52" i="17"/>
  <c r="F44" i="17"/>
  <c r="E35" i="17"/>
  <c r="E21" i="17"/>
  <c r="F114" i="17"/>
  <c r="F142" i="17"/>
  <c r="F170" i="17"/>
  <c r="F192" i="17"/>
  <c r="E247" i="17"/>
  <c r="E115" i="17"/>
  <c r="E143" i="17"/>
  <c r="E171" i="17"/>
  <c r="E193" i="17"/>
  <c r="E249" i="17"/>
  <c r="F200" i="17"/>
  <c r="F228" i="17"/>
  <c r="F256" i="17"/>
  <c r="F278" i="17"/>
  <c r="F306" i="17"/>
  <c r="E124" i="17"/>
  <c r="E152" i="17"/>
  <c r="E180" i="17"/>
  <c r="E202" i="17"/>
  <c r="E230" i="17"/>
  <c r="E252" i="17"/>
  <c r="E280" i="17"/>
  <c r="E308" i="17"/>
  <c r="F330" i="17"/>
  <c r="F358" i="17"/>
  <c r="F380" i="17"/>
  <c r="F408" i="17"/>
  <c r="F333" i="17"/>
  <c r="F355" i="17"/>
  <c r="F383" i="17"/>
  <c r="E287" i="17"/>
  <c r="F111" i="17"/>
  <c r="F139" i="17"/>
  <c r="F161" i="17"/>
  <c r="F189" i="17"/>
  <c r="F211" i="17"/>
  <c r="F239" i="17"/>
  <c r="F267" i="17"/>
  <c r="F289" i="17"/>
  <c r="E317" i="17"/>
  <c r="E339" i="17"/>
  <c r="E367" i="17"/>
  <c r="E395" i="17"/>
  <c r="E417" i="17"/>
  <c r="E342" i="17"/>
  <c r="E364" i="17"/>
  <c r="E392" i="17"/>
  <c r="E420" i="17"/>
  <c r="E442" i="17"/>
  <c r="E470" i="17"/>
  <c r="E492" i="17"/>
  <c r="F418" i="17"/>
  <c r="F446" i="17"/>
  <c r="F468" i="17"/>
  <c r="F496" i="17"/>
  <c r="F518" i="17"/>
  <c r="F547" i="17"/>
  <c r="F525" i="17"/>
  <c r="E550" i="17"/>
  <c r="F548" i="17"/>
  <c r="F570" i="17"/>
  <c r="E598" i="17"/>
  <c r="E607" i="17"/>
  <c r="E78" i="17"/>
  <c r="E22" i="17"/>
  <c r="F75" i="17"/>
  <c r="F19" i="17"/>
  <c r="F423" i="17"/>
  <c r="F445" i="17"/>
  <c r="F473" i="17"/>
  <c r="F495" i="17"/>
  <c r="E421" i="17"/>
  <c r="E449" i="17"/>
  <c r="E471" i="17"/>
  <c r="E499" i="17"/>
  <c r="F520" i="17"/>
  <c r="F553" i="17"/>
  <c r="E528" i="17"/>
  <c r="E556" i="17"/>
  <c r="E551" i="17"/>
  <c r="E573" i="17"/>
  <c r="F601" i="17"/>
  <c r="F610" i="17"/>
  <c r="E76" i="17"/>
  <c r="E20" i="17"/>
  <c r="F73" i="17"/>
  <c r="F17" i="17"/>
  <c r="F626" i="17"/>
  <c r="E71" i="17"/>
  <c r="F38" i="17"/>
  <c r="F130" i="17"/>
  <c r="E279" i="17"/>
  <c r="F194" i="17"/>
  <c r="F294" i="17"/>
  <c r="E218" i="17"/>
  <c r="F324" i="17"/>
  <c r="F321" i="17"/>
  <c r="F127" i="17"/>
  <c r="F227" i="17"/>
  <c r="E333" i="17"/>
  <c r="E330" i="17"/>
  <c r="E458" i="17"/>
  <c r="F484" i="17"/>
  <c r="E582" i="17"/>
  <c r="F87" i="17"/>
  <c r="F489" i="17"/>
  <c r="E487" i="17"/>
  <c r="E544" i="17"/>
  <c r="E44" i="17"/>
  <c r="F102" i="17"/>
  <c r="F70" i="17"/>
  <c r="F46" i="17"/>
  <c r="F138" i="17"/>
  <c r="E111" i="17"/>
  <c r="E161" i="17"/>
  <c r="F224" i="17"/>
  <c r="E120" i="17"/>
  <c r="E198" i="17"/>
  <c r="E276" i="17"/>
  <c r="F348" i="17"/>
  <c r="F323" i="17"/>
  <c r="E283" i="17"/>
  <c r="F157" i="17"/>
  <c r="F235" i="17"/>
  <c r="E335" i="17"/>
  <c r="E332" i="17"/>
  <c r="E410" i="17"/>
  <c r="E488" i="17"/>
  <c r="F486" i="17"/>
  <c r="E541" i="17"/>
  <c r="E586" i="17"/>
  <c r="E597" i="17"/>
  <c r="F27" i="17"/>
  <c r="F441" i="17"/>
  <c r="E439" i="17"/>
  <c r="E517" i="17"/>
  <c r="E592" i="17"/>
  <c r="E93" i="17"/>
  <c r="E69" i="17"/>
  <c r="E45" i="17"/>
  <c r="F112" i="17"/>
  <c r="F190" i="17"/>
  <c r="E141" i="17"/>
  <c r="E191" i="17"/>
  <c r="F226" i="17"/>
  <c r="F248" i="17"/>
  <c r="E122" i="17"/>
  <c r="E200" i="17"/>
  <c r="E278" i="17"/>
  <c r="F328" i="17"/>
  <c r="F406" i="17"/>
  <c r="F381" i="17"/>
  <c r="E313" i="17"/>
  <c r="F187" i="17"/>
  <c r="F237" i="17"/>
  <c r="E315" i="17"/>
  <c r="E387" i="17"/>
  <c r="E340" i="17"/>
  <c r="E412" i="17"/>
  <c r="E490" i="17"/>
  <c r="F438" i="17"/>
  <c r="F516" i="17"/>
  <c r="F587" i="17"/>
  <c r="F568" i="17"/>
  <c r="E599" i="17"/>
  <c r="E26" i="17"/>
  <c r="F23" i="17"/>
  <c r="F443" i="17"/>
  <c r="F471" i="17"/>
  <c r="F493" i="17"/>
  <c r="E441" i="17"/>
  <c r="E497" i="17"/>
  <c r="F519" i="17"/>
  <c r="F549" i="17"/>
  <c r="E552" i="17"/>
  <c r="E549" i="17"/>
  <c r="E571" i="17"/>
  <c r="F599" i="17"/>
  <c r="F602" i="17"/>
  <c r="E80" i="17"/>
  <c r="F77" i="17"/>
  <c r="F21" i="17"/>
  <c r="E107" i="17"/>
  <c r="E99" i="17"/>
  <c r="E91" i="17"/>
  <c r="E83" i="17"/>
  <c r="E75" i="17"/>
  <c r="E67" i="17"/>
  <c r="E59" i="17"/>
  <c r="E51" i="17"/>
  <c r="E43" i="17"/>
  <c r="F34" i="17"/>
  <c r="F20" i="17"/>
  <c r="F122" i="17"/>
  <c r="F144" i="17"/>
  <c r="F172" i="17"/>
  <c r="E195" i="17"/>
  <c r="E251" i="17"/>
  <c r="E123" i="17"/>
  <c r="E145" i="17"/>
  <c r="E173" i="17"/>
  <c r="E197" i="17"/>
  <c r="E253" i="17"/>
  <c r="F208" i="17"/>
  <c r="F230" i="17"/>
  <c r="F258" i="17"/>
  <c r="F280" i="17"/>
  <c r="F308" i="17"/>
  <c r="E132" i="17"/>
  <c r="E154" i="17"/>
  <c r="E182" i="17"/>
  <c r="E204" i="17"/>
  <c r="E232" i="17"/>
  <c r="E260" i="17"/>
  <c r="E282" i="17"/>
  <c r="E310" i="17"/>
  <c r="F332" i="17"/>
  <c r="F360" i="17"/>
  <c r="F388" i="17"/>
  <c r="F410" i="17"/>
  <c r="F335" i="17"/>
  <c r="F357" i="17"/>
  <c r="F385" i="17"/>
  <c r="E295" i="17"/>
  <c r="F113" i="17"/>
  <c r="F141" i="17"/>
  <c r="F163" i="17"/>
  <c r="F191" i="17"/>
  <c r="F219" i="17"/>
  <c r="F241" i="17"/>
  <c r="F269" i="17"/>
  <c r="F291" i="17"/>
  <c r="E319" i="17"/>
  <c r="E347" i="17"/>
  <c r="E369" i="17"/>
  <c r="E397" i="17"/>
  <c r="E316" i="17"/>
  <c r="E344" i="17"/>
  <c r="E372" i="17"/>
  <c r="E394" i="17"/>
  <c r="E422" i="17"/>
  <c r="E444" i="17"/>
  <c r="E472" i="17"/>
  <c r="E500" i="17"/>
  <c r="F420" i="17"/>
  <c r="F448" i="17"/>
  <c r="F470" i="17"/>
  <c r="F498" i="17"/>
  <c r="E525" i="17"/>
  <c r="F551" i="17"/>
  <c r="F527" i="17"/>
  <c r="E554" i="17"/>
  <c r="F550" i="17"/>
  <c r="F578" i="17"/>
  <c r="E600" i="17"/>
  <c r="E609" i="17"/>
  <c r="E74" i="17"/>
  <c r="E18" i="17"/>
  <c r="F59" i="17"/>
  <c r="F15" i="17"/>
  <c r="F425" i="17"/>
  <c r="F447" i="17"/>
  <c r="F475" i="17"/>
  <c r="F503" i="17"/>
  <c r="E423" i="17"/>
  <c r="E451" i="17"/>
  <c r="E473" i="17"/>
  <c r="E501" i="17"/>
  <c r="F528" i="17"/>
  <c r="F557" i="17"/>
  <c r="E530" i="17"/>
  <c r="E560" i="17"/>
  <c r="E553" i="17"/>
  <c r="E581" i="17"/>
  <c r="F603" i="17"/>
  <c r="F612" i="17"/>
  <c r="E72" i="17"/>
  <c r="E16" i="17"/>
  <c r="F57" i="17"/>
  <c r="F13" i="17"/>
  <c r="F78" i="17"/>
  <c r="F26" i="17"/>
  <c r="E227" i="17"/>
  <c r="E229" i="17"/>
  <c r="E148" i="17"/>
  <c r="E248" i="17"/>
  <c r="F404" i="17"/>
  <c r="E311" i="17"/>
  <c r="F207" i="17"/>
  <c r="F285" i="17"/>
  <c r="E413" i="17"/>
  <c r="E438" i="17"/>
  <c r="F464" i="17"/>
  <c r="F583" i="17"/>
  <c r="F594" i="17"/>
  <c r="F83" i="17"/>
  <c r="F463" i="17"/>
  <c r="E467" i="17"/>
  <c r="F545" i="17"/>
  <c r="E548" i="17"/>
  <c r="F600" i="17"/>
  <c r="E40" i="17"/>
  <c r="F25" i="17"/>
  <c r="E101" i="17"/>
  <c r="E77" i="17"/>
  <c r="E61" i="17"/>
  <c r="F36" i="17"/>
  <c r="F140" i="17"/>
  <c r="E243" i="17"/>
  <c r="E163" i="17"/>
  <c r="F198" i="17"/>
  <c r="F276" i="17"/>
  <c r="E150" i="17"/>
  <c r="E228" i="17"/>
  <c r="E300" i="17"/>
  <c r="F378" i="17"/>
  <c r="F325" i="17"/>
  <c r="E285" i="17"/>
  <c r="F131" i="17"/>
  <c r="F209" i="17"/>
  <c r="F287" i="17"/>
  <c r="E337" i="17"/>
  <c r="E415" i="17"/>
  <c r="E390" i="17"/>
  <c r="E440" i="17"/>
  <c r="E518" i="17"/>
  <c r="F494" i="17"/>
  <c r="E543" i="17"/>
  <c r="F546" i="17"/>
  <c r="E596" i="17"/>
  <c r="E82" i="17"/>
  <c r="F415" i="17"/>
  <c r="E419" i="17"/>
  <c r="F593" i="17"/>
  <c r="F106" i="17"/>
  <c r="F98" i="17"/>
  <c r="F90" i="17"/>
  <c r="F82" i="17"/>
  <c r="F74" i="17"/>
  <c r="F66" i="17"/>
  <c r="F58" i="17"/>
  <c r="F50" i="17"/>
  <c r="F42" i="17"/>
  <c r="F30" i="17"/>
  <c r="E19" i="17"/>
  <c r="F124" i="17"/>
  <c r="F146" i="17"/>
  <c r="F174" i="17"/>
  <c r="E211" i="17"/>
  <c r="E255" i="17"/>
  <c r="E125" i="17"/>
  <c r="E147" i="17"/>
  <c r="E175" i="17"/>
  <c r="E213" i="17"/>
  <c r="E257" i="17"/>
  <c r="F210" i="17"/>
  <c r="F232" i="17"/>
  <c r="F260" i="17"/>
  <c r="F288" i="17"/>
  <c r="F310" i="17"/>
  <c r="E134" i="17"/>
  <c r="E156" i="17"/>
  <c r="E184" i="17"/>
  <c r="E212" i="17"/>
  <c r="E234" i="17"/>
  <c r="E262" i="17"/>
  <c r="E284" i="17"/>
  <c r="E312" i="17"/>
  <c r="F340" i="17"/>
  <c r="F362" i="17"/>
  <c r="F390" i="17"/>
  <c r="F412" i="17"/>
  <c r="F337" i="17"/>
  <c r="F365" i="17"/>
  <c r="F387" i="17"/>
  <c r="E297" i="17"/>
  <c r="F115" i="17"/>
  <c r="F143" i="17"/>
  <c r="F171" i="17"/>
  <c r="F193" i="17"/>
  <c r="F221" i="17"/>
  <c r="F243" i="17"/>
  <c r="F271" i="17"/>
  <c r="F299" i="17"/>
  <c r="E321" i="17"/>
  <c r="E349" i="17"/>
  <c r="E371" i="17"/>
  <c r="E399" i="17"/>
  <c r="E324" i="17"/>
  <c r="E346" i="17"/>
  <c r="E374" i="17"/>
  <c r="E396" i="17"/>
  <c r="E424" i="17"/>
  <c r="E452" i="17"/>
  <c r="E474" i="17"/>
  <c r="E502" i="17"/>
  <c r="F422" i="17"/>
  <c r="F450" i="17"/>
  <c r="F478" i="17"/>
  <c r="F500" i="17"/>
  <c r="E527" i="17"/>
  <c r="F555" i="17"/>
  <c r="F529" i="17"/>
  <c r="E570" i="17"/>
  <c r="F552" i="17"/>
  <c r="F580" i="17"/>
  <c r="E602" i="17"/>
  <c r="E611" i="17"/>
  <c r="E58" i="17"/>
  <c r="E14" i="17"/>
  <c r="F55" i="17"/>
  <c r="F399" i="17"/>
  <c r="F427" i="17"/>
  <c r="F455" i="17"/>
  <c r="F477" i="17"/>
  <c r="F505" i="17"/>
  <c r="E425" i="17"/>
  <c r="E453" i="17"/>
  <c r="E481" i="17"/>
  <c r="E503" i="17"/>
  <c r="F530" i="17"/>
  <c r="F561" i="17"/>
  <c r="E532" i="17"/>
  <c r="E576" i="17"/>
  <c r="E555" i="17"/>
  <c r="E583" i="17"/>
  <c r="F605" i="17"/>
  <c r="C633" i="17"/>
  <c r="E56" i="17"/>
  <c r="F109" i="17"/>
  <c r="F53" i="17"/>
  <c r="E110" i="17"/>
  <c r="I493" i="28"/>
  <c r="J493" i="28"/>
  <c r="M493" i="28" s="1"/>
  <c r="R493" i="28" s="1"/>
  <c r="I102" i="28"/>
  <c r="J102" i="28"/>
  <c r="M102" i="28" s="1"/>
  <c r="R102" i="28" s="1"/>
  <c r="I492" i="28"/>
  <c r="J492" i="28"/>
  <c r="M492" i="28" s="1"/>
  <c r="R492" i="28" s="1"/>
  <c r="I92" i="28"/>
  <c r="J92" i="28"/>
  <c r="M92" i="28" s="1"/>
  <c r="I388" i="28"/>
  <c r="J388" i="28"/>
  <c r="M388" i="28" s="1"/>
  <c r="I155" i="28"/>
  <c r="J155" i="28"/>
  <c r="M155" i="28" s="1"/>
  <c r="I585" i="28"/>
  <c r="J585" i="28"/>
  <c r="M585" i="28" s="1"/>
  <c r="R585" i="28" s="1"/>
  <c r="I296" i="28"/>
  <c r="J296" i="28"/>
  <c r="M296" i="28" s="1"/>
  <c r="I258" i="28"/>
  <c r="J258" i="28"/>
  <c r="M258" i="28" s="1"/>
  <c r="R258" i="28" s="1"/>
  <c r="I195" i="28"/>
  <c r="J195" i="28"/>
  <c r="M195" i="28" s="1"/>
  <c r="I39" i="28"/>
  <c r="J39" i="28"/>
  <c r="M39" i="28" s="1"/>
  <c r="R39" i="28" s="1"/>
  <c r="I338" i="28"/>
  <c r="J338" i="28"/>
  <c r="M338" i="28" s="1"/>
  <c r="R338" i="28" s="1"/>
  <c r="I629" i="28"/>
  <c r="J629" i="28"/>
  <c r="M629" i="28" s="1"/>
  <c r="I358" i="28"/>
  <c r="J358" i="28"/>
  <c r="M358" i="28" s="1"/>
  <c r="I280" i="28"/>
  <c r="J280" i="28"/>
  <c r="M280" i="28" s="1"/>
  <c r="I444" i="28"/>
  <c r="J444" i="28"/>
  <c r="M444" i="28" s="1"/>
  <c r="I574" i="28"/>
  <c r="J574" i="28"/>
  <c r="M574" i="28" s="1"/>
  <c r="I38" i="28"/>
  <c r="J38" i="28"/>
  <c r="M38" i="28" s="1"/>
  <c r="R38" i="28" s="1"/>
  <c r="I217" i="28"/>
  <c r="J217" i="28"/>
  <c r="M217" i="28" s="1"/>
  <c r="R217" i="28" s="1"/>
  <c r="I485" i="28"/>
  <c r="J485" i="28"/>
  <c r="M485" i="28" s="1"/>
  <c r="R485" i="28" s="1"/>
  <c r="I484" i="28"/>
  <c r="J484" i="28"/>
  <c r="M484" i="28" s="1"/>
  <c r="R484" i="28" s="1"/>
  <c r="I191" i="28"/>
  <c r="J191" i="28"/>
  <c r="M191" i="28" s="1"/>
  <c r="I317" i="28"/>
  <c r="J317" i="28"/>
  <c r="M317" i="28" s="1"/>
  <c r="I287" i="28"/>
  <c r="J287" i="28"/>
  <c r="M287" i="28" s="1"/>
  <c r="R287" i="28" s="1"/>
  <c r="I131" i="28"/>
  <c r="J131" i="28"/>
  <c r="M131" i="28" s="1"/>
  <c r="I35" i="28"/>
  <c r="J35" i="28"/>
  <c r="M35" i="28" s="1"/>
  <c r="I238" i="28"/>
  <c r="J238" i="28"/>
  <c r="M238" i="28" s="1"/>
  <c r="I223" i="28"/>
  <c r="J223" i="28"/>
  <c r="M223" i="28" s="1"/>
  <c r="I270" i="28"/>
  <c r="J270" i="28"/>
  <c r="M270" i="28" s="1"/>
  <c r="R270" i="28" s="1"/>
  <c r="I58" i="28"/>
  <c r="J58" i="28"/>
  <c r="M58" i="28" s="1"/>
  <c r="I182" i="28"/>
  <c r="J182" i="28"/>
  <c r="M182" i="28" s="1"/>
  <c r="I370" i="28"/>
  <c r="J370" i="28"/>
  <c r="M370" i="28" s="1"/>
  <c r="I16" i="28"/>
  <c r="J16" i="28"/>
  <c r="M16" i="28" s="1"/>
  <c r="I172" i="28"/>
  <c r="J172" i="28"/>
  <c r="M172" i="28" s="1"/>
  <c r="I394" i="28"/>
  <c r="J394" i="28"/>
  <c r="M394" i="28" s="1"/>
  <c r="I40" i="28"/>
  <c r="J40" i="28"/>
  <c r="M40" i="28" s="1"/>
  <c r="I188" i="28"/>
  <c r="J188" i="28"/>
  <c r="M188" i="28" s="1"/>
  <c r="I402" i="28"/>
  <c r="J402" i="28"/>
  <c r="M402" i="28" s="1"/>
  <c r="I83" i="28"/>
  <c r="J83" i="28"/>
  <c r="M83" i="28" s="1"/>
  <c r="I290" i="28"/>
  <c r="J290" i="28"/>
  <c r="M290" i="28" s="1"/>
  <c r="R290" i="28" s="1"/>
  <c r="I512" i="28"/>
  <c r="J512" i="28"/>
  <c r="M512" i="28" s="1"/>
  <c r="R512" i="28" s="1"/>
  <c r="S512" i="28" s="1"/>
  <c r="I179" i="28"/>
  <c r="J179" i="28"/>
  <c r="M179" i="28" s="1"/>
  <c r="I312" i="28"/>
  <c r="J312" i="28"/>
  <c r="M312" i="28" s="1"/>
  <c r="I599" i="28"/>
  <c r="J599" i="28"/>
  <c r="M599" i="28" s="1"/>
  <c r="I158" i="28"/>
  <c r="J158" i="28"/>
  <c r="M158" i="28" s="1"/>
  <c r="R158" i="28" s="1"/>
  <c r="I357" i="28"/>
  <c r="J357" i="28"/>
  <c r="M357" i="28" s="1"/>
  <c r="B23" i="28"/>
  <c r="M13" i="28"/>
  <c r="I135" i="28"/>
  <c r="J135" i="28"/>
  <c r="M135" i="28" s="1"/>
  <c r="I212" i="28"/>
  <c r="J212" i="28"/>
  <c r="M212" i="28" s="1"/>
  <c r="I265" i="28"/>
  <c r="J265" i="28"/>
  <c r="M265" i="28" s="1"/>
  <c r="R265" i="28" s="1"/>
  <c r="I361" i="28"/>
  <c r="J361" i="28"/>
  <c r="M361" i="28" s="1"/>
  <c r="I424" i="28"/>
  <c r="J424" i="28"/>
  <c r="M424" i="28" s="1"/>
  <c r="I498" i="28"/>
  <c r="J498" i="28"/>
  <c r="M498" i="28" s="1"/>
  <c r="I552" i="28"/>
  <c r="J552" i="28"/>
  <c r="M552" i="28" s="1"/>
  <c r="I432" i="28"/>
  <c r="J432" i="28"/>
  <c r="M432" i="28" s="1"/>
  <c r="I520" i="28"/>
  <c r="J520" i="28"/>
  <c r="M520" i="28" s="1"/>
  <c r="R520" i="28" s="1"/>
  <c r="I587" i="28"/>
  <c r="J587" i="28"/>
  <c r="M587" i="28" s="1"/>
  <c r="R587" i="28" s="1"/>
  <c r="I61" i="28"/>
  <c r="J61" i="28"/>
  <c r="M61" i="28" s="1"/>
  <c r="I190" i="28"/>
  <c r="J190" i="28"/>
  <c r="M190" i="28" s="1"/>
  <c r="I234" i="28"/>
  <c r="J234" i="28"/>
  <c r="M234" i="28" s="1"/>
  <c r="I335" i="28"/>
  <c r="J335" i="28"/>
  <c r="M335" i="28" s="1"/>
  <c r="I395" i="28"/>
  <c r="J395" i="28"/>
  <c r="M395" i="28" s="1"/>
  <c r="I458" i="28"/>
  <c r="J458" i="28"/>
  <c r="M458" i="28" s="1"/>
  <c r="I540" i="28"/>
  <c r="J540" i="28"/>
  <c r="M540" i="28" s="1"/>
  <c r="R540" i="28" s="1"/>
  <c r="I130" i="28"/>
  <c r="J130" i="28"/>
  <c r="M130" i="28" s="1"/>
  <c r="I137" i="28"/>
  <c r="J137" i="28"/>
  <c r="M137" i="28" s="1"/>
  <c r="I232" i="28"/>
  <c r="J232" i="28"/>
  <c r="M232" i="28" s="1"/>
  <c r="R232" i="28" s="1"/>
  <c r="I298" i="28"/>
  <c r="J298" i="28"/>
  <c r="M298" i="28" s="1"/>
  <c r="R298" i="28" s="1"/>
  <c r="I355" i="28"/>
  <c r="J355" i="28"/>
  <c r="M355" i="28" s="1"/>
  <c r="I416" i="28"/>
  <c r="J416" i="28"/>
  <c r="M416" i="28" s="1"/>
  <c r="I494" i="28"/>
  <c r="J494" i="28"/>
  <c r="M494" i="28" s="1"/>
  <c r="I563" i="28"/>
  <c r="J563" i="28"/>
  <c r="M563" i="28" s="1"/>
  <c r="I51" i="28"/>
  <c r="J51" i="28"/>
  <c r="M51" i="28" s="1"/>
  <c r="I167" i="28"/>
  <c r="J167" i="28"/>
  <c r="M167" i="28" s="1"/>
  <c r="I227" i="28"/>
  <c r="J227" i="28"/>
  <c r="M227" i="28" s="1"/>
  <c r="R227" i="28" s="1"/>
  <c r="I327" i="28"/>
  <c r="J327" i="28"/>
  <c r="M327" i="28" s="1"/>
  <c r="I348" i="28"/>
  <c r="J348" i="28"/>
  <c r="M348" i="28" s="1"/>
  <c r="R348" i="28" s="1"/>
  <c r="I454" i="28"/>
  <c r="J454" i="28"/>
  <c r="M454" i="28" s="1"/>
  <c r="I524" i="28"/>
  <c r="J524" i="28"/>
  <c r="M524" i="28" s="1"/>
  <c r="I611" i="28"/>
  <c r="J611" i="28"/>
  <c r="M611" i="28" s="1"/>
  <c r="I97" i="28"/>
  <c r="J97" i="28"/>
  <c r="M97" i="28" s="1"/>
  <c r="R97" i="28" s="1"/>
  <c r="I200" i="28"/>
  <c r="J200" i="28"/>
  <c r="M200" i="28" s="1"/>
  <c r="I207" i="28"/>
  <c r="J207" i="28"/>
  <c r="M207" i="28" s="1"/>
  <c r="I310" i="28"/>
  <c r="J310" i="28"/>
  <c r="M310" i="28" s="1"/>
  <c r="I392" i="28"/>
  <c r="J392" i="28"/>
  <c r="M392" i="28" s="1"/>
  <c r="R392" i="28" s="1"/>
  <c r="I476" i="28"/>
  <c r="J476" i="28"/>
  <c r="M476" i="28" s="1"/>
  <c r="I545" i="28"/>
  <c r="J545" i="28"/>
  <c r="M545" i="28" s="1"/>
  <c r="I17" i="28"/>
  <c r="J17" i="28"/>
  <c r="M17" i="28" s="1"/>
  <c r="I259" i="28"/>
  <c r="J259" i="28"/>
  <c r="M259" i="28" s="1"/>
  <c r="I248" i="28"/>
  <c r="J248" i="28"/>
  <c r="M248" i="28" s="1"/>
  <c r="R248" i="28" s="1"/>
  <c r="I239" i="28"/>
  <c r="J239" i="28"/>
  <c r="M239" i="28" s="1"/>
  <c r="I567" i="28"/>
  <c r="J567" i="28"/>
  <c r="M567" i="28" s="1"/>
  <c r="I627" i="28"/>
  <c r="J627" i="28"/>
  <c r="M627" i="28" s="1"/>
  <c r="I215" i="28"/>
  <c r="J215" i="28"/>
  <c r="M215" i="28" s="1"/>
  <c r="I495" i="28"/>
  <c r="J495" i="28"/>
  <c r="M495" i="28" s="1"/>
  <c r="I275" i="28"/>
  <c r="J275" i="28"/>
  <c r="M275" i="28" s="1"/>
  <c r="R275" i="28" s="1"/>
  <c r="I408" i="28"/>
  <c r="J408" i="28"/>
  <c r="M408" i="28" s="1"/>
  <c r="R408" i="28" s="1"/>
  <c r="I79" i="28"/>
  <c r="J79" i="28"/>
  <c r="M79" i="28" s="1"/>
  <c r="R79" i="28" s="1"/>
  <c r="I91" i="28"/>
  <c r="J91" i="28"/>
  <c r="M91" i="28" s="1"/>
  <c r="I378" i="28"/>
  <c r="J378" i="28"/>
  <c r="M378" i="28" s="1"/>
  <c r="I343" i="28"/>
  <c r="J343" i="28"/>
  <c r="M343" i="28" s="1"/>
  <c r="R343" i="28" s="1"/>
  <c r="I95" i="28"/>
  <c r="J95" i="28"/>
  <c r="M95" i="28" s="1"/>
  <c r="R95" i="28" s="1"/>
  <c r="I228" i="28"/>
  <c r="J228" i="28"/>
  <c r="M228" i="28" s="1"/>
  <c r="I613" i="28"/>
  <c r="J613" i="28"/>
  <c r="M613" i="28" s="1"/>
  <c r="I389" i="28"/>
  <c r="J389" i="28"/>
  <c r="M389" i="28" s="1"/>
  <c r="I132" i="28"/>
  <c r="J132" i="28"/>
  <c r="M132" i="28" s="1"/>
  <c r="I318" i="28"/>
  <c r="J318" i="28"/>
  <c r="M318" i="28" s="1"/>
  <c r="I350" i="28"/>
  <c r="J350" i="28"/>
  <c r="M350" i="28" s="1"/>
  <c r="R350" i="28" s="1"/>
  <c r="I365" i="28"/>
  <c r="J365" i="28"/>
  <c r="M365" i="28" s="1"/>
  <c r="R365" i="28" s="1"/>
  <c r="I15" i="28"/>
  <c r="J15" i="28"/>
  <c r="M15" i="28" s="1"/>
  <c r="I183" i="28"/>
  <c r="J183" i="28"/>
  <c r="M183" i="28" s="1"/>
  <c r="I387" i="28"/>
  <c r="J387" i="28"/>
  <c r="M387" i="28" s="1"/>
  <c r="I14" i="28"/>
  <c r="J14" i="28"/>
  <c r="M14" i="28" s="1"/>
  <c r="I203" i="28"/>
  <c r="J203" i="28"/>
  <c r="M203" i="28" s="1"/>
  <c r="I436" i="28"/>
  <c r="J436" i="28"/>
  <c r="M436" i="28" s="1"/>
  <c r="I90" i="28"/>
  <c r="J90" i="28"/>
  <c r="M90" i="28" s="1"/>
  <c r="R90" i="28" s="1"/>
  <c r="I242" i="28"/>
  <c r="J242" i="28"/>
  <c r="M242" i="28" s="1"/>
  <c r="I427" i="28"/>
  <c r="J427" i="28"/>
  <c r="M427" i="28" s="1"/>
  <c r="I127" i="28"/>
  <c r="J127" i="28"/>
  <c r="M127" i="28" s="1"/>
  <c r="I316" i="28"/>
  <c r="J316" i="28"/>
  <c r="M316" i="28" s="1"/>
  <c r="R316" i="28" s="1"/>
  <c r="S316" i="28" s="1"/>
  <c r="I542" i="28"/>
  <c r="J542" i="28"/>
  <c r="M542" i="28" s="1"/>
  <c r="I193" i="28"/>
  <c r="J193" i="28"/>
  <c r="M193" i="28" s="1"/>
  <c r="R193" i="28" s="1"/>
  <c r="I391" i="28"/>
  <c r="J391" i="28"/>
  <c r="M391" i="28" s="1"/>
  <c r="I82" i="28"/>
  <c r="J82" i="28"/>
  <c r="M82" i="28" s="1"/>
  <c r="R82" i="28" s="1"/>
  <c r="I162" i="28"/>
  <c r="J162" i="28"/>
  <c r="M162" i="28" s="1"/>
  <c r="R162" i="28" s="1"/>
  <c r="I382" i="28"/>
  <c r="J382" i="28"/>
  <c r="M382" i="28" s="1"/>
  <c r="I55" i="28"/>
  <c r="J55" i="28"/>
  <c r="M55" i="28" s="1"/>
  <c r="I140" i="28"/>
  <c r="J140" i="28"/>
  <c r="M140" i="28" s="1"/>
  <c r="I175" i="28"/>
  <c r="J175" i="28"/>
  <c r="M175" i="28" s="1"/>
  <c r="R175" i="28" s="1"/>
  <c r="I278" i="28"/>
  <c r="J278" i="28"/>
  <c r="M278" i="28" s="1"/>
  <c r="I369" i="28"/>
  <c r="J369" i="28"/>
  <c r="M369" i="28" s="1"/>
  <c r="I422" i="28"/>
  <c r="J422" i="28"/>
  <c r="M422" i="28" s="1"/>
  <c r="R422" i="28" s="1"/>
  <c r="I481" i="28"/>
  <c r="J481" i="28"/>
  <c r="M481" i="28" s="1"/>
  <c r="I561" i="28"/>
  <c r="J561" i="28"/>
  <c r="M561" i="28" s="1"/>
  <c r="R561" i="28" s="1"/>
  <c r="I449" i="28"/>
  <c r="J449" i="28"/>
  <c r="M449" i="28" s="1"/>
  <c r="I528" i="28"/>
  <c r="J528" i="28"/>
  <c r="M528" i="28" s="1"/>
  <c r="R528" i="28" s="1"/>
  <c r="I604" i="28"/>
  <c r="J604" i="28"/>
  <c r="M604" i="28" s="1"/>
  <c r="I138" i="28"/>
  <c r="J138" i="28"/>
  <c r="M138" i="28" s="1"/>
  <c r="R138" i="28" s="1"/>
  <c r="S138" i="28" s="1"/>
  <c r="I165" i="28"/>
  <c r="J165" i="28"/>
  <c r="M165" i="28" s="1"/>
  <c r="I236" i="28"/>
  <c r="J236" i="28"/>
  <c r="M236" i="28" s="1"/>
  <c r="I307" i="28"/>
  <c r="J307" i="28"/>
  <c r="M307" i="28" s="1"/>
  <c r="R307" i="28" s="1"/>
  <c r="I410" i="28"/>
  <c r="J410" i="28"/>
  <c r="M410" i="28" s="1"/>
  <c r="I475" i="28"/>
  <c r="J475" i="28"/>
  <c r="M475" i="28" s="1"/>
  <c r="I539" i="28"/>
  <c r="J539" i="28"/>
  <c r="M539" i="28" s="1"/>
  <c r="R539" i="28" s="1"/>
  <c r="I57" i="28"/>
  <c r="J57" i="28"/>
  <c r="M57" i="28" s="1"/>
  <c r="I134" i="28"/>
  <c r="J134" i="28"/>
  <c r="M134" i="28" s="1"/>
  <c r="I201" i="28"/>
  <c r="J201" i="28"/>
  <c r="M201" i="28" s="1"/>
  <c r="I264" i="28"/>
  <c r="J264" i="28"/>
  <c r="M264" i="28" s="1"/>
  <c r="I368" i="28"/>
  <c r="J368" i="28"/>
  <c r="M368" i="28" s="1"/>
  <c r="I441" i="28"/>
  <c r="J441" i="28"/>
  <c r="M441" i="28" s="1"/>
  <c r="I523" i="28"/>
  <c r="J523" i="28"/>
  <c r="M523" i="28" s="1"/>
  <c r="I573" i="28"/>
  <c r="J573" i="28"/>
  <c r="M573" i="28" s="1"/>
  <c r="I72" i="28"/>
  <c r="J72" i="28"/>
  <c r="M72" i="28" s="1"/>
  <c r="I247" i="28"/>
  <c r="J247" i="28"/>
  <c r="M247" i="28" s="1"/>
  <c r="I244" i="28"/>
  <c r="J244" i="28"/>
  <c r="M244" i="28" s="1"/>
  <c r="I289" i="28"/>
  <c r="J289" i="28"/>
  <c r="M289" i="28" s="1"/>
  <c r="I398" i="28"/>
  <c r="J398" i="28"/>
  <c r="M398" i="28" s="1"/>
  <c r="I448" i="28"/>
  <c r="J448" i="28"/>
  <c r="M448" i="28" s="1"/>
  <c r="I538" i="28"/>
  <c r="J538" i="28"/>
  <c r="M538" i="28" s="1"/>
  <c r="R538" i="28" s="1"/>
  <c r="I608" i="28"/>
  <c r="J608" i="28"/>
  <c r="M608" i="28" s="1"/>
  <c r="I119" i="28"/>
  <c r="J119" i="28"/>
  <c r="M119" i="28" s="1"/>
  <c r="R119" i="28" s="1"/>
  <c r="I189" i="28"/>
  <c r="J189" i="28"/>
  <c r="M189" i="28" s="1"/>
  <c r="I276" i="28"/>
  <c r="J276" i="28"/>
  <c r="M276" i="28" s="1"/>
  <c r="R276" i="28" s="1"/>
  <c r="I330" i="28"/>
  <c r="J330" i="28"/>
  <c r="M330" i="28" s="1"/>
  <c r="I415" i="28"/>
  <c r="J415" i="28"/>
  <c r="M415" i="28" s="1"/>
  <c r="R415" i="28" s="1"/>
  <c r="I496" i="28"/>
  <c r="J496" i="28"/>
  <c r="M496" i="28" s="1"/>
  <c r="R496" i="28" s="1"/>
  <c r="I565" i="28"/>
  <c r="J565" i="28"/>
  <c r="M565" i="28" s="1"/>
  <c r="I20" i="28"/>
  <c r="J20" i="28"/>
  <c r="M20" i="28" s="1"/>
  <c r="I141" i="28"/>
  <c r="J141" i="28"/>
  <c r="M141" i="28" s="1"/>
  <c r="R141" i="28" s="1"/>
  <c r="I257" i="28"/>
  <c r="J257" i="28"/>
  <c r="M257" i="28" s="1"/>
  <c r="I208" i="28"/>
  <c r="J208" i="28"/>
  <c r="M208" i="28" s="1"/>
  <c r="I222" i="28"/>
  <c r="J222" i="28"/>
  <c r="M222" i="28" s="1"/>
  <c r="I118" i="28"/>
  <c r="J118" i="28"/>
  <c r="M118" i="28" s="1"/>
  <c r="I246" i="28"/>
  <c r="J246" i="28"/>
  <c r="M246" i="28" s="1"/>
  <c r="R246" i="28" s="1"/>
  <c r="I267" i="28"/>
  <c r="J267" i="28"/>
  <c r="M267" i="28" s="1"/>
  <c r="I531" i="28"/>
  <c r="J531" i="28"/>
  <c r="M531" i="28" s="1"/>
  <c r="I420" i="28"/>
  <c r="J420" i="28"/>
  <c r="M420" i="28" s="1"/>
  <c r="I120" i="28"/>
  <c r="J120" i="28"/>
  <c r="M120" i="28" s="1"/>
  <c r="I601" i="28"/>
  <c r="J601" i="28"/>
  <c r="M601" i="28" s="1"/>
  <c r="I473" i="28"/>
  <c r="J473" i="28"/>
  <c r="M473" i="28" s="1"/>
  <c r="R473" i="28" s="1"/>
  <c r="I583" i="28"/>
  <c r="J583" i="28"/>
  <c r="M583" i="28" s="1"/>
  <c r="R583" i="28" s="1"/>
  <c r="I625" i="28"/>
  <c r="J625" i="28"/>
  <c r="M625" i="28" s="1"/>
  <c r="R625" i="28" s="1"/>
  <c r="I93" i="28"/>
  <c r="J93" i="28"/>
  <c r="M93" i="28" s="1"/>
  <c r="I366" i="28"/>
  <c r="J366" i="28"/>
  <c r="M366" i="28" s="1"/>
  <c r="R366" i="28" s="1"/>
  <c r="I399" i="28"/>
  <c r="J399" i="28"/>
  <c r="M399" i="28" s="1"/>
  <c r="I471" i="28"/>
  <c r="J471" i="28"/>
  <c r="M471" i="28" s="1"/>
  <c r="I345" i="28"/>
  <c r="J345" i="28"/>
  <c r="M345" i="28" s="1"/>
  <c r="R345" i="28" s="1"/>
  <c r="I104" i="28"/>
  <c r="J104" i="28"/>
  <c r="M104" i="28" s="1"/>
  <c r="I213" i="28"/>
  <c r="J213" i="28"/>
  <c r="M213" i="28" s="1"/>
  <c r="I442" i="28"/>
  <c r="J442" i="28"/>
  <c r="M442" i="28" s="1"/>
  <c r="R442" i="28" s="1"/>
  <c r="I602" i="28"/>
  <c r="J602" i="28"/>
  <c r="M602" i="28" s="1"/>
  <c r="I157" i="28"/>
  <c r="J157" i="28"/>
  <c r="M157" i="28" s="1"/>
  <c r="I45" i="28"/>
  <c r="J45" i="28"/>
  <c r="M45" i="28" s="1"/>
  <c r="I470" i="28"/>
  <c r="J470" i="28"/>
  <c r="M470" i="28" s="1"/>
  <c r="I321" i="28"/>
  <c r="J321" i="28"/>
  <c r="M321" i="28" s="1"/>
  <c r="I595" i="28"/>
  <c r="J595" i="28"/>
  <c r="M595" i="28" s="1"/>
  <c r="I48" i="28"/>
  <c r="J48" i="28"/>
  <c r="M48" i="28" s="1"/>
  <c r="I78" i="28"/>
  <c r="J78" i="28"/>
  <c r="M78" i="28" s="1"/>
  <c r="I63" i="28"/>
  <c r="J63" i="28"/>
  <c r="M63" i="28" s="1"/>
  <c r="I226" i="28"/>
  <c r="J226" i="28"/>
  <c r="M226" i="28" s="1"/>
  <c r="I480" i="28"/>
  <c r="J480" i="28"/>
  <c r="M480" i="28" s="1"/>
  <c r="I86" i="28"/>
  <c r="J86" i="28"/>
  <c r="M86" i="28" s="1"/>
  <c r="R86" i="28" s="1"/>
  <c r="I251" i="28"/>
  <c r="J251" i="28"/>
  <c r="M251" i="28" s="1"/>
  <c r="I525" i="28"/>
  <c r="J525" i="28"/>
  <c r="M525" i="28" s="1"/>
  <c r="R525" i="28" s="1"/>
  <c r="I67" i="28"/>
  <c r="J67" i="28"/>
  <c r="M67" i="28" s="1"/>
  <c r="I283" i="28"/>
  <c r="J283" i="28"/>
  <c r="M283" i="28" s="1"/>
  <c r="I515" i="28"/>
  <c r="J515" i="28"/>
  <c r="M515" i="28" s="1"/>
  <c r="I185" i="28"/>
  <c r="J185" i="28"/>
  <c r="M185" i="28" s="1"/>
  <c r="R185" i="28" s="1"/>
  <c r="I352" i="28"/>
  <c r="J352" i="28"/>
  <c r="M352" i="28" s="1"/>
  <c r="I43" i="28"/>
  <c r="J43" i="28"/>
  <c r="M43" i="28" s="1"/>
  <c r="I233" i="28"/>
  <c r="J233" i="28"/>
  <c r="M233" i="28" s="1"/>
  <c r="I404" i="28"/>
  <c r="J404" i="28"/>
  <c r="M404" i="28" s="1"/>
  <c r="I50" i="28"/>
  <c r="J50" i="28"/>
  <c r="M50" i="28" s="1"/>
  <c r="I202" i="28"/>
  <c r="J202" i="28"/>
  <c r="M202" i="28" s="1"/>
  <c r="I463" i="28"/>
  <c r="J463" i="28"/>
  <c r="M463" i="28" s="1"/>
  <c r="I89" i="28"/>
  <c r="J89" i="28"/>
  <c r="M89" i="28" s="1"/>
  <c r="I115" i="28"/>
  <c r="J115" i="28"/>
  <c r="M115" i="28" s="1"/>
  <c r="I241" i="28"/>
  <c r="J241" i="28"/>
  <c r="M241" i="28" s="1"/>
  <c r="R241" i="28" s="1"/>
  <c r="I253" i="28"/>
  <c r="J253" i="28"/>
  <c r="M253" i="28" s="1"/>
  <c r="R253" i="28" s="1"/>
  <c r="I349" i="28"/>
  <c r="J349" i="28"/>
  <c r="M349" i="28" s="1"/>
  <c r="I435" i="28"/>
  <c r="J435" i="28"/>
  <c r="M435" i="28" s="1"/>
  <c r="I504" i="28"/>
  <c r="J504" i="28"/>
  <c r="M504" i="28" s="1"/>
  <c r="R504" i="28" s="1"/>
  <c r="I580" i="28"/>
  <c r="J580" i="28"/>
  <c r="M580" i="28" s="1"/>
  <c r="R580" i="28" s="1"/>
  <c r="I461" i="28"/>
  <c r="J461" i="28"/>
  <c r="M461" i="28" s="1"/>
  <c r="R461" i="28" s="1"/>
  <c r="I560" i="28"/>
  <c r="J560" i="28"/>
  <c r="M560" i="28" s="1"/>
  <c r="R560" i="28" s="1"/>
  <c r="I87" i="28"/>
  <c r="J87" i="28"/>
  <c r="M87" i="28" s="1"/>
  <c r="I129" i="28"/>
  <c r="J129" i="28"/>
  <c r="M129" i="28" s="1"/>
  <c r="I204" i="28"/>
  <c r="J204" i="28"/>
  <c r="M204" i="28" s="1"/>
  <c r="I292" i="28"/>
  <c r="J292" i="28"/>
  <c r="M292" i="28" s="1"/>
  <c r="R292" i="28" s="1"/>
  <c r="I374" i="28"/>
  <c r="J374" i="28"/>
  <c r="M374" i="28" s="1"/>
  <c r="I400" i="28"/>
  <c r="J400" i="28"/>
  <c r="M400" i="28" s="1"/>
  <c r="R400" i="28" s="1"/>
  <c r="I501" i="28"/>
  <c r="J501" i="28"/>
  <c r="M501" i="28" s="1"/>
  <c r="I571" i="28"/>
  <c r="J571" i="28"/>
  <c r="M571" i="28" s="1"/>
  <c r="I159" i="28"/>
  <c r="J159" i="28"/>
  <c r="M159" i="28" s="1"/>
  <c r="R159" i="28" s="1"/>
  <c r="I148" i="28"/>
  <c r="J148" i="28"/>
  <c r="M148" i="28" s="1"/>
  <c r="I219" i="28"/>
  <c r="J219" i="28"/>
  <c r="M219" i="28" s="1"/>
  <c r="I319" i="28"/>
  <c r="J319" i="28"/>
  <c r="M319" i="28" s="1"/>
  <c r="I340" i="28"/>
  <c r="J340" i="28"/>
  <c r="M340" i="28" s="1"/>
  <c r="R340" i="28" s="1"/>
  <c r="I465" i="28"/>
  <c r="J465" i="28"/>
  <c r="M465" i="28" s="1"/>
  <c r="R465" i="28" s="1"/>
  <c r="I549" i="28"/>
  <c r="J549" i="28"/>
  <c r="M549" i="28" s="1"/>
  <c r="I600" i="28"/>
  <c r="J600" i="28"/>
  <c r="M600" i="28" s="1"/>
  <c r="I111" i="28"/>
  <c r="J111" i="28"/>
  <c r="M111" i="28" s="1"/>
  <c r="I181" i="28"/>
  <c r="J181" i="28"/>
  <c r="M181" i="28" s="1"/>
  <c r="R181" i="28" s="1"/>
  <c r="I260" i="28"/>
  <c r="J260" i="28"/>
  <c r="M260" i="28" s="1"/>
  <c r="I323" i="28"/>
  <c r="J323" i="28"/>
  <c r="M323" i="28" s="1"/>
  <c r="I407" i="28"/>
  <c r="J407" i="28"/>
  <c r="M407" i="28" s="1"/>
  <c r="I491" i="28"/>
  <c r="J491" i="28"/>
  <c r="M491" i="28" s="1"/>
  <c r="I555" i="28"/>
  <c r="J555" i="28"/>
  <c r="M555" i="28" s="1"/>
  <c r="I68" i="28"/>
  <c r="J68" i="28"/>
  <c r="M68" i="28" s="1"/>
  <c r="R68" i="28" s="1"/>
  <c r="I147" i="28"/>
  <c r="J147" i="28"/>
  <c r="M147" i="28" s="1"/>
  <c r="R147" i="28" s="1"/>
  <c r="I164" i="28"/>
  <c r="J164" i="28"/>
  <c r="M164" i="28" s="1"/>
  <c r="I243" i="28"/>
  <c r="J243" i="28"/>
  <c r="M243" i="28" s="1"/>
  <c r="R243" i="28" s="1"/>
  <c r="I371" i="28"/>
  <c r="J371" i="28"/>
  <c r="M371" i="28" s="1"/>
  <c r="I431" i="28"/>
  <c r="J431" i="28"/>
  <c r="M431" i="28" s="1"/>
  <c r="I505" i="28"/>
  <c r="J505" i="28"/>
  <c r="M505" i="28" s="1"/>
  <c r="I568" i="28"/>
  <c r="J568" i="28"/>
  <c r="M568" i="28" s="1"/>
  <c r="I591" i="28"/>
  <c r="J591" i="28"/>
  <c r="M591" i="28" s="1"/>
  <c r="R591" i="28" s="1"/>
  <c r="I23" i="28"/>
  <c r="J23" i="28"/>
  <c r="M23" i="28" s="1"/>
  <c r="R23" i="28" s="1"/>
  <c r="I171" i="28"/>
  <c r="J171" i="28"/>
  <c r="M171" i="28" s="1"/>
  <c r="I74" i="28"/>
  <c r="J74" i="28"/>
  <c r="M74" i="28" s="1"/>
  <c r="R74" i="28" s="1"/>
  <c r="I220" i="28"/>
  <c r="J220" i="28"/>
  <c r="M220" i="28" s="1"/>
  <c r="R220" i="28" s="1"/>
  <c r="I216" i="28"/>
  <c r="J216" i="28"/>
  <c r="M216" i="28" s="1"/>
  <c r="I180" i="28"/>
  <c r="J180" i="28"/>
  <c r="M180" i="28" s="1"/>
  <c r="R180" i="28" s="1"/>
  <c r="I451" i="28"/>
  <c r="J451" i="28"/>
  <c r="M451" i="28" s="1"/>
  <c r="I301" i="28"/>
  <c r="J301" i="28"/>
  <c r="M301" i="28" s="1"/>
  <c r="I308" i="28"/>
  <c r="J308" i="28"/>
  <c r="M308" i="28" s="1"/>
  <c r="I85" i="28"/>
  <c r="J85" i="28"/>
  <c r="M85" i="28" s="1"/>
  <c r="I556" i="28"/>
  <c r="J556" i="28"/>
  <c r="M556" i="28" s="1"/>
  <c r="I570" i="28"/>
  <c r="J570" i="28"/>
  <c r="M570" i="28" s="1"/>
  <c r="R570" i="28" s="1"/>
  <c r="I626" i="28"/>
  <c r="J626" i="28"/>
  <c r="M626" i="28" s="1"/>
  <c r="I467" i="28"/>
  <c r="J467" i="28"/>
  <c r="M467" i="28" s="1"/>
  <c r="I284" i="28"/>
  <c r="J284" i="28"/>
  <c r="M284" i="28" s="1"/>
  <c r="I332" i="28"/>
  <c r="J332" i="28"/>
  <c r="M332" i="28" s="1"/>
  <c r="I396" i="28"/>
  <c r="J396" i="28"/>
  <c r="M396" i="28" s="1"/>
  <c r="I535" i="28"/>
  <c r="J535" i="28"/>
  <c r="M535" i="28" s="1"/>
  <c r="I28" i="28"/>
  <c r="J28" i="28"/>
  <c r="M28" i="28" s="1"/>
  <c r="R28" i="28" s="1"/>
  <c r="I112" i="28"/>
  <c r="J112" i="28"/>
  <c r="M112" i="28" s="1"/>
  <c r="R112" i="28" s="1"/>
  <c r="I347" i="28"/>
  <c r="J347" i="28"/>
  <c r="M347" i="28" s="1"/>
  <c r="R347" i="28" s="1"/>
  <c r="I469" i="28"/>
  <c r="J469" i="28"/>
  <c r="M469" i="28" s="1"/>
  <c r="I29" i="28"/>
  <c r="J29" i="28"/>
  <c r="M29" i="28" s="1"/>
  <c r="I351" i="28"/>
  <c r="J351" i="28"/>
  <c r="M351" i="28" s="1"/>
  <c r="I198" i="28"/>
  <c r="J198" i="28"/>
  <c r="M198" i="28" s="1"/>
  <c r="I414" i="28"/>
  <c r="J414" i="28"/>
  <c r="M414" i="28" s="1"/>
  <c r="I21" i="28"/>
  <c r="J21" i="28"/>
  <c r="M21" i="28" s="1"/>
  <c r="R21" i="28" s="1"/>
  <c r="I44" i="28"/>
  <c r="J44" i="28"/>
  <c r="M44" i="28" s="1"/>
  <c r="R44" i="28" s="1"/>
  <c r="I168" i="28"/>
  <c r="J168" i="28"/>
  <c r="M168" i="28" s="1"/>
  <c r="I62" i="28"/>
  <c r="J62" i="28"/>
  <c r="M62" i="28" s="1"/>
  <c r="I286" i="28"/>
  <c r="J286" i="28"/>
  <c r="M286" i="28" s="1"/>
  <c r="I489" i="28"/>
  <c r="J489" i="28"/>
  <c r="M489" i="28" s="1"/>
  <c r="I107" i="28"/>
  <c r="J107" i="28"/>
  <c r="M107" i="28" s="1"/>
  <c r="I295" i="28"/>
  <c r="J295" i="28"/>
  <c r="M295" i="28" s="1"/>
  <c r="I551" i="28"/>
  <c r="J551" i="28"/>
  <c r="M551" i="28" s="1"/>
  <c r="I113" i="28"/>
  <c r="J113" i="28"/>
  <c r="M113" i="28" s="1"/>
  <c r="R113" i="28" s="1"/>
  <c r="I337" i="28"/>
  <c r="J337" i="28"/>
  <c r="M337" i="28" s="1"/>
  <c r="I553" i="28"/>
  <c r="J553" i="28"/>
  <c r="M553" i="28" s="1"/>
  <c r="I197" i="28"/>
  <c r="J197" i="28"/>
  <c r="M197" i="28" s="1"/>
  <c r="R197" i="28" s="1"/>
  <c r="I380" i="28"/>
  <c r="J380" i="28"/>
  <c r="M380" i="28" s="1"/>
  <c r="R380" i="28" s="1"/>
  <c r="I33" i="28"/>
  <c r="J33" i="28"/>
  <c r="M33" i="28" s="1"/>
  <c r="I221" i="28"/>
  <c r="J221" i="28"/>
  <c r="M221" i="28" s="1"/>
  <c r="I426" i="28"/>
  <c r="J426" i="28"/>
  <c r="M426" i="28" s="1"/>
  <c r="I106" i="28"/>
  <c r="J106" i="28"/>
  <c r="M106" i="28" s="1"/>
  <c r="R106" i="28" s="1"/>
  <c r="I281" i="28"/>
  <c r="J281" i="28"/>
  <c r="M281" i="28" s="1"/>
  <c r="I502" i="28"/>
  <c r="J502" i="28"/>
  <c r="M502" i="28" s="1"/>
  <c r="I70" i="28"/>
  <c r="J70" i="28"/>
  <c r="M70" i="28" s="1"/>
  <c r="R70" i="28" s="1"/>
  <c r="I109" i="28"/>
  <c r="J109" i="28"/>
  <c r="M109" i="28" s="1"/>
  <c r="R109" i="28" s="1"/>
  <c r="I230" i="28"/>
  <c r="J230" i="28"/>
  <c r="M230" i="28" s="1"/>
  <c r="I282" i="28"/>
  <c r="J282" i="28"/>
  <c r="M282" i="28" s="1"/>
  <c r="I359" i="28"/>
  <c r="J359" i="28"/>
  <c r="M359" i="28" s="1"/>
  <c r="I434" i="28"/>
  <c r="J434" i="28"/>
  <c r="M434" i="28" s="1"/>
  <c r="I519" i="28"/>
  <c r="J519" i="28"/>
  <c r="M519" i="28" s="1"/>
  <c r="I597" i="28"/>
  <c r="J597" i="28"/>
  <c r="M597" i="28" s="1"/>
  <c r="I468" i="28"/>
  <c r="J468" i="28"/>
  <c r="M468" i="28" s="1"/>
  <c r="I558" i="28"/>
  <c r="J558" i="28"/>
  <c r="M558" i="28" s="1"/>
  <c r="R558" i="28" s="1"/>
  <c r="I49" i="28"/>
  <c r="J49" i="28"/>
  <c r="M49" i="28" s="1"/>
  <c r="I126" i="28"/>
  <c r="J126" i="28"/>
  <c r="M126" i="28" s="1"/>
  <c r="I206" i="28"/>
  <c r="J206" i="28"/>
  <c r="M206" i="28" s="1"/>
  <c r="I256" i="28"/>
  <c r="J256" i="28"/>
  <c r="M256" i="28" s="1"/>
  <c r="R256" i="28" s="1"/>
  <c r="I360" i="28"/>
  <c r="J360" i="28"/>
  <c r="M360" i="28" s="1"/>
  <c r="I433" i="28"/>
  <c r="J433" i="28"/>
  <c r="M433" i="28" s="1"/>
  <c r="R433" i="28" s="1"/>
  <c r="I518" i="28"/>
  <c r="J518" i="28"/>
  <c r="M518" i="28" s="1"/>
  <c r="R518" i="28" s="1"/>
  <c r="I584" i="28"/>
  <c r="J584" i="28"/>
  <c r="M584" i="28" s="1"/>
  <c r="R584" i="28" s="1"/>
  <c r="I64" i="28"/>
  <c r="J64" i="28"/>
  <c r="M64" i="28" s="1"/>
  <c r="I240" i="28"/>
  <c r="J240" i="28"/>
  <c r="M240" i="28" s="1"/>
  <c r="I237" i="28"/>
  <c r="J237" i="28"/>
  <c r="M237" i="28" s="1"/>
  <c r="I383" i="28"/>
  <c r="J383" i="28"/>
  <c r="M383" i="28" s="1"/>
  <c r="R383" i="28" s="1"/>
  <c r="I397" i="28"/>
  <c r="J397" i="28"/>
  <c r="M397" i="28" s="1"/>
  <c r="R397" i="28" s="1"/>
  <c r="I477" i="28"/>
  <c r="J477" i="28"/>
  <c r="M477" i="28" s="1"/>
  <c r="I541" i="28"/>
  <c r="J541" i="28"/>
  <c r="M541" i="28" s="1"/>
  <c r="I609" i="28"/>
  <c r="J609" i="28"/>
  <c r="M609" i="28" s="1"/>
  <c r="R609" i="28" s="1"/>
  <c r="I116" i="28"/>
  <c r="J116" i="28"/>
  <c r="M116" i="28" s="1"/>
  <c r="I186" i="28"/>
  <c r="J186" i="28"/>
  <c r="M186" i="28" s="1"/>
  <c r="I322" i="28"/>
  <c r="J322" i="28"/>
  <c r="M322" i="28" s="1"/>
  <c r="I325" i="28"/>
  <c r="J325" i="28"/>
  <c r="M325" i="28" s="1"/>
  <c r="I417" i="28"/>
  <c r="J417" i="28"/>
  <c r="M417" i="28" s="1"/>
  <c r="I479" i="28"/>
  <c r="J479" i="28"/>
  <c r="M479" i="28" s="1"/>
  <c r="I564" i="28"/>
  <c r="J564" i="28"/>
  <c r="M564" i="28" s="1"/>
  <c r="I73" i="28"/>
  <c r="J73" i="28"/>
  <c r="M73" i="28" s="1"/>
  <c r="R73" i="28" s="1"/>
  <c r="I151" i="28"/>
  <c r="J151" i="28"/>
  <c r="M151" i="28" s="1"/>
  <c r="R151" i="28" s="1"/>
  <c r="I225" i="28"/>
  <c r="J225" i="28"/>
  <c r="M225" i="28" s="1"/>
  <c r="I293" i="28"/>
  <c r="J293" i="28"/>
  <c r="M293" i="28" s="1"/>
  <c r="I385" i="28"/>
  <c r="J385" i="28"/>
  <c r="M385" i="28" s="1"/>
  <c r="I438" i="28"/>
  <c r="J438" i="28"/>
  <c r="M438" i="28" s="1"/>
  <c r="I507" i="28"/>
  <c r="J507" i="28"/>
  <c r="M507" i="28" s="1"/>
  <c r="I578" i="28"/>
  <c r="J578" i="28"/>
  <c r="M578" i="28" s="1"/>
  <c r="R578" i="28" s="1"/>
  <c r="I594" i="28"/>
  <c r="J594" i="28"/>
  <c r="M594" i="28" s="1"/>
  <c r="I624" i="28"/>
  <c r="J624" i="28"/>
  <c r="M624" i="28" s="1"/>
  <c r="I509" i="28"/>
  <c r="J509" i="28"/>
  <c r="M509" i="28" s="1"/>
  <c r="I464" i="28"/>
  <c r="J464" i="28"/>
  <c r="M464" i="28" s="1"/>
  <c r="I411" i="28"/>
  <c r="J411" i="28"/>
  <c r="M411" i="28" s="1"/>
  <c r="I488" i="28"/>
  <c r="J488" i="28"/>
  <c r="M488" i="28" s="1"/>
  <c r="I590" i="28"/>
  <c r="J590" i="28"/>
  <c r="M590" i="28" s="1"/>
  <c r="I84" i="28"/>
  <c r="J84" i="28"/>
  <c r="M84" i="28" s="1"/>
  <c r="R84" i="28" s="1"/>
  <c r="I521" i="28"/>
  <c r="J521" i="28"/>
  <c r="M521" i="28" s="1"/>
  <c r="R521" i="28" s="1"/>
  <c r="I170" i="28"/>
  <c r="J170" i="28"/>
  <c r="M170" i="28" s="1"/>
  <c r="I32" i="28"/>
  <c r="J32" i="28"/>
  <c r="M32" i="28" s="1"/>
  <c r="I514" i="28"/>
  <c r="J514" i="28"/>
  <c r="M514" i="28" s="1"/>
  <c r="I302" i="28"/>
  <c r="J302" i="28"/>
  <c r="M302" i="28" s="1"/>
  <c r="R302" i="28" s="1"/>
  <c r="I194" i="28"/>
  <c r="J194" i="28"/>
  <c r="M194" i="28" s="1"/>
  <c r="I406" i="28"/>
  <c r="J406" i="28"/>
  <c r="M406" i="28" s="1"/>
  <c r="I486" i="28"/>
  <c r="J486" i="28"/>
  <c r="M486" i="28" s="1"/>
  <c r="I588" i="28"/>
  <c r="J588" i="28"/>
  <c r="M588" i="28" s="1"/>
  <c r="R588" i="28" s="1"/>
  <c r="I152" i="28"/>
  <c r="J152" i="28"/>
  <c r="M152" i="28" s="1"/>
  <c r="I263" i="28"/>
  <c r="J263" i="28"/>
  <c r="M263" i="28" s="1"/>
  <c r="R263" i="28" s="1"/>
  <c r="I311" i="28"/>
  <c r="J311" i="28"/>
  <c r="M311" i="28" s="1"/>
  <c r="I453" i="28"/>
  <c r="J453" i="28"/>
  <c r="M453" i="28" s="1"/>
  <c r="I506" i="28"/>
  <c r="J506" i="28"/>
  <c r="M506" i="28" s="1"/>
  <c r="I26" i="28"/>
  <c r="J26" i="28"/>
  <c r="M26" i="28" s="1"/>
  <c r="R26" i="28" s="1"/>
  <c r="I254" i="28"/>
  <c r="J254" i="28"/>
  <c r="M254" i="28" s="1"/>
  <c r="I320" i="28"/>
  <c r="J320" i="28"/>
  <c r="M320" i="28" s="1"/>
  <c r="I37" i="28"/>
  <c r="J37" i="28"/>
  <c r="M37" i="28" s="1"/>
  <c r="I98" i="28"/>
  <c r="J98" i="28"/>
  <c r="M98" i="28" s="1"/>
  <c r="R98" i="28" s="1"/>
  <c r="I557" i="28"/>
  <c r="J557" i="28"/>
  <c r="M557" i="28" s="1"/>
  <c r="I586" i="28"/>
  <c r="J586" i="28"/>
  <c r="M586" i="28" s="1"/>
  <c r="I22" i="28"/>
  <c r="J22" i="28"/>
  <c r="M22" i="28" s="1"/>
  <c r="I19" i="28"/>
  <c r="J19" i="28"/>
  <c r="M19" i="28" s="1"/>
  <c r="R19" i="28" s="1"/>
  <c r="I288" i="28"/>
  <c r="J288" i="28"/>
  <c r="M288" i="28" s="1"/>
  <c r="R288" i="28" s="1"/>
  <c r="I53" i="28"/>
  <c r="J53" i="28"/>
  <c r="M53" i="28" s="1"/>
  <c r="R53" i="28" s="1"/>
  <c r="I274" i="28"/>
  <c r="J274" i="28"/>
  <c r="M274" i="28" s="1"/>
  <c r="I526" i="28"/>
  <c r="J526" i="28"/>
  <c r="M526" i="28" s="1"/>
  <c r="R526" i="28" s="1"/>
  <c r="I154" i="28"/>
  <c r="J154" i="28"/>
  <c r="M154" i="28" s="1"/>
  <c r="I331" i="28"/>
  <c r="J331" i="28"/>
  <c r="M331" i="28" s="1"/>
  <c r="I579" i="28"/>
  <c r="J579" i="28"/>
  <c r="M579" i="28" s="1"/>
  <c r="R579" i="28" s="1"/>
  <c r="I163" i="28"/>
  <c r="J163" i="28"/>
  <c r="M163" i="28" s="1"/>
  <c r="R163" i="28" s="1"/>
  <c r="I339" i="28"/>
  <c r="J339" i="28"/>
  <c r="M339" i="28" s="1"/>
  <c r="R339" i="28" s="1"/>
  <c r="I575" i="28"/>
  <c r="J575" i="28"/>
  <c r="M575" i="28" s="1"/>
  <c r="I196" i="28"/>
  <c r="J196" i="28"/>
  <c r="M196" i="28" s="1"/>
  <c r="I423" i="28"/>
  <c r="J423" i="28"/>
  <c r="M423" i="28" s="1"/>
  <c r="I81" i="28"/>
  <c r="J81" i="28"/>
  <c r="M81" i="28" s="1"/>
  <c r="I273" i="28"/>
  <c r="J273" i="28"/>
  <c r="M273" i="28" s="1"/>
  <c r="I499" i="28"/>
  <c r="J499" i="28"/>
  <c r="M499" i="28" s="1"/>
  <c r="I88" i="28"/>
  <c r="J88" i="28"/>
  <c r="M88" i="28" s="1"/>
  <c r="I261" i="28"/>
  <c r="J261" i="28"/>
  <c r="M261" i="28" s="1"/>
  <c r="I508" i="28"/>
  <c r="J508" i="28"/>
  <c r="M508" i="28" s="1"/>
  <c r="I75" i="28"/>
  <c r="J75" i="28"/>
  <c r="M75" i="28" s="1"/>
  <c r="I177" i="28"/>
  <c r="J177" i="28"/>
  <c r="M177" i="28" s="1"/>
  <c r="R177" i="28" s="1"/>
  <c r="I255" i="28"/>
  <c r="J255" i="28"/>
  <c r="M255" i="28" s="1"/>
  <c r="I346" i="28"/>
  <c r="J346" i="28"/>
  <c r="M346" i="28" s="1"/>
  <c r="I372" i="28"/>
  <c r="J372" i="28"/>
  <c r="M372" i="28" s="1"/>
  <c r="R372" i="28" s="1"/>
  <c r="I478" i="28"/>
  <c r="J478" i="28"/>
  <c r="M478" i="28" s="1"/>
  <c r="I529" i="28"/>
  <c r="J529" i="28"/>
  <c r="M529" i="28" s="1"/>
  <c r="I610" i="28"/>
  <c r="J610" i="28"/>
  <c r="M610" i="28" s="1"/>
  <c r="I503" i="28"/>
  <c r="J503" i="28"/>
  <c r="M503" i="28" s="1"/>
  <c r="R503" i="28" s="1"/>
  <c r="I562" i="28"/>
  <c r="J562" i="28"/>
  <c r="M562" i="28" s="1"/>
  <c r="I122" i="28"/>
  <c r="J122" i="28"/>
  <c r="M122" i="28" s="1"/>
  <c r="I139" i="28"/>
  <c r="J139" i="28"/>
  <c r="M139" i="28" s="1"/>
  <c r="I250" i="28"/>
  <c r="J250" i="28"/>
  <c r="M250" i="28" s="1"/>
  <c r="R250" i="28" s="1"/>
  <c r="I277" i="28"/>
  <c r="J277" i="28"/>
  <c r="M277" i="28" s="1"/>
  <c r="I373" i="28"/>
  <c r="J373" i="28"/>
  <c r="M373" i="28" s="1"/>
  <c r="I440" i="28"/>
  <c r="J440" i="28"/>
  <c r="M440" i="28" s="1"/>
  <c r="R440" i="28" s="1"/>
  <c r="I517" i="28"/>
  <c r="J517" i="28"/>
  <c r="M517" i="28" s="1"/>
  <c r="I598" i="28"/>
  <c r="J598" i="28"/>
  <c r="M598" i="28" s="1"/>
  <c r="I69" i="28"/>
  <c r="J69" i="28"/>
  <c r="M69" i="28" s="1"/>
  <c r="I187" i="28"/>
  <c r="J187" i="28"/>
  <c r="M187" i="28" s="1"/>
  <c r="I279" i="28"/>
  <c r="J279" i="28"/>
  <c r="M279" i="28" s="1"/>
  <c r="R279" i="28" s="1"/>
  <c r="I294" i="28"/>
  <c r="J294" i="28"/>
  <c r="M294" i="28" s="1"/>
  <c r="I403" i="28"/>
  <c r="J403" i="28"/>
  <c r="M403" i="28" s="1"/>
  <c r="I466" i="28"/>
  <c r="J466" i="28"/>
  <c r="M466" i="28" s="1"/>
  <c r="I548" i="28"/>
  <c r="J548" i="28"/>
  <c r="M548" i="28" s="1"/>
  <c r="I60" i="28"/>
  <c r="J60" i="28"/>
  <c r="M60" i="28" s="1"/>
  <c r="I144" i="28"/>
  <c r="J144" i="28"/>
  <c r="M144" i="28" s="1"/>
  <c r="I156" i="28"/>
  <c r="J156" i="28"/>
  <c r="M156" i="28" s="1"/>
  <c r="I299" i="28"/>
  <c r="J299" i="28"/>
  <c r="M299" i="28" s="1"/>
  <c r="I363" i="28"/>
  <c r="J363" i="28"/>
  <c r="M363" i="28" s="1"/>
  <c r="I425" i="28"/>
  <c r="J425" i="28"/>
  <c r="M425" i="28" s="1"/>
  <c r="I500" i="28"/>
  <c r="J500" i="28"/>
  <c r="M500" i="28" s="1"/>
  <c r="I577" i="28"/>
  <c r="J577" i="28"/>
  <c r="M577" i="28" s="1"/>
  <c r="I54" i="28"/>
  <c r="J54" i="28"/>
  <c r="M54" i="28" s="1"/>
  <c r="I136" i="28"/>
  <c r="J136" i="28"/>
  <c r="M136" i="28" s="1"/>
  <c r="I214" i="28"/>
  <c r="J214" i="28"/>
  <c r="M214" i="28" s="1"/>
  <c r="I266" i="28"/>
  <c r="J266" i="28"/>
  <c r="M266" i="28" s="1"/>
  <c r="I362" i="28"/>
  <c r="J362" i="28"/>
  <c r="M362" i="28" s="1"/>
  <c r="I445" i="28"/>
  <c r="J445" i="28"/>
  <c r="M445" i="28" s="1"/>
  <c r="R445" i="28" s="1"/>
  <c r="I537" i="28"/>
  <c r="J537" i="28"/>
  <c r="M537" i="28" s="1"/>
  <c r="I593" i="28"/>
  <c r="J593" i="28"/>
  <c r="M593" i="28" s="1"/>
  <c r="I25" i="28"/>
  <c r="J25" i="28"/>
  <c r="M25" i="28" s="1"/>
  <c r="I401" i="28"/>
  <c r="J401" i="28"/>
  <c r="M401" i="28" s="1"/>
  <c r="I52" i="28"/>
  <c r="J52" i="28"/>
  <c r="M52" i="28" s="1"/>
  <c r="R52" i="28" s="1"/>
  <c r="I474" i="28"/>
  <c r="J474" i="28"/>
  <c r="M474" i="28" s="1"/>
  <c r="I18" i="28"/>
  <c r="J18" i="28"/>
  <c r="M18" i="28" s="1"/>
  <c r="I447" i="28"/>
  <c r="J447" i="28"/>
  <c r="M447" i="28" s="1"/>
  <c r="R447" i="28" s="1"/>
  <c r="I100" i="28"/>
  <c r="J100" i="28"/>
  <c r="M100" i="28" s="1"/>
  <c r="R100" i="28" s="1"/>
  <c r="I379" i="28"/>
  <c r="J379" i="28"/>
  <c r="M379" i="28" s="1"/>
  <c r="R379" i="28" s="1"/>
  <c r="I413" i="28"/>
  <c r="J413" i="28"/>
  <c r="M413" i="28" s="1"/>
  <c r="R413" i="28" s="1"/>
  <c r="I487" i="28"/>
  <c r="J487" i="28"/>
  <c r="M487" i="28" s="1"/>
  <c r="I428" i="28"/>
  <c r="J428" i="28"/>
  <c r="M428" i="28" s="1"/>
  <c r="I592" i="28"/>
  <c r="J592" i="28"/>
  <c r="M592" i="28" s="1"/>
  <c r="I110" i="28"/>
  <c r="J110" i="28"/>
  <c r="M110" i="28" s="1"/>
  <c r="I160" i="28"/>
  <c r="J160" i="28"/>
  <c r="M160" i="28" s="1"/>
  <c r="I268" i="28"/>
  <c r="J268" i="28"/>
  <c r="M268" i="28" s="1"/>
  <c r="R268" i="28" s="1"/>
  <c r="I367" i="28"/>
  <c r="J367" i="28"/>
  <c r="M367" i="28" s="1"/>
  <c r="I341" i="28"/>
  <c r="J341" i="28"/>
  <c r="M341" i="28" s="1"/>
  <c r="I161" i="28"/>
  <c r="J161" i="28"/>
  <c r="M161" i="28" s="1"/>
  <c r="I205" i="28"/>
  <c r="J205" i="28"/>
  <c r="M205" i="28" s="1"/>
  <c r="R205" i="28" s="1"/>
  <c r="I527" i="28"/>
  <c r="J527" i="28"/>
  <c r="M527" i="28" s="1"/>
  <c r="I269" i="28"/>
  <c r="J269" i="28"/>
  <c r="M269" i="28" s="1"/>
  <c r="R269" i="28" s="1"/>
  <c r="I421" i="28"/>
  <c r="J421" i="28"/>
  <c r="M421" i="28" s="1"/>
  <c r="I218" i="28"/>
  <c r="J218" i="28"/>
  <c r="M218" i="28" s="1"/>
  <c r="I34" i="28"/>
  <c r="J34" i="28"/>
  <c r="M34" i="28" s="1"/>
  <c r="R34" i="28" s="1"/>
  <c r="I71" i="28"/>
  <c r="J71" i="28"/>
  <c r="M71" i="28" s="1"/>
  <c r="I114" i="28"/>
  <c r="J114" i="28"/>
  <c r="M114" i="28" s="1"/>
  <c r="I375" i="28"/>
  <c r="J375" i="28"/>
  <c r="M375" i="28" s="1"/>
  <c r="I145" i="28"/>
  <c r="J145" i="28"/>
  <c r="M145" i="28" s="1"/>
  <c r="R145" i="28" s="1"/>
  <c r="I329" i="28"/>
  <c r="J329" i="28"/>
  <c r="M329" i="28" s="1"/>
  <c r="I569" i="28"/>
  <c r="J569" i="28"/>
  <c r="M569" i="28" s="1"/>
  <c r="R569" i="28" s="1"/>
  <c r="I125" i="28"/>
  <c r="J125" i="28"/>
  <c r="M125" i="28" s="1"/>
  <c r="I376" i="28"/>
  <c r="J376" i="28"/>
  <c r="M376" i="28" s="1"/>
  <c r="I27" i="28"/>
  <c r="J27" i="28"/>
  <c r="M27" i="28" s="1"/>
  <c r="R27" i="28" s="1"/>
  <c r="I169" i="28"/>
  <c r="J169" i="28"/>
  <c r="M169" i="28" s="1"/>
  <c r="I344" i="28"/>
  <c r="J344" i="28"/>
  <c r="M344" i="28" s="1"/>
  <c r="I66" i="28"/>
  <c r="J66" i="28"/>
  <c r="M66" i="28" s="1"/>
  <c r="I291" i="28"/>
  <c r="J291" i="28"/>
  <c r="M291" i="28" s="1"/>
  <c r="I443" i="28"/>
  <c r="J443" i="28"/>
  <c r="M443" i="28" s="1"/>
  <c r="R443" i="28" s="1"/>
  <c r="I103" i="28"/>
  <c r="J103" i="28"/>
  <c r="M103" i="28" s="1"/>
  <c r="R103" i="28" s="1"/>
  <c r="I245" i="28"/>
  <c r="J245" i="28"/>
  <c r="M245" i="28" s="1"/>
  <c r="R245" i="28" s="1"/>
  <c r="I511" i="28"/>
  <c r="J511" i="28"/>
  <c r="M511" i="28" s="1"/>
  <c r="R511" i="28" s="1"/>
  <c r="I149" i="28"/>
  <c r="J149" i="28"/>
  <c r="M149" i="28" s="1"/>
  <c r="I305" i="28"/>
  <c r="J305" i="28"/>
  <c r="M305" i="28" s="1"/>
  <c r="R305" i="28" s="1"/>
  <c r="I559" i="28"/>
  <c r="J559" i="28"/>
  <c r="M559" i="28" s="1"/>
  <c r="I96" i="28"/>
  <c r="J96" i="28"/>
  <c r="M96" i="28" s="1"/>
  <c r="I166" i="28"/>
  <c r="J166" i="28"/>
  <c r="M166" i="28" s="1"/>
  <c r="I210" i="28"/>
  <c r="J210" i="28"/>
  <c r="M210" i="28" s="1"/>
  <c r="R210" i="28" s="1"/>
  <c r="I313" i="28"/>
  <c r="J313" i="28"/>
  <c r="M313" i="28" s="1"/>
  <c r="R313" i="28" s="1"/>
  <c r="I390" i="28"/>
  <c r="J390" i="28"/>
  <c r="M390" i="28" s="1"/>
  <c r="R390" i="28" s="1"/>
  <c r="I472" i="28"/>
  <c r="J472" i="28"/>
  <c r="M472" i="28" s="1"/>
  <c r="I543" i="28"/>
  <c r="J543" i="28"/>
  <c r="M543" i="28" s="1"/>
  <c r="I419" i="28"/>
  <c r="J419" i="28"/>
  <c r="M419" i="28" s="1"/>
  <c r="R419" i="28" s="1"/>
  <c r="I497" i="28"/>
  <c r="J497" i="28"/>
  <c r="M497" i="28" s="1"/>
  <c r="I566" i="28"/>
  <c r="J566" i="28"/>
  <c r="M566" i="28" s="1"/>
  <c r="R566" i="28" s="1"/>
  <c r="I94" i="28"/>
  <c r="J94" i="28"/>
  <c r="M94" i="28" s="1"/>
  <c r="I133" i="28"/>
  <c r="J133" i="28"/>
  <c r="M133" i="28" s="1"/>
  <c r="I211" i="28"/>
  <c r="J211" i="28"/>
  <c r="M211" i="28" s="1"/>
  <c r="I303" i="28"/>
  <c r="J303" i="28"/>
  <c r="M303" i="28" s="1"/>
  <c r="I384" i="28"/>
  <c r="J384" i="28"/>
  <c r="M384" i="28" s="1"/>
  <c r="R384" i="28" s="1"/>
  <c r="I457" i="28"/>
  <c r="J457" i="28"/>
  <c r="M457" i="28" s="1"/>
  <c r="I536" i="28"/>
  <c r="J536" i="28"/>
  <c r="M536" i="28" s="1"/>
  <c r="I596" i="28"/>
  <c r="J596" i="28"/>
  <c r="M596" i="28" s="1"/>
  <c r="I146" i="28"/>
  <c r="J146" i="28"/>
  <c r="M146" i="28" s="1"/>
  <c r="I173" i="28"/>
  <c r="J173" i="28"/>
  <c r="M173" i="28" s="1"/>
  <c r="I252" i="28"/>
  <c r="J252" i="28"/>
  <c r="M252" i="28" s="1"/>
  <c r="R252" i="28" s="1"/>
  <c r="I315" i="28"/>
  <c r="J315" i="28"/>
  <c r="M315" i="28" s="1"/>
  <c r="I418" i="28"/>
  <c r="J418" i="28"/>
  <c r="M418" i="28" s="1"/>
  <c r="I483" i="28"/>
  <c r="J483" i="28"/>
  <c r="M483" i="28" s="1"/>
  <c r="I547" i="28"/>
  <c r="J547" i="28"/>
  <c r="M547" i="28" s="1"/>
  <c r="I65" i="28"/>
  <c r="J65" i="28"/>
  <c r="M65" i="28" s="1"/>
  <c r="R65" i="28" s="1"/>
  <c r="I142" i="28"/>
  <c r="J142" i="28"/>
  <c r="M142" i="28" s="1"/>
  <c r="I209" i="28"/>
  <c r="J209" i="28"/>
  <c r="M209" i="28" s="1"/>
  <c r="R209" i="28" s="1"/>
  <c r="I272" i="28"/>
  <c r="J272" i="28"/>
  <c r="M272" i="28" s="1"/>
  <c r="R272" i="28" s="1"/>
  <c r="I377" i="28"/>
  <c r="J377" i="28"/>
  <c r="M377" i="28" s="1"/>
  <c r="I430" i="28"/>
  <c r="J430" i="28"/>
  <c r="M430" i="28" s="1"/>
  <c r="I530" i="28"/>
  <c r="J530" i="28"/>
  <c r="M530" i="28" s="1"/>
  <c r="I581" i="28"/>
  <c r="J581" i="28"/>
  <c r="M581" i="28" s="1"/>
  <c r="I59" i="28"/>
  <c r="J59" i="28"/>
  <c r="M59" i="28" s="1"/>
  <c r="R59" i="28" s="1"/>
  <c r="I153" i="28"/>
  <c r="J153" i="28"/>
  <c r="M153" i="28" s="1"/>
  <c r="I235" i="28"/>
  <c r="J235" i="28"/>
  <c r="M235" i="28" s="1"/>
  <c r="I333" i="28"/>
  <c r="J333" i="28"/>
  <c r="M333" i="28" s="1"/>
  <c r="R333" i="28" s="1"/>
  <c r="I356" i="28"/>
  <c r="J356" i="28"/>
  <c r="M356" i="28" s="1"/>
  <c r="I462" i="28"/>
  <c r="J462" i="28"/>
  <c r="M462" i="28" s="1"/>
  <c r="I532" i="28"/>
  <c r="J532" i="28"/>
  <c r="M532" i="28" s="1"/>
  <c r="I606" i="28"/>
  <c r="J606" i="28"/>
  <c r="M606" i="28" s="1"/>
  <c r="I550" i="28"/>
  <c r="J550" i="28"/>
  <c r="M550" i="28" s="1"/>
  <c r="R550" i="28" s="1"/>
  <c r="I439" i="28"/>
  <c r="J439" i="28"/>
  <c r="M439" i="28" s="1"/>
  <c r="R439" i="28" s="1"/>
  <c r="I76" i="28"/>
  <c r="J76" i="28"/>
  <c r="M76" i="28" s="1"/>
  <c r="I334" i="28"/>
  <c r="J334" i="28"/>
  <c r="M334" i="28" s="1"/>
  <c r="I412" i="28"/>
  <c r="J412" i="28"/>
  <c r="M412" i="28" s="1"/>
  <c r="I336" i="28"/>
  <c r="J336" i="28"/>
  <c r="M336" i="28" s="1"/>
  <c r="I612" i="28"/>
  <c r="J612" i="28"/>
  <c r="M612" i="28" s="1"/>
  <c r="I482" i="28"/>
  <c r="J482" i="28"/>
  <c r="M482" i="28" s="1"/>
  <c r="R482" i="28" s="1"/>
  <c r="I429" i="28"/>
  <c r="J429" i="28"/>
  <c r="M429" i="28" s="1"/>
  <c r="R429" i="28" s="1"/>
  <c r="I199" i="28"/>
  <c r="J199" i="28"/>
  <c r="M199" i="28" s="1"/>
  <c r="R199" i="28" s="1"/>
  <c r="I124" i="28"/>
  <c r="J124" i="28"/>
  <c r="M124" i="28" s="1"/>
  <c r="I262" i="28"/>
  <c r="J262" i="28"/>
  <c r="M262" i="28" s="1"/>
  <c r="I304" i="28"/>
  <c r="J304" i="28"/>
  <c r="M304" i="28" s="1"/>
  <c r="I450" i="28"/>
  <c r="J450" i="28"/>
  <c r="M450" i="28" s="1"/>
  <c r="I582" i="28"/>
  <c r="J582" i="28"/>
  <c r="M582" i="28" s="1"/>
  <c r="R582" i="28" s="1"/>
  <c r="I30" i="28"/>
  <c r="J30" i="28"/>
  <c r="M30" i="28" s="1"/>
  <c r="R30" i="28" s="1"/>
  <c r="I77" i="28"/>
  <c r="J77" i="28"/>
  <c r="M77" i="28" s="1"/>
  <c r="I285" i="28"/>
  <c r="J285" i="28"/>
  <c r="M285" i="28" s="1"/>
  <c r="R285" i="28" s="1"/>
  <c r="I516" i="28"/>
  <c r="J516" i="28"/>
  <c r="M516" i="28" s="1"/>
  <c r="I41" i="28"/>
  <c r="J41" i="28"/>
  <c r="M41" i="28" s="1"/>
  <c r="I42" i="28"/>
  <c r="J42" i="28"/>
  <c r="M42" i="28" s="1"/>
  <c r="I446" i="28"/>
  <c r="J446" i="28"/>
  <c r="M446" i="28" s="1"/>
  <c r="I47" i="28"/>
  <c r="J47" i="28"/>
  <c r="M47" i="28" s="1"/>
  <c r="I31" i="28"/>
  <c r="J31" i="28"/>
  <c r="M31" i="28" s="1"/>
  <c r="I554" i="28"/>
  <c r="J554" i="28"/>
  <c r="M554" i="28" s="1"/>
  <c r="R554" i="28" s="1"/>
  <c r="I121" i="28"/>
  <c r="J121" i="28"/>
  <c r="M121" i="28" s="1"/>
  <c r="R121" i="28" s="1"/>
  <c r="I117" i="28"/>
  <c r="J117" i="28"/>
  <c r="M117" i="28" s="1"/>
  <c r="I174" i="28"/>
  <c r="J174" i="28"/>
  <c r="M174" i="28" s="1"/>
  <c r="I513" i="28"/>
  <c r="J513" i="28"/>
  <c r="M513" i="28" s="1"/>
  <c r="I101" i="28"/>
  <c r="J101" i="28"/>
  <c r="M101" i="28" s="1"/>
  <c r="R101" i="28" s="1"/>
  <c r="I342" i="28"/>
  <c r="J342" i="28"/>
  <c r="M342" i="28" s="1"/>
  <c r="I605" i="28"/>
  <c r="J605" i="28"/>
  <c r="M605" i="28" s="1"/>
  <c r="I184" i="28"/>
  <c r="J184" i="28"/>
  <c r="M184" i="28" s="1"/>
  <c r="R184" i="28" s="1"/>
  <c r="I381" i="28"/>
  <c r="J381" i="28"/>
  <c r="M381" i="28" s="1"/>
  <c r="R381" i="28" s="1"/>
  <c r="I36" i="28"/>
  <c r="J36" i="28"/>
  <c r="M36" i="28" s="1"/>
  <c r="I192" i="28"/>
  <c r="J192" i="28"/>
  <c r="M192" i="28" s="1"/>
  <c r="R192" i="28" s="1"/>
  <c r="I364" i="28"/>
  <c r="J364" i="28"/>
  <c r="M364" i="28" s="1"/>
  <c r="I99" i="28"/>
  <c r="J99" i="28"/>
  <c r="M99" i="28" s="1"/>
  <c r="R99" i="28" s="1"/>
  <c r="I300" i="28"/>
  <c r="J300" i="28"/>
  <c r="M300" i="28" s="1"/>
  <c r="I460" i="28"/>
  <c r="J460" i="28"/>
  <c r="M460" i="28" s="1"/>
  <c r="R460" i="28" s="1"/>
  <c r="I143" i="28"/>
  <c r="J143" i="28"/>
  <c r="M143" i="28" s="1"/>
  <c r="I324" i="28"/>
  <c r="J324" i="28"/>
  <c r="M324" i="28" s="1"/>
  <c r="I544" i="28"/>
  <c r="J544" i="28"/>
  <c r="M544" i="28" s="1"/>
  <c r="I123" i="28"/>
  <c r="J123" i="28"/>
  <c r="M123" i="28" s="1"/>
  <c r="I328" i="28"/>
  <c r="J328" i="28"/>
  <c r="M328" i="28" s="1"/>
  <c r="I603" i="28"/>
  <c r="J603" i="28"/>
  <c r="M603" i="28" s="1"/>
  <c r="I105" i="28"/>
  <c r="J105" i="28"/>
  <c r="M105" i="28" s="1"/>
  <c r="R105" i="28" s="1"/>
  <c r="I176" i="28"/>
  <c r="J176" i="28"/>
  <c r="M176" i="28" s="1"/>
  <c r="I231" i="28"/>
  <c r="J231" i="28"/>
  <c r="M231" i="28" s="1"/>
  <c r="R231" i="28" s="1"/>
  <c r="I326" i="28"/>
  <c r="J326" i="28"/>
  <c r="M326" i="28" s="1"/>
  <c r="I386" i="28"/>
  <c r="J386" i="28"/>
  <c r="M386" i="28" s="1"/>
  <c r="I452" i="28"/>
  <c r="J452" i="28"/>
  <c r="M452" i="28" s="1"/>
  <c r="I534" i="28"/>
  <c r="J534" i="28"/>
  <c r="M534" i="28" s="1"/>
  <c r="I455" i="28"/>
  <c r="J455" i="28"/>
  <c r="M455" i="28" s="1"/>
  <c r="R455" i="28" s="1"/>
  <c r="I510" i="28"/>
  <c r="J510" i="28"/>
  <c r="M510" i="28" s="1"/>
  <c r="I576" i="28"/>
  <c r="J576" i="28"/>
  <c r="M576" i="28" s="1"/>
  <c r="R576" i="28" s="1"/>
  <c r="I56" i="28"/>
  <c r="J56" i="28"/>
  <c r="M56" i="28" s="1"/>
  <c r="R56" i="28" s="1"/>
  <c r="I224" i="28"/>
  <c r="J224" i="28"/>
  <c r="M224" i="28" s="1"/>
  <c r="R224" i="28" s="1"/>
  <c r="I229" i="28"/>
  <c r="J229" i="28"/>
  <c r="M229" i="28" s="1"/>
  <c r="I353" i="28"/>
  <c r="J353" i="28"/>
  <c r="M353" i="28" s="1"/>
  <c r="I393" i="28"/>
  <c r="J393" i="28"/>
  <c r="M393" i="28" s="1"/>
  <c r="I459" i="28"/>
  <c r="J459" i="28"/>
  <c r="M459" i="28" s="1"/>
  <c r="I533" i="28"/>
  <c r="J533" i="28"/>
  <c r="M533" i="28" s="1"/>
  <c r="R533" i="28" s="1"/>
  <c r="I607" i="28"/>
  <c r="J607" i="28"/>
  <c r="M607" i="28" s="1"/>
  <c r="I108" i="28"/>
  <c r="J108" i="28"/>
  <c r="M108" i="28" s="1"/>
  <c r="I178" i="28"/>
  <c r="J178" i="28"/>
  <c r="M178" i="28" s="1"/>
  <c r="R178" i="28" s="1"/>
  <c r="I306" i="28"/>
  <c r="J306" i="28"/>
  <c r="M306" i="28" s="1"/>
  <c r="I309" i="28"/>
  <c r="J309" i="28"/>
  <c r="M309" i="28" s="1"/>
  <c r="I409" i="28"/>
  <c r="J409" i="28"/>
  <c r="M409" i="28" s="1"/>
  <c r="I490" i="28"/>
  <c r="J490" i="28"/>
  <c r="M490" i="28" s="1"/>
  <c r="I572" i="28"/>
  <c r="J572" i="28"/>
  <c r="M572" i="28" s="1"/>
  <c r="R572" i="28" s="1"/>
  <c r="I46" i="28"/>
  <c r="J46" i="28"/>
  <c r="M46" i="28" s="1"/>
  <c r="I128" i="28"/>
  <c r="J128" i="28"/>
  <c r="M128" i="28" s="1"/>
  <c r="I271" i="28"/>
  <c r="J271" i="28"/>
  <c r="M271" i="28" s="1"/>
  <c r="I314" i="28"/>
  <c r="J314" i="28"/>
  <c r="M314" i="28" s="1"/>
  <c r="I354" i="28"/>
  <c r="J354" i="28"/>
  <c r="M354" i="28" s="1"/>
  <c r="R354" i="28" s="1"/>
  <c r="I437" i="28"/>
  <c r="J437" i="28"/>
  <c r="M437" i="28" s="1"/>
  <c r="I522" i="28"/>
  <c r="J522" i="28"/>
  <c r="M522" i="28" s="1"/>
  <c r="R522" i="28" s="1"/>
  <c r="I589" i="28"/>
  <c r="J589" i="28"/>
  <c r="M589" i="28" s="1"/>
  <c r="I80" i="28"/>
  <c r="J80" i="28"/>
  <c r="M80" i="28" s="1"/>
  <c r="I150" i="28"/>
  <c r="J150" i="28"/>
  <c r="M150" i="28" s="1"/>
  <c r="R150" i="28" s="1"/>
  <c r="I249" i="28"/>
  <c r="J249" i="28"/>
  <c r="M249" i="28" s="1"/>
  <c r="I297" i="28"/>
  <c r="J297" i="28"/>
  <c r="M297" i="28" s="1"/>
  <c r="I405" i="28"/>
  <c r="J405" i="28"/>
  <c r="M405" i="28" s="1"/>
  <c r="R405" i="28" s="1"/>
  <c r="I456" i="28"/>
  <c r="J456" i="28"/>
  <c r="M456" i="28" s="1"/>
  <c r="I546" i="28"/>
  <c r="J546" i="28"/>
  <c r="M546" i="28" s="1"/>
  <c r="R546" i="28" s="1"/>
  <c r="I24" i="28"/>
  <c r="J24" i="28"/>
  <c r="M24" i="28" s="1"/>
  <c r="I13" i="28"/>
  <c r="B21" i="28"/>
  <c r="G633" i="28"/>
  <c r="D623" i="28"/>
  <c r="E623" i="28" s="1"/>
  <c r="E61" i="1"/>
  <c r="C62" i="2"/>
  <c r="B66" i="2" s="1"/>
  <c r="B82" i="2"/>
  <c r="B88" i="2" s="1"/>
  <c r="B59" i="2"/>
  <c r="B81" i="2"/>
  <c r="B374" i="2" s="1"/>
  <c r="E80" i="1" s="1"/>
  <c r="E35" i="1"/>
  <c r="B322" i="2"/>
  <c r="B366" i="2"/>
  <c r="B368" i="2" s="1"/>
  <c r="O4" i="28" s="1"/>
  <c r="B524" i="2"/>
  <c r="B514" i="2"/>
  <c r="A514" i="2"/>
  <c r="A524" i="2"/>
  <c r="B455" i="2"/>
  <c r="D455" i="2"/>
  <c r="G101" i="2"/>
  <c r="G99" i="2"/>
  <c r="F623" i="17"/>
  <c r="B404" i="2"/>
  <c r="G100" i="2"/>
  <c r="C61" i="2"/>
  <c r="B65" i="2" s="1"/>
  <c r="B403" i="2"/>
  <c r="B405" i="2"/>
  <c r="B15" i="6"/>
  <c r="B3" i="6"/>
  <c r="B16" i="6"/>
  <c r="H402" i="2"/>
  <c r="E86" i="1"/>
  <c r="E87" i="1" s="1"/>
  <c r="Y13" i="29" l="1"/>
  <c r="Y14" i="29" s="1"/>
  <c r="Y16" i="29"/>
  <c r="AF26" i="29"/>
  <c r="AG26" i="29"/>
  <c r="I55" i="33"/>
  <c r="J55" i="33" s="1"/>
  <c r="I110" i="33"/>
  <c r="J110" i="33" s="1"/>
  <c r="I80" i="33"/>
  <c r="J80" i="33" s="1"/>
  <c r="I67" i="33"/>
  <c r="J67" i="33" s="1"/>
  <c r="I170" i="33"/>
  <c r="J170" i="33" s="1"/>
  <c r="I112" i="33"/>
  <c r="J112" i="33" s="1"/>
  <c r="I171" i="33"/>
  <c r="J171" i="33" s="1"/>
  <c r="I164" i="33"/>
  <c r="J164" i="33" s="1"/>
  <c r="I60" i="33"/>
  <c r="J60" i="33" s="1"/>
  <c r="I190" i="33"/>
  <c r="J190" i="33" s="1"/>
  <c r="I124" i="33"/>
  <c r="J124" i="33" s="1"/>
  <c r="I121" i="33"/>
  <c r="J121" i="33" s="1"/>
  <c r="I20" i="33"/>
  <c r="J20" i="33" s="1"/>
  <c r="I108" i="33"/>
  <c r="J108" i="33" s="1"/>
  <c r="I85" i="33"/>
  <c r="J85" i="33" s="1"/>
  <c r="I10" i="33"/>
  <c r="J10" i="33" s="1"/>
  <c r="I140" i="33"/>
  <c r="J140" i="33" s="1"/>
  <c r="I79" i="33"/>
  <c r="J79" i="33" s="1"/>
  <c r="I154" i="33"/>
  <c r="J154" i="33" s="1"/>
  <c r="I38" i="33"/>
  <c r="J38" i="33" s="1"/>
  <c r="I39" i="33"/>
  <c r="J39" i="33" s="1"/>
  <c r="I148" i="33"/>
  <c r="J148" i="33" s="1"/>
  <c r="I137" i="33"/>
  <c r="J137" i="33" s="1"/>
  <c r="I29" i="33"/>
  <c r="J29" i="33" s="1"/>
  <c r="I69" i="33"/>
  <c r="J69" i="33" s="1"/>
  <c r="I155" i="33"/>
  <c r="J155" i="33" s="1"/>
  <c r="I81" i="33"/>
  <c r="J81" i="33" s="1"/>
  <c r="I27" i="33"/>
  <c r="J27" i="33" s="1"/>
  <c r="I66" i="33"/>
  <c r="J66" i="33" s="1"/>
  <c r="I72" i="33"/>
  <c r="J72" i="33" s="1"/>
  <c r="I107" i="33"/>
  <c r="J107" i="33" s="1"/>
  <c r="I161" i="33"/>
  <c r="J161" i="33" s="1"/>
  <c r="I130" i="33"/>
  <c r="J130" i="33" s="1"/>
  <c r="I17" i="33"/>
  <c r="J17" i="33" s="1"/>
  <c r="I15" i="33"/>
  <c r="J15" i="33" s="1"/>
  <c r="I178" i="33"/>
  <c r="J178" i="33" s="1"/>
  <c r="I71" i="33"/>
  <c r="J71" i="33" s="1"/>
  <c r="I176" i="33"/>
  <c r="J176" i="33" s="1"/>
  <c r="I78" i="33"/>
  <c r="J78" i="33" s="1"/>
  <c r="I199" i="33"/>
  <c r="J199" i="33" s="1"/>
  <c r="I16" i="33"/>
  <c r="J16" i="33" s="1"/>
  <c r="I70" i="33"/>
  <c r="J70" i="33" s="1"/>
  <c r="I91" i="33"/>
  <c r="J91" i="33" s="1"/>
  <c r="I96" i="33"/>
  <c r="J96" i="33" s="1"/>
  <c r="I201" i="33"/>
  <c r="J201" i="33" s="1"/>
  <c r="I98" i="33"/>
  <c r="J98" i="33" s="1"/>
  <c r="I102" i="33"/>
  <c r="J102" i="33" s="1"/>
  <c r="I118" i="33"/>
  <c r="J118" i="33" s="1"/>
  <c r="I103" i="33"/>
  <c r="J103" i="33" s="1"/>
  <c r="I175" i="33"/>
  <c r="J175" i="33" s="1"/>
  <c r="I97" i="33"/>
  <c r="J97" i="33" s="1"/>
  <c r="I151" i="33"/>
  <c r="J151" i="33" s="1"/>
  <c r="I22" i="33"/>
  <c r="J22" i="33" s="1"/>
  <c r="I182" i="33"/>
  <c r="J182" i="33" s="1"/>
  <c r="I53" i="33"/>
  <c r="J53" i="33" s="1"/>
  <c r="I181" i="33"/>
  <c r="J181" i="33" s="1"/>
  <c r="I169" i="33"/>
  <c r="J169" i="33" s="1"/>
  <c r="I159" i="33"/>
  <c r="J159" i="33" s="1"/>
  <c r="I115" i="33"/>
  <c r="J115" i="33" s="1"/>
  <c r="I208" i="33"/>
  <c r="J208" i="33" s="1"/>
  <c r="I87" i="33"/>
  <c r="J87" i="33" s="1"/>
  <c r="I131" i="33"/>
  <c r="J131" i="33" s="1"/>
  <c r="I139" i="33"/>
  <c r="J139" i="33" s="1"/>
  <c r="I117" i="33"/>
  <c r="J117" i="33" s="1"/>
  <c r="I197" i="33"/>
  <c r="J197" i="33" s="1"/>
  <c r="I68" i="33"/>
  <c r="J68" i="33" s="1"/>
  <c r="I149" i="33"/>
  <c r="J149" i="33" s="1"/>
  <c r="I25" i="33"/>
  <c r="J25" i="33" s="1"/>
  <c r="I146" i="33"/>
  <c r="J146" i="33" s="1"/>
  <c r="I128" i="33"/>
  <c r="J128" i="33" s="1"/>
  <c r="I123" i="33"/>
  <c r="J123" i="33" s="1"/>
  <c r="I127" i="33"/>
  <c r="J127" i="33" s="1"/>
  <c r="I192" i="33"/>
  <c r="J192" i="33" s="1"/>
  <c r="I173" i="33"/>
  <c r="J173" i="33" s="1"/>
  <c r="I46" i="33"/>
  <c r="J46" i="33" s="1"/>
  <c r="I42" i="33"/>
  <c r="J42" i="33" s="1"/>
  <c r="I180" i="33"/>
  <c r="J180" i="33" s="1"/>
  <c r="I166" i="33"/>
  <c r="J166" i="33" s="1"/>
  <c r="I119" i="33"/>
  <c r="J119" i="33" s="1"/>
  <c r="I132" i="33"/>
  <c r="J132" i="33" s="1"/>
  <c r="I32" i="33"/>
  <c r="J32" i="33" s="1"/>
  <c r="I106" i="33"/>
  <c r="J106" i="33" s="1"/>
  <c r="I89" i="33"/>
  <c r="J89" i="33" s="1"/>
  <c r="I187" i="33"/>
  <c r="J187" i="33" s="1"/>
  <c r="I157" i="33"/>
  <c r="J157" i="33" s="1"/>
  <c r="I188" i="33"/>
  <c r="J188" i="33" s="1"/>
  <c r="I168" i="33"/>
  <c r="J168" i="33" s="1"/>
  <c r="I58" i="33"/>
  <c r="J58" i="33" s="1"/>
  <c r="I62" i="33"/>
  <c r="J62" i="33" s="1"/>
  <c r="I86" i="33"/>
  <c r="J86" i="33" s="1"/>
  <c r="I196" i="33"/>
  <c r="J196" i="33" s="1"/>
  <c r="I41" i="33"/>
  <c r="J41" i="33" s="1"/>
  <c r="I37" i="33"/>
  <c r="J37" i="33" s="1"/>
  <c r="I163" i="33"/>
  <c r="J163" i="33" s="1"/>
  <c r="I198" i="33"/>
  <c r="J198" i="33" s="1"/>
  <c r="I113" i="33"/>
  <c r="J113" i="33" s="1"/>
  <c r="I45" i="33"/>
  <c r="J45" i="33" s="1"/>
  <c r="I126" i="33"/>
  <c r="J126" i="33" s="1"/>
  <c r="I191" i="33"/>
  <c r="J191" i="33" s="1"/>
  <c r="I177" i="33"/>
  <c r="J177" i="33" s="1"/>
  <c r="I185" i="33"/>
  <c r="J185" i="33" s="1"/>
  <c r="I194" i="33"/>
  <c r="J194" i="33" s="1"/>
  <c r="I28" i="33"/>
  <c r="J28" i="33" s="1"/>
  <c r="I114" i="33"/>
  <c r="J114" i="33" s="1"/>
  <c r="I61" i="33"/>
  <c r="J61" i="33" s="1"/>
  <c r="I35" i="33"/>
  <c r="J35" i="33" s="1"/>
  <c r="I172" i="33"/>
  <c r="J172" i="33" s="1"/>
  <c r="I116" i="33"/>
  <c r="J116" i="33" s="1"/>
  <c r="I63" i="33"/>
  <c r="J63" i="33" s="1"/>
  <c r="I26" i="33"/>
  <c r="J26" i="33" s="1"/>
  <c r="I47" i="33"/>
  <c r="J47" i="33" s="1"/>
  <c r="I207" i="33"/>
  <c r="J207" i="33" s="1"/>
  <c r="I160" i="33"/>
  <c r="J160" i="33" s="1"/>
  <c r="I122" i="33"/>
  <c r="J122" i="33" s="1"/>
  <c r="I200" i="33"/>
  <c r="J200" i="33" s="1"/>
  <c r="I30" i="33"/>
  <c r="J30" i="33" s="1"/>
  <c r="I120" i="33"/>
  <c r="J120" i="33" s="1"/>
  <c r="I184" i="33"/>
  <c r="J184" i="33" s="1"/>
  <c r="I125" i="33"/>
  <c r="J125" i="33" s="1"/>
  <c r="I74" i="33"/>
  <c r="J74" i="33" s="1"/>
  <c r="I93" i="33"/>
  <c r="J93" i="33" s="1"/>
  <c r="I9" i="33"/>
  <c r="J9" i="33" s="1"/>
  <c r="I88" i="33"/>
  <c r="J88" i="33" s="1"/>
  <c r="I83" i="33"/>
  <c r="J83" i="33" s="1"/>
  <c r="I23" i="33"/>
  <c r="J23" i="33" s="1"/>
  <c r="I13" i="33"/>
  <c r="J13" i="33" s="1"/>
  <c r="I133" i="33"/>
  <c r="J133" i="33" s="1"/>
  <c r="I12" i="33"/>
  <c r="J12" i="33" s="1"/>
  <c r="I50" i="33"/>
  <c r="J50" i="33" s="1"/>
  <c r="I143" i="33"/>
  <c r="J143" i="33" s="1"/>
  <c r="I206" i="33"/>
  <c r="J206" i="33" s="1"/>
  <c r="I142" i="33"/>
  <c r="J142" i="33" s="1"/>
  <c r="I109" i="33"/>
  <c r="J109" i="33" s="1"/>
  <c r="I144" i="33"/>
  <c r="J144" i="33" s="1"/>
  <c r="I205" i="33"/>
  <c r="J205" i="33" s="1"/>
  <c r="I51" i="33"/>
  <c r="J51" i="33" s="1"/>
  <c r="I179" i="33"/>
  <c r="J179" i="33" s="1"/>
  <c r="I101" i="33"/>
  <c r="J101" i="33" s="1"/>
  <c r="I162" i="33"/>
  <c r="J162" i="33" s="1"/>
  <c r="I129" i="33"/>
  <c r="J129" i="33" s="1"/>
  <c r="I145" i="33"/>
  <c r="J145" i="33" s="1"/>
  <c r="I64" i="33"/>
  <c r="J64" i="33" s="1"/>
  <c r="I33" i="33"/>
  <c r="J33" i="33" s="1"/>
  <c r="I158" i="33"/>
  <c r="J158" i="33" s="1"/>
  <c r="I134" i="33"/>
  <c r="J134" i="33" s="1"/>
  <c r="I195" i="33"/>
  <c r="J195" i="33" s="1"/>
  <c r="I209" i="33"/>
  <c r="J209" i="33" s="1"/>
  <c r="I14" i="33"/>
  <c r="J14" i="33" s="1"/>
  <c r="I135" i="33"/>
  <c r="J135" i="33" s="1"/>
  <c r="I76" i="33"/>
  <c r="J76" i="33" s="1"/>
  <c r="I18" i="33"/>
  <c r="J18" i="33" s="1"/>
  <c r="I11" i="33"/>
  <c r="J11" i="33" s="1"/>
  <c r="I150" i="33"/>
  <c r="J150" i="33" s="1"/>
  <c r="I165" i="33"/>
  <c r="J165" i="33" s="1"/>
  <c r="I189" i="33"/>
  <c r="J189" i="33" s="1"/>
  <c r="I136" i="33"/>
  <c r="J136" i="33" s="1"/>
  <c r="I24" i="33"/>
  <c r="J24" i="33" s="1"/>
  <c r="I99" i="33"/>
  <c r="J99" i="33" s="1"/>
  <c r="I56" i="33"/>
  <c r="J56" i="33" s="1"/>
  <c r="I21" i="33"/>
  <c r="J21" i="33" s="1"/>
  <c r="I65" i="33"/>
  <c r="J65" i="33" s="1"/>
  <c r="I203" i="33"/>
  <c r="J203" i="33" s="1"/>
  <c r="I156" i="33"/>
  <c r="J156" i="33" s="1"/>
  <c r="I138" i="33"/>
  <c r="J138" i="33" s="1"/>
  <c r="I92" i="33"/>
  <c r="J92" i="33" s="1"/>
  <c r="I111" i="33"/>
  <c r="J111" i="33" s="1"/>
  <c r="I48" i="33"/>
  <c r="J48" i="33" s="1"/>
  <c r="I174" i="33"/>
  <c r="J174" i="33" s="1"/>
  <c r="I167" i="33"/>
  <c r="J167" i="33" s="1"/>
  <c r="I193" i="33"/>
  <c r="J193" i="33" s="1"/>
  <c r="I186" i="33"/>
  <c r="J186" i="33" s="1"/>
  <c r="I104" i="33"/>
  <c r="J104" i="33" s="1"/>
  <c r="I90" i="33"/>
  <c r="J90" i="33" s="1"/>
  <c r="I43" i="33"/>
  <c r="J43" i="33" s="1"/>
  <c r="I100" i="33"/>
  <c r="J100" i="33" s="1"/>
  <c r="I77" i="33"/>
  <c r="J77" i="33" s="1"/>
  <c r="I52" i="33"/>
  <c r="J52" i="33" s="1"/>
  <c r="I49" i="33"/>
  <c r="J49" i="33" s="1"/>
  <c r="I57" i="33"/>
  <c r="J57" i="33" s="1"/>
  <c r="I73" i="33"/>
  <c r="J73" i="33" s="1"/>
  <c r="I183" i="33"/>
  <c r="J183" i="33" s="1"/>
  <c r="I54" i="33"/>
  <c r="J54" i="33" s="1"/>
  <c r="I75" i="33"/>
  <c r="J75" i="33" s="1"/>
  <c r="I59" i="33"/>
  <c r="J59" i="33" s="1"/>
  <c r="I147" i="33"/>
  <c r="J147" i="33" s="1"/>
  <c r="I204" i="33"/>
  <c r="J204" i="33" s="1"/>
  <c r="I19" i="33"/>
  <c r="J19" i="33" s="1"/>
  <c r="I141" i="33"/>
  <c r="J141" i="33" s="1"/>
  <c r="I202" i="33"/>
  <c r="J202" i="33" s="1"/>
  <c r="I36" i="33"/>
  <c r="J36" i="33" s="1"/>
  <c r="I94" i="33"/>
  <c r="J94" i="33" s="1"/>
  <c r="I31" i="33"/>
  <c r="J31" i="33" s="1"/>
  <c r="I34" i="33"/>
  <c r="J34" i="33" s="1"/>
  <c r="I82" i="33"/>
  <c r="J82" i="33" s="1"/>
  <c r="I44" i="33"/>
  <c r="J44" i="33" s="1"/>
  <c r="I40" i="33"/>
  <c r="J40" i="33" s="1"/>
  <c r="I84" i="33"/>
  <c r="J84" i="33" s="1"/>
  <c r="I152" i="33"/>
  <c r="J152" i="33" s="1"/>
  <c r="I153" i="33"/>
  <c r="J153" i="33" s="1"/>
  <c r="I95" i="33"/>
  <c r="J95" i="33" s="1"/>
  <c r="I105" i="33"/>
  <c r="J105" i="33" s="1"/>
  <c r="AD26" i="29"/>
  <c r="B152" i="2"/>
  <c r="C79" i="33"/>
  <c r="B79" i="33" s="1"/>
  <c r="B80" i="33" s="1"/>
  <c r="B70" i="33"/>
  <c r="S86" i="28"/>
  <c r="R211" i="28"/>
  <c r="S211" i="28" s="1"/>
  <c r="R406" i="28"/>
  <c r="S406" i="28" s="1"/>
  <c r="R249" i="28"/>
  <c r="S249" i="28" s="1"/>
  <c r="R437" i="28"/>
  <c r="S437" i="28" s="1"/>
  <c r="R534" i="28"/>
  <c r="S534" i="28" s="1"/>
  <c r="R328" i="28"/>
  <c r="S328" i="28" s="1"/>
  <c r="R513" i="28"/>
  <c r="S513" i="28" s="1"/>
  <c r="R412" i="28"/>
  <c r="S412" i="28" s="1"/>
  <c r="R356" i="28"/>
  <c r="S356" i="28" s="1"/>
  <c r="R377" i="28"/>
  <c r="S377" i="28" s="1"/>
  <c r="R114" i="28"/>
  <c r="S114" i="28" s="1"/>
  <c r="R144" i="28"/>
  <c r="S144" i="28" s="1"/>
  <c r="R69" i="28"/>
  <c r="S69" i="28" s="1"/>
  <c r="R122" i="28"/>
  <c r="S122" i="28" s="1"/>
  <c r="R255" i="28"/>
  <c r="S255" i="28" s="1"/>
  <c r="R311" i="28"/>
  <c r="S311" i="28" s="1"/>
  <c r="R293" i="28"/>
  <c r="S293" i="28" s="1"/>
  <c r="R359" i="28"/>
  <c r="S359" i="28" s="1"/>
  <c r="R426" i="28"/>
  <c r="S426" i="28" s="1"/>
  <c r="R551" i="28"/>
  <c r="S551" i="28" s="1"/>
  <c r="R556" i="28"/>
  <c r="S556" i="28" s="1"/>
  <c r="R349" i="28"/>
  <c r="S349" i="28" s="1"/>
  <c r="R89" i="28"/>
  <c r="S89" i="28" s="1"/>
  <c r="R226" i="28"/>
  <c r="S226" i="28" s="1"/>
  <c r="R595" i="28"/>
  <c r="S595" i="28" s="1"/>
  <c r="S366" i="28"/>
  <c r="S539" i="28"/>
  <c r="S528" i="28"/>
  <c r="R140" i="28"/>
  <c r="S140" i="28" s="1"/>
  <c r="R387" i="28"/>
  <c r="S387" i="28" s="1"/>
  <c r="R81" i="28"/>
  <c r="S81" i="28" s="1"/>
  <c r="R393" i="28"/>
  <c r="S393" i="28" s="1"/>
  <c r="R330" i="28"/>
  <c r="S330" i="28" s="1"/>
  <c r="R315" i="28"/>
  <c r="S315" i="28" s="1"/>
  <c r="R71" i="28"/>
  <c r="S71" i="28" s="1"/>
  <c r="R83" i="28"/>
  <c r="S83" i="28" s="1"/>
  <c r="S246" i="28"/>
  <c r="S44" i="28"/>
  <c r="S465" i="28"/>
  <c r="S268" i="28"/>
  <c r="S112" i="28"/>
  <c r="S30" i="28"/>
  <c r="R80" i="28"/>
  <c r="S80" i="28" s="1"/>
  <c r="R291" i="28"/>
  <c r="S291" i="28" s="1"/>
  <c r="R294" i="28"/>
  <c r="S294" i="28" s="1"/>
  <c r="R423" i="28"/>
  <c r="S423" i="28" s="1"/>
  <c r="R225" i="28"/>
  <c r="S225" i="28" s="1"/>
  <c r="R597" i="28"/>
  <c r="S597" i="28" s="1"/>
  <c r="R467" i="28"/>
  <c r="S467" i="28" s="1"/>
  <c r="S253" i="28"/>
  <c r="R233" i="28"/>
  <c r="S233" i="28" s="1"/>
  <c r="R251" i="28"/>
  <c r="S251" i="28" s="1"/>
  <c r="R321" i="28"/>
  <c r="S321" i="28" s="1"/>
  <c r="R93" i="28"/>
  <c r="S93" i="28" s="1"/>
  <c r="R565" i="28"/>
  <c r="S565" i="28" s="1"/>
  <c r="S538" i="28"/>
  <c r="R244" i="28"/>
  <c r="S244" i="28" s="1"/>
  <c r="R201" i="28"/>
  <c r="S201" i="28" s="1"/>
  <c r="R391" i="28"/>
  <c r="S391" i="28" s="1"/>
  <c r="R127" i="28"/>
  <c r="S127" i="28" s="1"/>
  <c r="R436" i="28"/>
  <c r="S436" i="28" s="1"/>
  <c r="R183" i="28"/>
  <c r="S183" i="28" s="1"/>
  <c r="R239" i="28"/>
  <c r="S239" i="28" s="1"/>
  <c r="R545" i="28"/>
  <c r="S545" i="28" s="1"/>
  <c r="R207" i="28"/>
  <c r="S207" i="28" s="1"/>
  <c r="S227" i="28"/>
  <c r="R494" i="28"/>
  <c r="S494" i="28" s="1"/>
  <c r="S232" i="28"/>
  <c r="R361" i="28"/>
  <c r="S361" i="28" s="1"/>
  <c r="R312" i="28"/>
  <c r="S312" i="28" s="1"/>
  <c r="R182" i="28"/>
  <c r="S182" i="28" s="1"/>
  <c r="R238" i="28"/>
  <c r="S238" i="28" s="1"/>
  <c r="R317" i="28"/>
  <c r="S317" i="28" s="1"/>
  <c r="S217" i="28"/>
  <c r="S585" i="28"/>
  <c r="S492" i="28"/>
  <c r="R176" i="28"/>
  <c r="S176" i="28" s="1"/>
  <c r="R544" i="28"/>
  <c r="S544" i="28" s="1"/>
  <c r="R92" i="28"/>
  <c r="S92" i="28" s="1"/>
  <c r="R206" i="28"/>
  <c r="S206" i="28" s="1"/>
  <c r="R91" i="28"/>
  <c r="S91" i="28" s="1"/>
  <c r="R557" i="28"/>
  <c r="S557" i="28" s="1"/>
  <c r="R237" i="28"/>
  <c r="S237" i="28" s="1"/>
  <c r="R449" i="28"/>
  <c r="S449" i="28" s="1"/>
  <c r="R475" i="28"/>
  <c r="S475" i="28" s="1"/>
  <c r="R606" i="28"/>
  <c r="S606" i="28" s="1"/>
  <c r="R186" i="28"/>
  <c r="S186" i="28" s="1"/>
  <c r="R228" i="28"/>
  <c r="S228" i="28" s="1"/>
  <c r="S84" i="28"/>
  <c r="S95" i="28"/>
  <c r="S34" i="28"/>
  <c r="S65" i="28"/>
  <c r="R96" i="28"/>
  <c r="S96" i="28" s="1"/>
  <c r="R590" i="28"/>
  <c r="S590" i="28" s="1"/>
  <c r="R509" i="28"/>
  <c r="S509" i="28" s="1"/>
  <c r="R240" i="28"/>
  <c r="S240" i="28" s="1"/>
  <c r="R126" i="28"/>
  <c r="S126" i="28" s="1"/>
  <c r="R282" i="28"/>
  <c r="S282" i="28" s="1"/>
  <c r="R221" i="28"/>
  <c r="S221" i="28" s="1"/>
  <c r="R414" i="28"/>
  <c r="S414" i="28" s="1"/>
  <c r="R535" i="28"/>
  <c r="S535" i="28" s="1"/>
  <c r="R171" i="28"/>
  <c r="S171" i="28" s="1"/>
  <c r="R164" i="28"/>
  <c r="S164" i="28" s="1"/>
  <c r="S400" i="28"/>
  <c r="S580" i="28"/>
  <c r="R515" i="28"/>
  <c r="S515" i="28" s="1"/>
  <c r="R602" i="28"/>
  <c r="S602" i="28" s="1"/>
  <c r="R601" i="28"/>
  <c r="S601" i="28" s="1"/>
  <c r="R169" i="28"/>
  <c r="S169" i="28" s="1"/>
  <c r="R334" i="28"/>
  <c r="S334" i="28" s="1"/>
  <c r="R491" i="28"/>
  <c r="S491" i="28" s="1"/>
  <c r="R409" i="28"/>
  <c r="S409" i="28" s="1"/>
  <c r="R46" i="28"/>
  <c r="S46" i="28" s="1"/>
  <c r="R110" i="28"/>
  <c r="S110" i="28" s="1"/>
  <c r="R369" i="28"/>
  <c r="S369" i="28" s="1"/>
  <c r="R477" i="28"/>
  <c r="S477" i="28" s="1"/>
  <c r="R295" i="28"/>
  <c r="S295" i="28" s="1"/>
  <c r="R165" i="28"/>
  <c r="S165" i="28" s="1"/>
  <c r="R507" i="28"/>
  <c r="S507" i="28" s="1"/>
  <c r="S433" i="28"/>
  <c r="R362" i="28"/>
  <c r="S362" i="28" s="1"/>
  <c r="S177" i="28"/>
  <c r="S263" i="28"/>
  <c r="R314" i="28"/>
  <c r="S314" i="28" s="1"/>
  <c r="R386" i="28"/>
  <c r="S386" i="28" s="1"/>
  <c r="R516" i="28"/>
  <c r="S516" i="28" s="1"/>
  <c r="R124" i="28"/>
  <c r="S124" i="28" s="1"/>
  <c r="R76" i="28"/>
  <c r="S76" i="28" s="1"/>
  <c r="R235" i="28"/>
  <c r="S235" i="28" s="1"/>
  <c r="S209" i="28"/>
  <c r="R173" i="28"/>
  <c r="S173" i="28" s="1"/>
  <c r="S313" i="28"/>
  <c r="S245" i="28"/>
  <c r="R367" i="28"/>
  <c r="S367" i="28" s="1"/>
  <c r="R593" i="28"/>
  <c r="S593" i="28" s="1"/>
  <c r="R548" i="28"/>
  <c r="S548" i="28" s="1"/>
  <c r="S503" i="28"/>
  <c r="R274" i="28"/>
  <c r="S274" i="28" s="1"/>
  <c r="R37" i="28"/>
  <c r="S37" i="28" s="1"/>
  <c r="R152" i="28"/>
  <c r="S152" i="28" s="1"/>
  <c r="R170" i="28"/>
  <c r="S170" i="28" s="1"/>
  <c r="S151" i="28"/>
  <c r="R49" i="28"/>
  <c r="S49" i="28" s="1"/>
  <c r="R230" i="28"/>
  <c r="S230" i="28" s="1"/>
  <c r="R33" i="28"/>
  <c r="S33" i="28" s="1"/>
  <c r="S347" i="28"/>
  <c r="R216" i="28"/>
  <c r="S216" i="28" s="1"/>
  <c r="R111" i="28"/>
  <c r="S111" i="28" s="1"/>
  <c r="S504" i="28"/>
  <c r="S248" i="28"/>
  <c r="R200" i="28"/>
  <c r="S200" i="28" s="1"/>
  <c r="R454" i="28"/>
  <c r="S454" i="28" s="1"/>
  <c r="R61" i="28"/>
  <c r="S61" i="28" s="1"/>
  <c r="S265" i="28"/>
  <c r="R179" i="28"/>
  <c r="S179" i="28" s="1"/>
  <c r="R402" i="28"/>
  <c r="S402" i="28" s="1"/>
  <c r="R172" i="28"/>
  <c r="S172" i="28" s="1"/>
  <c r="R58" i="28"/>
  <c r="S58" i="28" s="1"/>
  <c r="R191" i="28"/>
  <c r="S191" i="28" s="1"/>
  <c r="S38" i="28"/>
  <c r="R358" i="28"/>
  <c r="S358" i="28" s="1"/>
  <c r="R155" i="28"/>
  <c r="S155" i="28" s="1"/>
  <c r="S102" i="28"/>
  <c r="R41" i="28"/>
  <c r="S41" i="28" s="1"/>
  <c r="R42" i="28"/>
  <c r="S42" i="28" s="1"/>
  <c r="R161" i="28"/>
  <c r="S161" i="28" s="1"/>
  <c r="R552" i="28"/>
  <c r="S552" i="28" s="1"/>
  <c r="R490" i="28"/>
  <c r="S490" i="28" s="1"/>
  <c r="R55" i="28"/>
  <c r="S55" i="28" s="1"/>
  <c r="R416" i="28"/>
  <c r="S416" i="28" s="1"/>
  <c r="R48" i="28"/>
  <c r="S48" i="28" s="1"/>
  <c r="R62" i="28"/>
  <c r="S62" i="28" s="1"/>
  <c r="R487" i="28"/>
  <c r="S487" i="28" s="1"/>
  <c r="R624" i="28"/>
  <c r="S624" i="28" s="1"/>
  <c r="R505" i="28"/>
  <c r="S505" i="28" s="1"/>
  <c r="R357" i="28"/>
  <c r="S357" i="28" s="1"/>
  <c r="R116" i="28"/>
  <c r="S116" i="28" s="1"/>
  <c r="R479" i="28"/>
  <c r="S479" i="28" s="1"/>
  <c r="S79" i="28"/>
  <c r="S159" i="28"/>
  <c r="S270" i="28"/>
  <c r="S180" i="28"/>
  <c r="S121" i="28"/>
  <c r="S379" i="28"/>
  <c r="S354" i="28"/>
  <c r="R605" i="28"/>
  <c r="S605" i="28" s="1"/>
  <c r="S482" i="28"/>
  <c r="S252" i="28"/>
  <c r="S511" i="28"/>
  <c r="S413" i="28"/>
  <c r="S526" i="28"/>
  <c r="R297" i="28"/>
  <c r="S297" i="28" s="1"/>
  <c r="R229" i="28"/>
  <c r="S229" i="28" s="1"/>
  <c r="R300" i="28"/>
  <c r="S300" i="28" s="1"/>
  <c r="R47" i="28"/>
  <c r="S47" i="28" s="1"/>
  <c r="S582" i="28"/>
  <c r="R612" i="28"/>
  <c r="S612" i="28" s="1"/>
  <c r="R532" i="28"/>
  <c r="S532" i="28" s="1"/>
  <c r="R483" i="28"/>
  <c r="S483" i="28" s="1"/>
  <c r="S419" i="28"/>
  <c r="R559" i="28"/>
  <c r="S559" i="28" s="1"/>
  <c r="R66" i="28"/>
  <c r="S66" i="28" s="1"/>
  <c r="S145" i="28"/>
  <c r="R592" i="28"/>
  <c r="S592" i="28" s="1"/>
  <c r="R474" i="28"/>
  <c r="S474" i="28" s="1"/>
  <c r="R266" i="28"/>
  <c r="S266" i="28" s="1"/>
  <c r="R299" i="28"/>
  <c r="S299" i="28" s="1"/>
  <c r="S279" i="28"/>
  <c r="S250" i="28"/>
  <c r="S372" i="28"/>
  <c r="S579" i="28"/>
  <c r="R22" i="28"/>
  <c r="S22" i="28" s="1"/>
  <c r="R506" i="28"/>
  <c r="S506" i="28" s="1"/>
  <c r="R194" i="28"/>
  <c r="S194" i="28" s="1"/>
  <c r="R438" i="28"/>
  <c r="S438" i="28" s="1"/>
  <c r="S397" i="28"/>
  <c r="R360" i="28"/>
  <c r="S360" i="28" s="1"/>
  <c r="R519" i="28"/>
  <c r="S519" i="28" s="1"/>
  <c r="R168" i="28"/>
  <c r="S168" i="28" s="1"/>
  <c r="R198" i="28"/>
  <c r="S198" i="28" s="1"/>
  <c r="R396" i="28"/>
  <c r="S396" i="28" s="1"/>
  <c r="R626" i="28"/>
  <c r="S626" i="28" s="1"/>
  <c r="R407" i="28"/>
  <c r="S407" i="28" s="1"/>
  <c r="S340" i="28"/>
  <c r="R87" i="28"/>
  <c r="S87" i="28" s="1"/>
  <c r="S241" i="28"/>
  <c r="R43" i="28"/>
  <c r="S43" i="28" s="1"/>
  <c r="R283" i="28"/>
  <c r="S283" i="28" s="1"/>
  <c r="R470" i="28"/>
  <c r="S470" i="28" s="1"/>
  <c r="S442" i="28"/>
  <c r="R471" i="28"/>
  <c r="S471" i="28" s="1"/>
  <c r="S625" i="28"/>
  <c r="R120" i="28"/>
  <c r="S120" i="28" s="1"/>
  <c r="R257" i="28"/>
  <c r="S257" i="28" s="1"/>
  <c r="S496" i="28"/>
  <c r="R189" i="28"/>
  <c r="S189" i="28" s="1"/>
  <c r="R448" i="28"/>
  <c r="S448" i="28" s="1"/>
  <c r="R247" i="28"/>
  <c r="S247" i="28" s="1"/>
  <c r="R134" i="28"/>
  <c r="S134" i="28" s="1"/>
  <c r="S561" i="28"/>
  <c r="R278" i="28"/>
  <c r="S278" i="28" s="1"/>
  <c r="R132" i="28"/>
  <c r="S132" i="28" s="1"/>
  <c r="R215" i="28"/>
  <c r="S215" i="28" s="1"/>
  <c r="R167" i="28"/>
  <c r="S167" i="28" s="1"/>
  <c r="R202" i="28"/>
  <c r="S202" i="28" s="1"/>
  <c r="R107" i="28"/>
  <c r="S107" i="28" s="1"/>
  <c r="R553" i="28"/>
  <c r="S553" i="28" s="1"/>
  <c r="R432" i="28"/>
  <c r="S432" i="28" s="1"/>
  <c r="R514" i="28"/>
  <c r="S514" i="28" s="1"/>
  <c r="R567" i="28"/>
  <c r="S567" i="28" s="1"/>
  <c r="R280" i="28"/>
  <c r="S280" i="28" s="1"/>
  <c r="R75" i="28"/>
  <c r="S75" i="28" s="1"/>
  <c r="R322" i="28"/>
  <c r="S322" i="28" s="1"/>
  <c r="R63" i="28"/>
  <c r="S63" i="28" s="1"/>
  <c r="R364" i="28"/>
  <c r="S364" i="28" s="1"/>
  <c r="R85" i="28"/>
  <c r="S85" i="28" s="1"/>
  <c r="R457" i="28"/>
  <c r="S457" i="28" s="1"/>
  <c r="R190" i="28"/>
  <c r="S190" i="28" s="1"/>
  <c r="R607" i="28"/>
  <c r="S607" i="28" s="1"/>
  <c r="R456" i="28"/>
  <c r="S456" i="28" s="1"/>
  <c r="R547" i="28"/>
  <c r="S547" i="28" s="1"/>
  <c r="R303" i="28"/>
  <c r="S303" i="28" s="1"/>
  <c r="R329" i="28"/>
  <c r="S329" i="28" s="1"/>
  <c r="R306" i="28"/>
  <c r="S306" i="28" s="1"/>
  <c r="R13" i="28"/>
  <c r="R15" i="28"/>
  <c r="S15" i="28" s="1"/>
  <c r="S276" i="28"/>
  <c r="S74" i="28"/>
  <c r="S53" i="28"/>
  <c r="S147" i="28"/>
  <c r="R309" i="28"/>
  <c r="S309" i="28" s="1"/>
  <c r="S460" i="28"/>
  <c r="S272" i="28"/>
  <c r="S27" i="28"/>
  <c r="R25" i="28"/>
  <c r="S25" i="28" s="1"/>
  <c r="R562" i="28"/>
  <c r="S562" i="28" s="1"/>
  <c r="R589" i="28"/>
  <c r="S589" i="28" s="1"/>
  <c r="R510" i="28"/>
  <c r="S510" i="28" s="1"/>
  <c r="R342" i="28"/>
  <c r="S342" i="28" s="1"/>
  <c r="R271" i="28"/>
  <c r="S271" i="28" s="1"/>
  <c r="R459" i="28"/>
  <c r="S459" i="28" s="1"/>
  <c r="R326" i="28"/>
  <c r="S326" i="28" s="1"/>
  <c r="R324" i="28"/>
  <c r="S324" i="28" s="1"/>
  <c r="S381" i="28"/>
  <c r="S101" i="28"/>
  <c r="R446" i="28"/>
  <c r="S446" i="28" s="1"/>
  <c r="R450" i="28"/>
  <c r="S450" i="28" s="1"/>
  <c r="R462" i="28"/>
  <c r="S462" i="28" s="1"/>
  <c r="R430" i="28"/>
  <c r="S430" i="28" s="1"/>
  <c r="R146" i="28"/>
  <c r="S146" i="28" s="1"/>
  <c r="R94" i="28"/>
  <c r="S94" i="28" s="1"/>
  <c r="S210" i="28"/>
  <c r="S103" i="28"/>
  <c r="S100" i="28"/>
  <c r="R537" i="28"/>
  <c r="S537" i="28" s="1"/>
  <c r="R500" i="28"/>
  <c r="S500" i="28" s="1"/>
  <c r="S440" i="28"/>
  <c r="R610" i="28"/>
  <c r="S610" i="28" s="1"/>
  <c r="R320" i="28"/>
  <c r="S320" i="28" s="1"/>
  <c r="S302" i="28"/>
  <c r="R411" i="28"/>
  <c r="S411" i="28" s="1"/>
  <c r="R385" i="28"/>
  <c r="S385" i="28" s="1"/>
  <c r="S609" i="28"/>
  <c r="S584" i="28"/>
  <c r="S558" i="28"/>
  <c r="S380" i="28"/>
  <c r="R489" i="28"/>
  <c r="S489" i="28" s="1"/>
  <c r="R351" i="28"/>
  <c r="S351" i="28" s="1"/>
  <c r="R332" i="28"/>
  <c r="S332" i="28" s="1"/>
  <c r="R301" i="28"/>
  <c r="S301" i="28" s="1"/>
  <c r="R371" i="28"/>
  <c r="S371" i="28" s="1"/>
  <c r="R323" i="28"/>
  <c r="S323" i="28" s="1"/>
  <c r="R571" i="28"/>
  <c r="S571" i="28" s="1"/>
  <c r="R45" i="28"/>
  <c r="S45" i="28" s="1"/>
  <c r="R399" i="28"/>
  <c r="S399" i="28" s="1"/>
  <c r="R420" i="28"/>
  <c r="S420" i="28" s="1"/>
  <c r="S141" i="28"/>
  <c r="R57" i="28"/>
  <c r="S57" i="28" s="1"/>
  <c r="S175" i="28"/>
  <c r="R14" i="28"/>
  <c r="S14" i="28" s="1"/>
  <c r="R389" i="28"/>
  <c r="S389" i="28" s="1"/>
  <c r="S408" i="28"/>
  <c r="S392" i="28"/>
  <c r="S97" i="28"/>
  <c r="S348" i="28"/>
  <c r="R51" i="28"/>
  <c r="S51" i="28" s="1"/>
  <c r="R355" i="28"/>
  <c r="S355" i="28" s="1"/>
  <c r="R130" i="28"/>
  <c r="S130" i="28" s="1"/>
  <c r="S587" i="28"/>
  <c r="S158" i="28"/>
  <c r="R188" i="28"/>
  <c r="S188" i="28" s="1"/>
  <c r="R131" i="28"/>
  <c r="S131" i="28" s="1"/>
  <c r="S484" i="28"/>
  <c r="R629" i="28"/>
  <c r="S629" i="28" s="1"/>
  <c r="S258" i="28"/>
  <c r="R388" i="28"/>
  <c r="S388" i="28" s="1"/>
  <c r="S493" i="28"/>
  <c r="R458" i="28"/>
  <c r="S458" i="28" s="1"/>
  <c r="R363" i="28"/>
  <c r="S363" i="28" s="1"/>
  <c r="R304" i="28"/>
  <c r="S304" i="28" s="1"/>
  <c r="R523" i="28"/>
  <c r="S523" i="28" s="1"/>
  <c r="R497" i="28"/>
  <c r="S497" i="28" s="1"/>
  <c r="R267" i="28"/>
  <c r="S267" i="28" s="1"/>
  <c r="R136" i="28"/>
  <c r="S136" i="28" s="1"/>
  <c r="R88" i="28"/>
  <c r="S88" i="28" s="1"/>
  <c r="R575" i="28"/>
  <c r="S575" i="28" s="1"/>
  <c r="R208" i="28"/>
  <c r="S208" i="28" s="1"/>
  <c r="R466" i="28"/>
  <c r="S466" i="28" s="1"/>
  <c r="R508" i="28"/>
  <c r="S508" i="28" s="1"/>
  <c r="R318" i="28"/>
  <c r="S318" i="28" s="1"/>
  <c r="R154" i="28"/>
  <c r="S154" i="28" s="1"/>
  <c r="R196" i="28"/>
  <c r="S196" i="28" s="1"/>
  <c r="R431" i="28"/>
  <c r="S431" i="28" s="1"/>
  <c r="R434" i="28"/>
  <c r="S434" i="28" s="1"/>
  <c r="R476" i="28"/>
  <c r="S476" i="28" s="1"/>
  <c r="R286" i="28"/>
  <c r="S286" i="28" s="1"/>
  <c r="R488" i="28"/>
  <c r="S488" i="28" s="1"/>
  <c r="R376" i="28"/>
  <c r="S376" i="28" s="1"/>
  <c r="R195" i="28"/>
  <c r="S195" i="28" s="1"/>
  <c r="R133" i="28"/>
  <c r="S133" i="28" s="1"/>
  <c r="R335" i="28"/>
  <c r="S335" i="28" s="1"/>
  <c r="R277" i="28"/>
  <c r="S277" i="28" s="1"/>
  <c r="S68" i="28"/>
  <c r="S162" i="28"/>
  <c r="S345" i="28"/>
  <c r="S576" i="28"/>
  <c r="S192" i="28"/>
  <c r="R581" i="28"/>
  <c r="S581" i="28" s="1"/>
  <c r="S390" i="28"/>
  <c r="R341" i="28"/>
  <c r="S341" i="28" s="1"/>
  <c r="S163" i="28"/>
  <c r="R24" i="28"/>
  <c r="S24" i="28" s="1"/>
  <c r="S533" i="28"/>
  <c r="R36" i="28"/>
  <c r="S36" i="28" s="1"/>
  <c r="S522" i="28"/>
  <c r="S224" i="28"/>
  <c r="S455" i="28"/>
  <c r="R603" i="28"/>
  <c r="S603" i="28" s="1"/>
  <c r="S99" i="28"/>
  <c r="S285" i="28"/>
  <c r="S199" i="28"/>
  <c r="S439" i="28"/>
  <c r="R153" i="28"/>
  <c r="S153" i="28" s="1"/>
  <c r="R142" i="28"/>
  <c r="S142" i="28" s="1"/>
  <c r="R418" i="28"/>
  <c r="S418" i="28" s="1"/>
  <c r="S384" i="28"/>
  <c r="R543" i="28"/>
  <c r="S543" i="28" s="1"/>
  <c r="S305" i="28"/>
  <c r="R375" i="28"/>
  <c r="S375" i="28" s="1"/>
  <c r="S205" i="28"/>
  <c r="R428" i="28"/>
  <c r="S428" i="28" s="1"/>
  <c r="R214" i="28"/>
  <c r="S214" i="28" s="1"/>
  <c r="R156" i="28"/>
  <c r="S156" i="28" s="1"/>
  <c r="R139" i="28"/>
  <c r="S139" i="28" s="1"/>
  <c r="R346" i="28"/>
  <c r="S346" i="28" s="1"/>
  <c r="R273" i="28"/>
  <c r="S273" i="28" s="1"/>
  <c r="R331" i="28"/>
  <c r="S331" i="28" s="1"/>
  <c r="R586" i="28"/>
  <c r="S586" i="28" s="1"/>
  <c r="R453" i="28"/>
  <c r="S453" i="28" s="1"/>
  <c r="S588" i="28"/>
  <c r="S521" i="28"/>
  <c r="R594" i="28"/>
  <c r="S594" i="28" s="1"/>
  <c r="S73" i="28"/>
  <c r="R325" i="28"/>
  <c r="S325" i="28" s="1"/>
  <c r="S383" i="28"/>
  <c r="S256" i="28"/>
  <c r="S109" i="28"/>
  <c r="S106" i="28"/>
  <c r="S113" i="28"/>
  <c r="S570" i="28"/>
  <c r="S220" i="28"/>
  <c r="S591" i="28"/>
  <c r="R600" i="28"/>
  <c r="S600" i="28" s="1"/>
  <c r="R319" i="28"/>
  <c r="S319" i="28" s="1"/>
  <c r="S292" i="28"/>
  <c r="S560" i="28"/>
  <c r="R115" i="28"/>
  <c r="S115" i="28" s="1"/>
  <c r="R50" i="28"/>
  <c r="S50" i="28" s="1"/>
  <c r="R352" i="28"/>
  <c r="S352" i="28" s="1"/>
  <c r="R67" i="28"/>
  <c r="S67" i="28" s="1"/>
  <c r="R480" i="28"/>
  <c r="S480" i="28" s="1"/>
  <c r="R213" i="28"/>
  <c r="S213" i="28" s="1"/>
  <c r="S583" i="28"/>
  <c r="R118" i="28"/>
  <c r="S118" i="28" s="1"/>
  <c r="S415" i="28"/>
  <c r="S119" i="28"/>
  <c r="R398" i="28"/>
  <c r="S398" i="28" s="1"/>
  <c r="R72" i="28"/>
  <c r="S72" i="28" s="1"/>
  <c r="R368" i="28"/>
  <c r="S368" i="28" s="1"/>
  <c r="S307" i="28"/>
  <c r="R604" i="28"/>
  <c r="S604" i="28" s="1"/>
  <c r="R481" i="28"/>
  <c r="S481" i="28" s="1"/>
  <c r="R242" i="28"/>
  <c r="S242" i="28" s="1"/>
  <c r="S365" i="28"/>
  <c r="S343" i="28"/>
  <c r="R627" i="28"/>
  <c r="S627" i="28" s="1"/>
  <c r="R536" i="28"/>
  <c r="S536" i="28" s="1"/>
  <c r="R499" i="28"/>
  <c r="S499" i="28" s="1"/>
  <c r="R212" i="28"/>
  <c r="S212" i="28" s="1"/>
  <c r="R598" i="28"/>
  <c r="S598" i="28" s="1"/>
  <c r="R337" i="28"/>
  <c r="S337" i="28" s="1"/>
  <c r="R395" i="28"/>
  <c r="S395" i="28" s="1"/>
  <c r="R394" i="28"/>
  <c r="S394" i="28" s="1"/>
  <c r="R435" i="28"/>
  <c r="S435" i="28" s="1"/>
  <c r="R441" i="28"/>
  <c r="S441" i="28" s="1"/>
  <c r="R577" i="28"/>
  <c r="S577" i="28" s="1"/>
  <c r="R203" i="28"/>
  <c r="S203" i="28" s="1"/>
  <c r="R35" i="28"/>
  <c r="S35" i="28" s="1"/>
  <c r="R469" i="28"/>
  <c r="S469" i="28" s="1"/>
  <c r="R464" i="28"/>
  <c r="S464" i="28" s="1"/>
  <c r="R530" i="28"/>
  <c r="S530" i="28" s="1"/>
  <c r="R382" i="28"/>
  <c r="S382" i="28" s="1"/>
  <c r="R308" i="28"/>
  <c r="S308" i="28" s="1"/>
  <c r="R218" i="28"/>
  <c r="S218" i="28" s="1"/>
  <c r="R260" i="28"/>
  <c r="S260" i="28" s="1"/>
  <c r="R495" i="28"/>
  <c r="S495" i="28" s="1"/>
  <c r="R336" i="28"/>
  <c r="S336" i="28" s="1"/>
  <c r="R498" i="28"/>
  <c r="S498" i="28" s="1"/>
  <c r="R417" i="28"/>
  <c r="S417" i="28" s="1"/>
  <c r="R16" i="28"/>
  <c r="S16" i="28" s="1"/>
  <c r="R259" i="28"/>
  <c r="S259" i="28" s="1"/>
  <c r="R463" i="28"/>
  <c r="S463" i="28" s="1"/>
  <c r="R374" i="28"/>
  <c r="S374" i="28" s="1"/>
  <c r="S39" i="28"/>
  <c r="S23" i="28"/>
  <c r="S193" i="28"/>
  <c r="S19" i="28"/>
  <c r="S405" i="28"/>
  <c r="R353" i="28"/>
  <c r="S353" i="28" s="1"/>
  <c r="R123" i="28"/>
  <c r="S123" i="28" s="1"/>
  <c r="R31" i="28"/>
  <c r="S31" i="28" s="1"/>
  <c r="S333" i="28"/>
  <c r="S269" i="28"/>
  <c r="R54" i="28"/>
  <c r="S54" i="28" s="1"/>
  <c r="R478" i="28"/>
  <c r="S478" i="28" s="1"/>
  <c r="S26" i="28"/>
  <c r="S572" i="28"/>
  <c r="S105" i="28"/>
  <c r="S546" i="28"/>
  <c r="S178" i="28"/>
  <c r="S150" i="28"/>
  <c r="R128" i="28"/>
  <c r="S128" i="28" s="1"/>
  <c r="R108" i="28"/>
  <c r="S108" i="28" s="1"/>
  <c r="S56" i="28"/>
  <c r="S231" i="28"/>
  <c r="R143" i="28"/>
  <c r="S143" i="28" s="1"/>
  <c r="S184" i="28"/>
  <c r="S554" i="28"/>
  <c r="R77" i="28"/>
  <c r="S77" i="28" s="1"/>
  <c r="S429" i="28"/>
  <c r="S550" i="28"/>
  <c r="S59" i="28"/>
  <c r="R596" i="28"/>
  <c r="S596" i="28" s="1"/>
  <c r="S566" i="28"/>
  <c r="R166" i="28"/>
  <c r="S166" i="28" s="1"/>
  <c r="S443" i="28"/>
  <c r="S569" i="28"/>
  <c r="R421" i="28"/>
  <c r="S421" i="28" s="1"/>
  <c r="R160" i="28"/>
  <c r="S160" i="28" s="1"/>
  <c r="S447" i="28"/>
  <c r="S445" i="28"/>
  <c r="R425" i="28"/>
  <c r="S425" i="28" s="1"/>
  <c r="R403" i="28"/>
  <c r="S403" i="28" s="1"/>
  <c r="R373" i="28"/>
  <c r="S373" i="28" s="1"/>
  <c r="R529" i="28"/>
  <c r="S529" i="28" s="1"/>
  <c r="R261" i="28"/>
  <c r="S261" i="28" s="1"/>
  <c r="S339" i="28"/>
  <c r="S288" i="28"/>
  <c r="R254" i="28"/>
  <c r="S254" i="28" s="1"/>
  <c r="R486" i="28"/>
  <c r="S486" i="28" s="1"/>
  <c r="S578" i="28"/>
  <c r="R564" i="28"/>
  <c r="S564" i="28" s="1"/>
  <c r="R541" i="28"/>
  <c r="S541" i="28" s="1"/>
  <c r="S518" i="28"/>
  <c r="S70" i="28"/>
  <c r="S197" i="28"/>
  <c r="S21" i="28"/>
  <c r="R29" i="28"/>
  <c r="S29" i="28" s="1"/>
  <c r="R284" i="28"/>
  <c r="S284" i="28" s="1"/>
  <c r="S243" i="28"/>
  <c r="R555" i="28"/>
  <c r="S555" i="28" s="1"/>
  <c r="R549" i="28"/>
  <c r="S549" i="28" s="1"/>
  <c r="S461" i="28"/>
  <c r="S185" i="28"/>
  <c r="S525" i="28"/>
  <c r="R104" i="28"/>
  <c r="S104" i="28" s="1"/>
  <c r="R531" i="28"/>
  <c r="S531" i="28" s="1"/>
  <c r="R222" i="28"/>
  <c r="S222" i="28" s="1"/>
  <c r="R20" i="28"/>
  <c r="S20" i="28" s="1"/>
  <c r="R608" i="28"/>
  <c r="S608" i="28" s="1"/>
  <c r="R289" i="28"/>
  <c r="S289" i="28" s="1"/>
  <c r="R573" i="28"/>
  <c r="S573" i="28" s="1"/>
  <c r="R264" i="28"/>
  <c r="S264" i="28" s="1"/>
  <c r="R236" i="28"/>
  <c r="S236" i="28" s="1"/>
  <c r="S422" i="28"/>
  <c r="S82" i="28"/>
  <c r="S90" i="28"/>
  <c r="S350" i="28"/>
  <c r="R613" i="28"/>
  <c r="S613" i="28" s="1"/>
  <c r="R378" i="28"/>
  <c r="S378" i="28" s="1"/>
  <c r="S275" i="28"/>
  <c r="R310" i="28"/>
  <c r="S310" i="28" s="1"/>
  <c r="R611" i="28"/>
  <c r="S611" i="28" s="1"/>
  <c r="R327" i="28"/>
  <c r="S327" i="28" s="1"/>
  <c r="S298" i="28"/>
  <c r="S540" i="28"/>
  <c r="R234" i="28"/>
  <c r="S234" i="28" s="1"/>
  <c r="S520" i="28"/>
  <c r="R424" i="28"/>
  <c r="S424" i="28" s="1"/>
  <c r="R135" i="28"/>
  <c r="S135" i="28" s="1"/>
  <c r="R599" i="28"/>
  <c r="S599" i="28" s="1"/>
  <c r="S290" i="28"/>
  <c r="R40" i="28"/>
  <c r="S40" i="28" s="1"/>
  <c r="R370" i="28"/>
  <c r="S370" i="28" s="1"/>
  <c r="R223" i="28"/>
  <c r="S223" i="28" s="1"/>
  <c r="S287" i="28"/>
  <c r="S485" i="28"/>
  <c r="R444" i="28"/>
  <c r="S444" i="28" s="1"/>
  <c r="S338" i="28"/>
  <c r="R296" i="28"/>
  <c r="S296" i="28" s="1"/>
  <c r="R78" i="28"/>
  <c r="S78" i="28" s="1"/>
  <c r="R524" i="28"/>
  <c r="S524" i="28" s="1"/>
  <c r="R281" i="28"/>
  <c r="S281" i="28" s="1"/>
  <c r="R204" i="28"/>
  <c r="S204" i="28" s="1"/>
  <c r="R568" i="28"/>
  <c r="S568" i="28" s="1"/>
  <c r="R117" i="28"/>
  <c r="S117" i="28" s="1"/>
  <c r="R137" i="28"/>
  <c r="S137" i="28" s="1"/>
  <c r="R404" i="28"/>
  <c r="S404" i="28" s="1"/>
  <c r="R501" i="28"/>
  <c r="S501" i="28" s="1"/>
  <c r="R18" i="28"/>
  <c r="S18" i="28" s="1"/>
  <c r="R468" i="28"/>
  <c r="S468" i="28" s="1"/>
  <c r="R563" i="28"/>
  <c r="S563" i="28" s="1"/>
  <c r="R427" i="28"/>
  <c r="S427" i="28" s="1"/>
  <c r="R129" i="28"/>
  <c r="S129" i="28" s="1"/>
  <c r="R148" i="28"/>
  <c r="S148" i="28" s="1"/>
  <c r="R32" i="28"/>
  <c r="S32" i="28" s="1"/>
  <c r="R174" i="28"/>
  <c r="S174" i="28" s="1"/>
  <c r="R64" i="28"/>
  <c r="S64" i="28" s="1"/>
  <c r="R472" i="28"/>
  <c r="S472" i="28" s="1"/>
  <c r="R219" i="28"/>
  <c r="S219" i="28" s="1"/>
  <c r="R157" i="28"/>
  <c r="S157" i="28" s="1"/>
  <c r="R574" i="28"/>
  <c r="S574" i="28" s="1"/>
  <c r="R149" i="28"/>
  <c r="S149" i="28" s="1"/>
  <c r="R60" i="28"/>
  <c r="S60" i="28" s="1"/>
  <c r="R410" i="28"/>
  <c r="S410" i="28" s="1"/>
  <c r="R452" i="28"/>
  <c r="S452" i="28" s="1"/>
  <c r="R262" i="28"/>
  <c r="S262" i="28" s="1"/>
  <c r="R401" i="28"/>
  <c r="S401" i="28" s="1"/>
  <c r="R344" i="28"/>
  <c r="S344" i="28" s="1"/>
  <c r="R187" i="28"/>
  <c r="S187" i="28" s="1"/>
  <c r="R125" i="28"/>
  <c r="S125" i="28" s="1"/>
  <c r="R542" i="28"/>
  <c r="S542" i="28" s="1"/>
  <c r="R17" i="28"/>
  <c r="S17" i="28" s="1"/>
  <c r="R451" i="28"/>
  <c r="S451" i="28" s="1"/>
  <c r="R517" i="28"/>
  <c r="S517" i="28" s="1"/>
  <c r="R527" i="28"/>
  <c r="S527" i="28" s="1"/>
  <c r="R502" i="28"/>
  <c r="S502" i="28" s="1"/>
  <c r="S473" i="28"/>
  <c r="S52" i="28"/>
  <c r="S28" i="28"/>
  <c r="S98" i="28"/>
  <c r="S181" i="28"/>
  <c r="N354" i="28"/>
  <c r="P354" i="28" s="1"/>
  <c r="N176" i="28"/>
  <c r="P176" i="28" s="1"/>
  <c r="N31" i="28"/>
  <c r="P31" i="28" s="1"/>
  <c r="N581" i="28"/>
  <c r="P581" i="28" s="1"/>
  <c r="N497" i="28"/>
  <c r="P497" i="28" s="1"/>
  <c r="N27" i="28"/>
  <c r="P27" i="28" s="1"/>
  <c r="N110" i="28"/>
  <c r="P110" i="28" s="1"/>
  <c r="N362" i="28"/>
  <c r="P362" i="28" s="1"/>
  <c r="N294" i="28"/>
  <c r="P294" i="28" s="1"/>
  <c r="N478" i="28"/>
  <c r="P478" i="28" s="1"/>
  <c r="N423" i="28"/>
  <c r="P423" i="28" s="1"/>
  <c r="N263" i="28"/>
  <c r="P263" i="28" s="1"/>
  <c r="N507" i="28"/>
  <c r="P507" i="28" s="1"/>
  <c r="N477" i="28"/>
  <c r="P477" i="28" s="1"/>
  <c r="N502" i="28"/>
  <c r="P502" i="28" s="1"/>
  <c r="N535" i="28"/>
  <c r="P535" i="28" s="1"/>
  <c r="N180" i="28"/>
  <c r="P180" i="28" s="1"/>
  <c r="N148" i="28"/>
  <c r="P148" i="28" s="1"/>
  <c r="N233" i="28"/>
  <c r="P233" i="28" s="1"/>
  <c r="N602" i="28"/>
  <c r="P602" i="28" s="1"/>
  <c r="N244" i="28"/>
  <c r="P244" i="28" s="1"/>
  <c r="N249" i="28"/>
  <c r="P249" i="28" s="1"/>
  <c r="N490" i="28"/>
  <c r="P490" i="28" s="1"/>
  <c r="N455" i="28"/>
  <c r="P455" i="28" s="1"/>
  <c r="N381" i="28"/>
  <c r="P381" i="28" s="1"/>
  <c r="N446" i="28"/>
  <c r="P446" i="28" s="1"/>
  <c r="N336" i="28"/>
  <c r="P336" i="28" s="1"/>
  <c r="N142" i="28"/>
  <c r="P142" i="28" s="1"/>
  <c r="N384" i="28"/>
  <c r="P384" i="28" s="1"/>
  <c r="N543" i="28"/>
  <c r="P543" i="28" s="1"/>
  <c r="N125" i="28"/>
  <c r="P125" i="28" s="1"/>
  <c r="N268" i="28"/>
  <c r="P268" i="28" s="1"/>
  <c r="N52" i="28"/>
  <c r="P52" i="28" s="1"/>
  <c r="N156" i="28"/>
  <c r="P156" i="28" s="1"/>
  <c r="N440" i="28"/>
  <c r="P440" i="28" s="1"/>
  <c r="N508" i="28"/>
  <c r="P508" i="28" s="1"/>
  <c r="N586" i="28"/>
  <c r="P586" i="28" s="1"/>
  <c r="N150" i="28"/>
  <c r="P150" i="28" s="1"/>
  <c r="N437" i="28"/>
  <c r="P437" i="28" s="1"/>
  <c r="N409" i="28"/>
  <c r="P409" i="28" s="1"/>
  <c r="N393" i="28"/>
  <c r="P393" i="28" s="1"/>
  <c r="N534" i="28"/>
  <c r="P534" i="28" s="1"/>
  <c r="N328" i="28"/>
  <c r="P328" i="28" s="1"/>
  <c r="N364" i="28"/>
  <c r="P364" i="28" s="1"/>
  <c r="N513" i="28"/>
  <c r="P513" i="28" s="1"/>
  <c r="N554" i="28"/>
  <c r="P554" i="28" s="1"/>
  <c r="N42" i="28"/>
  <c r="P42" i="28" s="1"/>
  <c r="N77" i="28"/>
  <c r="P77" i="28" s="1"/>
  <c r="N304" i="28"/>
  <c r="P304" i="28" s="1"/>
  <c r="N429" i="28"/>
  <c r="P429" i="28" s="1"/>
  <c r="N412" i="28"/>
  <c r="P412" i="28" s="1"/>
  <c r="N550" i="28"/>
  <c r="P550" i="28" s="1"/>
  <c r="N356" i="28"/>
  <c r="P356" i="28" s="1"/>
  <c r="N59" i="28"/>
  <c r="P59" i="28" s="1"/>
  <c r="N377" i="28"/>
  <c r="P377" i="28" s="1"/>
  <c r="N65" i="28"/>
  <c r="P65" i="28" s="1"/>
  <c r="N315" i="28"/>
  <c r="P315" i="28" s="1"/>
  <c r="N596" i="28"/>
  <c r="P596" i="28" s="1"/>
  <c r="N303" i="28"/>
  <c r="P303" i="28" s="1"/>
  <c r="N566" i="28"/>
  <c r="P566" i="28" s="1"/>
  <c r="N472" i="28"/>
  <c r="P472" i="28" s="1"/>
  <c r="N166" i="28"/>
  <c r="P166" i="28" s="1"/>
  <c r="N149" i="28"/>
  <c r="P149" i="28" s="1"/>
  <c r="N443" i="28"/>
  <c r="P443" i="28" s="1"/>
  <c r="N169" i="28"/>
  <c r="P169" i="28" s="1"/>
  <c r="N569" i="28"/>
  <c r="P569" i="28" s="1"/>
  <c r="N114" i="28"/>
  <c r="P114" i="28" s="1"/>
  <c r="N421" i="28"/>
  <c r="P421" i="28" s="1"/>
  <c r="N161" i="28"/>
  <c r="P161" i="28" s="1"/>
  <c r="N160" i="28"/>
  <c r="P160" i="28" s="1"/>
  <c r="N487" i="28"/>
  <c r="P487" i="28" s="1"/>
  <c r="N447" i="28"/>
  <c r="P447" i="28" s="1"/>
  <c r="N401" i="28"/>
  <c r="P401" i="28" s="1"/>
  <c r="N445" i="28"/>
  <c r="P445" i="28" s="1"/>
  <c r="N136" i="28"/>
  <c r="P136" i="28" s="1"/>
  <c r="N425" i="28"/>
  <c r="P425" i="28" s="1"/>
  <c r="N144" i="28"/>
  <c r="P144" i="28" s="1"/>
  <c r="N403" i="28"/>
  <c r="P403" i="28" s="1"/>
  <c r="N69" i="28"/>
  <c r="P69" i="28" s="1"/>
  <c r="N373" i="28"/>
  <c r="P373" i="28" s="1"/>
  <c r="N122" i="28"/>
  <c r="P122" i="28" s="1"/>
  <c r="N529" i="28"/>
  <c r="P529" i="28" s="1"/>
  <c r="N255" i="28"/>
  <c r="P255" i="28" s="1"/>
  <c r="N261" i="28"/>
  <c r="P261" i="28" s="1"/>
  <c r="N81" i="28"/>
  <c r="P81" i="28" s="1"/>
  <c r="N339" i="28"/>
  <c r="P339" i="28" s="1"/>
  <c r="N154" i="28"/>
  <c r="P154" i="28" s="1"/>
  <c r="N288" i="28"/>
  <c r="P288" i="28" s="1"/>
  <c r="N557" i="28"/>
  <c r="P557" i="28" s="1"/>
  <c r="N254" i="28"/>
  <c r="P254" i="28" s="1"/>
  <c r="N311" i="28"/>
  <c r="P311" i="28" s="1"/>
  <c r="N486" i="28"/>
  <c r="P486" i="28" s="1"/>
  <c r="N514" i="28"/>
  <c r="P514" i="28" s="1"/>
  <c r="N84" i="28"/>
  <c r="P84" i="28" s="1"/>
  <c r="N464" i="28"/>
  <c r="P464" i="28" s="1"/>
  <c r="N578" i="28"/>
  <c r="P578" i="28" s="1"/>
  <c r="N293" i="28"/>
  <c r="P293" i="28" s="1"/>
  <c r="N564" i="28"/>
  <c r="P564" i="28" s="1"/>
  <c r="N322" i="28"/>
  <c r="P322" i="28" s="1"/>
  <c r="N541" i="28"/>
  <c r="P541" i="28" s="1"/>
  <c r="N237" i="28"/>
  <c r="P237" i="28" s="1"/>
  <c r="N518" i="28"/>
  <c r="P518" i="28" s="1"/>
  <c r="N206" i="28"/>
  <c r="P206" i="28" s="1"/>
  <c r="N468" i="28"/>
  <c r="P468" i="28" s="1"/>
  <c r="N359" i="28"/>
  <c r="P359" i="28" s="1"/>
  <c r="N70" i="28"/>
  <c r="P70" i="28" s="1"/>
  <c r="N426" i="28"/>
  <c r="P426" i="28" s="1"/>
  <c r="N197" i="28"/>
  <c r="P197" i="28" s="1"/>
  <c r="N551" i="28"/>
  <c r="P551" i="28" s="1"/>
  <c r="N286" i="28"/>
  <c r="P286" i="28" s="1"/>
  <c r="N21" i="28"/>
  <c r="P21" i="28" s="1"/>
  <c r="N29" i="28"/>
  <c r="P29" i="28" s="1"/>
  <c r="N28" i="28"/>
  <c r="P28" i="28" s="1"/>
  <c r="N284" i="28"/>
  <c r="P284" i="28" s="1"/>
  <c r="N556" i="28"/>
  <c r="P556" i="28" s="1"/>
  <c r="N451" i="28"/>
  <c r="P451" i="28" s="1"/>
  <c r="N74" i="28"/>
  <c r="P74" i="28" s="1"/>
  <c r="N568" i="28"/>
  <c r="P568" i="28" s="1"/>
  <c r="N243" i="28"/>
  <c r="P243" i="28" s="1"/>
  <c r="N555" i="28"/>
  <c r="P555" i="28" s="1"/>
  <c r="N260" i="28"/>
  <c r="P260" i="28" s="1"/>
  <c r="N549" i="28"/>
  <c r="P549" i="28" s="1"/>
  <c r="N219" i="28"/>
  <c r="P219" i="28" s="1"/>
  <c r="N501" i="28"/>
  <c r="P501" i="28" s="1"/>
  <c r="N204" i="28"/>
  <c r="P204" i="28" s="1"/>
  <c r="N461" i="28"/>
  <c r="P461" i="28" s="1"/>
  <c r="N349" i="28"/>
  <c r="P349" i="28" s="1"/>
  <c r="N89" i="28"/>
  <c r="P89" i="28" s="1"/>
  <c r="N404" i="28"/>
  <c r="P404" i="28" s="1"/>
  <c r="N185" i="28"/>
  <c r="P185" i="28" s="1"/>
  <c r="N525" i="28"/>
  <c r="P525" i="28" s="1"/>
  <c r="N226" i="28"/>
  <c r="P226" i="28" s="1"/>
  <c r="N595" i="28"/>
  <c r="P595" i="28" s="1"/>
  <c r="N157" i="28"/>
  <c r="P157" i="28" s="1"/>
  <c r="N104" i="28"/>
  <c r="P104" i="28" s="1"/>
  <c r="N366" i="28"/>
  <c r="P366" i="28" s="1"/>
  <c r="N473" i="28"/>
  <c r="P473" i="28" s="1"/>
  <c r="N531" i="28"/>
  <c r="P531" i="28" s="1"/>
  <c r="N222" i="28"/>
  <c r="P222" i="28" s="1"/>
  <c r="N20" i="28"/>
  <c r="P20" i="28" s="1"/>
  <c r="N330" i="28"/>
  <c r="P330" i="28" s="1"/>
  <c r="N608" i="28"/>
  <c r="P608" i="28" s="1"/>
  <c r="N289" i="28"/>
  <c r="P289" i="28" s="1"/>
  <c r="N573" i="28"/>
  <c r="P573" i="28" s="1"/>
  <c r="N264" i="28"/>
  <c r="P264" i="28" s="1"/>
  <c r="N539" i="28"/>
  <c r="P539" i="28" s="1"/>
  <c r="N236" i="28"/>
  <c r="P236" i="28" s="1"/>
  <c r="N528" i="28"/>
  <c r="P528" i="28" s="1"/>
  <c r="N422" i="28"/>
  <c r="P422" i="28" s="1"/>
  <c r="N140" i="28"/>
  <c r="P140" i="28" s="1"/>
  <c r="N82" i="28"/>
  <c r="P82" i="28" s="1"/>
  <c r="N316" i="28"/>
  <c r="P316" i="28" s="1"/>
  <c r="N90" i="28"/>
  <c r="P90" i="28" s="1"/>
  <c r="N387" i="28"/>
  <c r="P387" i="28" s="1"/>
  <c r="N350" i="28"/>
  <c r="P350" i="28" s="1"/>
  <c r="N613" i="28"/>
  <c r="P613" i="28" s="1"/>
  <c r="N378" i="28"/>
  <c r="P378" i="28" s="1"/>
  <c r="N275" i="28"/>
  <c r="P275" i="28" s="1"/>
  <c r="N567" i="28"/>
  <c r="P567" i="28" s="1"/>
  <c r="N17" i="28"/>
  <c r="P17" i="28" s="1"/>
  <c r="N310" i="28"/>
  <c r="P310" i="28" s="1"/>
  <c r="N611" i="28"/>
  <c r="P611" i="28" s="1"/>
  <c r="N327" i="28"/>
  <c r="P327" i="28" s="1"/>
  <c r="N563" i="28"/>
  <c r="P563" i="28" s="1"/>
  <c r="N298" i="28"/>
  <c r="P298" i="28" s="1"/>
  <c r="N540" i="28"/>
  <c r="P540" i="28" s="1"/>
  <c r="N234" i="28"/>
  <c r="P234" i="28" s="1"/>
  <c r="N520" i="28"/>
  <c r="P520" i="28" s="1"/>
  <c r="N424" i="28"/>
  <c r="P424" i="28" s="1"/>
  <c r="N135" i="28"/>
  <c r="P135" i="28" s="1"/>
  <c r="N599" i="28"/>
  <c r="P599" i="28" s="1"/>
  <c r="N290" i="28"/>
  <c r="P290" i="28" s="1"/>
  <c r="N40" i="28"/>
  <c r="P40" i="28" s="1"/>
  <c r="N370" i="28"/>
  <c r="P370" i="28" s="1"/>
  <c r="N223" i="28"/>
  <c r="P223" i="28" s="1"/>
  <c r="N287" i="28"/>
  <c r="P287" i="28" s="1"/>
  <c r="N485" i="28"/>
  <c r="P485" i="28" s="1"/>
  <c r="N444" i="28"/>
  <c r="P444" i="28" s="1"/>
  <c r="N338" i="28"/>
  <c r="P338" i="28" s="1"/>
  <c r="N296" i="28"/>
  <c r="P296" i="28" s="1"/>
  <c r="N92" i="28"/>
  <c r="P92" i="28" s="1"/>
  <c r="N46" i="28"/>
  <c r="P46" i="28" s="1"/>
  <c r="N123" i="28"/>
  <c r="P123" i="28" s="1"/>
  <c r="N41" i="28"/>
  <c r="P41" i="28" s="1"/>
  <c r="N333" i="28"/>
  <c r="P333" i="28" s="1"/>
  <c r="N211" i="28"/>
  <c r="P211" i="28" s="1"/>
  <c r="N329" i="28"/>
  <c r="P329" i="28" s="1"/>
  <c r="N413" i="28"/>
  <c r="P413" i="28" s="1"/>
  <c r="N54" i="28"/>
  <c r="P54" i="28" s="1"/>
  <c r="N598" i="28"/>
  <c r="P598" i="28" s="1"/>
  <c r="N88" i="28"/>
  <c r="P88" i="28" s="1"/>
  <c r="N26" i="28"/>
  <c r="P26" i="28" s="1"/>
  <c r="N225" i="28"/>
  <c r="P225" i="28" s="1"/>
  <c r="N433" i="28"/>
  <c r="P433" i="28" s="1"/>
  <c r="N221" i="28"/>
  <c r="P221" i="28" s="1"/>
  <c r="N469" i="28"/>
  <c r="P469" i="28" s="1"/>
  <c r="N171" i="28"/>
  <c r="P171" i="28" s="1"/>
  <c r="N465" i="28"/>
  <c r="P465" i="28" s="1"/>
  <c r="N463" i="28"/>
  <c r="P463" i="28" s="1"/>
  <c r="N321" i="28"/>
  <c r="P321" i="28" s="1"/>
  <c r="N475" i="28"/>
  <c r="P475" i="28" s="1"/>
  <c r="N522" i="28"/>
  <c r="P522" i="28" s="1"/>
  <c r="N459" i="28"/>
  <c r="P459" i="28" s="1"/>
  <c r="N603" i="28"/>
  <c r="P603" i="28" s="1"/>
  <c r="N101" i="28"/>
  <c r="P101" i="28" s="1"/>
  <c r="N285" i="28"/>
  <c r="P285" i="28" s="1"/>
  <c r="N439" i="28"/>
  <c r="P439" i="28" s="1"/>
  <c r="N153" i="28"/>
  <c r="P153" i="28" s="1"/>
  <c r="N146" i="28"/>
  <c r="P146" i="28" s="1"/>
  <c r="N210" i="28"/>
  <c r="P210" i="28" s="1"/>
  <c r="N344" i="28"/>
  <c r="P344" i="28" s="1"/>
  <c r="N218" i="28"/>
  <c r="P218" i="28" s="1"/>
  <c r="N100" i="28"/>
  <c r="P100" i="28" s="1"/>
  <c r="N500" i="28"/>
  <c r="P500" i="28" s="1"/>
  <c r="N187" i="28"/>
  <c r="P187" i="28" s="1"/>
  <c r="N346" i="28"/>
  <c r="P346" i="28" s="1"/>
  <c r="N53" i="28"/>
  <c r="P53" i="28" s="1"/>
  <c r="N456" i="28"/>
  <c r="P456" i="28" s="1"/>
  <c r="N128" i="28"/>
  <c r="P128" i="28" s="1"/>
  <c r="N108" i="28"/>
  <c r="P108" i="28" s="1"/>
  <c r="N56" i="28"/>
  <c r="P56" i="28" s="1"/>
  <c r="N231" i="28"/>
  <c r="P231" i="28" s="1"/>
  <c r="N143" i="28"/>
  <c r="P143" i="28" s="1"/>
  <c r="N184" i="28"/>
  <c r="P184" i="28" s="1"/>
  <c r="O304" i="28"/>
  <c r="N80" i="28"/>
  <c r="P80" i="28" s="1"/>
  <c r="N353" i="28"/>
  <c r="P353" i="28" s="1"/>
  <c r="N605" i="28"/>
  <c r="P605" i="28" s="1"/>
  <c r="N334" i="28"/>
  <c r="P334" i="28" s="1"/>
  <c r="N252" i="28"/>
  <c r="P252" i="28" s="1"/>
  <c r="N291" i="28"/>
  <c r="P291" i="28" s="1"/>
  <c r="N341" i="28"/>
  <c r="P341" i="28" s="1"/>
  <c r="N363" i="28"/>
  <c r="P363" i="28" s="1"/>
  <c r="N562" i="28"/>
  <c r="P562" i="28" s="1"/>
  <c r="N163" i="28"/>
  <c r="P163" i="28" s="1"/>
  <c r="N406" i="28"/>
  <c r="P406" i="28" s="1"/>
  <c r="N479" i="28"/>
  <c r="P479" i="28" s="1"/>
  <c r="N240" i="28"/>
  <c r="P240" i="28" s="1"/>
  <c r="N553" i="28"/>
  <c r="P553" i="28" s="1"/>
  <c r="N467" i="28"/>
  <c r="P467" i="28" s="1"/>
  <c r="N491" i="28"/>
  <c r="P491" i="28" s="1"/>
  <c r="N129" i="28"/>
  <c r="P129" i="28" s="1"/>
  <c r="N251" i="28"/>
  <c r="P251" i="28" s="1"/>
  <c r="N93" i="28"/>
  <c r="P93" i="28" s="1"/>
  <c r="N208" i="28"/>
  <c r="P208" i="28" s="1"/>
  <c r="N523" i="28"/>
  <c r="P523" i="28" s="1"/>
  <c r="N369" i="28"/>
  <c r="P369" i="28" s="1"/>
  <c r="N127" i="28"/>
  <c r="P127" i="28" s="1"/>
  <c r="N318" i="28"/>
  <c r="P318" i="28" s="1"/>
  <c r="N495" i="28"/>
  <c r="P495" i="28" s="1"/>
  <c r="N207" i="28"/>
  <c r="P207" i="28" s="1"/>
  <c r="N494" i="28"/>
  <c r="P494" i="28" s="1"/>
  <c r="N432" i="28"/>
  <c r="P432" i="28" s="1"/>
  <c r="N83" i="28"/>
  <c r="P83" i="28" s="1"/>
  <c r="N394" i="28"/>
  <c r="P394" i="28" s="1"/>
  <c r="N182" i="28"/>
  <c r="P182" i="28" s="1"/>
  <c r="N317" i="28"/>
  <c r="P317" i="28" s="1"/>
  <c r="N280" i="28"/>
  <c r="P280" i="28" s="1"/>
  <c r="N39" i="28"/>
  <c r="P39" i="28" s="1"/>
  <c r="N585" i="28"/>
  <c r="P585" i="28" s="1"/>
  <c r="N492" i="28"/>
  <c r="P492" i="28" s="1"/>
  <c r="N405" i="28"/>
  <c r="P405" i="28" s="1"/>
  <c r="N576" i="28"/>
  <c r="P576" i="28" s="1"/>
  <c r="N174" i="28"/>
  <c r="P174" i="28" s="1"/>
  <c r="N606" i="28"/>
  <c r="P606" i="28" s="1"/>
  <c r="N547" i="28"/>
  <c r="P547" i="28" s="1"/>
  <c r="N511" i="28"/>
  <c r="P511" i="28" s="1"/>
  <c r="N18" i="28"/>
  <c r="P18" i="28" s="1"/>
  <c r="N60" i="28"/>
  <c r="P60" i="28" s="1"/>
  <c r="N177" i="28"/>
  <c r="P177" i="28" s="1"/>
  <c r="N98" i="28"/>
  <c r="P98" i="28" s="1"/>
  <c r="N509" i="28"/>
  <c r="P509" i="28" s="1"/>
  <c r="N282" i="28"/>
  <c r="P282" i="28" s="1"/>
  <c r="N62" i="28"/>
  <c r="P62" i="28" s="1"/>
  <c r="N505" i="28"/>
  <c r="P505" i="28" s="1"/>
  <c r="N580" i="28"/>
  <c r="P580" i="28" s="1"/>
  <c r="N63" i="28"/>
  <c r="P63" i="28" s="1"/>
  <c r="N601" i="28"/>
  <c r="P601" i="28" s="1"/>
  <c r="N276" i="28"/>
  <c r="P276" i="28" s="1"/>
  <c r="N201" i="28"/>
  <c r="P201" i="28" s="1"/>
  <c r="N55" i="28"/>
  <c r="P55" i="28" s="1"/>
  <c r="N436" i="28"/>
  <c r="P436" i="28" s="1"/>
  <c r="N228" i="28"/>
  <c r="P228" i="28" s="1"/>
  <c r="N239" i="28"/>
  <c r="P239" i="28" s="1"/>
  <c r="N524" i="28"/>
  <c r="P524" i="28" s="1"/>
  <c r="N232" i="28"/>
  <c r="P232" i="28" s="1"/>
  <c r="N190" i="28"/>
  <c r="P190" i="28" s="1"/>
  <c r="N312" i="28"/>
  <c r="P312" i="28" s="1"/>
  <c r="N238" i="28"/>
  <c r="P238" i="28" s="1"/>
  <c r="N24" i="28"/>
  <c r="P24" i="28" s="1"/>
  <c r="N589" i="28"/>
  <c r="P589" i="28" s="1"/>
  <c r="N572" i="28"/>
  <c r="P572" i="28" s="1"/>
  <c r="N533" i="28"/>
  <c r="P533" i="28" s="1"/>
  <c r="N510" i="28"/>
  <c r="P510" i="28" s="1"/>
  <c r="N105" i="28"/>
  <c r="P105" i="28" s="1"/>
  <c r="N544" i="28"/>
  <c r="P544" i="28" s="1"/>
  <c r="N300" i="28"/>
  <c r="P300" i="28" s="1"/>
  <c r="N36" i="28"/>
  <c r="P36" i="28" s="1"/>
  <c r="N342" i="28"/>
  <c r="P342" i="28" s="1"/>
  <c r="N117" i="28"/>
  <c r="P117" i="28" s="1"/>
  <c r="N47" i="28"/>
  <c r="P47" i="28" s="1"/>
  <c r="N516" i="28"/>
  <c r="P516" i="28" s="1"/>
  <c r="N582" i="28"/>
  <c r="P582" i="28" s="1"/>
  <c r="N124" i="28"/>
  <c r="P124" i="28" s="1"/>
  <c r="N612" i="28"/>
  <c r="P612" i="28" s="1"/>
  <c r="N76" i="28"/>
  <c r="P76" i="28" s="1"/>
  <c r="N532" i="28"/>
  <c r="P532" i="28" s="1"/>
  <c r="N235" i="28"/>
  <c r="P235" i="28" s="1"/>
  <c r="N530" i="28"/>
  <c r="P530" i="28" s="1"/>
  <c r="N209" i="28"/>
  <c r="P209" i="28" s="1"/>
  <c r="N483" i="28"/>
  <c r="P483" i="28" s="1"/>
  <c r="N173" i="28"/>
  <c r="P173" i="28" s="1"/>
  <c r="N457" i="28"/>
  <c r="P457" i="28" s="1"/>
  <c r="N133" i="28"/>
  <c r="P133" i="28" s="1"/>
  <c r="N419" i="28"/>
  <c r="P419" i="28" s="1"/>
  <c r="N313" i="28"/>
  <c r="P313" i="28" s="1"/>
  <c r="N559" i="28"/>
  <c r="P559" i="28" s="1"/>
  <c r="N245" i="28"/>
  <c r="P245" i="28" s="1"/>
  <c r="N66" i="28"/>
  <c r="P66" i="28" s="1"/>
  <c r="N376" i="28"/>
  <c r="P376" i="28" s="1"/>
  <c r="N145" i="28"/>
  <c r="P145" i="28" s="1"/>
  <c r="N34" i="28"/>
  <c r="P34" i="28" s="1"/>
  <c r="N527" i="28"/>
  <c r="P527" i="28" s="1"/>
  <c r="N367" i="28"/>
  <c r="P367" i="28" s="1"/>
  <c r="N592" i="28"/>
  <c r="P592" i="28" s="1"/>
  <c r="N379" i="28"/>
  <c r="P379" i="28" s="1"/>
  <c r="N474" i="28"/>
  <c r="P474" i="28" s="1"/>
  <c r="N593" i="28"/>
  <c r="P593" i="28" s="1"/>
  <c r="N266" i="28"/>
  <c r="P266" i="28" s="1"/>
  <c r="N577" i="28"/>
  <c r="P577" i="28" s="1"/>
  <c r="N299" i="28"/>
  <c r="P299" i="28" s="1"/>
  <c r="N548" i="28"/>
  <c r="P548" i="28" s="1"/>
  <c r="N279" i="28"/>
  <c r="P279" i="28" s="1"/>
  <c r="N517" i="28"/>
  <c r="P517" i="28" s="1"/>
  <c r="N250" i="28"/>
  <c r="P250" i="28" s="1"/>
  <c r="N503" i="28"/>
  <c r="P503" i="28" s="1"/>
  <c r="N372" i="28"/>
  <c r="P372" i="28" s="1"/>
  <c r="N75" i="28"/>
  <c r="P75" i="28" s="1"/>
  <c r="N499" i="28"/>
  <c r="P499" i="28" s="1"/>
  <c r="N196" i="28"/>
  <c r="P196" i="28" s="1"/>
  <c r="N579" i="28"/>
  <c r="P579" i="28" s="1"/>
  <c r="N274" i="28"/>
  <c r="P274" i="28" s="1"/>
  <c r="N22" i="28"/>
  <c r="P22" i="28" s="1"/>
  <c r="N37" i="28"/>
  <c r="P37" i="28" s="1"/>
  <c r="N506" i="28"/>
  <c r="P506" i="28" s="1"/>
  <c r="N152" i="28"/>
  <c r="P152" i="28" s="1"/>
  <c r="N194" i="28"/>
  <c r="P194" i="28" s="1"/>
  <c r="N170" i="28"/>
  <c r="P170" i="28" s="1"/>
  <c r="N488" i="28"/>
  <c r="P488" i="28" s="1"/>
  <c r="N624" i="28"/>
  <c r="P624" i="28" s="1"/>
  <c r="N438" i="28"/>
  <c r="P438" i="28" s="1"/>
  <c r="N151" i="28"/>
  <c r="P151" i="28" s="1"/>
  <c r="N417" i="28"/>
  <c r="P417" i="28" s="1"/>
  <c r="N116" i="28"/>
  <c r="P116" i="28" s="1"/>
  <c r="N397" i="28"/>
  <c r="P397" i="28" s="1"/>
  <c r="N64" i="28"/>
  <c r="P64" i="28" s="1"/>
  <c r="N360" i="28"/>
  <c r="P360" i="28" s="1"/>
  <c r="N49" i="28"/>
  <c r="P49" i="28" s="1"/>
  <c r="N519" i="28"/>
  <c r="P519" i="28" s="1"/>
  <c r="N230" i="28"/>
  <c r="P230" i="28" s="1"/>
  <c r="N281" i="28"/>
  <c r="P281" i="28" s="1"/>
  <c r="N33" i="28"/>
  <c r="P33" i="28" s="1"/>
  <c r="N337" i="28"/>
  <c r="P337" i="28" s="1"/>
  <c r="N107" i="28"/>
  <c r="P107" i="28" s="1"/>
  <c r="N168" i="28"/>
  <c r="P168" i="28" s="1"/>
  <c r="N198" i="28"/>
  <c r="P198" i="28" s="1"/>
  <c r="N347" i="28"/>
  <c r="P347" i="28" s="1"/>
  <c r="N396" i="28"/>
  <c r="P396" i="28" s="1"/>
  <c r="N626" i="28"/>
  <c r="P626" i="28" s="1"/>
  <c r="N308" i="28"/>
  <c r="P308" i="28" s="1"/>
  <c r="N216" i="28"/>
  <c r="P216" i="28" s="1"/>
  <c r="N23" i="28"/>
  <c r="P23" i="28" s="1"/>
  <c r="N431" i="28"/>
  <c r="P431" i="28" s="1"/>
  <c r="N147" i="28"/>
  <c r="P147" i="28" s="1"/>
  <c r="N407" i="28"/>
  <c r="P407" i="28" s="1"/>
  <c r="N111" i="28"/>
  <c r="P111" i="28" s="1"/>
  <c r="N340" i="28"/>
  <c r="P340" i="28" s="1"/>
  <c r="N159" i="28"/>
  <c r="P159" i="28" s="1"/>
  <c r="N374" i="28"/>
  <c r="P374" i="28" s="1"/>
  <c r="N87" i="28"/>
  <c r="P87" i="28" s="1"/>
  <c r="N504" i="28"/>
  <c r="P504" i="28" s="1"/>
  <c r="N241" i="28"/>
  <c r="P241" i="28" s="1"/>
  <c r="N202" i="28"/>
  <c r="P202" i="28" s="1"/>
  <c r="N43" i="28"/>
  <c r="P43" i="28" s="1"/>
  <c r="N283" i="28"/>
  <c r="P283" i="28" s="1"/>
  <c r="N86" i="28"/>
  <c r="P86" i="28" s="1"/>
  <c r="N78" i="28"/>
  <c r="P78" i="28" s="1"/>
  <c r="N470" i="28"/>
  <c r="P470" i="28" s="1"/>
  <c r="N442" i="28"/>
  <c r="P442" i="28" s="1"/>
  <c r="N471" i="28"/>
  <c r="P471" i="28" s="1"/>
  <c r="N625" i="28"/>
  <c r="P625" i="28" s="1"/>
  <c r="N120" i="28"/>
  <c r="P120" i="28" s="1"/>
  <c r="N246" i="28"/>
  <c r="P246" i="28" s="1"/>
  <c r="N257" i="28"/>
  <c r="P257" i="28" s="1"/>
  <c r="N496" i="28"/>
  <c r="P496" i="28" s="1"/>
  <c r="N189" i="28"/>
  <c r="P189" i="28" s="1"/>
  <c r="N448" i="28"/>
  <c r="P448" i="28" s="1"/>
  <c r="N247" i="28"/>
  <c r="P247" i="28" s="1"/>
  <c r="N441" i="28"/>
  <c r="P441" i="28" s="1"/>
  <c r="N134" i="28"/>
  <c r="P134" i="28" s="1"/>
  <c r="N410" i="28"/>
  <c r="P410" i="28" s="1"/>
  <c r="N138" i="28"/>
  <c r="P138" i="28" s="1"/>
  <c r="N561" i="28"/>
  <c r="P561" i="28" s="1"/>
  <c r="N278" i="28"/>
  <c r="P278" i="28" s="1"/>
  <c r="N382" i="28"/>
  <c r="P382" i="28" s="1"/>
  <c r="N193" i="28"/>
  <c r="P193" i="28" s="1"/>
  <c r="N427" i="28"/>
  <c r="P427" i="28" s="1"/>
  <c r="N203" i="28"/>
  <c r="P203" i="28" s="1"/>
  <c r="N15" i="28"/>
  <c r="P15" i="28" s="1"/>
  <c r="N132" i="28"/>
  <c r="P132" i="28" s="1"/>
  <c r="N95" i="28"/>
  <c r="P95" i="28" s="1"/>
  <c r="N79" i="28"/>
  <c r="P79" i="28" s="1"/>
  <c r="N215" i="28"/>
  <c r="P215" i="28" s="1"/>
  <c r="N248" i="28"/>
  <c r="P248" i="28" s="1"/>
  <c r="N476" i="28"/>
  <c r="P476" i="28" s="1"/>
  <c r="N200" i="28"/>
  <c r="P200" i="28" s="1"/>
  <c r="N454" i="28"/>
  <c r="P454" i="28" s="1"/>
  <c r="N167" i="28"/>
  <c r="P167" i="28" s="1"/>
  <c r="N416" i="28"/>
  <c r="P416" i="28" s="1"/>
  <c r="N137" i="28"/>
  <c r="P137" i="28" s="1"/>
  <c r="N395" i="28"/>
  <c r="P395" i="28" s="1"/>
  <c r="N61" i="28"/>
  <c r="P61" i="28" s="1"/>
  <c r="N552" i="28"/>
  <c r="P552" i="28" s="1"/>
  <c r="N265" i="28"/>
  <c r="P265" i="28" s="1"/>
  <c r="N357" i="28"/>
  <c r="P357" i="28" s="1"/>
  <c r="N179" i="28"/>
  <c r="P179" i="28" s="1"/>
  <c r="N402" i="28"/>
  <c r="P402" i="28" s="1"/>
  <c r="N172" i="28"/>
  <c r="P172" i="28" s="1"/>
  <c r="N58" i="28"/>
  <c r="P58" i="28" s="1"/>
  <c r="N35" i="28"/>
  <c r="P35" i="28" s="1"/>
  <c r="N191" i="28"/>
  <c r="P191" i="28" s="1"/>
  <c r="N38" i="28"/>
  <c r="P38" i="28" s="1"/>
  <c r="N358" i="28"/>
  <c r="P358" i="28" s="1"/>
  <c r="N195" i="28"/>
  <c r="P195" i="28" s="1"/>
  <c r="N155" i="28"/>
  <c r="P155" i="28" s="1"/>
  <c r="N102" i="28"/>
  <c r="P102" i="28" s="1"/>
  <c r="N607" i="28"/>
  <c r="P607" i="28" s="1"/>
  <c r="N192" i="28"/>
  <c r="P192" i="28" s="1"/>
  <c r="N482" i="28"/>
  <c r="P482" i="28" s="1"/>
  <c r="N390" i="28"/>
  <c r="P390" i="28" s="1"/>
  <c r="N267" i="28"/>
  <c r="P267" i="28" s="1"/>
  <c r="N538" i="28"/>
  <c r="P538" i="28" s="1"/>
  <c r="N449" i="28"/>
  <c r="P449" i="28" s="1"/>
  <c r="N391" i="28"/>
  <c r="P391" i="28" s="1"/>
  <c r="N183" i="28"/>
  <c r="P183" i="28" s="1"/>
  <c r="N91" i="28"/>
  <c r="P91" i="28" s="1"/>
  <c r="N545" i="28"/>
  <c r="P545" i="28" s="1"/>
  <c r="N227" i="28"/>
  <c r="P227" i="28" s="1"/>
  <c r="N458" i="28"/>
  <c r="P458" i="28" s="1"/>
  <c r="N361" i="28"/>
  <c r="P361" i="28" s="1"/>
  <c r="B26" i="28"/>
  <c r="N13" i="28"/>
  <c r="P13" i="28" s="1"/>
  <c r="B24" i="28" s="1"/>
  <c r="N217" i="28"/>
  <c r="P217" i="28" s="1"/>
  <c r="N297" i="28"/>
  <c r="P297" i="28" s="1"/>
  <c r="N314" i="28"/>
  <c r="P314" i="28" s="1"/>
  <c r="N306" i="28"/>
  <c r="P306" i="28" s="1"/>
  <c r="N229" i="28"/>
  <c r="P229" i="28" s="1"/>
  <c r="N386" i="28"/>
  <c r="P386" i="28" s="1"/>
  <c r="N452" i="28"/>
  <c r="P452" i="28" s="1"/>
  <c r="N262" i="28"/>
  <c r="P262" i="28" s="1"/>
  <c r="N536" i="28"/>
  <c r="P536" i="28" s="1"/>
  <c r="N269" i="28"/>
  <c r="P269" i="28" s="1"/>
  <c r="N25" i="28"/>
  <c r="P25" i="28" s="1"/>
  <c r="N277" i="28"/>
  <c r="P277" i="28" s="1"/>
  <c r="N19" i="28"/>
  <c r="P19" i="28" s="1"/>
  <c r="N590" i="28"/>
  <c r="P590" i="28" s="1"/>
  <c r="N597" i="28"/>
  <c r="P597" i="28" s="1"/>
  <c r="N414" i="28"/>
  <c r="P414" i="28" s="1"/>
  <c r="N181" i="28"/>
  <c r="P181" i="28" s="1"/>
  <c r="N253" i="28"/>
  <c r="P253" i="28" s="1"/>
  <c r="N565" i="28"/>
  <c r="P565" i="28" s="1"/>
  <c r="N546" i="28"/>
  <c r="P546" i="28" s="1"/>
  <c r="N224" i="28"/>
  <c r="P224" i="28" s="1"/>
  <c r="N324" i="28"/>
  <c r="N450" i="28"/>
  <c r="P450" i="28" s="1"/>
  <c r="N430" i="28"/>
  <c r="N305" i="28"/>
  <c r="P305" i="28" s="1"/>
  <c r="N205" i="28"/>
  <c r="P205" i="28" s="1"/>
  <c r="N214" i="28"/>
  <c r="P214" i="28" s="1"/>
  <c r="N610" i="28"/>
  <c r="P610" i="28" s="1"/>
  <c r="N575" i="28"/>
  <c r="P575" i="28" s="1"/>
  <c r="N453" i="28"/>
  <c r="P453" i="28" s="1"/>
  <c r="N302" i="28"/>
  <c r="P302" i="28" s="1"/>
  <c r="N594" i="28"/>
  <c r="N385" i="28"/>
  <c r="P385" i="28" s="1"/>
  <c r="N325" i="28"/>
  <c r="P325" i="28" s="1"/>
  <c r="N609" i="28"/>
  <c r="P609" i="28" s="1"/>
  <c r="N383" i="28"/>
  <c r="P383" i="28" s="1"/>
  <c r="N584" i="28"/>
  <c r="P584" i="28" s="1"/>
  <c r="N256" i="28"/>
  <c r="P256" i="28" s="1"/>
  <c r="N558" i="28"/>
  <c r="P558" i="28" s="1"/>
  <c r="N434" i="28"/>
  <c r="P434" i="28" s="1"/>
  <c r="N109" i="28"/>
  <c r="P109" i="28" s="1"/>
  <c r="N106" i="28"/>
  <c r="P106" i="28" s="1"/>
  <c r="N380" i="28"/>
  <c r="P380" i="28" s="1"/>
  <c r="N113" i="28"/>
  <c r="P113" i="28" s="1"/>
  <c r="N489" i="28"/>
  <c r="P489" i="28" s="1"/>
  <c r="N44" i="28"/>
  <c r="P44" i="28" s="1"/>
  <c r="N351" i="28"/>
  <c r="P351" i="28" s="1"/>
  <c r="N112" i="28"/>
  <c r="P112" i="28" s="1"/>
  <c r="N332" i="28"/>
  <c r="P332" i="28" s="1"/>
  <c r="N570" i="28"/>
  <c r="P570" i="28" s="1"/>
  <c r="N301" i="28"/>
  <c r="P301" i="28" s="1"/>
  <c r="N220" i="28"/>
  <c r="P220" i="28" s="1"/>
  <c r="N591" i="28"/>
  <c r="P591" i="28" s="1"/>
  <c r="N371" i="28"/>
  <c r="P371" i="28" s="1"/>
  <c r="N68" i="28"/>
  <c r="P68" i="28" s="1"/>
  <c r="N323" i="28"/>
  <c r="P323" i="28" s="1"/>
  <c r="N600" i="28"/>
  <c r="P600" i="28" s="1"/>
  <c r="N319" i="28"/>
  <c r="P319" i="28" s="1"/>
  <c r="N571" i="28"/>
  <c r="P571" i="28" s="1"/>
  <c r="N292" i="28"/>
  <c r="P292" i="28" s="1"/>
  <c r="N560" i="28"/>
  <c r="P560" i="28" s="1"/>
  <c r="N435" i="28"/>
  <c r="P435" i="28" s="1"/>
  <c r="N115" i="28"/>
  <c r="P115" i="28" s="1"/>
  <c r="N50" i="28"/>
  <c r="P50" i="28" s="1"/>
  <c r="N352" i="28"/>
  <c r="P352" i="28" s="1"/>
  <c r="N67" i="28"/>
  <c r="P67" i="28" s="1"/>
  <c r="N480" i="28"/>
  <c r="P480" i="28" s="1"/>
  <c r="N48" i="28"/>
  <c r="P48" i="28" s="1"/>
  <c r="N45" i="28"/>
  <c r="P45" i="28" s="1"/>
  <c r="N213" i="28"/>
  <c r="P213" i="28" s="1"/>
  <c r="N399" i="28"/>
  <c r="P399" i="28" s="1"/>
  <c r="N583" i="28"/>
  <c r="N420" i="28"/>
  <c r="P420" i="28" s="1"/>
  <c r="N118" i="28"/>
  <c r="P118" i="28" s="1"/>
  <c r="N141" i="28"/>
  <c r="N415" i="28"/>
  <c r="P415" i="28" s="1"/>
  <c r="N119" i="28"/>
  <c r="P119" i="28" s="1"/>
  <c r="N398" i="28"/>
  <c r="P398" i="28" s="1"/>
  <c r="N72" i="28"/>
  <c r="P72" i="28" s="1"/>
  <c r="N368" i="28"/>
  <c r="P368" i="28" s="1"/>
  <c r="N57" i="28"/>
  <c r="P57" i="28" s="1"/>
  <c r="N307" i="28"/>
  <c r="P307" i="28" s="1"/>
  <c r="N604" i="28"/>
  <c r="P604" i="28" s="1"/>
  <c r="N481" i="28"/>
  <c r="P481" i="28" s="1"/>
  <c r="N175" i="28"/>
  <c r="P175" i="28" s="1"/>
  <c r="N162" i="28"/>
  <c r="P162" i="28" s="1"/>
  <c r="N542" i="28"/>
  <c r="P542" i="28" s="1"/>
  <c r="N242" i="28"/>
  <c r="P242" i="28" s="1"/>
  <c r="N14" i="28"/>
  <c r="P14" i="28" s="1"/>
  <c r="N365" i="28"/>
  <c r="P365" i="28" s="1"/>
  <c r="N389" i="28"/>
  <c r="P389" i="28" s="1"/>
  <c r="N343" i="28"/>
  <c r="P343" i="28" s="1"/>
  <c r="N408" i="28"/>
  <c r="P408" i="28" s="1"/>
  <c r="N627" i="28"/>
  <c r="N259" i="28"/>
  <c r="P259" i="28" s="1"/>
  <c r="N392" i="28"/>
  <c r="P392" i="28" s="1"/>
  <c r="N97" i="28"/>
  <c r="P97" i="28" s="1"/>
  <c r="N348" i="28"/>
  <c r="P348" i="28" s="1"/>
  <c r="N51" i="28"/>
  <c r="P51" i="28" s="1"/>
  <c r="N355" i="28"/>
  <c r="P355" i="28" s="1"/>
  <c r="N130" i="28"/>
  <c r="P130" i="28" s="1"/>
  <c r="N335" i="28"/>
  <c r="P335" i="28" s="1"/>
  <c r="N587" i="28"/>
  <c r="P587" i="28" s="1"/>
  <c r="N498" i="28"/>
  <c r="P498" i="28" s="1"/>
  <c r="N212" i="28"/>
  <c r="P212" i="28" s="1"/>
  <c r="N158" i="28"/>
  <c r="N512" i="28"/>
  <c r="P512" i="28" s="1"/>
  <c r="N188" i="28"/>
  <c r="P188" i="28" s="1"/>
  <c r="N16" i="28"/>
  <c r="P16" i="28" s="1"/>
  <c r="N270" i="28"/>
  <c r="P270" i="28" s="1"/>
  <c r="N131" i="28"/>
  <c r="P131" i="28" s="1"/>
  <c r="N484" i="28"/>
  <c r="P484" i="28" s="1"/>
  <c r="N574" i="28"/>
  <c r="P574" i="28" s="1"/>
  <c r="N629" i="28"/>
  <c r="P629" i="28" s="1"/>
  <c r="N258" i="28"/>
  <c r="P258" i="28" s="1"/>
  <c r="N388" i="28"/>
  <c r="P388" i="28" s="1"/>
  <c r="N493" i="28"/>
  <c r="P493" i="28" s="1"/>
  <c r="N309" i="28"/>
  <c r="P309" i="28" s="1"/>
  <c r="N460" i="28"/>
  <c r="P460" i="28" s="1"/>
  <c r="N30" i="28"/>
  <c r="P30" i="28" s="1"/>
  <c r="N272" i="28"/>
  <c r="P272" i="28" s="1"/>
  <c r="N96" i="28"/>
  <c r="P96" i="28" s="1"/>
  <c r="N71" i="28"/>
  <c r="P71" i="28" s="1"/>
  <c r="N526" i="28"/>
  <c r="P526" i="28" s="1"/>
  <c r="N32" i="28"/>
  <c r="P32" i="28" s="1"/>
  <c r="N186" i="28"/>
  <c r="P186" i="28" s="1"/>
  <c r="N126" i="28"/>
  <c r="P126" i="28" s="1"/>
  <c r="N295" i="28"/>
  <c r="P295" i="28" s="1"/>
  <c r="N85" i="28"/>
  <c r="P85" i="28" s="1"/>
  <c r="N164" i="28"/>
  <c r="P164" i="28" s="1"/>
  <c r="N400" i="28"/>
  <c r="P400" i="28" s="1"/>
  <c r="N515" i="28"/>
  <c r="P515" i="28" s="1"/>
  <c r="N345" i="28"/>
  <c r="P345" i="28" s="1"/>
  <c r="N165" i="28"/>
  <c r="P165" i="28" s="1"/>
  <c r="N271" i="28"/>
  <c r="P271" i="28" s="1"/>
  <c r="N178" i="28"/>
  <c r="P178" i="28" s="1"/>
  <c r="N326" i="28"/>
  <c r="P326" i="28" s="1"/>
  <c r="N99" i="28"/>
  <c r="P99" i="28" s="1"/>
  <c r="N121" i="28"/>
  <c r="P121" i="28" s="1"/>
  <c r="N199" i="28"/>
  <c r="P199" i="28" s="1"/>
  <c r="N462" i="28"/>
  <c r="P462" i="28" s="1"/>
  <c r="N418" i="28"/>
  <c r="P418" i="28" s="1"/>
  <c r="N94" i="28"/>
  <c r="P94" i="28" s="1"/>
  <c r="N103" i="28"/>
  <c r="P103" i="28" s="1"/>
  <c r="N375" i="28"/>
  <c r="P375" i="28" s="1"/>
  <c r="N428" i="28"/>
  <c r="P428" i="28" s="1"/>
  <c r="N537" i="28"/>
  <c r="P537" i="28" s="1"/>
  <c r="N466" i="28"/>
  <c r="P466" i="28" s="1"/>
  <c r="N139" i="28"/>
  <c r="P139" i="28" s="1"/>
  <c r="N273" i="28"/>
  <c r="P273" i="28" s="1"/>
  <c r="N331" i="28"/>
  <c r="P331" i="28" s="1"/>
  <c r="N320" i="28"/>
  <c r="P320" i="28" s="1"/>
  <c r="N588" i="28"/>
  <c r="P588" i="28" s="1"/>
  <c r="N521" i="28"/>
  <c r="P521" i="28" s="1"/>
  <c r="N411" i="28"/>
  <c r="P411" i="28" s="1"/>
  <c r="N73" i="28"/>
  <c r="P73" i="28" s="1"/>
  <c r="O455" i="28"/>
  <c r="T455" i="28" s="1"/>
  <c r="O381" i="28"/>
  <c r="G632" i="28"/>
  <c r="D622" i="28"/>
  <c r="E622" i="28" s="1"/>
  <c r="F623" i="28"/>
  <c r="AM623" i="28"/>
  <c r="AP623" i="28"/>
  <c r="K623" i="28"/>
  <c r="G623" i="28"/>
  <c r="H623" i="28" s="1"/>
  <c r="I623" i="28" s="1"/>
  <c r="AJ623" i="28"/>
  <c r="B22" i="28"/>
  <c r="B112" i="2"/>
  <c r="B128" i="2" s="1"/>
  <c r="B166" i="2"/>
  <c r="B173" i="2" s="1"/>
  <c r="B390" i="2"/>
  <c r="B74" i="2"/>
  <c r="E15" i="1" s="1"/>
  <c r="G207" i="2"/>
  <c r="C89" i="2"/>
  <c r="B89" i="2"/>
  <c r="B153" i="2" s="1"/>
  <c r="B229" i="2"/>
  <c r="L366" i="2"/>
  <c r="B373" i="2"/>
  <c r="B356" i="2"/>
  <c r="C87" i="2"/>
  <c r="B324" i="2"/>
  <c r="D472" i="2"/>
  <c r="D471" i="2"/>
  <c r="K381" i="2"/>
  <c r="B343" i="2"/>
  <c r="B342" i="2"/>
  <c r="C88" i="2"/>
  <c r="B87" i="2"/>
  <c r="B151" i="2" s="1"/>
  <c r="A516" i="2"/>
  <c r="B479" i="2"/>
  <c r="B480" i="2" s="1"/>
  <c r="BB40" i="33" l="1"/>
  <c r="BA40" i="33"/>
  <c r="AZ40" i="33"/>
  <c r="T40" i="33"/>
  <c r="R40" i="33"/>
  <c r="AL40" i="33"/>
  <c r="AM40" i="33" s="1"/>
  <c r="AN40" i="33"/>
  <c r="U40" i="33"/>
  <c r="P40" i="33"/>
  <c r="M40" i="33"/>
  <c r="BF40" i="33"/>
  <c r="BH40" i="33" s="1"/>
  <c r="BA141" i="33"/>
  <c r="AW141" i="33"/>
  <c r="AP141" i="33"/>
  <c r="AQ141" i="33" s="1"/>
  <c r="U141" i="33"/>
  <c r="R141" i="33"/>
  <c r="BB141" i="33"/>
  <c r="AR141" i="33"/>
  <c r="AT141" i="33" s="1"/>
  <c r="BT141" i="33" s="1"/>
  <c r="AZ141" i="33"/>
  <c r="T141" i="33"/>
  <c r="M141" i="33"/>
  <c r="BF141" i="33"/>
  <c r="BH141" i="33" s="1"/>
  <c r="AI141" i="33"/>
  <c r="AY73" i="33"/>
  <c r="BB73" i="33"/>
  <c r="BA73" i="33"/>
  <c r="AZ73" i="33"/>
  <c r="N73" i="33"/>
  <c r="P73" i="33"/>
  <c r="T73" i="33"/>
  <c r="M73" i="33"/>
  <c r="O73" i="33" s="1"/>
  <c r="BF73" i="33"/>
  <c r="BH73" i="33" s="1"/>
  <c r="BA104" i="33"/>
  <c r="AY104" i="33"/>
  <c r="AZ104" i="33"/>
  <c r="BB104" i="33"/>
  <c r="N104" i="33"/>
  <c r="M104" i="33"/>
  <c r="O104" i="33" s="1"/>
  <c r="BF104" i="33"/>
  <c r="BH104" i="33" s="1"/>
  <c r="AZ138" i="33"/>
  <c r="AP138" i="33"/>
  <c r="AQ138" i="33" s="1"/>
  <c r="R138" i="33"/>
  <c r="AW138" i="33"/>
  <c r="AR138" i="33"/>
  <c r="AT138" i="33" s="1"/>
  <c r="BA138" i="33"/>
  <c r="BB138" i="33"/>
  <c r="U138" i="33"/>
  <c r="T138" i="33"/>
  <c r="M138" i="33"/>
  <c r="N138" i="33" s="1"/>
  <c r="O138" i="33" s="1"/>
  <c r="BF138" i="33"/>
  <c r="BH138" i="33" s="1"/>
  <c r="AI138" i="33"/>
  <c r="BA136" i="33"/>
  <c r="AP136" i="33"/>
  <c r="AQ136" i="33" s="1"/>
  <c r="U136" i="33"/>
  <c r="R136" i="33"/>
  <c r="AZ136" i="33"/>
  <c r="AR136" i="33"/>
  <c r="BB136" i="33"/>
  <c r="AW136" i="33"/>
  <c r="T136" i="33"/>
  <c r="P136" i="33"/>
  <c r="M136" i="33"/>
  <c r="N136" i="33" s="1"/>
  <c r="BF136" i="33"/>
  <c r="BH136" i="33" s="1"/>
  <c r="AI136" i="33"/>
  <c r="BB14" i="33"/>
  <c r="AI14" i="33"/>
  <c r="BA14" i="33"/>
  <c r="AL14" i="33"/>
  <c r="AM14" i="33" s="1"/>
  <c r="AZ14" i="33"/>
  <c r="R14" i="33"/>
  <c r="T14" i="33"/>
  <c r="AN14" i="33"/>
  <c r="U14" i="33"/>
  <c r="M14" i="33"/>
  <c r="BF14" i="33"/>
  <c r="BH14" i="33" s="1"/>
  <c r="AP129" i="33"/>
  <c r="AQ129" i="33" s="1"/>
  <c r="R129" i="33"/>
  <c r="BB129" i="33"/>
  <c r="AW129" i="33"/>
  <c r="AR129" i="33"/>
  <c r="AT129" i="33" s="1"/>
  <c r="BT129" i="33" s="1"/>
  <c r="BA129" i="33"/>
  <c r="AZ129" i="33"/>
  <c r="U129" i="33"/>
  <c r="T129" i="33"/>
  <c r="N129" i="33"/>
  <c r="M129" i="33"/>
  <c r="BF129" i="33"/>
  <c r="BH129" i="33" s="1"/>
  <c r="AI129" i="33"/>
  <c r="AZ142" i="33"/>
  <c r="AP142" i="33"/>
  <c r="AQ142" i="33" s="1"/>
  <c r="AR142" i="33"/>
  <c r="BB142" i="33"/>
  <c r="BA142" i="33"/>
  <c r="R142" i="33"/>
  <c r="AW142" i="33"/>
  <c r="U142" i="33"/>
  <c r="T142" i="33"/>
  <c r="P142" i="33"/>
  <c r="M142" i="33"/>
  <c r="BF142" i="33"/>
  <c r="BH142" i="33" s="1"/>
  <c r="AI142" i="33"/>
  <c r="AL30" i="33"/>
  <c r="AM30" i="33" s="1"/>
  <c r="BA30" i="33"/>
  <c r="T30" i="33"/>
  <c r="AI30" i="33"/>
  <c r="R30" i="33"/>
  <c r="AZ30" i="33"/>
  <c r="AN30" i="33"/>
  <c r="BB30" i="33"/>
  <c r="U30" i="33"/>
  <c r="M30" i="33"/>
  <c r="BF30" i="33"/>
  <c r="BH30" i="33" s="1"/>
  <c r="BA177" i="33"/>
  <c r="AW177" i="33"/>
  <c r="BB177" i="33"/>
  <c r="R177" i="33"/>
  <c r="AP177" i="33"/>
  <c r="AQ177" i="33" s="1"/>
  <c r="AZ177" i="33"/>
  <c r="U177" i="33"/>
  <c r="AR177" i="33"/>
  <c r="AT177" i="33" s="1"/>
  <c r="BT177" i="33" s="1"/>
  <c r="T177" i="33"/>
  <c r="N177" i="33"/>
  <c r="O177" i="33" s="1"/>
  <c r="M177" i="33"/>
  <c r="BF177" i="33"/>
  <c r="BH177" i="33" s="1"/>
  <c r="AI177" i="33"/>
  <c r="BB25" i="33"/>
  <c r="AI25" i="33"/>
  <c r="BA25" i="33"/>
  <c r="R25" i="33"/>
  <c r="AN25" i="33"/>
  <c r="AL25" i="33"/>
  <c r="AM25" i="33" s="1"/>
  <c r="AZ25" i="33"/>
  <c r="T25" i="33"/>
  <c r="U25" i="33"/>
  <c r="P25" i="33"/>
  <c r="M25" i="33"/>
  <c r="BF25" i="33"/>
  <c r="BH25" i="33" s="1"/>
  <c r="AR208" i="33"/>
  <c r="AT208" i="33" s="1"/>
  <c r="AW208" i="33"/>
  <c r="BB208" i="33"/>
  <c r="BA208" i="33"/>
  <c r="R208" i="33"/>
  <c r="U208" i="33"/>
  <c r="AZ208" i="33"/>
  <c r="AP208" i="33"/>
  <c r="AQ208" i="33" s="1"/>
  <c r="T208" i="33"/>
  <c r="P208" i="33"/>
  <c r="Q208" i="33"/>
  <c r="AG208" i="33" s="1"/>
  <c r="AH208" i="33" s="1"/>
  <c r="M208" i="33"/>
  <c r="BF208" i="33"/>
  <c r="BH208" i="33" s="1"/>
  <c r="AI208" i="33"/>
  <c r="BB151" i="33"/>
  <c r="BA151" i="33"/>
  <c r="U151" i="33"/>
  <c r="AR151" i="33"/>
  <c r="R151" i="33"/>
  <c r="AZ151" i="33"/>
  <c r="AW151" i="33"/>
  <c r="AP151" i="33"/>
  <c r="AQ151" i="33" s="1"/>
  <c r="T151" i="33"/>
  <c r="P151" i="33"/>
  <c r="Q151" i="33" s="1"/>
  <c r="AG151" i="33" s="1"/>
  <c r="AH151" i="33" s="1"/>
  <c r="M151" i="33"/>
  <c r="BF151" i="33"/>
  <c r="BH151" i="33" s="1"/>
  <c r="AI151" i="33"/>
  <c r="AP178" i="33"/>
  <c r="AQ178" i="33" s="1"/>
  <c r="R178" i="33"/>
  <c r="BB178" i="33"/>
  <c r="U178" i="33"/>
  <c r="BA178" i="33"/>
  <c r="AZ178" i="33"/>
  <c r="AW178" i="33"/>
  <c r="AR178" i="33"/>
  <c r="AT178" i="33" s="1"/>
  <c r="T178" i="33"/>
  <c r="P178" i="33"/>
  <c r="M178" i="33"/>
  <c r="BF178" i="33"/>
  <c r="BH178" i="33" s="1"/>
  <c r="AI178" i="33"/>
  <c r="AI27" i="33"/>
  <c r="R27" i="33"/>
  <c r="AN27" i="33"/>
  <c r="BB27" i="33"/>
  <c r="AZ27" i="33"/>
  <c r="BA27" i="33"/>
  <c r="T27" i="33"/>
  <c r="AL27" i="33"/>
  <c r="AM27" i="33" s="1"/>
  <c r="U27" i="33"/>
  <c r="M27" i="33"/>
  <c r="BF27" i="33"/>
  <c r="BH27" i="33" s="1"/>
  <c r="R38" i="33"/>
  <c r="AL38" i="33" s="1"/>
  <c r="AM38" i="33" s="1"/>
  <c r="BB38" i="33"/>
  <c r="BA38" i="33"/>
  <c r="AZ38" i="33"/>
  <c r="T38" i="33"/>
  <c r="AN38" i="33"/>
  <c r="U38" i="33"/>
  <c r="M38" i="33"/>
  <c r="BF38" i="33"/>
  <c r="BH38" i="33" s="1"/>
  <c r="AZ121" i="33"/>
  <c r="AY121" i="33"/>
  <c r="BB121" i="33"/>
  <c r="BA121" i="33"/>
  <c r="N121" i="33"/>
  <c r="T121" i="33"/>
  <c r="M121" i="33"/>
  <c r="O121" i="33" s="1"/>
  <c r="BF121" i="33"/>
  <c r="BH121" i="33" s="1"/>
  <c r="AZ67" i="33"/>
  <c r="BA67" i="33"/>
  <c r="AY67" i="33"/>
  <c r="BB67" i="33"/>
  <c r="N67" i="33"/>
  <c r="T67" i="33" s="1"/>
  <c r="M67" i="33"/>
  <c r="O67" i="33" s="1"/>
  <c r="BF67" i="33"/>
  <c r="BH67" i="33" s="1"/>
  <c r="R44" i="33"/>
  <c r="BA44" i="33"/>
  <c r="AZ44" i="33"/>
  <c r="T44" i="33"/>
  <c r="BB44" i="33"/>
  <c r="AL44" i="33"/>
  <c r="AM44" i="33" s="1"/>
  <c r="AN44" i="33"/>
  <c r="U44" i="33"/>
  <c r="P44" i="33"/>
  <c r="Q44" i="33" s="1"/>
  <c r="M44" i="33"/>
  <c r="BF44" i="33"/>
  <c r="BH44" i="33" s="1"/>
  <c r="BB19" i="33"/>
  <c r="AI19" i="33"/>
  <c r="AL19" i="33"/>
  <c r="AM19" i="33" s="1"/>
  <c r="BA19" i="33"/>
  <c r="AZ19" i="33"/>
  <c r="AN19" i="33"/>
  <c r="T19" i="33"/>
  <c r="R19" i="33"/>
  <c r="U19" i="33"/>
  <c r="M19" i="33"/>
  <c r="BF19" i="33"/>
  <c r="BH19" i="33" s="1"/>
  <c r="R57" i="33"/>
  <c r="AZ57" i="33"/>
  <c r="BB57" i="33"/>
  <c r="BA57" i="33"/>
  <c r="T57" i="33"/>
  <c r="AL57" i="33"/>
  <c r="AM57" i="33" s="1"/>
  <c r="U57" i="33"/>
  <c r="N57" i="33"/>
  <c r="AN57" i="33"/>
  <c r="AO57" i="33" s="1"/>
  <c r="BS57" i="33" s="1"/>
  <c r="M57" i="33"/>
  <c r="BF57" i="33"/>
  <c r="BH57" i="33" s="1"/>
  <c r="U186" i="33"/>
  <c r="AZ186" i="33"/>
  <c r="AP186" i="33"/>
  <c r="AQ186" i="33" s="1"/>
  <c r="BA186" i="33"/>
  <c r="R186" i="33"/>
  <c r="AW186" i="33"/>
  <c r="BB186" i="33"/>
  <c r="AR186" i="33"/>
  <c r="T186" i="33"/>
  <c r="M186" i="33"/>
  <c r="BF186" i="33"/>
  <c r="BH186" i="33" s="1"/>
  <c r="AI186" i="33"/>
  <c r="U156" i="33"/>
  <c r="AR156" i="33"/>
  <c r="BB156" i="33"/>
  <c r="AZ156" i="33"/>
  <c r="AP156" i="33"/>
  <c r="AQ156" i="33" s="1"/>
  <c r="R156" i="33"/>
  <c r="BA156" i="33"/>
  <c r="AW156" i="33"/>
  <c r="T156" i="33"/>
  <c r="P156" i="33"/>
  <c r="M156" i="33"/>
  <c r="BF156" i="33"/>
  <c r="BH156" i="33" s="1"/>
  <c r="AI156" i="33"/>
  <c r="AP189" i="33"/>
  <c r="AQ189" i="33" s="1"/>
  <c r="AZ189" i="33"/>
  <c r="R189" i="33"/>
  <c r="AR189" i="33"/>
  <c r="BB189" i="33"/>
  <c r="BA189" i="33"/>
  <c r="U189" i="33"/>
  <c r="AW189" i="33"/>
  <c r="T189" i="33"/>
  <c r="P189" i="33"/>
  <c r="Q189" i="33" s="1"/>
  <c r="N189" i="33"/>
  <c r="M189" i="33"/>
  <c r="BF189" i="33"/>
  <c r="BH189" i="33" s="1"/>
  <c r="AI189" i="33"/>
  <c r="BA209" i="33"/>
  <c r="U209" i="33"/>
  <c r="AP209" i="33"/>
  <c r="AQ209" i="33" s="1"/>
  <c r="BB209" i="33"/>
  <c r="AZ209" i="33"/>
  <c r="R209" i="33"/>
  <c r="AR209" i="33"/>
  <c r="AT209" i="33" s="1"/>
  <c r="BT209" i="33" s="1"/>
  <c r="AW209" i="33"/>
  <c r="T209" i="33"/>
  <c r="N209" i="33"/>
  <c r="M209" i="33"/>
  <c r="BF209" i="33"/>
  <c r="BH209" i="33" s="1"/>
  <c r="AI209" i="33"/>
  <c r="R162" i="33"/>
  <c r="BB162" i="33"/>
  <c r="AW162" i="33"/>
  <c r="BA162" i="33"/>
  <c r="AZ162" i="33"/>
  <c r="AP162" i="33"/>
  <c r="AQ162" i="33" s="1"/>
  <c r="AR162" i="33"/>
  <c r="AT162" i="33" s="1"/>
  <c r="U162" i="33"/>
  <c r="T162" i="33"/>
  <c r="P162" i="33"/>
  <c r="Q162" i="33"/>
  <c r="M162" i="33"/>
  <c r="BF162" i="33"/>
  <c r="BH162" i="33" s="1"/>
  <c r="AI162" i="33"/>
  <c r="U206" i="33"/>
  <c r="R206" i="33"/>
  <c r="AW206" i="33"/>
  <c r="BA206" i="33"/>
  <c r="AZ206" i="33"/>
  <c r="AP206" i="33"/>
  <c r="AQ206" i="33" s="1"/>
  <c r="AR206" i="33"/>
  <c r="AT206" i="33" s="1"/>
  <c r="BB206" i="33"/>
  <c r="T206" i="33"/>
  <c r="N206" i="33"/>
  <c r="M206" i="33"/>
  <c r="BF206" i="33"/>
  <c r="BH206" i="33" s="1"/>
  <c r="AI206" i="33"/>
  <c r="BB88" i="33"/>
  <c r="BA88" i="33"/>
  <c r="AY88" i="33"/>
  <c r="AZ88" i="33"/>
  <c r="N88" i="33"/>
  <c r="M88" i="33"/>
  <c r="BF88" i="33"/>
  <c r="BH88" i="33" s="1"/>
  <c r="AW200" i="33"/>
  <c r="AR200" i="33"/>
  <c r="AZ200" i="33"/>
  <c r="U200" i="33"/>
  <c r="R200" i="33"/>
  <c r="AP200" i="33"/>
  <c r="AQ200" i="33" s="1"/>
  <c r="BA200" i="33"/>
  <c r="BB200" i="33"/>
  <c r="T200" i="33"/>
  <c r="P200" i="33"/>
  <c r="Q200" i="33"/>
  <c r="AG200" i="33"/>
  <c r="AH200" i="33" s="1"/>
  <c r="M200" i="33"/>
  <c r="BF200" i="33"/>
  <c r="BH200" i="33" s="1"/>
  <c r="AI200" i="33"/>
  <c r="AZ172" i="33"/>
  <c r="AP172" i="33"/>
  <c r="AQ172" i="33" s="1"/>
  <c r="AR172" i="33"/>
  <c r="BB172" i="33"/>
  <c r="BA172" i="33"/>
  <c r="U172" i="33"/>
  <c r="AW172" i="33"/>
  <c r="R172" i="33"/>
  <c r="T172" i="33"/>
  <c r="M172" i="33"/>
  <c r="BF172" i="33"/>
  <c r="BH172" i="33" s="1"/>
  <c r="AI172" i="33"/>
  <c r="AR191" i="33"/>
  <c r="R191" i="33"/>
  <c r="BA191" i="33"/>
  <c r="AW191" i="33"/>
  <c r="U191" i="33"/>
  <c r="AZ191" i="33"/>
  <c r="BB191" i="33"/>
  <c r="AP191" i="33"/>
  <c r="AQ191" i="33" s="1"/>
  <c r="T191" i="33"/>
  <c r="M191" i="33"/>
  <c r="BF191" i="33"/>
  <c r="BH191" i="33" s="1"/>
  <c r="AI191" i="33"/>
  <c r="AP196" i="33"/>
  <c r="AQ196" i="33" s="1"/>
  <c r="BB196" i="33"/>
  <c r="R196" i="33"/>
  <c r="BA196" i="33"/>
  <c r="AZ196" i="33"/>
  <c r="AW196" i="33"/>
  <c r="AR196" i="33"/>
  <c r="AT196" i="33" s="1"/>
  <c r="BT196" i="33" s="1"/>
  <c r="U196" i="33"/>
  <c r="T196" i="33"/>
  <c r="M196" i="33"/>
  <c r="BF196" i="33"/>
  <c r="BH196" i="33" s="1"/>
  <c r="AI196" i="33"/>
  <c r="AY89" i="33"/>
  <c r="BA89" i="33"/>
  <c r="AZ89" i="33"/>
  <c r="BB89" i="33"/>
  <c r="N89" i="33"/>
  <c r="T89" i="33"/>
  <c r="U89" i="33"/>
  <c r="M89" i="33"/>
  <c r="O89" i="33" s="1"/>
  <c r="BF89" i="33"/>
  <c r="BH89" i="33" s="1"/>
  <c r="R46" i="33"/>
  <c r="AL46" i="33" s="1"/>
  <c r="AM46" i="33" s="1"/>
  <c r="BB46" i="33"/>
  <c r="BA46" i="33"/>
  <c r="AZ46" i="33"/>
  <c r="T46" i="33"/>
  <c r="AN46" i="33"/>
  <c r="AO46" i="33" s="1"/>
  <c r="BS46" i="33" s="1"/>
  <c r="U46" i="33"/>
  <c r="N46" i="33"/>
  <c r="M46" i="33"/>
  <c r="BF46" i="33"/>
  <c r="BH46" i="33" s="1"/>
  <c r="BB149" i="33"/>
  <c r="AW149" i="33"/>
  <c r="AR149" i="33"/>
  <c r="AT149" i="33" s="1"/>
  <c r="BT149" i="33" s="1"/>
  <c r="U149" i="33"/>
  <c r="R149" i="33"/>
  <c r="BA149" i="33"/>
  <c r="AZ149" i="33"/>
  <c r="AP149" i="33"/>
  <c r="AQ149" i="33" s="1"/>
  <c r="T149" i="33"/>
  <c r="N149" i="33"/>
  <c r="P149" i="33"/>
  <c r="M149" i="33"/>
  <c r="BF149" i="33"/>
  <c r="BH149" i="33" s="1"/>
  <c r="AI149" i="33"/>
  <c r="AY115" i="33"/>
  <c r="AZ115" i="33"/>
  <c r="BB115" i="33"/>
  <c r="BA115" i="33"/>
  <c r="N115" i="33"/>
  <c r="M115" i="33"/>
  <c r="BF115" i="33"/>
  <c r="BH115" i="33" s="1"/>
  <c r="BB97" i="33"/>
  <c r="AZ97" i="33"/>
  <c r="BA97" i="33"/>
  <c r="AY97" i="33"/>
  <c r="N97" i="33"/>
  <c r="T97" i="33" s="1"/>
  <c r="M97" i="33"/>
  <c r="BF97" i="33"/>
  <c r="BH97" i="33" s="1"/>
  <c r="BA91" i="33"/>
  <c r="AZ91" i="33"/>
  <c r="AY91" i="33"/>
  <c r="BB91" i="33"/>
  <c r="N91" i="33"/>
  <c r="T91" i="33" s="1"/>
  <c r="P91" i="33"/>
  <c r="M91" i="33"/>
  <c r="BF91" i="33"/>
  <c r="BH91" i="33" s="1"/>
  <c r="BB15" i="33"/>
  <c r="BA15" i="33"/>
  <c r="AZ15" i="33"/>
  <c r="AL15" i="33"/>
  <c r="AM15" i="33" s="1"/>
  <c r="T15" i="33"/>
  <c r="AI15" i="33"/>
  <c r="AN15" i="33"/>
  <c r="AO15" i="33" s="1"/>
  <c r="R15" i="33"/>
  <c r="U15" i="33"/>
  <c r="N15" i="33"/>
  <c r="M15" i="33"/>
  <c r="BF15" i="33"/>
  <c r="BH15" i="33" s="1"/>
  <c r="BB81" i="33"/>
  <c r="AY81" i="33"/>
  <c r="BA81" i="33"/>
  <c r="AZ81" i="33"/>
  <c r="N81" i="33"/>
  <c r="P81" i="33" s="1"/>
  <c r="Q81" i="33"/>
  <c r="R81" i="33" s="1"/>
  <c r="V81" i="33" s="1"/>
  <c r="M81" i="33"/>
  <c r="BF81" i="33"/>
  <c r="BH81" i="33" s="1"/>
  <c r="U154" i="33"/>
  <c r="AP154" i="33"/>
  <c r="AQ154" i="33" s="1"/>
  <c r="AR154" i="33"/>
  <c r="AW154" i="33"/>
  <c r="AZ154" i="33"/>
  <c r="BB154" i="33"/>
  <c r="BA154" i="33"/>
  <c r="R154" i="33"/>
  <c r="T154" i="33"/>
  <c r="P154" i="33"/>
  <c r="M154" i="33"/>
  <c r="BF154" i="33"/>
  <c r="BH154" i="33" s="1"/>
  <c r="AI154" i="33"/>
  <c r="BA124" i="33"/>
  <c r="U124" i="33"/>
  <c r="AP124" i="33"/>
  <c r="AQ124" i="33" s="1"/>
  <c r="AZ124" i="33"/>
  <c r="AR124" i="33"/>
  <c r="AT124" i="33" s="1"/>
  <c r="BT124" i="33" s="1"/>
  <c r="R124" i="33"/>
  <c r="AW124" i="33"/>
  <c r="BB124" i="33"/>
  <c r="T124" i="33"/>
  <c r="N124" i="33"/>
  <c r="M124" i="33"/>
  <c r="BF124" i="33"/>
  <c r="BH124" i="33" s="1"/>
  <c r="AI124" i="33"/>
  <c r="BA80" i="33"/>
  <c r="AY80" i="33"/>
  <c r="BB80" i="33"/>
  <c r="AZ80" i="33"/>
  <c r="N80" i="33"/>
  <c r="P80" i="33"/>
  <c r="T80" i="33"/>
  <c r="Q80" i="33"/>
  <c r="M80" i="33"/>
  <c r="O80" i="33" s="1"/>
  <c r="BF80" i="33"/>
  <c r="BH80" i="33" s="1"/>
  <c r="AY96" i="33"/>
  <c r="AZ96" i="33"/>
  <c r="BB96" i="33"/>
  <c r="BA96" i="33"/>
  <c r="N96" i="33"/>
  <c r="T96" i="33" s="1"/>
  <c r="M96" i="33"/>
  <c r="BF96" i="33"/>
  <c r="BH96" i="33" s="1"/>
  <c r="AY82" i="33"/>
  <c r="AZ82" i="33"/>
  <c r="BA82" i="33"/>
  <c r="BB82" i="33"/>
  <c r="N82" i="33"/>
  <c r="T82" i="33" s="1"/>
  <c r="P82" i="33"/>
  <c r="M82" i="33"/>
  <c r="BF82" i="33"/>
  <c r="BH82" i="33" s="1"/>
  <c r="AW204" i="33"/>
  <c r="R204" i="33"/>
  <c r="AP204" i="33"/>
  <c r="AQ204" i="33" s="1"/>
  <c r="BB204" i="33"/>
  <c r="AZ204" i="33"/>
  <c r="AR204" i="33"/>
  <c r="AT204" i="33" s="1"/>
  <c r="BA204" i="33"/>
  <c r="U204" i="33"/>
  <c r="T204" i="33"/>
  <c r="M204" i="33"/>
  <c r="BF204" i="33"/>
  <c r="BH204" i="33" s="1"/>
  <c r="AI204" i="33"/>
  <c r="R49" i="33"/>
  <c r="BB49" i="33"/>
  <c r="T49" i="33"/>
  <c r="AZ49" i="33"/>
  <c r="BA49" i="33"/>
  <c r="AL49" i="33"/>
  <c r="AM49" i="33" s="1"/>
  <c r="AN49" i="33"/>
  <c r="AO49" i="33" s="1"/>
  <c r="BS49" i="33" s="1"/>
  <c r="U49" i="33"/>
  <c r="M49" i="33"/>
  <c r="BF49" i="33"/>
  <c r="BH49" i="33" s="1"/>
  <c r="BA193" i="33"/>
  <c r="BB193" i="33"/>
  <c r="AP193" i="33"/>
  <c r="AQ193" i="33" s="1"/>
  <c r="AR193" i="33"/>
  <c r="AT193" i="33" s="1"/>
  <c r="BT193" i="33" s="1"/>
  <c r="AZ193" i="33"/>
  <c r="U193" i="33"/>
  <c r="R193" i="33"/>
  <c r="AW193" i="33"/>
  <c r="T193" i="33"/>
  <c r="M193" i="33"/>
  <c r="BF193" i="33"/>
  <c r="BH193" i="33" s="1"/>
  <c r="AI193" i="33"/>
  <c r="AP203" i="33"/>
  <c r="AQ203" i="33" s="1"/>
  <c r="U203" i="33"/>
  <c r="R203" i="33"/>
  <c r="AW203" i="33"/>
  <c r="AR203" i="33"/>
  <c r="AT203" i="33" s="1"/>
  <c r="BT203" i="33" s="1"/>
  <c r="AZ203" i="33"/>
  <c r="BB203" i="33"/>
  <c r="BA203" i="33"/>
  <c r="T203" i="33"/>
  <c r="M203" i="33"/>
  <c r="BF203" i="33"/>
  <c r="BH203" i="33" s="1"/>
  <c r="AI203" i="33"/>
  <c r="AZ165" i="33"/>
  <c r="AW165" i="33"/>
  <c r="AP165" i="33"/>
  <c r="AQ165" i="33" s="1"/>
  <c r="BA165" i="33"/>
  <c r="R165" i="33"/>
  <c r="U165" i="33"/>
  <c r="AR165" i="33"/>
  <c r="BB165" i="33"/>
  <c r="T165" i="33"/>
  <c r="N165" i="33"/>
  <c r="M165" i="33"/>
  <c r="BF165" i="33"/>
  <c r="BH165" i="33" s="1"/>
  <c r="AI165" i="33"/>
  <c r="R195" i="33"/>
  <c r="AZ195" i="33"/>
  <c r="BB195" i="33"/>
  <c r="AR195" i="33"/>
  <c r="AT195" i="33" s="1"/>
  <c r="AW195" i="33"/>
  <c r="BA195" i="33"/>
  <c r="AP195" i="33"/>
  <c r="AQ195" i="33" s="1"/>
  <c r="U195" i="33"/>
  <c r="T195" i="33"/>
  <c r="N195" i="33"/>
  <c r="O195" i="33" s="1"/>
  <c r="P195" i="33"/>
  <c r="M195" i="33"/>
  <c r="BF195" i="33"/>
  <c r="BH195" i="33" s="1"/>
  <c r="AI195" i="33"/>
  <c r="BB101" i="33"/>
  <c r="AZ101" i="33"/>
  <c r="BA101" i="33"/>
  <c r="AY101" i="33"/>
  <c r="N101" i="33"/>
  <c r="M101" i="33"/>
  <c r="BF101" i="33"/>
  <c r="BH101" i="33" s="1"/>
  <c r="AR143" i="33"/>
  <c r="AP143" i="33"/>
  <c r="AQ143" i="33" s="1"/>
  <c r="U143" i="33"/>
  <c r="BA143" i="33"/>
  <c r="R143" i="33"/>
  <c r="AW143" i="33"/>
  <c r="BB143" i="33"/>
  <c r="AZ143" i="33"/>
  <c r="T143" i="33"/>
  <c r="N143" i="33"/>
  <c r="M143" i="33"/>
  <c r="P143" i="33" s="1"/>
  <c r="BF143" i="33"/>
  <c r="BH143" i="33" s="1"/>
  <c r="AI143" i="33"/>
  <c r="AZ9" i="33"/>
  <c r="AL9" i="33"/>
  <c r="AM9" i="33" s="1"/>
  <c r="T9" i="33"/>
  <c r="BA9" i="33"/>
  <c r="R9" i="33"/>
  <c r="AN9" i="33"/>
  <c r="AO9" i="33" s="1"/>
  <c r="AI9" i="33"/>
  <c r="BB9" i="33"/>
  <c r="U9" i="33"/>
  <c r="M9" i="33"/>
  <c r="BF9" i="33"/>
  <c r="BH9" i="33" s="1"/>
  <c r="B75" i="33" s="1"/>
  <c r="B76" i="33" s="1"/>
  <c r="AY122" i="33"/>
  <c r="BB122" i="33"/>
  <c r="BA122" i="33"/>
  <c r="AZ122" i="33"/>
  <c r="N122" i="33"/>
  <c r="P122" i="33"/>
  <c r="T122" i="33"/>
  <c r="M122" i="33"/>
  <c r="BF122" i="33"/>
  <c r="BH122" i="33" s="1"/>
  <c r="BB35" i="33"/>
  <c r="BA35" i="33"/>
  <c r="AZ35" i="33"/>
  <c r="T35" i="33"/>
  <c r="AN35" i="33"/>
  <c r="U35" i="33"/>
  <c r="N35" i="33"/>
  <c r="P35" i="33"/>
  <c r="Q35" i="33" s="1"/>
  <c r="W35" i="33"/>
  <c r="M35" i="33"/>
  <c r="BF35" i="33"/>
  <c r="BH35" i="33" s="1"/>
  <c r="U126" i="33"/>
  <c r="R126" i="33"/>
  <c r="AZ126" i="33"/>
  <c r="AR126" i="33"/>
  <c r="BB126" i="33"/>
  <c r="AW126" i="33"/>
  <c r="BA126" i="33"/>
  <c r="AP126" i="33"/>
  <c r="AQ126" i="33" s="1"/>
  <c r="T126" i="33"/>
  <c r="P126" i="33"/>
  <c r="Q126" i="33" s="1"/>
  <c r="AG126" i="33" s="1"/>
  <c r="AH126" i="33" s="1"/>
  <c r="M126" i="33"/>
  <c r="N126" i="33" s="1"/>
  <c r="BF126" i="33"/>
  <c r="BH126" i="33" s="1"/>
  <c r="AI126" i="33"/>
  <c r="AZ86" i="33"/>
  <c r="BB86" i="33"/>
  <c r="BA86" i="33"/>
  <c r="AY86" i="33"/>
  <c r="N86" i="33"/>
  <c r="T86" i="33" s="1"/>
  <c r="M86" i="33"/>
  <c r="O86" i="33" s="1"/>
  <c r="BF86" i="33"/>
  <c r="BH86" i="33" s="1"/>
  <c r="BB106" i="33"/>
  <c r="BA106" i="33"/>
  <c r="AZ106" i="33"/>
  <c r="AY106" i="33"/>
  <c r="N106" i="33"/>
  <c r="T106" i="33"/>
  <c r="P106" i="33"/>
  <c r="M106" i="33"/>
  <c r="O106" i="33" s="1"/>
  <c r="U106" i="33" s="1"/>
  <c r="BF106" i="33"/>
  <c r="BH106" i="33" s="1"/>
  <c r="AR173" i="33"/>
  <c r="AP173" i="33"/>
  <c r="AQ173" i="33" s="1"/>
  <c r="BB173" i="33"/>
  <c r="R173" i="33"/>
  <c r="AW173" i="33"/>
  <c r="U173" i="33"/>
  <c r="AZ173" i="33"/>
  <c r="BA173" i="33"/>
  <c r="T173" i="33"/>
  <c r="M173" i="33"/>
  <c r="BF173" i="33"/>
  <c r="BH173" i="33" s="1"/>
  <c r="AI173" i="33"/>
  <c r="AY68" i="33"/>
  <c r="BB68" i="33"/>
  <c r="BA68" i="33"/>
  <c r="AZ68" i="33"/>
  <c r="N68" i="33"/>
  <c r="T68" i="33" s="1"/>
  <c r="P68" i="33"/>
  <c r="M68" i="33"/>
  <c r="BF68" i="33"/>
  <c r="BH68" i="33" s="1"/>
  <c r="U159" i="33"/>
  <c r="AP159" i="33"/>
  <c r="AQ159" i="33" s="1"/>
  <c r="AZ159" i="33"/>
  <c r="R159" i="33"/>
  <c r="AW159" i="33"/>
  <c r="AR159" i="33"/>
  <c r="BA159" i="33"/>
  <c r="BB159" i="33"/>
  <c r="T159" i="33"/>
  <c r="P159" i="33"/>
  <c r="N159" i="33"/>
  <c r="M159" i="33"/>
  <c r="BF159" i="33"/>
  <c r="BH159" i="33" s="1"/>
  <c r="AI159" i="33"/>
  <c r="BA175" i="33"/>
  <c r="AZ175" i="33"/>
  <c r="U175" i="33"/>
  <c r="AR175" i="33"/>
  <c r="AT175" i="33" s="1"/>
  <c r="BT175" i="33" s="1"/>
  <c r="R175" i="33"/>
  <c r="AW175" i="33"/>
  <c r="BB175" i="33"/>
  <c r="AP175" i="33"/>
  <c r="AQ175" i="33" s="1"/>
  <c r="T175" i="33"/>
  <c r="M175" i="33"/>
  <c r="BF175" i="33"/>
  <c r="BH175" i="33" s="1"/>
  <c r="AI175" i="33"/>
  <c r="BA70" i="33"/>
  <c r="AZ70" i="33"/>
  <c r="AY70" i="33"/>
  <c r="BB70" i="33"/>
  <c r="N70" i="33"/>
  <c r="P70" i="33"/>
  <c r="Q70" i="33"/>
  <c r="M70" i="33"/>
  <c r="O70" i="33" s="1"/>
  <c r="U70" i="33" s="1"/>
  <c r="BF70" i="33"/>
  <c r="BH70" i="33" s="1"/>
  <c r="BB17" i="33"/>
  <c r="AL17" i="33"/>
  <c r="AM17" i="33" s="1"/>
  <c r="AI17" i="33"/>
  <c r="AZ17" i="33"/>
  <c r="R17" i="33"/>
  <c r="BA17" i="33"/>
  <c r="T17" i="33"/>
  <c r="AN17" i="33"/>
  <c r="AO17" i="33" s="1"/>
  <c r="BS17" i="33" s="1"/>
  <c r="U17" i="33"/>
  <c r="M17" i="33"/>
  <c r="BF17" i="33"/>
  <c r="BH17" i="33" s="1"/>
  <c r="AR155" i="33"/>
  <c r="AP155" i="33"/>
  <c r="AQ155" i="33" s="1"/>
  <c r="BB155" i="33"/>
  <c r="R155" i="33"/>
  <c r="AW155" i="33"/>
  <c r="BA155" i="33"/>
  <c r="U155" i="33"/>
  <c r="AZ155" i="33"/>
  <c r="T155" i="33"/>
  <c r="M155" i="33"/>
  <c r="N155" i="33" s="1"/>
  <c r="BF155" i="33"/>
  <c r="BH155" i="33" s="1"/>
  <c r="AI155" i="33"/>
  <c r="AY79" i="33"/>
  <c r="BA79" i="33"/>
  <c r="BB79" i="33"/>
  <c r="AZ79" i="33"/>
  <c r="N79" i="33"/>
  <c r="M79" i="33"/>
  <c r="O79" i="33" s="1"/>
  <c r="BF79" i="33"/>
  <c r="BH79" i="33" s="1"/>
  <c r="R190" i="33"/>
  <c r="AZ190" i="33"/>
  <c r="AP190" i="33"/>
  <c r="AQ190" i="33" s="1"/>
  <c r="AR190" i="33"/>
  <c r="AT190" i="33" s="1"/>
  <c r="BT190" i="33" s="1"/>
  <c r="BA190" i="33"/>
  <c r="BB190" i="33"/>
  <c r="U190" i="33"/>
  <c r="AW190" i="33"/>
  <c r="T190" i="33"/>
  <c r="P190" i="33"/>
  <c r="Q190" i="33"/>
  <c r="AG190" i="33" s="1"/>
  <c r="AH190" i="33" s="1"/>
  <c r="M190" i="33"/>
  <c r="N190" i="33" s="1"/>
  <c r="BF190" i="33"/>
  <c r="BH190" i="33" s="1"/>
  <c r="AI190" i="33"/>
  <c r="AZ110" i="33"/>
  <c r="AY110" i="33"/>
  <c r="BA110" i="33"/>
  <c r="BB110" i="33"/>
  <c r="N110" i="33"/>
  <c r="T110" i="33"/>
  <c r="P110" i="33"/>
  <c r="M110" i="33"/>
  <c r="BF110" i="33"/>
  <c r="BH110" i="33" s="1"/>
  <c r="AZ116" i="33"/>
  <c r="BA116" i="33"/>
  <c r="AY116" i="33"/>
  <c r="BB116" i="33"/>
  <c r="N116" i="33"/>
  <c r="M116" i="33"/>
  <c r="O116" i="33" s="1"/>
  <c r="BF116" i="33"/>
  <c r="BH116" i="33" s="1"/>
  <c r="AZ105" i="33"/>
  <c r="AY105" i="33"/>
  <c r="BA105" i="33"/>
  <c r="BB105" i="33"/>
  <c r="N105" i="33"/>
  <c r="U105" i="33"/>
  <c r="T105" i="33"/>
  <c r="P105" i="33"/>
  <c r="Q105" i="33" s="1"/>
  <c r="M105" i="33"/>
  <c r="O105" i="33" s="1"/>
  <c r="BF105" i="33"/>
  <c r="BH105" i="33" s="1"/>
  <c r="AL34" i="33"/>
  <c r="AM34" i="33" s="1"/>
  <c r="T34" i="33"/>
  <c r="BB34" i="33"/>
  <c r="BA34" i="33"/>
  <c r="AZ34" i="33"/>
  <c r="R34" i="33"/>
  <c r="AN34" i="33"/>
  <c r="AO34" i="33" s="1"/>
  <c r="U34" i="33"/>
  <c r="M34" i="33"/>
  <c r="BF34" i="33"/>
  <c r="BH34" i="33" s="1"/>
  <c r="AW147" i="33"/>
  <c r="BA147" i="33"/>
  <c r="AP147" i="33"/>
  <c r="AQ147" i="33" s="1"/>
  <c r="BB147" i="33"/>
  <c r="AZ147" i="33"/>
  <c r="AR147" i="33"/>
  <c r="U147" i="33"/>
  <c r="R147" i="33"/>
  <c r="T147" i="33"/>
  <c r="M147" i="33"/>
  <c r="BF147" i="33"/>
  <c r="BH147" i="33" s="1"/>
  <c r="AI147" i="33"/>
  <c r="BA52" i="33"/>
  <c r="AZ52" i="33"/>
  <c r="AL52" i="33"/>
  <c r="AM52" i="33" s="1"/>
  <c r="T52" i="33"/>
  <c r="AN52" i="33"/>
  <c r="BB52" i="33"/>
  <c r="U52" i="33"/>
  <c r="R52" i="33"/>
  <c r="M52" i="33"/>
  <c r="BF52" i="33"/>
  <c r="BH52" i="33" s="1"/>
  <c r="BB167" i="33"/>
  <c r="AZ167" i="33"/>
  <c r="AR167" i="33"/>
  <c r="AT167" i="33" s="1"/>
  <c r="BT167" i="33" s="1"/>
  <c r="AW167" i="33"/>
  <c r="AP167" i="33"/>
  <c r="AQ167" i="33" s="1"/>
  <c r="U167" i="33"/>
  <c r="BA167" i="33"/>
  <c r="R167" i="33"/>
  <c r="T167" i="33"/>
  <c r="M167" i="33"/>
  <c r="BF167" i="33"/>
  <c r="BH167" i="33" s="1"/>
  <c r="AI167" i="33"/>
  <c r="AZ65" i="33"/>
  <c r="AY65" i="33"/>
  <c r="BB65" i="33"/>
  <c r="BA65" i="33"/>
  <c r="N65" i="33"/>
  <c r="T65" i="33"/>
  <c r="M65" i="33"/>
  <c r="O65" i="33" s="1"/>
  <c r="BF65" i="33"/>
  <c r="BH65" i="33" s="1"/>
  <c r="R150" i="33"/>
  <c r="AR150" i="33"/>
  <c r="AT150" i="33" s="1"/>
  <c r="AW150" i="33"/>
  <c r="BA150" i="33"/>
  <c r="BB150" i="33"/>
  <c r="AP150" i="33"/>
  <c r="AQ150" i="33" s="1"/>
  <c r="U150" i="33"/>
  <c r="AZ150" i="33"/>
  <c r="T150" i="33"/>
  <c r="M150" i="33"/>
  <c r="BF150" i="33"/>
  <c r="BH150" i="33" s="1"/>
  <c r="AI150" i="33"/>
  <c r="R134" i="33"/>
  <c r="AZ134" i="33"/>
  <c r="AW134" i="33"/>
  <c r="AP134" i="33"/>
  <c r="AQ134" i="33" s="1"/>
  <c r="BB134" i="33"/>
  <c r="U134" i="33"/>
  <c r="AR134" i="33"/>
  <c r="AT134" i="33" s="1"/>
  <c r="BT134" i="33" s="1"/>
  <c r="BA134" i="33"/>
  <c r="T134" i="33"/>
  <c r="M134" i="33"/>
  <c r="BF134" i="33"/>
  <c r="BH134" i="33" s="1"/>
  <c r="AI134" i="33"/>
  <c r="AW179" i="33"/>
  <c r="AZ179" i="33"/>
  <c r="AR179" i="33"/>
  <c r="AP179" i="33"/>
  <c r="AQ179" i="33" s="1"/>
  <c r="R179" i="33"/>
  <c r="U179" i="33"/>
  <c r="BB179" i="33"/>
  <c r="BA179" i="33"/>
  <c r="T179" i="33"/>
  <c r="AD179" i="33" s="1"/>
  <c r="AE179" i="33" s="1"/>
  <c r="AF179" i="33" s="1"/>
  <c r="P179" i="33"/>
  <c r="Q179" i="33" s="1"/>
  <c r="V179" i="33" s="1"/>
  <c r="M179" i="33"/>
  <c r="BF179" i="33"/>
  <c r="BH179" i="33" s="1"/>
  <c r="AI179" i="33"/>
  <c r="R50" i="33"/>
  <c r="AL50" i="33" s="1"/>
  <c r="AM50" i="33" s="1"/>
  <c r="BB50" i="33"/>
  <c r="BA50" i="33"/>
  <c r="AZ50" i="33"/>
  <c r="T50" i="33"/>
  <c r="AN50" i="33"/>
  <c r="AO50" i="33" s="1"/>
  <c r="U50" i="33"/>
  <c r="M50" i="33"/>
  <c r="BF50" i="33"/>
  <c r="BH50" i="33" s="1"/>
  <c r="AZ93" i="33"/>
  <c r="BA93" i="33"/>
  <c r="BB93" i="33"/>
  <c r="AY93" i="33"/>
  <c r="N93" i="33"/>
  <c r="T93" i="33"/>
  <c r="M93" i="33"/>
  <c r="P93" i="33" s="1"/>
  <c r="BF93" i="33"/>
  <c r="BH93" i="33" s="1"/>
  <c r="AP160" i="33"/>
  <c r="AQ160" i="33" s="1"/>
  <c r="R160" i="33"/>
  <c r="BA160" i="33"/>
  <c r="BB160" i="33"/>
  <c r="AR160" i="33"/>
  <c r="U160" i="33"/>
  <c r="AZ160" i="33"/>
  <c r="AW160" i="33"/>
  <c r="T160" i="33"/>
  <c r="M160" i="33"/>
  <c r="BF160" i="33"/>
  <c r="BH160" i="33" s="1"/>
  <c r="AI160" i="33"/>
  <c r="AZ61" i="33"/>
  <c r="BB61" i="33"/>
  <c r="BA61" i="33"/>
  <c r="AN61" i="33"/>
  <c r="AO61" i="33" s="1"/>
  <c r="BS61" i="33" s="1"/>
  <c r="AL61" i="33"/>
  <c r="AM61" i="33" s="1"/>
  <c r="U61" i="33"/>
  <c r="P61" i="33"/>
  <c r="N61" i="33"/>
  <c r="T61" i="33"/>
  <c r="R61" i="33"/>
  <c r="M61" i="33"/>
  <c r="BF61" i="33"/>
  <c r="BH61" i="33" s="1"/>
  <c r="AN45" i="33"/>
  <c r="BB45" i="33"/>
  <c r="BA45" i="33"/>
  <c r="AZ45" i="33"/>
  <c r="R45" i="33"/>
  <c r="AL45" i="33" s="1"/>
  <c r="AM45" i="33" s="1"/>
  <c r="AO45" i="33" s="1"/>
  <c r="U45" i="33"/>
  <c r="T45" i="33"/>
  <c r="N45" i="33"/>
  <c r="M45" i="33"/>
  <c r="BF45" i="33"/>
  <c r="BH45" i="33" s="1"/>
  <c r="AL62" i="33"/>
  <c r="AM62" i="33" s="1"/>
  <c r="AO62" i="33" s="1"/>
  <c r="BS62" i="33" s="1"/>
  <c r="AN62" i="33"/>
  <c r="AZ62" i="33"/>
  <c r="BB62" i="33"/>
  <c r="BA62" i="33"/>
  <c r="T62" i="33"/>
  <c r="R62" i="33"/>
  <c r="U62" i="33"/>
  <c r="P62" i="33"/>
  <c r="N62" i="33"/>
  <c r="M62" i="33"/>
  <c r="BF62" i="33"/>
  <c r="BH62" i="33" s="1"/>
  <c r="AZ32" i="33"/>
  <c r="T32" i="33"/>
  <c r="R32" i="33"/>
  <c r="AL32" i="33" s="1"/>
  <c r="AM32" i="33" s="1"/>
  <c r="BB32" i="33"/>
  <c r="BA32" i="33"/>
  <c r="AN32" i="33"/>
  <c r="AO32" i="33" s="1"/>
  <c r="U32" i="33"/>
  <c r="M32" i="33"/>
  <c r="BF32" i="33"/>
  <c r="BH32" i="33" s="1"/>
  <c r="U192" i="33"/>
  <c r="AZ192" i="33"/>
  <c r="AP192" i="33"/>
  <c r="AQ192" i="33" s="1"/>
  <c r="AW192" i="33"/>
  <c r="BA192" i="33"/>
  <c r="R192" i="33"/>
  <c r="BB192" i="33"/>
  <c r="AR192" i="33"/>
  <c r="T192" i="33"/>
  <c r="N192" i="33"/>
  <c r="P192" i="33"/>
  <c r="M192" i="33"/>
  <c r="BF192" i="33"/>
  <c r="BH192" i="33" s="1"/>
  <c r="AI192" i="33"/>
  <c r="AP197" i="33"/>
  <c r="AQ197" i="33" s="1"/>
  <c r="U197" i="33"/>
  <c r="AW197" i="33"/>
  <c r="R197" i="33"/>
  <c r="AZ197" i="33"/>
  <c r="BB197" i="33"/>
  <c r="BA197" i="33"/>
  <c r="AR197" i="33"/>
  <c r="T197" i="33"/>
  <c r="M197" i="33"/>
  <c r="BF197" i="33"/>
  <c r="BH197" i="33" s="1"/>
  <c r="AI197" i="33"/>
  <c r="BA169" i="33"/>
  <c r="AZ169" i="33"/>
  <c r="AW169" i="33"/>
  <c r="AR169" i="33"/>
  <c r="U169" i="33"/>
  <c r="BB169" i="33"/>
  <c r="AP169" i="33"/>
  <c r="AQ169" i="33" s="1"/>
  <c r="R169" i="33"/>
  <c r="T169" i="33"/>
  <c r="M169" i="33"/>
  <c r="BF169" i="33"/>
  <c r="BH169" i="33" s="1"/>
  <c r="AI169" i="33"/>
  <c r="BB103" i="33"/>
  <c r="BA103" i="33"/>
  <c r="AY103" i="33"/>
  <c r="AZ103" i="33"/>
  <c r="N103" i="33"/>
  <c r="P103" i="33"/>
  <c r="Q103" i="33"/>
  <c r="M103" i="33"/>
  <c r="BF103" i="33"/>
  <c r="BH103" i="33" s="1"/>
  <c r="AN16" i="33"/>
  <c r="AO16" i="33" s="1"/>
  <c r="BS16" i="33" s="1"/>
  <c r="AL16" i="33"/>
  <c r="AM16" i="33" s="1"/>
  <c r="AZ16" i="33"/>
  <c r="AI16" i="33"/>
  <c r="BB16" i="33"/>
  <c r="R16" i="33"/>
  <c r="T16" i="33"/>
  <c r="BA16" i="33"/>
  <c r="U16" i="33"/>
  <c r="P16" i="33"/>
  <c r="M16" i="33"/>
  <c r="BF16" i="33"/>
  <c r="BH16" i="33" s="1"/>
  <c r="AZ130" i="33"/>
  <c r="AR130" i="33"/>
  <c r="AT130" i="33" s="1"/>
  <c r="BA130" i="33"/>
  <c r="U130" i="33"/>
  <c r="AP130" i="33"/>
  <c r="AQ130" i="33" s="1"/>
  <c r="BB130" i="33"/>
  <c r="AW130" i="33"/>
  <c r="R130" i="33"/>
  <c r="T130" i="33"/>
  <c r="M130" i="33"/>
  <c r="BF130" i="33"/>
  <c r="BH130" i="33" s="1"/>
  <c r="AI130" i="33"/>
  <c r="BA69" i="33"/>
  <c r="AZ69" i="33"/>
  <c r="AY69" i="33"/>
  <c r="BB69" i="33"/>
  <c r="N69" i="33"/>
  <c r="P69" i="33"/>
  <c r="Q69" i="33" s="1"/>
  <c r="R69" i="33" s="1"/>
  <c r="AP69" i="33" s="1"/>
  <c r="AQ69" i="33" s="1"/>
  <c r="M69" i="33"/>
  <c r="BF69" i="33"/>
  <c r="BH69" i="33" s="1"/>
  <c r="R140" i="33"/>
  <c r="AZ140" i="33"/>
  <c r="BB140" i="33"/>
  <c r="U140" i="33"/>
  <c r="BA140" i="33"/>
  <c r="AP140" i="33"/>
  <c r="AQ140" i="33" s="1"/>
  <c r="AR140" i="33"/>
  <c r="AW140" i="33"/>
  <c r="T140" i="33"/>
  <c r="N140" i="33"/>
  <c r="O140" i="33" s="1"/>
  <c r="P140" i="33"/>
  <c r="M140" i="33"/>
  <c r="BF140" i="33"/>
  <c r="BH140" i="33" s="1"/>
  <c r="AI140" i="33"/>
  <c r="AN60" i="33"/>
  <c r="BA60" i="33"/>
  <c r="BB60" i="33"/>
  <c r="AZ60" i="33"/>
  <c r="U60" i="33"/>
  <c r="N60" i="33"/>
  <c r="T60" i="33"/>
  <c r="R60" i="33"/>
  <c r="AL60" i="33"/>
  <c r="AM60" i="33" s="1"/>
  <c r="M60" i="33"/>
  <c r="BF60" i="33"/>
  <c r="BH60" i="33" s="1"/>
  <c r="AN55" i="33"/>
  <c r="R55" i="33"/>
  <c r="AL55" i="33"/>
  <c r="AM55" i="33" s="1"/>
  <c r="BA55" i="33"/>
  <c r="T55" i="33"/>
  <c r="BB55" i="33"/>
  <c r="AZ55" i="33"/>
  <c r="N55" i="33"/>
  <c r="P55" i="33"/>
  <c r="M55" i="33"/>
  <c r="BF55" i="33"/>
  <c r="BH55" i="33" s="1"/>
  <c r="BB41" i="33"/>
  <c r="BA41" i="33"/>
  <c r="AZ41" i="33"/>
  <c r="R41" i="33"/>
  <c r="AL41" i="33" s="1"/>
  <c r="AM41" i="33" s="1"/>
  <c r="T41" i="33"/>
  <c r="AN41" i="33"/>
  <c r="AO41" i="33" s="1"/>
  <c r="U41" i="33"/>
  <c r="N41" i="33"/>
  <c r="M41" i="33"/>
  <c r="BF41" i="33"/>
  <c r="BH41" i="33" s="1"/>
  <c r="AZ95" i="33"/>
  <c r="BA95" i="33"/>
  <c r="BB95" i="33"/>
  <c r="AY95" i="33"/>
  <c r="N95" i="33"/>
  <c r="T95" i="33"/>
  <c r="P95" i="33"/>
  <c r="M95" i="33"/>
  <c r="O95" i="33" s="1"/>
  <c r="BF95" i="33"/>
  <c r="BH95" i="33" s="1"/>
  <c r="BA31" i="33"/>
  <c r="R31" i="33"/>
  <c r="BB31" i="33"/>
  <c r="AN31" i="33"/>
  <c r="AI31" i="33"/>
  <c r="AZ31" i="33"/>
  <c r="T31" i="33"/>
  <c r="AL31" i="33"/>
  <c r="AM31" i="33" s="1"/>
  <c r="U31" i="33"/>
  <c r="M31" i="33"/>
  <c r="BF31" i="33"/>
  <c r="BH31" i="33" s="1"/>
  <c r="AL59" i="33"/>
  <c r="AM59" i="33" s="1"/>
  <c r="BB59" i="33"/>
  <c r="AZ59" i="33"/>
  <c r="BA59" i="33"/>
  <c r="T59" i="33"/>
  <c r="R59" i="33"/>
  <c r="AN59" i="33"/>
  <c r="AO59" i="33" s="1"/>
  <c r="BS59" i="33" s="1"/>
  <c r="U59" i="33"/>
  <c r="M59" i="33"/>
  <c r="BF59" i="33"/>
  <c r="BH59" i="33" s="1"/>
  <c r="AY77" i="33"/>
  <c r="BA77" i="33"/>
  <c r="AZ77" i="33"/>
  <c r="BB77" i="33"/>
  <c r="N77" i="33"/>
  <c r="P77" i="33"/>
  <c r="M77" i="33"/>
  <c r="BF77" i="33"/>
  <c r="BH77" i="33" s="1"/>
  <c r="AP174" i="33"/>
  <c r="AQ174" i="33" s="1"/>
  <c r="BA174" i="33"/>
  <c r="U174" i="33"/>
  <c r="R174" i="33"/>
  <c r="AR174" i="33"/>
  <c r="AW174" i="33"/>
  <c r="AZ174" i="33"/>
  <c r="BB174" i="33"/>
  <c r="T174" i="33"/>
  <c r="M174" i="33"/>
  <c r="BF174" i="33"/>
  <c r="BH174" i="33" s="1"/>
  <c r="AI174" i="33"/>
  <c r="AN21" i="33"/>
  <c r="AO21" i="33" s="1"/>
  <c r="BS21" i="33" s="1"/>
  <c r="AI21" i="33"/>
  <c r="T21" i="33"/>
  <c r="BB21" i="33"/>
  <c r="AL21" i="33"/>
  <c r="AM21" i="33" s="1"/>
  <c r="BA21" i="33"/>
  <c r="R21" i="33"/>
  <c r="AZ21" i="33"/>
  <c r="U21" i="33"/>
  <c r="P21" i="33"/>
  <c r="M21" i="33"/>
  <c r="N21" i="33" s="1"/>
  <c r="BF21" i="33"/>
  <c r="BH21" i="33" s="1"/>
  <c r="R11" i="33"/>
  <c r="T11" i="33"/>
  <c r="AI11" i="33"/>
  <c r="AN11" i="33"/>
  <c r="BA11" i="33"/>
  <c r="BB11" i="33"/>
  <c r="AL11" i="33"/>
  <c r="AM11" i="33" s="1"/>
  <c r="AZ11" i="33"/>
  <c r="U11" i="33"/>
  <c r="M11" i="33"/>
  <c r="BF11" i="33"/>
  <c r="BH11" i="33" s="1"/>
  <c r="AP158" i="33"/>
  <c r="AQ158" i="33" s="1"/>
  <c r="U158" i="33"/>
  <c r="BA158" i="33"/>
  <c r="R158" i="33"/>
  <c r="AZ158" i="33"/>
  <c r="AW158" i="33"/>
  <c r="BB158" i="33"/>
  <c r="AR158" i="33"/>
  <c r="T158" i="33"/>
  <c r="N158" i="33"/>
  <c r="P158" i="33"/>
  <c r="M158" i="33"/>
  <c r="BF158" i="33"/>
  <c r="BH158" i="33" s="1"/>
  <c r="AI158" i="33"/>
  <c r="AN51" i="33"/>
  <c r="AO51" i="33" s="1"/>
  <c r="BS51" i="33" s="1"/>
  <c r="BA51" i="33"/>
  <c r="AZ51" i="33"/>
  <c r="BB51" i="33"/>
  <c r="T51" i="33"/>
  <c r="R51" i="33"/>
  <c r="AL51" i="33" s="1"/>
  <c r="AM51" i="33" s="1"/>
  <c r="M51" i="33"/>
  <c r="BF51" i="33"/>
  <c r="BH51" i="33" s="1"/>
  <c r="BA12" i="33"/>
  <c r="AI12" i="33"/>
  <c r="AZ12" i="33"/>
  <c r="AL12" i="33"/>
  <c r="AM12" i="33" s="1"/>
  <c r="BB12" i="33"/>
  <c r="R12" i="33"/>
  <c r="T12" i="33"/>
  <c r="AN12" i="33"/>
  <c r="U12" i="33"/>
  <c r="M12" i="33"/>
  <c r="BF12" i="33"/>
  <c r="BH12" i="33" s="1"/>
  <c r="BB74" i="33"/>
  <c r="BA74" i="33"/>
  <c r="AY74" i="33"/>
  <c r="AZ74" i="33"/>
  <c r="N74" i="33"/>
  <c r="T74" i="33"/>
  <c r="M74" i="33"/>
  <c r="P74" i="33" s="1"/>
  <c r="BF74" i="33"/>
  <c r="BH74" i="33" s="1"/>
  <c r="AR207" i="33"/>
  <c r="BA207" i="33"/>
  <c r="AP207" i="33"/>
  <c r="AQ207" i="33" s="1"/>
  <c r="U207" i="33"/>
  <c r="AW207" i="33"/>
  <c r="R207" i="33"/>
  <c r="AZ207" i="33"/>
  <c r="BB207" i="33"/>
  <c r="T207" i="33"/>
  <c r="M207" i="33"/>
  <c r="BF207" i="33"/>
  <c r="BH207" i="33" s="1"/>
  <c r="AI207" i="33"/>
  <c r="BB114" i="33"/>
  <c r="BA114" i="33"/>
  <c r="AY114" i="33"/>
  <c r="AZ114" i="33"/>
  <c r="N114" i="33"/>
  <c r="M114" i="33"/>
  <c r="BF114" i="33"/>
  <c r="BH114" i="33" s="1"/>
  <c r="BA113" i="33"/>
  <c r="AY113" i="33"/>
  <c r="AZ113" i="33"/>
  <c r="BB113" i="33"/>
  <c r="N113" i="33"/>
  <c r="T113" i="33" s="1"/>
  <c r="M113" i="33"/>
  <c r="O113" i="33" s="1"/>
  <c r="BF113" i="33"/>
  <c r="BH113" i="33" s="1"/>
  <c r="AZ58" i="33"/>
  <c r="T58" i="33"/>
  <c r="R58" i="33"/>
  <c r="AL58" i="33"/>
  <c r="AM58" i="33" s="1"/>
  <c r="BA58" i="33"/>
  <c r="BB58" i="33"/>
  <c r="AN58" i="33"/>
  <c r="AO58" i="33" s="1"/>
  <c r="BS58" i="33" s="1"/>
  <c r="U58" i="33"/>
  <c r="P58" i="33"/>
  <c r="Q58" i="33"/>
  <c r="AP58" i="33" s="1"/>
  <c r="AQ58" i="33" s="1"/>
  <c r="BC58" i="33"/>
  <c r="BV58" i="33" s="1"/>
  <c r="M58" i="33"/>
  <c r="BF58" i="33"/>
  <c r="BH58" i="33" s="1"/>
  <c r="AW132" i="33"/>
  <c r="AR132" i="33"/>
  <c r="AT132" i="33" s="1"/>
  <c r="BB132" i="33"/>
  <c r="AZ132" i="33"/>
  <c r="BA132" i="33"/>
  <c r="AP132" i="33"/>
  <c r="AQ132" i="33" s="1"/>
  <c r="U132" i="33"/>
  <c r="R132" i="33"/>
  <c r="T132" i="33"/>
  <c r="M132" i="33"/>
  <c r="BF132" i="33"/>
  <c r="BH132" i="33" s="1"/>
  <c r="AI132" i="33"/>
  <c r="AR127" i="33"/>
  <c r="AT127" i="33" s="1"/>
  <c r="BA127" i="33"/>
  <c r="U127" i="33"/>
  <c r="AP127" i="33"/>
  <c r="AQ127" i="33" s="1"/>
  <c r="R127" i="33"/>
  <c r="AW127" i="33"/>
  <c r="AZ127" i="33"/>
  <c r="BB127" i="33"/>
  <c r="T127" i="33"/>
  <c r="M127" i="33"/>
  <c r="BF127" i="33"/>
  <c r="BH127" i="33" s="1"/>
  <c r="AI127" i="33"/>
  <c r="BB117" i="33"/>
  <c r="BA117" i="33"/>
  <c r="AZ117" i="33"/>
  <c r="AY117" i="33"/>
  <c r="N117" i="33"/>
  <c r="P117" i="33"/>
  <c r="Q117" i="33"/>
  <c r="M117" i="33"/>
  <c r="BF117" i="33"/>
  <c r="BH117" i="33" s="1"/>
  <c r="BB181" i="33"/>
  <c r="AZ181" i="33"/>
  <c r="BA181" i="33"/>
  <c r="R181" i="33"/>
  <c r="AP181" i="33"/>
  <c r="AQ181" i="33" s="1"/>
  <c r="AR181" i="33"/>
  <c r="AW181" i="33"/>
  <c r="U181" i="33"/>
  <c r="T181" i="33"/>
  <c r="M181" i="33"/>
  <c r="BF181" i="33"/>
  <c r="BH181" i="33" s="1"/>
  <c r="AI181" i="33"/>
  <c r="BA118" i="33"/>
  <c r="AZ118" i="33"/>
  <c r="BB118" i="33"/>
  <c r="AY118" i="33"/>
  <c r="N118" i="33"/>
  <c r="T118" i="33"/>
  <c r="P118" i="33"/>
  <c r="Q118" i="33" s="1"/>
  <c r="U118" i="33"/>
  <c r="M118" i="33"/>
  <c r="O118" i="33" s="1"/>
  <c r="BF118" i="33"/>
  <c r="BH118" i="33" s="1"/>
  <c r="R199" i="33"/>
  <c r="AP199" i="33"/>
  <c r="AQ199" i="33" s="1"/>
  <c r="AW199" i="33"/>
  <c r="BB199" i="33"/>
  <c r="AZ199" i="33"/>
  <c r="AR199" i="33"/>
  <c r="BA199" i="33"/>
  <c r="U199" i="33"/>
  <c r="T199" i="33"/>
  <c r="N199" i="33"/>
  <c r="M199" i="33"/>
  <c r="BF199" i="33"/>
  <c r="BH199" i="33" s="1"/>
  <c r="AI199" i="33"/>
  <c r="U161" i="33"/>
  <c r="BA161" i="33"/>
  <c r="AZ161" i="33"/>
  <c r="R161" i="33"/>
  <c r="AP161" i="33"/>
  <c r="AQ161" i="33" s="1"/>
  <c r="BB161" i="33"/>
  <c r="AR161" i="33"/>
  <c r="AT161" i="33" s="1"/>
  <c r="BT161" i="33" s="1"/>
  <c r="AW161" i="33"/>
  <c r="T161" i="33"/>
  <c r="M161" i="33"/>
  <c r="BF161" i="33"/>
  <c r="BH161" i="33" s="1"/>
  <c r="AI161" i="33"/>
  <c r="T29" i="33"/>
  <c r="AZ29" i="33"/>
  <c r="AI29" i="33"/>
  <c r="AL29" i="33"/>
  <c r="AM29" i="33" s="1"/>
  <c r="R29" i="33"/>
  <c r="AN29" i="33"/>
  <c r="AO29" i="33" s="1"/>
  <c r="BS29" i="33" s="1"/>
  <c r="BB29" i="33"/>
  <c r="BA29" i="33"/>
  <c r="U29" i="33"/>
  <c r="P29" i="33"/>
  <c r="M29" i="33"/>
  <c r="BF29" i="33"/>
  <c r="BH29" i="33" s="1"/>
  <c r="T10" i="33"/>
  <c r="AL10" i="33"/>
  <c r="AM10" i="33" s="1"/>
  <c r="BA10" i="33"/>
  <c r="BB10" i="33"/>
  <c r="AN10" i="33"/>
  <c r="AO10" i="33" s="1"/>
  <c r="BS10" i="33" s="1"/>
  <c r="AZ10" i="33"/>
  <c r="AI10" i="33"/>
  <c r="R10" i="33"/>
  <c r="U10" i="33"/>
  <c r="P10" i="33"/>
  <c r="Q10" i="33"/>
  <c r="AP10" i="33" s="1"/>
  <c r="M10" i="33"/>
  <c r="N10" i="33" s="1"/>
  <c r="BF10" i="33"/>
  <c r="BH10" i="33" s="1"/>
  <c r="BA164" i="33"/>
  <c r="BB164" i="33"/>
  <c r="AW164" i="33"/>
  <c r="AZ164" i="33"/>
  <c r="AR164" i="33"/>
  <c r="AT164" i="33" s="1"/>
  <c r="BT164" i="33" s="1"/>
  <c r="AP164" i="33"/>
  <c r="AQ164" i="33" s="1"/>
  <c r="U164" i="33"/>
  <c r="R164" i="33"/>
  <c r="T164" i="33"/>
  <c r="P164" i="33"/>
  <c r="Q164" i="33"/>
  <c r="M164" i="33"/>
  <c r="AG164" i="33" s="1"/>
  <c r="AH164" i="33" s="1"/>
  <c r="BF164" i="33"/>
  <c r="BH164" i="33" s="1"/>
  <c r="AI164" i="33"/>
  <c r="AL42" i="33"/>
  <c r="AM42" i="33" s="1"/>
  <c r="BA42" i="33"/>
  <c r="AZ42" i="33"/>
  <c r="BB42" i="33"/>
  <c r="R42" i="33"/>
  <c r="T42" i="33"/>
  <c r="AN42" i="33"/>
  <c r="AO42" i="33" s="1"/>
  <c r="U42" i="33"/>
  <c r="M42" i="33"/>
  <c r="BF42" i="33"/>
  <c r="BH42" i="33" s="1"/>
  <c r="O249" i="28"/>
  <c r="AW153" i="33"/>
  <c r="BA153" i="33"/>
  <c r="U153" i="33"/>
  <c r="AR153" i="33"/>
  <c r="R153" i="33"/>
  <c r="AZ153" i="33"/>
  <c r="BB153" i="33"/>
  <c r="AP153" i="33"/>
  <c r="AQ153" i="33" s="1"/>
  <c r="T153" i="33"/>
  <c r="P153" i="33"/>
  <c r="Q153" i="33"/>
  <c r="AG153" i="33" s="1"/>
  <c r="AH153" i="33" s="1"/>
  <c r="M153" i="33"/>
  <c r="BF153" i="33"/>
  <c r="BH153" i="33" s="1"/>
  <c r="AI153" i="33"/>
  <c r="AY94" i="33"/>
  <c r="BA94" i="33"/>
  <c r="AZ94" i="33"/>
  <c r="BB94" i="33"/>
  <c r="N94" i="33"/>
  <c r="T94" i="33" s="1"/>
  <c r="P94" i="33"/>
  <c r="M94" i="33"/>
  <c r="O94" i="33" s="1"/>
  <c r="BF94" i="33"/>
  <c r="BH94" i="33" s="1"/>
  <c r="AY75" i="33"/>
  <c r="BB75" i="33"/>
  <c r="BA75" i="33"/>
  <c r="AZ75" i="33"/>
  <c r="N75" i="33"/>
  <c r="T75" i="33"/>
  <c r="P75" i="33"/>
  <c r="Q75" i="33" s="1"/>
  <c r="U75" i="33"/>
  <c r="M75" i="33"/>
  <c r="O75" i="33" s="1"/>
  <c r="BF75" i="33"/>
  <c r="BH75" i="33" s="1"/>
  <c r="BA100" i="33"/>
  <c r="BB100" i="33"/>
  <c r="AZ100" i="33"/>
  <c r="AY100" i="33"/>
  <c r="N100" i="33"/>
  <c r="M100" i="33"/>
  <c r="O100" i="33" s="1"/>
  <c r="U100" i="33" s="1"/>
  <c r="BF100" i="33"/>
  <c r="BH100" i="33" s="1"/>
  <c r="BA48" i="33"/>
  <c r="AL48" i="33"/>
  <c r="AM48" i="33" s="1"/>
  <c r="T48" i="33"/>
  <c r="AN48" i="33"/>
  <c r="AZ48" i="33"/>
  <c r="BB48" i="33"/>
  <c r="U48" i="33"/>
  <c r="R48" i="33"/>
  <c r="M48" i="33"/>
  <c r="P48" i="33" s="1"/>
  <c r="BF48" i="33"/>
  <c r="BH48" i="33" s="1"/>
  <c r="AN56" i="33"/>
  <c r="AZ56" i="33"/>
  <c r="BA56" i="33"/>
  <c r="BB56" i="33"/>
  <c r="AL56" i="33"/>
  <c r="AM56" i="33" s="1"/>
  <c r="U56" i="33"/>
  <c r="P56" i="33"/>
  <c r="Q56" i="33"/>
  <c r="R56" i="33" s="1"/>
  <c r="AP56" i="33" s="1"/>
  <c r="AQ56" i="33" s="1"/>
  <c r="T56" i="33"/>
  <c r="M56" i="33"/>
  <c r="BF56" i="33"/>
  <c r="BH56" i="33" s="1"/>
  <c r="AI18" i="33"/>
  <c r="BA18" i="33"/>
  <c r="AN18" i="33"/>
  <c r="AZ18" i="33"/>
  <c r="T18" i="33"/>
  <c r="R18" i="33"/>
  <c r="AL18" i="33"/>
  <c r="AM18" i="33" s="1"/>
  <c r="BB18" i="33"/>
  <c r="U18" i="33"/>
  <c r="M18" i="33"/>
  <c r="P18" i="33" s="1"/>
  <c r="BF18" i="33"/>
  <c r="BH18" i="33" s="1"/>
  <c r="BB33" i="33"/>
  <c r="AZ33" i="33"/>
  <c r="BA33" i="33"/>
  <c r="T33" i="33"/>
  <c r="R33" i="33"/>
  <c r="AN33" i="33"/>
  <c r="AL33" i="33"/>
  <c r="AM33" i="33" s="1"/>
  <c r="U33" i="33"/>
  <c r="N33" i="33"/>
  <c r="M33" i="33"/>
  <c r="BF33" i="33"/>
  <c r="BH33" i="33" s="1"/>
  <c r="AZ205" i="33"/>
  <c r="AR205" i="33"/>
  <c r="AT205" i="33" s="1"/>
  <c r="BB205" i="33"/>
  <c r="BA205" i="33"/>
  <c r="U205" i="33"/>
  <c r="AP205" i="33"/>
  <c r="AQ205" i="33" s="1"/>
  <c r="R205" i="33"/>
  <c r="AW205" i="33"/>
  <c r="T205" i="33"/>
  <c r="M205" i="33"/>
  <c r="N205" i="33" s="1"/>
  <c r="BF205" i="33"/>
  <c r="BH205" i="33" s="1"/>
  <c r="AI205" i="33"/>
  <c r="BB133" i="33"/>
  <c r="BA133" i="33"/>
  <c r="AP133" i="33"/>
  <c r="AQ133" i="33" s="1"/>
  <c r="AW133" i="33"/>
  <c r="AZ133" i="33"/>
  <c r="U133" i="33"/>
  <c r="AR133" i="33"/>
  <c r="R133" i="33"/>
  <c r="T133" i="33"/>
  <c r="N133" i="33"/>
  <c r="O133" i="33" s="1"/>
  <c r="P133" i="33"/>
  <c r="Q133" i="33" s="1"/>
  <c r="S133" i="33" s="1"/>
  <c r="M133" i="33"/>
  <c r="BF133" i="33"/>
  <c r="BH133" i="33" s="1"/>
  <c r="AI133" i="33"/>
  <c r="AW125" i="33"/>
  <c r="AR125" i="33"/>
  <c r="AZ125" i="33"/>
  <c r="U125" i="33"/>
  <c r="BB125" i="33"/>
  <c r="BA125" i="33"/>
  <c r="R125" i="33"/>
  <c r="AP125" i="33"/>
  <c r="AQ125" i="33" s="1"/>
  <c r="T125" i="33"/>
  <c r="M125" i="33"/>
  <c r="BF125" i="33"/>
  <c r="BH125" i="33" s="1"/>
  <c r="AI125" i="33"/>
  <c r="AN47" i="33"/>
  <c r="BA47" i="33"/>
  <c r="BB47" i="33"/>
  <c r="T47" i="33"/>
  <c r="AZ47" i="33"/>
  <c r="AL47" i="33"/>
  <c r="AM47" i="33" s="1"/>
  <c r="R47" i="33"/>
  <c r="U47" i="33"/>
  <c r="M47" i="33"/>
  <c r="P47" i="33" s="1"/>
  <c r="BF47" i="33"/>
  <c r="BH47" i="33" s="1"/>
  <c r="T28" i="33"/>
  <c r="BB28" i="33"/>
  <c r="R28" i="33"/>
  <c r="AL28" i="33"/>
  <c r="AM28" i="33" s="1"/>
  <c r="AZ28" i="33"/>
  <c r="BA28" i="33"/>
  <c r="AI28" i="33"/>
  <c r="AN28" i="33"/>
  <c r="U28" i="33"/>
  <c r="M28" i="33"/>
  <c r="BF28" i="33"/>
  <c r="BH28" i="33" s="1"/>
  <c r="AW198" i="33"/>
  <c r="AZ198" i="33"/>
  <c r="AR198" i="33"/>
  <c r="BB198" i="33"/>
  <c r="R198" i="33"/>
  <c r="BA198" i="33"/>
  <c r="U198" i="33"/>
  <c r="AP198" i="33"/>
  <c r="AQ198" i="33" s="1"/>
  <c r="T198" i="33"/>
  <c r="M198" i="33"/>
  <c r="N198" i="33" s="1"/>
  <c r="BF198" i="33"/>
  <c r="BH198" i="33" s="1"/>
  <c r="AI198" i="33"/>
  <c r="AP168" i="33"/>
  <c r="AQ168" i="33" s="1"/>
  <c r="BB168" i="33"/>
  <c r="BA168" i="33"/>
  <c r="U168" i="33"/>
  <c r="AZ168" i="33"/>
  <c r="AR168" i="33"/>
  <c r="AT168" i="33" s="1"/>
  <c r="BT168" i="33" s="1"/>
  <c r="AW168" i="33"/>
  <c r="R168" i="33"/>
  <c r="T168" i="33"/>
  <c r="M168" i="33"/>
  <c r="BF168" i="33"/>
  <c r="BH168" i="33" s="1"/>
  <c r="AI168" i="33"/>
  <c r="AY119" i="33"/>
  <c r="BA119" i="33"/>
  <c r="AZ119" i="33"/>
  <c r="BB119" i="33"/>
  <c r="N119" i="33"/>
  <c r="T119" i="33"/>
  <c r="U119" i="33"/>
  <c r="M119" i="33"/>
  <c r="O119" i="33" s="1"/>
  <c r="BF119" i="33"/>
  <c r="BH119" i="33" s="1"/>
  <c r="BB123" i="33"/>
  <c r="AR123" i="33"/>
  <c r="AT123" i="33" s="1"/>
  <c r="BT123" i="33" s="1"/>
  <c r="BA123" i="33"/>
  <c r="U123" i="33"/>
  <c r="AP123" i="33"/>
  <c r="AQ123" i="33" s="1"/>
  <c r="R123" i="33"/>
  <c r="AW123" i="33"/>
  <c r="AZ123" i="33"/>
  <c r="T123" i="33"/>
  <c r="N123" i="33"/>
  <c r="O123" i="33" s="1"/>
  <c r="M123" i="33"/>
  <c r="BF123" i="33"/>
  <c r="BH123" i="33" s="1"/>
  <c r="AI123" i="33"/>
  <c r="BB139" i="33"/>
  <c r="BA139" i="33"/>
  <c r="U139" i="33"/>
  <c r="AZ139" i="33"/>
  <c r="AP139" i="33"/>
  <c r="AQ139" i="33" s="1"/>
  <c r="R139" i="33"/>
  <c r="AR139" i="33"/>
  <c r="AW139" i="33"/>
  <c r="T139" i="33"/>
  <c r="N139" i="33"/>
  <c r="M139" i="33"/>
  <c r="BF139" i="33"/>
  <c r="BH139" i="33" s="1"/>
  <c r="AI139" i="33"/>
  <c r="R53" i="33"/>
  <c r="BA53" i="33"/>
  <c r="AZ53" i="33"/>
  <c r="T53" i="33"/>
  <c r="BB53" i="33"/>
  <c r="AL53" i="33"/>
  <c r="AM53" i="33" s="1"/>
  <c r="AN53" i="33"/>
  <c r="AO53" i="33" s="1"/>
  <c r="BS53" i="33" s="1"/>
  <c r="U53" i="33"/>
  <c r="M53" i="33"/>
  <c r="BF53" i="33"/>
  <c r="BH53" i="33" s="1"/>
  <c r="BA102" i="33"/>
  <c r="AY102" i="33"/>
  <c r="AZ102" i="33"/>
  <c r="BB102" i="33"/>
  <c r="N102" i="33"/>
  <c r="T102" i="33" s="1"/>
  <c r="M102" i="33"/>
  <c r="BF102" i="33"/>
  <c r="BH102" i="33" s="1"/>
  <c r="AZ78" i="33"/>
  <c r="BB78" i="33"/>
  <c r="BA78" i="33"/>
  <c r="AY78" i="33"/>
  <c r="N78" i="33"/>
  <c r="P78" i="33"/>
  <c r="Q78" i="33" s="1"/>
  <c r="U78" i="33"/>
  <c r="M78" i="33"/>
  <c r="O78" i="33" s="1"/>
  <c r="BF78" i="33"/>
  <c r="BH78" i="33" s="1"/>
  <c r="AY107" i="33"/>
  <c r="AZ107" i="33"/>
  <c r="BB107" i="33"/>
  <c r="BA107" i="33"/>
  <c r="N107" i="33"/>
  <c r="T107" i="33" s="1"/>
  <c r="M107" i="33"/>
  <c r="O107" i="33" s="1"/>
  <c r="BF107" i="33"/>
  <c r="BH107" i="33" s="1"/>
  <c r="AP137" i="33"/>
  <c r="AQ137" i="33" s="1"/>
  <c r="AW137" i="33"/>
  <c r="AZ137" i="33"/>
  <c r="AR137" i="33"/>
  <c r="U137" i="33"/>
  <c r="R137" i="33"/>
  <c r="BB137" i="33"/>
  <c r="BA137" i="33"/>
  <c r="T137" i="33"/>
  <c r="N137" i="33"/>
  <c r="M137" i="33"/>
  <c r="BF137" i="33"/>
  <c r="BH137" i="33" s="1"/>
  <c r="AI137" i="33"/>
  <c r="AY85" i="33"/>
  <c r="BB85" i="33"/>
  <c r="BA85" i="33"/>
  <c r="AZ85" i="33"/>
  <c r="N85" i="33"/>
  <c r="M85" i="33"/>
  <c r="BF85" i="33"/>
  <c r="BH85" i="33" s="1"/>
  <c r="AP171" i="33"/>
  <c r="AQ171" i="33" s="1"/>
  <c r="AR171" i="33"/>
  <c r="AT171" i="33" s="1"/>
  <c r="BB171" i="33"/>
  <c r="R171" i="33"/>
  <c r="AW171" i="33"/>
  <c r="AZ171" i="33"/>
  <c r="U171" i="33"/>
  <c r="BA171" i="33"/>
  <c r="T171" i="33"/>
  <c r="M171" i="33"/>
  <c r="BF171" i="33"/>
  <c r="BH171" i="33" s="1"/>
  <c r="AI171" i="33"/>
  <c r="BA187" i="33"/>
  <c r="AP187" i="33"/>
  <c r="AQ187" i="33" s="1"/>
  <c r="AR187" i="33"/>
  <c r="AT187" i="33" s="1"/>
  <c r="U187" i="33"/>
  <c r="R187" i="33"/>
  <c r="BB187" i="33"/>
  <c r="AW187" i="33"/>
  <c r="AZ187" i="33"/>
  <c r="T187" i="33"/>
  <c r="M187" i="33"/>
  <c r="BF187" i="33"/>
  <c r="BH187" i="33" s="1"/>
  <c r="AI187" i="33"/>
  <c r="R152" i="33"/>
  <c r="BB152" i="33"/>
  <c r="AR152" i="33"/>
  <c r="BA152" i="33"/>
  <c r="U152" i="33"/>
  <c r="AZ152" i="33"/>
  <c r="AP152" i="33"/>
  <c r="AQ152" i="33" s="1"/>
  <c r="AW152" i="33"/>
  <c r="T152" i="33"/>
  <c r="N152" i="33"/>
  <c r="O152" i="33" s="1"/>
  <c r="M152" i="33"/>
  <c r="BF152" i="33"/>
  <c r="BH152" i="33" s="1"/>
  <c r="AI152" i="33"/>
  <c r="AN36" i="33"/>
  <c r="AO36" i="33" s="1"/>
  <c r="BS36" i="33" s="1"/>
  <c r="BB36" i="33"/>
  <c r="BA36" i="33"/>
  <c r="AZ36" i="33"/>
  <c r="T36" i="33"/>
  <c r="AL36" i="33"/>
  <c r="AM36" i="33" s="1"/>
  <c r="U36" i="33"/>
  <c r="P36" i="33"/>
  <c r="Q36" i="33" s="1"/>
  <c r="AP36" i="33" s="1"/>
  <c r="N36" i="33"/>
  <c r="AU36" i="33" s="1"/>
  <c r="AV36" i="33" s="1"/>
  <c r="R36" i="33"/>
  <c r="M36" i="33"/>
  <c r="W36" i="33" s="1"/>
  <c r="BF36" i="33"/>
  <c r="BH36" i="33" s="1"/>
  <c r="R54" i="33"/>
  <c r="AZ54" i="33"/>
  <c r="BB54" i="33"/>
  <c r="BA54" i="33"/>
  <c r="T54" i="33"/>
  <c r="AL54" i="33"/>
  <c r="AM54" i="33" s="1"/>
  <c r="AN54" i="33"/>
  <c r="AO54" i="33" s="1"/>
  <c r="BS54" i="33" s="1"/>
  <c r="U54" i="33"/>
  <c r="N54" i="33"/>
  <c r="M54" i="33"/>
  <c r="BF54" i="33"/>
  <c r="BH54" i="33" s="1"/>
  <c r="BB43" i="33"/>
  <c r="BA43" i="33"/>
  <c r="T43" i="33"/>
  <c r="AZ43" i="33"/>
  <c r="R43" i="33"/>
  <c r="AL43" i="33" s="1"/>
  <c r="AM43" i="33" s="1"/>
  <c r="AN43" i="33"/>
  <c r="U43" i="33"/>
  <c r="M43" i="33"/>
  <c r="BF43" i="33"/>
  <c r="BH43" i="33" s="1"/>
  <c r="AY111" i="33"/>
  <c r="AZ111" i="33"/>
  <c r="BB111" i="33"/>
  <c r="BA111" i="33"/>
  <c r="N111" i="33"/>
  <c r="T111" i="33" s="1"/>
  <c r="M111" i="33"/>
  <c r="BF111" i="33"/>
  <c r="BH111" i="33" s="1"/>
  <c r="AY99" i="33"/>
  <c r="AZ99" i="33"/>
  <c r="BA99" i="33"/>
  <c r="BB99" i="33"/>
  <c r="N99" i="33"/>
  <c r="T99" i="33" s="1"/>
  <c r="M99" i="33"/>
  <c r="BF99" i="33"/>
  <c r="BH99" i="33" s="1"/>
  <c r="BB76" i="33"/>
  <c r="AZ76" i="33"/>
  <c r="BA76" i="33"/>
  <c r="N76" i="33"/>
  <c r="AY76" i="33"/>
  <c r="M76" i="33"/>
  <c r="O76" i="33" s="1"/>
  <c r="BF76" i="33"/>
  <c r="BH76" i="33" s="1"/>
  <c r="BB64" i="33"/>
  <c r="AY64" i="33"/>
  <c r="BA64" i="33"/>
  <c r="AZ64" i="33"/>
  <c r="N64" i="33"/>
  <c r="T64" i="33" s="1"/>
  <c r="M64" i="33"/>
  <c r="BF64" i="33"/>
  <c r="BH64" i="33" s="1"/>
  <c r="R144" i="33"/>
  <c r="AZ144" i="33"/>
  <c r="BA144" i="33"/>
  <c r="U144" i="33"/>
  <c r="BB144" i="33"/>
  <c r="AP144" i="33"/>
  <c r="AQ144" i="33" s="1"/>
  <c r="AR144" i="33"/>
  <c r="AT144" i="33" s="1"/>
  <c r="BT144" i="33" s="1"/>
  <c r="AW144" i="33"/>
  <c r="T144" i="33"/>
  <c r="P144" i="33"/>
  <c r="N144" i="33"/>
  <c r="M144" i="33"/>
  <c r="BF144" i="33"/>
  <c r="BH144" i="33" s="1"/>
  <c r="AI144" i="33"/>
  <c r="BB13" i="33"/>
  <c r="AL13" i="33"/>
  <c r="AM13" i="33" s="1"/>
  <c r="T13" i="33"/>
  <c r="BA13" i="33"/>
  <c r="AZ13" i="33"/>
  <c r="AN13" i="33"/>
  <c r="AO13" i="33" s="1"/>
  <c r="R13" i="33"/>
  <c r="AI13" i="33"/>
  <c r="U13" i="33"/>
  <c r="M13" i="33"/>
  <c r="BF13" i="33"/>
  <c r="BH13" i="33" s="1"/>
  <c r="BB184" i="33"/>
  <c r="U184" i="33"/>
  <c r="R184" i="33"/>
  <c r="AP184" i="33"/>
  <c r="AQ184" i="33" s="1"/>
  <c r="BA184" i="33"/>
  <c r="AZ184" i="33"/>
  <c r="AW184" i="33"/>
  <c r="AR184" i="33"/>
  <c r="AT184" i="33" s="1"/>
  <c r="BT184" i="33" s="1"/>
  <c r="T184" i="33"/>
  <c r="N184" i="33"/>
  <c r="M184" i="33"/>
  <c r="BF184" i="33"/>
  <c r="BH184" i="33" s="1"/>
  <c r="AI184" i="33"/>
  <c r="AI26" i="33"/>
  <c r="BB26" i="33"/>
  <c r="AZ26" i="33"/>
  <c r="AL26" i="33"/>
  <c r="AM26" i="33" s="1"/>
  <c r="T26" i="33"/>
  <c r="AN26" i="33"/>
  <c r="AO26" i="33" s="1"/>
  <c r="BA26" i="33"/>
  <c r="R26" i="33"/>
  <c r="U26" i="33"/>
  <c r="P26" i="33"/>
  <c r="N26" i="33"/>
  <c r="M26" i="33"/>
  <c r="BF26" i="33"/>
  <c r="BH26" i="33" s="1"/>
  <c r="AR194" i="33"/>
  <c r="AW194" i="33"/>
  <c r="BA194" i="33"/>
  <c r="BB194" i="33"/>
  <c r="AP194" i="33"/>
  <c r="AQ194" i="33" s="1"/>
  <c r="U194" i="33"/>
  <c r="AZ194" i="33"/>
  <c r="R194" i="33"/>
  <c r="T194" i="33"/>
  <c r="P194" i="33"/>
  <c r="Q194" i="33" s="1"/>
  <c r="AG194" i="33" s="1"/>
  <c r="AH194" i="33" s="1"/>
  <c r="M194" i="33"/>
  <c r="BF194" i="33"/>
  <c r="BH194" i="33" s="1"/>
  <c r="AI194" i="33"/>
  <c r="AR163" i="33"/>
  <c r="AT163" i="33" s="1"/>
  <c r="BT163" i="33" s="1"/>
  <c r="AP163" i="33"/>
  <c r="AQ163" i="33" s="1"/>
  <c r="R163" i="33"/>
  <c r="BB163" i="33"/>
  <c r="AZ163" i="33"/>
  <c r="AW163" i="33"/>
  <c r="BA163" i="33"/>
  <c r="U163" i="33"/>
  <c r="T163" i="33"/>
  <c r="M163" i="33"/>
  <c r="BF163" i="33"/>
  <c r="BH163" i="33" s="1"/>
  <c r="AI163" i="33"/>
  <c r="R188" i="33"/>
  <c r="U188" i="33"/>
  <c r="AZ188" i="33"/>
  <c r="BB188" i="33"/>
  <c r="AR188" i="33"/>
  <c r="BA188" i="33"/>
  <c r="AP188" i="33"/>
  <c r="AQ188" i="33" s="1"/>
  <c r="AW188" i="33"/>
  <c r="T188" i="33"/>
  <c r="M188" i="33"/>
  <c r="BF188" i="33"/>
  <c r="BH188" i="33" s="1"/>
  <c r="AI188" i="33"/>
  <c r="AR166" i="33"/>
  <c r="U166" i="33"/>
  <c r="R166" i="33"/>
  <c r="BB166" i="33"/>
  <c r="AW166" i="33"/>
  <c r="BA166" i="33"/>
  <c r="AP166" i="33"/>
  <c r="AQ166" i="33" s="1"/>
  <c r="AZ166" i="33"/>
  <c r="T166" i="33"/>
  <c r="M166" i="33"/>
  <c r="BF166" i="33"/>
  <c r="BH166" i="33" s="1"/>
  <c r="AI166" i="33"/>
  <c r="AW128" i="33"/>
  <c r="BB128" i="33"/>
  <c r="U128" i="33"/>
  <c r="AP128" i="33"/>
  <c r="AQ128" i="33" s="1"/>
  <c r="AR128" i="33"/>
  <c r="AZ128" i="33"/>
  <c r="BA128" i="33"/>
  <c r="R128" i="33"/>
  <c r="T128" i="33"/>
  <c r="P128" i="33"/>
  <c r="M128" i="33"/>
  <c r="BF128" i="33"/>
  <c r="BH128" i="33" s="1"/>
  <c r="AI128" i="33"/>
  <c r="R131" i="33"/>
  <c r="AR131" i="33"/>
  <c r="AP131" i="33"/>
  <c r="AQ131" i="33" s="1"/>
  <c r="AZ131" i="33"/>
  <c r="BB131" i="33"/>
  <c r="AW131" i="33"/>
  <c r="BA131" i="33"/>
  <c r="U131" i="33"/>
  <c r="T131" i="33"/>
  <c r="P131" i="33"/>
  <c r="Q131" i="33" s="1"/>
  <c r="AG131" i="33" s="1"/>
  <c r="AH131" i="33" s="1"/>
  <c r="M131" i="33"/>
  <c r="BF131" i="33"/>
  <c r="BH131" i="33" s="1"/>
  <c r="AI131" i="33"/>
  <c r="BA182" i="33"/>
  <c r="AP182" i="33"/>
  <c r="AQ182" i="33" s="1"/>
  <c r="U182" i="33"/>
  <c r="R182" i="33"/>
  <c r="AW182" i="33"/>
  <c r="AR182" i="33"/>
  <c r="AT182" i="33" s="1"/>
  <c r="BT182" i="33" s="1"/>
  <c r="AZ182" i="33"/>
  <c r="BB182" i="33"/>
  <c r="T182" i="33"/>
  <c r="M182" i="33"/>
  <c r="N182" i="33" s="1"/>
  <c r="BF182" i="33"/>
  <c r="BH182" i="33" s="1"/>
  <c r="AI182" i="33"/>
  <c r="AZ98" i="33"/>
  <c r="BA98" i="33"/>
  <c r="AY98" i="33"/>
  <c r="BB98" i="33"/>
  <c r="N98" i="33"/>
  <c r="P98" i="33"/>
  <c r="M98" i="33"/>
  <c r="BF98" i="33"/>
  <c r="BH98" i="33" s="1"/>
  <c r="BA176" i="33"/>
  <c r="AP176" i="33"/>
  <c r="AQ176" i="33" s="1"/>
  <c r="AW176" i="33"/>
  <c r="U176" i="33"/>
  <c r="R176" i="33"/>
  <c r="BB176" i="33"/>
  <c r="AZ176" i="33"/>
  <c r="AR176" i="33"/>
  <c r="T176" i="33"/>
  <c r="M176" i="33"/>
  <c r="BF176" i="33"/>
  <c r="BH176" i="33" s="1"/>
  <c r="AI176" i="33"/>
  <c r="BB72" i="33"/>
  <c r="BA72" i="33"/>
  <c r="AZ72" i="33"/>
  <c r="AY72" i="33"/>
  <c r="N72" i="33"/>
  <c r="M72" i="33"/>
  <c r="BF72" i="33"/>
  <c r="BH72" i="33" s="1"/>
  <c r="U148" i="33"/>
  <c r="AP148" i="33"/>
  <c r="AQ148" i="33" s="1"/>
  <c r="AR148" i="33"/>
  <c r="AT148" i="33" s="1"/>
  <c r="BT148" i="33" s="1"/>
  <c r="BB148" i="33"/>
  <c r="AW148" i="33"/>
  <c r="BA148" i="33"/>
  <c r="AZ148" i="33"/>
  <c r="R148" i="33"/>
  <c r="T148" i="33"/>
  <c r="M148" i="33"/>
  <c r="BF148" i="33"/>
  <c r="BH148" i="33" s="1"/>
  <c r="AI148" i="33"/>
  <c r="AY108" i="33"/>
  <c r="AZ108" i="33"/>
  <c r="BA108" i="33"/>
  <c r="BB108" i="33"/>
  <c r="N108" i="33"/>
  <c r="M108" i="33"/>
  <c r="P108" i="33" s="1"/>
  <c r="BF108" i="33"/>
  <c r="BH108" i="33" s="1"/>
  <c r="AY112" i="33"/>
  <c r="BA112" i="33"/>
  <c r="AZ112" i="33"/>
  <c r="BB112" i="33"/>
  <c r="N112" i="33"/>
  <c r="T112" i="33"/>
  <c r="P112" i="33"/>
  <c r="M112" i="33"/>
  <c r="O112" i="33" s="1"/>
  <c r="U112" i="33" s="1"/>
  <c r="BF112" i="33"/>
  <c r="BH112" i="33" s="1"/>
  <c r="AY83" i="33"/>
  <c r="BB83" i="33"/>
  <c r="BA83" i="33"/>
  <c r="AZ83" i="33"/>
  <c r="N83" i="33"/>
  <c r="P83" i="33"/>
  <c r="Q83" i="33" s="1"/>
  <c r="M83" i="33"/>
  <c r="BF83" i="33"/>
  <c r="BH83" i="33" s="1"/>
  <c r="AY84" i="33"/>
  <c r="AZ84" i="33"/>
  <c r="BB84" i="33"/>
  <c r="BA84" i="33"/>
  <c r="N84" i="33"/>
  <c r="T84" i="33"/>
  <c r="M84" i="33"/>
  <c r="BF84" i="33"/>
  <c r="BH84" i="33" s="1"/>
  <c r="AW202" i="33"/>
  <c r="AZ202" i="33"/>
  <c r="AR202" i="33"/>
  <c r="AT202" i="33" s="1"/>
  <c r="BT202" i="33" s="1"/>
  <c r="BB202" i="33"/>
  <c r="BA202" i="33"/>
  <c r="U202" i="33"/>
  <c r="AP202" i="33"/>
  <c r="AQ202" i="33" s="1"/>
  <c r="R202" i="33"/>
  <c r="T202" i="33"/>
  <c r="P202" i="33"/>
  <c r="Q202" i="33" s="1"/>
  <c r="AU202" i="33" s="1"/>
  <c r="AV202" i="33" s="1"/>
  <c r="AX202" i="33" s="1"/>
  <c r="BU202" i="33" s="1"/>
  <c r="N202" i="33"/>
  <c r="M202" i="33"/>
  <c r="BF202" i="33"/>
  <c r="BH202" i="33" s="1"/>
  <c r="AI202" i="33"/>
  <c r="AP183" i="33"/>
  <c r="AQ183" i="33" s="1"/>
  <c r="R183" i="33"/>
  <c r="AW183" i="33"/>
  <c r="BB183" i="33"/>
  <c r="BA183" i="33"/>
  <c r="U183" i="33"/>
  <c r="AR183" i="33"/>
  <c r="AZ183" i="33"/>
  <c r="T183" i="33"/>
  <c r="M183" i="33"/>
  <c r="BF183" i="33"/>
  <c r="BH183" i="33" s="1"/>
  <c r="AI183" i="33"/>
  <c r="AY90" i="33"/>
  <c r="AZ90" i="33"/>
  <c r="BA90" i="33"/>
  <c r="BB90" i="33"/>
  <c r="N90" i="33"/>
  <c r="P90" i="33"/>
  <c r="M90" i="33"/>
  <c r="T90" i="33" s="1"/>
  <c r="BF90" i="33"/>
  <c r="BH90" i="33" s="1"/>
  <c r="BA92" i="33"/>
  <c r="AZ92" i="33"/>
  <c r="AY92" i="33"/>
  <c r="BB92" i="33"/>
  <c r="N92" i="33"/>
  <c r="O92" i="33" s="1"/>
  <c r="U92" i="33" s="1"/>
  <c r="P92" i="33"/>
  <c r="Q92" i="33" s="1"/>
  <c r="M92" i="33"/>
  <c r="BF92" i="33"/>
  <c r="BH92" i="33" s="1"/>
  <c r="AN24" i="33"/>
  <c r="AO24" i="33" s="1"/>
  <c r="BS24" i="33" s="1"/>
  <c r="R24" i="33"/>
  <c r="T24" i="33"/>
  <c r="BB24" i="33"/>
  <c r="AI24" i="33"/>
  <c r="AL24" i="33"/>
  <c r="AM24" i="33" s="1"/>
  <c r="BA24" i="33"/>
  <c r="AZ24" i="33"/>
  <c r="U24" i="33"/>
  <c r="Q24" i="33"/>
  <c r="M24" i="33"/>
  <c r="P24" i="33" s="1"/>
  <c r="BF24" i="33"/>
  <c r="BH24" i="33" s="1"/>
  <c r="R135" i="33"/>
  <c r="AW135" i="33"/>
  <c r="BA135" i="33"/>
  <c r="BB135" i="33"/>
  <c r="U135" i="33"/>
  <c r="AZ135" i="33"/>
  <c r="AP135" i="33"/>
  <c r="AQ135" i="33" s="1"/>
  <c r="AR135" i="33"/>
  <c r="AT135" i="33" s="1"/>
  <c r="BT135" i="33" s="1"/>
  <c r="T135" i="33"/>
  <c r="P135" i="33"/>
  <c r="Q135" i="33" s="1"/>
  <c r="M135" i="33"/>
  <c r="AG135" i="33" s="1"/>
  <c r="AH135" i="33" s="1"/>
  <c r="BF135" i="33"/>
  <c r="BH135" i="33" s="1"/>
  <c r="AI135" i="33"/>
  <c r="AR145" i="33"/>
  <c r="BA145" i="33"/>
  <c r="AP145" i="33"/>
  <c r="AQ145" i="33" s="1"/>
  <c r="BB145" i="33"/>
  <c r="AW145" i="33"/>
  <c r="U145" i="33"/>
  <c r="R145" i="33"/>
  <c r="AZ145" i="33"/>
  <c r="T145" i="33"/>
  <c r="P145" i="33"/>
  <c r="N145" i="33"/>
  <c r="M145" i="33"/>
  <c r="BF145" i="33"/>
  <c r="BH145" i="33" s="1"/>
  <c r="AI145" i="33"/>
  <c r="BB109" i="33"/>
  <c r="AZ109" i="33"/>
  <c r="BA109" i="33"/>
  <c r="AY109" i="33"/>
  <c r="N109" i="33"/>
  <c r="T109" i="33" s="1"/>
  <c r="M109" i="33"/>
  <c r="BF109" i="33"/>
  <c r="BH109" i="33" s="1"/>
  <c r="T23" i="33"/>
  <c r="R23" i="33"/>
  <c r="AI23" i="33"/>
  <c r="AN23" i="33"/>
  <c r="AO23" i="33" s="1"/>
  <c r="BS23" i="33" s="1"/>
  <c r="BB23" i="33"/>
  <c r="BA23" i="33"/>
  <c r="AL23" i="33"/>
  <c r="AM23" i="33" s="1"/>
  <c r="AZ23" i="33"/>
  <c r="U23" i="33"/>
  <c r="P23" i="33"/>
  <c r="Q23" i="33"/>
  <c r="AP23" i="33" s="1"/>
  <c r="AQ23" i="33" s="1"/>
  <c r="M23" i="33"/>
  <c r="BF23" i="33"/>
  <c r="BH23" i="33" s="1"/>
  <c r="BB120" i="33"/>
  <c r="AZ120" i="33"/>
  <c r="BA120" i="33"/>
  <c r="AY120" i="33"/>
  <c r="N120" i="33"/>
  <c r="T120" i="33" s="1"/>
  <c r="M120" i="33"/>
  <c r="O120" i="33" s="1"/>
  <c r="BF120" i="33"/>
  <c r="BH120" i="33" s="1"/>
  <c r="R63" i="33"/>
  <c r="AL63" i="33" s="1"/>
  <c r="AM63" i="33" s="1"/>
  <c r="BA63" i="33"/>
  <c r="BB63" i="33"/>
  <c r="AZ63" i="33"/>
  <c r="T63" i="33"/>
  <c r="AN63" i="33"/>
  <c r="AO63" i="33" s="1"/>
  <c r="BS63" i="33" s="1"/>
  <c r="U63" i="33"/>
  <c r="M63" i="33"/>
  <c r="BF63" i="33"/>
  <c r="BH63" i="33" s="1"/>
  <c r="BB185" i="33"/>
  <c r="U185" i="33"/>
  <c r="AZ185" i="33"/>
  <c r="AP185" i="33"/>
  <c r="AQ185" i="33" s="1"/>
  <c r="R185" i="33"/>
  <c r="AW185" i="33"/>
  <c r="BA185" i="33"/>
  <c r="AR185" i="33"/>
  <c r="T185" i="33"/>
  <c r="M185" i="33"/>
  <c r="BF185" i="33"/>
  <c r="BH185" i="33" s="1"/>
  <c r="AI185" i="33"/>
  <c r="AL37" i="33"/>
  <c r="AM37" i="33" s="1"/>
  <c r="R37" i="33"/>
  <c r="T37" i="33"/>
  <c r="BB37" i="33"/>
  <c r="BA37" i="33"/>
  <c r="AZ37" i="33"/>
  <c r="AN37" i="33"/>
  <c r="AO37" i="33" s="1"/>
  <c r="BS37" i="33" s="1"/>
  <c r="U37" i="33"/>
  <c r="P37" i="33"/>
  <c r="Q37" i="33" s="1"/>
  <c r="AP37" i="33" s="1"/>
  <c r="M37" i="33"/>
  <c r="BF37" i="33"/>
  <c r="BH37" i="33" s="1"/>
  <c r="BB157" i="33"/>
  <c r="AZ157" i="33"/>
  <c r="AR157" i="33"/>
  <c r="AT157" i="33" s="1"/>
  <c r="BT157" i="33" s="1"/>
  <c r="AP157" i="33"/>
  <c r="AQ157" i="33" s="1"/>
  <c r="R157" i="33"/>
  <c r="BA157" i="33"/>
  <c r="U157" i="33"/>
  <c r="AW157" i="33"/>
  <c r="T157" i="33"/>
  <c r="N157" i="33"/>
  <c r="AL157" i="33" s="1"/>
  <c r="P157" i="33"/>
  <c r="Q157" i="33" s="1"/>
  <c r="M157" i="33"/>
  <c r="BF157" i="33"/>
  <c r="BH157" i="33" s="1"/>
  <c r="AI157" i="33"/>
  <c r="AW180" i="33"/>
  <c r="AZ180" i="33"/>
  <c r="AR180" i="33"/>
  <c r="U180" i="33"/>
  <c r="BB180" i="33"/>
  <c r="AP180" i="33"/>
  <c r="AQ180" i="33" s="1"/>
  <c r="R180" i="33"/>
  <c r="BA180" i="33"/>
  <c r="T180" i="33"/>
  <c r="M180" i="33"/>
  <c r="P180" i="33" s="1"/>
  <c r="BF180" i="33"/>
  <c r="BH180" i="33" s="1"/>
  <c r="AI180" i="33"/>
  <c r="AZ146" i="33"/>
  <c r="AP146" i="33"/>
  <c r="AQ146" i="33" s="1"/>
  <c r="BA146" i="33"/>
  <c r="R146" i="33"/>
  <c r="U146" i="33"/>
  <c r="AW146" i="33"/>
  <c r="AR146" i="33"/>
  <c r="BB146" i="33"/>
  <c r="T146" i="33"/>
  <c r="M146" i="33"/>
  <c r="BF146" i="33"/>
  <c r="BH146" i="33" s="1"/>
  <c r="AI146" i="33"/>
  <c r="AY87" i="33"/>
  <c r="BA87" i="33"/>
  <c r="AZ87" i="33"/>
  <c r="BB87" i="33"/>
  <c r="N87" i="33"/>
  <c r="T87" i="33"/>
  <c r="M87" i="33"/>
  <c r="P87" i="33" s="1"/>
  <c r="BF87" i="33"/>
  <c r="BH87" i="33" s="1"/>
  <c r="R22" i="33"/>
  <c r="AN22" i="33"/>
  <c r="AI22" i="33"/>
  <c r="AZ22" i="33"/>
  <c r="BB22" i="33"/>
  <c r="AL22" i="33"/>
  <c r="AM22" i="33" s="1"/>
  <c r="BA22" i="33"/>
  <c r="T22" i="33"/>
  <c r="U22" i="33"/>
  <c r="N22" i="33"/>
  <c r="M22" i="33"/>
  <c r="P22" i="33" s="1"/>
  <c r="BF22" i="33"/>
  <c r="BH22" i="33" s="1"/>
  <c r="AW201" i="33"/>
  <c r="BB201" i="33"/>
  <c r="AP201" i="33"/>
  <c r="AQ201" i="33" s="1"/>
  <c r="BA201" i="33"/>
  <c r="U201" i="33"/>
  <c r="AZ201" i="33"/>
  <c r="AR201" i="33"/>
  <c r="R201" i="33"/>
  <c r="T201" i="33"/>
  <c r="M201" i="33"/>
  <c r="BF201" i="33"/>
  <c r="BH201" i="33" s="1"/>
  <c r="AI201" i="33"/>
  <c r="BB71" i="33"/>
  <c r="BA71" i="33"/>
  <c r="AZ71" i="33"/>
  <c r="AY71" i="33"/>
  <c r="N71" i="33"/>
  <c r="M71" i="33"/>
  <c r="O71" i="33" s="1"/>
  <c r="U71" i="33" s="1"/>
  <c r="BF71" i="33"/>
  <c r="BH71" i="33" s="1"/>
  <c r="BB66" i="33"/>
  <c r="BA66" i="33"/>
  <c r="AY66" i="33"/>
  <c r="AZ66" i="33"/>
  <c r="N66" i="33"/>
  <c r="P66" i="33"/>
  <c r="Q66" i="33" s="1"/>
  <c r="M66" i="33"/>
  <c r="O66" i="33" s="1"/>
  <c r="U66" i="33" s="1"/>
  <c r="BF66" i="33"/>
  <c r="BH66" i="33" s="1"/>
  <c r="R39" i="33"/>
  <c r="T39" i="33"/>
  <c r="BB39" i="33"/>
  <c r="BA39" i="33"/>
  <c r="AZ39" i="33"/>
  <c r="AL39" i="33"/>
  <c r="AM39" i="33" s="1"/>
  <c r="AN39" i="33"/>
  <c r="U39" i="33"/>
  <c r="M39" i="33"/>
  <c r="BF39" i="33"/>
  <c r="BH39" i="33" s="1"/>
  <c r="T20" i="33"/>
  <c r="AI20" i="33"/>
  <c r="R20" i="33"/>
  <c r="BB20" i="33"/>
  <c r="AN20" i="33"/>
  <c r="AO20" i="33" s="1"/>
  <c r="AL20" i="33"/>
  <c r="AM20" i="33" s="1"/>
  <c r="AZ20" i="33"/>
  <c r="BA20" i="33"/>
  <c r="U20" i="33"/>
  <c r="M20" i="33"/>
  <c r="BF20" i="33"/>
  <c r="BH20" i="33" s="1"/>
  <c r="BB170" i="33"/>
  <c r="AR170" i="33"/>
  <c r="BA170" i="33"/>
  <c r="U170" i="33"/>
  <c r="AP170" i="33"/>
  <c r="AQ170" i="33" s="1"/>
  <c r="R170" i="33"/>
  <c r="AW170" i="33"/>
  <c r="AZ170" i="33"/>
  <c r="T170" i="33"/>
  <c r="P170" i="33"/>
  <c r="Q170" i="33" s="1"/>
  <c r="M170" i="33"/>
  <c r="BF170" i="33"/>
  <c r="BH170" i="33" s="1"/>
  <c r="AI170" i="33"/>
  <c r="O603" i="28"/>
  <c r="O53" i="28"/>
  <c r="T53" i="28" s="1"/>
  <c r="BE53" i="28" s="1"/>
  <c r="O485" i="28"/>
  <c r="O508" i="28"/>
  <c r="AR36" i="33"/>
  <c r="AR91" i="33"/>
  <c r="AR111" i="33"/>
  <c r="AR75" i="33"/>
  <c r="AR45" i="33"/>
  <c r="AR88" i="33"/>
  <c r="AR121" i="33"/>
  <c r="AR71" i="33"/>
  <c r="AR15" i="33"/>
  <c r="AR54" i="33"/>
  <c r="AR44" i="33"/>
  <c r="AR22" i="33"/>
  <c r="AR55" i="33"/>
  <c r="AR94" i="33"/>
  <c r="AR109" i="33"/>
  <c r="AR40" i="33"/>
  <c r="AR61" i="33"/>
  <c r="AR115" i="33"/>
  <c r="AR92" i="33"/>
  <c r="AR81" i="33"/>
  <c r="AR87" i="33"/>
  <c r="AR85" i="33"/>
  <c r="AR46" i="33"/>
  <c r="AR31" i="33"/>
  <c r="AR89" i="33"/>
  <c r="AR80" i="33"/>
  <c r="AR21" i="33"/>
  <c r="AR97" i="33"/>
  <c r="AR32" i="33"/>
  <c r="AR105" i="33"/>
  <c r="AR108" i="33"/>
  <c r="AR58" i="33"/>
  <c r="AR101" i="33"/>
  <c r="AR107" i="33"/>
  <c r="AR13" i="33"/>
  <c r="AR99" i="33"/>
  <c r="AR18" i="33"/>
  <c r="AR38" i="33"/>
  <c r="AR83" i="33"/>
  <c r="AR33" i="33"/>
  <c r="AR116" i="33"/>
  <c r="AR100" i="33"/>
  <c r="AR35" i="33"/>
  <c r="AR57" i="33"/>
  <c r="AR65" i="33"/>
  <c r="AR112" i="33"/>
  <c r="AR34" i="33"/>
  <c r="AR17" i="33"/>
  <c r="AR10" i="33"/>
  <c r="AR11" i="33"/>
  <c r="AR12" i="33"/>
  <c r="AR50" i="33"/>
  <c r="AR28" i="33"/>
  <c r="AR60" i="33"/>
  <c r="AR122" i="33"/>
  <c r="AR47" i="33"/>
  <c r="AR113" i="33"/>
  <c r="AR82" i="33"/>
  <c r="AR110" i="33"/>
  <c r="AR20" i="33"/>
  <c r="AR24" i="33"/>
  <c r="AR90" i="33"/>
  <c r="AR48" i="33"/>
  <c r="AR77" i="33"/>
  <c r="AR86" i="33"/>
  <c r="AR37" i="33"/>
  <c r="AR43" i="33"/>
  <c r="AR104" i="33"/>
  <c r="AR73" i="33"/>
  <c r="AR26" i="33"/>
  <c r="AR14" i="33"/>
  <c r="AR78" i="33"/>
  <c r="AR103" i="33"/>
  <c r="AR30" i="33"/>
  <c r="AR49" i="33"/>
  <c r="AR106" i="33"/>
  <c r="AR69" i="33"/>
  <c r="AR59" i="33"/>
  <c r="AR41" i="33"/>
  <c r="AR25" i="33"/>
  <c r="AR9" i="33"/>
  <c r="AR64" i="33"/>
  <c r="AR96" i="33"/>
  <c r="AR120" i="33"/>
  <c r="AR66" i="33"/>
  <c r="AR95" i="33"/>
  <c r="AR93" i="33"/>
  <c r="AR84" i="33"/>
  <c r="AR19" i="33"/>
  <c r="AR29" i="33"/>
  <c r="AR114" i="33"/>
  <c r="AR42" i="33"/>
  <c r="AR98" i="33"/>
  <c r="AR79" i="33"/>
  <c r="AR27" i="33"/>
  <c r="AR39" i="33"/>
  <c r="AR76" i="33"/>
  <c r="AR52" i="33"/>
  <c r="AR70" i="33"/>
  <c r="AR56" i="33"/>
  <c r="AR72" i="33"/>
  <c r="AR118" i="33"/>
  <c r="AR67" i="33"/>
  <c r="AR68" i="33"/>
  <c r="AR51" i="33"/>
  <c r="AR53" i="33"/>
  <c r="AR62" i="33"/>
  <c r="AR117" i="33"/>
  <c r="AR119" i="33"/>
  <c r="AR74" i="33"/>
  <c r="AR23" i="33"/>
  <c r="AR16" i="33"/>
  <c r="AR102" i="33"/>
  <c r="AR63" i="33"/>
  <c r="O344" i="28"/>
  <c r="T344" i="28" s="1"/>
  <c r="O423" i="28"/>
  <c r="Q423" i="28" s="1"/>
  <c r="U423" i="28" s="1"/>
  <c r="O451" i="28"/>
  <c r="T451" i="28" s="1"/>
  <c r="O329" i="28"/>
  <c r="Q329" i="28" s="1"/>
  <c r="U329" i="28" s="1"/>
  <c r="O543" i="28"/>
  <c r="O578" i="28"/>
  <c r="Q578" i="28" s="1"/>
  <c r="U578" i="28" s="1"/>
  <c r="O166" i="28"/>
  <c r="T166" i="28" s="1"/>
  <c r="O490" i="28"/>
  <c r="Q490" i="28" s="1"/>
  <c r="U490" i="28" s="1"/>
  <c r="O373" i="28"/>
  <c r="T373" i="28" s="1"/>
  <c r="O97" i="28"/>
  <c r="T97" i="28" s="1"/>
  <c r="BF97" i="28" s="1"/>
  <c r="O65" i="28"/>
  <c r="T65" i="28" s="1"/>
  <c r="B209" i="2"/>
  <c r="O146" i="28"/>
  <c r="O180" i="28"/>
  <c r="Q180" i="28" s="1"/>
  <c r="U180" i="28" s="1"/>
  <c r="O28" i="28"/>
  <c r="Q28" i="28" s="1"/>
  <c r="U28" i="28" s="1"/>
  <c r="O315" i="28"/>
  <c r="T315" i="28" s="1"/>
  <c r="O558" i="28"/>
  <c r="T558" i="28" s="1"/>
  <c r="O225" i="28"/>
  <c r="T225" i="28" s="1"/>
  <c r="O359" i="28"/>
  <c r="T359" i="28" s="1"/>
  <c r="O294" i="28"/>
  <c r="Q294" i="28" s="1"/>
  <c r="U294" i="28" s="1"/>
  <c r="O424" i="28"/>
  <c r="O557" i="28"/>
  <c r="Q557" i="28" s="1"/>
  <c r="U557" i="28" s="1"/>
  <c r="O52" i="28"/>
  <c r="T52" i="28" s="1"/>
  <c r="BF52" i="28" s="1"/>
  <c r="O310" i="28"/>
  <c r="Q310" i="28" s="1"/>
  <c r="U310" i="28" s="1"/>
  <c r="O261" i="28"/>
  <c r="T261" i="28" s="1"/>
  <c r="O354" i="28"/>
  <c r="Q354" i="28" s="1"/>
  <c r="U354" i="28" s="1"/>
  <c r="O404" i="28"/>
  <c r="T404" i="28" s="1"/>
  <c r="O501" i="28"/>
  <c r="Q501" i="28" s="1"/>
  <c r="U501" i="28" s="1"/>
  <c r="O169" i="28"/>
  <c r="O599" i="28"/>
  <c r="Q599" i="28" s="1"/>
  <c r="U599" i="28" s="1"/>
  <c r="O81" i="28"/>
  <c r="Q81" i="28" s="1"/>
  <c r="U81" i="28" s="1"/>
  <c r="O475" i="28"/>
  <c r="T475" i="28" s="1"/>
  <c r="O563" i="28"/>
  <c r="T563" i="28" s="1"/>
  <c r="O426" i="28"/>
  <c r="Q426" i="28" s="1"/>
  <c r="U426" i="28" s="1"/>
  <c r="O122" i="28"/>
  <c r="T122" i="28" s="1"/>
  <c r="O412" i="28"/>
  <c r="T412" i="28" s="1"/>
  <c r="O244" i="28"/>
  <c r="Q244" i="28" s="1"/>
  <c r="U244" i="28" s="1"/>
  <c r="O602" i="28"/>
  <c r="Q602" i="28" s="1"/>
  <c r="U602" i="28" s="1"/>
  <c r="O90" i="28"/>
  <c r="Q90" i="28" s="1"/>
  <c r="U90" i="28" s="1"/>
  <c r="O293" i="28"/>
  <c r="Q293" i="28" s="1"/>
  <c r="U293" i="28" s="1"/>
  <c r="O425" i="28"/>
  <c r="T425" i="28" s="1"/>
  <c r="O226" i="28"/>
  <c r="T226" i="28" s="1"/>
  <c r="O401" i="28"/>
  <c r="T401" i="28" s="1"/>
  <c r="O311" i="28"/>
  <c r="Q311" i="28" s="1"/>
  <c r="U311" i="28" s="1"/>
  <c r="O551" i="28"/>
  <c r="Q551" i="28" s="1"/>
  <c r="U551" i="28" s="1"/>
  <c r="O13" i="28"/>
  <c r="T13" i="28" s="1"/>
  <c r="O507" i="28"/>
  <c r="Q507" i="28" s="1"/>
  <c r="U507" i="28" s="1"/>
  <c r="O384" i="28"/>
  <c r="T384" i="28" s="1"/>
  <c r="O555" i="28"/>
  <c r="T555" i="28" s="1"/>
  <c r="O161" i="28"/>
  <c r="Q161" i="28" s="1"/>
  <c r="U161" i="28" s="1"/>
  <c r="O586" i="28"/>
  <c r="T586" i="28" s="1"/>
  <c r="BE586" i="28" s="1"/>
  <c r="O598" i="28"/>
  <c r="Q598" i="28" s="1"/>
  <c r="U598" i="28" s="1"/>
  <c r="O59" i="28"/>
  <c r="Q59" i="28" s="1"/>
  <c r="U59" i="28" s="1"/>
  <c r="O610" i="28"/>
  <c r="T610" i="28" s="1"/>
  <c r="O370" i="28"/>
  <c r="Q370" i="28" s="1"/>
  <c r="U370" i="28" s="1"/>
  <c r="O140" i="28"/>
  <c r="Q140" i="28" s="1"/>
  <c r="U140" i="28" s="1"/>
  <c r="O568" i="28"/>
  <c r="T568" i="28" s="1"/>
  <c r="O160" i="28"/>
  <c r="T160" i="28" s="1"/>
  <c r="O608" i="28"/>
  <c r="Q608" i="28" s="1"/>
  <c r="U608" i="28" s="1"/>
  <c r="O343" i="28"/>
  <c r="Q343" i="28" s="1"/>
  <c r="U343" i="28" s="1"/>
  <c r="O50" i="28"/>
  <c r="Q50" i="28" s="1"/>
  <c r="U50" i="28" s="1"/>
  <c r="O233" i="28"/>
  <c r="Q233" i="28" s="1"/>
  <c r="U233" i="28" s="1"/>
  <c r="O20" i="28"/>
  <c r="Q20" i="28" s="1"/>
  <c r="U20" i="28" s="1"/>
  <c r="O421" i="28"/>
  <c r="Q421" i="28" s="1"/>
  <c r="U421" i="28" s="1"/>
  <c r="O328" i="28"/>
  <c r="Q328" i="28" s="1"/>
  <c r="U328" i="28" s="1"/>
  <c r="O415" i="28"/>
  <c r="Q415" i="28" s="1"/>
  <c r="U415" i="28" s="1"/>
  <c r="O434" i="28"/>
  <c r="Q434" i="28" s="1"/>
  <c r="U434" i="28" s="1"/>
  <c r="O540" i="28"/>
  <c r="Q540" i="28" s="1"/>
  <c r="U540" i="28" s="1"/>
  <c r="O439" i="28"/>
  <c r="T439" i="28" s="1"/>
  <c r="BE439" i="28" s="1"/>
  <c r="O275" i="28"/>
  <c r="T275" i="28" s="1"/>
  <c r="O549" i="28"/>
  <c r="Q549" i="28" s="1"/>
  <c r="U549" i="28" s="1"/>
  <c r="O464" i="28"/>
  <c r="Q464" i="28" s="1"/>
  <c r="U464" i="28" s="1"/>
  <c r="O69" i="28"/>
  <c r="Q69" i="28" s="1"/>
  <c r="U69" i="28" s="1"/>
  <c r="O567" i="28"/>
  <c r="Q567" i="28" s="1"/>
  <c r="U567" i="28" s="1"/>
  <c r="O21" i="28"/>
  <c r="T21" i="28" s="1"/>
  <c r="O463" i="28"/>
  <c r="Q463" i="28" s="1"/>
  <c r="U463" i="28" s="1"/>
  <c r="O110" i="28"/>
  <c r="Q110" i="28" s="1"/>
  <c r="U110" i="28" s="1"/>
  <c r="O378" i="28"/>
  <c r="T378" i="28" s="1"/>
  <c r="O154" i="28"/>
  <c r="Q154" i="28" s="1"/>
  <c r="U154" i="28" s="1"/>
  <c r="O377" i="28"/>
  <c r="Q377" i="28" s="1"/>
  <c r="U377" i="28" s="1"/>
  <c r="O502" i="28"/>
  <c r="Q502" i="28" s="1"/>
  <c r="U502" i="28" s="1"/>
  <c r="O243" i="28"/>
  <c r="Q243" i="28" s="1"/>
  <c r="U243" i="28" s="1"/>
  <c r="O206" i="28"/>
  <c r="Q206" i="28" s="1"/>
  <c r="U206" i="28" s="1"/>
  <c r="O149" i="28"/>
  <c r="Q149" i="28" s="1"/>
  <c r="U149" i="28" s="1"/>
  <c r="O42" i="28"/>
  <c r="Q42" i="28" s="1"/>
  <c r="U42" i="28" s="1"/>
  <c r="O51" i="28"/>
  <c r="T51" i="28" s="1"/>
  <c r="O123" i="28"/>
  <c r="T123" i="28" s="1"/>
  <c r="O79" i="28"/>
  <c r="Q79" i="28" s="1"/>
  <c r="U79" i="28" s="1"/>
  <c r="O257" i="28"/>
  <c r="T257" i="28" s="1"/>
  <c r="BE257" i="28" s="1"/>
  <c r="O152" i="28"/>
  <c r="Q152" i="28" s="1"/>
  <c r="U152" i="28" s="1"/>
  <c r="T543" i="28"/>
  <c r="BE543" i="28" s="1"/>
  <c r="T603" i="28"/>
  <c r="BE603" i="28" s="1"/>
  <c r="Q13" i="28"/>
  <c r="B18" i="28" s="1"/>
  <c r="Q558" i="28"/>
  <c r="U558" i="28" s="1"/>
  <c r="Q146" i="28"/>
  <c r="U146" i="28" s="1"/>
  <c r="T146" i="28"/>
  <c r="O579" i="28"/>
  <c r="Q425" i="28"/>
  <c r="U425" i="28" s="1"/>
  <c r="Q508" i="28"/>
  <c r="U508" i="28" s="1"/>
  <c r="T508" i="28"/>
  <c r="Q381" i="28"/>
  <c r="U381" i="28" s="1"/>
  <c r="T381" i="28"/>
  <c r="Q485" i="28"/>
  <c r="U485" i="28" s="1"/>
  <c r="T485" i="28"/>
  <c r="Q555" i="28"/>
  <c r="U555" i="28" s="1"/>
  <c r="S13" i="28"/>
  <c r="BE455" i="28"/>
  <c r="BF455" i="28"/>
  <c r="Q344" i="28"/>
  <c r="U344" i="28" s="1"/>
  <c r="Q424" i="28"/>
  <c r="U424" i="28" s="1"/>
  <c r="T424" i="28"/>
  <c r="Q261" i="28"/>
  <c r="U261" i="28" s="1"/>
  <c r="Q568" i="28"/>
  <c r="U568" i="28" s="1"/>
  <c r="Q169" i="28"/>
  <c r="U169" i="28" s="1"/>
  <c r="T169" i="28"/>
  <c r="Q304" i="28"/>
  <c r="U304" i="28" s="1"/>
  <c r="T304" i="28"/>
  <c r="Q249" i="28"/>
  <c r="U249" i="28" s="1"/>
  <c r="T249" i="28"/>
  <c r="Q563" i="28"/>
  <c r="U563" i="28" s="1"/>
  <c r="Q451" i="28"/>
  <c r="U451" i="28" s="1"/>
  <c r="Q373" i="28"/>
  <c r="U373" i="28" s="1"/>
  <c r="O325" i="28"/>
  <c r="T325" i="28" s="1"/>
  <c r="O224" i="28"/>
  <c r="T224" i="28" s="1"/>
  <c r="O66" i="28"/>
  <c r="O298" i="28"/>
  <c r="O422" i="28"/>
  <c r="O155" i="28"/>
  <c r="O129" i="28"/>
  <c r="O72" i="28"/>
  <c r="O101" i="28"/>
  <c r="O92" i="28"/>
  <c r="O493" i="28"/>
  <c r="O106" i="28"/>
  <c r="O95" i="28"/>
  <c r="T95" i="28" s="1"/>
  <c r="O39" i="28"/>
  <c r="O497" i="28"/>
  <c r="O131" i="28"/>
  <c r="O268" i="28"/>
  <c r="O203" i="28"/>
  <c r="O29" i="28"/>
  <c r="O483" i="28"/>
  <c r="O73" i="28"/>
  <c r="O235" i="28"/>
  <c r="O382" i="28"/>
  <c r="O459" i="28"/>
  <c r="O332" i="28"/>
  <c r="O170" i="28"/>
  <c r="O31" i="28"/>
  <c r="O214" i="28"/>
  <c r="T214" i="28" s="1"/>
  <c r="O14" i="28"/>
  <c r="O113" i="28"/>
  <c r="T113" i="28" s="1"/>
  <c r="O448" i="28"/>
  <c r="O105" i="28"/>
  <c r="O223" i="28"/>
  <c r="O330" i="28"/>
  <c r="O487" i="28"/>
  <c r="O88" i="28"/>
  <c r="O504" i="28"/>
  <c r="O498" i="28"/>
  <c r="O399" i="28"/>
  <c r="T399" i="28" s="1"/>
  <c r="O454" i="28"/>
  <c r="O340" i="28"/>
  <c r="O474" i="28"/>
  <c r="O196" i="28"/>
  <c r="O48" i="28"/>
  <c r="O626" i="28"/>
  <c r="O432" i="28"/>
  <c r="O514" i="28"/>
  <c r="O347" i="28"/>
  <c r="T347" i="28" s="1"/>
  <c r="O173" i="28"/>
  <c r="T173" i="28" s="1"/>
  <c r="O127" i="28"/>
  <c r="O144" i="28"/>
  <c r="O392" i="28"/>
  <c r="O292" i="28"/>
  <c r="T292" i="28" s="1"/>
  <c r="O281" i="28"/>
  <c r="T281" i="28" s="1"/>
  <c r="O236" i="28"/>
  <c r="O560" i="28"/>
  <c r="O367" i="28"/>
  <c r="O440" i="28"/>
  <c r="O145" i="28"/>
  <c r="O403" i="28"/>
  <c r="O591" i="28"/>
  <c r="O470" i="28"/>
  <c r="T470" i="28" s="1"/>
  <c r="O350" i="28"/>
  <c r="O222" i="28"/>
  <c r="O87" i="28"/>
  <c r="O495" i="28"/>
  <c r="O322" i="28"/>
  <c r="O136" i="28"/>
  <c r="O270" i="28"/>
  <c r="T270" i="28" s="1"/>
  <c r="O331" i="28"/>
  <c r="O103" i="28"/>
  <c r="O159" i="28"/>
  <c r="O530" i="28"/>
  <c r="O303" i="28"/>
  <c r="O554" i="28"/>
  <c r="O109" i="28"/>
  <c r="O266" i="28"/>
  <c r="T266" i="28" s="1"/>
  <c r="O461" i="28"/>
  <c r="O500" i="28"/>
  <c r="O241" i="28"/>
  <c r="O433" i="28"/>
  <c r="O362" i="28"/>
  <c r="O316" i="28"/>
  <c r="O453" i="28"/>
  <c r="T453" i="28" s="1"/>
  <c r="O250" i="28"/>
  <c r="O413" i="28"/>
  <c r="O157" i="28"/>
  <c r="O288" i="28"/>
  <c r="O480" i="28"/>
  <c r="O64" i="28"/>
  <c r="O484" i="28"/>
  <c r="O389" i="28"/>
  <c r="O516" i="28"/>
  <c r="O494" i="28"/>
  <c r="O462" i="28"/>
  <c r="O38" i="28"/>
  <c r="O134" i="28"/>
  <c r="O539" i="28"/>
  <c r="O205" i="28"/>
  <c r="O162" i="28"/>
  <c r="T162" i="28" s="1"/>
  <c r="O218" i="28"/>
  <c r="O172" i="28"/>
  <c r="O111" i="28"/>
  <c r="O506" i="28"/>
  <c r="O510" i="28"/>
  <c r="O562" i="28"/>
  <c r="O41" i="28"/>
  <c r="O142" i="28"/>
  <c r="O435" i="28"/>
  <c r="O16" i="28"/>
  <c r="O256" i="28"/>
  <c r="O446" i="28"/>
  <c r="O395" i="28"/>
  <c r="O216" i="28"/>
  <c r="O274" i="28"/>
  <c r="O369" i="28"/>
  <c r="O553" i="28"/>
  <c r="O456" i="28"/>
  <c r="O251" i="28"/>
  <c r="O296" i="28"/>
  <c r="O45" i="28"/>
  <c r="T45" i="28" s="1"/>
  <c r="O207" i="28"/>
  <c r="O479" i="28"/>
  <c r="O444" i="28"/>
  <c r="O197" i="28"/>
  <c r="O339" i="28"/>
  <c r="O364" i="28"/>
  <c r="O417" i="28"/>
  <c r="O353" i="28"/>
  <c r="O380" i="28"/>
  <c r="O302" i="28"/>
  <c r="O151" i="28"/>
  <c r="O299" i="28"/>
  <c r="O84" i="28"/>
  <c r="O550" i="28"/>
  <c r="O150" i="28"/>
  <c r="O99" i="28"/>
  <c r="O167" i="28"/>
  <c r="O492" i="28"/>
  <c r="O148" i="28"/>
  <c r="O163" i="28"/>
  <c r="O80" i="28"/>
  <c r="O528" i="28"/>
  <c r="O468" i="28"/>
  <c r="O447" i="28"/>
  <c r="O566" i="28"/>
  <c r="O120" i="28"/>
  <c r="O612" i="28"/>
  <c r="O429" i="28"/>
  <c r="O317" i="28"/>
  <c r="T317" i="28" s="1"/>
  <c r="O613" i="28"/>
  <c r="O541" i="28"/>
  <c r="O596" i="28"/>
  <c r="O213" i="28"/>
  <c r="O411" i="28"/>
  <c r="T411" i="28" s="1"/>
  <c r="O139" i="28"/>
  <c r="T139" i="28" s="1"/>
  <c r="O402" i="28"/>
  <c r="O211" i="28"/>
  <c r="O264" i="28"/>
  <c r="O254" i="28"/>
  <c r="O393" i="28"/>
  <c r="O357" i="28"/>
  <c r="T357" i="28" s="1"/>
  <c r="O561" i="28"/>
  <c r="O34" i="28"/>
  <c r="O182" i="28"/>
  <c r="O465" i="28"/>
  <c r="O581" i="28"/>
  <c r="O349" i="28"/>
  <c r="O564" i="28"/>
  <c r="O263" i="28"/>
  <c r="O334" i="28"/>
  <c r="O82" i="28"/>
  <c r="O70" i="28"/>
  <c r="T70" i="28" s="1"/>
  <c r="O199" i="28"/>
  <c r="O604" i="28"/>
  <c r="T604" i="28" s="1"/>
  <c r="O301" i="28"/>
  <c r="O285" i="28"/>
  <c r="T285" i="28" s="1"/>
  <c r="O372" i="28"/>
  <c r="T372" i="28" s="1"/>
  <c r="O36" i="28"/>
  <c r="O535" i="28"/>
  <c r="O26" i="28"/>
  <c r="O290" i="28"/>
  <c r="O204" i="28"/>
  <c r="O305" i="28"/>
  <c r="O368" i="28"/>
  <c r="O67" i="28"/>
  <c r="O94" i="28"/>
  <c r="O195" i="28"/>
  <c r="O133" i="28"/>
  <c r="O513" i="28"/>
  <c r="O352" i="28"/>
  <c r="T352" i="28" s="1"/>
  <c r="O112" i="28"/>
  <c r="O609" i="28"/>
  <c r="O522" i="28"/>
  <c r="O147" i="28"/>
  <c r="O135" i="28"/>
  <c r="O473" i="28"/>
  <c r="O184" i="28"/>
  <c r="O58" i="28"/>
  <c r="T58" i="28" s="1"/>
  <c r="O306" i="28"/>
  <c r="T306" i="28" s="1"/>
  <c r="O585" i="28"/>
  <c r="O318" i="28"/>
  <c r="O27" i="28"/>
  <c r="O176" i="28"/>
  <c r="O260" i="28"/>
  <c r="O286" i="28"/>
  <c r="O518" i="28"/>
  <c r="Q53" i="28"/>
  <c r="U53" i="28" s="1"/>
  <c r="P583" i="28"/>
  <c r="O583" i="28"/>
  <c r="T583" i="28" s="1"/>
  <c r="P324" i="28"/>
  <c r="O324" i="28"/>
  <c r="T324" i="28" s="1"/>
  <c r="Q603" i="28"/>
  <c r="U603" i="28" s="1"/>
  <c r="P158" i="28"/>
  <c r="O158" i="28"/>
  <c r="T158" i="28" s="1"/>
  <c r="P594" i="28"/>
  <c r="O594" i="28"/>
  <c r="T594" i="28" s="1"/>
  <c r="Q455" i="28"/>
  <c r="U455" i="28" s="1"/>
  <c r="P627" i="28"/>
  <c r="O627" i="28"/>
  <c r="P430" i="28"/>
  <c r="O430" i="28"/>
  <c r="T430" i="28" s="1"/>
  <c r="P141" i="28"/>
  <c r="O141" i="28"/>
  <c r="T141" i="28" s="1"/>
  <c r="Q543" i="28"/>
  <c r="U543" i="28" s="1"/>
  <c r="O188" i="28"/>
  <c r="T188" i="28" s="1"/>
  <c r="O259" i="28"/>
  <c r="T259" i="28" s="1"/>
  <c r="O600" i="28"/>
  <c r="T600" i="28" s="1"/>
  <c r="O86" i="28"/>
  <c r="T86" i="28" s="1"/>
  <c r="O49" i="28"/>
  <c r="T49" i="28" s="1"/>
  <c r="O46" i="28"/>
  <c r="T46" i="28" s="1"/>
  <c r="O398" i="28"/>
  <c r="T398" i="28" s="1"/>
  <c r="O371" i="28"/>
  <c r="T371" i="28" s="1"/>
  <c r="O385" i="28"/>
  <c r="T385" i="28" s="1"/>
  <c r="O43" i="28"/>
  <c r="T43" i="28" s="1"/>
  <c r="O431" i="28"/>
  <c r="T431" i="28" s="1"/>
  <c r="O360" i="28"/>
  <c r="T360" i="28" s="1"/>
  <c r="O229" i="28"/>
  <c r="T229" i="28" s="1"/>
  <c r="O333" i="28"/>
  <c r="T333" i="28" s="1"/>
  <c r="O258" i="28"/>
  <c r="T258" i="28" s="1"/>
  <c r="O130" i="28"/>
  <c r="T130" i="28" s="1"/>
  <c r="O220" i="28"/>
  <c r="T220" i="28" s="1"/>
  <c r="O308" i="28"/>
  <c r="T308" i="28" s="1"/>
  <c r="O572" i="28"/>
  <c r="T572" i="28" s="1"/>
  <c r="O221" i="28"/>
  <c r="T221" i="28" s="1"/>
  <c r="O287" i="28"/>
  <c r="T287" i="28" s="1"/>
  <c r="O355" i="28"/>
  <c r="T355" i="28" s="1"/>
  <c r="O124" i="28"/>
  <c r="T124" i="28" s="1"/>
  <c r="O24" i="28"/>
  <c r="T24" i="28" s="1"/>
  <c r="O548" i="28"/>
  <c r="T548" i="28" s="1"/>
  <c r="O313" i="28"/>
  <c r="T313" i="28" s="1"/>
  <c r="O327" i="28"/>
  <c r="T327" i="28" s="1"/>
  <c r="O337" i="28"/>
  <c r="T337" i="28" s="1"/>
  <c r="O629" i="28"/>
  <c r="T629" i="28" s="1"/>
  <c r="AS623" i="28"/>
  <c r="O208" i="28"/>
  <c r="T208" i="28" s="1"/>
  <c r="O323" i="28"/>
  <c r="T323" i="28" s="1"/>
  <c r="O117" i="28"/>
  <c r="T117" i="28" s="1"/>
  <c r="O418" i="28"/>
  <c r="T418" i="28" s="1"/>
  <c r="O570" i="28"/>
  <c r="T570" i="28" s="1"/>
  <c r="O521" i="28"/>
  <c r="T521" i="28" s="1"/>
  <c r="O450" i="28"/>
  <c r="T450" i="28" s="1"/>
  <c r="O476" i="28"/>
  <c r="T476" i="28" s="1"/>
  <c r="O410" i="28"/>
  <c r="T410" i="28" s="1"/>
  <c r="O168" i="28"/>
  <c r="T168" i="28" s="1"/>
  <c r="O379" i="28"/>
  <c r="T379" i="28" s="1"/>
  <c r="O457" i="28"/>
  <c r="T457" i="28" s="1"/>
  <c r="O582" i="28"/>
  <c r="T582" i="28" s="1"/>
  <c r="O394" i="28"/>
  <c r="T394" i="28" s="1"/>
  <c r="O375" i="28"/>
  <c r="T375" i="28" s="1"/>
  <c r="O102" i="28"/>
  <c r="T102" i="28" s="1"/>
  <c r="O179" i="28"/>
  <c r="T179" i="28" s="1"/>
  <c r="O248" i="28"/>
  <c r="T248" i="28" s="1"/>
  <c r="O592" i="28"/>
  <c r="T592" i="28" s="1"/>
  <c r="O143" i="28"/>
  <c r="T143" i="28" s="1"/>
  <c r="O47" i="28"/>
  <c r="T47" i="28" s="1"/>
  <c r="O156" i="28"/>
  <c r="T156" i="28" s="1"/>
  <c r="O125" i="28"/>
  <c r="T125" i="28" s="1"/>
  <c r="O121" i="28"/>
  <c r="T121" i="28" s="1"/>
  <c r="O265" i="28"/>
  <c r="T265" i="28" s="1"/>
  <c r="O189" i="28"/>
  <c r="T189" i="28" s="1"/>
  <c r="O23" i="28"/>
  <c r="T23" i="28" s="1"/>
  <c r="O519" i="28"/>
  <c r="T519" i="28" s="1"/>
  <c r="O209" i="28"/>
  <c r="T209" i="28" s="1"/>
  <c r="O93" i="28"/>
  <c r="T93" i="28" s="1"/>
  <c r="O56" i="28"/>
  <c r="T56" i="28" s="1"/>
  <c r="O358" i="28"/>
  <c r="T358" i="28" s="1"/>
  <c r="O37" i="28"/>
  <c r="T37" i="28" s="1"/>
  <c r="O60" i="28"/>
  <c r="T60" i="28" s="1"/>
  <c r="O17" i="28"/>
  <c r="T17" i="28" s="1"/>
  <c r="O137" i="28"/>
  <c r="T137" i="28" s="1"/>
  <c r="O427" i="28"/>
  <c r="T427" i="28" s="1"/>
  <c r="O374" i="28"/>
  <c r="T374" i="28" s="1"/>
  <c r="O22" i="28"/>
  <c r="T22" i="28" s="1"/>
  <c r="O625" i="28"/>
  <c r="T625" i="28" s="1"/>
  <c r="O593" i="28"/>
  <c r="T593" i="28" s="1"/>
  <c r="O25" i="28"/>
  <c r="T25" i="28" s="1"/>
  <c r="O319" i="28"/>
  <c r="T319" i="28" s="1"/>
  <c r="O575" i="28"/>
  <c r="T575" i="28" s="1"/>
  <c r="O15" i="28"/>
  <c r="T15" i="28" s="1"/>
  <c r="O441" i="28"/>
  <c r="T441" i="28" s="1"/>
  <c r="O471" i="28"/>
  <c r="T471" i="28" s="1"/>
  <c r="O107" i="28"/>
  <c r="T107" i="28" s="1"/>
  <c r="O342" i="28"/>
  <c r="T342" i="28" s="1"/>
  <c r="O469" i="28"/>
  <c r="T469" i="28" s="1"/>
  <c r="O18" i="28"/>
  <c r="T18" i="28" s="1"/>
  <c r="O234" i="28"/>
  <c r="T234" i="28" s="1"/>
  <c r="O237" i="28"/>
  <c r="T237" i="28" s="1"/>
  <c r="O273" i="28"/>
  <c r="T273" i="28" s="1"/>
  <c r="O247" i="28"/>
  <c r="T247" i="28" s="1"/>
  <c r="O442" i="28"/>
  <c r="T442" i="28" s="1"/>
  <c r="O397" i="28"/>
  <c r="T397" i="28" s="1"/>
  <c r="O517" i="28"/>
  <c r="T517" i="28" s="1"/>
  <c r="O419" i="28"/>
  <c r="T419" i="28" s="1"/>
  <c r="O76" i="28"/>
  <c r="T76" i="28" s="1"/>
  <c r="O361" i="28"/>
  <c r="T361" i="28" s="1"/>
  <c r="O252" i="28"/>
  <c r="T252" i="28" s="1"/>
  <c r="O605" i="28"/>
  <c r="T605" i="28" s="1"/>
  <c r="O486" i="28"/>
  <c r="T486" i="28" s="1"/>
  <c r="O569" i="28"/>
  <c r="T569" i="28" s="1"/>
  <c r="O77" i="28"/>
  <c r="T77" i="28" s="1"/>
  <c r="O242" i="28"/>
  <c r="T242" i="28" s="1"/>
  <c r="O489" i="28"/>
  <c r="T489" i="28" s="1"/>
  <c r="O584" i="28"/>
  <c r="T584" i="28" s="1"/>
  <c r="O33" i="28"/>
  <c r="T33" i="28" s="1"/>
  <c r="O116" i="28"/>
  <c r="T116" i="28" s="1"/>
  <c r="O279" i="28"/>
  <c r="T279" i="28" s="1"/>
  <c r="O300" i="28"/>
  <c r="T300" i="28" s="1"/>
  <c r="O523" i="28"/>
  <c r="T523" i="28" s="1"/>
  <c r="O406" i="28"/>
  <c r="T406" i="28" s="1"/>
  <c r="O547" i="28"/>
  <c r="T547" i="28" s="1"/>
  <c r="O74" i="28"/>
  <c r="T74" i="28" s="1"/>
  <c r="O529" i="28"/>
  <c r="T529" i="28" s="1"/>
  <c r="O445" i="28"/>
  <c r="T445" i="28" s="1"/>
  <c r="O542" i="28"/>
  <c r="T542" i="28" s="1"/>
  <c r="O588" i="28"/>
  <c r="T588" i="28" s="1"/>
  <c r="O210" i="28"/>
  <c r="T210" i="28" s="1"/>
  <c r="O153" i="28"/>
  <c r="T153" i="28" s="1"/>
  <c r="O193" i="28"/>
  <c r="T193" i="28" s="1"/>
  <c r="O78" i="28"/>
  <c r="T78" i="28" s="1"/>
  <c r="O527" i="28"/>
  <c r="T527" i="28" s="1"/>
  <c r="O341" i="28"/>
  <c r="T341" i="28" s="1"/>
  <c r="O40" i="28"/>
  <c r="T40" i="28" s="1"/>
  <c r="O531" i="28"/>
  <c r="T531" i="28" s="1"/>
  <c r="O108" i="28"/>
  <c r="T108" i="28" s="1"/>
  <c r="O115" i="28"/>
  <c r="T115" i="28" s="1"/>
  <c r="O396" i="28"/>
  <c r="T396" i="28" s="1"/>
  <c r="O282" i="28"/>
  <c r="T282" i="28" s="1"/>
  <c r="O437" i="28"/>
  <c r="T437" i="28" s="1"/>
  <c r="O212" i="28"/>
  <c r="T212" i="28" s="1"/>
  <c r="O552" i="28"/>
  <c r="T552" i="28" s="1"/>
  <c r="O215" i="28"/>
  <c r="T215" i="28" s="1"/>
  <c r="O246" i="28"/>
  <c r="T246" i="28" s="1"/>
  <c r="O283" i="28"/>
  <c r="T283" i="28" s="1"/>
  <c r="O488" i="28"/>
  <c r="T488" i="28" s="1"/>
  <c r="O280" i="28"/>
  <c r="T280" i="28" s="1"/>
  <c r="O601" i="28"/>
  <c r="T601" i="28" s="1"/>
  <c r="O98" i="28"/>
  <c r="T98" i="28" s="1"/>
  <c r="O54" i="28"/>
  <c r="T54" i="28" s="1"/>
  <c r="O611" i="28"/>
  <c r="T611" i="28" s="1"/>
  <c r="O104" i="28"/>
  <c r="T104" i="28" s="1"/>
  <c r="O472" i="28"/>
  <c r="T472" i="28" s="1"/>
  <c r="O388" i="28"/>
  <c r="T388" i="28" s="1"/>
  <c r="O230" i="28"/>
  <c r="T230" i="28" s="1"/>
  <c r="O408" i="28"/>
  <c r="T408" i="28" s="1"/>
  <c r="O187" i="28"/>
  <c r="T187" i="28" s="1"/>
  <c r="O546" i="28"/>
  <c r="T546" i="28" s="1"/>
  <c r="O35" i="28"/>
  <c r="T35" i="28" s="1"/>
  <c r="O61" i="28"/>
  <c r="T61" i="28" s="1"/>
  <c r="O198" i="28"/>
  <c r="T198" i="28" s="1"/>
  <c r="O499" i="28"/>
  <c r="T499" i="28" s="1"/>
  <c r="O376" i="28"/>
  <c r="T376" i="28" s="1"/>
  <c r="O533" i="28"/>
  <c r="T533" i="28" s="1"/>
  <c r="O240" i="28"/>
  <c r="T240" i="28" s="1"/>
  <c r="O291" i="28"/>
  <c r="T291" i="28" s="1"/>
  <c r="O262" i="28"/>
  <c r="T262" i="28" s="1"/>
  <c r="O289" i="28"/>
  <c r="T289" i="28" s="1"/>
  <c r="O383" i="28"/>
  <c r="T383" i="28" s="1"/>
  <c r="O348" i="28"/>
  <c r="T348" i="28" s="1"/>
  <c r="O365" i="28"/>
  <c r="T365" i="28" s="1"/>
  <c r="O307" i="28"/>
  <c r="T307" i="28" s="1"/>
  <c r="O118" i="28"/>
  <c r="T118" i="28" s="1"/>
  <c r="O346" i="28"/>
  <c r="T346" i="28" s="1"/>
  <c r="O336" i="28"/>
  <c r="T336" i="28" s="1"/>
  <c r="O416" i="28"/>
  <c r="T416" i="28" s="1"/>
  <c r="O496" i="28"/>
  <c r="T496" i="28" s="1"/>
  <c r="O194" i="28"/>
  <c r="T194" i="28" s="1"/>
  <c r="O532" i="28"/>
  <c r="T532" i="28" s="1"/>
  <c r="O83" i="28"/>
  <c r="T83" i="28" s="1"/>
  <c r="O227" i="28"/>
  <c r="T227" i="28" s="1"/>
  <c r="O165" i="28"/>
  <c r="T165" i="28" s="1"/>
  <c r="O85" i="28"/>
  <c r="T85" i="28" s="1"/>
  <c r="O186" i="28"/>
  <c r="T186" i="28" s="1"/>
  <c r="O177" i="28"/>
  <c r="T177" i="28" s="1"/>
  <c r="O71" i="28"/>
  <c r="T71" i="28" s="1"/>
  <c r="O192" i="28"/>
  <c r="T192" i="28" s="1"/>
  <c r="O309" i="28"/>
  <c r="T309" i="28" s="1"/>
  <c r="O512" i="28"/>
  <c r="T512" i="28" s="1"/>
  <c r="O574" i="28"/>
  <c r="T574" i="28" s="1"/>
  <c r="O57" i="28"/>
  <c r="T57" i="28" s="1"/>
  <c r="O420" i="28"/>
  <c r="T420" i="28" s="1"/>
  <c r="O320" i="28"/>
  <c r="T320" i="28" s="1"/>
  <c r="O537" i="28"/>
  <c r="T537" i="28" s="1"/>
  <c r="O271" i="28"/>
  <c r="T271" i="28" s="1"/>
  <c r="O132" i="28"/>
  <c r="T132" i="28" s="1"/>
  <c r="O138" i="28"/>
  <c r="T138" i="28" s="1"/>
  <c r="O75" i="28"/>
  <c r="T75" i="28" s="1"/>
  <c r="O577" i="28"/>
  <c r="T577" i="28" s="1"/>
  <c r="O312" i="28"/>
  <c r="T312" i="28" s="1"/>
  <c r="O524" i="28"/>
  <c r="T524" i="28" s="1"/>
  <c r="O183" i="28"/>
  <c r="T183" i="28" s="1"/>
  <c r="O267" i="28"/>
  <c r="T267" i="28" s="1"/>
  <c r="O515" i="28"/>
  <c r="T515" i="28" s="1"/>
  <c r="O467" i="28"/>
  <c r="T467" i="28" s="1"/>
  <c r="O478" i="28"/>
  <c r="T478" i="28" s="1"/>
  <c r="O536" i="28"/>
  <c r="T536" i="28" s="1"/>
  <c r="O482" i="28"/>
  <c r="T482" i="28" s="1"/>
  <c r="O460" i="28"/>
  <c r="T460" i="28" s="1"/>
  <c r="O595" i="28"/>
  <c r="T595" i="28" s="1"/>
  <c r="O356" i="28"/>
  <c r="T356" i="28" s="1"/>
  <c r="O351" i="28"/>
  <c r="T351" i="28" s="1"/>
  <c r="O200" i="28"/>
  <c r="T200" i="28" s="1"/>
  <c r="O503" i="28"/>
  <c r="T503" i="28" s="1"/>
  <c r="O544" i="28"/>
  <c r="T544" i="28" s="1"/>
  <c r="O314" i="28"/>
  <c r="T314" i="28" s="1"/>
  <c r="O217" i="28"/>
  <c r="T217" i="28" s="1"/>
  <c r="O545" i="28"/>
  <c r="T545" i="28" s="1"/>
  <c r="O491" i="28"/>
  <c r="T491" i="28" s="1"/>
  <c r="O597" i="28"/>
  <c r="T597" i="28" s="1"/>
  <c r="O19" i="28"/>
  <c r="T19" i="28" s="1"/>
  <c r="O277" i="28"/>
  <c r="T277" i="28" s="1"/>
  <c r="O30" i="28"/>
  <c r="T30" i="28" s="1"/>
  <c r="O338" i="28"/>
  <c r="T338" i="28" s="1"/>
  <c r="O525" i="28"/>
  <c r="T525" i="28" s="1"/>
  <c r="O219" i="28"/>
  <c r="T219" i="28" s="1"/>
  <c r="O556" i="28"/>
  <c r="T556" i="28" s="1"/>
  <c r="O255" i="28"/>
  <c r="T255" i="28" s="1"/>
  <c r="O114" i="28"/>
  <c r="T114" i="28" s="1"/>
  <c r="O409" i="28"/>
  <c r="T409" i="28" s="1"/>
  <c r="O436" i="28"/>
  <c r="T436" i="28" s="1"/>
  <c r="O326" i="28"/>
  <c r="T326" i="28" s="1"/>
  <c r="O335" i="28"/>
  <c r="T335" i="28" s="1"/>
  <c r="O44" i="28"/>
  <c r="T44" i="28" s="1"/>
  <c r="O428" i="28"/>
  <c r="T428" i="28" s="1"/>
  <c r="O191" i="28"/>
  <c r="T191" i="28" s="1"/>
  <c r="O202" i="28"/>
  <c r="T202" i="28" s="1"/>
  <c r="O407" i="28"/>
  <c r="T407" i="28" s="1"/>
  <c r="O438" i="28"/>
  <c r="T438" i="28" s="1"/>
  <c r="O589" i="28"/>
  <c r="T589" i="28" s="1"/>
  <c r="O190" i="28"/>
  <c r="T190" i="28" s="1"/>
  <c r="O239" i="28"/>
  <c r="T239" i="28" s="1"/>
  <c r="O391" i="28"/>
  <c r="T391" i="28" s="1"/>
  <c r="O345" i="28"/>
  <c r="T345" i="28" s="1"/>
  <c r="O253" i="28"/>
  <c r="T253" i="28" s="1"/>
  <c r="O164" i="28"/>
  <c r="T164" i="28" s="1"/>
  <c r="O414" i="28"/>
  <c r="T414" i="28" s="1"/>
  <c r="O126" i="28"/>
  <c r="T126" i="28" s="1"/>
  <c r="O509" i="28"/>
  <c r="T509" i="28" s="1"/>
  <c r="O526" i="28"/>
  <c r="T526" i="28" s="1"/>
  <c r="O511" i="28"/>
  <c r="T511" i="28" s="1"/>
  <c r="O272" i="28"/>
  <c r="T272" i="28" s="1"/>
  <c r="O452" i="28"/>
  <c r="T452" i="28" s="1"/>
  <c r="O405" i="28"/>
  <c r="T405" i="28" s="1"/>
  <c r="O387" i="28"/>
  <c r="T387" i="28" s="1"/>
  <c r="O185" i="28"/>
  <c r="T185" i="28" s="1"/>
  <c r="O284" i="28"/>
  <c r="T284" i="28" s="1"/>
  <c r="O128" i="28"/>
  <c r="T128" i="28" s="1"/>
  <c r="O181" i="28"/>
  <c r="T181" i="28" s="1"/>
  <c r="O587" i="28"/>
  <c r="T587" i="28" s="1"/>
  <c r="O68" i="28"/>
  <c r="T68" i="28" s="1"/>
  <c r="O100" i="28"/>
  <c r="T100" i="28" s="1"/>
  <c r="O175" i="28"/>
  <c r="T175" i="28" s="1"/>
  <c r="O119" i="28"/>
  <c r="T119" i="28" s="1"/>
  <c r="O466" i="28"/>
  <c r="T466" i="28" s="1"/>
  <c r="O624" i="28"/>
  <c r="T624" i="28" s="1"/>
  <c r="O245" i="28"/>
  <c r="T245" i="28" s="1"/>
  <c r="O386" i="28"/>
  <c r="T386" i="28" s="1"/>
  <c r="O297" i="28"/>
  <c r="T297" i="28" s="1"/>
  <c r="O238" i="28"/>
  <c r="T238" i="28" s="1"/>
  <c r="O458" i="28"/>
  <c r="T458" i="28" s="1"/>
  <c r="O55" i="28"/>
  <c r="T55" i="28" s="1"/>
  <c r="O538" i="28"/>
  <c r="T538" i="28" s="1"/>
  <c r="O580" i="28"/>
  <c r="T580" i="28" s="1"/>
  <c r="O505" i="28"/>
  <c r="T505" i="28" s="1"/>
  <c r="O62" i="28"/>
  <c r="T62" i="28" s="1"/>
  <c r="O590" i="28"/>
  <c r="T590" i="28" s="1"/>
  <c r="O96" i="28"/>
  <c r="T96" i="28" s="1"/>
  <c r="O576" i="28"/>
  <c r="T576" i="28" s="1"/>
  <c r="O201" i="28"/>
  <c r="T201" i="28" s="1"/>
  <c r="O481" i="28"/>
  <c r="T481" i="28" s="1"/>
  <c r="O559" i="28"/>
  <c r="T559" i="28" s="1"/>
  <c r="O232" i="28"/>
  <c r="T232" i="28" s="1"/>
  <c r="O91" i="28"/>
  <c r="T91" i="28" s="1"/>
  <c r="O276" i="28"/>
  <c r="T276" i="28" s="1"/>
  <c r="O321" i="28"/>
  <c r="T321" i="28" s="1"/>
  <c r="O171" i="28"/>
  <c r="T171" i="28" s="1"/>
  <c r="O295" i="28"/>
  <c r="T295" i="28" s="1"/>
  <c r="O32" i="28"/>
  <c r="T32" i="28" s="1"/>
  <c r="O390" i="28"/>
  <c r="T390" i="28" s="1"/>
  <c r="O174" i="28"/>
  <c r="T174" i="28" s="1"/>
  <c r="O520" i="28"/>
  <c r="T520" i="28" s="1"/>
  <c r="O573" i="28"/>
  <c r="T573" i="28" s="1"/>
  <c r="O366" i="28"/>
  <c r="T366" i="28" s="1"/>
  <c r="O89" i="28"/>
  <c r="T89" i="28" s="1"/>
  <c r="O443" i="28"/>
  <c r="T443" i="28" s="1"/>
  <c r="O231" i="28"/>
  <c r="T231" i="28" s="1"/>
  <c r="O571" i="28"/>
  <c r="T571" i="28" s="1"/>
  <c r="O178" i="28"/>
  <c r="T178" i="28" s="1"/>
  <c r="O278" i="28"/>
  <c r="T278" i="28" s="1"/>
  <c r="O228" i="28"/>
  <c r="T228" i="28" s="1"/>
  <c r="O449" i="28"/>
  <c r="T449" i="28" s="1"/>
  <c r="O565" i="28"/>
  <c r="T565" i="28" s="1"/>
  <c r="O63" i="28"/>
  <c r="T63" i="28" s="1"/>
  <c r="O400" i="28"/>
  <c r="T400" i="28" s="1"/>
  <c r="O477" i="28"/>
  <c r="T477" i="28" s="1"/>
  <c r="O363" i="28"/>
  <c r="T363" i="28" s="1"/>
  <c r="O269" i="28"/>
  <c r="T269" i="28" s="1"/>
  <c r="O606" i="28"/>
  <c r="T606" i="28" s="1"/>
  <c r="O607" i="28"/>
  <c r="T607" i="28" s="1"/>
  <c r="O534" i="28"/>
  <c r="T534" i="28" s="1"/>
  <c r="AN623" i="28"/>
  <c r="AO623" i="28"/>
  <c r="J623" i="28"/>
  <c r="M623" i="28" s="1"/>
  <c r="AQ623" i="28"/>
  <c r="AR623" i="28"/>
  <c r="AK623" i="28"/>
  <c r="AL623" i="28"/>
  <c r="AM622" i="28"/>
  <c r="AP622" i="28"/>
  <c r="K622" i="28"/>
  <c r="F622" i="28"/>
  <c r="AJ622" i="28"/>
  <c r="G622" i="28"/>
  <c r="H622" i="28" s="1"/>
  <c r="I622" i="28" s="1"/>
  <c r="E81" i="1"/>
  <c r="E82" i="1" s="1"/>
  <c r="O5" i="28"/>
  <c r="B215" i="2"/>
  <c r="B216" i="2" s="1"/>
  <c r="B217" i="2" s="1"/>
  <c r="E51" i="1" s="1"/>
  <c r="B111" i="2"/>
  <c r="B214" i="2"/>
  <c r="B176" i="2"/>
  <c r="B175" i="2"/>
  <c r="B305" i="2"/>
  <c r="B174" i="2"/>
  <c r="B314" i="2"/>
  <c r="B203" i="2"/>
  <c r="B113" i="2"/>
  <c r="B129" i="2" s="1"/>
  <c r="B220" i="2"/>
  <c r="B191" i="2"/>
  <c r="B219" i="2"/>
  <c r="F101" i="2"/>
  <c r="E94" i="2"/>
  <c r="E20" i="1"/>
  <c r="B225" i="2"/>
  <c r="B226" i="2"/>
  <c r="F94" i="2"/>
  <c r="B326" i="2"/>
  <c r="K158" i="2"/>
  <c r="M158" i="2" s="1"/>
  <c r="B94" i="2"/>
  <c r="F326" i="2"/>
  <c r="B101" i="2"/>
  <c r="E23" i="1" s="1"/>
  <c r="K5" i="17"/>
  <c r="H57" i="17" s="1"/>
  <c r="F327" i="2"/>
  <c r="B327" i="2"/>
  <c r="B199" i="2"/>
  <c r="B207" i="2"/>
  <c r="B189" i="2"/>
  <c r="B196" i="2"/>
  <c r="B197" i="2" s="1"/>
  <c r="E93" i="2"/>
  <c r="B92" i="2"/>
  <c r="B93" i="2"/>
  <c r="F92" i="2"/>
  <c r="F93" i="2"/>
  <c r="E92" i="2"/>
  <c r="F207" i="2"/>
  <c r="H156" i="2"/>
  <c r="K156" i="2"/>
  <c r="M156" i="2" s="1"/>
  <c r="E18" i="1"/>
  <c r="K214" i="2"/>
  <c r="E19" i="1"/>
  <c r="B344" i="2"/>
  <c r="B99" i="2"/>
  <c r="E21" i="1" s="1"/>
  <c r="B100" i="2"/>
  <c r="E22" i="1" s="1"/>
  <c r="F99" i="2"/>
  <c r="F100" i="2"/>
  <c r="B97" i="2"/>
  <c r="H87" i="2"/>
  <c r="BF53" i="28" l="1"/>
  <c r="R83" i="33"/>
  <c r="AP83" i="33"/>
  <c r="AQ83" i="33" s="1"/>
  <c r="Q108" i="33"/>
  <c r="Q22" i="33"/>
  <c r="V22" i="33" s="1"/>
  <c r="AU22" i="33"/>
  <c r="AV22" i="33" s="1"/>
  <c r="AP22" i="33"/>
  <c r="W22" i="33"/>
  <c r="AM157" i="33"/>
  <c r="BC157" i="33"/>
  <c r="BV157" i="33" s="1"/>
  <c r="Q180" i="33"/>
  <c r="AG180" i="33" s="1"/>
  <c r="AH180" i="33" s="1"/>
  <c r="AQ37" i="33"/>
  <c r="BC37" i="33"/>
  <c r="BV37" i="33" s="1"/>
  <c r="Q87" i="33"/>
  <c r="R87" i="33" s="1"/>
  <c r="AG87" i="33"/>
  <c r="AH87" i="33" s="1"/>
  <c r="R92" i="33"/>
  <c r="AP92" i="33" s="1"/>
  <c r="AQ92" i="33" s="1"/>
  <c r="AT92" i="33" s="1"/>
  <c r="BT92" i="33" s="1"/>
  <c r="AU66" i="33"/>
  <c r="AV66" i="33" s="1"/>
  <c r="R66" i="33"/>
  <c r="AP66" i="33" s="1"/>
  <c r="AQ66" i="33" s="1"/>
  <c r="V157" i="33"/>
  <c r="AU157" i="33"/>
  <c r="AV157" i="33" s="1"/>
  <c r="AX157" i="33" s="1"/>
  <c r="BU157" i="33" s="1"/>
  <c r="AT118" i="33"/>
  <c r="BT118" i="33" s="1"/>
  <c r="N170" i="33"/>
  <c r="AT170" i="33"/>
  <c r="BT170" i="33" s="1"/>
  <c r="P39" i="33"/>
  <c r="AG66" i="33"/>
  <c r="AH66" i="33" s="1"/>
  <c r="N180" i="33"/>
  <c r="U120" i="33"/>
  <c r="AA23" i="33"/>
  <c r="AB23" i="33" s="1"/>
  <c r="AC23" i="33" s="1"/>
  <c r="V24" i="33"/>
  <c r="AG83" i="33"/>
  <c r="AH83" i="33" s="1"/>
  <c r="O72" i="33"/>
  <c r="Q26" i="33"/>
  <c r="V26" i="33" s="1"/>
  <c r="X36" i="33"/>
  <c r="AG36" i="33"/>
  <c r="AH36" i="33" s="1"/>
  <c r="AY36" i="33"/>
  <c r="R75" i="33"/>
  <c r="S75" i="33" s="1"/>
  <c r="AI75" i="33" s="1"/>
  <c r="AP75" i="33"/>
  <c r="AQ75" i="33" s="1"/>
  <c r="AQ10" i="33"/>
  <c r="BC10" i="33"/>
  <c r="BV10" i="33" s="1"/>
  <c r="BS20" i="33"/>
  <c r="AL66" i="33"/>
  <c r="AO22" i="33"/>
  <c r="BS22" i="33" s="1"/>
  <c r="W157" i="33"/>
  <c r="AT185" i="33"/>
  <c r="BT185" i="33" s="1"/>
  <c r="P120" i="33"/>
  <c r="O202" i="33"/>
  <c r="W202" i="33"/>
  <c r="AL202" i="33"/>
  <c r="P13" i="33"/>
  <c r="N13" i="33"/>
  <c r="Q144" i="33"/>
  <c r="V144" i="33" s="1"/>
  <c r="AG144" i="33"/>
  <c r="AH144" i="33" s="1"/>
  <c r="AO39" i="33"/>
  <c r="BS39" i="33" s="1"/>
  <c r="W66" i="33"/>
  <c r="X66" i="33" s="1"/>
  <c r="P71" i="33"/>
  <c r="O146" i="33"/>
  <c r="P146" i="33"/>
  <c r="V37" i="33"/>
  <c r="AA37" i="33" s="1"/>
  <c r="AB37" i="33" s="1"/>
  <c r="AC37" i="33" s="1"/>
  <c r="AL92" i="33"/>
  <c r="V202" i="33"/>
  <c r="S202" i="33"/>
  <c r="V83" i="33"/>
  <c r="P148" i="33"/>
  <c r="O98" i="33"/>
  <c r="U98" i="33"/>
  <c r="AG128" i="33"/>
  <c r="AH128" i="33" s="1"/>
  <c r="AG170" i="33"/>
  <c r="AH170" i="33" s="1"/>
  <c r="O20" i="33"/>
  <c r="N20" i="33"/>
  <c r="T71" i="33"/>
  <c r="P201" i="33"/>
  <c r="N146" i="33"/>
  <c r="N37" i="33"/>
  <c r="AU37" i="33" s="1"/>
  <c r="AV37" i="33" s="1"/>
  <c r="P63" i="33"/>
  <c r="BC23" i="33"/>
  <c r="BV23" i="33" s="1"/>
  <c r="O109" i="33"/>
  <c r="P109" i="33"/>
  <c r="Q145" i="33"/>
  <c r="AG145" i="33" s="1"/>
  <c r="AH145" i="33" s="1"/>
  <c r="AT183" i="33"/>
  <c r="BT183" i="33" s="1"/>
  <c r="T108" i="33"/>
  <c r="AQ36" i="33"/>
  <c r="BC36" i="33"/>
  <c r="BV36" i="33" s="1"/>
  <c r="AG133" i="33"/>
  <c r="AH133" i="33" s="1"/>
  <c r="R118" i="33"/>
  <c r="AL118" i="33" s="1"/>
  <c r="AP118" i="33"/>
  <c r="AQ118" i="33" s="1"/>
  <c r="O21" i="33"/>
  <c r="S21" i="33" s="1"/>
  <c r="P20" i="33"/>
  <c r="N201" i="33"/>
  <c r="W180" i="33"/>
  <c r="O157" i="33"/>
  <c r="N63" i="33"/>
  <c r="AG92" i="33"/>
  <c r="AH92" i="33" s="1"/>
  <c r="Q90" i="33"/>
  <c r="P183" i="33"/>
  <c r="N183" i="33"/>
  <c r="AG202" i="33"/>
  <c r="AH202" i="33" s="1"/>
  <c r="P72" i="33"/>
  <c r="N176" i="33"/>
  <c r="AU131" i="33"/>
  <c r="AV131" i="33" s="1"/>
  <c r="AX131" i="33" s="1"/>
  <c r="BU131" i="33" s="1"/>
  <c r="N131" i="33"/>
  <c r="AL131" i="33" s="1"/>
  <c r="Q47" i="33"/>
  <c r="AP47" i="33"/>
  <c r="O87" i="33"/>
  <c r="AL87" i="33" s="1"/>
  <c r="S157" i="33"/>
  <c r="V135" i="33"/>
  <c r="AA24" i="33"/>
  <c r="AB24" i="33" s="1"/>
  <c r="AC24" i="33" s="1"/>
  <c r="O90" i="33"/>
  <c r="N148" i="33"/>
  <c r="T72" i="33"/>
  <c r="V48" i="33"/>
  <c r="Q48" i="33"/>
  <c r="O170" i="33"/>
  <c r="T66" i="33"/>
  <c r="AT146" i="33"/>
  <c r="BT146" i="33" s="1"/>
  <c r="O185" i="33"/>
  <c r="P185" i="33"/>
  <c r="AD135" i="33"/>
  <c r="AE135" i="33" s="1"/>
  <c r="AF135" i="33" s="1"/>
  <c r="V92" i="33"/>
  <c r="S92" i="33"/>
  <c r="AI92" i="33" s="1"/>
  <c r="V112" i="33"/>
  <c r="Q112" i="33"/>
  <c r="R112" i="33" s="1"/>
  <c r="AL112" i="33" s="1"/>
  <c r="O108" i="33"/>
  <c r="U108" i="33" s="1"/>
  <c r="Q98" i="33"/>
  <c r="R98" i="33" s="1"/>
  <c r="AL98" i="33" s="1"/>
  <c r="V131" i="33"/>
  <c r="P188" i="33"/>
  <c r="R78" i="33"/>
  <c r="AL78" i="33" s="1"/>
  <c r="AP78" i="33"/>
  <c r="AQ78" i="33" s="1"/>
  <c r="AT78" i="33" s="1"/>
  <c r="O198" i="33"/>
  <c r="AT83" i="33"/>
  <c r="V170" i="33"/>
  <c r="N39" i="33"/>
  <c r="V66" i="33"/>
  <c r="AA66" i="33" s="1"/>
  <c r="AB66" i="33" s="1"/>
  <c r="AC66" i="33" s="1"/>
  <c r="S66" i="33"/>
  <c r="AI66" i="33" s="1"/>
  <c r="AT201" i="33"/>
  <c r="BT201" i="33" s="1"/>
  <c r="O22" i="33"/>
  <c r="AT180" i="33"/>
  <c r="BT180" i="33" s="1"/>
  <c r="AG157" i="33"/>
  <c r="AH157" i="33" s="1"/>
  <c r="AD157" i="33"/>
  <c r="AE157" i="33" s="1"/>
  <c r="AF157" i="33" s="1"/>
  <c r="W37" i="33"/>
  <c r="N185" i="33"/>
  <c r="V23" i="33"/>
  <c r="N135" i="33"/>
  <c r="AU92" i="33"/>
  <c r="AV92" i="33" s="1"/>
  <c r="AD112" i="33"/>
  <c r="AE112" i="33" s="1"/>
  <c r="AF112" i="33" s="1"/>
  <c r="P176" i="33"/>
  <c r="T98" i="33"/>
  <c r="N188" i="33"/>
  <c r="AU26" i="33"/>
  <c r="AV26" i="33" s="1"/>
  <c r="AU144" i="33"/>
  <c r="AV144" i="33" s="1"/>
  <c r="AX144" i="33" s="1"/>
  <c r="BU144" i="33" s="1"/>
  <c r="V18" i="33"/>
  <c r="Q18" i="33"/>
  <c r="AP18" i="33" s="1"/>
  <c r="O10" i="33"/>
  <c r="AU10" i="33"/>
  <c r="AV10" i="33" s="1"/>
  <c r="Q74" i="33"/>
  <c r="N23" i="33"/>
  <c r="O145" i="33"/>
  <c r="AP24" i="33"/>
  <c r="W92" i="33"/>
  <c r="X92" i="33" s="1"/>
  <c r="O83" i="33"/>
  <c r="AT176" i="33"/>
  <c r="BT176" i="33" s="1"/>
  <c r="AP98" i="33"/>
  <c r="AQ98" i="33" s="1"/>
  <c r="AT98" i="33" s="1"/>
  <c r="BT98" i="33" s="1"/>
  <c r="N128" i="33"/>
  <c r="AT188" i="33"/>
  <c r="BT188" i="33" s="1"/>
  <c r="N163" i="33"/>
  <c r="O26" i="33"/>
  <c r="BS13" i="33"/>
  <c r="O144" i="33"/>
  <c r="AL144" i="33"/>
  <c r="P64" i="33"/>
  <c r="AO43" i="33"/>
  <c r="BS43" i="33" s="1"/>
  <c r="P54" i="33"/>
  <c r="P152" i="33"/>
  <c r="AT152" i="33"/>
  <c r="BT152" i="33" s="1"/>
  <c r="AG78" i="33"/>
  <c r="AH78" i="33" s="1"/>
  <c r="P53" i="33"/>
  <c r="AT139" i="33"/>
  <c r="BT139" i="33" s="1"/>
  <c r="P119" i="33"/>
  <c r="P198" i="33"/>
  <c r="N47" i="33"/>
  <c r="AO47" i="33"/>
  <c r="BS47" i="33" s="1"/>
  <c r="BT205" i="33"/>
  <c r="AO33" i="33"/>
  <c r="BS33" i="33" s="1"/>
  <c r="N48" i="33"/>
  <c r="AD153" i="33"/>
  <c r="AE153" i="33" s="1"/>
  <c r="AF153" i="33" s="1"/>
  <c r="V164" i="33"/>
  <c r="N29" i="33"/>
  <c r="O29" i="33" s="1"/>
  <c r="AT181" i="33"/>
  <c r="BT181" i="33" s="1"/>
  <c r="AP117" i="33"/>
  <c r="AQ117" i="33" s="1"/>
  <c r="AT117" i="33" s="1"/>
  <c r="BT117" i="33" s="1"/>
  <c r="P207" i="33"/>
  <c r="N11" i="33"/>
  <c r="O77" i="33"/>
  <c r="T77" i="33"/>
  <c r="O41" i="33"/>
  <c r="AO55" i="33"/>
  <c r="BS55" i="33" s="1"/>
  <c r="Q140" i="33"/>
  <c r="Q159" i="33"/>
  <c r="V159" i="33" s="1"/>
  <c r="AP122" i="33"/>
  <c r="AQ122" i="33" s="1"/>
  <c r="AT122" i="33" s="1"/>
  <c r="AG81" i="33"/>
  <c r="AH81" i="33" s="1"/>
  <c r="V91" i="33"/>
  <c r="Q91" i="33"/>
  <c r="R91" i="33" s="1"/>
  <c r="AP91" i="33" s="1"/>
  <c r="AQ91" i="33" s="1"/>
  <c r="AT91" i="33" s="1"/>
  <c r="BT91" i="33" s="1"/>
  <c r="AL189" i="33"/>
  <c r="P99" i="33"/>
  <c r="P123" i="33"/>
  <c r="V133" i="33"/>
  <c r="AA18" i="33"/>
  <c r="AB18" i="33" s="1"/>
  <c r="AC18" i="33" s="1"/>
  <c r="AD164" i="33"/>
  <c r="AE164" i="33" s="1"/>
  <c r="AF164" i="33" s="1"/>
  <c r="R117" i="33"/>
  <c r="T114" i="33"/>
  <c r="N207" i="33"/>
  <c r="V69" i="33"/>
  <c r="R103" i="33"/>
  <c r="AG103" i="33" s="1"/>
  <c r="AH103" i="33" s="1"/>
  <c r="O197" i="33"/>
  <c r="P197" i="33"/>
  <c r="N197" i="33"/>
  <c r="Q61" i="33"/>
  <c r="AU61" i="33" s="1"/>
  <c r="AV61" i="33" s="1"/>
  <c r="AP61" i="33"/>
  <c r="Y179" i="33"/>
  <c r="AA179" i="33"/>
  <c r="AB179" i="33" s="1"/>
  <c r="AC179" i="33" s="1"/>
  <c r="AJ179" i="33"/>
  <c r="AN179" i="33"/>
  <c r="O17" i="33"/>
  <c r="N17" i="33"/>
  <c r="P17" i="33"/>
  <c r="AD91" i="33"/>
  <c r="AE91" i="33" s="1"/>
  <c r="AF91" i="33" s="1"/>
  <c r="T115" i="33"/>
  <c r="P115" i="33"/>
  <c r="AU189" i="33"/>
  <c r="AV189" i="33" s="1"/>
  <c r="AX189" i="33" s="1"/>
  <c r="BU189" i="33" s="1"/>
  <c r="W189" i="33"/>
  <c r="N171" i="33"/>
  <c r="V78" i="33"/>
  <c r="S78" i="33"/>
  <c r="AI78" i="33" s="1"/>
  <c r="P168" i="33"/>
  <c r="V75" i="33"/>
  <c r="V118" i="33"/>
  <c r="S118" i="33"/>
  <c r="AI118" i="33" s="1"/>
  <c r="N132" i="33"/>
  <c r="N51" i="33"/>
  <c r="P51" i="33"/>
  <c r="V55" i="33"/>
  <c r="Q55" i="33"/>
  <c r="Q192" i="33"/>
  <c r="V192" i="33" s="1"/>
  <c r="N160" i="33"/>
  <c r="O50" i="33"/>
  <c r="P50" i="33"/>
  <c r="N50" i="33"/>
  <c r="P52" i="33"/>
  <c r="R105" i="33"/>
  <c r="AU105" i="33" s="1"/>
  <c r="AV105" i="33" s="1"/>
  <c r="W105" i="33"/>
  <c r="X105" i="33" s="1"/>
  <c r="X35" i="33"/>
  <c r="AG35" i="33"/>
  <c r="AH35" i="33" s="1"/>
  <c r="AY35" i="33"/>
  <c r="P101" i="33"/>
  <c r="T101" i="33"/>
  <c r="Y81" i="33"/>
  <c r="AJ81" i="33"/>
  <c r="AA81" i="33"/>
  <c r="AB81" i="33" s="1"/>
  <c r="AC81" i="33" s="1"/>
  <c r="AN81" i="33"/>
  <c r="AW81" i="33"/>
  <c r="Q149" i="33"/>
  <c r="V149" i="33" s="1"/>
  <c r="P191" i="33"/>
  <c r="O88" i="33"/>
  <c r="U88" i="33"/>
  <c r="P88" i="33"/>
  <c r="AT145" i="33"/>
  <c r="BT145" i="33" s="1"/>
  <c r="N24" i="33"/>
  <c r="AD202" i="33"/>
  <c r="AE202" i="33" s="1"/>
  <c r="AF202" i="33" s="1"/>
  <c r="P84" i="33"/>
  <c r="AG112" i="33"/>
  <c r="AH112" i="33" s="1"/>
  <c r="AT131" i="33"/>
  <c r="BT131" i="33" s="1"/>
  <c r="AD144" i="33"/>
  <c r="AE144" i="33" s="1"/>
  <c r="AF144" i="33" s="1"/>
  <c r="O36" i="33"/>
  <c r="S36" i="33" s="1"/>
  <c r="AI36" i="33" s="1"/>
  <c r="P171" i="33"/>
  <c r="BT171" i="33"/>
  <c r="T85" i="33"/>
  <c r="AT137" i="33"/>
  <c r="BT137" i="33" s="1"/>
  <c r="W78" i="33"/>
  <c r="X78" i="33" s="1"/>
  <c r="T78" i="33"/>
  <c r="AD78" i="33" s="1"/>
  <c r="AE78" i="33" s="1"/>
  <c r="AF78" i="33" s="1"/>
  <c r="O102" i="33"/>
  <c r="O139" i="33"/>
  <c r="N168" i="33"/>
  <c r="N28" i="33"/>
  <c r="P125" i="33"/>
  <c r="AD133" i="33"/>
  <c r="AE133" i="33" s="1"/>
  <c r="AF133" i="33" s="1"/>
  <c r="O33" i="33"/>
  <c r="AL75" i="33"/>
  <c r="O42" i="33"/>
  <c r="N42" i="33"/>
  <c r="W10" i="33"/>
  <c r="O199" i="33"/>
  <c r="P199" i="33"/>
  <c r="AU118" i="33"/>
  <c r="AV118" i="33" s="1"/>
  <c r="AD118" i="33"/>
  <c r="AE118" i="33" s="1"/>
  <c r="AF118" i="33" s="1"/>
  <c r="P181" i="33"/>
  <c r="AG117" i="33"/>
  <c r="AH117" i="33" s="1"/>
  <c r="T117" i="33"/>
  <c r="AD117" i="33" s="1"/>
  <c r="AE117" i="33" s="1"/>
  <c r="AF117" i="33" s="1"/>
  <c r="P132" i="33"/>
  <c r="BT132" i="33"/>
  <c r="V21" i="33"/>
  <c r="Q21" i="33"/>
  <c r="AP21" i="33" s="1"/>
  <c r="V16" i="33"/>
  <c r="Q16" i="33"/>
  <c r="AL192" i="33"/>
  <c r="N150" i="33"/>
  <c r="P150" i="33"/>
  <c r="Q106" i="33"/>
  <c r="R35" i="33"/>
  <c r="AU35" i="33"/>
  <c r="AV35" i="33" s="1"/>
  <c r="AP35" i="33"/>
  <c r="V143" i="33"/>
  <c r="Q143" i="33"/>
  <c r="AU143" i="33" s="1"/>
  <c r="AV143" i="33" s="1"/>
  <c r="AX143" i="33" s="1"/>
  <c r="BU143" i="33" s="1"/>
  <c r="S195" i="33"/>
  <c r="Q195" i="33"/>
  <c r="W195" i="33" s="1"/>
  <c r="P193" i="33"/>
  <c r="N193" i="33"/>
  <c r="O193" i="33" s="1"/>
  <c r="AL149" i="33"/>
  <c r="N191" i="33"/>
  <c r="P186" i="33"/>
  <c r="N186" i="33"/>
  <c r="W178" i="33"/>
  <c r="N178" i="33"/>
  <c r="W145" i="33"/>
  <c r="T92" i="33"/>
  <c r="AD92" i="33" s="1"/>
  <c r="AE92" i="33" s="1"/>
  <c r="AF92" i="33" s="1"/>
  <c r="O84" i="33"/>
  <c r="T83" i="33"/>
  <c r="AD131" i="33"/>
  <c r="AE131" i="33" s="1"/>
  <c r="AF131" i="33" s="1"/>
  <c r="W128" i="33"/>
  <c r="O194" i="33"/>
  <c r="N194" i="33"/>
  <c r="T76" i="33"/>
  <c r="P85" i="33"/>
  <c r="O137" i="33"/>
  <c r="P137" i="33"/>
  <c r="P139" i="33"/>
  <c r="P28" i="33"/>
  <c r="N125" i="33"/>
  <c r="O125" i="33" s="1"/>
  <c r="AT125" i="33"/>
  <c r="BT125" i="33" s="1"/>
  <c r="P33" i="33"/>
  <c r="N56" i="33"/>
  <c r="AU56" i="33" s="1"/>
  <c r="AV56" i="33" s="1"/>
  <c r="AP48" i="33"/>
  <c r="AO48" i="33"/>
  <c r="BS48" i="33" s="1"/>
  <c r="U94" i="33"/>
  <c r="P42" i="33"/>
  <c r="AG118" i="33"/>
  <c r="AH118" i="33" s="1"/>
  <c r="N181" i="33"/>
  <c r="U113" i="33"/>
  <c r="Q158" i="33"/>
  <c r="P11" i="33"/>
  <c r="O59" i="33"/>
  <c r="N59" i="33"/>
  <c r="P59" i="33"/>
  <c r="P41" i="33"/>
  <c r="O69" i="33"/>
  <c r="AL69" i="33" s="1"/>
  <c r="W69" i="33"/>
  <c r="X69" i="33" s="1"/>
  <c r="AG69" i="33"/>
  <c r="AH69" i="33" s="1"/>
  <c r="T69" i="33"/>
  <c r="AU69" i="33"/>
  <c r="AV69" i="33" s="1"/>
  <c r="U69" i="33"/>
  <c r="AA69" i="33" s="1"/>
  <c r="AB69" i="33" s="1"/>
  <c r="AC69" i="33" s="1"/>
  <c r="AP103" i="33"/>
  <c r="AQ103" i="33" s="1"/>
  <c r="AT103" i="33" s="1"/>
  <c r="W62" i="33"/>
  <c r="P160" i="33"/>
  <c r="O126" i="33"/>
  <c r="AU126" i="33"/>
  <c r="AV126" i="33" s="1"/>
  <c r="AX126" i="33" s="1"/>
  <c r="BU126" i="33" s="1"/>
  <c r="AL126" i="33"/>
  <c r="W126" i="33"/>
  <c r="R80" i="33"/>
  <c r="AL80" i="33" s="1"/>
  <c r="AP80" i="33"/>
  <c r="AQ80" i="33" s="1"/>
  <c r="AT80" i="33" s="1"/>
  <c r="BT80" i="33" s="1"/>
  <c r="W80" i="33"/>
  <c r="X80" i="33" s="1"/>
  <c r="T88" i="33"/>
  <c r="V178" i="33"/>
  <c r="Q178" i="33"/>
  <c r="AG178" i="33" s="1"/>
  <c r="AH178" i="33" s="1"/>
  <c r="O136" i="33"/>
  <c r="Q128" i="33"/>
  <c r="V128" i="33" s="1"/>
  <c r="O166" i="33"/>
  <c r="N166" i="33"/>
  <c r="V194" i="33"/>
  <c r="S194" i="33"/>
  <c r="P76" i="33"/>
  <c r="O99" i="33"/>
  <c r="U99" i="33" s="1"/>
  <c r="O43" i="33"/>
  <c r="N43" i="33"/>
  <c r="O187" i="33"/>
  <c r="N187" i="33"/>
  <c r="BT187" i="33"/>
  <c r="P107" i="33"/>
  <c r="AU78" i="33"/>
  <c r="AV78" i="33" s="1"/>
  <c r="W133" i="33"/>
  <c r="AT133" i="33"/>
  <c r="BT133" i="33" s="1"/>
  <c r="V56" i="33"/>
  <c r="T100" i="33"/>
  <c r="W75" i="33"/>
  <c r="X75" i="33" s="1"/>
  <c r="Q94" i="33"/>
  <c r="AT153" i="33"/>
  <c r="BT153" i="33" s="1"/>
  <c r="V10" i="33"/>
  <c r="S10" i="33"/>
  <c r="O161" i="33"/>
  <c r="W118" i="33"/>
  <c r="X118" i="33" s="1"/>
  <c r="V117" i="33"/>
  <c r="N127" i="33"/>
  <c r="P113" i="33"/>
  <c r="O74" i="33"/>
  <c r="O158" i="33"/>
  <c r="AA21" i="33"/>
  <c r="AB21" i="33" s="1"/>
  <c r="AC21" i="33" s="1"/>
  <c r="Q77" i="33"/>
  <c r="Q62" i="33"/>
  <c r="AU62" i="33" s="1"/>
  <c r="AV62" i="33" s="1"/>
  <c r="W61" i="33"/>
  <c r="Q110" i="33"/>
  <c r="O155" i="33"/>
  <c r="AU159" i="33"/>
  <c r="AV159" i="33" s="1"/>
  <c r="AX159" i="33" s="1"/>
  <c r="BU159" i="33" s="1"/>
  <c r="Q68" i="33"/>
  <c r="O173" i="33"/>
  <c r="P173" i="33"/>
  <c r="O143" i="33"/>
  <c r="AL143" i="33"/>
  <c r="V154" i="33"/>
  <c r="Q154" i="33"/>
  <c r="AG154" i="33" s="1"/>
  <c r="AH154" i="33" s="1"/>
  <c r="O182" i="33"/>
  <c r="P182" i="33"/>
  <c r="AT128" i="33"/>
  <c r="BT128" i="33" s="1"/>
  <c r="P166" i="33"/>
  <c r="AD194" i="33"/>
  <c r="AE194" i="33" s="1"/>
  <c r="AF194" i="33" s="1"/>
  <c r="AT194" i="33"/>
  <c r="BT194" i="33" s="1"/>
  <c r="W26" i="33"/>
  <c r="BS26" i="33"/>
  <c r="O184" i="33"/>
  <c r="P184" i="33"/>
  <c r="O64" i="33"/>
  <c r="U76" i="33"/>
  <c r="P111" i="33"/>
  <c r="P43" i="33"/>
  <c r="V36" i="33"/>
  <c r="P187" i="33"/>
  <c r="U107" i="33"/>
  <c r="U102" i="33"/>
  <c r="AO28" i="33"/>
  <c r="BS28" i="33" s="1"/>
  <c r="AU133" i="33"/>
  <c r="AV133" i="33" s="1"/>
  <c r="AX133" i="33" s="1"/>
  <c r="BU133" i="33" s="1"/>
  <c r="O205" i="33"/>
  <c r="BC56" i="33"/>
  <c r="BV56" i="33" s="1"/>
  <c r="W48" i="33"/>
  <c r="P100" i="33"/>
  <c r="AU75" i="33"/>
  <c r="AV75" i="33" s="1"/>
  <c r="O153" i="33"/>
  <c r="N153" i="33"/>
  <c r="BS42" i="33"/>
  <c r="W29" i="33"/>
  <c r="N161" i="33"/>
  <c r="O117" i="33"/>
  <c r="AL117" i="33" s="1"/>
  <c r="P127" i="33"/>
  <c r="O58" i="33"/>
  <c r="S58" i="33" s="1"/>
  <c r="AI58" i="33" s="1"/>
  <c r="N58" i="33"/>
  <c r="O114" i="33"/>
  <c r="P114" i="33"/>
  <c r="N12" i="33"/>
  <c r="N31" i="33"/>
  <c r="O31" i="33" s="1"/>
  <c r="AG179" i="33"/>
  <c r="AH179" i="33" s="1"/>
  <c r="N52" i="33"/>
  <c r="O52" i="33" s="1"/>
  <c r="O190" i="33"/>
  <c r="AU190" i="33"/>
  <c r="AV190" i="33" s="1"/>
  <c r="AX190" i="33" s="1"/>
  <c r="BU190" i="33" s="1"/>
  <c r="AL190" i="33"/>
  <c r="W190" i="33"/>
  <c r="N173" i="33"/>
  <c r="V25" i="33"/>
  <c r="Q25" i="33"/>
  <c r="S25" i="33" s="1"/>
  <c r="Q142" i="33"/>
  <c r="V142" i="33" s="1"/>
  <c r="Q136" i="33"/>
  <c r="AU112" i="33"/>
  <c r="AV112" i="33" s="1"/>
  <c r="O128" i="33"/>
  <c r="AU128" i="33"/>
  <c r="AV128" i="33" s="1"/>
  <c r="AX128" i="33" s="1"/>
  <c r="BU128" i="33" s="1"/>
  <c r="AT166" i="33"/>
  <c r="BT166" i="33" s="1"/>
  <c r="O163" i="33"/>
  <c r="P163" i="33"/>
  <c r="O111" i="33"/>
  <c r="O54" i="33"/>
  <c r="O85" i="33"/>
  <c r="P102" i="33"/>
  <c r="O53" i="33"/>
  <c r="N53" i="33"/>
  <c r="AT198" i="33"/>
  <c r="BT198" i="33" s="1"/>
  <c r="AL133" i="33"/>
  <c r="P205" i="33"/>
  <c r="N18" i="33"/>
  <c r="AO18" i="33"/>
  <c r="BS18" i="33" s="1"/>
  <c r="AO56" i="33"/>
  <c r="BS56" i="33" s="1"/>
  <c r="AG75" i="33"/>
  <c r="AH75" i="33" s="1"/>
  <c r="V153" i="33"/>
  <c r="S153" i="33"/>
  <c r="N164" i="33"/>
  <c r="Q29" i="33"/>
  <c r="P161" i="33"/>
  <c r="AT199" i="33"/>
  <c r="BT199" i="33" s="1"/>
  <c r="BT127" i="33"/>
  <c r="V58" i="33"/>
  <c r="P12" i="33"/>
  <c r="W21" i="33"/>
  <c r="P31" i="33"/>
  <c r="Q95" i="33"/>
  <c r="BS41" i="33"/>
  <c r="O16" i="33"/>
  <c r="S16" i="33" s="1"/>
  <c r="AP16" i="33"/>
  <c r="N16" i="33"/>
  <c r="AU16" i="33" s="1"/>
  <c r="AV16" i="33" s="1"/>
  <c r="AU192" i="33"/>
  <c r="AV192" i="33" s="1"/>
  <c r="AX192" i="33" s="1"/>
  <c r="BU192" i="33" s="1"/>
  <c r="V93" i="33"/>
  <c r="Q93" i="33"/>
  <c r="R93" i="33" s="1"/>
  <c r="W93" i="33"/>
  <c r="X93" i="33" s="1"/>
  <c r="R70" i="33"/>
  <c r="AP70" i="33" s="1"/>
  <c r="AQ70" i="33" s="1"/>
  <c r="AL159" i="33"/>
  <c r="O97" i="33"/>
  <c r="P97" i="33"/>
  <c r="U97" i="33"/>
  <c r="AG189" i="33"/>
  <c r="AH189" i="33" s="1"/>
  <c r="Q40" i="33"/>
  <c r="V40" i="33" s="1"/>
  <c r="P34" i="33"/>
  <c r="S70" i="33"/>
  <c r="AI70" i="33" s="1"/>
  <c r="AK70" i="33" s="1"/>
  <c r="BR70" i="33" s="1"/>
  <c r="P175" i="33"/>
  <c r="AD159" i="33"/>
  <c r="AE159" i="33" s="1"/>
  <c r="AF159" i="33" s="1"/>
  <c r="O9" i="33"/>
  <c r="AT143" i="33"/>
  <c r="BT143" i="33" s="1"/>
  <c r="Q82" i="33"/>
  <c r="AD154" i="33"/>
  <c r="AE154" i="33" s="1"/>
  <c r="AF154" i="33" s="1"/>
  <c r="BT206" i="33"/>
  <c r="N19" i="33"/>
  <c r="AO44" i="33"/>
  <c r="BS44" i="33" s="1"/>
  <c r="N38" i="33"/>
  <c r="P30" i="33"/>
  <c r="AD142" i="33"/>
  <c r="AE142" i="33" s="1"/>
  <c r="AF142" i="33" s="1"/>
  <c r="N14" i="33"/>
  <c r="AT207" i="33"/>
  <c r="BT207" i="33" s="1"/>
  <c r="AO12" i="33"/>
  <c r="BS12" i="33" s="1"/>
  <c r="AT158" i="33"/>
  <c r="BT158" i="33" s="1"/>
  <c r="AO11" i="33"/>
  <c r="BS11" i="33" s="1"/>
  <c r="AT174" i="33"/>
  <c r="BT174" i="33" s="1"/>
  <c r="O55" i="33"/>
  <c r="U55" i="33" s="1"/>
  <c r="AA55" i="33" s="1"/>
  <c r="AB55" i="33" s="1"/>
  <c r="AC55" i="33" s="1"/>
  <c r="AO60" i="33"/>
  <c r="BS60" i="33" s="1"/>
  <c r="P60" i="33"/>
  <c r="T103" i="33"/>
  <c r="AD103" i="33" s="1"/>
  <c r="AE103" i="33" s="1"/>
  <c r="AF103" i="33" s="1"/>
  <c r="AG192" i="33"/>
  <c r="AH192" i="33" s="1"/>
  <c r="AD192" i="33"/>
  <c r="AE192" i="33" s="1"/>
  <c r="AF192" i="33" s="1"/>
  <c r="O45" i="33"/>
  <c r="P45" i="33"/>
  <c r="U65" i="33"/>
  <c r="AT147" i="33"/>
  <c r="BT147" i="33" s="1"/>
  <c r="N34" i="33"/>
  <c r="U79" i="33"/>
  <c r="T70" i="33"/>
  <c r="N175" i="33"/>
  <c r="AT173" i="33"/>
  <c r="BT173" i="33" s="1"/>
  <c r="O35" i="33"/>
  <c r="AL35" i="33" s="1"/>
  <c r="AM35" i="33" s="1"/>
  <c r="AO35" i="33" s="1"/>
  <c r="BS35" i="33" s="1"/>
  <c r="P9" i="33"/>
  <c r="AU195" i="33"/>
  <c r="AV195" i="33" s="1"/>
  <c r="AX195" i="33" s="1"/>
  <c r="BU195" i="33" s="1"/>
  <c r="AT165" i="33"/>
  <c r="BT165" i="33" s="1"/>
  <c r="N204" i="33"/>
  <c r="O96" i="33"/>
  <c r="U96" i="33" s="1"/>
  <c r="U80" i="33"/>
  <c r="AG149" i="33"/>
  <c r="AH149" i="33" s="1"/>
  <c r="P89" i="33"/>
  <c r="AT191" i="33"/>
  <c r="BT191" i="33" s="1"/>
  <c r="N162" i="33"/>
  <c r="O156" i="33"/>
  <c r="P19" i="33"/>
  <c r="AP44" i="33"/>
  <c r="P121" i="33"/>
  <c r="P38" i="33"/>
  <c r="AD178" i="33"/>
  <c r="AE178" i="33" s="1"/>
  <c r="AF178" i="33" s="1"/>
  <c r="O208" i="33"/>
  <c r="S208" i="33" s="1"/>
  <c r="N208" i="33"/>
  <c r="N30" i="33"/>
  <c r="P14" i="33"/>
  <c r="BT138" i="33"/>
  <c r="U73" i="33"/>
  <c r="N141" i="33"/>
  <c r="AO40" i="33"/>
  <c r="BS40" i="33" s="1"/>
  <c r="AA16" i="33"/>
  <c r="AB16" i="33" s="1"/>
  <c r="AC16" i="33" s="1"/>
  <c r="V103" i="33"/>
  <c r="S103" i="33"/>
  <c r="AI103" i="33" s="1"/>
  <c r="AT169" i="33"/>
  <c r="BT169" i="33" s="1"/>
  <c r="AT192" i="33"/>
  <c r="BT192" i="33" s="1"/>
  <c r="AK179" i="33"/>
  <c r="BT150" i="33"/>
  <c r="AG105" i="33"/>
  <c r="AH105" i="33" s="1"/>
  <c r="U116" i="33"/>
  <c r="V190" i="33"/>
  <c r="S190" i="33"/>
  <c r="T79" i="33"/>
  <c r="AL70" i="33"/>
  <c r="V35" i="33"/>
  <c r="N9" i="33"/>
  <c r="AG143" i="33"/>
  <c r="AH143" i="33" s="1"/>
  <c r="AL195" i="33"/>
  <c r="P203" i="33"/>
  <c r="P204" i="33"/>
  <c r="V80" i="33"/>
  <c r="S80" i="33"/>
  <c r="AI80" i="33" s="1"/>
  <c r="O124" i="33"/>
  <c r="P124" i="33"/>
  <c r="BS15" i="33"/>
  <c r="AU149" i="33"/>
  <c r="AV149" i="33" s="1"/>
  <c r="AX149" i="33" s="1"/>
  <c r="BU149" i="33" s="1"/>
  <c r="O196" i="33"/>
  <c r="N196" i="33"/>
  <c r="V200" i="33"/>
  <c r="V162" i="33"/>
  <c r="U121" i="33"/>
  <c r="N27" i="33"/>
  <c r="AO27" i="33"/>
  <c r="BS27" i="33" s="1"/>
  <c r="BT178" i="33"/>
  <c r="V208" i="33"/>
  <c r="P141" i="33"/>
  <c r="P174" i="33"/>
  <c r="P130" i="33"/>
  <c r="P169" i="33"/>
  <c r="P32" i="33"/>
  <c r="O61" i="33"/>
  <c r="S61" i="33" s="1"/>
  <c r="AI61" i="33" s="1"/>
  <c r="P134" i="33"/>
  <c r="P65" i="33"/>
  <c r="N167" i="33"/>
  <c r="BS34" i="33"/>
  <c r="T116" i="33"/>
  <c r="AD190" i="33"/>
  <c r="AE190" i="33" s="1"/>
  <c r="AF190" i="33" s="1"/>
  <c r="P79" i="33"/>
  <c r="P155" i="33"/>
  <c r="AT159" i="33"/>
  <c r="BT159" i="33" s="1"/>
  <c r="O68" i="33"/>
  <c r="P86" i="33"/>
  <c r="O101" i="33"/>
  <c r="U101" i="33" s="1"/>
  <c r="AG195" i="33"/>
  <c r="AH195" i="33" s="1"/>
  <c r="N203" i="33"/>
  <c r="O81" i="33"/>
  <c r="AL81" i="33" s="1"/>
  <c r="O91" i="33"/>
  <c r="S91" i="33" s="1"/>
  <c r="AI91" i="33" s="1"/>
  <c r="AG91" i="33"/>
  <c r="AH91" i="33" s="1"/>
  <c r="O115" i="33"/>
  <c r="U115" i="33" s="1"/>
  <c r="O46" i="33"/>
  <c r="P46" i="33"/>
  <c r="P196" i="33"/>
  <c r="N200" i="33"/>
  <c r="AT200" i="33"/>
  <c r="BT200" i="33" s="1"/>
  <c r="O206" i="33"/>
  <c r="O189" i="33"/>
  <c r="S189" i="33" s="1"/>
  <c r="AT189" i="33"/>
  <c r="BT189" i="33" s="1"/>
  <c r="N156" i="33"/>
  <c r="AT156" i="33"/>
  <c r="BT156" i="33" s="1"/>
  <c r="AT186" i="33"/>
  <c r="BT186" i="33" s="1"/>
  <c r="AO38" i="33"/>
  <c r="BS38" i="33" s="1"/>
  <c r="P27" i="33"/>
  <c r="AT151" i="33"/>
  <c r="BT151" i="33" s="1"/>
  <c r="AD208" i="33"/>
  <c r="AE208" i="33" s="1"/>
  <c r="AF208" i="33" s="1"/>
  <c r="BT208" i="33"/>
  <c r="AP25" i="33"/>
  <c r="O129" i="33"/>
  <c r="AO14" i="33"/>
  <c r="BS14" i="33" s="1"/>
  <c r="AT136" i="33"/>
  <c r="BT136" i="33" s="1"/>
  <c r="P138" i="33"/>
  <c r="U104" i="33"/>
  <c r="N174" i="33"/>
  <c r="O60" i="33"/>
  <c r="N130" i="33"/>
  <c r="BT130" i="33"/>
  <c r="N169" i="33"/>
  <c r="AT197" i="33"/>
  <c r="BT197" i="33" s="1"/>
  <c r="N32" i="33"/>
  <c r="BS50" i="33"/>
  <c r="N134" i="33"/>
  <c r="O134" i="33" s="1"/>
  <c r="P167" i="33"/>
  <c r="AO52" i="33"/>
  <c r="BS52" i="33" s="1"/>
  <c r="N147" i="33"/>
  <c r="P116" i="33"/>
  <c r="O110" i="33"/>
  <c r="U110" i="33" s="1"/>
  <c r="AG70" i="33"/>
  <c r="AH70" i="33" s="1"/>
  <c r="U86" i="33"/>
  <c r="AT126" i="33"/>
  <c r="BT126" i="33" s="1"/>
  <c r="AA35" i="33"/>
  <c r="AB35" i="33" s="1"/>
  <c r="AC35" i="33" s="1"/>
  <c r="O122" i="33"/>
  <c r="O165" i="33"/>
  <c r="P49" i="33"/>
  <c r="P96" i="33"/>
  <c r="AU80" i="33"/>
  <c r="AV80" i="33" s="1"/>
  <c r="O172" i="33"/>
  <c r="P172" i="33"/>
  <c r="AT172" i="33"/>
  <c r="BT172" i="33" s="1"/>
  <c r="AD200" i="33"/>
  <c r="AE200" i="33" s="1"/>
  <c r="AF200" i="33" s="1"/>
  <c r="P206" i="33"/>
  <c r="AG162" i="33"/>
  <c r="AH162" i="33" s="1"/>
  <c r="O57" i="33"/>
  <c r="N44" i="33"/>
  <c r="W44" i="33" s="1"/>
  <c r="U67" i="33"/>
  <c r="N151" i="33"/>
  <c r="AO25" i="33"/>
  <c r="BS25" i="33" s="1"/>
  <c r="P177" i="33"/>
  <c r="AO30" i="33"/>
  <c r="BS30" i="33" s="1"/>
  <c r="P129" i="33"/>
  <c r="P104" i="33"/>
  <c r="AO31" i="33"/>
  <c r="BS31" i="33" s="1"/>
  <c r="U95" i="33"/>
  <c r="O103" i="33"/>
  <c r="AU103" i="33"/>
  <c r="AV103" i="33" s="1"/>
  <c r="O62" i="33"/>
  <c r="AP62" i="33"/>
  <c r="BS45" i="33"/>
  <c r="O93" i="33"/>
  <c r="U93" i="33" s="1"/>
  <c r="AG93" i="33"/>
  <c r="AH93" i="33" s="1"/>
  <c r="N179" i="33"/>
  <c r="AT179" i="33"/>
  <c r="BT179" i="33" s="1"/>
  <c r="P147" i="33"/>
  <c r="AT155" i="33"/>
  <c r="BT155" i="33" s="1"/>
  <c r="O159" i="33"/>
  <c r="W143" i="33"/>
  <c r="P165" i="33"/>
  <c r="N49" i="33"/>
  <c r="AG80" i="33"/>
  <c r="AH80" i="33" s="1"/>
  <c r="AP81" i="33"/>
  <c r="AQ81" i="33" s="1"/>
  <c r="AT81" i="33" s="1"/>
  <c r="BT81" i="33" s="1"/>
  <c r="N172" i="33"/>
  <c r="BT162" i="33"/>
  <c r="V189" i="33"/>
  <c r="Q156" i="33"/>
  <c r="AG156" i="33" s="1"/>
  <c r="AH156" i="33" s="1"/>
  <c r="AO19" i="33"/>
  <c r="BS19" i="33" s="1"/>
  <c r="V44" i="33"/>
  <c r="P67" i="33"/>
  <c r="V151" i="33"/>
  <c r="AD151" i="33" s="1"/>
  <c r="AE151" i="33" s="1"/>
  <c r="AF151" i="33" s="1"/>
  <c r="O25" i="33"/>
  <c r="O142" i="33"/>
  <c r="T104" i="33"/>
  <c r="AP40" i="33"/>
  <c r="AT140" i="33"/>
  <c r="BT140" i="33" s="1"/>
  <c r="O192" i="33"/>
  <c r="BS32" i="33"/>
  <c r="AT160" i="33"/>
  <c r="BT160" i="33" s="1"/>
  <c r="V105" i="33"/>
  <c r="AD105" i="33" s="1"/>
  <c r="AE105" i="33" s="1"/>
  <c r="AF105" i="33" s="1"/>
  <c r="S105" i="33"/>
  <c r="AI105" i="33" s="1"/>
  <c r="W70" i="33"/>
  <c r="X70" i="33" s="1"/>
  <c r="V126" i="33"/>
  <c r="S126" i="33"/>
  <c r="Q122" i="33"/>
  <c r="R122" i="33" s="1"/>
  <c r="BS9" i="33"/>
  <c r="BT195" i="33"/>
  <c r="BT204" i="33"/>
  <c r="O82" i="33"/>
  <c r="N154" i="33"/>
  <c r="W154" i="33" s="1"/>
  <c r="AT154" i="33"/>
  <c r="BT154" i="33" s="1"/>
  <c r="T81" i="33"/>
  <c r="AD81" i="33" s="1"/>
  <c r="AE81" i="33" s="1"/>
  <c r="AF81" i="33" s="1"/>
  <c r="O15" i="33"/>
  <c r="P15" i="33"/>
  <c r="O149" i="33"/>
  <c r="O209" i="33"/>
  <c r="P209" i="33"/>
  <c r="AD189" i="33"/>
  <c r="AE189" i="33" s="1"/>
  <c r="AF189" i="33" s="1"/>
  <c r="AU156" i="33"/>
  <c r="AV156" i="33" s="1"/>
  <c r="AX156" i="33" s="1"/>
  <c r="BU156" i="33" s="1"/>
  <c r="P57" i="33"/>
  <c r="AA44" i="33"/>
  <c r="AB44" i="33" s="1"/>
  <c r="AC44" i="33" s="1"/>
  <c r="W208" i="33"/>
  <c r="N25" i="33"/>
  <c r="AU25" i="33" s="1"/>
  <c r="AV25" i="33" s="1"/>
  <c r="N142" i="33"/>
  <c r="AL142" i="33" s="1"/>
  <c r="AT142" i="33"/>
  <c r="BT142" i="33" s="1"/>
  <c r="Q73" i="33"/>
  <c r="N40" i="33"/>
  <c r="Q97" i="28"/>
  <c r="U97" i="28" s="1"/>
  <c r="Q225" i="28"/>
  <c r="U225" i="28" s="1"/>
  <c r="T423" i="28"/>
  <c r="Q404" i="28"/>
  <c r="U404" i="28" s="1"/>
  <c r="Q122" i="28"/>
  <c r="U122" i="28" s="1"/>
  <c r="Q399" i="28"/>
  <c r="U399" i="28" s="1"/>
  <c r="Q586" i="28"/>
  <c r="U586" i="28" s="1"/>
  <c r="Q359" i="28"/>
  <c r="U359" i="28" s="1"/>
  <c r="Q65" i="28"/>
  <c r="U65" i="28" s="1"/>
  <c r="Q401" i="28"/>
  <c r="U401" i="28" s="1"/>
  <c r="Q166" i="28"/>
  <c r="U166" i="28" s="1"/>
  <c r="BE52" i="28"/>
  <c r="Q412" i="28"/>
  <c r="U412" i="28" s="1"/>
  <c r="T329" i="28"/>
  <c r="BF329" i="28" s="1"/>
  <c r="BT103" i="33"/>
  <c r="T294" i="28"/>
  <c r="AV294" i="28" s="1"/>
  <c r="BT78" i="33"/>
  <c r="BT122" i="33"/>
  <c r="BT83" i="33"/>
  <c r="Q51" i="28"/>
  <c r="U51" i="28" s="1"/>
  <c r="T602" i="28"/>
  <c r="BF602" i="28" s="1"/>
  <c r="Q315" i="28"/>
  <c r="U315" i="28" s="1"/>
  <c r="Q378" i="28"/>
  <c r="U378" i="28" s="1"/>
  <c r="U13" i="28"/>
  <c r="Q610" i="28"/>
  <c r="U610" i="28" s="1"/>
  <c r="Q275" i="28"/>
  <c r="U275" i="28" s="1"/>
  <c r="T578" i="28"/>
  <c r="AV578" i="28" s="1"/>
  <c r="AX578" i="28" s="1"/>
  <c r="AY578" i="28" s="1"/>
  <c r="T599" i="28"/>
  <c r="BE599" i="28" s="1"/>
  <c r="T180" i="28"/>
  <c r="AV180" i="28" s="1"/>
  <c r="AX180" i="28" s="1"/>
  <c r="AY180" i="28" s="1"/>
  <c r="T557" i="28"/>
  <c r="BF557" i="28" s="1"/>
  <c r="T233" i="28"/>
  <c r="BE233" i="28" s="1"/>
  <c r="B25" i="28"/>
  <c r="Q384" i="28"/>
  <c r="U384" i="28" s="1"/>
  <c r="T490" i="28"/>
  <c r="BF490" i="28" s="1"/>
  <c r="T310" i="28"/>
  <c r="BE310" i="28" s="1"/>
  <c r="Q95" i="28"/>
  <c r="U95" i="28" s="1"/>
  <c r="Q475" i="28"/>
  <c r="U475" i="28" s="1"/>
  <c r="Q226" i="28"/>
  <c r="U226" i="28" s="1"/>
  <c r="T354" i="28"/>
  <c r="BF354" i="28" s="1"/>
  <c r="BE97" i="28"/>
  <c r="Q52" i="28"/>
  <c r="U52" i="28" s="1"/>
  <c r="T20" i="28"/>
  <c r="BF20" i="28" s="1"/>
  <c r="T370" i="28"/>
  <c r="BF370" i="28" s="1"/>
  <c r="T507" i="28"/>
  <c r="BE507" i="28" s="1"/>
  <c r="T90" i="28"/>
  <c r="BF90" i="28" s="1"/>
  <c r="T154" i="28"/>
  <c r="BF154" i="28" s="1"/>
  <c r="T28" i="28"/>
  <c r="BF28" i="28" s="1"/>
  <c r="T81" i="28"/>
  <c r="BE81" i="28" s="1"/>
  <c r="T549" i="28"/>
  <c r="BF549" i="28" s="1"/>
  <c r="Q123" i="28"/>
  <c r="U123" i="28" s="1"/>
  <c r="T293" i="28"/>
  <c r="BF293" i="28" s="1"/>
  <c r="T421" i="28"/>
  <c r="AV421" i="28" s="1"/>
  <c r="AW421" i="28" s="1"/>
  <c r="Q21" i="28"/>
  <c r="U21" i="28" s="1"/>
  <c r="T464" i="28"/>
  <c r="BE464" i="28" s="1"/>
  <c r="T377" i="28"/>
  <c r="BF377" i="28" s="1"/>
  <c r="T140" i="28"/>
  <c r="BF140" i="28" s="1"/>
  <c r="T79" i="28"/>
  <c r="AV79" i="28" s="1"/>
  <c r="AX79" i="28" s="1"/>
  <c r="AY79" i="28" s="1"/>
  <c r="T501" i="28"/>
  <c r="BE501" i="28" s="1"/>
  <c r="T311" i="28"/>
  <c r="BF311" i="28" s="1"/>
  <c r="T59" i="28"/>
  <c r="BE59" i="28" s="1"/>
  <c r="BF603" i="28"/>
  <c r="Q439" i="28"/>
  <c r="U439" i="28" s="1"/>
  <c r="T244" i="28"/>
  <c r="BE244" i="28" s="1"/>
  <c r="Q292" i="28"/>
  <c r="U292" i="28" s="1"/>
  <c r="T50" i="28"/>
  <c r="BF50" i="28" s="1"/>
  <c r="Q224" i="28"/>
  <c r="U224" i="28" s="1"/>
  <c r="Q113" i="28"/>
  <c r="U113" i="28" s="1"/>
  <c r="T42" i="28"/>
  <c r="AV42" i="28" s="1"/>
  <c r="T152" i="28"/>
  <c r="BE152" i="28" s="1"/>
  <c r="T426" i="28"/>
  <c r="BF426" i="28" s="1"/>
  <c r="BF439" i="28"/>
  <c r="T551" i="28"/>
  <c r="BE551" i="28" s="1"/>
  <c r="T110" i="28"/>
  <c r="BE110" i="28" s="1"/>
  <c r="Q281" i="28"/>
  <c r="U281" i="28" s="1"/>
  <c r="T415" i="28"/>
  <c r="BE415" i="28" s="1"/>
  <c r="Q160" i="28"/>
  <c r="U160" i="28" s="1"/>
  <c r="T243" i="28"/>
  <c r="BE243" i="28" s="1"/>
  <c r="Q285" i="28"/>
  <c r="U285" i="28" s="1"/>
  <c r="T161" i="28"/>
  <c r="BE161" i="28" s="1"/>
  <c r="T567" i="28"/>
  <c r="BE567" i="28" s="1"/>
  <c r="T463" i="28"/>
  <c r="BF463" i="28" s="1"/>
  <c r="T149" i="28"/>
  <c r="BF149" i="28" s="1"/>
  <c r="T540" i="28"/>
  <c r="BE540" i="28" s="1"/>
  <c r="T598" i="28"/>
  <c r="BF598" i="28" s="1"/>
  <c r="T343" i="28"/>
  <c r="BE343" i="28" s="1"/>
  <c r="T608" i="28"/>
  <c r="AV608" i="28" s="1"/>
  <c r="AW608" i="28" s="1"/>
  <c r="T434" i="28"/>
  <c r="BF434" i="28" s="1"/>
  <c r="T206" i="28"/>
  <c r="BF206" i="28" s="1"/>
  <c r="Q214" i="28"/>
  <c r="U214" i="28" s="1"/>
  <c r="Q162" i="28"/>
  <c r="U162" i="28" s="1"/>
  <c r="BF257" i="28"/>
  <c r="T69" i="28"/>
  <c r="BF69" i="28" s="1"/>
  <c r="BF586" i="28"/>
  <c r="T502" i="28"/>
  <c r="BE502" i="28" s="1"/>
  <c r="T328" i="28"/>
  <c r="BF328" i="28" s="1"/>
  <c r="Q257" i="28"/>
  <c r="U257" i="28" s="1"/>
  <c r="Q453" i="28"/>
  <c r="U453" i="28" s="1"/>
  <c r="BF51" i="28"/>
  <c r="BE51" i="28"/>
  <c r="Q325" i="28"/>
  <c r="U325" i="28" s="1"/>
  <c r="Q45" i="28"/>
  <c r="U45" i="28" s="1"/>
  <c r="Q266" i="28"/>
  <c r="U266" i="28" s="1"/>
  <c r="Q173" i="28"/>
  <c r="U173" i="28" s="1"/>
  <c r="Q270" i="28"/>
  <c r="U270" i="28" s="1"/>
  <c r="Q470" i="28"/>
  <c r="U470" i="28" s="1"/>
  <c r="BF543" i="28"/>
  <c r="BE278" i="28"/>
  <c r="BF278" i="28"/>
  <c r="BE520" i="28"/>
  <c r="BF520" i="28"/>
  <c r="BE91" i="28"/>
  <c r="BF91" i="28"/>
  <c r="BF62" i="28"/>
  <c r="BE62" i="28"/>
  <c r="BF386" i="28"/>
  <c r="BE386" i="28"/>
  <c r="BE587" i="28"/>
  <c r="BF587" i="28"/>
  <c r="BE272" i="28"/>
  <c r="BF272" i="28"/>
  <c r="BF345" i="28"/>
  <c r="BE345" i="28"/>
  <c r="BF191" i="28"/>
  <c r="BE191" i="28"/>
  <c r="BF255" i="28"/>
  <c r="BE255" i="28"/>
  <c r="BF597" i="28"/>
  <c r="BE597" i="28"/>
  <c r="BE351" i="28"/>
  <c r="BF351" i="28"/>
  <c r="BE515" i="28"/>
  <c r="BF515" i="28"/>
  <c r="BE132" i="28"/>
  <c r="BF132" i="28"/>
  <c r="BF309" i="28"/>
  <c r="BE309" i="28"/>
  <c r="BE83" i="28"/>
  <c r="BF83" i="28"/>
  <c r="BF307" i="28"/>
  <c r="BE307" i="28"/>
  <c r="BF533" i="28"/>
  <c r="BE533" i="28"/>
  <c r="BE408" i="28"/>
  <c r="BF408" i="28"/>
  <c r="BF601" i="28"/>
  <c r="BE601" i="28"/>
  <c r="BF437" i="28"/>
  <c r="BE437" i="28"/>
  <c r="BE527" i="28"/>
  <c r="BF527" i="28"/>
  <c r="BF529" i="28"/>
  <c r="BE529" i="28"/>
  <c r="BF33" i="28"/>
  <c r="BE33" i="28"/>
  <c r="BE252" i="28"/>
  <c r="BF252" i="28"/>
  <c r="BF273" i="28"/>
  <c r="BE273" i="28"/>
  <c r="BF441" i="28"/>
  <c r="BE441" i="28"/>
  <c r="BF374" i="28"/>
  <c r="BE374" i="28"/>
  <c r="BE93" i="28"/>
  <c r="BF93" i="28"/>
  <c r="BE156" i="28"/>
  <c r="BF156" i="28"/>
  <c r="BF394" i="28"/>
  <c r="BE394" i="28"/>
  <c r="BF521" i="28"/>
  <c r="BE521" i="28"/>
  <c r="BF337" i="28"/>
  <c r="BE337" i="28"/>
  <c r="BE221" i="28"/>
  <c r="BF221" i="28"/>
  <c r="BE360" i="28"/>
  <c r="BF360" i="28"/>
  <c r="BF86" i="28"/>
  <c r="BE86" i="28"/>
  <c r="Q27" i="28"/>
  <c r="U27" i="28" s="1"/>
  <c r="T27" i="28"/>
  <c r="Q147" i="28"/>
  <c r="U147" i="28" s="1"/>
  <c r="T147" i="28"/>
  <c r="Q94" i="28"/>
  <c r="U94" i="28" s="1"/>
  <c r="T94" i="28"/>
  <c r="Q36" i="28"/>
  <c r="U36" i="28" s="1"/>
  <c r="T36" i="28"/>
  <c r="Q334" i="28"/>
  <c r="U334" i="28" s="1"/>
  <c r="T334" i="28"/>
  <c r="AV334" i="28" s="1"/>
  <c r="AX334" i="28" s="1"/>
  <c r="AY334" i="28" s="1"/>
  <c r="Q561" i="28"/>
  <c r="U561" i="28" s="1"/>
  <c r="T561" i="28"/>
  <c r="BE411" i="28"/>
  <c r="BF411" i="28"/>
  <c r="Q120" i="28"/>
  <c r="U120" i="28" s="1"/>
  <c r="T120" i="28"/>
  <c r="Q492" i="28"/>
  <c r="U492" i="28" s="1"/>
  <c r="T492" i="28"/>
  <c r="Q302" i="28"/>
  <c r="U302" i="28" s="1"/>
  <c r="T302" i="28"/>
  <c r="Q479" i="28"/>
  <c r="U479" i="28" s="1"/>
  <c r="T479" i="28"/>
  <c r="AV479" i="28" s="1"/>
  <c r="Q274" i="28"/>
  <c r="U274" i="28" s="1"/>
  <c r="T274" i="28"/>
  <c r="AV274" i="28" s="1"/>
  <c r="AX274" i="28" s="1"/>
  <c r="AY274" i="28" s="1"/>
  <c r="Q41" i="28"/>
  <c r="U41" i="28" s="1"/>
  <c r="T41" i="28"/>
  <c r="Q205" i="28"/>
  <c r="U205" i="28" s="1"/>
  <c r="T205" i="28"/>
  <c r="AV205" i="28" s="1"/>
  <c r="Q484" i="28"/>
  <c r="U484" i="28" s="1"/>
  <c r="T484" i="28"/>
  <c r="Q316" i="28"/>
  <c r="U316" i="28" s="1"/>
  <c r="T316" i="28"/>
  <c r="Q554" i="28"/>
  <c r="U554" i="28" s="1"/>
  <c r="T554" i="28"/>
  <c r="AV554" i="28" s="1"/>
  <c r="AX554" i="28" s="1"/>
  <c r="AY554" i="28" s="1"/>
  <c r="Q322" i="28"/>
  <c r="U322" i="28" s="1"/>
  <c r="T322" i="28"/>
  <c r="Q145" i="28"/>
  <c r="U145" i="28" s="1"/>
  <c r="T145" i="28"/>
  <c r="Q144" i="28"/>
  <c r="U144" i="28" s="1"/>
  <c r="T144" i="28"/>
  <c r="Q196" i="28"/>
  <c r="U196" i="28" s="1"/>
  <c r="T196" i="28"/>
  <c r="AV196" i="28" s="1"/>
  <c r="Q487" i="28"/>
  <c r="U487" i="28" s="1"/>
  <c r="T487" i="28"/>
  <c r="AV487" i="28" s="1"/>
  <c r="Q31" i="28"/>
  <c r="U31" i="28" s="1"/>
  <c r="T31" i="28"/>
  <c r="AV31" i="28" s="1"/>
  <c r="Q29" i="28"/>
  <c r="U29" i="28" s="1"/>
  <c r="T29" i="28"/>
  <c r="AV29" i="28" s="1"/>
  <c r="Q493" i="28"/>
  <c r="U493" i="28" s="1"/>
  <c r="T493" i="28"/>
  <c r="AV493" i="28" s="1"/>
  <c r="AX493" i="28" s="1"/>
  <c r="AY493" i="28" s="1"/>
  <c r="Q66" i="28"/>
  <c r="U66" i="28" s="1"/>
  <c r="T66" i="28"/>
  <c r="AV66" i="28" s="1"/>
  <c r="AW66" i="28" s="1"/>
  <c r="BE555" i="28"/>
  <c r="BF555" i="28"/>
  <c r="BE363" i="28"/>
  <c r="BF363" i="28"/>
  <c r="BF178" i="28"/>
  <c r="BE178" i="28"/>
  <c r="BF174" i="28"/>
  <c r="BE174" i="28"/>
  <c r="BE232" i="28"/>
  <c r="BF232" i="28"/>
  <c r="BF505" i="28"/>
  <c r="BE505" i="28"/>
  <c r="BE245" i="28"/>
  <c r="BF245" i="28"/>
  <c r="BE181" i="28"/>
  <c r="BF181" i="28"/>
  <c r="BE511" i="28"/>
  <c r="BF511" i="28"/>
  <c r="BE391" i="28"/>
  <c r="BF391" i="28"/>
  <c r="BE428" i="28"/>
  <c r="BF428" i="28"/>
  <c r="BE556" i="28"/>
  <c r="BF556" i="28"/>
  <c r="BE491" i="28"/>
  <c r="BF491" i="28"/>
  <c r="BE356" i="28"/>
  <c r="BF356" i="28"/>
  <c r="BF267" i="28"/>
  <c r="BE267" i="28"/>
  <c r="BF271" i="28"/>
  <c r="BE271" i="28"/>
  <c r="BE192" i="28"/>
  <c r="BF192" i="28"/>
  <c r="BE532" i="28"/>
  <c r="BF532" i="28"/>
  <c r="BF365" i="28"/>
  <c r="BE365" i="28"/>
  <c r="BE376" i="28"/>
  <c r="BF376" i="28"/>
  <c r="BF230" i="28"/>
  <c r="BE230" i="28"/>
  <c r="BE280" i="28"/>
  <c r="BF280" i="28"/>
  <c r="BF282" i="28"/>
  <c r="BE282" i="28"/>
  <c r="BF78" i="28"/>
  <c r="BE78" i="28"/>
  <c r="BF74" i="28"/>
  <c r="BE74" i="28"/>
  <c r="BE584" i="28"/>
  <c r="BF584" i="28"/>
  <c r="BF361" i="28"/>
  <c r="BE361" i="28"/>
  <c r="BE237" i="28"/>
  <c r="BF237" i="28"/>
  <c r="BF15" i="28"/>
  <c r="BE15" i="28"/>
  <c r="BE427" i="28"/>
  <c r="BF427" i="28"/>
  <c r="BE209" i="28"/>
  <c r="BF209" i="28"/>
  <c r="BE47" i="28"/>
  <c r="BF47" i="28"/>
  <c r="BF582" i="28"/>
  <c r="BE582" i="28"/>
  <c r="BF570" i="28"/>
  <c r="BE570" i="28"/>
  <c r="BE327" i="28"/>
  <c r="BF327" i="28"/>
  <c r="BE572" i="28"/>
  <c r="BF572" i="28"/>
  <c r="BE431" i="28"/>
  <c r="BF431" i="28"/>
  <c r="BE600" i="28"/>
  <c r="BF600" i="28"/>
  <c r="BE141" i="28"/>
  <c r="BF141" i="28"/>
  <c r="BF158" i="28"/>
  <c r="BE158" i="28"/>
  <c r="Q318" i="28"/>
  <c r="U318" i="28" s="1"/>
  <c r="T318" i="28"/>
  <c r="AV318" i="28" s="1"/>
  <c r="Q522" i="28"/>
  <c r="U522" i="28" s="1"/>
  <c r="T522" i="28"/>
  <c r="AV522" i="28" s="1"/>
  <c r="AX522" i="28" s="1"/>
  <c r="AY522" i="28" s="1"/>
  <c r="Q67" i="28"/>
  <c r="U67" i="28" s="1"/>
  <c r="T67" i="28"/>
  <c r="BE372" i="28"/>
  <c r="BF372" i="28"/>
  <c r="Q263" i="28"/>
  <c r="U263" i="28" s="1"/>
  <c r="T263" i="28"/>
  <c r="AV263" i="28" s="1"/>
  <c r="AX263" i="28" s="1"/>
  <c r="AY263" i="28" s="1"/>
  <c r="BF357" i="28"/>
  <c r="BE357" i="28"/>
  <c r="Q213" i="28"/>
  <c r="U213" i="28" s="1"/>
  <c r="T213" i="28"/>
  <c r="Q566" i="28"/>
  <c r="U566" i="28" s="1"/>
  <c r="T566" i="28"/>
  <c r="AV566" i="28" s="1"/>
  <c r="Q167" i="28"/>
  <c r="U167" i="28" s="1"/>
  <c r="T167" i="28"/>
  <c r="AV167" i="28" s="1"/>
  <c r="AX167" i="28" s="1"/>
  <c r="AY167" i="28" s="1"/>
  <c r="Q380" i="28"/>
  <c r="U380" i="28" s="1"/>
  <c r="T380" i="28"/>
  <c r="AV380" i="28" s="1"/>
  <c r="Q207" i="28"/>
  <c r="U207" i="28" s="1"/>
  <c r="T207" i="28"/>
  <c r="AV207" i="28" s="1"/>
  <c r="AW207" i="28" s="1"/>
  <c r="Q216" i="28"/>
  <c r="U216" i="28" s="1"/>
  <c r="T216" i="28"/>
  <c r="AV216" i="28" s="1"/>
  <c r="Q562" i="28"/>
  <c r="U562" i="28" s="1"/>
  <c r="T562" i="28"/>
  <c r="AV562" i="28" s="1"/>
  <c r="AX562" i="28" s="1"/>
  <c r="AY562" i="28" s="1"/>
  <c r="Q539" i="28"/>
  <c r="U539" i="28" s="1"/>
  <c r="T539" i="28"/>
  <c r="AV539" i="28" s="1"/>
  <c r="AW539" i="28" s="1"/>
  <c r="Q64" i="28"/>
  <c r="U64" i="28" s="1"/>
  <c r="T64" i="28"/>
  <c r="AV64" i="28" s="1"/>
  <c r="Q362" i="28"/>
  <c r="U362" i="28" s="1"/>
  <c r="T362" i="28"/>
  <c r="Q303" i="28"/>
  <c r="U303" i="28" s="1"/>
  <c r="T303" i="28"/>
  <c r="AV303" i="28" s="1"/>
  <c r="AW303" i="28" s="1"/>
  <c r="Q495" i="28"/>
  <c r="U495" i="28" s="1"/>
  <c r="T495" i="28"/>
  <c r="Q440" i="28"/>
  <c r="U440" i="28" s="1"/>
  <c r="T440" i="28"/>
  <c r="AV440" i="28" s="1"/>
  <c r="Q127" i="28"/>
  <c r="U127" i="28" s="1"/>
  <c r="T127" i="28"/>
  <c r="Q474" i="28"/>
  <c r="U474" i="28" s="1"/>
  <c r="T474" i="28"/>
  <c r="Q330" i="28"/>
  <c r="U330" i="28" s="1"/>
  <c r="T330" i="28"/>
  <c r="AV330" i="28" s="1"/>
  <c r="AW330" i="28" s="1"/>
  <c r="Q170" i="28"/>
  <c r="U170" i="28" s="1"/>
  <c r="T170" i="28"/>
  <c r="AV170" i="28" s="1"/>
  <c r="AX170" i="28" s="1"/>
  <c r="AY170" i="28" s="1"/>
  <c r="Q203" i="28"/>
  <c r="U203" i="28" s="1"/>
  <c r="T203" i="28"/>
  <c r="AV203" i="28" s="1"/>
  <c r="Q92" i="28"/>
  <c r="U92" i="28" s="1"/>
  <c r="T92" i="28"/>
  <c r="AV92" i="28" s="1"/>
  <c r="AW92" i="28" s="1"/>
  <c r="BE224" i="28"/>
  <c r="BF224" i="28"/>
  <c r="BF578" i="28"/>
  <c r="BE423" i="28"/>
  <c r="BF423" i="28"/>
  <c r="BE249" i="28"/>
  <c r="BF249" i="28"/>
  <c r="BE412" i="28"/>
  <c r="BF412" i="28"/>
  <c r="BE225" i="28"/>
  <c r="BF225" i="28"/>
  <c r="BF610" i="28"/>
  <c r="BE610" i="28"/>
  <c r="BF401" i="28"/>
  <c r="BE401" i="28"/>
  <c r="BF275" i="28"/>
  <c r="BE275" i="28"/>
  <c r="BF381" i="28"/>
  <c r="BE381" i="28"/>
  <c r="BF315" i="28"/>
  <c r="BE315" i="28"/>
  <c r="BE404" i="28"/>
  <c r="BF404" i="28"/>
  <c r="BE443" i="28"/>
  <c r="BF443" i="28"/>
  <c r="R623" i="28"/>
  <c r="S623" i="28" s="1"/>
  <c r="BE571" i="28"/>
  <c r="BF571" i="28"/>
  <c r="BF390" i="28"/>
  <c r="BE390" i="28"/>
  <c r="BE559" i="28"/>
  <c r="BF559" i="28"/>
  <c r="BE580" i="28"/>
  <c r="BF580" i="28"/>
  <c r="BE128" i="28"/>
  <c r="BF128" i="28"/>
  <c r="BF526" i="28"/>
  <c r="BE526" i="28"/>
  <c r="BF239" i="28"/>
  <c r="BE239" i="28"/>
  <c r="BF44" i="28"/>
  <c r="BE44" i="28"/>
  <c r="BF219" i="28"/>
  <c r="BE219" i="28"/>
  <c r="BF545" i="28"/>
  <c r="BE545" i="28"/>
  <c r="BE595" i="28"/>
  <c r="BF595" i="28"/>
  <c r="BF183" i="28"/>
  <c r="BE183" i="28"/>
  <c r="BF537" i="28"/>
  <c r="BE537" i="28"/>
  <c r="BE71" i="28"/>
  <c r="BF71" i="28"/>
  <c r="BF194" i="28"/>
  <c r="BE194" i="28"/>
  <c r="BE348" i="28"/>
  <c r="BF348" i="28"/>
  <c r="BE499" i="28"/>
  <c r="BF499" i="28"/>
  <c r="BE388" i="28"/>
  <c r="BF388" i="28"/>
  <c r="BE488" i="28"/>
  <c r="BF488" i="28"/>
  <c r="BE396" i="28"/>
  <c r="BF396" i="28"/>
  <c r="BE193" i="28"/>
  <c r="BF193" i="28"/>
  <c r="BE547" i="28"/>
  <c r="BF547" i="28"/>
  <c r="BF489" i="28"/>
  <c r="BE489" i="28"/>
  <c r="BE76" i="28"/>
  <c r="BF76" i="28"/>
  <c r="BF234" i="28"/>
  <c r="BE234" i="28"/>
  <c r="BE575" i="28"/>
  <c r="BF575" i="28"/>
  <c r="BE137" i="28"/>
  <c r="BF137" i="28"/>
  <c r="BE519" i="28"/>
  <c r="BF519" i="28"/>
  <c r="BF143" i="28"/>
  <c r="BE143" i="28"/>
  <c r="BF457" i="28"/>
  <c r="BE457" i="28"/>
  <c r="BF418" i="28"/>
  <c r="BE418" i="28"/>
  <c r="BE313" i="28"/>
  <c r="BF313" i="28"/>
  <c r="BE308" i="28"/>
  <c r="BF308" i="28"/>
  <c r="BF43" i="28"/>
  <c r="BE43" i="28"/>
  <c r="BF259" i="28"/>
  <c r="BE259" i="28"/>
  <c r="Q585" i="28"/>
  <c r="U585" i="28" s="1"/>
  <c r="T585" i="28"/>
  <c r="AV585" i="28" s="1"/>
  <c r="Q609" i="28"/>
  <c r="U609" i="28" s="1"/>
  <c r="T609" i="28"/>
  <c r="AV609" i="28" s="1"/>
  <c r="Q368" i="28"/>
  <c r="U368" i="28" s="1"/>
  <c r="T368" i="28"/>
  <c r="AV368" i="28" s="1"/>
  <c r="AW368" i="28" s="1"/>
  <c r="BF285" i="28"/>
  <c r="BE285" i="28"/>
  <c r="Q564" i="28"/>
  <c r="U564" i="28" s="1"/>
  <c r="T564" i="28"/>
  <c r="Q393" i="28"/>
  <c r="U393" i="28" s="1"/>
  <c r="T393" i="28"/>
  <c r="AV393" i="28" s="1"/>
  <c r="AX393" i="28" s="1"/>
  <c r="AY393" i="28" s="1"/>
  <c r="Q596" i="28"/>
  <c r="U596" i="28" s="1"/>
  <c r="T596" i="28"/>
  <c r="AV596" i="28" s="1"/>
  <c r="AW596" i="28" s="1"/>
  <c r="Q447" i="28"/>
  <c r="U447" i="28" s="1"/>
  <c r="T447" i="28"/>
  <c r="Q99" i="28"/>
  <c r="U99" i="28" s="1"/>
  <c r="T99" i="28"/>
  <c r="AV99" i="28" s="1"/>
  <c r="Q353" i="28"/>
  <c r="U353" i="28" s="1"/>
  <c r="T353" i="28"/>
  <c r="BE45" i="28"/>
  <c r="BF45" i="28"/>
  <c r="Q395" i="28"/>
  <c r="U395" i="28" s="1"/>
  <c r="T395" i="28"/>
  <c r="AV395" i="28" s="1"/>
  <c r="AW395" i="28" s="1"/>
  <c r="Q510" i="28"/>
  <c r="U510" i="28" s="1"/>
  <c r="T510" i="28"/>
  <c r="AV510" i="28" s="1"/>
  <c r="Q134" i="28"/>
  <c r="U134" i="28" s="1"/>
  <c r="T134" i="28"/>
  <c r="AV134" i="28" s="1"/>
  <c r="AX134" i="28" s="1"/>
  <c r="AY134" i="28" s="1"/>
  <c r="Q480" i="28"/>
  <c r="U480" i="28" s="1"/>
  <c r="T480" i="28"/>
  <c r="AV480" i="28" s="1"/>
  <c r="Q433" i="28"/>
  <c r="U433" i="28" s="1"/>
  <c r="T433" i="28"/>
  <c r="AV433" i="28" s="1"/>
  <c r="Q530" i="28"/>
  <c r="U530" i="28" s="1"/>
  <c r="T530" i="28"/>
  <c r="AV530" i="28" s="1"/>
  <c r="AW530" i="28" s="1"/>
  <c r="Q87" i="28"/>
  <c r="U87" i="28" s="1"/>
  <c r="T87" i="28"/>
  <c r="AV87" i="28" s="1"/>
  <c r="Q367" i="28"/>
  <c r="U367" i="28" s="1"/>
  <c r="T367" i="28"/>
  <c r="AV367" i="28" s="1"/>
  <c r="BE173" i="28"/>
  <c r="BF173" i="28"/>
  <c r="Q340" i="28"/>
  <c r="U340" i="28" s="1"/>
  <c r="T340" i="28"/>
  <c r="AV340" i="28" s="1"/>
  <c r="AX340" i="28" s="1"/>
  <c r="AY340" i="28" s="1"/>
  <c r="Q223" i="28"/>
  <c r="U223" i="28" s="1"/>
  <c r="T223" i="28"/>
  <c r="AV223" i="28" s="1"/>
  <c r="Q332" i="28"/>
  <c r="U332" i="28" s="1"/>
  <c r="T332" i="28"/>
  <c r="AV332" i="28" s="1"/>
  <c r="Q268" i="28"/>
  <c r="U268" i="28" s="1"/>
  <c r="T268" i="28"/>
  <c r="AV268" i="28" s="1"/>
  <c r="AW268" i="28" s="1"/>
  <c r="Q101" i="28"/>
  <c r="U101" i="28" s="1"/>
  <c r="T101" i="28"/>
  <c r="AV101" i="28" s="1"/>
  <c r="AW101" i="28" s="1"/>
  <c r="BF325" i="28"/>
  <c r="BE325" i="28"/>
  <c r="BF558" i="28"/>
  <c r="BE558" i="28"/>
  <c r="BE63" i="28"/>
  <c r="BF63" i="28"/>
  <c r="BF269" i="28"/>
  <c r="BE269" i="28"/>
  <c r="BF477" i="28"/>
  <c r="BE477" i="28"/>
  <c r="BE400" i="28"/>
  <c r="BF400" i="28"/>
  <c r="BF231" i="28"/>
  <c r="BE231" i="28"/>
  <c r="BF32" i="28"/>
  <c r="BE32" i="28"/>
  <c r="BF481" i="28"/>
  <c r="BE481" i="28"/>
  <c r="BF538" i="28"/>
  <c r="BE538" i="28"/>
  <c r="BF466" i="28"/>
  <c r="BE466" i="28"/>
  <c r="BE284" i="28"/>
  <c r="BF284" i="28"/>
  <c r="BF509" i="28"/>
  <c r="BE509" i="28"/>
  <c r="BF190" i="28"/>
  <c r="BE190" i="28"/>
  <c r="BE335" i="28"/>
  <c r="BF335" i="28"/>
  <c r="BF525" i="28"/>
  <c r="BE525" i="28"/>
  <c r="BE217" i="28"/>
  <c r="BF217" i="28"/>
  <c r="BE460" i="28"/>
  <c r="BF460" i="28"/>
  <c r="BE524" i="28"/>
  <c r="BF524" i="28"/>
  <c r="BE320" i="28"/>
  <c r="BF320" i="28"/>
  <c r="BE177" i="28"/>
  <c r="BF177" i="28"/>
  <c r="BE496" i="28"/>
  <c r="BF496" i="28"/>
  <c r="BE383" i="28"/>
  <c r="BF383" i="28"/>
  <c r="BF198" i="28"/>
  <c r="BE198" i="28"/>
  <c r="BE472" i="28"/>
  <c r="BF472" i="28"/>
  <c r="BF283" i="28"/>
  <c r="BE283" i="28"/>
  <c r="BF115" i="28"/>
  <c r="BE115" i="28"/>
  <c r="BE153" i="28"/>
  <c r="BF153" i="28"/>
  <c r="BF406" i="28"/>
  <c r="BE406" i="28"/>
  <c r="BF242" i="28"/>
  <c r="BE242" i="28"/>
  <c r="BE419" i="28"/>
  <c r="BF419" i="28"/>
  <c r="BF18" i="28"/>
  <c r="BE18" i="28"/>
  <c r="BE319" i="28"/>
  <c r="BF319" i="28"/>
  <c r="BF17" i="28"/>
  <c r="BE17" i="28"/>
  <c r="BF23" i="28"/>
  <c r="BE23" i="28"/>
  <c r="BE592" i="28"/>
  <c r="BF592" i="28"/>
  <c r="BE379" i="28"/>
  <c r="BF379" i="28"/>
  <c r="BE117" i="28"/>
  <c r="BF117" i="28"/>
  <c r="BE548" i="28"/>
  <c r="BF548" i="28"/>
  <c r="BE220" i="28"/>
  <c r="BF220" i="28"/>
  <c r="BF385" i="28"/>
  <c r="BE385" i="28"/>
  <c r="BE188" i="28"/>
  <c r="BF188" i="28"/>
  <c r="BF306" i="28"/>
  <c r="BE306" i="28"/>
  <c r="Q112" i="28"/>
  <c r="U112" i="28" s="1"/>
  <c r="T112" i="28"/>
  <c r="Q305" i="28"/>
  <c r="U305" i="28" s="1"/>
  <c r="T305" i="28"/>
  <c r="AV305" i="28" s="1"/>
  <c r="AX305" i="28" s="1"/>
  <c r="AY305" i="28" s="1"/>
  <c r="Q301" i="28"/>
  <c r="U301" i="28" s="1"/>
  <c r="T301" i="28"/>
  <c r="AV301" i="28" s="1"/>
  <c r="AX301" i="28" s="1"/>
  <c r="AY301" i="28" s="1"/>
  <c r="Q349" i="28"/>
  <c r="U349" i="28" s="1"/>
  <c r="T349" i="28"/>
  <c r="AV349" i="28" s="1"/>
  <c r="AW349" i="28" s="1"/>
  <c r="Q254" i="28"/>
  <c r="U254" i="28" s="1"/>
  <c r="T254" i="28"/>
  <c r="Q541" i="28"/>
  <c r="U541" i="28" s="1"/>
  <c r="T541" i="28"/>
  <c r="Q468" i="28"/>
  <c r="U468" i="28" s="1"/>
  <c r="T468" i="28"/>
  <c r="AV468" i="28" s="1"/>
  <c r="AW468" i="28" s="1"/>
  <c r="Q150" i="28"/>
  <c r="U150" i="28" s="1"/>
  <c r="T150" i="28"/>
  <c r="AV150" i="28" s="1"/>
  <c r="AW150" i="28" s="1"/>
  <c r="Q417" i="28"/>
  <c r="U417" i="28" s="1"/>
  <c r="T417" i="28"/>
  <c r="AV417" i="28" s="1"/>
  <c r="Q296" i="28"/>
  <c r="U296" i="28" s="1"/>
  <c r="T296" i="28"/>
  <c r="AV296" i="28" s="1"/>
  <c r="AX296" i="28" s="1"/>
  <c r="AY296" i="28" s="1"/>
  <c r="Q446" i="28"/>
  <c r="U446" i="28" s="1"/>
  <c r="T446" i="28"/>
  <c r="Q506" i="28"/>
  <c r="U506" i="28" s="1"/>
  <c r="T506" i="28"/>
  <c r="AV506" i="28" s="1"/>
  <c r="AW506" i="28" s="1"/>
  <c r="Q38" i="28"/>
  <c r="U38" i="28" s="1"/>
  <c r="T38" i="28"/>
  <c r="AV38" i="28" s="1"/>
  <c r="AX38" i="28" s="1"/>
  <c r="AY38" i="28" s="1"/>
  <c r="Q288" i="28"/>
  <c r="U288" i="28" s="1"/>
  <c r="T288" i="28"/>
  <c r="AV288" i="28" s="1"/>
  <c r="Q241" i="28"/>
  <c r="U241" i="28" s="1"/>
  <c r="T241" i="28"/>
  <c r="AV241" i="28" s="1"/>
  <c r="Q159" i="28"/>
  <c r="U159" i="28" s="1"/>
  <c r="T159" i="28"/>
  <c r="Q222" i="28"/>
  <c r="U222" i="28" s="1"/>
  <c r="T222" i="28"/>
  <c r="Q560" i="28"/>
  <c r="U560" i="28" s="1"/>
  <c r="T560" i="28"/>
  <c r="AV560" i="28" s="1"/>
  <c r="BE347" i="28"/>
  <c r="BF347" i="28"/>
  <c r="Q454" i="28"/>
  <c r="U454" i="28" s="1"/>
  <c r="T454" i="28"/>
  <c r="Q105" i="28"/>
  <c r="U105" i="28" s="1"/>
  <c r="T105" i="28"/>
  <c r="AV105" i="28" s="1"/>
  <c r="AW105" i="28" s="1"/>
  <c r="Q459" i="28"/>
  <c r="U459" i="28" s="1"/>
  <c r="T459" i="28"/>
  <c r="AV459" i="28" s="1"/>
  <c r="AX459" i="28" s="1"/>
  <c r="AY459" i="28" s="1"/>
  <c r="Q131" i="28"/>
  <c r="U131" i="28" s="1"/>
  <c r="T131" i="28"/>
  <c r="AV131" i="28" s="1"/>
  <c r="Q72" i="28"/>
  <c r="U72" i="28" s="1"/>
  <c r="T72" i="28"/>
  <c r="BE451" i="28"/>
  <c r="BF451" i="28"/>
  <c r="BE304" i="28"/>
  <c r="BF304" i="28"/>
  <c r="BE568" i="28"/>
  <c r="BF568" i="28"/>
  <c r="BE475" i="28"/>
  <c r="BF475" i="28"/>
  <c r="BF485" i="28"/>
  <c r="BE485" i="28"/>
  <c r="BE508" i="28"/>
  <c r="BF508" i="28"/>
  <c r="BF425" i="28"/>
  <c r="BE425" i="28"/>
  <c r="BE201" i="28"/>
  <c r="BF201" i="28"/>
  <c r="BE55" i="28"/>
  <c r="BF55" i="28"/>
  <c r="BF119" i="28"/>
  <c r="BE119" i="28"/>
  <c r="BE185" i="28"/>
  <c r="BF185" i="28"/>
  <c r="BF126" i="28"/>
  <c r="BE126" i="28"/>
  <c r="BF589" i="28"/>
  <c r="BE589" i="28"/>
  <c r="BF326" i="28"/>
  <c r="BE326" i="28"/>
  <c r="BF338" i="28"/>
  <c r="BE338" i="28"/>
  <c r="BF314" i="28"/>
  <c r="BE314" i="28"/>
  <c r="BF482" i="28"/>
  <c r="BE482" i="28"/>
  <c r="BE312" i="28"/>
  <c r="BF312" i="28"/>
  <c r="BE420" i="28"/>
  <c r="BF420" i="28"/>
  <c r="BF186" i="28"/>
  <c r="BE186" i="28"/>
  <c r="BE416" i="28"/>
  <c r="BF416" i="28"/>
  <c r="BF289" i="28"/>
  <c r="BE289" i="28"/>
  <c r="BE61" i="28"/>
  <c r="BF61" i="28"/>
  <c r="BE104" i="28"/>
  <c r="BF104" i="28"/>
  <c r="BF246" i="28"/>
  <c r="BE246" i="28"/>
  <c r="BE108" i="28"/>
  <c r="BF108" i="28"/>
  <c r="BF210" i="28"/>
  <c r="BE210" i="28"/>
  <c r="BE523" i="28"/>
  <c r="BF523" i="28"/>
  <c r="BE77" i="28"/>
  <c r="BF77" i="28"/>
  <c r="BF517" i="28"/>
  <c r="BE517" i="28"/>
  <c r="BF469" i="28"/>
  <c r="BE469" i="28"/>
  <c r="BF25" i="28"/>
  <c r="BE25" i="28"/>
  <c r="BF60" i="28"/>
  <c r="BE60" i="28"/>
  <c r="BE189" i="28"/>
  <c r="BF189" i="28"/>
  <c r="BE248" i="28"/>
  <c r="BF248" i="28"/>
  <c r="BE168" i="28"/>
  <c r="BF168" i="28"/>
  <c r="BE323" i="28"/>
  <c r="BF323" i="28"/>
  <c r="BF24" i="28"/>
  <c r="BE24" i="28"/>
  <c r="BF130" i="28"/>
  <c r="BE130" i="28"/>
  <c r="BE371" i="28"/>
  <c r="BF371" i="28"/>
  <c r="BF430" i="28"/>
  <c r="BE430" i="28"/>
  <c r="BE324" i="28"/>
  <c r="BF324" i="28"/>
  <c r="Q518" i="28"/>
  <c r="U518" i="28" s="1"/>
  <c r="T518" i="28"/>
  <c r="BE58" i="28"/>
  <c r="BF58" i="28"/>
  <c r="BE352" i="28"/>
  <c r="BF352" i="28"/>
  <c r="Q204" i="28"/>
  <c r="U204" i="28" s="1"/>
  <c r="T204" i="28"/>
  <c r="AV204" i="28" s="1"/>
  <c r="AX204" i="28" s="1"/>
  <c r="AY204" i="28" s="1"/>
  <c r="BE604" i="28"/>
  <c r="BF604" i="28"/>
  <c r="Q581" i="28"/>
  <c r="U581" i="28" s="1"/>
  <c r="T581" i="28"/>
  <c r="AV581" i="28" s="1"/>
  <c r="Q264" i="28"/>
  <c r="U264" i="28" s="1"/>
  <c r="T264" i="28"/>
  <c r="Q613" i="28"/>
  <c r="U613" i="28" s="1"/>
  <c r="T613" i="28"/>
  <c r="AV613" i="28" s="1"/>
  <c r="AW613" i="28" s="1"/>
  <c r="BL613" i="28" s="1"/>
  <c r="BM613" i="28" s="1"/>
  <c r="Q528" i="28"/>
  <c r="U528" i="28" s="1"/>
  <c r="T528" i="28"/>
  <c r="AV528" i="28" s="1"/>
  <c r="Q550" i="28"/>
  <c r="U550" i="28" s="1"/>
  <c r="T550" i="28"/>
  <c r="AV550" i="28" s="1"/>
  <c r="Q364" i="28"/>
  <c r="U364" i="28" s="1"/>
  <c r="T364" i="28"/>
  <c r="AV364" i="28" s="1"/>
  <c r="AW364" i="28" s="1"/>
  <c r="Q251" i="28"/>
  <c r="U251" i="28" s="1"/>
  <c r="T251" i="28"/>
  <c r="AV251" i="28" s="1"/>
  <c r="Q256" i="28"/>
  <c r="U256" i="28" s="1"/>
  <c r="T256" i="28"/>
  <c r="Q111" i="28"/>
  <c r="U111" i="28" s="1"/>
  <c r="T111" i="28"/>
  <c r="Q462" i="28"/>
  <c r="U462" i="28" s="1"/>
  <c r="T462" i="28"/>
  <c r="AV462" i="28" s="1"/>
  <c r="Q157" i="28"/>
  <c r="U157" i="28" s="1"/>
  <c r="T157" i="28"/>
  <c r="Q500" i="28"/>
  <c r="U500" i="28" s="1"/>
  <c r="T500" i="28"/>
  <c r="Q103" i="28"/>
  <c r="U103" i="28" s="1"/>
  <c r="T103" i="28"/>
  <c r="Q350" i="28"/>
  <c r="U350" i="28" s="1"/>
  <c r="T350" i="28"/>
  <c r="Q236" i="28"/>
  <c r="U236" i="28" s="1"/>
  <c r="T236" i="28"/>
  <c r="AV236" i="28" s="1"/>
  <c r="AX236" i="28" s="1"/>
  <c r="AY236" i="28" s="1"/>
  <c r="Q514" i="28"/>
  <c r="U514" i="28" s="1"/>
  <c r="T514" i="28"/>
  <c r="AV514" i="28" s="1"/>
  <c r="BE399" i="28"/>
  <c r="BF399" i="28"/>
  <c r="Q448" i="28"/>
  <c r="U448" i="28" s="1"/>
  <c r="T448" i="28"/>
  <c r="AV448" i="28" s="1"/>
  <c r="AW448" i="28" s="1"/>
  <c r="Q382" i="28"/>
  <c r="U382" i="28" s="1"/>
  <c r="T382" i="28"/>
  <c r="AV382" i="28" s="1"/>
  <c r="AX382" i="28" s="1"/>
  <c r="AY382" i="28" s="1"/>
  <c r="Q497" i="28"/>
  <c r="U497" i="28" s="1"/>
  <c r="T497" i="28"/>
  <c r="AV497" i="28" s="1"/>
  <c r="AX497" i="28" s="1"/>
  <c r="AY497" i="28" s="1"/>
  <c r="Q129" i="28"/>
  <c r="U129" i="28" s="1"/>
  <c r="T129" i="28"/>
  <c r="AV129" i="28" s="1"/>
  <c r="BF13" i="28"/>
  <c r="BE13" i="28"/>
  <c r="BF295" i="28"/>
  <c r="BE295" i="28"/>
  <c r="BF534" i="28"/>
  <c r="BE534" i="28"/>
  <c r="BF565" i="28"/>
  <c r="BE565" i="28"/>
  <c r="BE89" i="28"/>
  <c r="BF89" i="28"/>
  <c r="BF171" i="28"/>
  <c r="BE171" i="28"/>
  <c r="BE576" i="28"/>
  <c r="BF576" i="28"/>
  <c r="BF458" i="28"/>
  <c r="BE458" i="28"/>
  <c r="BF175" i="28"/>
  <c r="BE175" i="28"/>
  <c r="BE387" i="28"/>
  <c r="BF387" i="28"/>
  <c r="BF414" i="28"/>
  <c r="BE414" i="28"/>
  <c r="BF438" i="28"/>
  <c r="BE438" i="28"/>
  <c r="BE436" i="28"/>
  <c r="BF436" i="28"/>
  <c r="BF30" i="28"/>
  <c r="BE30" i="28"/>
  <c r="BE544" i="28"/>
  <c r="BF544" i="28"/>
  <c r="BE536" i="28"/>
  <c r="BF536" i="28"/>
  <c r="BF577" i="28"/>
  <c r="BE577" i="28"/>
  <c r="BE57" i="28"/>
  <c r="BF57" i="28"/>
  <c r="BE85" i="28"/>
  <c r="BF85" i="28"/>
  <c r="BE336" i="28"/>
  <c r="BF336" i="28"/>
  <c r="BF262" i="28"/>
  <c r="BE262" i="28"/>
  <c r="BF35" i="28"/>
  <c r="BE35" i="28"/>
  <c r="BE611" i="28"/>
  <c r="BF611" i="28"/>
  <c r="BF215" i="28"/>
  <c r="BE215" i="28"/>
  <c r="BE531" i="28"/>
  <c r="BF531" i="28"/>
  <c r="BE588" i="28"/>
  <c r="BF588" i="28"/>
  <c r="BE300" i="28"/>
  <c r="BF300" i="28"/>
  <c r="BF569" i="28"/>
  <c r="BE569" i="28"/>
  <c r="BF397" i="28"/>
  <c r="BE397" i="28"/>
  <c r="BF342" i="28"/>
  <c r="BE342" i="28"/>
  <c r="BF593" i="28"/>
  <c r="BE593" i="28"/>
  <c r="BF37" i="28"/>
  <c r="BE37" i="28"/>
  <c r="BF265" i="28"/>
  <c r="BE265" i="28"/>
  <c r="BF179" i="28"/>
  <c r="BE179" i="28"/>
  <c r="BF410" i="28"/>
  <c r="BE410" i="28"/>
  <c r="BE208" i="28"/>
  <c r="BF208" i="28"/>
  <c r="BE124" i="28"/>
  <c r="BF124" i="28"/>
  <c r="BF258" i="28"/>
  <c r="BE258" i="28"/>
  <c r="BF398" i="28"/>
  <c r="BE398" i="28"/>
  <c r="Q286" i="28"/>
  <c r="U286" i="28" s="1"/>
  <c r="T286" i="28"/>
  <c r="AV286" i="28" s="1"/>
  <c r="AW286" i="28" s="1"/>
  <c r="Q184" i="28"/>
  <c r="U184" i="28" s="1"/>
  <c r="T184" i="28"/>
  <c r="AV184" i="28" s="1"/>
  <c r="Q513" i="28"/>
  <c r="U513" i="28" s="1"/>
  <c r="T513" i="28"/>
  <c r="AV513" i="28" s="1"/>
  <c r="Q290" i="28"/>
  <c r="U290" i="28" s="1"/>
  <c r="T290" i="28"/>
  <c r="AV290" i="28" s="1"/>
  <c r="Q199" i="28"/>
  <c r="U199" i="28" s="1"/>
  <c r="T199" i="28"/>
  <c r="Q465" i="28"/>
  <c r="U465" i="28" s="1"/>
  <c r="T465" i="28"/>
  <c r="AV465" i="28" s="1"/>
  <c r="Q211" i="28"/>
  <c r="U211" i="28" s="1"/>
  <c r="T211" i="28"/>
  <c r="AV211" i="28" s="1"/>
  <c r="AX211" i="28" s="1"/>
  <c r="AY211" i="28" s="1"/>
  <c r="BE317" i="28"/>
  <c r="BF317" i="28"/>
  <c r="Q80" i="28"/>
  <c r="U80" i="28" s="1"/>
  <c r="T80" i="28"/>
  <c r="Q84" i="28"/>
  <c r="U84" i="28" s="1"/>
  <c r="T84" i="28"/>
  <c r="Q339" i="28"/>
  <c r="U339" i="28" s="1"/>
  <c r="T339" i="28"/>
  <c r="Q456" i="28"/>
  <c r="U456" i="28" s="1"/>
  <c r="T456" i="28"/>
  <c r="Q16" i="28"/>
  <c r="U16" i="28" s="1"/>
  <c r="T16" i="28"/>
  <c r="Q172" i="28"/>
  <c r="U172" i="28" s="1"/>
  <c r="T172" i="28"/>
  <c r="Q494" i="28"/>
  <c r="U494" i="28" s="1"/>
  <c r="T494" i="28"/>
  <c r="AV494" i="28" s="1"/>
  <c r="Q413" i="28"/>
  <c r="U413" i="28" s="1"/>
  <c r="T413" i="28"/>
  <c r="Q461" i="28"/>
  <c r="U461" i="28" s="1"/>
  <c r="T461" i="28"/>
  <c r="AV461" i="28" s="1"/>
  <c r="AX461" i="28" s="1"/>
  <c r="AY461" i="28" s="1"/>
  <c r="Q331" i="28"/>
  <c r="U331" i="28" s="1"/>
  <c r="T331" i="28"/>
  <c r="AV331" i="28" s="1"/>
  <c r="BF470" i="28"/>
  <c r="BE470" i="28"/>
  <c r="BE281" i="28"/>
  <c r="BF281" i="28"/>
  <c r="Q432" i="28"/>
  <c r="U432" i="28" s="1"/>
  <c r="T432" i="28"/>
  <c r="AV432" i="28" s="1"/>
  <c r="AW432" i="28" s="1"/>
  <c r="Q498" i="28"/>
  <c r="U498" i="28" s="1"/>
  <c r="T498" i="28"/>
  <c r="AV498" i="28" s="1"/>
  <c r="BE113" i="28"/>
  <c r="BF113" i="28"/>
  <c r="Q235" i="28"/>
  <c r="U235" i="28" s="1"/>
  <c r="T235" i="28"/>
  <c r="AV235" i="28" s="1"/>
  <c r="AX235" i="28" s="1"/>
  <c r="AY235" i="28" s="1"/>
  <c r="Q39" i="28"/>
  <c r="U39" i="28" s="1"/>
  <c r="T39" i="28"/>
  <c r="AV39" i="28" s="1"/>
  <c r="Q155" i="28"/>
  <c r="U155" i="28" s="1"/>
  <c r="T155" i="28"/>
  <c r="AV155" i="28" s="1"/>
  <c r="AW155" i="28" s="1"/>
  <c r="BE169" i="28"/>
  <c r="BF169" i="28"/>
  <c r="BE261" i="28"/>
  <c r="BF261" i="28"/>
  <c r="BE424" i="28"/>
  <c r="BF424" i="28"/>
  <c r="BF166" i="28"/>
  <c r="BE166" i="28"/>
  <c r="BF226" i="28"/>
  <c r="BE226" i="28"/>
  <c r="Q579" i="28"/>
  <c r="U579" i="28" s="1"/>
  <c r="T579" i="28"/>
  <c r="AV579" i="28" s="1"/>
  <c r="BE607" i="28"/>
  <c r="BF607" i="28"/>
  <c r="BF449" i="28"/>
  <c r="BE449" i="28"/>
  <c r="BF366" i="28"/>
  <c r="BE366" i="28"/>
  <c r="BF321" i="28"/>
  <c r="BE321" i="28"/>
  <c r="BE96" i="28"/>
  <c r="BF96" i="28"/>
  <c r="BF238" i="28"/>
  <c r="BE238" i="28"/>
  <c r="BE100" i="28"/>
  <c r="BF100" i="28"/>
  <c r="BF405" i="28"/>
  <c r="BE405" i="28"/>
  <c r="BE164" i="28"/>
  <c r="BF164" i="28"/>
  <c r="BE407" i="28"/>
  <c r="BF407" i="28"/>
  <c r="BF409" i="28"/>
  <c r="BE409" i="28"/>
  <c r="BF277" i="28"/>
  <c r="BE277" i="28"/>
  <c r="BE503" i="28"/>
  <c r="BF503" i="28"/>
  <c r="BF478" i="28"/>
  <c r="BE478" i="28"/>
  <c r="BE75" i="28"/>
  <c r="BF75" i="28"/>
  <c r="BF574" i="28"/>
  <c r="BE574" i="28"/>
  <c r="BE165" i="28"/>
  <c r="BF165" i="28"/>
  <c r="BF346" i="28"/>
  <c r="BE346" i="28"/>
  <c r="BF291" i="28"/>
  <c r="BE291" i="28"/>
  <c r="BF546" i="28"/>
  <c r="BE546" i="28"/>
  <c r="BE54" i="28"/>
  <c r="BF54" i="28"/>
  <c r="BE552" i="28"/>
  <c r="BF552" i="28"/>
  <c r="BF40" i="28"/>
  <c r="BE40" i="28"/>
  <c r="BF542" i="28"/>
  <c r="BE542" i="28"/>
  <c r="BF279" i="28"/>
  <c r="BE279" i="28"/>
  <c r="BF486" i="28"/>
  <c r="BE486" i="28"/>
  <c r="BF442" i="28"/>
  <c r="BE442" i="28"/>
  <c r="BF107" i="28"/>
  <c r="BE107" i="28"/>
  <c r="BF358" i="28"/>
  <c r="BE358" i="28"/>
  <c r="BE121" i="28"/>
  <c r="BF121" i="28"/>
  <c r="BF102" i="28"/>
  <c r="BE102" i="28"/>
  <c r="BE476" i="28"/>
  <c r="BF476" i="28"/>
  <c r="AT623" i="28"/>
  <c r="BB623" i="28"/>
  <c r="BC623" i="28"/>
  <c r="BE355" i="28"/>
  <c r="BF355" i="28"/>
  <c r="BF333" i="28"/>
  <c r="BE333" i="28"/>
  <c r="BF46" i="28"/>
  <c r="BE46" i="28"/>
  <c r="Q627" i="28"/>
  <c r="U627" i="28" s="1"/>
  <c r="T627" i="28"/>
  <c r="Q260" i="28"/>
  <c r="U260" i="28" s="1"/>
  <c r="T260" i="28"/>
  <c r="AV260" i="28" s="1"/>
  <c r="Q473" i="28"/>
  <c r="U473" i="28" s="1"/>
  <c r="T473" i="28"/>
  <c r="AV473" i="28" s="1"/>
  <c r="AW473" i="28" s="1"/>
  <c r="Q133" i="28"/>
  <c r="U133" i="28" s="1"/>
  <c r="T133" i="28"/>
  <c r="AV133" i="28" s="1"/>
  <c r="AW133" i="28" s="1"/>
  <c r="Q26" i="28"/>
  <c r="U26" i="28" s="1"/>
  <c r="T26" i="28"/>
  <c r="AV26" i="28" s="1"/>
  <c r="AX26" i="28" s="1"/>
  <c r="AY26" i="28" s="1"/>
  <c r="BF70" i="28"/>
  <c r="BE70" i="28"/>
  <c r="Q182" i="28"/>
  <c r="U182" i="28" s="1"/>
  <c r="T182" i="28"/>
  <c r="Q402" i="28"/>
  <c r="U402" i="28" s="1"/>
  <c r="T402" i="28"/>
  <c r="Q429" i="28"/>
  <c r="U429" i="28" s="1"/>
  <c r="T429" i="28"/>
  <c r="AV429" i="28" s="1"/>
  <c r="AX429" i="28" s="1"/>
  <c r="AY429" i="28" s="1"/>
  <c r="Q163" i="28"/>
  <c r="U163" i="28" s="1"/>
  <c r="T163" i="28"/>
  <c r="AV163" i="28" s="1"/>
  <c r="AX163" i="28" s="1"/>
  <c r="AY163" i="28" s="1"/>
  <c r="Q299" i="28"/>
  <c r="U299" i="28" s="1"/>
  <c r="T299" i="28"/>
  <c r="AV299" i="28" s="1"/>
  <c r="Q197" i="28"/>
  <c r="U197" i="28" s="1"/>
  <c r="T197" i="28"/>
  <c r="Q553" i="28"/>
  <c r="U553" i="28" s="1"/>
  <c r="T553" i="28"/>
  <c r="AV553" i="28" s="1"/>
  <c r="AX553" i="28" s="1"/>
  <c r="AY553" i="28" s="1"/>
  <c r="Q435" i="28"/>
  <c r="U435" i="28" s="1"/>
  <c r="T435" i="28"/>
  <c r="AV435" i="28" s="1"/>
  <c r="Q218" i="28"/>
  <c r="U218" i="28" s="1"/>
  <c r="T218" i="28"/>
  <c r="Q516" i="28"/>
  <c r="U516" i="28" s="1"/>
  <c r="T516" i="28"/>
  <c r="AV516" i="28" s="1"/>
  <c r="AW516" i="28" s="1"/>
  <c r="Q250" i="28"/>
  <c r="U250" i="28" s="1"/>
  <c r="T250" i="28"/>
  <c r="AV250" i="28" s="1"/>
  <c r="BF266" i="28"/>
  <c r="BE266" i="28"/>
  <c r="BF270" i="28"/>
  <c r="BE270" i="28"/>
  <c r="Q591" i="28"/>
  <c r="U591" i="28" s="1"/>
  <c r="T591" i="28"/>
  <c r="AV591" i="28" s="1"/>
  <c r="BE292" i="28"/>
  <c r="BF292" i="28"/>
  <c r="Q626" i="28"/>
  <c r="U626" i="28" s="1"/>
  <c r="T626" i="28"/>
  <c r="BF626" i="28" s="1"/>
  <c r="Q504" i="28"/>
  <c r="U504" i="28" s="1"/>
  <c r="T504" i="28"/>
  <c r="Q14" i="28"/>
  <c r="U14" i="28" s="1"/>
  <c r="T14" i="28"/>
  <c r="AV14" i="28" s="1"/>
  <c r="Q73" i="28"/>
  <c r="U73" i="28" s="1"/>
  <c r="T73" i="28"/>
  <c r="AV73" i="28" s="1"/>
  <c r="BE95" i="28"/>
  <c r="BF95" i="28"/>
  <c r="Q422" i="28"/>
  <c r="U422" i="28" s="1"/>
  <c r="T422" i="28"/>
  <c r="BE359" i="28"/>
  <c r="BF359" i="28"/>
  <c r="BF123" i="28"/>
  <c r="BE123" i="28"/>
  <c r="BF146" i="28"/>
  <c r="BE146" i="28"/>
  <c r="BF606" i="28"/>
  <c r="BE606" i="28"/>
  <c r="BE228" i="28"/>
  <c r="BF228" i="28"/>
  <c r="BF573" i="28"/>
  <c r="BE573" i="28"/>
  <c r="BE276" i="28"/>
  <c r="BF276" i="28"/>
  <c r="BF590" i="28"/>
  <c r="BE590" i="28"/>
  <c r="BF297" i="28"/>
  <c r="BE297" i="28"/>
  <c r="BE68" i="28"/>
  <c r="BF68" i="28"/>
  <c r="BE452" i="28"/>
  <c r="BF452" i="28"/>
  <c r="BE253" i="28"/>
  <c r="BF253" i="28"/>
  <c r="BF202" i="28"/>
  <c r="BE202" i="28"/>
  <c r="BF114" i="28"/>
  <c r="BE114" i="28"/>
  <c r="BF19" i="28"/>
  <c r="BE19" i="28"/>
  <c r="BE200" i="28"/>
  <c r="BF200" i="28"/>
  <c r="BE467" i="28"/>
  <c r="BF467" i="28"/>
  <c r="BF138" i="28"/>
  <c r="BE138" i="28"/>
  <c r="BE512" i="28"/>
  <c r="BF512" i="28"/>
  <c r="BF227" i="28"/>
  <c r="BE227" i="28"/>
  <c r="BF118" i="28"/>
  <c r="BE118" i="28"/>
  <c r="BE240" i="28"/>
  <c r="BF240" i="28"/>
  <c r="BF187" i="28"/>
  <c r="BE187" i="28"/>
  <c r="BF98" i="28"/>
  <c r="BE98" i="28"/>
  <c r="BE212" i="28"/>
  <c r="BF212" i="28"/>
  <c r="BF341" i="28"/>
  <c r="BE341" i="28"/>
  <c r="BF445" i="28"/>
  <c r="BE445" i="28"/>
  <c r="BE116" i="28"/>
  <c r="BF116" i="28"/>
  <c r="BF605" i="28"/>
  <c r="BE605" i="28"/>
  <c r="BF247" i="28"/>
  <c r="BE247" i="28"/>
  <c r="BE471" i="28"/>
  <c r="BF471" i="28"/>
  <c r="BF22" i="28"/>
  <c r="BE22" i="28"/>
  <c r="BF56" i="28"/>
  <c r="BE56" i="28"/>
  <c r="BE125" i="28"/>
  <c r="BF125" i="28"/>
  <c r="BE375" i="28"/>
  <c r="BF375" i="28"/>
  <c r="BF450" i="28"/>
  <c r="BE450" i="28"/>
  <c r="BE287" i="28"/>
  <c r="BF287" i="28"/>
  <c r="BE229" i="28"/>
  <c r="BF229" i="28"/>
  <c r="BE49" i="28"/>
  <c r="BF49" i="28"/>
  <c r="BF594" i="28"/>
  <c r="BE594" i="28"/>
  <c r="BE583" i="28"/>
  <c r="BF583" i="28"/>
  <c r="Q176" i="28"/>
  <c r="U176" i="28" s="1"/>
  <c r="T176" i="28"/>
  <c r="Q135" i="28"/>
  <c r="U135" i="28" s="1"/>
  <c r="T135" i="28"/>
  <c r="Q195" i="28"/>
  <c r="U195" i="28" s="1"/>
  <c r="T195" i="28"/>
  <c r="Q535" i="28"/>
  <c r="U535" i="28" s="1"/>
  <c r="T535" i="28"/>
  <c r="Q82" i="28"/>
  <c r="U82" i="28" s="1"/>
  <c r="T82" i="28"/>
  <c r="AV82" i="28" s="1"/>
  <c r="Q34" i="28"/>
  <c r="U34" i="28" s="1"/>
  <c r="T34" i="28"/>
  <c r="BF139" i="28"/>
  <c r="BE139" i="28"/>
  <c r="Q612" i="28"/>
  <c r="U612" i="28" s="1"/>
  <c r="T612" i="28"/>
  <c r="Q148" i="28"/>
  <c r="U148" i="28" s="1"/>
  <c r="T148" i="28"/>
  <c r="Q151" i="28"/>
  <c r="U151" i="28" s="1"/>
  <c r="T151" i="28"/>
  <c r="Q444" i="28"/>
  <c r="U444" i="28" s="1"/>
  <c r="T444" i="28"/>
  <c r="AV444" i="28" s="1"/>
  <c r="AX444" i="28" s="1"/>
  <c r="AY444" i="28" s="1"/>
  <c r="Q369" i="28"/>
  <c r="U369" i="28" s="1"/>
  <c r="T369" i="28"/>
  <c r="AV369" i="28" s="1"/>
  <c r="Q142" i="28"/>
  <c r="U142" i="28" s="1"/>
  <c r="T142" i="28"/>
  <c r="AV142" i="28" s="1"/>
  <c r="AX142" i="28" s="1"/>
  <c r="AY142" i="28" s="1"/>
  <c r="BF162" i="28"/>
  <c r="BE162" i="28"/>
  <c r="Q389" i="28"/>
  <c r="U389" i="28" s="1"/>
  <c r="T389" i="28"/>
  <c r="BF453" i="28"/>
  <c r="BE453" i="28"/>
  <c r="Q109" i="28"/>
  <c r="U109" i="28" s="1"/>
  <c r="T109" i="28"/>
  <c r="AV109" i="28" s="1"/>
  <c r="Q136" i="28"/>
  <c r="U136" i="28" s="1"/>
  <c r="T136" i="28"/>
  <c r="AV136" i="28" s="1"/>
  <c r="Q403" i="28"/>
  <c r="U403" i="28" s="1"/>
  <c r="T403" i="28"/>
  <c r="AV403" i="28" s="1"/>
  <c r="AW403" i="28" s="1"/>
  <c r="Q392" i="28"/>
  <c r="U392" i="28" s="1"/>
  <c r="T392" i="28"/>
  <c r="AV392" i="28" s="1"/>
  <c r="Q48" i="28"/>
  <c r="U48" i="28" s="1"/>
  <c r="T48" i="28"/>
  <c r="AV48" i="28" s="1"/>
  <c r="Q88" i="28"/>
  <c r="U88" i="28" s="1"/>
  <c r="T88" i="28"/>
  <c r="AV88" i="28" s="1"/>
  <c r="AX88" i="28" s="1"/>
  <c r="AY88" i="28" s="1"/>
  <c r="BF214" i="28"/>
  <c r="BE214" i="28"/>
  <c r="Q483" i="28"/>
  <c r="U483" i="28" s="1"/>
  <c r="T483" i="28"/>
  <c r="AV483" i="28" s="1"/>
  <c r="Q106" i="28"/>
  <c r="U106" i="28" s="1"/>
  <c r="T106" i="28"/>
  <c r="AV106" i="28" s="1"/>
  <c r="Q298" i="28"/>
  <c r="U298" i="28" s="1"/>
  <c r="T298" i="28"/>
  <c r="AV298" i="28" s="1"/>
  <c r="BF373" i="28"/>
  <c r="BE373" i="28"/>
  <c r="BE563" i="28"/>
  <c r="BF563" i="28"/>
  <c r="BE384" i="28"/>
  <c r="BF384" i="28"/>
  <c r="BF122" i="28"/>
  <c r="BE122" i="28"/>
  <c r="BE344" i="28"/>
  <c r="BF344" i="28"/>
  <c r="BE160" i="28"/>
  <c r="BF160" i="28"/>
  <c r="BF378" i="28"/>
  <c r="BE378" i="28"/>
  <c r="BE65" i="28"/>
  <c r="BF65" i="28"/>
  <c r="BF21" i="28"/>
  <c r="BE21" i="28"/>
  <c r="Q604" i="28"/>
  <c r="U604" i="28" s="1"/>
  <c r="Q347" i="28"/>
  <c r="U347" i="28" s="1"/>
  <c r="AV58" i="28"/>
  <c r="AV359" i="28"/>
  <c r="AX359" i="28" s="1"/>
  <c r="AY359" i="28" s="1"/>
  <c r="AV543" i="28"/>
  <c r="AX543" i="28" s="1"/>
  <c r="AY543" i="28" s="1"/>
  <c r="AV384" i="28"/>
  <c r="AW384" i="28" s="1"/>
  <c r="AV315" i="28"/>
  <c r="AX315" i="28" s="1"/>
  <c r="AY315" i="28" s="1"/>
  <c r="AV399" i="28"/>
  <c r="AV266" i="28"/>
  <c r="AV53" i="28"/>
  <c r="AV304" i="28"/>
  <c r="AW304" i="28" s="1"/>
  <c r="AV568" i="28"/>
  <c r="AV169" i="28"/>
  <c r="AV404" i="28"/>
  <c r="AV214" i="28"/>
  <c r="AV455" i="28"/>
  <c r="AV270" i="28"/>
  <c r="AV173" i="28"/>
  <c r="AV425" i="28"/>
  <c r="AW425" i="28" s="1"/>
  <c r="AV166" i="28"/>
  <c r="AX166" i="28" s="1"/>
  <c r="AY166" i="28" s="1"/>
  <c r="AV451" i="28"/>
  <c r="AW451" i="28" s="1"/>
  <c r="AV401" i="28"/>
  <c r="AV13" i="28"/>
  <c r="AV257" i="28"/>
  <c r="AV470" i="28"/>
  <c r="AV51" i="28"/>
  <c r="AV555" i="28"/>
  <c r="AV412" i="28"/>
  <c r="AV21" i="28"/>
  <c r="AV423" i="28"/>
  <c r="AV249" i="28"/>
  <c r="AV122" i="28"/>
  <c r="AX122" i="28" s="1"/>
  <c r="AY122" i="28" s="1"/>
  <c r="AV65" i="28"/>
  <c r="AW65" i="28" s="1"/>
  <c r="AV344" i="28"/>
  <c r="AX344" i="28" s="1"/>
  <c r="AY344" i="28" s="1"/>
  <c r="AV586" i="28"/>
  <c r="AV224" i="28"/>
  <c r="AV439" i="28"/>
  <c r="AX439" i="28" s="1"/>
  <c r="AY439" i="28" s="1"/>
  <c r="AV113" i="28"/>
  <c r="AV347" i="28"/>
  <c r="AX347" i="28" s="1"/>
  <c r="AY347" i="28" s="1"/>
  <c r="AV424" i="28"/>
  <c r="AV381" i="28"/>
  <c r="AV610" i="28"/>
  <c r="AW610" i="28" s="1"/>
  <c r="AV123" i="28"/>
  <c r="AV373" i="28"/>
  <c r="AX373" i="28" s="1"/>
  <c r="AY373" i="28" s="1"/>
  <c r="AV378" i="28"/>
  <c r="AX378" i="28" s="1"/>
  <c r="AY378" i="28" s="1"/>
  <c r="AV160" i="28"/>
  <c r="AV325" i="28"/>
  <c r="AX325" i="28" s="1"/>
  <c r="AY325" i="28" s="1"/>
  <c r="AV95" i="28"/>
  <c r="AV97" i="28"/>
  <c r="AX97" i="28" s="1"/>
  <c r="AY97" i="28" s="1"/>
  <c r="AV453" i="28"/>
  <c r="AW453" i="28" s="1"/>
  <c r="AV285" i="28"/>
  <c r="AX285" i="28" s="1"/>
  <c r="AY285" i="28" s="1"/>
  <c r="AV508" i="28"/>
  <c r="Q58" i="28"/>
  <c r="U58" i="28" s="1"/>
  <c r="AV261" i="28"/>
  <c r="AV485" i="28"/>
  <c r="AX485" i="28" s="1"/>
  <c r="AY485" i="28" s="1"/>
  <c r="AV292" i="28"/>
  <c r="AX292" i="28" s="1"/>
  <c r="AY292" i="28" s="1"/>
  <c r="AV281" i="28"/>
  <c r="AX281" i="28" s="1"/>
  <c r="AY281" i="28" s="1"/>
  <c r="AV603" i="28"/>
  <c r="AW603" i="28" s="1"/>
  <c r="AV604" i="28"/>
  <c r="AV275" i="28"/>
  <c r="AV45" i="28"/>
  <c r="AV226" i="28"/>
  <c r="AV475" i="28"/>
  <c r="AV225" i="28"/>
  <c r="AV563" i="28"/>
  <c r="AX563" i="28" s="1"/>
  <c r="AY563" i="28" s="1"/>
  <c r="AV558" i="28"/>
  <c r="AV146" i="28"/>
  <c r="AV162" i="28"/>
  <c r="AV52" i="28"/>
  <c r="Q317" i="28"/>
  <c r="U317" i="28" s="1"/>
  <c r="Q372" i="28"/>
  <c r="U372" i="28" s="1"/>
  <c r="Q70" i="28"/>
  <c r="U70" i="28" s="1"/>
  <c r="Q357" i="28"/>
  <c r="U357" i="28" s="1"/>
  <c r="Q306" i="28"/>
  <c r="U306" i="28" s="1"/>
  <c r="Q139" i="28"/>
  <c r="U139" i="28" s="1"/>
  <c r="Q352" i="28"/>
  <c r="U352" i="28" s="1"/>
  <c r="Q411" i="28"/>
  <c r="U411" i="28" s="1"/>
  <c r="AU623" i="28"/>
  <c r="Q278" i="28"/>
  <c r="U278" i="28" s="1"/>
  <c r="Q63" i="28"/>
  <c r="U63" i="28" s="1"/>
  <c r="Q174" i="28"/>
  <c r="U174" i="28" s="1"/>
  <c r="Q232" i="28"/>
  <c r="U232" i="28" s="1"/>
  <c r="Q96" i="28"/>
  <c r="U96" i="28" s="1"/>
  <c r="Q238" i="28"/>
  <c r="U238" i="28" s="1"/>
  <c r="Q119" i="28"/>
  <c r="U119" i="28" s="1"/>
  <c r="Q185" i="28"/>
  <c r="U185" i="28" s="1"/>
  <c r="Q526" i="28"/>
  <c r="U526" i="28" s="1"/>
  <c r="Q239" i="28"/>
  <c r="U239" i="28" s="1"/>
  <c r="Q326" i="28"/>
  <c r="U326" i="28" s="1"/>
  <c r="Q71" i="28"/>
  <c r="U71" i="28" s="1"/>
  <c r="Q534" i="28"/>
  <c r="U534" i="28" s="1"/>
  <c r="Q565" i="28"/>
  <c r="U565" i="28" s="1"/>
  <c r="Q590" i="28"/>
  <c r="U590" i="28" s="1"/>
  <c r="Q338" i="28"/>
  <c r="U338" i="28" s="1"/>
  <c r="Q314" i="28"/>
  <c r="U314" i="28" s="1"/>
  <c r="Q231" i="28"/>
  <c r="U231" i="28" s="1"/>
  <c r="Q54" i="28"/>
  <c r="U54" i="28" s="1"/>
  <c r="Q442" i="28"/>
  <c r="U442" i="28" s="1"/>
  <c r="Q102" i="28"/>
  <c r="U102" i="28" s="1"/>
  <c r="Q572" i="28"/>
  <c r="U572" i="28" s="1"/>
  <c r="Q559" i="28"/>
  <c r="U559" i="28" s="1"/>
  <c r="Q546" i="28"/>
  <c r="U546" i="28" s="1"/>
  <c r="Q279" i="28"/>
  <c r="U279" i="28" s="1"/>
  <c r="Q121" i="28"/>
  <c r="U121" i="28" s="1"/>
  <c r="Q548" i="28"/>
  <c r="U548" i="28" s="1"/>
  <c r="Q124" i="28"/>
  <c r="U124" i="28" s="1"/>
  <c r="Q606" i="28"/>
  <c r="U606" i="28" s="1"/>
  <c r="Q505" i="28"/>
  <c r="U505" i="28" s="1"/>
  <c r="Q297" i="28"/>
  <c r="U297" i="28" s="1"/>
  <c r="Q68" i="28"/>
  <c r="U68" i="28" s="1"/>
  <c r="Q414" i="28"/>
  <c r="U414" i="28" s="1"/>
  <c r="Q191" i="28"/>
  <c r="U191" i="28" s="1"/>
  <c r="Q597" i="28"/>
  <c r="U597" i="28" s="1"/>
  <c r="Q351" i="28"/>
  <c r="U351" i="28" s="1"/>
  <c r="Q75" i="28"/>
  <c r="U75" i="28" s="1"/>
  <c r="Q416" i="28"/>
  <c r="U416" i="28" s="1"/>
  <c r="Q607" i="28"/>
  <c r="U607" i="28" s="1"/>
  <c r="Q515" i="28"/>
  <c r="U515" i="28" s="1"/>
  <c r="Q542" i="28"/>
  <c r="U542" i="28" s="1"/>
  <c r="Q600" i="28"/>
  <c r="U600" i="28" s="1"/>
  <c r="Q228" i="28"/>
  <c r="U228" i="28" s="1"/>
  <c r="Q269" i="28"/>
  <c r="U269" i="28" s="1"/>
  <c r="Q171" i="28"/>
  <c r="U171" i="28" s="1"/>
  <c r="Q580" i="28"/>
  <c r="U580" i="28" s="1"/>
  <c r="Q386" i="28"/>
  <c r="U386" i="28" s="1"/>
  <c r="Q587" i="28"/>
  <c r="U587" i="28" s="1"/>
  <c r="Q405" i="28"/>
  <c r="U405" i="28" s="1"/>
  <c r="Q164" i="28"/>
  <c r="U164" i="28" s="1"/>
  <c r="Q165" i="28"/>
  <c r="U165" i="28" s="1"/>
  <c r="Q449" i="28"/>
  <c r="U449" i="28" s="1"/>
  <c r="Q40" i="28"/>
  <c r="U40" i="28" s="1"/>
  <c r="Q107" i="28"/>
  <c r="U107" i="28" s="1"/>
  <c r="Q476" i="28"/>
  <c r="U476" i="28" s="1"/>
  <c r="Q295" i="28"/>
  <c r="U295" i="28" s="1"/>
  <c r="Q89" i="28"/>
  <c r="U89" i="28" s="1"/>
  <c r="Q363" i="28"/>
  <c r="U363" i="28" s="1"/>
  <c r="Q178" i="28"/>
  <c r="U178" i="28" s="1"/>
  <c r="Q366" i="28"/>
  <c r="U366" i="28" s="1"/>
  <c r="Q538" i="28"/>
  <c r="U538" i="28" s="1"/>
  <c r="Q245" i="28"/>
  <c r="U245" i="28" s="1"/>
  <c r="Q255" i="28"/>
  <c r="U255" i="28" s="1"/>
  <c r="Q32" i="28"/>
  <c r="U32" i="28" s="1"/>
  <c r="Q552" i="28"/>
  <c r="U552" i="28" s="1"/>
  <c r="Q358" i="28"/>
  <c r="U358" i="28" s="1"/>
  <c r="Q477" i="28"/>
  <c r="U477" i="28" s="1"/>
  <c r="Q571" i="28"/>
  <c r="U571" i="28" s="1"/>
  <c r="Q573" i="28"/>
  <c r="U573" i="28" s="1"/>
  <c r="Q276" i="28"/>
  <c r="U276" i="28" s="1"/>
  <c r="Q482" i="28"/>
  <c r="U482" i="28" s="1"/>
  <c r="Q312" i="28"/>
  <c r="U312" i="28" s="1"/>
  <c r="Q420" i="28"/>
  <c r="U420" i="28" s="1"/>
  <c r="Q499" i="28"/>
  <c r="U499" i="28" s="1"/>
  <c r="Q388" i="28"/>
  <c r="U388" i="28" s="1"/>
  <c r="Q291" i="28"/>
  <c r="U291" i="28" s="1"/>
  <c r="Q486" i="28"/>
  <c r="U486" i="28" s="1"/>
  <c r="Q220" i="28"/>
  <c r="U220" i="28" s="1"/>
  <c r="Q400" i="28"/>
  <c r="U400" i="28" s="1"/>
  <c r="Q91" i="28"/>
  <c r="U91" i="28" s="1"/>
  <c r="Q481" i="28"/>
  <c r="U481" i="28" s="1"/>
  <c r="Q576" i="28"/>
  <c r="U576" i="28" s="1"/>
  <c r="Q458" i="28"/>
  <c r="U458" i="28" s="1"/>
  <c r="Q466" i="28"/>
  <c r="U466" i="28" s="1"/>
  <c r="Q589" i="28"/>
  <c r="U589" i="28" s="1"/>
  <c r="Q595" i="28"/>
  <c r="U595" i="28" s="1"/>
  <c r="Q307" i="28"/>
  <c r="U307" i="28" s="1"/>
  <c r="Q520" i="28"/>
  <c r="U520" i="28" s="1"/>
  <c r="Q321" i="28"/>
  <c r="U321" i="28" s="1"/>
  <c r="Q62" i="28"/>
  <c r="U62" i="28" s="1"/>
  <c r="Q100" i="28"/>
  <c r="U100" i="28" s="1"/>
  <c r="Q126" i="28"/>
  <c r="U126" i="28" s="1"/>
  <c r="Q407" i="28"/>
  <c r="U407" i="28" s="1"/>
  <c r="Q44" i="28"/>
  <c r="U44" i="28" s="1"/>
  <c r="Q409" i="28"/>
  <c r="U409" i="28" s="1"/>
  <c r="Q277" i="28"/>
  <c r="U277" i="28" s="1"/>
  <c r="Q478" i="28"/>
  <c r="U478" i="28" s="1"/>
  <c r="Q537" i="28"/>
  <c r="U537" i="28" s="1"/>
  <c r="Q186" i="28"/>
  <c r="U186" i="28" s="1"/>
  <c r="Q194" i="28"/>
  <c r="U194" i="28" s="1"/>
  <c r="Q348" i="28"/>
  <c r="U348" i="28" s="1"/>
  <c r="Q289" i="28"/>
  <c r="U289" i="28" s="1"/>
  <c r="Q61" i="28"/>
  <c r="U61" i="28" s="1"/>
  <c r="Q104" i="28"/>
  <c r="U104" i="28" s="1"/>
  <c r="Q246" i="28"/>
  <c r="U246" i="28" s="1"/>
  <c r="Q108" i="28"/>
  <c r="U108" i="28" s="1"/>
  <c r="Q210" i="28"/>
  <c r="U210" i="28" s="1"/>
  <c r="Q523" i="28"/>
  <c r="U523" i="28" s="1"/>
  <c r="Q77" i="28"/>
  <c r="U77" i="28" s="1"/>
  <c r="Q517" i="28"/>
  <c r="U517" i="28" s="1"/>
  <c r="Q469" i="28"/>
  <c r="U469" i="28" s="1"/>
  <c r="Q25" i="28"/>
  <c r="U25" i="28" s="1"/>
  <c r="Q60" i="28"/>
  <c r="U60" i="28" s="1"/>
  <c r="Q189" i="28"/>
  <c r="U189" i="28" s="1"/>
  <c r="Q248" i="28"/>
  <c r="U248" i="28" s="1"/>
  <c r="Q168" i="28"/>
  <c r="U168" i="28" s="1"/>
  <c r="Q323" i="28"/>
  <c r="U323" i="28" s="1"/>
  <c r="Q327" i="28"/>
  <c r="U327" i="28" s="1"/>
  <c r="Q221" i="28"/>
  <c r="U221" i="28" s="1"/>
  <c r="Q371" i="28"/>
  <c r="U371" i="28" s="1"/>
  <c r="Q202" i="28"/>
  <c r="U202" i="28" s="1"/>
  <c r="Q335" i="28"/>
  <c r="U335" i="28" s="1"/>
  <c r="Q114" i="28"/>
  <c r="U114" i="28" s="1"/>
  <c r="Q19" i="28"/>
  <c r="U19" i="28" s="1"/>
  <c r="Q356" i="28"/>
  <c r="U356" i="28" s="1"/>
  <c r="Q467" i="28"/>
  <c r="U467" i="28" s="1"/>
  <c r="Q577" i="28"/>
  <c r="U577" i="28" s="1"/>
  <c r="Q320" i="28"/>
  <c r="U320" i="28" s="1"/>
  <c r="Q85" i="28"/>
  <c r="U85" i="28" s="1"/>
  <c r="Q496" i="28"/>
  <c r="U496" i="28" s="1"/>
  <c r="Q383" i="28"/>
  <c r="U383" i="28" s="1"/>
  <c r="Q262" i="28"/>
  <c r="U262" i="28" s="1"/>
  <c r="Q35" i="28"/>
  <c r="U35" i="28" s="1"/>
  <c r="Q611" i="28"/>
  <c r="U611" i="28" s="1"/>
  <c r="Q215" i="28"/>
  <c r="U215" i="28" s="1"/>
  <c r="Q531" i="28"/>
  <c r="U531" i="28" s="1"/>
  <c r="Q588" i="28"/>
  <c r="U588" i="28" s="1"/>
  <c r="Q300" i="28"/>
  <c r="U300" i="28" s="1"/>
  <c r="Q569" i="28"/>
  <c r="U569" i="28" s="1"/>
  <c r="Q397" i="28"/>
  <c r="U397" i="28" s="1"/>
  <c r="Q342" i="28"/>
  <c r="U342" i="28" s="1"/>
  <c r="Q593" i="28"/>
  <c r="U593" i="28" s="1"/>
  <c r="Q37" i="28"/>
  <c r="U37" i="28" s="1"/>
  <c r="Q265" i="28"/>
  <c r="U265" i="28" s="1"/>
  <c r="Q179" i="28"/>
  <c r="U179" i="28" s="1"/>
  <c r="Q410" i="28"/>
  <c r="U410" i="28" s="1"/>
  <c r="Q208" i="28"/>
  <c r="U208" i="28" s="1"/>
  <c r="Q313" i="28"/>
  <c r="U313" i="28" s="1"/>
  <c r="Q24" i="28"/>
  <c r="U24" i="28" s="1"/>
  <c r="Q398" i="28"/>
  <c r="U398" i="28" s="1"/>
  <c r="Q430" i="28"/>
  <c r="U430" i="28" s="1"/>
  <c r="Q583" i="28"/>
  <c r="U583" i="28" s="1"/>
  <c r="Q181" i="28"/>
  <c r="U181" i="28" s="1"/>
  <c r="Q452" i="28"/>
  <c r="U452" i="28" s="1"/>
  <c r="Q253" i="28"/>
  <c r="U253" i="28" s="1"/>
  <c r="Q556" i="28"/>
  <c r="U556" i="28" s="1"/>
  <c r="Q491" i="28"/>
  <c r="U491" i="28" s="1"/>
  <c r="Q544" i="28"/>
  <c r="U544" i="28" s="1"/>
  <c r="Q267" i="28"/>
  <c r="U267" i="28" s="1"/>
  <c r="Q138" i="28"/>
  <c r="U138" i="28" s="1"/>
  <c r="Q57" i="28"/>
  <c r="U57" i="28" s="1"/>
  <c r="Q227" i="28"/>
  <c r="U227" i="28" s="1"/>
  <c r="Q336" i="28"/>
  <c r="U336" i="28" s="1"/>
  <c r="Q240" i="28"/>
  <c r="U240" i="28" s="1"/>
  <c r="Q187" i="28"/>
  <c r="U187" i="28" s="1"/>
  <c r="Q98" i="28"/>
  <c r="U98" i="28" s="1"/>
  <c r="Q212" i="28"/>
  <c r="U212" i="28" s="1"/>
  <c r="Q341" i="28"/>
  <c r="U341" i="28" s="1"/>
  <c r="Q445" i="28"/>
  <c r="U445" i="28" s="1"/>
  <c r="Q116" i="28"/>
  <c r="U116" i="28" s="1"/>
  <c r="Q605" i="28"/>
  <c r="U605" i="28" s="1"/>
  <c r="Q247" i="28"/>
  <c r="U247" i="28" s="1"/>
  <c r="Q471" i="28"/>
  <c r="U471" i="28" s="1"/>
  <c r="Q22" i="28"/>
  <c r="U22" i="28" s="1"/>
  <c r="Q56" i="28"/>
  <c r="U56" i="28" s="1"/>
  <c r="Q125" i="28"/>
  <c r="U125" i="28" s="1"/>
  <c r="Q375" i="28"/>
  <c r="U375" i="28" s="1"/>
  <c r="Q450" i="28"/>
  <c r="U450" i="28" s="1"/>
  <c r="Q308" i="28"/>
  <c r="U308" i="28" s="1"/>
  <c r="Q130" i="28"/>
  <c r="U130" i="28" s="1"/>
  <c r="Q229" i="28"/>
  <c r="U229" i="28" s="1"/>
  <c r="Q259" i="28"/>
  <c r="U259" i="28" s="1"/>
  <c r="Q443" i="28"/>
  <c r="U443" i="28" s="1"/>
  <c r="Q390" i="28"/>
  <c r="U390" i="28" s="1"/>
  <c r="Q201" i="28"/>
  <c r="U201" i="28" s="1"/>
  <c r="Q55" i="28"/>
  <c r="U55" i="28" s="1"/>
  <c r="Q128" i="28"/>
  <c r="U128" i="28" s="1"/>
  <c r="Q272" i="28"/>
  <c r="U272" i="28" s="1"/>
  <c r="Q345" i="28"/>
  <c r="U345" i="28" s="1"/>
  <c r="Q219" i="28"/>
  <c r="U219" i="28" s="1"/>
  <c r="Q545" i="28"/>
  <c r="U545" i="28" s="1"/>
  <c r="Q503" i="28"/>
  <c r="U503" i="28" s="1"/>
  <c r="Q183" i="28"/>
  <c r="U183" i="28" s="1"/>
  <c r="Q132" i="28"/>
  <c r="U132" i="28" s="1"/>
  <c r="Q574" i="28"/>
  <c r="U574" i="28" s="1"/>
  <c r="Q309" i="28"/>
  <c r="U309" i="28" s="1"/>
  <c r="Q83" i="28"/>
  <c r="U83" i="28" s="1"/>
  <c r="Q346" i="28"/>
  <c r="U346" i="28" s="1"/>
  <c r="Q533" i="28"/>
  <c r="U533" i="28" s="1"/>
  <c r="Q408" i="28"/>
  <c r="U408" i="28" s="1"/>
  <c r="Q601" i="28"/>
  <c r="U601" i="28" s="1"/>
  <c r="Q437" i="28"/>
  <c r="U437" i="28" s="1"/>
  <c r="Q527" i="28"/>
  <c r="U527" i="28" s="1"/>
  <c r="Q529" i="28"/>
  <c r="U529" i="28" s="1"/>
  <c r="Q33" i="28"/>
  <c r="U33" i="28" s="1"/>
  <c r="Q252" i="28"/>
  <c r="U252" i="28" s="1"/>
  <c r="Q273" i="28"/>
  <c r="U273" i="28" s="1"/>
  <c r="Q441" i="28"/>
  <c r="U441" i="28" s="1"/>
  <c r="Q374" i="28"/>
  <c r="U374" i="28" s="1"/>
  <c r="Q93" i="28"/>
  <c r="U93" i="28" s="1"/>
  <c r="Q156" i="28"/>
  <c r="U156" i="28" s="1"/>
  <c r="Q394" i="28"/>
  <c r="U394" i="28" s="1"/>
  <c r="Q521" i="28"/>
  <c r="U521" i="28" s="1"/>
  <c r="Q337" i="28"/>
  <c r="U337" i="28" s="1"/>
  <c r="Q258" i="28"/>
  <c r="U258" i="28" s="1"/>
  <c r="Q360" i="28"/>
  <c r="U360" i="28" s="1"/>
  <c r="Q188" i="28"/>
  <c r="U188" i="28" s="1"/>
  <c r="Q141" i="28"/>
  <c r="U141" i="28" s="1"/>
  <c r="Q594" i="28"/>
  <c r="U594" i="28" s="1"/>
  <c r="Q324" i="28"/>
  <c r="U324" i="28" s="1"/>
  <c r="Q284" i="28"/>
  <c r="U284" i="28" s="1"/>
  <c r="Q511" i="28"/>
  <c r="U511" i="28" s="1"/>
  <c r="Q391" i="28"/>
  <c r="U391" i="28" s="1"/>
  <c r="Q436" i="28"/>
  <c r="U436" i="28" s="1"/>
  <c r="Q525" i="28"/>
  <c r="U525" i="28" s="1"/>
  <c r="Q217" i="28"/>
  <c r="U217" i="28" s="1"/>
  <c r="Q200" i="28"/>
  <c r="U200" i="28" s="1"/>
  <c r="Q460" i="28"/>
  <c r="U460" i="28" s="1"/>
  <c r="Q524" i="28"/>
  <c r="U524" i="28" s="1"/>
  <c r="Q512" i="28"/>
  <c r="U512" i="28" s="1"/>
  <c r="Q192" i="28"/>
  <c r="U192" i="28" s="1"/>
  <c r="Q118" i="28"/>
  <c r="U118" i="28" s="1"/>
  <c r="Q376" i="28"/>
  <c r="U376" i="28" s="1"/>
  <c r="Q230" i="28"/>
  <c r="U230" i="28" s="1"/>
  <c r="Q280" i="28"/>
  <c r="U280" i="28" s="1"/>
  <c r="Q282" i="28"/>
  <c r="U282" i="28" s="1"/>
  <c r="Q78" i="28"/>
  <c r="U78" i="28" s="1"/>
  <c r="Q74" i="28"/>
  <c r="U74" i="28" s="1"/>
  <c r="Q584" i="28"/>
  <c r="U584" i="28" s="1"/>
  <c r="Q361" i="28"/>
  <c r="U361" i="28" s="1"/>
  <c r="Q237" i="28"/>
  <c r="U237" i="28" s="1"/>
  <c r="Q15" i="28"/>
  <c r="U15" i="28" s="1"/>
  <c r="Q427" i="28"/>
  <c r="U427" i="28" s="1"/>
  <c r="Q209" i="28"/>
  <c r="U209" i="28" s="1"/>
  <c r="Q47" i="28"/>
  <c r="U47" i="28" s="1"/>
  <c r="Q582" i="28"/>
  <c r="U582" i="28" s="1"/>
  <c r="Q570" i="28"/>
  <c r="U570" i="28" s="1"/>
  <c r="Q355" i="28"/>
  <c r="U355" i="28" s="1"/>
  <c r="Q287" i="28"/>
  <c r="U287" i="28" s="1"/>
  <c r="Q431" i="28"/>
  <c r="U431" i="28" s="1"/>
  <c r="Q49" i="28"/>
  <c r="U49" i="28" s="1"/>
  <c r="Q488" i="28"/>
  <c r="U488" i="28" s="1"/>
  <c r="Q396" i="28"/>
  <c r="U396" i="28" s="1"/>
  <c r="Q193" i="28"/>
  <c r="U193" i="28" s="1"/>
  <c r="Q547" i="28"/>
  <c r="U547" i="28" s="1"/>
  <c r="Q489" i="28"/>
  <c r="U489" i="28" s="1"/>
  <c r="Q76" i="28"/>
  <c r="U76" i="28" s="1"/>
  <c r="Q234" i="28"/>
  <c r="U234" i="28" s="1"/>
  <c r="Q575" i="28"/>
  <c r="U575" i="28" s="1"/>
  <c r="Q137" i="28"/>
  <c r="U137" i="28" s="1"/>
  <c r="Q519" i="28"/>
  <c r="U519" i="28" s="1"/>
  <c r="Q143" i="28"/>
  <c r="U143" i="28" s="1"/>
  <c r="Q457" i="28"/>
  <c r="U457" i="28" s="1"/>
  <c r="Q418" i="28"/>
  <c r="U418" i="28" s="1"/>
  <c r="Q43" i="28"/>
  <c r="U43" i="28" s="1"/>
  <c r="Q86" i="28"/>
  <c r="U86" i="28" s="1"/>
  <c r="Q175" i="28"/>
  <c r="U175" i="28" s="1"/>
  <c r="Q387" i="28"/>
  <c r="U387" i="28" s="1"/>
  <c r="Q509" i="28"/>
  <c r="U509" i="28" s="1"/>
  <c r="Q190" i="28"/>
  <c r="U190" i="28" s="1"/>
  <c r="Q438" i="28"/>
  <c r="U438" i="28" s="1"/>
  <c r="Q428" i="28"/>
  <c r="U428" i="28" s="1"/>
  <c r="Q30" i="28"/>
  <c r="U30" i="28" s="1"/>
  <c r="Q536" i="28"/>
  <c r="U536" i="28" s="1"/>
  <c r="Q271" i="28"/>
  <c r="U271" i="28" s="1"/>
  <c r="Q177" i="28"/>
  <c r="U177" i="28" s="1"/>
  <c r="Q532" i="28"/>
  <c r="U532" i="28" s="1"/>
  <c r="Q365" i="28"/>
  <c r="U365" i="28" s="1"/>
  <c r="Q198" i="28"/>
  <c r="U198" i="28" s="1"/>
  <c r="Q472" i="28"/>
  <c r="U472" i="28" s="1"/>
  <c r="Q283" i="28"/>
  <c r="U283" i="28" s="1"/>
  <c r="Q115" i="28"/>
  <c r="U115" i="28" s="1"/>
  <c r="Q153" i="28"/>
  <c r="U153" i="28" s="1"/>
  <c r="Q406" i="28"/>
  <c r="U406" i="28" s="1"/>
  <c r="Q242" i="28"/>
  <c r="U242" i="28" s="1"/>
  <c r="Q419" i="28"/>
  <c r="U419" i="28" s="1"/>
  <c r="Q18" i="28"/>
  <c r="U18" i="28" s="1"/>
  <c r="Q319" i="28"/>
  <c r="U319" i="28" s="1"/>
  <c r="Q17" i="28"/>
  <c r="U17" i="28" s="1"/>
  <c r="Q23" i="28"/>
  <c r="U23" i="28" s="1"/>
  <c r="Q592" i="28"/>
  <c r="U592" i="28" s="1"/>
  <c r="Q379" i="28"/>
  <c r="U379" i="28" s="1"/>
  <c r="Q117" i="28"/>
  <c r="U117" i="28" s="1"/>
  <c r="Q333" i="28"/>
  <c r="U333" i="28" s="1"/>
  <c r="Q385" i="28"/>
  <c r="U385" i="28" s="1"/>
  <c r="Q46" i="28"/>
  <c r="U46" i="28" s="1"/>
  <c r="Q158" i="28"/>
  <c r="U158" i="28" s="1"/>
  <c r="Q629" i="28"/>
  <c r="U629" i="28" s="1"/>
  <c r="AS622" i="28"/>
  <c r="Q624" i="28"/>
  <c r="U624" i="28" s="1"/>
  <c r="Q625" i="28"/>
  <c r="U625" i="28" s="1"/>
  <c r="J622" i="28"/>
  <c r="M622" i="28" s="1"/>
  <c r="AL622" i="28"/>
  <c r="AK622" i="28"/>
  <c r="G637" i="28"/>
  <c r="D628" i="28"/>
  <c r="E628" i="28" s="1"/>
  <c r="AQ622" i="28"/>
  <c r="AR622" i="28"/>
  <c r="AO622" i="28"/>
  <c r="AN622" i="28"/>
  <c r="N623" i="28"/>
  <c r="B127" i="2"/>
  <c r="B115" i="2"/>
  <c r="B329" i="2"/>
  <c r="B335" i="2"/>
  <c r="B336" i="2" s="1"/>
  <c r="B333" i="2"/>
  <c r="L173" i="2"/>
  <c r="B178" i="2" s="1"/>
  <c r="K173" i="2"/>
  <c r="B306" i="2"/>
  <c r="B309" i="2"/>
  <c r="K174" i="2"/>
  <c r="L174" i="2"/>
  <c r="L175" i="2"/>
  <c r="K175" i="2"/>
  <c r="B221" i="2"/>
  <c r="B222" i="2" s="1"/>
  <c r="E53" i="1" s="1"/>
  <c r="B227" i="2"/>
  <c r="E55" i="1" s="1"/>
  <c r="H307" i="17"/>
  <c r="G309" i="17"/>
  <c r="H520" i="17"/>
  <c r="G300" i="17"/>
  <c r="H90" i="17"/>
  <c r="H312" i="17"/>
  <c r="H49" i="17"/>
  <c r="G206" i="17"/>
  <c r="H488" i="17"/>
  <c r="G299" i="17"/>
  <c r="G131" i="17"/>
  <c r="G189" i="17"/>
  <c r="G229" i="17"/>
  <c r="G125" i="17"/>
  <c r="G373" i="17"/>
  <c r="H436" i="17"/>
  <c r="G479" i="17"/>
  <c r="G545" i="17"/>
  <c r="G159" i="17"/>
  <c r="G574" i="17"/>
  <c r="H228" i="17"/>
  <c r="G348" i="17"/>
  <c r="H306" i="17"/>
  <c r="G418" i="17"/>
  <c r="G530" i="17"/>
  <c r="H370" i="17"/>
  <c r="H243" i="17"/>
  <c r="H179" i="17"/>
  <c r="H601" i="17"/>
  <c r="G481" i="17"/>
  <c r="G191" i="17"/>
  <c r="G571" i="17"/>
  <c r="G445" i="17"/>
  <c r="G22" i="17"/>
  <c r="H507" i="17"/>
  <c r="H122" i="17"/>
  <c r="H612" i="17"/>
  <c r="H14" i="17"/>
  <c r="G89" i="17"/>
  <c r="G529" i="17"/>
  <c r="H582" i="17"/>
  <c r="H604" i="17"/>
  <c r="G293" i="17"/>
  <c r="G514" i="17"/>
  <c r="H335" i="17"/>
  <c r="H588" i="17"/>
  <c r="H522" i="17"/>
  <c r="G447" i="17"/>
  <c r="G147" i="17"/>
  <c r="G15" i="17"/>
  <c r="G340" i="17"/>
  <c r="H469" i="17"/>
  <c r="H502" i="17"/>
  <c r="G329" i="17"/>
  <c r="H543" i="17"/>
  <c r="H452" i="17"/>
  <c r="G74" i="17"/>
  <c r="G375" i="17"/>
  <c r="G226" i="17"/>
  <c r="H115" i="17"/>
  <c r="G439" i="17"/>
  <c r="G364" i="17"/>
  <c r="H339" i="17"/>
  <c r="H575" i="17"/>
  <c r="H430" i="17"/>
  <c r="G139" i="17"/>
  <c r="H240" i="17"/>
  <c r="H354" i="17"/>
  <c r="H444" i="17"/>
  <c r="H251" i="17"/>
  <c r="H80" i="17"/>
  <c r="H155" i="17"/>
  <c r="H117" i="17"/>
  <c r="H56" i="17"/>
  <c r="H599" i="17"/>
  <c r="H218" i="17"/>
  <c r="H287" i="17"/>
  <c r="G430" i="17"/>
  <c r="G462" i="17"/>
  <c r="G535" i="17"/>
  <c r="G392" i="17"/>
  <c r="G573" i="17"/>
  <c r="H395" i="17"/>
  <c r="H440" i="17"/>
  <c r="H19" i="17"/>
  <c r="G488" i="17"/>
  <c r="H300" i="17"/>
  <c r="G337" i="17"/>
  <c r="G495" i="17"/>
  <c r="G527" i="17"/>
  <c r="G569" i="17"/>
  <c r="G607" i="17"/>
  <c r="G428" i="17"/>
  <c r="G609" i="17"/>
  <c r="H467" i="17"/>
  <c r="H250" i="17"/>
  <c r="H319" i="17"/>
  <c r="H17" i="17"/>
  <c r="G494" i="17"/>
  <c r="H516" i="17"/>
  <c r="G280" i="17"/>
  <c r="G461" i="17"/>
  <c r="G171" i="17"/>
  <c r="G497" i="17"/>
  <c r="G323" i="17"/>
  <c r="H380" i="17"/>
  <c r="H591" i="17"/>
  <c r="H163" i="17"/>
  <c r="G31" i="17"/>
  <c r="H383" i="17"/>
  <c r="H113" i="17"/>
  <c r="G590" i="17"/>
  <c r="H259" i="17"/>
  <c r="H489" i="17"/>
  <c r="H560" i="17"/>
  <c r="H166" i="17"/>
  <c r="H136" i="17"/>
  <c r="G220" i="17"/>
  <c r="H328" i="17"/>
  <c r="G322" i="17"/>
  <c r="G208" i="17"/>
  <c r="G211" i="17"/>
  <c r="H192" i="17"/>
  <c r="H165" i="17"/>
  <c r="G306" i="17"/>
  <c r="G496" i="17"/>
  <c r="H317" i="17"/>
  <c r="G40" i="17"/>
  <c r="H26" i="17"/>
  <c r="G127" i="17"/>
  <c r="H511" i="17"/>
  <c r="G242" i="17"/>
  <c r="G192" i="17"/>
  <c r="G349" i="17"/>
  <c r="G217" i="17"/>
  <c r="G570" i="17"/>
  <c r="H190" i="17"/>
  <c r="H429" i="17"/>
  <c r="H378" i="17"/>
  <c r="H326" i="17"/>
  <c r="H211" i="17"/>
  <c r="H79" i="17"/>
  <c r="G163" i="17"/>
  <c r="G419" i="17"/>
  <c r="G553" i="17"/>
  <c r="G388" i="17"/>
  <c r="H387" i="17"/>
  <c r="G421" i="17"/>
  <c r="G253" i="17"/>
  <c r="H39" i="17"/>
  <c r="H58" i="17"/>
  <c r="G143" i="17"/>
  <c r="H527" i="17"/>
  <c r="H274" i="17"/>
  <c r="G603" i="17"/>
  <c r="H462" i="17"/>
  <c r="G105" i="17"/>
  <c r="H586" i="17"/>
  <c r="G243" i="17"/>
  <c r="G316" i="17"/>
  <c r="H584" i="17"/>
  <c r="G58" i="17"/>
  <c r="H468" i="17"/>
  <c r="H552" i="17"/>
  <c r="G165" i="17"/>
  <c r="G134" i="17"/>
  <c r="H185" i="17"/>
  <c r="G520" i="17"/>
  <c r="H341" i="17"/>
  <c r="G136" i="17"/>
  <c r="G515" i="17"/>
  <c r="H340" i="17"/>
  <c r="H374" i="17"/>
  <c r="H573" i="17"/>
  <c r="G61" i="17"/>
  <c r="G391" i="17"/>
  <c r="H410" i="17"/>
  <c r="G83" i="17"/>
  <c r="H154" i="17"/>
  <c r="G47" i="17"/>
  <c r="G207" i="17"/>
  <c r="H399" i="17"/>
  <c r="G302" i="17"/>
  <c r="H241" i="17"/>
  <c r="H530" i="17"/>
  <c r="H605" i="17"/>
  <c r="H524" i="17"/>
  <c r="H195" i="17"/>
  <c r="G174" i="17"/>
  <c r="H473" i="17"/>
  <c r="H212" i="17"/>
  <c r="H528" i="17"/>
  <c r="H265" i="17"/>
  <c r="H134" i="17"/>
  <c r="H89" i="17"/>
  <c r="H168" i="17"/>
  <c r="G86" i="17"/>
  <c r="H348" i="17"/>
  <c r="G53" i="17"/>
  <c r="G279" i="17"/>
  <c r="G252" i="17"/>
  <c r="G365" i="17"/>
  <c r="G464" i="17"/>
  <c r="E380" i="2"/>
  <c r="H194" i="17"/>
  <c r="G426" i="17"/>
  <c r="H471" i="17"/>
  <c r="H226" i="17"/>
  <c r="H336" i="17"/>
  <c r="H28" i="17"/>
  <c r="G336" i="17"/>
  <c r="G429" i="17"/>
  <c r="H556" i="17"/>
  <c r="G358" i="17"/>
  <c r="H533" i="17"/>
  <c r="G584" i="17"/>
  <c r="H181" i="17"/>
  <c r="G35" i="17"/>
  <c r="H311" i="17"/>
  <c r="G60" i="17"/>
  <c r="H32" i="17"/>
  <c r="G436" i="17"/>
  <c r="H71" i="17"/>
  <c r="H123" i="17"/>
  <c r="H486" i="17"/>
  <c r="H501" i="17"/>
  <c r="H176" i="17"/>
  <c r="H456" i="17"/>
  <c r="H121" i="17"/>
  <c r="G611" i="17"/>
  <c r="G92" i="17"/>
  <c r="H532" i="17"/>
  <c r="G544" i="17"/>
  <c r="H470" i="17"/>
  <c r="H213" i="17"/>
  <c r="G284" i="17"/>
  <c r="H365" i="17"/>
  <c r="G109" i="17"/>
  <c r="H104" i="17"/>
  <c r="G465" i="17"/>
  <c r="G232" i="17"/>
  <c r="G13" i="17"/>
  <c r="G354" i="17"/>
  <c r="G179" i="17"/>
  <c r="H62" i="17"/>
  <c r="H130" i="17"/>
  <c r="H198" i="17"/>
  <c r="G203" i="17"/>
  <c r="H459" i="17"/>
  <c r="G378" i="17"/>
  <c r="G138" i="17"/>
  <c r="G313" i="17"/>
  <c r="H23" i="17"/>
  <c r="H280" i="17"/>
  <c r="H594" i="17"/>
  <c r="G477" i="17"/>
  <c r="G605" i="17"/>
  <c r="H116" i="17"/>
  <c r="H244" i="17"/>
  <c r="G121" i="17"/>
  <c r="G249" i="17"/>
  <c r="H377" i="17"/>
  <c r="H505" i="17"/>
  <c r="G296" i="17"/>
  <c r="G424" i="17"/>
  <c r="H237" i="17"/>
  <c r="G238" i="17"/>
  <c r="H494" i="17"/>
  <c r="G413" i="17"/>
  <c r="G556" i="17"/>
  <c r="G68" i="17"/>
  <c r="H580" i="17"/>
  <c r="G599" i="17"/>
  <c r="G140" i="17"/>
  <c r="G315" i="17"/>
  <c r="H384" i="17"/>
  <c r="G128" i="17"/>
  <c r="H127" i="17"/>
  <c r="G558" i="17"/>
  <c r="G417" i="17"/>
  <c r="H498" i="17"/>
  <c r="H182" i="17"/>
  <c r="H626" i="17"/>
  <c r="G71" i="17"/>
  <c r="G167" i="17"/>
  <c r="H283" i="17"/>
  <c r="H60" i="17"/>
  <c r="G400" i="17"/>
  <c r="G608" i="17"/>
  <c r="G347" i="17"/>
  <c r="H567" i="17"/>
  <c r="B381" i="2"/>
  <c r="B383" i="2" s="1"/>
  <c r="B93" i="1" s="1"/>
  <c r="H550" i="17"/>
  <c r="G268" i="17"/>
  <c r="H178" i="17"/>
  <c r="H197" i="17"/>
  <c r="H199" i="17"/>
  <c r="H517" i="17"/>
  <c r="G361" i="17"/>
  <c r="G591" i="17"/>
  <c r="H358" i="17"/>
  <c r="H437" i="17"/>
  <c r="H112" i="17"/>
  <c r="G264" i="17"/>
  <c r="G370" i="17"/>
  <c r="G547" i="17"/>
  <c r="H219" i="17"/>
  <c r="H404" i="17"/>
  <c r="G512" i="17"/>
  <c r="H406" i="17"/>
  <c r="H149" i="17"/>
  <c r="H589" i="17"/>
  <c r="H333" i="17"/>
  <c r="G77" i="17"/>
  <c r="H72" i="17"/>
  <c r="G423" i="17"/>
  <c r="G104" i="17"/>
  <c r="H474" i="17"/>
  <c r="G290" i="17"/>
  <c r="G115" i="17"/>
  <c r="H18" i="17"/>
  <c r="H146" i="17"/>
  <c r="H230" i="17"/>
  <c r="G235" i="17"/>
  <c r="H491" i="17"/>
  <c r="G410" i="17"/>
  <c r="G202" i="17"/>
  <c r="G377" i="17"/>
  <c r="H87" i="17"/>
  <c r="H344" i="17"/>
  <c r="G287" i="17"/>
  <c r="G493" i="17"/>
  <c r="H603" i="17"/>
  <c r="H132" i="17"/>
  <c r="H260" i="17"/>
  <c r="G137" i="17"/>
  <c r="G265" i="17"/>
  <c r="H393" i="17"/>
  <c r="H521" i="17"/>
  <c r="G312" i="17"/>
  <c r="G440" i="17"/>
  <c r="G14" i="17"/>
  <c r="H270" i="17"/>
  <c r="H526" i="17"/>
  <c r="G444" i="17"/>
  <c r="G572" i="17"/>
  <c r="G132" i="17"/>
  <c r="G307" i="17"/>
  <c r="G588" i="17"/>
  <c r="G204" i="17"/>
  <c r="G379" i="17"/>
  <c r="H352" i="17"/>
  <c r="G96" i="17"/>
  <c r="H95" i="17"/>
  <c r="G542" i="17"/>
  <c r="G385" i="17"/>
  <c r="H466" i="17"/>
  <c r="G210" i="17"/>
  <c r="H209" i="17"/>
  <c r="G414" i="17"/>
  <c r="G286" i="17"/>
  <c r="H495" i="17"/>
  <c r="H367" i="17"/>
  <c r="G239" i="17"/>
  <c r="G111" i="17"/>
  <c r="H234" i="17"/>
  <c r="G594" i="17"/>
  <c r="G281" i="17"/>
  <c r="H204" i="17"/>
  <c r="H423" i="17"/>
  <c r="G266" i="17"/>
  <c r="G65" i="17"/>
  <c r="G432" i="17"/>
  <c r="H227" i="17"/>
  <c r="G240" i="17"/>
  <c r="H503" i="17"/>
  <c r="H485" i="17"/>
  <c r="H144" i="17"/>
  <c r="H477" i="17"/>
  <c r="H210" i="17"/>
  <c r="H357" i="17"/>
  <c r="H314" i="17"/>
  <c r="H389" i="17"/>
  <c r="G402" i="17"/>
  <c r="H564" i="17"/>
  <c r="G230" i="17"/>
  <c r="H309" i="17"/>
  <c r="H48" i="17"/>
  <c r="H263" i="17"/>
  <c r="H579" i="17"/>
  <c r="G483" i="17"/>
  <c r="H91" i="17"/>
  <c r="H276" i="17"/>
  <c r="G480" i="17"/>
  <c r="H342" i="17"/>
  <c r="H85" i="17"/>
  <c r="H557" i="17"/>
  <c r="H301" i="17"/>
  <c r="G45" i="17"/>
  <c r="H40" i="17"/>
  <c r="G359" i="17"/>
  <c r="H231" i="17"/>
  <c r="H346" i="17"/>
  <c r="H563" i="17"/>
  <c r="G51" i="17"/>
  <c r="H34" i="17"/>
  <c r="G623" i="17"/>
  <c r="H262" i="17"/>
  <c r="H267" i="17"/>
  <c r="H523" i="17"/>
  <c r="G442" i="17"/>
  <c r="H266" i="17"/>
  <c r="G441" i="17"/>
  <c r="H151" i="17"/>
  <c r="H400" i="17"/>
  <c r="G319" i="17"/>
  <c r="G509" i="17"/>
  <c r="H20" i="17"/>
  <c r="H148" i="17"/>
  <c r="G25" i="17"/>
  <c r="G153" i="17"/>
  <c r="H281" i="17"/>
  <c r="H409" i="17"/>
  <c r="H537" i="17"/>
  <c r="G328" i="17"/>
  <c r="H45" i="17"/>
  <c r="G46" i="17"/>
  <c r="H302" i="17"/>
  <c r="H558" i="17"/>
  <c r="G460" i="17"/>
  <c r="G592" i="17"/>
  <c r="G196" i="17"/>
  <c r="G371" i="17"/>
  <c r="H602" i="17"/>
  <c r="H268" i="17"/>
  <c r="G443" i="17"/>
  <c r="H320" i="17"/>
  <c r="G64" i="17"/>
  <c r="H63" i="17"/>
  <c r="G526" i="17"/>
  <c r="G353" i="17"/>
  <c r="H434" i="17"/>
  <c r="G178" i="17"/>
  <c r="H177" i="17"/>
  <c r="G398" i="17"/>
  <c r="G270" i="17"/>
  <c r="H479" i="17"/>
  <c r="H351" i="17"/>
  <c r="H497" i="17"/>
  <c r="H273" i="17"/>
  <c r="G438" i="17"/>
  <c r="G394" i="17"/>
  <c r="G129" i="17"/>
  <c r="G62" i="17"/>
  <c r="G100" i="17"/>
  <c r="H239" i="17"/>
  <c r="H258" i="17"/>
  <c r="H454" i="17"/>
  <c r="H392" i="17"/>
  <c r="H88" i="17"/>
  <c r="G23" i="17"/>
  <c r="G467" i="17"/>
  <c r="G188" i="17"/>
  <c r="G133" i="17"/>
  <c r="H483" i="17"/>
  <c r="H308" i="17"/>
  <c r="G102" i="17"/>
  <c r="G245" i="17"/>
  <c r="G601" i="17"/>
  <c r="H613" i="17"/>
  <c r="H451" i="17"/>
  <c r="G395" i="17"/>
  <c r="G596" i="17"/>
  <c r="G148" i="17"/>
  <c r="G448" i="17"/>
  <c r="H278" i="17"/>
  <c r="H21" i="17"/>
  <c r="H525" i="17"/>
  <c r="H269" i="17"/>
  <c r="H264" i="17"/>
  <c r="H611" i="17"/>
  <c r="G295" i="17"/>
  <c r="H103" i="17"/>
  <c r="G218" i="17"/>
  <c r="H499" i="17"/>
  <c r="H174" i="17"/>
  <c r="H50" i="17"/>
  <c r="H38" i="17"/>
  <c r="G43" i="17"/>
  <c r="H299" i="17"/>
  <c r="H555" i="17"/>
  <c r="H73" i="17"/>
  <c r="H330" i="17"/>
  <c r="G474" i="17"/>
  <c r="H215" i="17"/>
  <c r="H432" i="17"/>
  <c r="G351" i="17"/>
  <c r="G525" i="17"/>
  <c r="H36" i="17"/>
  <c r="H164" i="17"/>
  <c r="G41" i="17"/>
  <c r="G169" i="17"/>
  <c r="H297" i="17"/>
  <c r="H425" i="17"/>
  <c r="H553" i="17"/>
  <c r="G344" i="17"/>
  <c r="H77" i="17"/>
  <c r="G78" i="17"/>
  <c r="H334" i="17"/>
  <c r="H590" i="17"/>
  <c r="G476" i="17"/>
  <c r="H609" i="17"/>
  <c r="G260" i="17"/>
  <c r="G435" i="17"/>
  <c r="H75" i="17"/>
  <c r="H332" i="17"/>
  <c r="G475" i="17"/>
  <c r="H288" i="17"/>
  <c r="G32" i="17"/>
  <c r="H31" i="17"/>
  <c r="G510" i="17"/>
  <c r="G321" i="17"/>
  <c r="H402" i="17"/>
  <c r="G146" i="17"/>
  <c r="H145" i="17"/>
  <c r="G382" i="17"/>
  <c r="H592" i="17"/>
  <c r="H44" i="17"/>
  <c r="G548" i="17"/>
  <c r="G158" i="17"/>
  <c r="G194" i="17"/>
  <c r="G458" i="17"/>
  <c r="G161" i="17"/>
  <c r="G190" i="17"/>
  <c r="G403" i="17"/>
  <c r="H111" i="17"/>
  <c r="H275" i="17"/>
  <c r="G531" i="17"/>
  <c r="G425" i="17"/>
  <c r="G449" i="17"/>
  <c r="G55" i="17"/>
  <c r="H30" i="17"/>
  <c r="H59" i="17"/>
  <c r="H607" i="17"/>
  <c r="H128" i="17"/>
  <c r="H142" i="17"/>
  <c r="G52" i="17"/>
  <c r="H101" i="17"/>
  <c r="G181" i="17"/>
  <c r="G537" i="17"/>
  <c r="G498" i="17"/>
  <c r="H323" i="17"/>
  <c r="G267" i="17"/>
  <c r="G575" i="17"/>
  <c r="G20" i="17"/>
  <c r="G389" i="17"/>
  <c r="G214" i="17"/>
  <c r="G412" i="17"/>
  <c r="H493" i="17"/>
  <c r="G237" i="17"/>
  <c r="H232" i="17"/>
  <c r="G593" i="17"/>
  <c r="H568" i="17"/>
  <c r="G610" i="17"/>
  <c r="G90" i="17"/>
  <c r="H435" i="17"/>
  <c r="H46" i="17"/>
  <c r="H66" i="17"/>
  <c r="H70" i="17"/>
  <c r="G75" i="17"/>
  <c r="H331" i="17"/>
  <c r="H587" i="17"/>
  <c r="H137" i="17"/>
  <c r="H394" i="17"/>
  <c r="G506" i="17"/>
  <c r="G24" i="17"/>
  <c r="H464" i="17"/>
  <c r="G383" i="17"/>
  <c r="G541" i="17"/>
  <c r="H52" i="17"/>
  <c r="H180" i="17"/>
  <c r="G57" i="17"/>
  <c r="G185" i="17"/>
  <c r="H313" i="17"/>
  <c r="H441" i="17"/>
  <c r="H569" i="17"/>
  <c r="G360" i="17"/>
  <c r="H109" i="17"/>
  <c r="G110" i="17"/>
  <c r="H366" i="17"/>
  <c r="G285" i="17"/>
  <c r="G492" i="17"/>
  <c r="H67" i="17"/>
  <c r="H324" i="17"/>
  <c r="G471" i="17"/>
  <c r="H139" i="17"/>
  <c r="H396" i="17"/>
  <c r="G507" i="17"/>
  <c r="G256" i="17"/>
  <c r="H255" i="17"/>
  <c r="H292" i="17"/>
  <c r="G36" i="17"/>
  <c r="G580" i="17"/>
  <c r="H37" i="17"/>
  <c r="G258" i="17"/>
  <c r="G56" i="17"/>
  <c r="H417" i="17"/>
  <c r="G254" i="17"/>
  <c r="G551" i="17"/>
  <c r="G273" i="17"/>
  <c r="G450" i="17"/>
  <c r="H390" i="17"/>
  <c r="G28" i="17"/>
  <c r="H536" i="17"/>
  <c r="G183" i="17"/>
  <c r="G585" i="17"/>
  <c r="G472" i="17"/>
  <c r="G116" i="17"/>
  <c r="H595" i="17"/>
  <c r="G499" i="17"/>
  <c r="H51" i="17"/>
  <c r="G420" i="17"/>
  <c r="G117" i="17"/>
  <c r="G473" i="17"/>
  <c r="G297" i="17"/>
  <c r="G195" i="17"/>
  <c r="H476" i="17"/>
  <c r="G511" i="17"/>
  <c r="H147" i="17"/>
  <c r="G325" i="17"/>
  <c r="G150" i="17"/>
  <c r="G380" i="17"/>
  <c r="H461" i="17"/>
  <c r="G205" i="17"/>
  <c r="H200" i="17"/>
  <c r="G561" i="17"/>
  <c r="H504" i="17"/>
  <c r="G546" i="17"/>
  <c r="H217" i="17"/>
  <c r="H371" i="17"/>
  <c r="H254" i="17"/>
  <c r="H82" i="17"/>
  <c r="H102" i="17"/>
  <c r="G107" i="17"/>
  <c r="H363" i="17"/>
  <c r="G282" i="17"/>
  <c r="H201" i="17"/>
  <c r="H458" i="17"/>
  <c r="G538" i="17"/>
  <c r="G88" i="17"/>
  <c r="H496" i="17"/>
  <c r="G415" i="17"/>
  <c r="G557" i="17"/>
  <c r="H68" i="17"/>
  <c r="H196" i="17"/>
  <c r="G73" i="17"/>
  <c r="G201" i="17"/>
  <c r="H329" i="17"/>
  <c r="H457" i="17"/>
  <c r="H585" i="17"/>
  <c r="G376" i="17"/>
  <c r="H141" i="17"/>
  <c r="G142" i="17"/>
  <c r="H398" i="17"/>
  <c r="G317" i="17"/>
  <c r="G508" i="17"/>
  <c r="H131" i="17"/>
  <c r="H388" i="17"/>
  <c r="G503" i="17"/>
  <c r="H203" i="17"/>
  <c r="H460" i="17"/>
  <c r="G539" i="17"/>
  <c r="G224" i="17"/>
  <c r="H223" i="17"/>
  <c r="G606" i="17"/>
  <c r="G478" i="17"/>
  <c r="H598" i="17"/>
  <c r="H338" i="17"/>
  <c r="G82" i="17"/>
  <c r="H81" i="17"/>
  <c r="G350" i="17"/>
  <c r="H559" i="17"/>
  <c r="H431" i="17"/>
  <c r="H303" i="17"/>
  <c r="G175" i="17"/>
  <c r="H500" i="17"/>
  <c r="G372" i="17"/>
  <c r="H355" i="17"/>
  <c r="G341" i="17"/>
  <c r="G213" i="17"/>
  <c r="G562" i="17"/>
  <c r="G331" i="17"/>
  <c r="G84" i="17"/>
  <c r="G246" i="17"/>
  <c r="H509" i="17"/>
  <c r="H248" i="17"/>
  <c r="H610" i="17"/>
  <c r="G154" i="17"/>
  <c r="H110" i="17"/>
  <c r="H170" i="17"/>
  <c r="G63" i="17"/>
  <c r="G223" i="17"/>
  <c r="H415" i="17"/>
  <c r="G318" i="17"/>
  <c r="G18" i="17"/>
  <c r="H562" i="17"/>
  <c r="H159" i="17"/>
  <c r="G76" i="17"/>
  <c r="G540" i="17"/>
  <c r="H205" i="17"/>
  <c r="H361" i="17"/>
  <c r="H100" i="17"/>
  <c r="G216" i="17"/>
  <c r="G346" i="17"/>
  <c r="H114" i="17"/>
  <c r="G393" i="17"/>
  <c r="G141" i="17"/>
  <c r="H534" i="17"/>
  <c r="H78" i="17"/>
  <c r="H565" i="17"/>
  <c r="H261" i="17"/>
  <c r="H581" i="17"/>
  <c r="H574" i="17"/>
  <c r="H27" i="17"/>
  <c r="H448" i="17"/>
  <c r="G276" i="17"/>
  <c r="G466" i="17"/>
  <c r="H453" i="17"/>
  <c r="G563" i="17"/>
  <c r="H422" i="17"/>
  <c r="G85" i="17"/>
  <c r="H506" i="17"/>
  <c r="H412" i="17"/>
  <c r="H83" i="17"/>
  <c r="G118" i="17"/>
  <c r="H445" i="17"/>
  <c r="H184" i="17"/>
  <c r="H472" i="17"/>
  <c r="H153" i="17"/>
  <c r="H222" i="17"/>
  <c r="H186" i="17"/>
  <c r="G79" i="17"/>
  <c r="G255" i="17"/>
  <c r="H447" i="17"/>
  <c r="G334" i="17"/>
  <c r="G50" i="17"/>
  <c r="G289" i="17"/>
  <c r="H191" i="17"/>
  <c r="G626" i="17"/>
  <c r="G524" i="17"/>
  <c r="H173" i="17"/>
  <c r="H345" i="17"/>
  <c r="H84" i="17"/>
  <c r="G152" i="17"/>
  <c r="G314" i="17"/>
  <c r="H98" i="17"/>
  <c r="G482" i="17"/>
  <c r="G173" i="17"/>
  <c r="H606" i="17"/>
  <c r="G67" i="17"/>
  <c r="G292" i="17"/>
  <c r="G568" i="17"/>
  <c r="H279" i="17"/>
  <c r="G311" i="17"/>
  <c r="H513" i="17"/>
  <c r="H105" i="17"/>
  <c r="G521" i="17"/>
  <c r="G457" i="17"/>
  <c r="H291" i="17"/>
  <c r="G197" i="17"/>
  <c r="H508" i="17"/>
  <c r="G166" i="17"/>
  <c r="H208" i="17"/>
  <c r="H249" i="17"/>
  <c r="G156" i="17"/>
  <c r="G560" i="17"/>
  <c r="H245" i="17"/>
  <c r="H381" i="17"/>
  <c r="H120" i="17"/>
  <c r="H296" i="17"/>
  <c r="G386" i="17"/>
  <c r="H94" i="17"/>
  <c r="H202" i="17"/>
  <c r="G95" i="17"/>
  <c r="H271" i="17"/>
  <c r="H463" i="17"/>
  <c r="G366" i="17"/>
  <c r="G114" i="17"/>
  <c r="G446" i="17"/>
  <c r="G160" i="17"/>
  <c r="G567" i="17"/>
  <c r="G381" i="17"/>
  <c r="G408" i="17"/>
  <c r="G233" i="17"/>
  <c r="G589" i="17"/>
  <c r="G602" i="17"/>
  <c r="H427" i="17"/>
  <c r="H126" i="17"/>
  <c r="H360" i="17"/>
  <c r="H397" i="17"/>
  <c r="G576" i="17"/>
  <c r="G122" i="17"/>
  <c r="G405" i="17"/>
  <c r="G37" i="17"/>
  <c r="G215" i="17"/>
  <c r="G387" i="17"/>
  <c r="H481" i="17"/>
  <c r="G485" i="17"/>
  <c r="H158" i="2"/>
  <c r="E38" i="1"/>
  <c r="G356" i="17"/>
  <c r="G277" i="17"/>
  <c r="G463" i="17"/>
  <c r="G227" i="17"/>
  <c r="G489" i="17"/>
  <c r="G308" i="17"/>
  <c r="G291" i="17"/>
  <c r="G343" i="17"/>
  <c r="G244" i="17"/>
  <c r="G536" i="17"/>
  <c r="G404" i="17"/>
  <c r="G247" i="17"/>
  <c r="H242" i="17"/>
  <c r="H403" i="17"/>
  <c r="G577" i="17"/>
  <c r="G396" i="17"/>
  <c r="G543" i="17"/>
  <c r="G505" i="17"/>
  <c r="G355" i="17"/>
  <c r="H372" i="17"/>
  <c r="G559" i="17"/>
  <c r="H206" i="17"/>
  <c r="H106" i="17"/>
  <c r="G294" i="17"/>
  <c r="H482" i="17"/>
  <c r="G112" i="17"/>
  <c r="H428" i="17"/>
  <c r="G487" i="17"/>
  <c r="H99" i="17"/>
  <c r="G301" i="17"/>
  <c r="G126" i="17"/>
  <c r="G368" i="17"/>
  <c r="H449" i="17"/>
  <c r="G97" i="17"/>
  <c r="G517" i="17"/>
  <c r="H183" i="17"/>
  <c r="H539" i="17"/>
  <c r="H143" i="17"/>
  <c r="G66" i="17"/>
  <c r="G103" i="17"/>
  <c r="H277" i="17"/>
  <c r="H418" i="17"/>
  <c r="G452" i="17"/>
  <c r="H140" i="17"/>
  <c r="H118" i="17"/>
  <c r="H478" i="17"/>
  <c r="G427" i="17"/>
  <c r="G491" i="17"/>
  <c r="G26" i="17"/>
  <c r="H216" i="17"/>
  <c r="G182" i="17"/>
  <c r="H540" i="17"/>
  <c r="G149" i="17"/>
  <c r="G99" i="17"/>
  <c r="H424" i="17"/>
  <c r="G70" i="17"/>
  <c r="H566" i="17"/>
  <c r="G135" i="17"/>
  <c r="G422" i="17"/>
  <c r="G401" i="17"/>
  <c r="H368" i="17"/>
  <c r="G172" i="17"/>
  <c r="G275" i="17"/>
  <c r="G564" i="17"/>
  <c r="H510" i="17"/>
  <c r="H253" i="17"/>
  <c r="G304" i="17"/>
  <c r="H385" i="17"/>
  <c r="G33" i="17"/>
  <c r="G453" i="17"/>
  <c r="G345" i="17"/>
  <c r="G219" i="17"/>
  <c r="G598" i="17"/>
  <c r="G406" i="17"/>
  <c r="H282" i="17"/>
  <c r="G612" i="17"/>
  <c r="H47" i="17"/>
  <c r="G30" i="17"/>
  <c r="H512" i="17"/>
  <c r="G54" i="17"/>
  <c r="H369" i="17"/>
  <c r="G455" i="17"/>
  <c r="H561" i="17"/>
  <c r="H373" i="17"/>
  <c r="H229" i="17"/>
  <c r="G552" i="17"/>
  <c r="G124" i="17"/>
  <c r="G186" i="17"/>
  <c r="H256" i="17"/>
  <c r="G262" i="17"/>
  <c r="G363" i="17"/>
  <c r="H293" i="17"/>
  <c r="G338" i="17"/>
  <c r="H224" i="17"/>
  <c r="G151" i="17"/>
  <c r="H138" i="17"/>
  <c r="H538" i="17"/>
  <c r="G93" i="17"/>
  <c r="H438" i="17"/>
  <c r="G579" i="17"/>
  <c r="H405" i="17"/>
  <c r="H442" i="17"/>
  <c r="H421" i="17"/>
  <c r="G504" i="17"/>
  <c r="G332" i="17"/>
  <c r="G263" i="17"/>
  <c r="H97" i="17"/>
  <c r="G486" i="17"/>
  <c r="G587" i="17"/>
  <c r="G44" i="17"/>
  <c r="H484" i="17"/>
  <c r="G532" i="17"/>
  <c r="H446" i="17"/>
  <c r="H189" i="17"/>
  <c r="G272" i="17"/>
  <c r="H353" i="17"/>
  <c r="H156" i="17"/>
  <c r="G399" i="17"/>
  <c r="H426" i="17"/>
  <c r="G91" i="17"/>
  <c r="G433" i="17"/>
  <c r="G342" i="17"/>
  <c r="H167" i="17"/>
  <c r="H160" i="17"/>
  <c r="G101" i="17"/>
  <c r="H492" i="17"/>
  <c r="H29" i="17"/>
  <c r="H376" i="17"/>
  <c r="H290" i="17"/>
  <c r="G113" i="17"/>
  <c r="H35" i="17"/>
  <c r="G582" i="17"/>
  <c r="H518" i="17"/>
  <c r="G19" i="17"/>
  <c r="H549" i="17"/>
  <c r="G200" i="17"/>
  <c r="G198" i="17"/>
  <c r="G119" i="17"/>
  <c r="H74" i="17"/>
  <c r="G578" i="17"/>
  <c r="G221" i="17"/>
  <c r="G357" i="17"/>
  <c r="G259" i="17"/>
  <c r="G324" i="17"/>
  <c r="G407" i="17"/>
  <c r="H593" i="17"/>
  <c r="G72" i="17"/>
  <c r="G157" i="17"/>
  <c r="H375" i="17"/>
  <c r="H225" i="17"/>
  <c r="G550" i="17"/>
  <c r="G523" i="17"/>
  <c r="H171" i="17"/>
  <c r="H356" i="17"/>
  <c r="G500" i="17"/>
  <c r="H382" i="17"/>
  <c r="H125" i="17"/>
  <c r="H577" i="17"/>
  <c r="H321" i="17"/>
  <c r="H124" i="17"/>
  <c r="G335" i="17"/>
  <c r="H298" i="17"/>
  <c r="G27" i="17"/>
  <c r="G369" i="17"/>
  <c r="H519" i="17"/>
  <c r="H24" i="17"/>
  <c r="H316" i="17"/>
  <c r="H294" i="17"/>
  <c r="G236" i="17"/>
  <c r="H465" i="17"/>
  <c r="H119" i="17"/>
  <c r="G454" i="17"/>
  <c r="H576" i="17"/>
  <c r="G94" i="17"/>
  <c r="G484" i="17"/>
  <c r="G261" i="17"/>
  <c r="G437" i="17"/>
  <c r="H547" i="17"/>
  <c r="H69" i="17"/>
  <c r="H96" i="17"/>
  <c r="H572" i="17"/>
  <c r="H343" i="17"/>
  <c r="G87" i="17"/>
  <c r="H623" i="17"/>
  <c r="G168" i="17"/>
  <c r="H349" i="17"/>
  <c r="G528" i="17"/>
  <c r="G434" i="17"/>
  <c r="G38" i="17"/>
  <c r="G69" i="17"/>
  <c r="H570" i="17"/>
  <c r="G180" i="17"/>
  <c r="G513" i="17"/>
  <c r="H439" i="17"/>
  <c r="G98" i="17"/>
  <c r="H13" i="17"/>
  <c r="G459" i="17"/>
  <c r="H43" i="17"/>
  <c r="G228" i="17"/>
  <c r="G468" i="17"/>
  <c r="H318" i="17"/>
  <c r="H61" i="17"/>
  <c r="H545" i="17"/>
  <c r="H289" i="17"/>
  <c r="H92" i="17"/>
  <c r="H416" i="17"/>
  <c r="H41" i="17"/>
  <c r="H22" i="17"/>
  <c r="H578" i="17"/>
  <c r="H487" i="17"/>
  <c r="H310" i="17"/>
  <c r="H419" i="17"/>
  <c r="H158" i="17"/>
  <c r="G604" i="17"/>
  <c r="H401" i="17"/>
  <c r="H233" i="17"/>
  <c r="H600" i="17"/>
  <c r="G248" i="17"/>
  <c r="G533" i="17"/>
  <c r="H247" i="17"/>
  <c r="G184" i="17"/>
  <c r="H554" i="17"/>
  <c r="G330" i="17"/>
  <c r="G155" i="17"/>
  <c r="H272" i="17"/>
  <c r="H15" i="17"/>
  <c r="G305" i="17"/>
  <c r="G130" i="17"/>
  <c r="G374" i="17"/>
  <c r="H455" i="17"/>
  <c r="G39" i="17"/>
  <c r="G327" i="17"/>
  <c r="G212" i="17"/>
  <c r="G456" i="17"/>
  <c r="G595" i="17"/>
  <c r="H325" i="17"/>
  <c r="H327" i="17"/>
  <c r="G518" i="17"/>
  <c r="H235" i="17"/>
  <c r="G516" i="17"/>
  <c r="H157" i="17"/>
  <c r="H337" i="17"/>
  <c r="H76" i="17"/>
  <c r="G120" i="17"/>
  <c r="G298" i="17"/>
  <c r="G21" i="17"/>
  <c r="H175" i="17"/>
  <c r="G397" i="17"/>
  <c r="G241" i="17"/>
  <c r="H597" i="17"/>
  <c r="H284" i="17"/>
  <c r="G269" i="17"/>
  <c r="G490" i="17"/>
  <c r="H350" i="17"/>
  <c r="H305" i="17"/>
  <c r="G144" i="17"/>
  <c r="G566" i="17"/>
  <c r="H514" i="17"/>
  <c r="H257" i="17"/>
  <c r="G310" i="17"/>
  <c r="H391" i="17"/>
  <c r="H162" i="17"/>
  <c r="G29" i="17"/>
  <c r="G451" i="17"/>
  <c r="G274" i="17"/>
  <c r="G250" i="17"/>
  <c r="H608" i="17"/>
  <c r="G48" i="17"/>
  <c r="G519" i="17"/>
  <c r="G333" i="17"/>
  <c r="G384" i="17"/>
  <c r="G209" i="17"/>
  <c r="G565" i="17"/>
  <c r="G554" i="17"/>
  <c r="H379" i="17"/>
  <c r="H25" i="17"/>
  <c r="G283" i="17"/>
  <c r="G222" i="17"/>
  <c r="H236" i="17"/>
  <c r="G106" i="17"/>
  <c r="G326" i="17"/>
  <c r="G352" i="17"/>
  <c r="H315" i="17"/>
  <c r="G49" i="17"/>
  <c r="H407" i="17"/>
  <c r="G257" i="17"/>
  <c r="H252" i="17"/>
  <c r="G613" i="17"/>
  <c r="G271" i="17"/>
  <c r="H55" i="17"/>
  <c r="G170" i="17"/>
  <c r="H475" i="17"/>
  <c r="H214" i="17"/>
  <c r="G80" i="17"/>
  <c r="G534" i="17"/>
  <c r="H450" i="17"/>
  <c r="H193" i="17"/>
  <c r="G278" i="17"/>
  <c r="H359" i="17"/>
  <c r="H42" i="17"/>
  <c r="H285" i="17"/>
  <c r="H515" i="17"/>
  <c r="H64" i="17"/>
  <c r="G600" i="17"/>
  <c r="G390" i="17"/>
  <c r="H304" i="17"/>
  <c r="G339" i="17"/>
  <c r="H542" i="17"/>
  <c r="G320" i="17"/>
  <c r="G145" i="17"/>
  <c r="G501" i="17"/>
  <c r="G409" i="17"/>
  <c r="G251" i="17"/>
  <c r="G199" i="17"/>
  <c r="G108" i="17"/>
  <c r="H221" i="17"/>
  <c r="H108" i="17"/>
  <c r="G362" i="17"/>
  <c r="H546" i="17"/>
  <c r="H433" i="17"/>
  <c r="H54" i="17"/>
  <c r="G367" i="17"/>
  <c r="H93" i="17"/>
  <c r="G225" i="17"/>
  <c r="H220" i="17"/>
  <c r="G581" i="17"/>
  <c r="H544" i="17"/>
  <c r="G586" i="17"/>
  <c r="G42" i="17"/>
  <c r="H411" i="17"/>
  <c r="H150" i="17"/>
  <c r="G16" i="17"/>
  <c r="G502" i="17"/>
  <c r="H386" i="17"/>
  <c r="H129" i="17"/>
  <c r="H583" i="17"/>
  <c r="H295" i="17"/>
  <c r="H238" i="17"/>
  <c r="H541" i="17"/>
  <c r="H135" i="17"/>
  <c r="H133" i="17"/>
  <c r="H413" i="17"/>
  <c r="H161" i="17"/>
  <c r="G555" i="17"/>
  <c r="H420" i="17"/>
  <c r="H414" i="17"/>
  <c r="H596" i="17"/>
  <c r="G81" i="17"/>
  <c r="G431" i="17"/>
  <c r="H490" i="17"/>
  <c r="G123" i="17"/>
  <c r="H535" i="17"/>
  <c r="G583" i="17"/>
  <c r="G416" i="17"/>
  <c r="G597" i="17"/>
  <c r="H443" i="17"/>
  <c r="G176" i="17"/>
  <c r="G177" i="17"/>
  <c r="H152" i="17"/>
  <c r="H362" i="17"/>
  <c r="H571" i="17"/>
  <c r="G193" i="17"/>
  <c r="H188" i="17"/>
  <c r="G549" i="17"/>
  <c r="H480" i="17"/>
  <c r="G522" i="17"/>
  <c r="H169" i="17"/>
  <c r="H347" i="17"/>
  <c r="H86" i="17"/>
  <c r="H207" i="17"/>
  <c r="G470" i="17"/>
  <c r="H322" i="17"/>
  <c r="H65" i="17"/>
  <c r="H551" i="17"/>
  <c r="G231" i="17"/>
  <c r="H531" i="17"/>
  <c r="H53" i="17"/>
  <c r="H16" i="17"/>
  <c r="H187" i="17"/>
  <c r="H408" i="17"/>
  <c r="G162" i="17"/>
  <c r="G411" i="17"/>
  <c r="G164" i="17"/>
  <c r="H286" i="17"/>
  <c r="H529" i="17"/>
  <c r="G17" i="17"/>
  <c r="G303" i="17"/>
  <c r="G234" i="17"/>
  <c r="H246" i="17"/>
  <c r="H33" i="17"/>
  <c r="H548" i="17"/>
  <c r="G288" i="17"/>
  <c r="G469" i="17"/>
  <c r="G187" i="17"/>
  <c r="H364" i="17"/>
  <c r="H172" i="17"/>
  <c r="G34" i="17"/>
  <c r="G59" i="17"/>
  <c r="H107" i="17"/>
  <c r="B330" i="2"/>
  <c r="B95" i="2"/>
  <c r="D95" i="2"/>
  <c r="E36" i="1"/>
  <c r="E42" i="1"/>
  <c r="B201" i="2"/>
  <c r="L202" i="2" s="1"/>
  <c r="L203" i="2"/>
  <c r="K202" i="2"/>
  <c r="K197" i="2"/>
  <c r="K196" i="2"/>
  <c r="E78" i="1"/>
  <c r="H196" i="2"/>
  <c r="E46" i="1"/>
  <c r="BE463" i="28" l="1"/>
  <c r="BE426" i="28"/>
  <c r="BF501" i="28"/>
  <c r="AV149" i="28"/>
  <c r="AV490" i="28"/>
  <c r="AW490" i="28" s="1"/>
  <c r="AV20" i="28"/>
  <c r="AW20" i="28" s="1"/>
  <c r="AV501" i="28"/>
  <c r="AW501" i="28" s="1"/>
  <c r="BE490" i="28"/>
  <c r="BE20" i="28"/>
  <c r="BE149" i="28"/>
  <c r="Y126" i="33"/>
  <c r="AA126" i="33"/>
  <c r="AB126" i="33" s="1"/>
  <c r="AC126" i="33" s="1"/>
  <c r="AJ126" i="33"/>
  <c r="AK126" i="33" s="1"/>
  <c r="AN126" i="33"/>
  <c r="AD126" i="33"/>
  <c r="AE126" i="33" s="1"/>
  <c r="AF126" i="33" s="1"/>
  <c r="Q89" i="33"/>
  <c r="U83" i="33"/>
  <c r="AU83" i="33"/>
  <c r="AV83" i="33" s="1"/>
  <c r="S83" i="33"/>
  <c r="AI83" i="33" s="1"/>
  <c r="W83" i="33"/>
  <c r="X83" i="33" s="1"/>
  <c r="Y48" i="33"/>
  <c r="AS48" i="33"/>
  <c r="AD48" i="33"/>
  <c r="AE48" i="33" s="1"/>
  <c r="AF48" i="33" s="1"/>
  <c r="AW48" i="33"/>
  <c r="X154" i="33"/>
  <c r="AY154" i="33"/>
  <c r="W49" i="33"/>
  <c r="O49" i="33"/>
  <c r="AU136" i="33"/>
  <c r="AV136" i="33" s="1"/>
  <c r="AX136" i="33" s="1"/>
  <c r="BU136" i="33" s="1"/>
  <c r="V136" i="33"/>
  <c r="AG136" i="33"/>
  <c r="AH136" i="33" s="1"/>
  <c r="AL136" i="33"/>
  <c r="S136" i="33"/>
  <c r="W136" i="33"/>
  <c r="X61" i="33"/>
  <c r="AG61" i="33"/>
  <c r="AH61" i="33" s="1"/>
  <c r="AK61" i="33" s="1"/>
  <c r="AY61" i="33"/>
  <c r="W158" i="33"/>
  <c r="AG158" i="33"/>
  <c r="AH158" i="33" s="1"/>
  <c r="AU158" i="33"/>
  <c r="AV158" i="33" s="1"/>
  <c r="AX158" i="33" s="1"/>
  <c r="BU158" i="33" s="1"/>
  <c r="V158" i="33"/>
  <c r="AL158" i="33"/>
  <c r="S158" i="33"/>
  <c r="O191" i="33"/>
  <c r="W191" i="33"/>
  <c r="Y143" i="33"/>
  <c r="AJ143" i="33"/>
  <c r="AK143" i="33" s="1"/>
  <c r="AA143" i="33"/>
  <c r="AB143" i="33" s="1"/>
  <c r="AC143" i="33" s="1"/>
  <c r="AN143" i="33"/>
  <c r="AD143" i="33"/>
  <c r="AE143" i="33" s="1"/>
  <c r="AF143" i="33" s="1"/>
  <c r="Q101" i="33"/>
  <c r="AQ61" i="33"/>
  <c r="BC61" i="33"/>
  <c r="BV61" i="33" s="1"/>
  <c r="AL140" i="33"/>
  <c r="W140" i="33"/>
  <c r="V140" i="33"/>
  <c r="S140" i="33"/>
  <c r="AU140" i="33"/>
  <c r="AV140" i="33" s="1"/>
  <c r="AX140" i="33" s="1"/>
  <c r="BU140" i="33" s="1"/>
  <c r="AG140" i="33"/>
  <c r="AH140" i="33" s="1"/>
  <c r="AQ48" i="33"/>
  <c r="BC48" i="33"/>
  <c r="BV48" i="33" s="1"/>
  <c r="W166" i="33"/>
  <c r="Y149" i="33"/>
  <c r="AA149" i="33"/>
  <c r="AB149" i="33" s="1"/>
  <c r="AC149" i="33" s="1"/>
  <c r="AJ149" i="33"/>
  <c r="AK149" i="33" s="1"/>
  <c r="AN149" i="33"/>
  <c r="AD149" i="33"/>
  <c r="AE149" i="33" s="1"/>
  <c r="AF149" i="33" s="1"/>
  <c r="W51" i="33"/>
  <c r="O51" i="33"/>
  <c r="U51" i="33" s="1"/>
  <c r="Q17" i="33"/>
  <c r="V17" i="33" s="1"/>
  <c r="AP17" i="33"/>
  <c r="O150" i="33"/>
  <c r="AL151" i="33"/>
  <c r="AU151" i="33"/>
  <c r="AV151" i="33" s="1"/>
  <c r="AX151" i="33" s="1"/>
  <c r="BU151" i="33" s="1"/>
  <c r="W151" i="33"/>
  <c r="S151" i="33"/>
  <c r="O151" i="33"/>
  <c r="O147" i="33"/>
  <c r="O38" i="33"/>
  <c r="X62" i="33"/>
  <c r="AG62" i="33"/>
  <c r="AH62" i="33" s="1"/>
  <c r="AY62" i="33"/>
  <c r="AU181" i="33"/>
  <c r="AV181" i="33" s="1"/>
  <c r="AX181" i="33" s="1"/>
  <c r="BU181" i="33" s="1"/>
  <c r="O181" i="33"/>
  <c r="O171" i="33"/>
  <c r="V198" i="33"/>
  <c r="Q198" i="33"/>
  <c r="AG198" i="33"/>
  <c r="AH198" i="33" s="1"/>
  <c r="AL198" i="33"/>
  <c r="Y23" i="33"/>
  <c r="AD23" i="33"/>
  <c r="AE23" i="33" s="1"/>
  <c r="AF23" i="33" s="1"/>
  <c r="AS23" i="33"/>
  <c r="AT23" i="33" s="1"/>
  <c r="AW23" i="33"/>
  <c r="AX23" i="33" s="1"/>
  <c r="U109" i="33"/>
  <c r="O148" i="33"/>
  <c r="Q46" i="33"/>
  <c r="AP46" i="33" s="1"/>
  <c r="Y25" i="33"/>
  <c r="AD25" i="33"/>
  <c r="AE25" i="33" s="1"/>
  <c r="AF25" i="33" s="1"/>
  <c r="AS25" i="33"/>
  <c r="AW25" i="33"/>
  <c r="AX25" i="33" s="1"/>
  <c r="AA25" i="33"/>
  <c r="AB25" i="33" s="1"/>
  <c r="AC25" i="33" s="1"/>
  <c r="W68" i="33"/>
  <c r="X68" i="33" s="1"/>
  <c r="O160" i="33"/>
  <c r="AA48" i="33"/>
  <c r="AB48" i="33" s="1"/>
  <c r="AC48" i="33" s="1"/>
  <c r="AM66" i="33"/>
  <c r="BC66" i="33"/>
  <c r="BV66" i="33" s="1"/>
  <c r="Y22" i="33"/>
  <c r="AD22" i="33"/>
  <c r="AE22" i="33" s="1"/>
  <c r="AF22" i="33" s="1"/>
  <c r="AS22" i="33"/>
  <c r="AW22" i="33"/>
  <c r="AX22" i="33" s="1"/>
  <c r="AA22" i="33"/>
  <c r="AB22" i="33" s="1"/>
  <c r="AC22" i="33" s="1"/>
  <c r="O32" i="33"/>
  <c r="Q113" i="33"/>
  <c r="Y37" i="33"/>
  <c r="AS37" i="33"/>
  <c r="AT37" i="33" s="1"/>
  <c r="AD37" i="33"/>
  <c r="AE37" i="33" s="1"/>
  <c r="AF37" i="33" s="1"/>
  <c r="AW37" i="33"/>
  <c r="AX37" i="33" s="1"/>
  <c r="Q15" i="33"/>
  <c r="AP15" i="33" s="1"/>
  <c r="Q124" i="33"/>
  <c r="V124" i="33" s="1"/>
  <c r="AG124" i="33"/>
  <c r="AH124" i="33" s="1"/>
  <c r="AL124" i="33"/>
  <c r="AM80" i="33"/>
  <c r="BC80" i="33"/>
  <c r="BV80" i="33" s="1"/>
  <c r="Q64" i="33"/>
  <c r="R64" i="33" s="1"/>
  <c r="AP64" i="33" s="1"/>
  <c r="AQ64" i="33" s="1"/>
  <c r="AG64" i="33"/>
  <c r="AH64" i="33" s="1"/>
  <c r="AU64" i="33"/>
  <c r="AV64" i="33" s="1"/>
  <c r="R74" i="33"/>
  <c r="W74" i="33" s="1"/>
  <c r="X74" i="33" s="1"/>
  <c r="AG74" i="33"/>
  <c r="AH74" i="33" s="1"/>
  <c r="AU74" i="33"/>
  <c r="AV74" i="33" s="1"/>
  <c r="AK36" i="33"/>
  <c r="R108" i="33"/>
  <c r="AL108" i="33" s="1"/>
  <c r="AP108" i="33"/>
  <c r="AQ108" i="33" s="1"/>
  <c r="AT108" i="33" s="1"/>
  <c r="BT108" i="33" s="1"/>
  <c r="O174" i="33"/>
  <c r="X133" i="33"/>
  <c r="AY133" i="33"/>
  <c r="X126" i="33"/>
  <c r="Z126" i="33" s="1"/>
  <c r="AY126" i="33"/>
  <c r="X195" i="33"/>
  <c r="AY195" i="33"/>
  <c r="Y170" i="33"/>
  <c r="AJ170" i="33"/>
  <c r="AK170" i="33" s="1"/>
  <c r="AA170" i="33"/>
  <c r="AB170" i="33" s="1"/>
  <c r="AC170" i="33" s="1"/>
  <c r="AN170" i="33"/>
  <c r="AD170" i="33"/>
  <c r="AE170" i="33" s="1"/>
  <c r="AF170" i="33" s="1"/>
  <c r="AM70" i="33"/>
  <c r="BC70" i="33"/>
  <c r="BV70" i="33" s="1"/>
  <c r="V161" i="33"/>
  <c r="Q161" i="33"/>
  <c r="S161" i="33" s="1"/>
  <c r="AG161" i="33"/>
  <c r="AH161" i="33" s="1"/>
  <c r="U68" i="33"/>
  <c r="Y162" i="33"/>
  <c r="AJ162" i="33"/>
  <c r="AK162" i="33" s="1"/>
  <c r="AA162" i="33"/>
  <c r="AB162" i="33" s="1"/>
  <c r="AC162" i="33" s="1"/>
  <c r="AN162" i="33"/>
  <c r="AD162" i="33"/>
  <c r="AE162" i="33" s="1"/>
  <c r="AF162" i="33" s="1"/>
  <c r="AM190" i="33"/>
  <c r="BC190" i="33"/>
  <c r="BV190" i="33" s="1"/>
  <c r="Q76" i="33"/>
  <c r="R90" i="33"/>
  <c r="AG90" i="33"/>
  <c r="AH90" i="33" s="1"/>
  <c r="AP90" i="33"/>
  <c r="AQ90" i="33" s="1"/>
  <c r="AT90" i="33" s="1"/>
  <c r="BT90" i="33" s="1"/>
  <c r="AU90" i="33"/>
  <c r="AV90" i="33" s="1"/>
  <c r="W90" i="33"/>
  <c r="X90" i="33" s="1"/>
  <c r="V90" i="33"/>
  <c r="S90" i="33"/>
  <c r="AI90" i="33" s="1"/>
  <c r="Y26" i="33"/>
  <c r="AS26" i="33"/>
  <c r="AD26" i="33"/>
  <c r="AE26" i="33" s="1"/>
  <c r="AF26" i="33" s="1"/>
  <c r="AW26" i="33"/>
  <c r="AX26" i="33" s="1"/>
  <c r="AA26" i="33"/>
  <c r="AB26" i="33" s="1"/>
  <c r="AC26" i="33" s="1"/>
  <c r="Q67" i="33"/>
  <c r="O203" i="33"/>
  <c r="V32" i="33"/>
  <c r="Q32" i="33"/>
  <c r="AU32" i="33" s="1"/>
  <c r="AV32" i="33" s="1"/>
  <c r="V174" i="33"/>
  <c r="S174" i="33"/>
  <c r="Q174" i="33"/>
  <c r="AU174" i="33" s="1"/>
  <c r="AV174" i="33" s="1"/>
  <c r="AX174" i="33" s="1"/>
  <c r="BU174" i="33" s="1"/>
  <c r="AG174" i="33"/>
  <c r="AH174" i="33" s="1"/>
  <c r="Y200" i="33"/>
  <c r="AA200" i="33"/>
  <c r="AB200" i="33" s="1"/>
  <c r="AC200" i="33" s="1"/>
  <c r="AJ200" i="33"/>
  <c r="AK200" i="33" s="1"/>
  <c r="AN200" i="33"/>
  <c r="S124" i="33"/>
  <c r="AM195" i="33"/>
  <c r="BC195" i="33"/>
  <c r="BV195" i="33" s="1"/>
  <c r="Y103" i="33"/>
  <c r="AJ103" i="33"/>
  <c r="AK103" i="33" s="1"/>
  <c r="AA103" i="33"/>
  <c r="AB103" i="33" s="1"/>
  <c r="AC103" i="33" s="1"/>
  <c r="AN103" i="33"/>
  <c r="AW103" i="33"/>
  <c r="AX103" i="33" s="1"/>
  <c r="BU103" i="33" s="1"/>
  <c r="AU208" i="33"/>
  <c r="AV208" i="33" s="1"/>
  <c r="AX208" i="33" s="1"/>
  <c r="BU208" i="33" s="1"/>
  <c r="AL208" i="33"/>
  <c r="AU70" i="33"/>
  <c r="AV70" i="33" s="1"/>
  <c r="S122" i="33"/>
  <c r="AI122" i="33" s="1"/>
  <c r="V70" i="33"/>
  <c r="AL93" i="33"/>
  <c r="AU29" i="33"/>
  <c r="AV29" i="33" s="1"/>
  <c r="AP29" i="33"/>
  <c r="W91" i="33"/>
  <c r="X91" i="33" s="1"/>
  <c r="AL153" i="33"/>
  <c r="W153" i="33"/>
  <c r="R94" i="33"/>
  <c r="Y178" i="33"/>
  <c r="AJ178" i="33"/>
  <c r="AK178" i="33" s="1"/>
  <c r="AA178" i="33"/>
  <c r="AB178" i="33" s="1"/>
  <c r="AC178" i="33" s="1"/>
  <c r="AN178" i="33"/>
  <c r="AM126" i="33"/>
  <c r="BC126" i="33"/>
  <c r="BV126" i="33" s="1"/>
  <c r="AM149" i="33"/>
  <c r="AO149" i="33" s="1"/>
  <c r="BC149" i="33"/>
  <c r="BV149" i="33" s="1"/>
  <c r="AQ35" i="33"/>
  <c r="BC35" i="33"/>
  <c r="BV35" i="33" s="1"/>
  <c r="Y16" i="33"/>
  <c r="AD16" i="33"/>
  <c r="AE16" i="33" s="1"/>
  <c r="AF16" i="33" s="1"/>
  <c r="AS16" i="33"/>
  <c r="AW16" i="33"/>
  <c r="AX16" i="33" s="1"/>
  <c r="X10" i="33"/>
  <c r="Z10" i="33" s="1"/>
  <c r="AG10" i="33"/>
  <c r="AH10" i="33" s="1"/>
  <c r="AK10" i="33" s="1"/>
  <c r="AY10" i="33"/>
  <c r="Q171" i="33"/>
  <c r="AG171" i="33" s="1"/>
  <c r="AH171" i="33" s="1"/>
  <c r="O24" i="33"/>
  <c r="AU24" i="33"/>
  <c r="AV24" i="33" s="1"/>
  <c r="V191" i="33"/>
  <c r="Q191" i="33"/>
  <c r="AL191" i="33" s="1"/>
  <c r="S55" i="33"/>
  <c r="AI55" i="33" s="1"/>
  <c r="Q115" i="33"/>
  <c r="AU17" i="33"/>
  <c r="AV17" i="33" s="1"/>
  <c r="W117" i="33"/>
  <c r="X117" i="33" s="1"/>
  <c r="W149" i="33"/>
  <c r="W159" i="33"/>
  <c r="AM144" i="33"/>
  <c r="BC144" i="33"/>
  <c r="BV144" i="33" s="1"/>
  <c r="U84" i="33"/>
  <c r="Y18" i="33"/>
  <c r="AD18" i="33"/>
  <c r="AE18" i="33" s="1"/>
  <c r="AF18" i="33" s="1"/>
  <c r="AS18" i="33"/>
  <c r="AT18" i="33" s="1"/>
  <c r="AW18" i="33"/>
  <c r="Y131" i="33"/>
  <c r="AA131" i="33"/>
  <c r="AB131" i="33" s="1"/>
  <c r="AC131" i="33" s="1"/>
  <c r="AJ131" i="33"/>
  <c r="AK131" i="33" s="1"/>
  <c r="AN131" i="33"/>
  <c r="AO131" i="33" s="1"/>
  <c r="AM112" i="33"/>
  <c r="BC112" i="33"/>
  <c r="BV112" i="33" s="1"/>
  <c r="AQ47" i="33"/>
  <c r="BC47" i="33"/>
  <c r="BV47" i="33" s="1"/>
  <c r="Y144" i="33"/>
  <c r="AA144" i="33"/>
  <c r="AB144" i="33" s="1"/>
  <c r="AC144" i="33" s="1"/>
  <c r="AJ144" i="33"/>
  <c r="AK144" i="33" s="1"/>
  <c r="AN144" i="33"/>
  <c r="AO144" i="33" s="1"/>
  <c r="AM202" i="33"/>
  <c r="BC202" i="33"/>
  <c r="BV202" i="33" s="1"/>
  <c r="O37" i="33"/>
  <c r="Q39" i="33"/>
  <c r="AP39" i="33" s="1"/>
  <c r="W87" i="33"/>
  <c r="X87" i="33" s="1"/>
  <c r="X208" i="33"/>
  <c r="Z208" i="33" s="1"/>
  <c r="AY208" i="33"/>
  <c r="Q209" i="33"/>
  <c r="Q165" i="33"/>
  <c r="V165" i="33" s="1"/>
  <c r="AU165" i="33"/>
  <c r="AV165" i="33" s="1"/>
  <c r="AX165" i="33" s="1"/>
  <c r="BU165" i="33" s="1"/>
  <c r="W179" i="33"/>
  <c r="AL179" i="33"/>
  <c r="AU179" i="33"/>
  <c r="AV179" i="33" s="1"/>
  <c r="AX179" i="33" s="1"/>
  <c r="BU179" i="33" s="1"/>
  <c r="Q104" i="33"/>
  <c r="V206" i="33"/>
  <c r="Q206" i="33"/>
  <c r="AL206" i="33" s="1"/>
  <c r="AU206" i="33"/>
  <c r="AV206" i="33" s="1"/>
  <c r="AX206" i="33" s="1"/>
  <c r="BU206" i="33" s="1"/>
  <c r="AG206" i="33"/>
  <c r="AH206" i="33" s="1"/>
  <c r="W206" i="33"/>
  <c r="AU81" i="33"/>
  <c r="AV81" i="33" s="1"/>
  <c r="V167" i="33"/>
  <c r="S167" i="33"/>
  <c r="Q167" i="33"/>
  <c r="AG167" i="33" s="1"/>
  <c r="AH167" i="33" s="1"/>
  <c r="Q27" i="33"/>
  <c r="W27" i="33" s="1"/>
  <c r="AU167" i="33"/>
  <c r="AV167" i="33" s="1"/>
  <c r="AX167" i="33" s="1"/>
  <c r="BU167" i="33" s="1"/>
  <c r="W167" i="33"/>
  <c r="AL167" i="33"/>
  <c r="Y208" i="33"/>
  <c r="AJ208" i="33"/>
  <c r="AK208" i="33" s="1"/>
  <c r="AA208" i="33"/>
  <c r="AB208" i="33" s="1"/>
  <c r="AC208" i="33" s="1"/>
  <c r="AN208" i="33"/>
  <c r="AU162" i="33"/>
  <c r="AV162" i="33" s="1"/>
  <c r="AX162" i="33" s="1"/>
  <c r="BU162" i="33" s="1"/>
  <c r="AL162" i="33"/>
  <c r="Q9" i="33"/>
  <c r="S60" i="33"/>
  <c r="AI60" i="33" s="1"/>
  <c r="Q60" i="33"/>
  <c r="AU60" i="33" s="1"/>
  <c r="AV60" i="33" s="1"/>
  <c r="AP60" i="33"/>
  <c r="R82" i="33"/>
  <c r="W82" i="33" s="1"/>
  <c r="X82" i="33" s="1"/>
  <c r="V122" i="33"/>
  <c r="AG82" i="33"/>
  <c r="AH82" i="33" s="1"/>
  <c r="S93" i="33"/>
  <c r="AI93" i="33" s="1"/>
  <c r="R95" i="33"/>
  <c r="AG95" i="33" s="1"/>
  <c r="AH95" i="33" s="1"/>
  <c r="AP95" i="33"/>
  <c r="AQ95" i="33" s="1"/>
  <c r="AT95" i="33" s="1"/>
  <c r="BT95" i="33" s="1"/>
  <c r="Y58" i="33"/>
  <c r="AD58" i="33"/>
  <c r="AE58" i="33" s="1"/>
  <c r="AF58" i="33" s="1"/>
  <c r="AS58" i="33"/>
  <c r="AT58" i="33" s="1"/>
  <c r="AW58" i="33"/>
  <c r="AL164" i="33"/>
  <c r="AU164" i="33"/>
  <c r="AV164" i="33" s="1"/>
  <c r="AX164" i="33" s="1"/>
  <c r="BU164" i="33" s="1"/>
  <c r="AU18" i="33"/>
  <c r="AV18" i="33" s="1"/>
  <c r="W18" i="33"/>
  <c r="V127" i="33"/>
  <c r="Q127" i="33"/>
  <c r="U64" i="33"/>
  <c r="AL64" i="33"/>
  <c r="Q166" i="33"/>
  <c r="S62" i="33"/>
  <c r="AI62" i="33" s="1"/>
  <c r="AL127" i="33"/>
  <c r="AU127" i="33"/>
  <c r="AV127" i="33" s="1"/>
  <c r="AX127" i="33" s="1"/>
  <c r="BU127" i="33" s="1"/>
  <c r="Y10" i="33"/>
  <c r="AS10" i="33"/>
  <c r="AT10" i="33" s="1"/>
  <c r="AD10" i="33"/>
  <c r="AE10" i="33" s="1"/>
  <c r="AF10" i="33" s="1"/>
  <c r="AW10" i="33"/>
  <c r="AX10" i="33" s="1"/>
  <c r="V41" i="33"/>
  <c r="Q41" i="33"/>
  <c r="S33" i="33"/>
  <c r="AI33" i="33" s="1"/>
  <c r="Q33" i="33"/>
  <c r="AL194" i="33"/>
  <c r="W194" i="33"/>
  <c r="AU194" i="33"/>
  <c r="AV194" i="33" s="1"/>
  <c r="AX194" i="33" s="1"/>
  <c r="BU194" i="33" s="1"/>
  <c r="O186" i="33"/>
  <c r="AU68" i="33"/>
  <c r="AV68" i="33" s="1"/>
  <c r="AQ21" i="33"/>
  <c r="BC21" i="33"/>
  <c r="BV21" i="33" s="1"/>
  <c r="V181" i="33"/>
  <c r="Q181" i="33"/>
  <c r="AG181" i="33" s="1"/>
  <c r="AH181" i="33" s="1"/>
  <c r="Q125" i="33"/>
  <c r="V125" i="33" s="1"/>
  <c r="AU55" i="33"/>
  <c r="AV55" i="33" s="1"/>
  <c r="Y75" i="33"/>
  <c r="Z75" i="33" s="1"/>
  <c r="AS75" i="33"/>
  <c r="AT75" i="33" s="1"/>
  <c r="AD75" i="33"/>
  <c r="AE75" i="33" s="1"/>
  <c r="AF75" i="33" s="1"/>
  <c r="AW75" i="33"/>
  <c r="AX75" i="33" s="1"/>
  <c r="AN75" i="33"/>
  <c r="W17" i="33"/>
  <c r="V61" i="33"/>
  <c r="AG159" i="33"/>
  <c r="AH159" i="33" s="1"/>
  <c r="S95" i="33"/>
  <c r="AI95" i="33" s="1"/>
  <c r="O11" i="33"/>
  <c r="Q119" i="33"/>
  <c r="Q152" i="33"/>
  <c r="AL128" i="33"/>
  <c r="X37" i="33"/>
  <c r="Z37" i="33" s="1"/>
  <c r="AG37" i="33"/>
  <c r="AH37" i="33" s="1"/>
  <c r="AY37" i="33"/>
  <c r="S112" i="33"/>
  <c r="AI112" i="33" s="1"/>
  <c r="W47" i="33"/>
  <c r="AM131" i="33"/>
  <c r="BC131" i="33"/>
  <c r="BV131" i="33" s="1"/>
  <c r="O176" i="33"/>
  <c r="X180" i="33"/>
  <c r="AY180" i="33"/>
  <c r="AM118" i="33"/>
  <c r="BC118" i="33"/>
  <c r="BV118" i="33" s="1"/>
  <c r="AU20" i="33"/>
  <c r="AV20" i="33" s="1"/>
  <c r="AG98" i="33"/>
  <c r="AH98" i="33" s="1"/>
  <c r="AD83" i="33"/>
  <c r="AE83" i="33" s="1"/>
  <c r="AF83" i="33" s="1"/>
  <c r="Y83" i="33"/>
  <c r="AJ83" i="33"/>
  <c r="AA83" i="33"/>
  <c r="AB83" i="33" s="1"/>
  <c r="AC83" i="33" s="1"/>
  <c r="AN83" i="33"/>
  <c r="AW83" i="33"/>
  <c r="AX83" i="33" s="1"/>
  <c r="BU83" i="33" s="1"/>
  <c r="V146" i="33"/>
  <c r="Q146" i="33"/>
  <c r="AU153" i="33"/>
  <c r="AV153" i="33" s="1"/>
  <c r="AX153" i="33" s="1"/>
  <c r="BU153" i="33" s="1"/>
  <c r="S144" i="33"/>
  <c r="X202" i="33"/>
  <c r="AY202" i="33"/>
  <c r="X157" i="33"/>
  <c r="AY157" i="33"/>
  <c r="AU117" i="33"/>
  <c r="AV117" i="33" s="1"/>
  <c r="U72" i="33"/>
  <c r="X22" i="33"/>
  <c r="Z22" i="33" s="1"/>
  <c r="AY22" i="33"/>
  <c r="AG22" i="33"/>
  <c r="AH22" i="33" s="1"/>
  <c r="AK22" i="33" s="1"/>
  <c r="AU40" i="33"/>
  <c r="AV40" i="33" s="1"/>
  <c r="W40" i="33"/>
  <c r="S209" i="33"/>
  <c r="Y44" i="33"/>
  <c r="AS44" i="33"/>
  <c r="AD44" i="33"/>
  <c r="AE44" i="33" s="1"/>
  <c r="AF44" i="33" s="1"/>
  <c r="AW44" i="33"/>
  <c r="X143" i="33"/>
  <c r="Z143" i="33" s="1"/>
  <c r="AY143" i="33"/>
  <c r="AL103" i="33"/>
  <c r="U103" i="33"/>
  <c r="O167" i="33"/>
  <c r="Y80" i="33"/>
  <c r="Z80" i="33" s="1"/>
  <c r="AJ80" i="33"/>
  <c r="AK80" i="33" s="1"/>
  <c r="AA80" i="33"/>
  <c r="AB80" i="33" s="1"/>
  <c r="AC80" i="33" s="1"/>
  <c r="AN80" i="33"/>
  <c r="AO80" i="33" s="1"/>
  <c r="AW80" i="33"/>
  <c r="AX80" i="33" s="1"/>
  <c r="BU80" i="33" s="1"/>
  <c r="AU9" i="33"/>
  <c r="AV9" i="33" s="1"/>
  <c r="BL179" i="33"/>
  <c r="BR179" i="33"/>
  <c r="Q14" i="33"/>
  <c r="O162" i="33"/>
  <c r="AU122" i="33"/>
  <c r="AV122" i="33" s="1"/>
  <c r="O14" i="33"/>
  <c r="V34" i="33"/>
  <c r="Q34" i="33"/>
  <c r="Y93" i="33"/>
  <c r="Z93" i="33" s="1"/>
  <c r="AA93" i="33"/>
  <c r="AB93" i="33" s="1"/>
  <c r="AC93" i="33" s="1"/>
  <c r="AJ93" i="33"/>
  <c r="AN93" i="33"/>
  <c r="AW93" i="33"/>
  <c r="V31" i="33"/>
  <c r="Q31" i="33"/>
  <c r="AU31" i="33" s="1"/>
  <c r="AV31" i="33" s="1"/>
  <c r="O164" i="33"/>
  <c r="O18" i="33"/>
  <c r="S18" i="33" s="1"/>
  <c r="Q102" i="33"/>
  <c r="AG142" i="33"/>
  <c r="AH142" i="33" s="1"/>
  <c r="AM117" i="33"/>
  <c r="BC117" i="33"/>
  <c r="BV117" i="33" s="1"/>
  <c r="V187" i="33"/>
  <c r="Q187" i="33"/>
  <c r="AG187" i="33" s="1"/>
  <c r="AH187" i="33" s="1"/>
  <c r="Y154" i="33"/>
  <c r="AJ154" i="33"/>
  <c r="AK154" i="33" s="1"/>
  <c r="AA154" i="33"/>
  <c r="AB154" i="33" s="1"/>
  <c r="AC154" i="33" s="1"/>
  <c r="AN154" i="33"/>
  <c r="R110" i="33"/>
  <c r="AP110" i="33"/>
  <c r="AQ110" i="33" s="1"/>
  <c r="AT110" i="33" s="1"/>
  <c r="BT110" i="33" s="1"/>
  <c r="V62" i="33"/>
  <c r="O127" i="33"/>
  <c r="S127" i="33" s="1"/>
  <c r="W164" i="33"/>
  <c r="Y194" i="33"/>
  <c r="AA194" i="33"/>
  <c r="AB194" i="33" s="1"/>
  <c r="AC194" i="33" s="1"/>
  <c r="AJ194" i="33"/>
  <c r="AK194" i="33" s="1"/>
  <c r="AN194" i="33"/>
  <c r="Q42" i="33"/>
  <c r="AP42" i="33" s="1"/>
  <c r="AG139" i="33"/>
  <c r="AH139" i="33" s="1"/>
  <c r="Q139" i="33"/>
  <c r="AU139" i="33" s="1"/>
  <c r="AV139" i="33" s="1"/>
  <c r="AX139" i="33" s="1"/>
  <c r="BU139" i="33" s="1"/>
  <c r="AL139" i="33"/>
  <c r="S186" i="33"/>
  <c r="Q186" i="33"/>
  <c r="AL186" i="33" s="1"/>
  <c r="Q88" i="33"/>
  <c r="V50" i="33"/>
  <c r="S50" i="33"/>
  <c r="AI50" i="33" s="1"/>
  <c r="Q50" i="33"/>
  <c r="AU50" i="33" s="1"/>
  <c r="AV50" i="33" s="1"/>
  <c r="Y55" i="33"/>
  <c r="AD55" i="33"/>
  <c r="AE55" i="33" s="1"/>
  <c r="AF55" i="33" s="1"/>
  <c r="AS55" i="33"/>
  <c r="AW55" i="33"/>
  <c r="AX55" i="33" s="1"/>
  <c r="O12" i="33"/>
  <c r="V168" i="33"/>
  <c r="Q168" i="33"/>
  <c r="AU168" i="33" s="1"/>
  <c r="AV168" i="33" s="1"/>
  <c r="AX168" i="33" s="1"/>
  <c r="BU168" i="33" s="1"/>
  <c r="AL197" i="33"/>
  <c r="Y133" i="33"/>
  <c r="AA133" i="33"/>
  <c r="AB133" i="33" s="1"/>
  <c r="AC133" i="33" s="1"/>
  <c r="AJ133" i="33"/>
  <c r="AK133" i="33" s="1"/>
  <c r="AN133" i="33"/>
  <c r="Y159" i="33"/>
  <c r="AA159" i="33"/>
  <c r="AB159" i="33" s="1"/>
  <c r="AC159" i="33" s="1"/>
  <c r="AJ159" i="33"/>
  <c r="AK159" i="33" s="1"/>
  <c r="AN159" i="33"/>
  <c r="AO159" i="33" s="1"/>
  <c r="V95" i="33"/>
  <c r="O48" i="33"/>
  <c r="S48" i="33" s="1"/>
  <c r="AI48" i="33" s="1"/>
  <c r="AK48" i="33" s="1"/>
  <c r="AU48" i="33"/>
  <c r="AV48" i="33" s="1"/>
  <c r="Q54" i="33"/>
  <c r="W54" i="33" s="1"/>
  <c r="U117" i="33"/>
  <c r="AM98" i="33"/>
  <c r="BC98" i="33"/>
  <c r="BV98" i="33" s="1"/>
  <c r="Y112" i="33"/>
  <c r="AJ112" i="33"/>
  <c r="AA112" i="33"/>
  <c r="AB112" i="33" s="1"/>
  <c r="AC112" i="33" s="1"/>
  <c r="AN112" i="33"/>
  <c r="AO112" i="33" s="1"/>
  <c r="AW112" i="33"/>
  <c r="AX112" i="33" s="1"/>
  <c r="BU112" i="33" s="1"/>
  <c r="Q72" i="33"/>
  <c r="V63" i="33"/>
  <c r="Q63" i="33"/>
  <c r="S63" i="33" s="1"/>
  <c r="AI63" i="33" s="1"/>
  <c r="W98" i="33"/>
  <c r="X98" i="33" s="1"/>
  <c r="W144" i="33"/>
  <c r="AL170" i="33"/>
  <c r="W170" i="33"/>
  <c r="S87" i="33"/>
  <c r="AI87" i="33" s="1"/>
  <c r="AP63" i="33"/>
  <c r="AQ22" i="33"/>
  <c r="BC22" i="33"/>
  <c r="BV22" i="33" s="1"/>
  <c r="R73" i="33"/>
  <c r="AP73" i="33" s="1"/>
  <c r="AQ73" i="33" s="1"/>
  <c r="AL154" i="33"/>
  <c r="AU154" i="33"/>
  <c r="AV154" i="33" s="1"/>
  <c r="AX154" i="33" s="1"/>
  <c r="BU154" i="33" s="1"/>
  <c r="AQ40" i="33"/>
  <c r="BC40" i="33"/>
  <c r="BV40" i="33" s="1"/>
  <c r="Q129" i="33"/>
  <c r="V129" i="33" s="1"/>
  <c r="X44" i="33"/>
  <c r="Z44" i="33" s="1"/>
  <c r="AY44" i="33"/>
  <c r="AG44" i="33"/>
  <c r="AH44" i="33" s="1"/>
  <c r="AG122" i="33"/>
  <c r="AH122" i="33" s="1"/>
  <c r="U91" i="33"/>
  <c r="AL91" i="33"/>
  <c r="V155" i="33"/>
  <c r="S155" i="33"/>
  <c r="Q155" i="33"/>
  <c r="Q65" i="33"/>
  <c r="Q169" i="33"/>
  <c r="AG169" i="33" s="1"/>
  <c r="AH169" i="33" s="1"/>
  <c r="Q141" i="33"/>
  <c r="AG141" i="33" s="1"/>
  <c r="AH141" i="33" s="1"/>
  <c r="Q204" i="33"/>
  <c r="AU204" i="33" s="1"/>
  <c r="AV204" i="33" s="1"/>
  <c r="AX204" i="33" s="1"/>
  <c r="BU204" i="33" s="1"/>
  <c r="W122" i="33"/>
  <c r="X122" i="33" s="1"/>
  <c r="Y190" i="33"/>
  <c r="AJ190" i="33"/>
  <c r="AK190" i="33" s="1"/>
  <c r="AA190" i="33"/>
  <c r="AB190" i="33" s="1"/>
  <c r="AC190" i="33" s="1"/>
  <c r="AN190" i="33"/>
  <c r="AO190" i="33" s="1"/>
  <c r="Q38" i="33"/>
  <c r="W38" i="33" s="1"/>
  <c r="S45" i="33"/>
  <c r="AI45" i="33" s="1"/>
  <c r="Q45" i="33"/>
  <c r="W45" i="33" s="1"/>
  <c r="O19" i="33"/>
  <c r="S81" i="33"/>
  <c r="AI81" i="33" s="1"/>
  <c r="AK81" i="33" s="1"/>
  <c r="O204" i="33"/>
  <c r="Y40" i="33"/>
  <c r="AD40" i="33"/>
  <c r="AE40" i="33" s="1"/>
  <c r="AF40" i="33" s="1"/>
  <c r="AS40" i="33"/>
  <c r="AT40" i="33" s="1"/>
  <c r="AW40" i="33"/>
  <c r="Q97" i="33"/>
  <c r="AM159" i="33"/>
  <c r="BC159" i="33"/>
  <c r="BV159" i="33" s="1"/>
  <c r="X21" i="33"/>
  <c r="AG21" i="33"/>
  <c r="AH21" i="33" s="1"/>
  <c r="AK21" i="33" s="1"/>
  <c r="AY21" i="33"/>
  <c r="Q205" i="33"/>
  <c r="AG205" i="33" s="1"/>
  <c r="AH205" i="33" s="1"/>
  <c r="U85" i="33"/>
  <c r="V163" i="33"/>
  <c r="Q163" i="33"/>
  <c r="Y142" i="33"/>
  <c r="AA142" i="33"/>
  <c r="AB142" i="33" s="1"/>
  <c r="AC142" i="33" s="1"/>
  <c r="AJ142" i="33"/>
  <c r="AK142" i="33" s="1"/>
  <c r="AN142" i="33"/>
  <c r="Q114" i="33"/>
  <c r="Q100" i="33"/>
  <c r="S184" i="33"/>
  <c r="AL184" i="33"/>
  <c r="Q184" i="33"/>
  <c r="AG184" i="33" s="1"/>
  <c r="AH184" i="33" s="1"/>
  <c r="AU184" i="33"/>
  <c r="AV184" i="33" s="1"/>
  <c r="AX184" i="33" s="1"/>
  <c r="BU184" i="33" s="1"/>
  <c r="Q182" i="33"/>
  <c r="V182" i="33" s="1"/>
  <c r="AG182" i="33"/>
  <c r="AH182" i="33" s="1"/>
  <c r="AM143" i="33"/>
  <c r="BC143" i="33"/>
  <c r="BV143" i="33" s="1"/>
  <c r="R68" i="33"/>
  <c r="AL68" i="33" s="1"/>
  <c r="S117" i="33"/>
  <c r="AI117" i="33" s="1"/>
  <c r="W142" i="33"/>
  <c r="S59" i="33"/>
  <c r="AI59" i="33" s="1"/>
  <c r="Q59" i="33"/>
  <c r="V59" i="33" s="1"/>
  <c r="V137" i="33"/>
  <c r="Q137" i="33"/>
  <c r="AU137" i="33" s="1"/>
  <c r="AV137" i="33" s="1"/>
  <c r="AX137" i="33" s="1"/>
  <c r="BU137" i="33" s="1"/>
  <c r="AG137" i="33"/>
  <c r="AH137" i="33" s="1"/>
  <c r="X145" i="33"/>
  <c r="AY145" i="33"/>
  <c r="Y21" i="33"/>
  <c r="Z21" i="33" s="1"/>
  <c r="AS21" i="33"/>
  <c r="AT21" i="33" s="1"/>
  <c r="AD21" i="33"/>
  <c r="AE21" i="33" s="1"/>
  <c r="AF21" i="33" s="1"/>
  <c r="AW21" i="33"/>
  <c r="AM75" i="33"/>
  <c r="BC75" i="33"/>
  <c r="BV75" i="33" s="1"/>
  <c r="W50" i="33"/>
  <c r="AP31" i="33"/>
  <c r="AU44" i="33"/>
  <c r="AV44" i="33" s="1"/>
  <c r="S197" i="33"/>
  <c r="Q197" i="33"/>
  <c r="V197" i="33" s="1"/>
  <c r="S69" i="33"/>
  <c r="AI69" i="33" s="1"/>
  <c r="AK69" i="33" s="1"/>
  <c r="S29" i="33"/>
  <c r="Y91" i="33"/>
  <c r="Z91" i="33" s="1"/>
  <c r="AA91" i="33"/>
  <c r="AB91" i="33" s="1"/>
  <c r="AC91" i="33" s="1"/>
  <c r="AJ91" i="33"/>
  <c r="AK91" i="33" s="1"/>
  <c r="AN91" i="33"/>
  <c r="AW91" i="33"/>
  <c r="S159" i="33"/>
  <c r="V53" i="33"/>
  <c r="Q53" i="33"/>
  <c r="AU53" i="33" s="1"/>
  <c r="AV53" i="33" s="1"/>
  <c r="AQ24" i="33"/>
  <c r="BC24" i="33"/>
  <c r="BV24" i="33" s="1"/>
  <c r="AL135" i="33"/>
  <c r="W135" i="33"/>
  <c r="AK66" i="33"/>
  <c r="V188" i="33"/>
  <c r="Q188" i="33"/>
  <c r="S98" i="33"/>
  <c r="AI98" i="33" s="1"/>
  <c r="AM87" i="33"/>
  <c r="V47" i="33"/>
  <c r="W131" i="33"/>
  <c r="W24" i="33"/>
  <c r="S145" i="33"/>
  <c r="Y202" i="33"/>
  <c r="AJ202" i="33"/>
  <c r="AK202" i="33" s="1"/>
  <c r="AA202" i="33"/>
  <c r="AB202" i="33" s="1"/>
  <c r="AC202" i="33" s="1"/>
  <c r="AN202" i="33"/>
  <c r="AO202" i="33" s="1"/>
  <c r="AU87" i="33"/>
  <c r="AV87" i="33" s="1"/>
  <c r="AP112" i="33"/>
  <c r="AQ112" i="33" s="1"/>
  <c r="AT112" i="33" s="1"/>
  <c r="BT112" i="33" s="1"/>
  <c r="O180" i="33"/>
  <c r="AL180" i="33"/>
  <c r="AU180" i="33"/>
  <c r="AV180" i="33" s="1"/>
  <c r="AX180" i="33" s="1"/>
  <c r="BU180" i="33" s="1"/>
  <c r="Y157" i="33"/>
  <c r="AA157" i="33"/>
  <c r="AB157" i="33" s="1"/>
  <c r="AC157" i="33" s="1"/>
  <c r="AJ157" i="33"/>
  <c r="AK157" i="33" s="1"/>
  <c r="AN157" i="33"/>
  <c r="AO157" i="33" s="1"/>
  <c r="V87" i="33"/>
  <c r="O154" i="33"/>
  <c r="S154" i="33" s="1"/>
  <c r="W116" i="33"/>
  <c r="X116" i="33" s="1"/>
  <c r="O40" i="33"/>
  <c r="AU91" i="33"/>
  <c r="AV91" i="33" s="1"/>
  <c r="S147" i="33"/>
  <c r="AG147" i="33"/>
  <c r="AH147" i="33" s="1"/>
  <c r="Q147" i="33"/>
  <c r="V147" i="33" s="1"/>
  <c r="O44" i="33"/>
  <c r="S44" i="33" s="1"/>
  <c r="AI44" i="33" s="1"/>
  <c r="V172" i="33"/>
  <c r="S172" i="33"/>
  <c r="Q172" i="33"/>
  <c r="AG172" i="33" s="1"/>
  <c r="AH172" i="33" s="1"/>
  <c r="Q96" i="33"/>
  <c r="AL122" i="33"/>
  <c r="AL110" i="33"/>
  <c r="O179" i="33"/>
  <c r="S179" i="33" s="1"/>
  <c r="W130" i="33"/>
  <c r="W200" i="33"/>
  <c r="AU200" i="33"/>
  <c r="AV200" i="33" s="1"/>
  <c r="AX200" i="33" s="1"/>
  <c r="BU200" i="33" s="1"/>
  <c r="AL200" i="33"/>
  <c r="U81" i="33"/>
  <c r="Q79" i="33"/>
  <c r="W103" i="33"/>
  <c r="X103" i="33" s="1"/>
  <c r="S156" i="33"/>
  <c r="S35" i="33"/>
  <c r="AI35" i="33" s="1"/>
  <c r="AK35" i="33" s="1"/>
  <c r="O141" i="33"/>
  <c r="AU142" i="33"/>
  <c r="AV142" i="33" s="1"/>
  <c r="AX142" i="33" s="1"/>
  <c r="BU142" i="33" s="1"/>
  <c r="Q121" i="33"/>
  <c r="O200" i="33"/>
  <c r="S200" i="33" s="1"/>
  <c r="AU34" i="33"/>
  <c r="AV34" i="33" s="1"/>
  <c r="AA40" i="33"/>
  <c r="AB40" i="33" s="1"/>
  <c r="AC40" i="33" s="1"/>
  <c r="V30" i="33"/>
  <c r="Q30" i="33"/>
  <c r="S40" i="33"/>
  <c r="AI40" i="33" s="1"/>
  <c r="Y153" i="33"/>
  <c r="AJ153" i="33"/>
  <c r="AK153" i="33" s="1"/>
  <c r="AA153" i="33"/>
  <c r="AB153" i="33" s="1"/>
  <c r="AC153" i="33" s="1"/>
  <c r="AN153" i="33"/>
  <c r="AM133" i="33"/>
  <c r="BC133" i="33"/>
  <c r="BV133" i="33" s="1"/>
  <c r="S163" i="33"/>
  <c r="S142" i="33"/>
  <c r="U114" i="33"/>
  <c r="AL161" i="33"/>
  <c r="W161" i="33"/>
  <c r="Y36" i="33"/>
  <c r="Z36" i="33" s="1"/>
  <c r="AD36" i="33"/>
  <c r="AE36" i="33" s="1"/>
  <c r="AF36" i="33" s="1"/>
  <c r="AS36" i="33"/>
  <c r="AT36" i="33" s="1"/>
  <c r="AW36" i="33"/>
  <c r="AX36" i="33" s="1"/>
  <c r="S182" i="33"/>
  <c r="S68" i="33"/>
  <c r="AI68" i="33" s="1"/>
  <c r="V110" i="33"/>
  <c r="Y117" i="33"/>
  <c r="AJ117" i="33"/>
  <c r="AA117" i="33"/>
  <c r="AB117" i="33" s="1"/>
  <c r="AC117" i="33" s="1"/>
  <c r="AW117" i="33"/>
  <c r="AX117" i="33" s="1"/>
  <c r="BU117" i="33" s="1"/>
  <c r="AN117" i="33"/>
  <c r="AO117" i="33" s="1"/>
  <c r="Q107" i="33"/>
  <c r="U111" i="33"/>
  <c r="AL166" i="33"/>
  <c r="W25" i="33"/>
  <c r="AU59" i="33"/>
  <c r="AV59" i="33" s="1"/>
  <c r="W59" i="33"/>
  <c r="W125" i="33"/>
  <c r="X128" i="33"/>
  <c r="AY128" i="33"/>
  <c r="O178" i="33"/>
  <c r="S178" i="33" s="1"/>
  <c r="AL178" i="33"/>
  <c r="AU186" i="33"/>
  <c r="AV186" i="33" s="1"/>
  <c r="AX186" i="33" s="1"/>
  <c r="BU186" i="33" s="1"/>
  <c r="V193" i="33"/>
  <c r="S193" i="33"/>
  <c r="Q193" i="33"/>
  <c r="V195" i="33"/>
  <c r="AM192" i="33"/>
  <c r="BC192" i="33"/>
  <c r="BV192" i="33" s="1"/>
  <c r="W56" i="33"/>
  <c r="O28" i="33"/>
  <c r="S149" i="33"/>
  <c r="AL165" i="33"/>
  <c r="AP105" i="33"/>
  <c r="AQ105" i="33" s="1"/>
  <c r="AT105" i="33" s="1"/>
  <c r="BT105" i="33" s="1"/>
  <c r="AP50" i="33"/>
  <c r="AU45" i="33"/>
  <c r="AV45" i="33" s="1"/>
  <c r="W31" i="33"/>
  <c r="O132" i="33"/>
  <c r="X189" i="33"/>
  <c r="AY189" i="33"/>
  <c r="W197" i="33"/>
  <c r="Y69" i="33"/>
  <c r="Z69" i="33" s="1"/>
  <c r="AD69" i="33"/>
  <c r="AE69" i="33" s="1"/>
  <c r="AF69" i="33" s="1"/>
  <c r="AS69" i="33"/>
  <c r="AT69" i="33" s="1"/>
  <c r="AW69" i="33"/>
  <c r="AX69" i="33" s="1"/>
  <c r="AN69" i="33"/>
  <c r="V29" i="33"/>
  <c r="Q99" i="33"/>
  <c r="AL105" i="33"/>
  <c r="V207" i="33"/>
  <c r="Q207" i="33"/>
  <c r="AL188" i="33"/>
  <c r="AU135" i="33"/>
  <c r="AV135" i="33" s="1"/>
  <c r="AX135" i="33" s="1"/>
  <c r="BU135" i="33" s="1"/>
  <c r="Y66" i="33"/>
  <c r="Z66" i="33" s="1"/>
  <c r="AS66" i="33"/>
  <c r="AT66" i="33" s="1"/>
  <c r="AD66" i="33"/>
  <c r="AE66" i="33" s="1"/>
  <c r="AF66" i="33" s="1"/>
  <c r="AN66" i="33"/>
  <c r="AO66" i="33" s="1"/>
  <c r="BS66" i="33" s="1"/>
  <c r="AW66" i="33"/>
  <c r="AX66" i="33" s="1"/>
  <c r="AM78" i="33"/>
  <c r="BC78" i="33"/>
  <c r="BV78" i="33" s="1"/>
  <c r="W188" i="33"/>
  <c r="V98" i="33"/>
  <c r="Y92" i="33"/>
  <c r="Z92" i="33" s="1"/>
  <c r="AJ92" i="33"/>
  <c r="AK92" i="33" s="1"/>
  <c r="AA92" i="33"/>
  <c r="AB92" i="33" s="1"/>
  <c r="AC92" i="33" s="1"/>
  <c r="AW92" i="33"/>
  <c r="AX92" i="33" s="1"/>
  <c r="BU92" i="33" s="1"/>
  <c r="AN92" i="33"/>
  <c r="U90" i="33"/>
  <c r="AL90" i="33"/>
  <c r="W55" i="33"/>
  <c r="O131" i="33"/>
  <c r="S131" i="33" s="1"/>
  <c r="W183" i="33"/>
  <c r="Q20" i="33"/>
  <c r="V145" i="33"/>
  <c r="AL146" i="33"/>
  <c r="W137" i="33"/>
  <c r="AM92" i="33"/>
  <c r="BC92" i="33"/>
  <c r="BV92" i="33" s="1"/>
  <c r="Q13" i="33"/>
  <c r="AP13" i="33" s="1"/>
  <c r="AL145" i="33"/>
  <c r="AP26" i="33"/>
  <c r="AP87" i="33"/>
  <c r="AQ87" i="33" s="1"/>
  <c r="AT87" i="33" s="1"/>
  <c r="BT87" i="33" s="1"/>
  <c r="AU201" i="33"/>
  <c r="AV201" i="33" s="1"/>
  <c r="AX201" i="33" s="1"/>
  <c r="BU201" i="33" s="1"/>
  <c r="AU170" i="33"/>
  <c r="AV170" i="33" s="1"/>
  <c r="AX170" i="33" s="1"/>
  <c r="BU170" i="33" s="1"/>
  <c r="S180" i="33"/>
  <c r="AL83" i="33"/>
  <c r="AG73" i="33"/>
  <c r="AH73" i="33" s="1"/>
  <c r="Y151" i="33"/>
  <c r="AA151" i="33"/>
  <c r="AB151" i="33" s="1"/>
  <c r="AC151" i="33" s="1"/>
  <c r="AJ151" i="33"/>
  <c r="AK151" i="33" s="1"/>
  <c r="AN151" i="33"/>
  <c r="AQ62" i="33"/>
  <c r="BC62" i="33"/>
  <c r="BV62" i="33" s="1"/>
  <c r="Q177" i="33"/>
  <c r="AL177" i="33" s="1"/>
  <c r="V49" i="33"/>
  <c r="Q49" i="33"/>
  <c r="AP49" i="33" s="1"/>
  <c r="V116" i="33"/>
  <c r="S116" i="33"/>
  <c r="AI116" i="33" s="1"/>
  <c r="Q116" i="33"/>
  <c r="R116" i="33" s="1"/>
  <c r="AP116" i="33" s="1"/>
  <c r="AQ116" i="33" s="1"/>
  <c r="AT116" i="33" s="1"/>
  <c r="BT116" i="33" s="1"/>
  <c r="AG116" i="33"/>
  <c r="AH116" i="33" s="1"/>
  <c r="V138" i="33"/>
  <c r="S138" i="33"/>
  <c r="Q138" i="33"/>
  <c r="W138" i="33" s="1"/>
  <c r="AG138" i="33"/>
  <c r="AH138" i="33" s="1"/>
  <c r="AQ25" i="33"/>
  <c r="BC25" i="33"/>
  <c r="BV25" i="33" s="1"/>
  <c r="S196" i="33"/>
  <c r="Q196" i="33"/>
  <c r="AG196" i="33"/>
  <c r="AH196" i="33" s="1"/>
  <c r="AM81" i="33"/>
  <c r="AO81" i="33" s="1"/>
  <c r="BC81" i="33"/>
  <c r="BV81" i="33" s="1"/>
  <c r="Q86" i="33"/>
  <c r="V134" i="33"/>
  <c r="Q134" i="33"/>
  <c r="V130" i="33"/>
  <c r="Q130" i="33"/>
  <c r="AU130" i="33" s="1"/>
  <c r="AV130" i="33" s="1"/>
  <c r="AX130" i="33" s="1"/>
  <c r="BU130" i="33" s="1"/>
  <c r="AG130" i="33"/>
  <c r="AH130" i="33" s="1"/>
  <c r="AU27" i="33"/>
  <c r="AV27" i="33" s="1"/>
  <c r="V156" i="33"/>
  <c r="Y35" i="33"/>
  <c r="Z35" i="33" s="1"/>
  <c r="AS35" i="33"/>
  <c r="AT35" i="33" s="1"/>
  <c r="AD35" i="33"/>
  <c r="AE35" i="33" s="1"/>
  <c r="AF35" i="33" s="1"/>
  <c r="AW35" i="33"/>
  <c r="AX35" i="33" s="1"/>
  <c r="AU30" i="33"/>
  <c r="AV30" i="33" s="1"/>
  <c r="AQ44" i="33"/>
  <c r="BC44" i="33"/>
  <c r="BV44" i="33" s="1"/>
  <c r="AL204" i="33"/>
  <c r="S73" i="33"/>
  <c r="AI73" i="33" s="1"/>
  <c r="AK73" i="33" s="1"/>
  <c r="O30" i="33"/>
  <c r="V175" i="33"/>
  <c r="Q175" i="33"/>
  <c r="AQ16" i="33"/>
  <c r="BC16" i="33"/>
  <c r="BV16" i="33" s="1"/>
  <c r="Q12" i="33"/>
  <c r="AP12" i="33" s="1"/>
  <c r="AU155" i="33"/>
  <c r="AV155" i="33" s="1"/>
  <c r="AX155" i="33" s="1"/>
  <c r="BU155" i="33" s="1"/>
  <c r="AP32" i="33"/>
  <c r="X29" i="33"/>
  <c r="AG29" i="33"/>
  <c r="AH29" i="33" s="1"/>
  <c r="AK29" i="33" s="1"/>
  <c r="AY29" i="33"/>
  <c r="X48" i="33"/>
  <c r="AY48" i="33"/>
  <c r="AG48" i="33"/>
  <c r="AH48" i="33" s="1"/>
  <c r="Q43" i="33"/>
  <c r="AP43" i="33" s="1"/>
  <c r="O34" i="33"/>
  <c r="R77" i="33"/>
  <c r="AP77" i="33"/>
  <c r="AQ77" i="33" s="1"/>
  <c r="AT77" i="33" s="1"/>
  <c r="BT77" i="33" s="1"/>
  <c r="U74" i="33"/>
  <c r="AL74" i="33"/>
  <c r="Y56" i="33"/>
  <c r="AS56" i="33"/>
  <c r="AT56" i="33" s="1"/>
  <c r="AD56" i="33"/>
  <c r="AE56" i="33" s="1"/>
  <c r="AF56" i="33" s="1"/>
  <c r="AW56" i="33"/>
  <c r="AX56" i="33" s="1"/>
  <c r="S166" i="33"/>
  <c r="AP93" i="33"/>
  <c r="AQ93" i="33" s="1"/>
  <c r="AT93" i="33" s="1"/>
  <c r="BT93" i="33" s="1"/>
  <c r="V28" i="33"/>
  <c r="Q28" i="33"/>
  <c r="AU28" i="33" s="1"/>
  <c r="AV28" i="33" s="1"/>
  <c r="Q85" i="33"/>
  <c r="X178" i="33"/>
  <c r="Z178" i="33" s="1"/>
  <c r="AY178" i="33"/>
  <c r="Q132" i="33"/>
  <c r="AL132" i="33" s="1"/>
  <c r="Q199" i="33"/>
  <c r="AG199" i="33"/>
  <c r="AH199" i="33" s="1"/>
  <c r="O56" i="33"/>
  <c r="S56" i="33" s="1"/>
  <c r="AI56" i="33" s="1"/>
  <c r="O168" i="33"/>
  <c r="S168" i="33" s="1"/>
  <c r="AL168" i="33"/>
  <c r="Y192" i="33"/>
  <c r="AJ192" i="33"/>
  <c r="AK192" i="33" s="1"/>
  <c r="AA192" i="33"/>
  <c r="AB192" i="33" s="1"/>
  <c r="AC192" i="33" s="1"/>
  <c r="AN192" i="33"/>
  <c r="AO192" i="33" s="1"/>
  <c r="Y78" i="33"/>
  <c r="Z78" i="33" s="1"/>
  <c r="AA78" i="33"/>
  <c r="AB78" i="33" s="1"/>
  <c r="AC78" i="33" s="1"/>
  <c r="AJ78" i="33"/>
  <c r="AK78" i="33" s="1"/>
  <c r="AN78" i="33"/>
  <c r="AO78" i="33" s="1"/>
  <c r="AW78" i="33"/>
  <c r="AX78" i="33" s="1"/>
  <c r="BU78" i="33" s="1"/>
  <c r="W81" i="33"/>
  <c r="X81" i="33" s="1"/>
  <c r="Z81" i="33" s="1"/>
  <c r="AU197" i="33"/>
  <c r="AV197" i="33" s="1"/>
  <c r="AX197" i="33" s="1"/>
  <c r="BU197" i="33" s="1"/>
  <c r="W165" i="33"/>
  <c r="AP55" i="33"/>
  <c r="AA58" i="33"/>
  <c r="AB58" i="33" s="1"/>
  <c r="AC58" i="33" s="1"/>
  <c r="S164" i="33"/>
  <c r="AL163" i="33"/>
  <c r="AU23" i="33"/>
  <c r="AV23" i="33" s="1"/>
  <c r="W23" i="33"/>
  <c r="W42" i="33"/>
  <c r="O135" i="33"/>
  <c r="S135" i="33" s="1"/>
  <c r="AU39" i="33"/>
  <c r="AV39" i="33" s="1"/>
  <c r="O188" i="33"/>
  <c r="S188" i="33" s="1"/>
  <c r="S128" i="33"/>
  <c r="W77" i="33"/>
  <c r="X77" i="33" s="1"/>
  <c r="AP53" i="33"/>
  <c r="AU98" i="33"/>
  <c r="AV98" i="33" s="1"/>
  <c r="Q183" i="33"/>
  <c r="AL183" i="33" s="1"/>
  <c r="W63" i="33"/>
  <c r="AU63" i="33"/>
  <c r="AV63" i="33" s="1"/>
  <c r="W192" i="33"/>
  <c r="AU163" i="33"/>
  <c r="AV163" i="33" s="1"/>
  <c r="AX163" i="33" s="1"/>
  <c r="BU163" i="33" s="1"/>
  <c r="V109" i="33"/>
  <c r="Q109" i="33"/>
  <c r="R109" i="33" s="1"/>
  <c r="AP109" i="33" s="1"/>
  <c r="AQ109" i="33" s="1"/>
  <c r="AT109" i="33" s="1"/>
  <c r="BT109" i="33" s="1"/>
  <c r="AG109" i="33"/>
  <c r="AH109" i="33" s="1"/>
  <c r="Q201" i="33"/>
  <c r="O63" i="33"/>
  <c r="Q71" i="33"/>
  <c r="AP28" i="33"/>
  <c r="W13" i="33"/>
  <c r="AK75" i="33"/>
  <c r="S26" i="33"/>
  <c r="S24" i="33"/>
  <c r="U87" i="33"/>
  <c r="S170" i="33"/>
  <c r="V180" i="33"/>
  <c r="S22" i="33"/>
  <c r="AU145" i="33"/>
  <c r="AV145" i="33" s="1"/>
  <c r="AX145" i="33" s="1"/>
  <c r="BU145" i="33" s="1"/>
  <c r="AM142" i="33"/>
  <c r="AO142" i="33" s="1"/>
  <c r="BC142" i="33"/>
  <c r="BV142" i="33" s="1"/>
  <c r="S57" i="33"/>
  <c r="AI57" i="33" s="1"/>
  <c r="Q57" i="33"/>
  <c r="V57" i="33" s="1"/>
  <c r="U82" i="33"/>
  <c r="AL82" i="33"/>
  <c r="Y105" i="33"/>
  <c r="Z105" i="33" s="1"/>
  <c r="AA105" i="33"/>
  <c r="AB105" i="33" s="1"/>
  <c r="AC105" i="33" s="1"/>
  <c r="AJ105" i="33"/>
  <c r="AK105" i="33" s="1"/>
  <c r="AW105" i="33"/>
  <c r="AX105" i="33" s="1"/>
  <c r="BU105" i="33" s="1"/>
  <c r="AN105" i="33"/>
  <c r="Y189" i="33"/>
  <c r="AA189" i="33"/>
  <c r="AB189" i="33" s="1"/>
  <c r="AC189" i="33" s="1"/>
  <c r="AJ189" i="33"/>
  <c r="AK189" i="33" s="1"/>
  <c r="AN189" i="33"/>
  <c r="AU116" i="33"/>
  <c r="AV116" i="33" s="1"/>
  <c r="AL156" i="33"/>
  <c r="W156" i="33"/>
  <c r="AD116" i="33"/>
  <c r="AE116" i="33" s="1"/>
  <c r="AF116" i="33" s="1"/>
  <c r="O130" i="33"/>
  <c r="S130" i="33" s="1"/>
  <c r="O27" i="33"/>
  <c r="S27" i="33" s="1"/>
  <c r="S162" i="33"/>
  <c r="Q203" i="33"/>
  <c r="AU203" i="33" s="1"/>
  <c r="AV203" i="33" s="1"/>
  <c r="AX203" i="33" s="1"/>
  <c r="BU203" i="33" s="1"/>
  <c r="O169" i="33"/>
  <c r="S169" i="33" s="1"/>
  <c r="Q19" i="33"/>
  <c r="AP19" i="33" s="1"/>
  <c r="AL175" i="33"/>
  <c r="V73" i="33"/>
  <c r="W162" i="33"/>
  <c r="AD80" i="33"/>
  <c r="AE80" i="33" s="1"/>
  <c r="AF80" i="33" s="1"/>
  <c r="O175" i="33"/>
  <c r="AU93" i="33"/>
  <c r="AV93" i="33" s="1"/>
  <c r="W16" i="33"/>
  <c r="AA36" i="33"/>
  <c r="AB36" i="33" s="1"/>
  <c r="AC36" i="33" s="1"/>
  <c r="X190" i="33"/>
  <c r="AY190" i="33"/>
  <c r="AU58" i="33"/>
  <c r="AV58" i="33" s="1"/>
  <c r="W58" i="33"/>
  <c r="AA10" i="33"/>
  <c r="AB10" i="33" s="1"/>
  <c r="AC10" i="33" s="1"/>
  <c r="AA56" i="33"/>
  <c r="AB56" i="33" s="1"/>
  <c r="AC56" i="33" s="1"/>
  <c r="Q111" i="33"/>
  <c r="X26" i="33"/>
  <c r="Z26" i="33" s="1"/>
  <c r="AG26" i="33"/>
  <c r="AH26" i="33" s="1"/>
  <c r="AK26" i="33" s="1"/>
  <c r="AY26" i="33"/>
  <c r="Q173" i="33"/>
  <c r="W134" i="33"/>
  <c r="S77" i="33"/>
  <c r="AI77" i="33" s="1"/>
  <c r="Y128" i="33"/>
  <c r="AA128" i="33"/>
  <c r="AB128" i="33" s="1"/>
  <c r="AC128" i="33" s="1"/>
  <c r="AJ128" i="33"/>
  <c r="AK128" i="33" s="1"/>
  <c r="AN128" i="33"/>
  <c r="U122" i="33"/>
  <c r="V160" i="33"/>
  <c r="S160" i="33"/>
  <c r="Q160" i="33"/>
  <c r="AU160" i="33" s="1"/>
  <c r="AV160" i="33" s="1"/>
  <c r="AX160" i="33" s="1"/>
  <c r="BU160" i="33" s="1"/>
  <c r="AM69" i="33"/>
  <c r="BC69" i="33"/>
  <c r="BV69" i="33" s="1"/>
  <c r="Q11" i="33"/>
  <c r="AU178" i="33"/>
  <c r="AV178" i="33" s="1"/>
  <c r="AX178" i="33" s="1"/>
  <c r="BU178" i="33" s="1"/>
  <c r="W193" i="33"/>
  <c r="S143" i="33"/>
  <c r="R106" i="33"/>
  <c r="AP106" i="33"/>
  <c r="AQ106" i="33" s="1"/>
  <c r="AT106" i="33" s="1"/>
  <c r="BT106" i="33" s="1"/>
  <c r="AU106" i="33"/>
  <c r="AV106" i="33" s="1"/>
  <c r="Q150" i="33"/>
  <c r="S199" i="33"/>
  <c r="AP33" i="33"/>
  <c r="Q84" i="33"/>
  <c r="AU57" i="33"/>
  <c r="AV57" i="33" s="1"/>
  <c r="AX81" i="33"/>
  <c r="BU81" i="33" s="1"/>
  <c r="V52" i="33"/>
  <c r="S52" i="33"/>
  <c r="AI52" i="33" s="1"/>
  <c r="Q52" i="33"/>
  <c r="AD93" i="33"/>
  <c r="AE93" i="33" s="1"/>
  <c r="AF93" i="33" s="1"/>
  <c r="S192" i="33"/>
  <c r="V51" i="33"/>
  <c r="Q51" i="33"/>
  <c r="AU51" i="33" s="1"/>
  <c r="AV51" i="33" s="1"/>
  <c r="Y118" i="33"/>
  <c r="Z118" i="33" s="1"/>
  <c r="AA118" i="33"/>
  <c r="AB118" i="33" s="1"/>
  <c r="AC118" i="33" s="1"/>
  <c r="AJ118" i="33"/>
  <c r="AK118" i="33" s="1"/>
  <c r="AN118" i="33"/>
  <c r="AO118" i="33" s="1"/>
  <c r="AW118" i="33"/>
  <c r="AX118" i="33" s="1"/>
  <c r="BU118" i="33" s="1"/>
  <c r="AG197" i="33"/>
  <c r="AH197" i="33" s="1"/>
  <c r="O207" i="33"/>
  <c r="S207" i="33" s="1"/>
  <c r="AL207" i="33"/>
  <c r="AA75" i="33"/>
  <c r="AB75" i="33" s="1"/>
  <c r="AC75" i="33" s="1"/>
  <c r="V123" i="33"/>
  <c r="S123" i="33"/>
  <c r="Q123" i="33"/>
  <c r="AU123" i="33" s="1"/>
  <c r="AV123" i="33" s="1"/>
  <c r="AX123" i="33" s="1"/>
  <c r="BU123" i="33" s="1"/>
  <c r="AM189" i="33"/>
  <c r="BC189" i="33"/>
  <c r="BV189" i="33" s="1"/>
  <c r="W41" i="33"/>
  <c r="U77" i="33"/>
  <c r="AL77" i="33"/>
  <c r="Y164" i="33"/>
  <c r="AJ164" i="33"/>
  <c r="AK164" i="33" s="1"/>
  <c r="AA164" i="33"/>
  <c r="AB164" i="33" s="1"/>
  <c r="AC164" i="33" s="1"/>
  <c r="AN164" i="33"/>
  <c r="O47" i="33"/>
  <c r="S47" i="33" s="1"/>
  <c r="AI47" i="33" s="1"/>
  <c r="AU47" i="33"/>
  <c r="AV47" i="33" s="1"/>
  <c r="O23" i="33"/>
  <c r="AQ18" i="33"/>
  <c r="BC18" i="33"/>
  <c r="BV18" i="33" s="1"/>
  <c r="S176" i="33"/>
  <c r="Q176" i="33"/>
  <c r="S23" i="33"/>
  <c r="O39" i="33"/>
  <c r="AD128" i="33"/>
  <c r="AE128" i="33" s="1"/>
  <c r="AF128" i="33" s="1"/>
  <c r="V185" i="33"/>
  <c r="S185" i="33"/>
  <c r="Q185" i="33"/>
  <c r="W185" i="33" s="1"/>
  <c r="Y135" i="33"/>
  <c r="AJ135" i="33"/>
  <c r="AK135" i="33" s="1"/>
  <c r="AA135" i="33"/>
  <c r="AB135" i="33" s="1"/>
  <c r="AC135" i="33" s="1"/>
  <c r="AN135" i="33"/>
  <c r="AG207" i="33"/>
  <c r="AH207" i="33" s="1"/>
  <c r="W43" i="33"/>
  <c r="AU176" i="33"/>
  <c r="AV176" i="33" s="1"/>
  <c r="AX176" i="33" s="1"/>
  <c r="BU176" i="33" s="1"/>
  <c r="O183" i="33"/>
  <c r="AU21" i="33"/>
  <c r="AV21" i="33" s="1"/>
  <c r="W109" i="33"/>
  <c r="X109" i="33" s="1"/>
  <c r="O201" i="33"/>
  <c r="S201" i="33" s="1"/>
  <c r="AU187" i="33"/>
  <c r="AV187" i="33" s="1"/>
  <c r="AX187" i="33" s="1"/>
  <c r="BU187" i="33" s="1"/>
  <c r="Q148" i="33"/>
  <c r="W148" i="33" s="1"/>
  <c r="S37" i="33"/>
  <c r="AI37" i="33" s="1"/>
  <c r="AK37" i="33" s="1"/>
  <c r="O13" i="33"/>
  <c r="Q120" i="33"/>
  <c r="Y24" i="33"/>
  <c r="AD24" i="33"/>
  <c r="AE24" i="33" s="1"/>
  <c r="AF24" i="33" s="1"/>
  <c r="AS24" i="33"/>
  <c r="AT24" i="33" s="1"/>
  <c r="AW24" i="33"/>
  <c r="AX24" i="33" s="1"/>
  <c r="W201" i="33"/>
  <c r="W112" i="33"/>
  <c r="X112" i="33" s="1"/>
  <c r="AV370" i="28"/>
  <c r="AW370" i="28" s="1"/>
  <c r="AV311" i="28"/>
  <c r="AX311" i="28" s="1"/>
  <c r="AY311" i="28" s="1"/>
  <c r="BE311" i="28"/>
  <c r="AV293" i="28"/>
  <c r="AW293" i="28" s="1"/>
  <c r="BE578" i="28"/>
  <c r="AV310" i="28"/>
  <c r="AW310" i="28" s="1"/>
  <c r="BE293" i="28"/>
  <c r="BE370" i="28"/>
  <c r="BF310" i="28"/>
  <c r="AV329" i="28"/>
  <c r="AX329" i="28" s="1"/>
  <c r="AY329" i="28" s="1"/>
  <c r="AV602" i="28"/>
  <c r="BE602" i="28"/>
  <c r="BE329" i="28"/>
  <c r="AV464" i="28"/>
  <c r="AW464" i="28" s="1"/>
  <c r="AV154" i="28"/>
  <c r="AX154" i="28" s="1"/>
  <c r="AY154" i="28" s="1"/>
  <c r="AV507" i="28"/>
  <c r="AX507" i="28" s="1"/>
  <c r="AY507" i="28" s="1"/>
  <c r="BE69" i="28"/>
  <c r="AV557" i="28"/>
  <c r="AW557" i="28" s="1"/>
  <c r="BF608" i="28"/>
  <c r="BE608" i="28"/>
  <c r="AV426" i="28"/>
  <c r="AX426" i="28" s="1"/>
  <c r="AY426" i="28" s="1"/>
  <c r="AV502" i="28"/>
  <c r="AX502" i="28" s="1"/>
  <c r="AY502" i="28" s="1"/>
  <c r="BE140" i="28"/>
  <c r="BF421" i="28"/>
  <c r="BE557" i="28"/>
  <c r="BF464" i="28"/>
  <c r="BE154" i="28"/>
  <c r="BF502" i="28"/>
  <c r="AV69" i="28"/>
  <c r="AX69" i="28" s="1"/>
  <c r="AY69" i="28" s="1"/>
  <c r="BE421" i="28"/>
  <c r="BE294" i="28"/>
  <c r="BE42" i="28"/>
  <c r="AV599" i="28"/>
  <c r="AW599" i="28" s="1"/>
  <c r="BF294" i="28"/>
  <c r="BF42" i="28"/>
  <c r="AV598" i="28"/>
  <c r="AX598" i="28" s="1"/>
  <c r="AY598" i="28" s="1"/>
  <c r="AV59" i="28"/>
  <c r="AX59" i="28" s="1"/>
  <c r="AY59" i="28" s="1"/>
  <c r="BF599" i="28"/>
  <c r="BE598" i="28"/>
  <c r="BF507" i="28"/>
  <c r="BF59" i="28"/>
  <c r="AV233" i="28"/>
  <c r="AW233" i="28" s="1"/>
  <c r="BE354" i="28"/>
  <c r="AV377" i="28"/>
  <c r="AW377" i="28" s="1"/>
  <c r="AV354" i="28"/>
  <c r="AX354" i="28" s="1"/>
  <c r="AY354" i="28" s="1"/>
  <c r="BF233" i="28"/>
  <c r="BE377" i="28"/>
  <c r="AV28" i="28"/>
  <c r="AX28" i="28" s="1"/>
  <c r="AY28" i="28" s="1"/>
  <c r="BF79" i="28"/>
  <c r="AV549" i="28"/>
  <c r="AX549" i="28" s="1"/>
  <c r="AY549" i="28" s="1"/>
  <c r="BE79" i="28"/>
  <c r="BE549" i="28"/>
  <c r="BF180" i="28"/>
  <c r="BE180" i="28"/>
  <c r="BE28" i="28"/>
  <c r="AV90" i="28"/>
  <c r="AX90" i="28" s="1"/>
  <c r="AY90" i="28" s="1"/>
  <c r="BF343" i="28"/>
  <c r="BE90" i="28"/>
  <c r="AV206" i="28"/>
  <c r="AX206" i="28" s="1"/>
  <c r="AY206" i="28" s="1"/>
  <c r="AV551" i="28"/>
  <c r="AX551" i="28" s="1"/>
  <c r="AY551" i="28" s="1"/>
  <c r="AV140" i="28"/>
  <c r="AX140" i="28" s="1"/>
  <c r="AY140" i="28" s="1"/>
  <c r="BE206" i="28"/>
  <c r="BF551" i="28"/>
  <c r="AV567" i="28"/>
  <c r="AX567" i="28" s="1"/>
  <c r="AY567" i="28" s="1"/>
  <c r="BF81" i="28"/>
  <c r="BF567" i="28"/>
  <c r="AV81" i="28"/>
  <c r="AW81" i="28" s="1"/>
  <c r="B180" i="2"/>
  <c r="AV463" i="28"/>
  <c r="AW463" i="28" s="1"/>
  <c r="AV110" i="28"/>
  <c r="AX110" i="28" s="1"/>
  <c r="AY110" i="28" s="1"/>
  <c r="BF110" i="28"/>
  <c r="BE50" i="28"/>
  <c r="AV50" i="28"/>
  <c r="AW50" i="28" s="1"/>
  <c r="AV434" i="28"/>
  <c r="AX434" i="28" s="1"/>
  <c r="AY434" i="28" s="1"/>
  <c r="BF244" i="28"/>
  <c r="BF243" i="28"/>
  <c r="AV161" i="28"/>
  <c r="AW161" i="28" s="1"/>
  <c r="AV343" i="28"/>
  <c r="AW343" i="28" s="1"/>
  <c r="AV243" i="28"/>
  <c r="AX243" i="28" s="1"/>
  <c r="AY243" i="28" s="1"/>
  <c r="BF152" i="28"/>
  <c r="AV152" i="28"/>
  <c r="AX152" i="28" s="1"/>
  <c r="AY152" i="28" s="1"/>
  <c r="AV244" i="28"/>
  <c r="AW244" i="28" s="1"/>
  <c r="BE328" i="28"/>
  <c r="BE434" i="28"/>
  <c r="AV328" i="28"/>
  <c r="AX328" i="28" s="1"/>
  <c r="AY328" i="28" s="1"/>
  <c r="BF161" i="28"/>
  <c r="AV415" i="28"/>
  <c r="AX415" i="28" s="1"/>
  <c r="AY415" i="28" s="1"/>
  <c r="BF415" i="28"/>
  <c r="BF540" i="28"/>
  <c r="AV540" i="28"/>
  <c r="AW540" i="28" s="1"/>
  <c r="BL539" i="28" s="1"/>
  <c r="BM539" i="28" s="1"/>
  <c r="BE626" i="28"/>
  <c r="AV626" i="28"/>
  <c r="AX626" i="28" s="1"/>
  <c r="AY626" i="28" s="1"/>
  <c r="AX421" i="28"/>
  <c r="AY421" i="28" s="1"/>
  <c r="AW543" i="28"/>
  <c r="AW315" i="28"/>
  <c r="AX440" i="28"/>
  <c r="AY440" i="28" s="1"/>
  <c r="AW440" i="28"/>
  <c r="AW204" i="28"/>
  <c r="AW373" i="28"/>
  <c r="AW281" i="28"/>
  <c r="AX303" i="28"/>
  <c r="AY303" i="28" s="1"/>
  <c r="AW166" i="28"/>
  <c r="AW26" i="28"/>
  <c r="AW167" i="28"/>
  <c r="AX20" i="28"/>
  <c r="AY20" i="28" s="1"/>
  <c r="AX453" i="28"/>
  <c r="AY453" i="28" s="1"/>
  <c r="AX451" i="28"/>
  <c r="AY451" i="28" s="1"/>
  <c r="AW296" i="28"/>
  <c r="AW522" i="28"/>
  <c r="AW109" i="28"/>
  <c r="AX109" i="28"/>
  <c r="AY109" i="28" s="1"/>
  <c r="BF155" i="28"/>
  <c r="BE155" i="28"/>
  <c r="BF498" i="28"/>
  <c r="BE498" i="28"/>
  <c r="BE331" i="28"/>
  <c r="BF331" i="28"/>
  <c r="BE172" i="28"/>
  <c r="BF172" i="28"/>
  <c r="BE84" i="28"/>
  <c r="BF84" i="28"/>
  <c r="BF465" i="28"/>
  <c r="BE465" i="28"/>
  <c r="BE184" i="28"/>
  <c r="BF184" i="28"/>
  <c r="BF497" i="28"/>
  <c r="BE497" i="28"/>
  <c r="BF514" i="28"/>
  <c r="BE514" i="28"/>
  <c r="BE500" i="28"/>
  <c r="BF500" i="28"/>
  <c r="BE256" i="28"/>
  <c r="BF256" i="28"/>
  <c r="BE528" i="28"/>
  <c r="BF528" i="28"/>
  <c r="BF518" i="28"/>
  <c r="BE518" i="28"/>
  <c r="BE72" i="28"/>
  <c r="BF72" i="28"/>
  <c r="BF454" i="28"/>
  <c r="BE454" i="28"/>
  <c r="BF159" i="28"/>
  <c r="BE159" i="28"/>
  <c r="BF506" i="28"/>
  <c r="BE506" i="28"/>
  <c r="BF150" i="28"/>
  <c r="BE150" i="28"/>
  <c r="BF349" i="28"/>
  <c r="BE349" i="28"/>
  <c r="BF223" i="28"/>
  <c r="BE223" i="28"/>
  <c r="BE87" i="28"/>
  <c r="BF87" i="28"/>
  <c r="BF134" i="28"/>
  <c r="BE134" i="28"/>
  <c r="BF353" i="28"/>
  <c r="BE353" i="28"/>
  <c r="BF393" i="28"/>
  <c r="BE393" i="28"/>
  <c r="BF609" i="28"/>
  <c r="BE609" i="28"/>
  <c r="BF203" i="28"/>
  <c r="BE203" i="28"/>
  <c r="BF127" i="28"/>
  <c r="BE127" i="28"/>
  <c r="BF362" i="28"/>
  <c r="BE362" i="28"/>
  <c r="BE216" i="28"/>
  <c r="BF216" i="28"/>
  <c r="BF566" i="28"/>
  <c r="BE566" i="28"/>
  <c r="BF29" i="28"/>
  <c r="BE29" i="28"/>
  <c r="BE144" i="28"/>
  <c r="BF144" i="28"/>
  <c r="BE316" i="28"/>
  <c r="BF316" i="28"/>
  <c r="BF274" i="28"/>
  <c r="BE274" i="28"/>
  <c r="BE120" i="28"/>
  <c r="BF120" i="28"/>
  <c r="BF36" i="28"/>
  <c r="BE36" i="28"/>
  <c r="BE483" i="28"/>
  <c r="BF483" i="28"/>
  <c r="BE392" i="28"/>
  <c r="BF392" i="28"/>
  <c r="BF369" i="28"/>
  <c r="BE369" i="28"/>
  <c r="BE612" i="28"/>
  <c r="BF612" i="28"/>
  <c r="BE535" i="28"/>
  <c r="BF535" i="28"/>
  <c r="BF14" i="28"/>
  <c r="BE14" i="28"/>
  <c r="BE591" i="28"/>
  <c r="BF591" i="28"/>
  <c r="BE516" i="28"/>
  <c r="BF516" i="28"/>
  <c r="BE197" i="28"/>
  <c r="BF197" i="28"/>
  <c r="BF402" i="28"/>
  <c r="BE402" i="28"/>
  <c r="BE133" i="28"/>
  <c r="BF133" i="28"/>
  <c r="BC622" i="28"/>
  <c r="BB622" i="28"/>
  <c r="BE579" i="28"/>
  <c r="BF579" i="28"/>
  <c r="BF39" i="28"/>
  <c r="BE39" i="28"/>
  <c r="BE432" i="28"/>
  <c r="BF432" i="28"/>
  <c r="BF461" i="28"/>
  <c r="BE461" i="28"/>
  <c r="BF16" i="28"/>
  <c r="BE16" i="28"/>
  <c r="BE80" i="28"/>
  <c r="BF80" i="28"/>
  <c r="BF199" i="28"/>
  <c r="BE199" i="28"/>
  <c r="BF286" i="28"/>
  <c r="BE286" i="28"/>
  <c r="BF382" i="28"/>
  <c r="BE382" i="28"/>
  <c r="BE236" i="28"/>
  <c r="BF236" i="28"/>
  <c r="BE157" i="28"/>
  <c r="BF157" i="28"/>
  <c r="BF251" i="28"/>
  <c r="BE251" i="28"/>
  <c r="BF613" i="28"/>
  <c r="BE613" i="28"/>
  <c r="BE204" i="28"/>
  <c r="BF204" i="28"/>
  <c r="BF131" i="28"/>
  <c r="BE131" i="28"/>
  <c r="BE241" i="28"/>
  <c r="BF241" i="28"/>
  <c r="BF446" i="28"/>
  <c r="BE446" i="28"/>
  <c r="BE468" i="28"/>
  <c r="BF468" i="28"/>
  <c r="BE301" i="28"/>
  <c r="BF301" i="28"/>
  <c r="BE101" i="28"/>
  <c r="BF101" i="28"/>
  <c r="BE340" i="28"/>
  <c r="BF340" i="28"/>
  <c r="BF530" i="28"/>
  <c r="BE530" i="28"/>
  <c r="BF510" i="28"/>
  <c r="BE510" i="28"/>
  <c r="BF99" i="28"/>
  <c r="BE99" i="28"/>
  <c r="BE564" i="28"/>
  <c r="BF564" i="28"/>
  <c r="BF585" i="28"/>
  <c r="BE585" i="28"/>
  <c r="BF170" i="28"/>
  <c r="BE170" i="28"/>
  <c r="BE440" i="28"/>
  <c r="BF440" i="28"/>
  <c r="BF64" i="28"/>
  <c r="BE64" i="28"/>
  <c r="BF207" i="28"/>
  <c r="BE207" i="28"/>
  <c r="BE213" i="28"/>
  <c r="BF213" i="28"/>
  <c r="BE67" i="28"/>
  <c r="BF67" i="28"/>
  <c r="BF31" i="28"/>
  <c r="BE31" i="28"/>
  <c r="BE145" i="28"/>
  <c r="BF145" i="28"/>
  <c r="BE484" i="28"/>
  <c r="BF484" i="28"/>
  <c r="BE479" i="28"/>
  <c r="BF479" i="28"/>
  <c r="BF94" i="28"/>
  <c r="BE94" i="28"/>
  <c r="BE403" i="28"/>
  <c r="BF403" i="28"/>
  <c r="BF389" i="28"/>
  <c r="BE389" i="28"/>
  <c r="BE444" i="28"/>
  <c r="BF444" i="28"/>
  <c r="BF195" i="28"/>
  <c r="BE195" i="28"/>
  <c r="BF422" i="28"/>
  <c r="BE422" i="28"/>
  <c r="BE504" i="28"/>
  <c r="BF504" i="28"/>
  <c r="BF218" i="28"/>
  <c r="BE218" i="28"/>
  <c r="BE299" i="28"/>
  <c r="BF299" i="28"/>
  <c r="BF182" i="28"/>
  <c r="BE182" i="28"/>
  <c r="BF473" i="28"/>
  <c r="BE473" i="28"/>
  <c r="AX539" i="28"/>
  <c r="AY539" i="28" s="1"/>
  <c r="AV422" i="28"/>
  <c r="AW422" i="28" s="1"/>
  <c r="BL421" i="28" s="1"/>
  <c r="BM421" i="28" s="1"/>
  <c r="AV182" i="28"/>
  <c r="AW182" i="28" s="1"/>
  <c r="BF235" i="28"/>
  <c r="BE235" i="28"/>
  <c r="BF413" i="28"/>
  <c r="BE413" i="28"/>
  <c r="BE456" i="28"/>
  <c r="BF456" i="28"/>
  <c r="BE290" i="28"/>
  <c r="BF290" i="28"/>
  <c r="BE448" i="28"/>
  <c r="BF448" i="28"/>
  <c r="BF350" i="28"/>
  <c r="BE350" i="28"/>
  <c r="BF462" i="28"/>
  <c r="BE462" i="28"/>
  <c r="BE364" i="28"/>
  <c r="BF364" i="28"/>
  <c r="BE264" i="28"/>
  <c r="BF264" i="28"/>
  <c r="BE459" i="28"/>
  <c r="BF459" i="28"/>
  <c r="BE560" i="28"/>
  <c r="BF560" i="28"/>
  <c r="BE288" i="28"/>
  <c r="BF288" i="28"/>
  <c r="BE296" i="28"/>
  <c r="BF296" i="28"/>
  <c r="BF541" i="28"/>
  <c r="BE541" i="28"/>
  <c r="BF305" i="28"/>
  <c r="BE305" i="28"/>
  <c r="BE268" i="28"/>
  <c r="BF268" i="28"/>
  <c r="BF433" i="28"/>
  <c r="BE433" i="28"/>
  <c r="BE395" i="28"/>
  <c r="BF395" i="28"/>
  <c r="BE447" i="28"/>
  <c r="BF447" i="28"/>
  <c r="BF330" i="28"/>
  <c r="BE330" i="28"/>
  <c r="BE495" i="28"/>
  <c r="BF495" i="28"/>
  <c r="BE539" i="28"/>
  <c r="BF539" i="28"/>
  <c r="BE380" i="28"/>
  <c r="BF380" i="28"/>
  <c r="BF522" i="28"/>
  <c r="BE522" i="28"/>
  <c r="BF66" i="28"/>
  <c r="BE66" i="28"/>
  <c r="BE487" i="28"/>
  <c r="BF487" i="28"/>
  <c r="BE322" i="28"/>
  <c r="BF322" i="28"/>
  <c r="BE205" i="28"/>
  <c r="BF205" i="28"/>
  <c r="BF302" i="28"/>
  <c r="BE302" i="28"/>
  <c r="BF561" i="28"/>
  <c r="BE561" i="28"/>
  <c r="BF147" i="28"/>
  <c r="BE147" i="28"/>
  <c r="AV218" i="28"/>
  <c r="AX218" i="28" s="1"/>
  <c r="AY218" i="28" s="1"/>
  <c r="AV504" i="28"/>
  <c r="AX504" i="28" s="1"/>
  <c r="AY504" i="28" s="1"/>
  <c r="BF298" i="28"/>
  <c r="BE298" i="28"/>
  <c r="BE88" i="28"/>
  <c r="BF88" i="28"/>
  <c r="BE136" i="28"/>
  <c r="BF136" i="28"/>
  <c r="BF151" i="28"/>
  <c r="BE151" i="28"/>
  <c r="BF34" i="28"/>
  <c r="BE34" i="28"/>
  <c r="BF135" i="28"/>
  <c r="BE135" i="28"/>
  <c r="BE435" i="28"/>
  <c r="BF435" i="28"/>
  <c r="BF163" i="28"/>
  <c r="BE163" i="28"/>
  <c r="BE260" i="28"/>
  <c r="BF260" i="28"/>
  <c r="R622" i="28"/>
  <c r="S622" i="28" s="1"/>
  <c r="AW378" i="28"/>
  <c r="AV389" i="28"/>
  <c r="AX389" i="28" s="1"/>
  <c r="AY389" i="28" s="1"/>
  <c r="BF494" i="28"/>
  <c r="BE494" i="28"/>
  <c r="BE339" i="28"/>
  <c r="BF339" i="28"/>
  <c r="BF211" i="28"/>
  <c r="BE211" i="28"/>
  <c r="BF513" i="28"/>
  <c r="BE513" i="28"/>
  <c r="BE129" i="28"/>
  <c r="BF129" i="28"/>
  <c r="BF103" i="28"/>
  <c r="BE103" i="28"/>
  <c r="BF111" i="28"/>
  <c r="BE111" i="28"/>
  <c r="BF550" i="28"/>
  <c r="BE550" i="28"/>
  <c r="BF581" i="28"/>
  <c r="BE581" i="28"/>
  <c r="BE105" i="28"/>
  <c r="BF105" i="28"/>
  <c r="BF222" i="28"/>
  <c r="BE222" i="28"/>
  <c r="BF38" i="28"/>
  <c r="BE38" i="28"/>
  <c r="BF417" i="28"/>
  <c r="BE417" i="28"/>
  <c r="BF254" i="28"/>
  <c r="BE254" i="28"/>
  <c r="BE112" i="28"/>
  <c r="BF112" i="28"/>
  <c r="BE332" i="28"/>
  <c r="BF332" i="28"/>
  <c r="BE367" i="28"/>
  <c r="BF367" i="28"/>
  <c r="BE480" i="28"/>
  <c r="BF480" i="28"/>
  <c r="BE596" i="28"/>
  <c r="BF596" i="28"/>
  <c r="BE368" i="28"/>
  <c r="BF368" i="28"/>
  <c r="BE92" i="28"/>
  <c r="BF92" i="28"/>
  <c r="BF474" i="28"/>
  <c r="BE474" i="28"/>
  <c r="BF303" i="28"/>
  <c r="BE303" i="28"/>
  <c r="BF562" i="28"/>
  <c r="BE562" i="28"/>
  <c r="BF167" i="28"/>
  <c r="BE167" i="28"/>
  <c r="BF263" i="28"/>
  <c r="BE263" i="28"/>
  <c r="BE318" i="28"/>
  <c r="BF318" i="28"/>
  <c r="BF493" i="28"/>
  <c r="BE493" i="28"/>
  <c r="BE196" i="28"/>
  <c r="BF196" i="28"/>
  <c r="BF554" i="28"/>
  <c r="BE554" i="28"/>
  <c r="BF41" i="28"/>
  <c r="BE41" i="28"/>
  <c r="BE492" i="28"/>
  <c r="BF492" i="28"/>
  <c r="BF334" i="28"/>
  <c r="BE334" i="28"/>
  <c r="BF27" i="28"/>
  <c r="BE27" i="28"/>
  <c r="BF106" i="28"/>
  <c r="BE106" i="28"/>
  <c r="BF48" i="28"/>
  <c r="BE48" i="28"/>
  <c r="BE109" i="28"/>
  <c r="BF109" i="28"/>
  <c r="BF142" i="28"/>
  <c r="BE142" i="28"/>
  <c r="BE148" i="28"/>
  <c r="BF148" i="28"/>
  <c r="BF82" i="28"/>
  <c r="BE82" i="28"/>
  <c r="BE176" i="28"/>
  <c r="BF176" i="28"/>
  <c r="BE73" i="28"/>
  <c r="BF73" i="28"/>
  <c r="BF250" i="28"/>
  <c r="BE250" i="28"/>
  <c r="BF553" i="28"/>
  <c r="BE553" i="28"/>
  <c r="BF429" i="28"/>
  <c r="BE429" i="28"/>
  <c r="BF26" i="28"/>
  <c r="BE26" i="28"/>
  <c r="AX150" i="28"/>
  <c r="AY150" i="28" s="1"/>
  <c r="AW235" i="28"/>
  <c r="AX490" i="28"/>
  <c r="AY490" i="28" s="1"/>
  <c r="AW359" i="28"/>
  <c r="AX448" i="28"/>
  <c r="AY448" i="28" s="1"/>
  <c r="BE625" i="28"/>
  <c r="BF625" i="28"/>
  <c r="AV629" i="28"/>
  <c r="AX629" i="28" s="1"/>
  <c r="AY629" i="28" s="1"/>
  <c r="BE629" i="28"/>
  <c r="BF629" i="28"/>
  <c r="AX608" i="28"/>
  <c r="AY608" i="28" s="1"/>
  <c r="AW122" i="28"/>
  <c r="BL65" i="28"/>
  <c r="BM65" i="28" s="1"/>
  <c r="AV322" i="28"/>
  <c r="AX322" i="28" s="1"/>
  <c r="AY322" i="28" s="1"/>
  <c r="AV127" i="28"/>
  <c r="AX127" i="28" s="1"/>
  <c r="AY127" i="28" s="1"/>
  <c r="AV67" i="28"/>
  <c r="AW67" i="28" s="1"/>
  <c r="BL66" i="28" s="1"/>
  <c r="BM66" i="28" s="1"/>
  <c r="AV447" i="28"/>
  <c r="AW447" i="28" s="1"/>
  <c r="AV484" i="28"/>
  <c r="AX484" i="28" s="1"/>
  <c r="AY484" i="28" s="1"/>
  <c r="AV454" i="28"/>
  <c r="AW454" i="28" s="1"/>
  <c r="BL453" i="28" s="1"/>
  <c r="BM453" i="28" s="1"/>
  <c r="AV80" i="28"/>
  <c r="AW80" i="28" s="1"/>
  <c r="AW344" i="28"/>
  <c r="AV446" i="28"/>
  <c r="AW446" i="28" s="1"/>
  <c r="AV495" i="28"/>
  <c r="AX495" i="28" s="1"/>
  <c r="AY495" i="28" s="1"/>
  <c r="AV144" i="28"/>
  <c r="AW144" i="28" s="1"/>
  <c r="AV561" i="28"/>
  <c r="AX561" i="28" s="1"/>
  <c r="AY561" i="28" s="1"/>
  <c r="AV222" i="28"/>
  <c r="AW222" i="28" s="1"/>
  <c r="AV159" i="28"/>
  <c r="AX159" i="28" s="1"/>
  <c r="AY159" i="28" s="1"/>
  <c r="AV362" i="28"/>
  <c r="AW362" i="28" s="1"/>
  <c r="BF627" i="28"/>
  <c r="BE627" i="28"/>
  <c r="AV353" i="28"/>
  <c r="AW353" i="28" s="1"/>
  <c r="AV474" i="28"/>
  <c r="AX474" i="28" s="1"/>
  <c r="AY474" i="28" s="1"/>
  <c r="AV41" i="28"/>
  <c r="AW41" i="28" s="1"/>
  <c r="AV72" i="28"/>
  <c r="AX72" i="28" s="1"/>
  <c r="AY72" i="28" s="1"/>
  <c r="AV84" i="28"/>
  <c r="AX84" i="28" s="1"/>
  <c r="AY84" i="28" s="1"/>
  <c r="BE624" i="28"/>
  <c r="BF624" i="28"/>
  <c r="AX66" i="28"/>
  <c r="AY66" i="28" s="1"/>
  <c r="AV402" i="28"/>
  <c r="AX402" i="28" s="1"/>
  <c r="AY402" i="28" s="1"/>
  <c r="AV145" i="28"/>
  <c r="AX145" i="28" s="1"/>
  <c r="AY145" i="28" s="1"/>
  <c r="BL303" i="28"/>
  <c r="BM303" i="28" s="1"/>
  <c r="AX368" i="28"/>
  <c r="AY368" i="28" s="1"/>
  <c r="AW90" i="28"/>
  <c r="AW554" i="28"/>
  <c r="AX304" i="28"/>
  <c r="AY304" i="28" s="1"/>
  <c r="AW211" i="28"/>
  <c r="AX432" i="28"/>
  <c r="AY432" i="28" s="1"/>
  <c r="AX516" i="28"/>
  <c r="AY516" i="28" s="1"/>
  <c r="AX207" i="28"/>
  <c r="AY207" i="28" s="1"/>
  <c r="AW134" i="28"/>
  <c r="BL133" i="28" s="1"/>
  <c r="BM133" i="28" s="1"/>
  <c r="AX286" i="28"/>
  <c r="AY286" i="28" s="1"/>
  <c r="AX425" i="28"/>
  <c r="AY425" i="28" s="1"/>
  <c r="AX530" i="28"/>
  <c r="AY530" i="28" s="1"/>
  <c r="AV316" i="28"/>
  <c r="AX316" i="28" s="1"/>
  <c r="AY316" i="28" s="1"/>
  <c r="AW382" i="28"/>
  <c r="AW334" i="28"/>
  <c r="AW305" i="28"/>
  <c r="BL304" i="28" s="1"/>
  <c r="BM304" i="28" s="1"/>
  <c r="AX105" i="28"/>
  <c r="AY105" i="28" s="1"/>
  <c r="AW578" i="28"/>
  <c r="AX403" i="28"/>
  <c r="AY403" i="28" s="1"/>
  <c r="AX65" i="28"/>
  <c r="AY65" i="28" s="1"/>
  <c r="AX92" i="28"/>
  <c r="AY92" i="28" s="1"/>
  <c r="AW444" i="28"/>
  <c r="AW38" i="28"/>
  <c r="AX506" i="28"/>
  <c r="AY506" i="28" s="1"/>
  <c r="AW497" i="28"/>
  <c r="AW180" i="28"/>
  <c r="AW485" i="28"/>
  <c r="AW274" i="28"/>
  <c r="AX603" i="28"/>
  <c r="AY603" i="28" s="1"/>
  <c r="AW347" i="28"/>
  <c r="AX330" i="28"/>
  <c r="AY330" i="28" s="1"/>
  <c r="AW325" i="28"/>
  <c r="AW88" i="28"/>
  <c r="AW285" i="28"/>
  <c r="BL285" i="28" s="1"/>
  <c r="BM285" i="28" s="1"/>
  <c r="AX268" i="28"/>
  <c r="AY268" i="28" s="1"/>
  <c r="AX364" i="28"/>
  <c r="AY364" i="28" s="1"/>
  <c r="AX613" i="28"/>
  <c r="AY613" i="28" s="1"/>
  <c r="AX395" i="28"/>
  <c r="AY395" i="28" s="1"/>
  <c r="AX384" i="28"/>
  <c r="AY384" i="28" s="1"/>
  <c r="AW292" i="28"/>
  <c r="AW301" i="28"/>
  <c r="AX468" i="28"/>
  <c r="AY468" i="28" s="1"/>
  <c r="AW553" i="28"/>
  <c r="AW493" i="28"/>
  <c r="AV46" i="28"/>
  <c r="AW46" i="28" s="1"/>
  <c r="AV177" i="28"/>
  <c r="AX177" i="28" s="1"/>
  <c r="AY177" i="28" s="1"/>
  <c r="AV488" i="28"/>
  <c r="AX488" i="28" s="1"/>
  <c r="AY488" i="28" s="1"/>
  <c r="AV436" i="28"/>
  <c r="AX436" i="28" s="1"/>
  <c r="AY436" i="28" s="1"/>
  <c r="AV408" i="28"/>
  <c r="AX408" i="28" s="1"/>
  <c r="AY408" i="28" s="1"/>
  <c r="AV107" i="28"/>
  <c r="AW107" i="28" s="1"/>
  <c r="AV606" i="28"/>
  <c r="AW606" i="28" s="1"/>
  <c r="AV121" i="28"/>
  <c r="AX121" i="28" s="1"/>
  <c r="AY121" i="28" s="1"/>
  <c r="AV442" i="28"/>
  <c r="AW442" i="28" s="1"/>
  <c r="AV338" i="28"/>
  <c r="AW338" i="28" s="1"/>
  <c r="AV71" i="28"/>
  <c r="AX71" i="28" s="1"/>
  <c r="AY71" i="28" s="1"/>
  <c r="AV278" i="28"/>
  <c r="AX278" i="28" s="1"/>
  <c r="AY278" i="28" s="1"/>
  <c r="AV357" i="28"/>
  <c r="AW357" i="28" s="1"/>
  <c r="AV492" i="28"/>
  <c r="AX492" i="28" s="1"/>
  <c r="AY492" i="28" s="1"/>
  <c r="AV317" i="28"/>
  <c r="AX317" i="28" s="1"/>
  <c r="AY317" i="28" s="1"/>
  <c r="AV213" i="28"/>
  <c r="AW213" i="28" s="1"/>
  <c r="AV16" i="28"/>
  <c r="AW16" i="28" s="1"/>
  <c r="AV339" i="28"/>
  <c r="AX558" i="28"/>
  <c r="AY558" i="28" s="1"/>
  <c r="AW558" i="28"/>
  <c r="AW39" i="28"/>
  <c r="AX39" i="28"/>
  <c r="AY39" i="28" s="1"/>
  <c r="AW299" i="28"/>
  <c r="AX299" i="28"/>
  <c r="AY299" i="28" s="1"/>
  <c r="AW298" i="28"/>
  <c r="AX298" i="28"/>
  <c r="AY298" i="28" s="1"/>
  <c r="AV151" i="28"/>
  <c r="AX487" i="28"/>
  <c r="AY487" i="28" s="1"/>
  <c r="AW487" i="28"/>
  <c r="AX412" i="28"/>
  <c r="AY412" i="28" s="1"/>
  <c r="AW412" i="28"/>
  <c r="AX51" i="28"/>
  <c r="AY51" i="28" s="1"/>
  <c r="AW51" i="28"/>
  <c r="AW106" i="28"/>
  <c r="BL105" i="28" s="1"/>
  <c r="BM105" i="28" s="1"/>
  <c r="AX106" i="28"/>
  <c r="AY106" i="28" s="1"/>
  <c r="AX560" i="28"/>
  <c r="AY560" i="28" s="1"/>
  <c r="AW560" i="28"/>
  <c r="AX288" i="28"/>
  <c r="AY288" i="28" s="1"/>
  <c r="AW288" i="28"/>
  <c r="AV612" i="28"/>
  <c r="AW64" i="28"/>
  <c r="BL64" i="28" s="1"/>
  <c r="AX64" i="28"/>
  <c r="AY64" i="28" s="1"/>
  <c r="AV379" i="28"/>
  <c r="AX379" i="28" s="1"/>
  <c r="AY379" i="28" s="1"/>
  <c r="AV418" i="28"/>
  <c r="AW418" i="28" s="1"/>
  <c r="AV361" i="28"/>
  <c r="AX361" i="28" s="1"/>
  <c r="AY361" i="28" s="1"/>
  <c r="AV360" i="28"/>
  <c r="AW360" i="28" s="1"/>
  <c r="AV624" i="28"/>
  <c r="AW624" i="28" s="1"/>
  <c r="H634" i="28" s="1"/>
  <c r="AV272" i="28"/>
  <c r="AW272" i="28" s="1"/>
  <c r="AV390" i="28"/>
  <c r="AW390" i="28" s="1"/>
  <c r="AV130" i="28"/>
  <c r="AX130" i="28" s="1"/>
  <c r="AY130" i="28" s="1"/>
  <c r="AV125" i="28"/>
  <c r="AW125" i="28" s="1"/>
  <c r="AV247" i="28"/>
  <c r="AX247" i="28" s="1"/>
  <c r="AY247" i="28" s="1"/>
  <c r="AV341" i="28"/>
  <c r="AW341" i="28" s="1"/>
  <c r="AV240" i="28"/>
  <c r="AW240" i="28" s="1"/>
  <c r="AV138" i="28"/>
  <c r="AW138" i="28" s="1"/>
  <c r="AV556" i="28"/>
  <c r="AW556" i="28" s="1"/>
  <c r="AV583" i="28"/>
  <c r="AW583" i="28" s="1"/>
  <c r="AV313" i="28"/>
  <c r="AW313" i="28" s="1"/>
  <c r="AV265" i="28"/>
  <c r="AW265" i="28" s="1"/>
  <c r="AV397" i="28"/>
  <c r="AW397" i="28" s="1"/>
  <c r="AV531" i="28"/>
  <c r="AW531" i="28" s="1"/>
  <c r="BL530" i="28" s="1"/>
  <c r="BM530" i="28" s="1"/>
  <c r="AV262" i="28"/>
  <c r="AX262" i="28" s="1"/>
  <c r="AY262" i="28" s="1"/>
  <c r="AV320" i="28"/>
  <c r="AW320" i="28" s="1"/>
  <c r="AV19" i="28"/>
  <c r="AW19" i="28" s="1"/>
  <c r="AV371" i="28"/>
  <c r="AX371" i="28" s="1"/>
  <c r="AY371" i="28" s="1"/>
  <c r="AV168" i="28"/>
  <c r="AX168" i="28" s="1"/>
  <c r="AY168" i="28" s="1"/>
  <c r="AV25" i="28"/>
  <c r="AW25" i="28" s="1"/>
  <c r="AV523" i="28"/>
  <c r="AW523" i="28" s="1"/>
  <c r="AV104" i="28"/>
  <c r="AW104" i="28" s="1"/>
  <c r="AV194" i="28"/>
  <c r="AW194" i="28" s="1"/>
  <c r="AV277" i="28"/>
  <c r="AW277" i="28" s="1"/>
  <c r="AV126" i="28"/>
  <c r="AW126" i="28" s="1"/>
  <c r="AV520" i="28"/>
  <c r="AX520" i="28" s="1"/>
  <c r="AY520" i="28" s="1"/>
  <c r="AV466" i="28"/>
  <c r="AX466" i="28" s="1"/>
  <c r="AY466" i="28" s="1"/>
  <c r="AV91" i="28"/>
  <c r="AX91" i="28" s="1"/>
  <c r="AY91" i="28" s="1"/>
  <c r="AV291" i="28"/>
  <c r="AW291" i="28" s="1"/>
  <c r="AV312" i="28"/>
  <c r="AX312" i="28" s="1"/>
  <c r="AY312" i="28" s="1"/>
  <c r="AV573" i="28"/>
  <c r="AW573" i="28" s="1"/>
  <c r="AV255" i="28"/>
  <c r="AX255" i="28" s="1"/>
  <c r="AY255" i="28" s="1"/>
  <c r="AV295" i="28"/>
  <c r="AX295" i="28" s="1"/>
  <c r="AY295" i="28" s="1"/>
  <c r="AV164" i="28"/>
  <c r="AX164" i="28" s="1"/>
  <c r="AY164" i="28" s="1"/>
  <c r="AV580" i="28"/>
  <c r="AW580" i="28" s="1"/>
  <c r="AV228" i="28"/>
  <c r="AX228" i="28" s="1"/>
  <c r="AY228" i="28" s="1"/>
  <c r="AV515" i="28"/>
  <c r="AW515" i="28" s="1"/>
  <c r="AV351" i="28"/>
  <c r="AW351" i="28" s="1"/>
  <c r="AV185" i="28"/>
  <c r="AX185" i="28" s="1"/>
  <c r="AY185" i="28" s="1"/>
  <c r="AX349" i="28"/>
  <c r="AY349" i="28" s="1"/>
  <c r="AW459" i="28"/>
  <c r="AV264" i="28"/>
  <c r="AX264" i="28" s="1"/>
  <c r="AY264" i="28" s="1"/>
  <c r="AX133" i="28"/>
  <c r="AY133" i="28" s="1"/>
  <c r="AW367" i="28"/>
  <c r="BL367" i="28" s="1"/>
  <c r="BM367" i="28" s="1"/>
  <c r="AX367" i="28"/>
  <c r="AY367" i="28" s="1"/>
  <c r="AX162" i="28"/>
  <c r="AY162" i="28" s="1"/>
  <c r="AW162" i="28"/>
  <c r="AX494" i="28"/>
  <c r="AY494" i="28" s="1"/>
  <c r="AW494" i="28"/>
  <c r="AV500" i="28"/>
  <c r="AX508" i="28"/>
  <c r="AY508" i="28" s="1"/>
  <c r="AW508" i="28"/>
  <c r="AW579" i="28"/>
  <c r="AX579" i="28"/>
  <c r="AY579" i="28" s="1"/>
  <c r="AX31" i="28"/>
  <c r="AY31" i="28" s="1"/>
  <c r="AW31" i="28"/>
  <c r="AX602" i="28"/>
  <c r="AY602" i="28" s="1"/>
  <c r="AW602" i="28"/>
  <c r="BL602" i="28" s="1"/>
  <c r="BM602" i="28" s="1"/>
  <c r="AW591" i="28"/>
  <c r="AX591" i="28"/>
  <c r="AY591" i="28" s="1"/>
  <c r="AX585" i="28"/>
  <c r="AY585" i="28" s="1"/>
  <c r="AW585" i="28"/>
  <c r="AV112" i="28"/>
  <c r="AX392" i="28"/>
  <c r="AY392" i="28" s="1"/>
  <c r="AW392" i="28"/>
  <c r="AX169" i="28"/>
  <c r="AY169" i="28" s="1"/>
  <c r="AW169" i="28"/>
  <c r="AV541" i="28"/>
  <c r="AW48" i="28"/>
  <c r="AX48" i="28"/>
  <c r="AY48" i="28" s="1"/>
  <c r="AX399" i="28"/>
  <c r="AY399" i="28" s="1"/>
  <c r="AW399" i="28"/>
  <c r="AW462" i="28"/>
  <c r="AX462" i="28"/>
  <c r="AY462" i="28" s="1"/>
  <c r="AW216" i="28"/>
  <c r="AX216" i="28"/>
  <c r="AY216" i="28" s="1"/>
  <c r="AV406" i="28"/>
  <c r="AX406" i="28" s="1"/>
  <c r="AY406" i="28" s="1"/>
  <c r="AV137" i="28"/>
  <c r="AW137" i="28" s="1"/>
  <c r="AV282" i="28"/>
  <c r="AW282" i="28" s="1"/>
  <c r="AV441" i="28"/>
  <c r="AX441" i="28" s="1"/>
  <c r="AY441" i="28" s="1"/>
  <c r="AV309" i="28"/>
  <c r="AX309" i="28" s="1"/>
  <c r="AY309" i="28" s="1"/>
  <c r="AV385" i="28"/>
  <c r="AX385" i="28" s="1"/>
  <c r="AY385" i="28" s="1"/>
  <c r="AV592" i="28"/>
  <c r="AW592" i="28" s="1"/>
  <c r="AV18" i="28"/>
  <c r="AW18" i="28" s="1"/>
  <c r="AV153" i="28"/>
  <c r="AX153" i="28" s="1"/>
  <c r="AY153" i="28" s="1"/>
  <c r="AV198" i="28"/>
  <c r="AX198" i="28" s="1"/>
  <c r="AY198" i="28" s="1"/>
  <c r="AV271" i="28"/>
  <c r="AX271" i="28" s="1"/>
  <c r="AY271" i="28" s="1"/>
  <c r="AV438" i="28"/>
  <c r="AX438" i="28" s="1"/>
  <c r="AY438" i="28" s="1"/>
  <c r="AV175" i="28"/>
  <c r="AX175" i="28" s="1"/>
  <c r="AY175" i="28" s="1"/>
  <c r="AV457" i="28"/>
  <c r="AW457" i="28" s="1"/>
  <c r="AV575" i="28"/>
  <c r="AW575" i="28" s="1"/>
  <c r="AV547" i="28"/>
  <c r="AW547" i="28" s="1"/>
  <c r="AV49" i="28"/>
  <c r="AX49" i="28" s="1"/>
  <c r="AY49" i="28" s="1"/>
  <c r="AV570" i="28"/>
  <c r="AW570" i="28" s="1"/>
  <c r="AV427" i="28"/>
  <c r="AW427" i="28" s="1"/>
  <c r="AV584" i="28"/>
  <c r="AW584" i="28" s="1"/>
  <c r="AV280" i="28"/>
  <c r="AW280" i="28" s="1"/>
  <c r="AV192" i="28"/>
  <c r="AX192" i="28" s="1"/>
  <c r="AY192" i="28" s="1"/>
  <c r="AV200" i="28"/>
  <c r="AX200" i="28" s="1"/>
  <c r="AY200" i="28" s="1"/>
  <c r="AV391" i="28"/>
  <c r="AX391" i="28" s="1"/>
  <c r="AY391" i="28" s="1"/>
  <c r="AV594" i="28"/>
  <c r="AX594" i="28" s="1"/>
  <c r="AY594" i="28" s="1"/>
  <c r="AV258" i="28"/>
  <c r="AW258" i="28" s="1"/>
  <c r="AV156" i="28"/>
  <c r="AW156" i="28" s="1"/>
  <c r="AV273" i="28"/>
  <c r="AX273" i="28" s="1"/>
  <c r="AY273" i="28" s="1"/>
  <c r="AV527" i="28"/>
  <c r="AW527" i="28" s="1"/>
  <c r="AV533" i="28"/>
  <c r="AX533" i="28" s="1"/>
  <c r="AY533" i="28" s="1"/>
  <c r="AV574" i="28"/>
  <c r="AW574" i="28" s="1"/>
  <c r="AV545" i="28"/>
  <c r="AX545" i="28" s="1"/>
  <c r="AY545" i="28" s="1"/>
  <c r="AV358" i="28"/>
  <c r="AX358" i="28" s="1"/>
  <c r="AY358" i="28" s="1"/>
  <c r="AV178" i="28"/>
  <c r="AX178" i="28" s="1"/>
  <c r="AY178" i="28" s="1"/>
  <c r="AV40" i="28"/>
  <c r="AX40" i="28" s="1"/>
  <c r="AY40" i="28" s="1"/>
  <c r="AV68" i="28"/>
  <c r="AX68" i="28" s="1"/>
  <c r="AY68" i="28" s="1"/>
  <c r="AV279" i="28"/>
  <c r="AX279" i="28" s="1"/>
  <c r="AY279" i="28" s="1"/>
  <c r="AV54" i="28"/>
  <c r="AW54" i="28" s="1"/>
  <c r="AV590" i="28"/>
  <c r="AX590" i="28" s="1"/>
  <c r="AY590" i="28" s="1"/>
  <c r="AV326" i="28"/>
  <c r="AW326" i="28" s="1"/>
  <c r="AV232" i="28"/>
  <c r="AX232" i="28" s="1"/>
  <c r="AY232" i="28" s="1"/>
  <c r="AW97" i="28"/>
  <c r="AV411" i="28"/>
  <c r="AW411" i="28" s="1"/>
  <c r="AV94" i="28"/>
  <c r="AW94" i="28" s="1"/>
  <c r="AV120" i="28"/>
  <c r="AX120" i="28" s="1"/>
  <c r="AY120" i="28" s="1"/>
  <c r="AV34" i="28"/>
  <c r="AV172" i="28"/>
  <c r="AW236" i="28"/>
  <c r="AX146" i="28"/>
  <c r="AY146" i="28" s="1"/>
  <c r="AW146" i="28"/>
  <c r="AX475" i="28"/>
  <c r="AY475" i="28" s="1"/>
  <c r="AW475" i="28"/>
  <c r="AX82" i="28"/>
  <c r="AY82" i="28" s="1"/>
  <c r="AW82" i="28"/>
  <c r="AX275" i="28"/>
  <c r="AY275" i="28" s="1"/>
  <c r="AW275" i="28"/>
  <c r="AX604" i="28"/>
  <c r="AY604" i="28" s="1"/>
  <c r="AW604" i="28"/>
  <c r="BL603" i="28" s="1"/>
  <c r="BM603" i="28" s="1"/>
  <c r="AV157" i="28"/>
  <c r="AW479" i="28"/>
  <c r="AX479" i="28"/>
  <c r="AY479" i="28" s="1"/>
  <c r="AW73" i="28"/>
  <c r="AX73" i="28"/>
  <c r="AY73" i="28" s="1"/>
  <c r="AV535" i="28"/>
  <c r="AX568" i="28"/>
  <c r="AY568" i="28" s="1"/>
  <c r="AW568" i="28"/>
  <c r="AW380" i="28"/>
  <c r="AX380" i="28"/>
  <c r="AY380" i="28" s="1"/>
  <c r="AV111" i="28"/>
  <c r="AV209" i="28"/>
  <c r="AX209" i="28" s="1"/>
  <c r="AY209" i="28" s="1"/>
  <c r="AV394" i="28"/>
  <c r="AX394" i="28" s="1"/>
  <c r="AY394" i="28" s="1"/>
  <c r="AV128" i="28"/>
  <c r="AX128" i="28" s="1"/>
  <c r="AY128" i="28" s="1"/>
  <c r="AV443" i="28"/>
  <c r="AX443" i="28" s="1"/>
  <c r="AY443" i="28" s="1"/>
  <c r="AV308" i="28"/>
  <c r="AX308" i="28" s="1"/>
  <c r="AY308" i="28" s="1"/>
  <c r="AV56" i="28"/>
  <c r="AW56" i="28" s="1"/>
  <c r="AV605" i="28"/>
  <c r="AW605" i="28" s="1"/>
  <c r="AV212" i="28"/>
  <c r="AX212" i="28" s="1"/>
  <c r="AY212" i="28" s="1"/>
  <c r="AV336" i="28"/>
  <c r="AX336" i="28" s="1"/>
  <c r="AY336" i="28" s="1"/>
  <c r="AV267" i="28"/>
  <c r="AW267" i="28" s="1"/>
  <c r="AV253" i="28"/>
  <c r="AW253" i="28" s="1"/>
  <c r="AV430" i="28"/>
  <c r="AW430" i="28" s="1"/>
  <c r="AV208" i="28"/>
  <c r="AW208" i="28" s="1"/>
  <c r="BL207" i="28" s="1"/>
  <c r="BM207" i="28" s="1"/>
  <c r="AV37" i="28"/>
  <c r="AX37" i="28" s="1"/>
  <c r="AY37" i="28" s="1"/>
  <c r="AV569" i="28"/>
  <c r="AW569" i="28" s="1"/>
  <c r="AV215" i="28"/>
  <c r="AW215" i="28" s="1"/>
  <c r="AV383" i="28"/>
  <c r="AW383" i="28" s="1"/>
  <c r="AV577" i="28"/>
  <c r="AX577" i="28" s="1"/>
  <c r="AY577" i="28" s="1"/>
  <c r="AV114" i="28"/>
  <c r="AX114" i="28" s="1"/>
  <c r="AY114" i="28" s="1"/>
  <c r="AV221" i="28"/>
  <c r="AW221" i="28" s="1"/>
  <c r="AV248" i="28"/>
  <c r="AW248" i="28" s="1"/>
  <c r="AV469" i="28"/>
  <c r="AX469" i="28" s="1"/>
  <c r="AY469" i="28" s="1"/>
  <c r="AV210" i="28"/>
  <c r="AX210" i="28" s="1"/>
  <c r="AY210" i="28" s="1"/>
  <c r="AV61" i="28"/>
  <c r="AX61" i="28" s="1"/>
  <c r="AY61" i="28" s="1"/>
  <c r="AV186" i="28"/>
  <c r="AW186" i="28" s="1"/>
  <c r="AV409" i="28"/>
  <c r="AX409" i="28" s="1"/>
  <c r="AY409" i="28" s="1"/>
  <c r="AV100" i="28"/>
  <c r="AX100" i="28" s="1"/>
  <c r="AY100" i="28" s="1"/>
  <c r="AV307" i="28"/>
  <c r="AW307" i="28" s="1"/>
  <c r="AV458" i="28"/>
  <c r="AW458" i="28" s="1"/>
  <c r="AV400" i="28"/>
  <c r="AX400" i="28" s="1"/>
  <c r="AY400" i="28" s="1"/>
  <c r="AV388" i="28"/>
  <c r="AW388" i="28" s="1"/>
  <c r="AV482" i="28"/>
  <c r="AX482" i="28" s="1"/>
  <c r="AY482" i="28" s="1"/>
  <c r="AX596" i="28"/>
  <c r="AY596" i="28" s="1"/>
  <c r="AV245" i="28"/>
  <c r="AX245" i="28" s="1"/>
  <c r="AY245" i="28" s="1"/>
  <c r="AV405" i="28"/>
  <c r="AX405" i="28" s="1"/>
  <c r="AY405" i="28" s="1"/>
  <c r="AV171" i="28"/>
  <c r="AX171" i="28" s="1"/>
  <c r="AY171" i="28" s="1"/>
  <c r="AV600" i="28"/>
  <c r="AX600" i="28" s="1"/>
  <c r="AY600" i="28" s="1"/>
  <c r="AV607" i="28"/>
  <c r="AX607" i="28" s="1"/>
  <c r="AY607" i="28" s="1"/>
  <c r="AV597" i="28"/>
  <c r="AW597" i="28" s="1"/>
  <c r="AV119" i="28"/>
  <c r="AX119" i="28" s="1"/>
  <c r="AY119" i="28" s="1"/>
  <c r="AV70" i="28"/>
  <c r="AX70" i="28" s="1"/>
  <c r="AY70" i="28" s="1"/>
  <c r="AX473" i="28"/>
  <c r="AY473" i="28" s="1"/>
  <c r="AV176" i="28"/>
  <c r="AV197" i="28"/>
  <c r="AW263" i="28"/>
  <c r="AW149" i="28"/>
  <c r="AX149" i="28"/>
  <c r="AY149" i="28" s="1"/>
  <c r="AW514" i="28"/>
  <c r="AX514" i="28"/>
  <c r="AY514" i="28" s="1"/>
  <c r="AW331" i="28"/>
  <c r="BL330" i="28" s="1"/>
  <c r="BM330" i="28" s="1"/>
  <c r="AX331" i="28"/>
  <c r="AY331" i="28" s="1"/>
  <c r="AW95" i="28"/>
  <c r="AX95" i="28"/>
  <c r="AY95" i="28" s="1"/>
  <c r="AX196" i="28"/>
  <c r="AY196" i="28" s="1"/>
  <c r="AW196" i="28"/>
  <c r="AX433" i="28"/>
  <c r="AY433" i="28" s="1"/>
  <c r="AW433" i="28"/>
  <c r="BL432" i="28" s="1"/>
  <c r="BM432" i="28" s="1"/>
  <c r="AW294" i="28"/>
  <c r="AX294" i="28"/>
  <c r="AY294" i="28" s="1"/>
  <c r="AX251" i="28"/>
  <c r="AY251" i="28" s="1"/>
  <c r="AW251" i="28"/>
  <c r="AW381" i="28"/>
  <c r="AX381" i="28"/>
  <c r="AY381" i="28" s="1"/>
  <c r="AW424" i="28"/>
  <c r="AX424" i="28"/>
  <c r="AY424" i="28" s="1"/>
  <c r="AW224" i="28"/>
  <c r="AX224" i="28"/>
  <c r="AY224" i="28" s="1"/>
  <c r="AX423" i="28"/>
  <c r="AY423" i="28" s="1"/>
  <c r="AW423" i="28"/>
  <c r="AW470" i="28"/>
  <c r="AX470" i="28"/>
  <c r="AY470" i="28" s="1"/>
  <c r="AW13" i="28"/>
  <c r="AX13" i="28"/>
  <c r="AY13" i="28" s="1"/>
  <c r="AW270" i="28"/>
  <c r="AX270" i="28"/>
  <c r="AY270" i="28" s="1"/>
  <c r="AV518" i="28"/>
  <c r="AW250" i="28"/>
  <c r="AX250" i="28"/>
  <c r="AY250" i="28" s="1"/>
  <c r="AW53" i="28"/>
  <c r="AX53" i="28"/>
  <c r="AY53" i="28" s="1"/>
  <c r="AW290" i="28"/>
  <c r="AX290" i="28"/>
  <c r="AY290" i="28" s="1"/>
  <c r="AX332" i="28"/>
  <c r="AY332" i="28" s="1"/>
  <c r="AW332" i="28"/>
  <c r="AV387" i="28"/>
  <c r="AW387" i="28" s="1"/>
  <c r="AV460" i="28"/>
  <c r="AX460" i="28" s="1"/>
  <c r="AY460" i="28" s="1"/>
  <c r="AV366" i="28"/>
  <c r="AW366" i="28" s="1"/>
  <c r="AV23" i="28"/>
  <c r="AW23" i="28" s="1"/>
  <c r="AV536" i="28"/>
  <c r="AX536" i="28" s="1"/>
  <c r="AY536" i="28" s="1"/>
  <c r="AV143" i="28"/>
  <c r="AW143" i="28" s="1"/>
  <c r="AV431" i="28"/>
  <c r="AX431" i="28" s="1"/>
  <c r="AY431" i="28" s="1"/>
  <c r="AV230" i="28"/>
  <c r="AW230" i="28" s="1"/>
  <c r="AV511" i="28"/>
  <c r="AW511" i="28" s="1"/>
  <c r="AV252" i="28"/>
  <c r="AX252" i="28" s="1"/>
  <c r="AY252" i="28" s="1"/>
  <c r="AV132" i="28"/>
  <c r="AX132" i="28" s="1"/>
  <c r="AY132" i="28" s="1"/>
  <c r="AV571" i="28"/>
  <c r="AX571" i="28" s="1"/>
  <c r="AY571" i="28" s="1"/>
  <c r="AV552" i="28"/>
  <c r="AX552" i="28" s="1"/>
  <c r="AY552" i="28" s="1"/>
  <c r="AV363" i="28"/>
  <c r="AX363" i="28" s="1"/>
  <c r="AY363" i="28" s="1"/>
  <c r="AV449" i="28"/>
  <c r="AX449" i="28" s="1"/>
  <c r="AY449" i="28" s="1"/>
  <c r="AV297" i="28"/>
  <c r="AX297" i="28" s="1"/>
  <c r="AY297" i="28" s="1"/>
  <c r="AV124" i="28"/>
  <c r="AW124" i="28" s="1"/>
  <c r="AV546" i="28"/>
  <c r="AW546" i="28" s="1"/>
  <c r="AV572" i="28"/>
  <c r="AX572" i="28" s="1"/>
  <c r="AY572" i="28" s="1"/>
  <c r="AV231" i="28"/>
  <c r="AW231" i="28" s="1"/>
  <c r="AV565" i="28"/>
  <c r="AX565" i="28" s="1"/>
  <c r="AY565" i="28" s="1"/>
  <c r="AV174" i="28"/>
  <c r="AX174" i="28" s="1"/>
  <c r="AY174" i="28" s="1"/>
  <c r="AW79" i="28"/>
  <c r="AW142" i="28"/>
  <c r="AV627" i="28"/>
  <c r="AW627" i="28" s="1"/>
  <c r="AV352" i="28"/>
  <c r="AW352" i="28" s="1"/>
  <c r="AV306" i="28"/>
  <c r="AX306" i="28" s="1"/>
  <c r="AY306" i="28" s="1"/>
  <c r="AV564" i="28"/>
  <c r="AX564" i="28" s="1"/>
  <c r="AY564" i="28" s="1"/>
  <c r="AV148" i="28"/>
  <c r="AW225" i="28"/>
  <c r="AX225" i="28"/>
  <c r="AY225" i="28" s="1"/>
  <c r="AX226" i="28"/>
  <c r="AY226" i="28" s="1"/>
  <c r="AW226" i="28"/>
  <c r="AV254" i="28"/>
  <c r="AX249" i="28"/>
  <c r="AY249" i="28" s="1"/>
  <c r="AW249" i="28"/>
  <c r="AX21" i="28"/>
  <c r="AY21" i="28" s="1"/>
  <c r="AW21" i="28"/>
  <c r="BL20" i="28" s="1"/>
  <c r="BM20" i="28" s="1"/>
  <c r="AW401" i="28"/>
  <c r="AX401" i="28"/>
  <c r="AY401" i="28" s="1"/>
  <c r="AX501" i="28"/>
  <c r="AY501" i="28" s="1"/>
  <c r="AX417" i="28"/>
  <c r="AY417" i="28" s="1"/>
  <c r="AW417" i="28"/>
  <c r="AW465" i="28"/>
  <c r="AX465" i="28"/>
  <c r="AY465" i="28" s="1"/>
  <c r="AX480" i="28"/>
  <c r="AY480" i="28" s="1"/>
  <c r="AW480" i="28"/>
  <c r="AV319" i="28"/>
  <c r="AX319" i="28" s="1"/>
  <c r="AY319" i="28" s="1"/>
  <c r="AV428" i="28"/>
  <c r="AX428" i="28" s="1"/>
  <c r="AY428" i="28" s="1"/>
  <c r="AV355" i="28"/>
  <c r="AW355" i="28" s="1"/>
  <c r="AV324" i="28"/>
  <c r="AW324" i="28" s="1"/>
  <c r="AV419" i="28"/>
  <c r="AX419" i="28" s="1"/>
  <c r="AY419" i="28" s="1"/>
  <c r="AV365" i="28"/>
  <c r="AX365" i="28" s="1"/>
  <c r="AY365" i="28" s="1"/>
  <c r="AV86" i="28"/>
  <c r="AW86" i="28" s="1"/>
  <c r="AV234" i="28"/>
  <c r="AX234" i="28" s="1"/>
  <c r="AY234" i="28" s="1"/>
  <c r="AV582" i="28"/>
  <c r="AW582" i="28" s="1"/>
  <c r="AV74" i="28"/>
  <c r="AX74" i="28" s="1"/>
  <c r="AY74" i="28" s="1"/>
  <c r="AV512" i="28"/>
  <c r="AW512" i="28" s="1"/>
  <c r="AV337" i="28"/>
  <c r="AX337" i="28" s="1"/>
  <c r="AY337" i="28" s="1"/>
  <c r="AV346" i="28"/>
  <c r="AW346" i="28" s="1"/>
  <c r="AV219" i="28"/>
  <c r="AW219" i="28" s="1"/>
  <c r="AV55" i="28"/>
  <c r="AX55" i="28" s="1"/>
  <c r="AY55" i="28" s="1"/>
  <c r="AV259" i="28"/>
  <c r="AW259" i="28" s="1"/>
  <c r="AV450" i="28"/>
  <c r="AX450" i="28" s="1"/>
  <c r="AY450" i="28" s="1"/>
  <c r="AV22" i="28"/>
  <c r="AW22" i="28" s="1"/>
  <c r="AV116" i="28"/>
  <c r="AX116" i="28" s="1"/>
  <c r="AY116" i="28" s="1"/>
  <c r="AV98" i="28"/>
  <c r="AW98" i="28" s="1"/>
  <c r="AV227" i="28"/>
  <c r="AW227" i="28" s="1"/>
  <c r="AV544" i="28"/>
  <c r="AX544" i="28" s="1"/>
  <c r="AY544" i="28" s="1"/>
  <c r="AV452" i="28"/>
  <c r="AX452" i="28" s="1"/>
  <c r="AY452" i="28" s="1"/>
  <c r="AV398" i="28"/>
  <c r="AX398" i="28" s="1"/>
  <c r="AY398" i="28" s="1"/>
  <c r="AV410" i="28"/>
  <c r="AW410" i="28" s="1"/>
  <c r="AV593" i="28"/>
  <c r="AX593" i="28" s="1"/>
  <c r="AY593" i="28" s="1"/>
  <c r="AV300" i="28"/>
  <c r="AX300" i="28" s="1"/>
  <c r="AY300" i="28" s="1"/>
  <c r="AV611" i="28"/>
  <c r="AW611" i="28" s="1"/>
  <c r="AV496" i="28"/>
  <c r="AW496" i="28" s="1"/>
  <c r="AV467" i="28"/>
  <c r="AX467" i="28" s="1"/>
  <c r="AY467" i="28" s="1"/>
  <c r="AV335" i="28"/>
  <c r="AW335" i="28" s="1"/>
  <c r="AV327" i="28"/>
  <c r="AX327" i="28" s="1"/>
  <c r="AY327" i="28" s="1"/>
  <c r="AV189" i="28"/>
  <c r="AW189" i="28" s="1"/>
  <c r="AV517" i="28"/>
  <c r="AX517" i="28" s="1"/>
  <c r="AY517" i="28" s="1"/>
  <c r="AV108" i="28"/>
  <c r="AW108" i="28" s="1"/>
  <c r="AV289" i="28"/>
  <c r="AX289" i="28" s="1"/>
  <c r="AY289" i="28" s="1"/>
  <c r="AV537" i="28"/>
  <c r="AX537" i="28" s="1"/>
  <c r="AY537" i="28" s="1"/>
  <c r="AV44" i="28"/>
  <c r="AW44" i="28" s="1"/>
  <c r="AV62" i="28"/>
  <c r="AX62" i="28" s="1"/>
  <c r="AY62" i="28" s="1"/>
  <c r="AV595" i="28"/>
  <c r="AX595" i="28" s="1"/>
  <c r="AY595" i="28" s="1"/>
  <c r="AV576" i="28"/>
  <c r="AX576" i="28" s="1"/>
  <c r="AY576" i="28" s="1"/>
  <c r="AV220" i="28"/>
  <c r="AX220" i="28" s="1"/>
  <c r="AY220" i="28" s="1"/>
  <c r="AV499" i="28"/>
  <c r="AX499" i="28" s="1"/>
  <c r="AY499" i="28" s="1"/>
  <c r="AV587" i="28"/>
  <c r="AW587" i="28" s="1"/>
  <c r="AV416" i="28"/>
  <c r="AX416" i="28" s="1"/>
  <c r="AY416" i="28" s="1"/>
  <c r="AV191" i="28"/>
  <c r="AX191" i="28" s="1"/>
  <c r="AY191" i="28" s="1"/>
  <c r="AV239" i="28"/>
  <c r="AX239" i="28" s="1"/>
  <c r="AY239" i="28" s="1"/>
  <c r="AV238" i="28"/>
  <c r="AX238" i="28" s="1"/>
  <c r="AY238" i="28" s="1"/>
  <c r="AX610" i="28"/>
  <c r="AY610" i="28" s="1"/>
  <c r="AV372" i="28"/>
  <c r="AX372" i="28" s="1"/>
  <c r="AY372" i="28" s="1"/>
  <c r="AV147" i="28"/>
  <c r="AW147" i="28" s="1"/>
  <c r="AV413" i="28"/>
  <c r="AW413" i="28" s="1"/>
  <c r="AW184" i="28"/>
  <c r="AX184" i="28"/>
  <c r="AY184" i="28" s="1"/>
  <c r="AX223" i="28"/>
  <c r="AY223" i="28" s="1"/>
  <c r="AW223" i="28"/>
  <c r="AX260" i="28"/>
  <c r="AY260" i="28" s="1"/>
  <c r="AW260" i="28"/>
  <c r="AW498" i="28"/>
  <c r="AX498" i="28"/>
  <c r="AY498" i="28" s="1"/>
  <c r="AW586" i="28"/>
  <c r="AX586" i="28"/>
  <c r="AY586" i="28" s="1"/>
  <c r="AV103" i="28"/>
  <c r="AW566" i="28"/>
  <c r="AX566" i="28"/>
  <c r="AY566" i="28" s="1"/>
  <c r="AX129" i="28"/>
  <c r="AY129" i="28" s="1"/>
  <c r="AW129" i="28"/>
  <c r="AW131" i="28"/>
  <c r="AX131" i="28"/>
  <c r="AY131" i="28" s="1"/>
  <c r="AV256" i="28"/>
  <c r="AX455" i="28"/>
  <c r="AY455" i="28" s="1"/>
  <c r="AW455" i="28"/>
  <c r="AX435" i="28"/>
  <c r="AY435" i="28" s="1"/>
  <c r="AW435" i="28"/>
  <c r="AX609" i="28"/>
  <c r="AY609" i="28" s="1"/>
  <c r="AW609" i="28"/>
  <c r="AV472" i="28"/>
  <c r="AW472" i="28" s="1"/>
  <c r="AV489" i="28"/>
  <c r="AW489" i="28" s="1"/>
  <c r="AV118" i="28"/>
  <c r="AX118" i="28" s="1"/>
  <c r="AY118" i="28" s="1"/>
  <c r="AV529" i="28"/>
  <c r="AW529" i="28" s="1"/>
  <c r="AV503" i="28"/>
  <c r="AW503" i="28" s="1"/>
  <c r="AV333" i="28"/>
  <c r="AX333" i="28" s="1"/>
  <c r="AY333" i="28" s="1"/>
  <c r="AV115" i="28"/>
  <c r="AX115" i="28" s="1"/>
  <c r="AY115" i="28" s="1"/>
  <c r="AV190" i="28"/>
  <c r="AX190" i="28" s="1"/>
  <c r="AY190" i="28" s="1"/>
  <c r="AV193" i="28"/>
  <c r="AX193" i="28" s="1"/>
  <c r="AY193" i="28" s="1"/>
  <c r="AV15" i="28"/>
  <c r="AX15" i="28" s="1"/>
  <c r="AY15" i="28" s="1"/>
  <c r="AV217" i="28"/>
  <c r="AW217" i="28" s="1"/>
  <c r="AV141" i="28"/>
  <c r="AX141" i="28" s="1"/>
  <c r="AY141" i="28" s="1"/>
  <c r="AV93" i="28"/>
  <c r="AX93" i="28" s="1"/>
  <c r="AY93" i="28" s="1"/>
  <c r="AV437" i="28"/>
  <c r="AX437" i="28" s="1"/>
  <c r="AY437" i="28" s="1"/>
  <c r="AV625" i="28"/>
  <c r="AX625" i="28" s="1"/>
  <c r="AY625" i="28" s="1"/>
  <c r="AV158" i="28"/>
  <c r="AX158" i="28" s="1"/>
  <c r="AY158" i="28" s="1"/>
  <c r="AV117" i="28"/>
  <c r="AW117" i="28" s="1"/>
  <c r="AV17" i="28"/>
  <c r="AW17" i="28" s="1"/>
  <c r="AV242" i="28"/>
  <c r="AX242" i="28" s="1"/>
  <c r="AY242" i="28" s="1"/>
  <c r="AV283" i="28"/>
  <c r="AX283" i="28" s="1"/>
  <c r="AY283" i="28" s="1"/>
  <c r="AV532" i="28"/>
  <c r="AW532" i="28" s="1"/>
  <c r="AV30" i="28"/>
  <c r="AW30" i="28" s="1"/>
  <c r="AV509" i="28"/>
  <c r="AX509" i="28" s="1"/>
  <c r="AY509" i="28" s="1"/>
  <c r="AV43" i="28"/>
  <c r="AX43" i="28" s="1"/>
  <c r="AY43" i="28" s="1"/>
  <c r="AV519" i="28"/>
  <c r="AX519" i="28" s="1"/>
  <c r="AY519" i="28" s="1"/>
  <c r="AV76" i="28"/>
  <c r="AW76" i="28" s="1"/>
  <c r="AV396" i="28"/>
  <c r="AW396" i="28" s="1"/>
  <c r="BL395" i="28" s="1"/>
  <c r="BM395" i="28" s="1"/>
  <c r="AV287" i="28"/>
  <c r="AW287" i="28" s="1"/>
  <c r="AV47" i="28"/>
  <c r="AW47" i="28" s="1"/>
  <c r="AV237" i="28"/>
  <c r="AX237" i="28" s="1"/>
  <c r="AY237" i="28" s="1"/>
  <c r="AV78" i="28"/>
  <c r="AW78" i="28" s="1"/>
  <c r="AV376" i="28"/>
  <c r="AX376" i="28" s="1"/>
  <c r="AY376" i="28" s="1"/>
  <c r="AV524" i="28"/>
  <c r="AX524" i="28" s="1"/>
  <c r="AY524" i="28" s="1"/>
  <c r="AV525" i="28"/>
  <c r="AX525" i="28" s="1"/>
  <c r="AY525" i="28" s="1"/>
  <c r="AV284" i="28"/>
  <c r="AW284" i="28" s="1"/>
  <c r="AV188" i="28"/>
  <c r="AW188" i="28" s="1"/>
  <c r="AV521" i="28"/>
  <c r="AW521" i="28" s="1"/>
  <c r="AV374" i="28"/>
  <c r="AW374" i="28" s="1"/>
  <c r="AV33" i="28"/>
  <c r="AX33" i="28" s="1"/>
  <c r="AY33" i="28" s="1"/>
  <c r="AV601" i="28"/>
  <c r="AX601" i="28" s="1"/>
  <c r="AY601" i="28" s="1"/>
  <c r="AV83" i="28"/>
  <c r="AW83" i="28" s="1"/>
  <c r="AV183" i="28"/>
  <c r="AX183" i="28" s="1"/>
  <c r="AY183" i="28" s="1"/>
  <c r="AV477" i="28"/>
  <c r="AX477" i="28" s="1"/>
  <c r="AY477" i="28" s="1"/>
  <c r="AV32" i="28"/>
  <c r="AX32" i="28" s="1"/>
  <c r="AY32" i="28" s="1"/>
  <c r="AV538" i="28"/>
  <c r="AW538" i="28" s="1"/>
  <c r="AV89" i="28"/>
  <c r="AX89" i="28" s="1"/>
  <c r="AY89" i="28" s="1"/>
  <c r="AV476" i="28"/>
  <c r="AX476" i="28" s="1"/>
  <c r="AY476" i="28" s="1"/>
  <c r="AV505" i="28"/>
  <c r="AW505" i="28" s="1"/>
  <c r="AV548" i="28"/>
  <c r="AW548" i="28" s="1"/>
  <c r="AV559" i="28"/>
  <c r="AW559" i="28" s="1"/>
  <c r="AV102" i="28"/>
  <c r="AW102" i="28" s="1"/>
  <c r="AV314" i="28"/>
  <c r="AW314" i="28" s="1"/>
  <c r="AV534" i="28"/>
  <c r="AX534" i="28" s="1"/>
  <c r="AY534" i="28" s="1"/>
  <c r="AV63" i="28"/>
  <c r="AX63" i="28" s="1"/>
  <c r="AY63" i="28" s="1"/>
  <c r="AX155" i="28"/>
  <c r="AY155" i="28" s="1"/>
  <c r="AW562" i="28"/>
  <c r="AV139" i="28"/>
  <c r="AX139" i="28" s="1"/>
  <c r="AY139" i="28" s="1"/>
  <c r="AW461" i="28"/>
  <c r="AV36" i="28"/>
  <c r="AX36" i="28" s="1"/>
  <c r="AY36" i="28" s="1"/>
  <c r="AW429" i="28"/>
  <c r="AW563" i="28"/>
  <c r="AW170" i="28"/>
  <c r="AW340" i="28"/>
  <c r="AW369" i="28"/>
  <c r="AX369" i="28"/>
  <c r="AY369" i="28" s="1"/>
  <c r="AW513" i="28"/>
  <c r="AX513" i="28"/>
  <c r="AY513" i="28" s="1"/>
  <c r="AX42" i="28"/>
  <c r="AY42" i="28" s="1"/>
  <c r="AW42" i="28"/>
  <c r="AX45" i="28"/>
  <c r="AY45" i="28" s="1"/>
  <c r="AW45" i="28"/>
  <c r="AX14" i="28"/>
  <c r="AY14" i="28" s="1"/>
  <c r="AW14" i="28"/>
  <c r="AV199" i="28"/>
  <c r="AV135" i="28"/>
  <c r="AX29" i="28"/>
  <c r="AY29" i="28" s="1"/>
  <c r="AW29" i="28"/>
  <c r="AX555" i="28"/>
  <c r="AY555" i="28" s="1"/>
  <c r="AW555" i="28"/>
  <c r="AX550" i="28"/>
  <c r="AY550" i="28" s="1"/>
  <c r="AW550" i="28"/>
  <c r="AX581" i="28"/>
  <c r="AY581" i="28" s="1"/>
  <c r="AW581" i="28"/>
  <c r="AW173" i="28"/>
  <c r="AX173" i="28"/>
  <c r="AY173" i="28" s="1"/>
  <c r="AX241" i="28"/>
  <c r="AY241" i="28" s="1"/>
  <c r="AW241" i="28"/>
  <c r="AX205" i="28"/>
  <c r="AY205" i="28" s="1"/>
  <c r="AW205" i="28"/>
  <c r="AW203" i="28"/>
  <c r="AX203" i="28"/>
  <c r="AY203" i="28" s="1"/>
  <c r="AW510" i="28"/>
  <c r="AX510" i="28"/>
  <c r="AY510" i="28" s="1"/>
  <c r="AV345" i="28"/>
  <c r="AW345" i="28" s="1"/>
  <c r="AV201" i="28"/>
  <c r="AX201" i="28" s="1"/>
  <c r="AY201" i="28" s="1"/>
  <c r="AV229" i="28"/>
  <c r="AX229" i="28" s="1"/>
  <c r="AY229" i="28" s="1"/>
  <c r="AV375" i="28"/>
  <c r="AX375" i="28" s="1"/>
  <c r="AY375" i="28" s="1"/>
  <c r="AV471" i="28"/>
  <c r="AX471" i="28" s="1"/>
  <c r="AY471" i="28" s="1"/>
  <c r="AV445" i="28"/>
  <c r="AW445" i="28" s="1"/>
  <c r="AV187" i="28"/>
  <c r="AX187" i="28" s="1"/>
  <c r="AY187" i="28" s="1"/>
  <c r="AV57" i="28"/>
  <c r="AX57" i="28" s="1"/>
  <c r="AY57" i="28" s="1"/>
  <c r="AV491" i="28"/>
  <c r="AX491" i="28" s="1"/>
  <c r="AY491" i="28" s="1"/>
  <c r="AV181" i="28"/>
  <c r="AW181" i="28" s="1"/>
  <c r="AV24" i="28"/>
  <c r="AX24" i="28" s="1"/>
  <c r="AY24" i="28" s="1"/>
  <c r="AV179" i="28"/>
  <c r="AW179" i="28" s="1"/>
  <c r="AV342" i="28"/>
  <c r="AW342" i="28" s="1"/>
  <c r="AV588" i="28"/>
  <c r="AW588" i="28" s="1"/>
  <c r="AV35" i="28"/>
  <c r="AX35" i="28" s="1"/>
  <c r="AY35" i="28" s="1"/>
  <c r="AV85" i="28"/>
  <c r="AW85" i="28" s="1"/>
  <c r="AV356" i="28"/>
  <c r="AX356" i="28" s="1"/>
  <c r="AY356" i="28" s="1"/>
  <c r="AV202" i="28"/>
  <c r="AX202" i="28" s="1"/>
  <c r="AY202" i="28" s="1"/>
  <c r="AV323" i="28"/>
  <c r="AW323" i="28" s="1"/>
  <c r="AV60" i="28"/>
  <c r="AW60" i="28" s="1"/>
  <c r="AV77" i="28"/>
  <c r="AX77" i="28" s="1"/>
  <c r="AY77" i="28" s="1"/>
  <c r="AV246" i="28"/>
  <c r="AW246" i="28" s="1"/>
  <c r="AV348" i="28"/>
  <c r="AX348" i="28" s="1"/>
  <c r="AY348" i="28" s="1"/>
  <c r="AV478" i="28"/>
  <c r="AX478" i="28" s="1"/>
  <c r="AY478" i="28" s="1"/>
  <c r="AV407" i="28"/>
  <c r="AW407" i="28" s="1"/>
  <c r="AV321" i="28"/>
  <c r="AX321" i="28" s="1"/>
  <c r="AY321" i="28" s="1"/>
  <c r="AV589" i="28"/>
  <c r="AX589" i="28" s="1"/>
  <c r="AY589" i="28" s="1"/>
  <c r="AV481" i="28"/>
  <c r="AX481" i="28" s="1"/>
  <c r="AY481" i="28" s="1"/>
  <c r="AV486" i="28"/>
  <c r="AW486" i="28" s="1"/>
  <c r="AV420" i="28"/>
  <c r="AX420" i="28" s="1"/>
  <c r="AY420" i="28" s="1"/>
  <c r="AV276" i="28"/>
  <c r="AW276" i="28" s="1"/>
  <c r="AV165" i="28"/>
  <c r="AW165" i="28" s="1"/>
  <c r="AV386" i="28"/>
  <c r="AX386" i="28" s="1"/>
  <c r="AY386" i="28" s="1"/>
  <c r="AV269" i="28"/>
  <c r="AW269" i="28" s="1"/>
  <c r="AV542" i="28"/>
  <c r="AX542" i="28" s="1"/>
  <c r="AY542" i="28" s="1"/>
  <c r="AV75" i="28"/>
  <c r="AW75" i="28" s="1"/>
  <c r="AV414" i="28"/>
  <c r="AW414" i="28" s="1"/>
  <c r="AV526" i="28"/>
  <c r="AW526" i="28" s="1"/>
  <c r="AV96" i="28"/>
  <c r="AW96" i="28" s="1"/>
  <c r="AW439" i="28"/>
  <c r="AW393" i="28"/>
  <c r="AX101" i="28"/>
  <c r="AY101" i="28" s="1"/>
  <c r="AV302" i="28"/>
  <c r="AW302" i="28" s="1"/>
  <c r="AW163" i="28"/>
  <c r="AV456" i="28"/>
  <c r="AW456" i="28" s="1"/>
  <c r="AW52" i="28"/>
  <c r="AX52" i="28"/>
  <c r="AY52" i="28" s="1"/>
  <c r="AV350" i="28"/>
  <c r="AX261" i="28"/>
  <c r="AY261" i="28" s="1"/>
  <c r="AW261" i="28"/>
  <c r="AV195" i="28"/>
  <c r="AX136" i="28"/>
  <c r="AY136" i="28" s="1"/>
  <c r="AW136" i="28"/>
  <c r="AX160" i="28"/>
  <c r="AY160" i="28" s="1"/>
  <c r="AW160" i="28"/>
  <c r="AW528" i="28"/>
  <c r="AX528" i="28"/>
  <c r="AY528" i="28" s="1"/>
  <c r="AX123" i="28"/>
  <c r="AY123" i="28" s="1"/>
  <c r="AW123" i="28"/>
  <c r="AX318" i="28"/>
  <c r="AY318" i="28" s="1"/>
  <c r="AW318" i="28"/>
  <c r="AX87" i="28"/>
  <c r="AY87" i="28" s="1"/>
  <c r="AW87" i="28"/>
  <c r="AW99" i="28"/>
  <c r="AX99" i="28"/>
  <c r="AY99" i="28" s="1"/>
  <c r="AW113" i="28"/>
  <c r="AX113" i="28"/>
  <c r="AY113" i="28" s="1"/>
  <c r="AW257" i="28"/>
  <c r="AX257" i="28"/>
  <c r="AY257" i="28" s="1"/>
  <c r="AW214" i="28"/>
  <c r="AX214" i="28"/>
  <c r="AY214" i="28" s="1"/>
  <c r="AX404" i="28"/>
  <c r="AY404" i="28" s="1"/>
  <c r="AW404" i="28"/>
  <c r="BL403" i="28" s="1"/>
  <c r="BM403" i="28" s="1"/>
  <c r="AW483" i="28"/>
  <c r="AX483" i="28"/>
  <c r="AY483" i="28" s="1"/>
  <c r="AX266" i="28"/>
  <c r="AY266" i="28" s="1"/>
  <c r="AW266" i="28"/>
  <c r="AV27" i="28"/>
  <c r="AX58" i="28"/>
  <c r="AY58" i="28" s="1"/>
  <c r="AW58" i="28"/>
  <c r="K628" i="28"/>
  <c r="AM628" i="28"/>
  <c r="F628" i="28"/>
  <c r="AP628" i="28"/>
  <c r="G628" i="28"/>
  <c r="H628" i="28" s="1"/>
  <c r="I628" i="28" s="1"/>
  <c r="AJ628" i="28"/>
  <c r="P623" i="28"/>
  <c r="O623" i="28"/>
  <c r="T623" i="28" s="1"/>
  <c r="AU622" i="28"/>
  <c r="AT622" i="28"/>
  <c r="N622" i="28"/>
  <c r="E32" i="1"/>
  <c r="B116" i="2"/>
  <c r="K224" i="2"/>
  <c r="E29" i="1"/>
  <c r="B310" i="2"/>
  <c r="B318" i="2"/>
  <c r="B334" i="2"/>
  <c r="B339" i="2" s="1"/>
  <c r="H7" i="28" s="1"/>
  <c r="B338" i="2"/>
  <c r="B382" i="2"/>
  <c r="N13" i="8"/>
  <c r="E44" i="1"/>
  <c r="K4" i="17"/>
  <c r="AX293" i="28" l="1"/>
  <c r="AY293" i="28" s="1"/>
  <c r="AW28" i="28"/>
  <c r="AX370" i="28"/>
  <c r="AY370" i="28" s="1"/>
  <c r="BL557" i="28"/>
  <c r="BM557" i="28" s="1"/>
  <c r="AX233" i="28"/>
  <c r="AY233" i="28" s="1"/>
  <c r="AW329" i="28"/>
  <c r="BL329" i="28" s="1"/>
  <c r="BM329" i="28" s="1"/>
  <c r="AW426" i="28"/>
  <c r="BL425" i="28" s="1"/>
  <c r="BM425" i="28" s="1"/>
  <c r="AX557" i="28"/>
  <c r="AY557" i="28" s="1"/>
  <c r="AW311" i="28"/>
  <c r="BL105" i="33"/>
  <c r="BR105" i="33"/>
  <c r="Y129" i="33"/>
  <c r="AA129" i="33"/>
  <c r="AB129" i="33" s="1"/>
  <c r="AC129" i="33" s="1"/>
  <c r="AJ129" i="33"/>
  <c r="AN129" i="33"/>
  <c r="AD129" i="33"/>
  <c r="AE129" i="33" s="1"/>
  <c r="AF129" i="33" s="1"/>
  <c r="Y165" i="33"/>
  <c r="AA165" i="33"/>
  <c r="AB165" i="33" s="1"/>
  <c r="AC165" i="33" s="1"/>
  <c r="AJ165" i="33"/>
  <c r="AN165" i="33"/>
  <c r="AD165" i="33"/>
  <c r="AE165" i="33" s="1"/>
  <c r="AF165" i="33" s="1"/>
  <c r="BR78" i="33"/>
  <c r="BL78" i="33"/>
  <c r="BQ78" i="33"/>
  <c r="X54" i="33"/>
  <c r="AG54" i="33"/>
  <c r="AH54" i="33" s="1"/>
  <c r="AY54" i="33"/>
  <c r="AM186" i="33"/>
  <c r="BC186" i="33"/>
  <c r="BV186" i="33" s="1"/>
  <c r="BL118" i="33"/>
  <c r="BR118" i="33"/>
  <c r="BQ118" i="33"/>
  <c r="BR35" i="33"/>
  <c r="BQ35" i="33"/>
  <c r="BL91" i="33"/>
  <c r="BR91" i="33"/>
  <c r="AM191" i="33"/>
  <c r="BC191" i="33"/>
  <c r="BV191" i="33" s="1"/>
  <c r="BP78" i="33"/>
  <c r="BI78" i="33"/>
  <c r="BK78" i="33" s="1"/>
  <c r="BO78" i="33" s="1"/>
  <c r="AM68" i="33"/>
  <c r="BR48" i="33"/>
  <c r="Y125" i="33"/>
  <c r="AJ125" i="33"/>
  <c r="AA125" i="33"/>
  <c r="AB125" i="33" s="1"/>
  <c r="AC125" i="33" s="1"/>
  <c r="AN125" i="33"/>
  <c r="AD125" i="33"/>
  <c r="AE125" i="33" s="1"/>
  <c r="AF125" i="33" s="1"/>
  <c r="AM183" i="33"/>
  <c r="BC183" i="33"/>
  <c r="BV183" i="33" s="1"/>
  <c r="AM132" i="33"/>
  <c r="BC132" i="33"/>
  <c r="BV132" i="33" s="1"/>
  <c r="BP35" i="33"/>
  <c r="BI35" i="33"/>
  <c r="BK35" i="33" s="1"/>
  <c r="BO35" i="33" s="1"/>
  <c r="BR92" i="33"/>
  <c r="BL92" i="33"/>
  <c r="X148" i="33"/>
  <c r="AY148" i="33"/>
  <c r="X138" i="33"/>
  <c r="AY138" i="33"/>
  <c r="BR61" i="33"/>
  <c r="BS81" i="33"/>
  <c r="BM81" i="33"/>
  <c r="AM177" i="33"/>
  <c r="BC177" i="33"/>
  <c r="BV177" i="33" s="1"/>
  <c r="BR80" i="33"/>
  <c r="BL80" i="33"/>
  <c r="BQ80" i="33"/>
  <c r="BR103" i="33"/>
  <c r="BL103" i="33"/>
  <c r="AQ33" i="33"/>
  <c r="BC33" i="33"/>
  <c r="BV33" i="33" s="1"/>
  <c r="X42" i="33"/>
  <c r="AY42" i="33"/>
  <c r="AG42" i="33"/>
  <c r="AH42" i="33" s="1"/>
  <c r="BU35" i="33"/>
  <c r="BM35" i="33"/>
  <c r="Y49" i="33"/>
  <c r="AD49" i="33"/>
  <c r="AE49" i="33" s="1"/>
  <c r="AF49" i="33" s="1"/>
  <c r="AS49" i="33"/>
  <c r="AW49" i="33"/>
  <c r="AA49" i="33"/>
  <c r="AB49" i="33" s="1"/>
  <c r="AC49" i="33" s="1"/>
  <c r="X183" i="33"/>
  <c r="AY183" i="33"/>
  <c r="Y29" i="33"/>
  <c r="AS29" i="33"/>
  <c r="AD29" i="33"/>
  <c r="AE29" i="33" s="1"/>
  <c r="AF29" i="33" s="1"/>
  <c r="AW29" i="33"/>
  <c r="AX29" i="33" s="1"/>
  <c r="AA29" i="33"/>
  <c r="AB29" i="33" s="1"/>
  <c r="AC29" i="33" s="1"/>
  <c r="Y30" i="33"/>
  <c r="AD30" i="33"/>
  <c r="AE30" i="33" s="1"/>
  <c r="AF30" i="33" s="1"/>
  <c r="AS30" i="33"/>
  <c r="AW30" i="33"/>
  <c r="AX30" i="33" s="1"/>
  <c r="AA30" i="33"/>
  <c r="AB30" i="33" s="1"/>
  <c r="AC30" i="33" s="1"/>
  <c r="BL202" i="33"/>
  <c r="BR202" i="33"/>
  <c r="BQ202" i="33"/>
  <c r="BL142" i="33"/>
  <c r="BR142" i="33"/>
  <c r="BQ142" i="33"/>
  <c r="BP80" i="33"/>
  <c r="BI80" i="33"/>
  <c r="BK80" i="33" s="1"/>
  <c r="BO80" i="33" s="1"/>
  <c r="X47" i="33"/>
  <c r="AG47" i="33"/>
  <c r="AH47" i="33" s="1"/>
  <c r="AY47" i="33"/>
  <c r="AQ60" i="33"/>
  <c r="BC60" i="33"/>
  <c r="BV60" i="33" s="1"/>
  <c r="AM167" i="33"/>
  <c r="BC167" i="33"/>
  <c r="BV167" i="33" s="1"/>
  <c r="Y206" i="33"/>
  <c r="AA206" i="33"/>
  <c r="AB206" i="33" s="1"/>
  <c r="AC206" i="33" s="1"/>
  <c r="AJ206" i="33"/>
  <c r="AK206" i="33" s="1"/>
  <c r="AN206" i="33"/>
  <c r="AD206" i="33"/>
  <c r="AE206" i="33" s="1"/>
  <c r="AF206" i="33" s="1"/>
  <c r="BS144" i="33"/>
  <c r="BM144" i="33"/>
  <c r="X159" i="33"/>
  <c r="Z159" i="33" s="1"/>
  <c r="AY159" i="33"/>
  <c r="Y32" i="33"/>
  <c r="AD32" i="33"/>
  <c r="AE32" i="33" s="1"/>
  <c r="AF32" i="33" s="1"/>
  <c r="AS32" i="33"/>
  <c r="AW32" i="33"/>
  <c r="AX32" i="33" s="1"/>
  <c r="AA32" i="33"/>
  <c r="AB32" i="33" s="1"/>
  <c r="AC32" i="33" s="1"/>
  <c r="AQ46" i="33"/>
  <c r="BC46" i="33"/>
  <c r="BV46" i="33" s="1"/>
  <c r="BU23" i="33"/>
  <c r="BM23" i="33"/>
  <c r="Y198" i="33"/>
  <c r="AJ198" i="33"/>
  <c r="AK198" i="33" s="1"/>
  <c r="AA198" i="33"/>
  <c r="AB198" i="33" s="1"/>
  <c r="AC198" i="33" s="1"/>
  <c r="AN198" i="33"/>
  <c r="AD198" i="33"/>
  <c r="AE198" i="33" s="1"/>
  <c r="AF198" i="33" s="1"/>
  <c r="AU38" i="33"/>
  <c r="AV38" i="33" s="1"/>
  <c r="X51" i="33"/>
  <c r="AG51" i="33"/>
  <c r="AH51" i="33" s="1"/>
  <c r="AY51" i="33"/>
  <c r="X166" i="33"/>
  <c r="AY166" i="33"/>
  <c r="AM140" i="33"/>
  <c r="BC140" i="33"/>
  <c r="BV140" i="33" s="1"/>
  <c r="X158" i="33"/>
  <c r="AY158" i="33"/>
  <c r="Y136" i="33"/>
  <c r="AA136" i="33"/>
  <c r="AB136" i="33" s="1"/>
  <c r="AC136" i="33" s="1"/>
  <c r="AJ136" i="33"/>
  <c r="AK136" i="33" s="1"/>
  <c r="AN136" i="33"/>
  <c r="AD136" i="33"/>
  <c r="AE136" i="33" s="1"/>
  <c r="AF136" i="33" s="1"/>
  <c r="BU24" i="33"/>
  <c r="BM24" i="33"/>
  <c r="X41" i="33"/>
  <c r="AY41" i="33"/>
  <c r="AG41" i="33"/>
  <c r="AH41" i="33" s="1"/>
  <c r="X193" i="33"/>
  <c r="AY193" i="33"/>
  <c r="BU66" i="33"/>
  <c r="BM66" i="33"/>
  <c r="AM161" i="33"/>
  <c r="BC161" i="33"/>
  <c r="BV161" i="33" s="1"/>
  <c r="AM110" i="33"/>
  <c r="BC110" i="33"/>
  <c r="BV110" i="33" s="1"/>
  <c r="AP97" i="33"/>
  <c r="AQ97" i="33" s="1"/>
  <c r="AT97" i="33" s="1"/>
  <c r="BT97" i="33" s="1"/>
  <c r="R97" i="33"/>
  <c r="BL194" i="33"/>
  <c r="BR194" i="33"/>
  <c r="Y31" i="33"/>
  <c r="AD31" i="33"/>
  <c r="AE31" i="33" s="1"/>
  <c r="AF31" i="33" s="1"/>
  <c r="AS31" i="33"/>
  <c r="AW31" i="33"/>
  <c r="AX31" i="33" s="1"/>
  <c r="AA31" i="33"/>
  <c r="AB31" i="33" s="1"/>
  <c r="AC31" i="33" s="1"/>
  <c r="Y146" i="33"/>
  <c r="AA146" i="33"/>
  <c r="AB146" i="33" s="1"/>
  <c r="AC146" i="33" s="1"/>
  <c r="AJ146" i="33"/>
  <c r="AN146" i="33"/>
  <c r="AD146" i="33"/>
  <c r="AE146" i="33" s="1"/>
  <c r="AF146" i="33" s="1"/>
  <c r="AL152" i="33"/>
  <c r="AU152" i="33"/>
  <c r="AV152" i="33" s="1"/>
  <c r="AX152" i="33" s="1"/>
  <c r="BU152" i="33" s="1"/>
  <c r="AM164" i="33"/>
  <c r="BC164" i="33"/>
  <c r="BV164" i="33" s="1"/>
  <c r="X191" i="33"/>
  <c r="AY191" i="33"/>
  <c r="BT24" i="33"/>
  <c r="BL24" i="33"/>
  <c r="BL135" i="33"/>
  <c r="BR135" i="33"/>
  <c r="AG176" i="33"/>
  <c r="AH176" i="33" s="1"/>
  <c r="W176" i="33"/>
  <c r="AK47" i="33"/>
  <c r="Y160" i="33"/>
  <c r="AJ160" i="33"/>
  <c r="AA160" i="33"/>
  <c r="AB160" i="33" s="1"/>
  <c r="AC160" i="33" s="1"/>
  <c r="AN160" i="33"/>
  <c r="AD160" i="33"/>
  <c r="AE160" i="33" s="1"/>
  <c r="AF160" i="33" s="1"/>
  <c r="X134" i="33"/>
  <c r="AY134" i="33"/>
  <c r="X162" i="33"/>
  <c r="Z162" i="33" s="1"/>
  <c r="AY162" i="33"/>
  <c r="AG203" i="33"/>
  <c r="AH203" i="33" s="1"/>
  <c r="X156" i="33"/>
  <c r="AY156" i="33"/>
  <c r="Y57" i="33"/>
  <c r="AS57" i="33"/>
  <c r="AD57" i="33"/>
  <c r="AE57" i="33" s="1"/>
  <c r="AF57" i="33" s="1"/>
  <c r="AW57" i="33"/>
  <c r="AX57" i="33" s="1"/>
  <c r="AA57" i="33"/>
  <c r="AB57" i="33" s="1"/>
  <c r="AC57" i="33" s="1"/>
  <c r="AQ53" i="33"/>
  <c r="BC53" i="33"/>
  <c r="BV53" i="33" s="1"/>
  <c r="X23" i="33"/>
  <c r="Z23" i="33" s="1"/>
  <c r="AG23" i="33"/>
  <c r="AH23" i="33" s="1"/>
  <c r="AK23" i="33" s="1"/>
  <c r="AY23" i="33"/>
  <c r="X165" i="33"/>
  <c r="Z165" i="33" s="1"/>
  <c r="AY165" i="33"/>
  <c r="BP178" i="33"/>
  <c r="S12" i="33"/>
  <c r="S134" i="33"/>
  <c r="AG134" i="33"/>
  <c r="AH134" i="33" s="1"/>
  <c r="AL196" i="33"/>
  <c r="AU196" i="33"/>
  <c r="AV196" i="33" s="1"/>
  <c r="AX196" i="33" s="1"/>
  <c r="BU196" i="33" s="1"/>
  <c r="Y138" i="33"/>
  <c r="AJ138" i="33"/>
  <c r="AK138" i="33" s="1"/>
  <c r="AA138" i="33"/>
  <c r="AB138" i="33" s="1"/>
  <c r="AC138" i="33" s="1"/>
  <c r="AN138" i="33"/>
  <c r="AD138" i="33"/>
  <c r="AE138" i="33" s="1"/>
  <c r="AF138" i="33" s="1"/>
  <c r="AG177" i="33"/>
  <c r="AH177" i="33" s="1"/>
  <c r="Y207" i="33"/>
  <c r="AJ207" i="33"/>
  <c r="AK207" i="33" s="1"/>
  <c r="AA207" i="33"/>
  <c r="AB207" i="33" s="1"/>
  <c r="AC207" i="33" s="1"/>
  <c r="AN207" i="33"/>
  <c r="AD207" i="33"/>
  <c r="AE207" i="33" s="1"/>
  <c r="AF207" i="33" s="1"/>
  <c r="AO69" i="33"/>
  <c r="BS69" i="33" s="1"/>
  <c r="Y193" i="33"/>
  <c r="AJ193" i="33"/>
  <c r="AA193" i="33"/>
  <c r="AB193" i="33" s="1"/>
  <c r="AC193" i="33" s="1"/>
  <c r="AN193" i="33"/>
  <c r="AD193" i="33"/>
  <c r="AE193" i="33" s="1"/>
  <c r="AF193" i="33" s="1"/>
  <c r="AL125" i="33"/>
  <c r="AM200" i="33"/>
  <c r="BC200" i="33"/>
  <c r="BV200" i="33" s="1"/>
  <c r="AM122" i="33"/>
  <c r="BC122" i="33"/>
  <c r="BV122" i="33" s="1"/>
  <c r="Y172" i="33"/>
  <c r="AA172" i="33"/>
  <c r="AB172" i="33" s="1"/>
  <c r="AC172" i="33" s="1"/>
  <c r="AJ172" i="33"/>
  <c r="AK172" i="33" s="1"/>
  <c r="AN172" i="33"/>
  <c r="AD172" i="33"/>
  <c r="AE172" i="33" s="1"/>
  <c r="AF172" i="33" s="1"/>
  <c r="X142" i="33"/>
  <c r="Z142" i="33" s="1"/>
  <c r="AY142" i="33"/>
  <c r="Y182" i="33"/>
  <c r="AA182" i="33"/>
  <c r="AB182" i="33" s="1"/>
  <c r="AC182" i="33" s="1"/>
  <c r="AJ182" i="33"/>
  <c r="AK182" i="33" s="1"/>
  <c r="AN182" i="33"/>
  <c r="AD182" i="33"/>
  <c r="AE182" i="33" s="1"/>
  <c r="AF182" i="33" s="1"/>
  <c r="S205" i="33"/>
  <c r="S97" i="33"/>
  <c r="AI97" i="33" s="1"/>
  <c r="AU19" i="33"/>
  <c r="AV19" i="33" s="1"/>
  <c r="S38" i="33"/>
  <c r="AI38" i="33" s="1"/>
  <c r="V169" i="33"/>
  <c r="Y155" i="33"/>
  <c r="AJ155" i="33"/>
  <c r="AA155" i="33"/>
  <c r="AB155" i="33" s="1"/>
  <c r="AC155" i="33" s="1"/>
  <c r="AN155" i="33"/>
  <c r="AD155" i="33"/>
  <c r="AE155" i="33" s="1"/>
  <c r="AF155" i="33" s="1"/>
  <c r="R72" i="33"/>
  <c r="AP72" i="33" s="1"/>
  <c r="AQ72" i="33" s="1"/>
  <c r="AG72" i="33"/>
  <c r="AH72" i="33" s="1"/>
  <c r="Z112" i="33"/>
  <c r="Y95" i="33"/>
  <c r="AJ95" i="33"/>
  <c r="AA95" i="33"/>
  <c r="AB95" i="33" s="1"/>
  <c r="AC95" i="33" s="1"/>
  <c r="AW95" i="33"/>
  <c r="AN95" i="33"/>
  <c r="AD95" i="33"/>
  <c r="AE95" i="33" s="1"/>
  <c r="AF95" i="33" s="1"/>
  <c r="S110" i="33"/>
  <c r="AI110" i="33" s="1"/>
  <c r="W110" i="33"/>
  <c r="X110" i="33" s="1"/>
  <c r="AG110" i="33"/>
  <c r="AH110" i="33" s="1"/>
  <c r="R102" i="33"/>
  <c r="AP102" i="33"/>
  <c r="AQ102" i="33" s="1"/>
  <c r="AT102" i="33" s="1"/>
  <c r="BT102" i="33" s="1"/>
  <c r="AX93" i="33"/>
  <c r="BU93" i="33" s="1"/>
  <c r="BP143" i="33"/>
  <c r="BR22" i="33"/>
  <c r="Z157" i="33"/>
  <c r="W152" i="33"/>
  <c r="AG152" i="33"/>
  <c r="AH152" i="33" s="1"/>
  <c r="AP41" i="33"/>
  <c r="AU41" i="33"/>
  <c r="AV41" i="33" s="1"/>
  <c r="AM127" i="33"/>
  <c r="BC127" i="33"/>
  <c r="BV127" i="33" s="1"/>
  <c r="AG127" i="33"/>
  <c r="AH127" i="33" s="1"/>
  <c r="W127" i="33"/>
  <c r="AX58" i="33"/>
  <c r="AU172" i="33"/>
  <c r="AV172" i="33" s="1"/>
  <c r="AX172" i="33" s="1"/>
  <c r="BU172" i="33" s="1"/>
  <c r="X167" i="33"/>
  <c r="AY167" i="33"/>
  <c r="Y167" i="33"/>
  <c r="AJ167" i="33"/>
  <c r="AK167" i="33" s="1"/>
  <c r="AA167" i="33"/>
  <c r="AB167" i="33" s="1"/>
  <c r="AC167" i="33" s="1"/>
  <c r="AN167" i="33"/>
  <c r="AO167" i="33" s="1"/>
  <c r="AD167" i="33"/>
  <c r="AE167" i="33" s="1"/>
  <c r="AF167" i="33" s="1"/>
  <c r="AG165" i="33"/>
  <c r="AH165" i="33" s="1"/>
  <c r="BL144" i="33"/>
  <c r="BR144" i="33"/>
  <c r="BQ144" i="33"/>
  <c r="X149" i="33"/>
  <c r="Z149" i="33" s="1"/>
  <c r="AY149" i="33"/>
  <c r="S171" i="33"/>
  <c r="X153" i="33"/>
  <c r="Z153" i="33" s="1"/>
  <c r="AY153" i="33"/>
  <c r="AL203" i="33"/>
  <c r="Z133" i="33"/>
  <c r="AG132" i="33"/>
  <c r="AH132" i="33" s="1"/>
  <c r="AU108" i="33"/>
  <c r="AV108" i="33" s="1"/>
  <c r="AD124" i="33"/>
  <c r="AE124" i="33" s="1"/>
  <c r="AF124" i="33" s="1"/>
  <c r="Y124" i="33"/>
  <c r="AA124" i="33"/>
  <c r="AB124" i="33" s="1"/>
  <c r="AC124" i="33" s="1"/>
  <c r="AJ124" i="33"/>
  <c r="AK124" i="33" s="1"/>
  <c r="AN124" i="33"/>
  <c r="BL37" i="33"/>
  <c r="BT37" i="33"/>
  <c r="W32" i="33"/>
  <c r="S46" i="33"/>
  <c r="AI46" i="33" s="1"/>
  <c r="BT23" i="33"/>
  <c r="BL23" i="33"/>
  <c r="S41" i="33"/>
  <c r="AI41" i="33" s="1"/>
  <c r="AL181" i="33"/>
  <c r="X151" i="33"/>
  <c r="Z151" i="33" s="1"/>
  <c r="AY151" i="33"/>
  <c r="AU148" i="33"/>
  <c r="AV148" i="33" s="1"/>
  <c r="AX148" i="33" s="1"/>
  <c r="BU148" i="33" s="1"/>
  <c r="AU182" i="33"/>
  <c r="AV182" i="33" s="1"/>
  <c r="AX182" i="33" s="1"/>
  <c r="BU182" i="33" s="1"/>
  <c r="AU49" i="33"/>
  <c r="AV49" i="33" s="1"/>
  <c r="AK83" i="33"/>
  <c r="R111" i="33"/>
  <c r="AL111" i="33" s="1"/>
  <c r="Y28" i="33"/>
  <c r="AD28" i="33"/>
  <c r="AE28" i="33" s="1"/>
  <c r="AF28" i="33" s="1"/>
  <c r="AS28" i="33"/>
  <c r="AW28" i="33"/>
  <c r="AX28" i="33" s="1"/>
  <c r="AA28" i="33"/>
  <c r="AB28" i="33" s="1"/>
  <c r="AC28" i="33" s="1"/>
  <c r="Z189" i="33"/>
  <c r="Y63" i="33"/>
  <c r="AD63" i="33"/>
  <c r="AE63" i="33" s="1"/>
  <c r="AF63" i="33" s="1"/>
  <c r="AS63" i="33"/>
  <c r="AW63" i="33"/>
  <c r="AX63" i="33" s="1"/>
  <c r="AA63" i="33"/>
  <c r="AB63" i="33" s="1"/>
  <c r="AC63" i="33" s="1"/>
  <c r="BU75" i="33"/>
  <c r="BM75" i="33"/>
  <c r="AG125" i="33"/>
  <c r="AH125" i="33" s="1"/>
  <c r="AU125" i="33"/>
  <c r="AV125" i="33" s="1"/>
  <c r="AX125" i="33" s="1"/>
  <c r="BU125" i="33" s="1"/>
  <c r="AM162" i="33"/>
  <c r="BC162" i="33"/>
  <c r="BV162" i="33" s="1"/>
  <c r="BP208" i="33"/>
  <c r="BT18" i="33"/>
  <c r="BL18" i="33"/>
  <c r="AP94" i="33"/>
  <c r="AQ94" i="33" s="1"/>
  <c r="AT94" i="33" s="1"/>
  <c r="BT94" i="33" s="1"/>
  <c r="AL94" i="33"/>
  <c r="W94" i="33"/>
  <c r="X94" i="33" s="1"/>
  <c r="V94" i="33"/>
  <c r="BL162" i="33"/>
  <c r="BR162" i="33"/>
  <c r="X49" i="33"/>
  <c r="AY49" i="33"/>
  <c r="AG49" i="33"/>
  <c r="AH49" i="33" s="1"/>
  <c r="AO164" i="33"/>
  <c r="V150" i="33"/>
  <c r="AG150" i="33"/>
  <c r="AH150" i="33" s="1"/>
  <c r="W11" i="33"/>
  <c r="AP11" i="33"/>
  <c r="W173" i="33"/>
  <c r="AG173" i="33"/>
  <c r="AH173" i="33" s="1"/>
  <c r="Y73" i="33"/>
  <c r="AD73" i="33"/>
  <c r="AE73" i="33" s="1"/>
  <c r="AF73" i="33" s="1"/>
  <c r="AS73" i="33"/>
  <c r="AT73" i="33" s="1"/>
  <c r="AW73" i="33"/>
  <c r="AN73" i="33"/>
  <c r="AM156" i="33"/>
  <c r="BC156" i="33"/>
  <c r="BV156" i="33" s="1"/>
  <c r="X192" i="33"/>
  <c r="Z192" i="33" s="1"/>
  <c r="AY192" i="33"/>
  <c r="BS192" i="33"/>
  <c r="BM192" i="33"/>
  <c r="R85" i="33"/>
  <c r="AP85" i="33"/>
  <c r="AQ85" i="33" s="1"/>
  <c r="AT85" i="33" s="1"/>
  <c r="BT85" i="33" s="1"/>
  <c r="V12" i="33"/>
  <c r="BR73" i="33"/>
  <c r="BL35" i="33"/>
  <c r="BT35" i="33"/>
  <c r="Y134" i="33"/>
  <c r="AA134" i="33"/>
  <c r="AB134" i="33" s="1"/>
  <c r="AC134" i="33" s="1"/>
  <c r="AJ134" i="33"/>
  <c r="AK134" i="33" s="1"/>
  <c r="AN134" i="33"/>
  <c r="AD134" i="33"/>
  <c r="AE134" i="33" s="1"/>
  <c r="AF134" i="33" s="1"/>
  <c r="AQ26" i="33"/>
  <c r="BC26" i="33"/>
  <c r="BV26" i="33" s="1"/>
  <c r="X137" i="33"/>
  <c r="AY137" i="33"/>
  <c r="BU69" i="33"/>
  <c r="BM69" i="33"/>
  <c r="X59" i="33"/>
  <c r="AG59" i="33"/>
  <c r="AH59" i="33" s="1"/>
  <c r="AY59" i="33"/>
  <c r="BS117" i="33"/>
  <c r="BM117" i="33"/>
  <c r="BU36" i="33"/>
  <c r="BM36" i="33"/>
  <c r="BL153" i="33"/>
  <c r="BR153" i="33"/>
  <c r="R96" i="33"/>
  <c r="AL96" i="33" s="1"/>
  <c r="AP96" i="33"/>
  <c r="AQ96" i="33" s="1"/>
  <c r="AT96" i="33" s="1"/>
  <c r="BT96" i="33" s="1"/>
  <c r="AK44" i="33"/>
  <c r="Y87" i="33"/>
  <c r="Z87" i="33" s="1"/>
  <c r="AA87" i="33"/>
  <c r="AB87" i="33" s="1"/>
  <c r="AC87" i="33" s="1"/>
  <c r="AJ87" i="33"/>
  <c r="AK87" i="33" s="1"/>
  <c r="AN87" i="33"/>
  <c r="AO87" i="33" s="1"/>
  <c r="AW87" i="33"/>
  <c r="AX87" i="33" s="1"/>
  <c r="BU87" i="33" s="1"/>
  <c r="AD87" i="33"/>
  <c r="AE87" i="33" s="1"/>
  <c r="AF87" i="33" s="1"/>
  <c r="AX21" i="33"/>
  <c r="R114" i="33"/>
  <c r="AP114" i="33" s="1"/>
  <c r="AQ114" i="33" s="1"/>
  <c r="AT114" i="33" s="1"/>
  <c r="BT114" i="33" s="1"/>
  <c r="V205" i="33"/>
  <c r="V97" i="33"/>
  <c r="V38" i="33"/>
  <c r="R65" i="33"/>
  <c r="AM91" i="33"/>
  <c r="AO91" i="33" s="1"/>
  <c r="BC91" i="33"/>
  <c r="BV91" i="33" s="1"/>
  <c r="BP44" i="33"/>
  <c r="X170" i="33"/>
  <c r="Z170" i="33" s="1"/>
  <c r="AY170" i="33"/>
  <c r="BS159" i="33"/>
  <c r="BM159" i="33"/>
  <c r="AM197" i="33"/>
  <c r="BC197" i="33"/>
  <c r="BV197" i="33" s="1"/>
  <c r="W169" i="33"/>
  <c r="AX44" i="33"/>
  <c r="AK112" i="33"/>
  <c r="S152" i="33"/>
  <c r="AK95" i="33"/>
  <c r="BL75" i="33"/>
  <c r="BT75" i="33"/>
  <c r="AU42" i="33"/>
  <c r="AV42" i="33" s="1"/>
  <c r="Y41" i="33"/>
  <c r="Z41" i="33" s="1"/>
  <c r="AS41" i="33"/>
  <c r="AD41" i="33"/>
  <c r="AE41" i="33" s="1"/>
  <c r="AF41" i="33" s="1"/>
  <c r="AW41" i="33"/>
  <c r="AX41" i="33" s="1"/>
  <c r="AA41" i="33"/>
  <c r="AB41" i="33" s="1"/>
  <c r="AC41" i="33" s="1"/>
  <c r="Y127" i="33"/>
  <c r="AA127" i="33"/>
  <c r="AB127" i="33" s="1"/>
  <c r="AC127" i="33" s="1"/>
  <c r="AJ127" i="33"/>
  <c r="AK127" i="33" s="1"/>
  <c r="AN127" i="33"/>
  <c r="AO127" i="33" s="1"/>
  <c r="AD127" i="33"/>
  <c r="AE127" i="33" s="1"/>
  <c r="AF127" i="33" s="1"/>
  <c r="BT58" i="33"/>
  <c r="BL58" i="33"/>
  <c r="Y122" i="33"/>
  <c r="Z122" i="33" s="1"/>
  <c r="AJ122" i="33"/>
  <c r="AK122" i="33" s="1"/>
  <c r="AA122" i="33"/>
  <c r="AB122" i="33" s="1"/>
  <c r="AC122" i="33" s="1"/>
  <c r="AW122" i="33"/>
  <c r="AX122" i="33" s="1"/>
  <c r="BU122" i="33" s="1"/>
  <c r="AN122" i="33"/>
  <c r="AO122" i="33" s="1"/>
  <c r="AD122" i="33"/>
  <c r="AE122" i="33" s="1"/>
  <c r="AF122" i="33" s="1"/>
  <c r="R104" i="33"/>
  <c r="W104" i="33" s="1"/>
  <c r="X104" i="33" s="1"/>
  <c r="AQ39" i="33"/>
  <c r="BC39" i="33"/>
  <c r="BV39" i="33" s="1"/>
  <c r="BS131" i="33"/>
  <c r="BM131" i="33"/>
  <c r="Z117" i="33"/>
  <c r="V171" i="33"/>
  <c r="AM153" i="33"/>
  <c r="BC153" i="33"/>
  <c r="BV153" i="33" s="1"/>
  <c r="Z103" i="33"/>
  <c r="Y90" i="33"/>
  <c r="AA90" i="33"/>
  <c r="AB90" i="33" s="1"/>
  <c r="AC90" i="33" s="1"/>
  <c r="AJ90" i="33"/>
  <c r="AK90" i="33" s="1"/>
  <c r="AN90" i="33"/>
  <c r="AW90" i="33"/>
  <c r="AX90" i="33" s="1"/>
  <c r="BU90" i="33" s="1"/>
  <c r="AD90" i="33"/>
  <c r="AE90" i="33" s="1"/>
  <c r="AF90" i="33" s="1"/>
  <c r="W139" i="33"/>
  <c r="W141" i="33"/>
  <c r="Y161" i="33"/>
  <c r="AA161" i="33"/>
  <c r="AB161" i="33" s="1"/>
  <c r="AC161" i="33" s="1"/>
  <c r="AJ161" i="33"/>
  <c r="AK161" i="33" s="1"/>
  <c r="AN161" i="33"/>
  <c r="AO161" i="33" s="1"/>
  <c r="AD161" i="33"/>
  <c r="AE161" i="33" s="1"/>
  <c r="AF161" i="33" s="1"/>
  <c r="BR170" i="33"/>
  <c r="BL170" i="33"/>
  <c r="AU111" i="33"/>
  <c r="AV111" i="33" s="1"/>
  <c r="AM108" i="33"/>
  <c r="BC108" i="33"/>
  <c r="BV108" i="33" s="1"/>
  <c r="AU161" i="33"/>
  <c r="AV161" i="33" s="1"/>
  <c r="AX161" i="33" s="1"/>
  <c r="BU161" i="33" s="1"/>
  <c r="AU15" i="33"/>
  <c r="AV15" i="33" s="1"/>
  <c r="AU96" i="33"/>
  <c r="AV96" i="33" s="1"/>
  <c r="BU25" i="33"/>
  <c r="BM25" i="33"/>
  <c r="V46" i="33"/>
  <c r="W181" i="33"/>
  <c r="W196" i="33"/>
  <c r="W184" i="33"/>
  <c r="AU205" i="33"/>
  <c r="AV205" i="33" s="1"/>
  <c r="AX205" i="33" s="1"/>
  <c r="BU205" i="33" s="1"/>
  <c r="AO126" i="33"/>
  <c r="AW598" i="28"/>
  <c r="BL598" i="28" s="1"/>
  <c r="BM598" i="28" s="1"/>
  <c r="BR37" i="33"/>
  <c r="BQ37" i="33"/>
  <c r="X185" i="33"/>
  <c r="AY185" i="33"/>
  <c r="V176" i="33"/>
  <c r="W123" i="33"/>
  <c r="AG123" i="33"/>
  <c r="AH123" i="33" s="1"/>
  <c r="AL123" i="33"/>
  <c r="BS118" i="33"/>
  <c r="BM118" i="33"/>
  <c r="W52" i="33"/>
  <c r="AP52" i="33"/>
  <c r="S150" i="33"/>
  <c r="S11" i="33"/>
  <c r="S173" i="33"/>
  <c r="X16" i="33"/>
  <c r="Z16" i="33" s="1"/>
  <c r="AG16" i="33"/>
  <c r="AH16" i="33" s="1"/>
  <c r="AK16" i="33" s="1"/>
  <c r="AY16" i="33"/>
  <c r="AM175" i="33"/>
  <c r="BC175" i="33"/>
  <c r="BV175" i="33" s="1"/>
  <c r="S203" i="33"/>
  <c r="V201" i="33"/>
  <c r="AG201" i="33"/>
  <c r="AH201" i="33" s="1"/>
  <c r="AM163" i="33"/>
  <c r="BC163" i="33"/>
  <c r="BV163" i="33" s="1"/>
  <c r="BP81" i="33"/>
  <c r="BI81" i="33"/>
  <c r="BK81" i="33" s="1"/>
  <c r="BO81" i="33" s="1"/>
  <c r="V199" i="33"/>
  <c r="W199" i="33"/>
  <c r="AU199" i="33"/>
  <c r="AV199" i="33" s="1"/>
  <c r="AX199" i="33" s="1"/>
  <c r="BU199" i="33" s="1"/>
  <c r="AL199" i="33"/>
  <c r="AG85" i="33"/>
  <c r="AH85" i="33" s="1"/>
  <c r="AU77" i="33"/>
  <c r="AV77" i="33" s="1"/>
  <c r="V77" i="33"/>
  <c r="AM204" i="33"/>
  <c r="BC204" i="33"/>
  <c r="BV204" i="33" s="1"/>
  <c r="R86" i="33"/>
  <c r="AG86" i="33" s="1"/>
  <c r="AH86" i="33" s="1"/>
  <c r="V196" i="33"/>
  <c r="S177" i="33"/>
  <c r="AM145" i="33"/>
  <c r="BC145" i="33"/>
  <c r="BV145" i="33" s="1"/>
  <c r="AM146" i="33"/>
  <c r="BC146" i="33"/>
  <c r="BV146" i="33" s="1"/>
  <c r="X55" i="33"/>
  <c r="Z55" i="33" s="1"/>
  <c r="AY55" i="33"/>
  <c r="AG55" i="33"/>
  <c r="AH55" i="33" s="1"/>
  <c r="AK55" i="33" s="1"/>
  <c r="BP92" i="33"/>
  <c r="BT66" i="33"/>
  <c r="BL66" i="33"/>
  <c r="AM105" i="33"/>
  <c r="AO105" i="33" s="1"/>
  <c r="BC105" i="33"/>
  <c r="BV105" i="33" s="1"/>
  <c r="BT69" i="33"/>
  <c r="BL69" i="33"/>
  <c r="X31" i="33"/>
  <c r="Z31" i="33" s="1"/>
  <c r="AG31" i="33"/>
  <c r="AH31" i="33" s="1"/>
  <c r="AK31" i="33" s="1"/>
  <c r="AY31" i="33"/>
  <c r="X56" i="33"/>
  <c r="Z56" i="33" s="1"/>
  <c r="AG56" i="33"/>
  <c r="AH56" i="33" s="1"/>
  <c r="AK56" i="33" s="1"/>
  <c r="AY56" i="33"/>
  <c r="AM178" i="33"/>
  <c r="AO178" i="33" s="1"/>
  <c r="BC178" i="33"/>
  <c r="BV178" i="33" s="1"/>
  <c r="BT36" i="33"/>
  <c r="BL36" i="33"/>
  <c r="AL173" i="33"/>
  <c r="X200" i="33"/>
  <c r="Z200" i="33" s="1"/>
  <c r="AY200" i="33"/>
  <c r="W96" i="33"/>
  <c r="X96" i="33" s="1"/>
  <c r="Y147" i="33"/>
  <c r="AJ147" i="33"/>
  <c r="AK147" i="33" s="1"/>
  <c r="AA147" i="33"/>
  <c r="AB147" i="33" s="1"/>
  <c r="AC147" i="33" s="1"/>
  <c r="AN147" i="33"/>
  <c r="AD147" i="33"/>
  <c r="AE147" i="33" s="1"/>
  <c r="AF147" i="33" s="1"/>
  <c r="BS157" i="33"/>
  <c r="BM157" i="33"/>
  <c r="AL201" i="33"/>
  <c r="AG188" i="33"/>
  <c r="AH188" i="33" s="1"/>
  <c r="AU188" i="33"/>
  <c r="AV188" i="33" s="1"/>
  <c r="AX188" i="33" s="1"/>
  <c r="BU188" i="33" s="1"/>
  <c r="W182" i="33"/>
  <c r="BP91" i="33"/>
  <c r="AQ31" i="33"/>
  <c r="BC31" i="33"/>
  <c r="BV31" i="33" s="1"/>
  <c r="AL137" i="33"/>
  <c r="AK117" i="33"/>
  <c r="AG114" i="33"/>
  <c r="AH114" i="33" s="1"/>
  <c r="AG163" i="33"/>
  <c r="AH163" i="33" s="1"/>
  <c r="W163" i="33"/>
  <c r="AX40" i="33"/>
  <c r="AP45" i="33"/>
  <c r="AL141" i="33"/>
  <c r="S204" i="33"/>
  <c r="AG129" i="33"/>
  <c r="AH129" i="33" s="1"/>
  <c r="AM154" i="33"/>
  <c r="AO154" i="33" s="1"/>
  <c r="BC154" i="33"/>
  <c r="BV154" i="33" s="1"/>
  <c r="AM170" i="33"/>
  <c r="AO170" i="33" s="1"/>
  <c r="BC170" i="33"/>
  <c r="BV170" i="33" s="1"/>
  <c r="V72" i="33"/>
  <c r="BR159" i="33"/>
  <c r="BL159" i="33"/>
  <c r="BQ159" i="33"/>
  <c r="AG168" i="33"/>
  <c r="AH168" i="33" s="1"/>
  <c r="W168" i="33"/>
  <c r="S42" i="33"/>
  <c r="AI42" i="33" s="1"/>
  <c r="AK42" i="33" s="1"/>
  <c r="S139" i="33"/>
  <c r="AU43" i="33"/>
  <c r="AV43" i="33" s="1"/>
  <c r="AU12" i="33"/>
  <c r="AV12" i="33" s="1"/>
  <c r="V102" i="33"/>
  <c r="AL169" i="33"/>
  <c r="BP22" i="33"/>
  <c r="Z202" i="33"/>
  <c r="AL182" i="33"/>
  <c r="V152" i="33"/>
  <c r="BP75" i="33"/>
  <c r="AU110" i="33"/>
  <c r="AV110" i="33" s="1"/>
  <c r="AP82" i="33"/>
  <c r="AQ82" i="33" s="1"/>
  <c r="AT82" i="33" s="1"/>
  <c r="BT82" i="33" s="1"/>
  <c r="V60" i="33"/>
  <c r="X27" i="33"/>
  <c r="AG27" i="33"/>
  <c r="AH27" i="33" s="1"/>
  <c r="AK27" i="33" s="1"/>
  <c r="AY27" i="33"/>
  <c r="X206" i="33"/>
  <c r="Z206" i="33" s="1"/>
  <c r="AY206" i="33"/>
  <c r="S104" i="33"/>
  <c r="AI104" i="33" s="1"/>
  <c r="S165" i="33"/>
  <c r="S39" i="33"/>
  <c r="AI39" i="33" s="1"/>
  <c r="BL131" i="33"/>
  <c r="BR131" i="33"/>
  <c r="BQ131" i="33"/>
  <c r="AU191" i="33"/>
  <c r="AV191" i="33" s="1"/>
  <c r="AX191" i="33" s="1"/>
  <c r="BU191" i="33" s="1"/>
  <c r="AG191" i="33"/>
  <c r="AH191" i="33" s="1"/>
  <c r="BR178" i="33"/>
  <c r="BL178" i="33"/>
  <c r="AL172" i="33"/>
  <c r="BU26" i="33"/>
  <c r="BM26" i="33"/>
  <c r="Z90" i="33"/>
  <c r="AU102" i="33"/>
  <c r="AV102" i="33" s="1"/>
  <c r="AG65" i="33"/>
  <c r="AH65" i="33" s="1"/>
  <c r="W12" i="33"/>
  <c r="BR36" i="33"/>
  <c r="BQ36" i="33"/>
  <c r="AU173" i="33"/>
  <c r="AV173" i="33" s="1"/>
  <c r="AX173" i="33" s="1"/>
  <c r="BU173" i="33" s="1"/>
  <c r="W15" i="33"/>
  <c r="W160" i="33"/>
  <c r="AT25" i="33"/>
  <c r="AU171" i="33"/>
  <c r="AV171" i="33" s="1"/>
  <c r="AX171" i="33" s="1"/>
  <c r="BU171" i="33" s="1"/>
  <c r="AM151" i="33"/>
  <c r="BC151" i="33"/>
  <c r="BV151" i="33" s="1"/>
  <c r="V82" i="33"/>
  <c r="Z154" i="33"/>
  <c r="BL126" i="33"/>
  <c r="BR126" i="33"/>
  <c r="BQ126" i="33"/>
  <c r="Y109" i="33"/>
  <c r="Z109" i="33" s="1"/>
  <c r="AA109" i="33"/>
  <c r="AB109" i="33" s="1"/>
  <c r="AC109" i="33" s="1"/>
  <c r="AJ109" i="33"/>
  <c r="AW109" i="33"/>
  <c r="AN109" i="33"/>
  <c r="AD109" i="33"/>
  <c r="AE109" i="33" s="1"/>
  <c r="AF109" i="33" s="1"/>
  <c r="Y70" i="33"/>
  <c r="Z70" i="33" s="1"/>
  <c r="AD70" i="33"/>
  <c r="AE70" i="33" s="1"/>
  <c r="AF70" i="33" s="1"/>
  <c r="AS70" i="33"/>
  <c r="AT70" i="33" s="1"/>
  <c r="AN70" i="33"/>
  <c r="AO70" i="33" s="1"/>
  <c r="AW70" i="33"/>
  <c r="AX70" i="33" s="1"/>
  <c r="AA70" i="33"/>
  <c r="AB70" i="33" s="1"/>
  <c r="AC70" i="33" s="1"/>
  <c r="AL148" i="33"/>
  <c r="AG148" i="33"/>
  <c r="AH148" i="33" s="1"/>
  <c r="BL164" i="33"/>
  <c r="BQ164" i="33"/>
  <c r="BR164" i="33"/>
  <c r="R84" i="33"/>
  <c r="V11" i="33"/>
  <c r="BR128" i="33"/>
  <c r="BL128" i="33"/>
  <c r="V173" i="33"/>
  <c r="AQ19" i="33"/>
  <c r="BC19" i="33"/>
  <c r="BV19" i="33" s="1"/>
  <c r="V203" i="33"/>
  <c r="BS142" i="33"/>
  <c r="BM142" i="33"/>
  <c r="BR75" i="33"/>
  <c r="X63" i="33"/>
  <c r="Z63" i="33" s="1"/>
  <c r="AG63" i="33"/>
  <c r="AH63" i="33" s="1"/>
  <c r="AK63" i="33" s="1"/>
  <c r="AY63" i="33"/>
  <c r="BQ192" i="33"/>
  <c r="BL192" i="33"/>
  <c r="BR192" i="33"/>
  <c r="AU132" i="33"/>
  <c r="AV132" i="33" s="1"/>
  <c r="AX132" i="33" s="1"/>
  <c r="BU132" i="33" s="1"/>
  <c r="W132" i="33"/>
  <c r="S85" i="33"/>
  <c r="AI85" i="33" s="1"/>
  <c r="BU56" i="33"/>
  <c r="BM56" i="33"/>
  <c r="BR29" i="33"/>
  <c r="Y156" i="33"/>
  <c r="AJ156" i="33"/>
  <c r="AK156" i="33" s="1"/>
  <c r="AA156" i="33"/>
  <c r="AB156" i="33" s="1"/>
  <c r="AC156" i="33" s="1"/>
  <c r="AN156" i="33"/>
  <c r="AO156" i="33" s="1"/>
  <c r="AD156" i="33"/>
  <c r="AE156" i="33" s="1"/>
  <c r="AF156" i="33" s="1"/>
  <c r="V177" i="33"/>
  <c r="AQ13" i="33"/>
  <c r="BC13" i="33"/>
  <c r="BV13" i="33" s="1"/>
  <c r="Y145" i="33"/>
  <c r="Z145" i="33" s="1"/>
  <c r="AA145" i="33"/>
  <c r="AB145" i="33" s="1"/>
  <c r="AC145" i="33" s="1"/>
  <c r="AJ145" i="33"/>
  <c r="AK145" i="33" s="1"/>
  <c r="AN145" i="33"/>
  <c r="AD145" i="33"/>
  <c r="AE145" i="33" s="1"/>
  <c r="AF145" i="33" s="1"/>
  <c r="AM90" i="33"/>
  <c r="BC90" i="33"/>
  <c r="BV90" i="33" s="1"/>
  <c r="Y98" i="33"/>
  <c r="Z98" i="33" s="1"/>
  <c r="AJ98" i="33"/>
  <c r="AK98" i="33" s="1"/>
  <c r="AA98" i="33"/>
  <c r="AB98" i="33" s="1"/>
  <c r="AC98" i="33" s="1"/>
  <c r="AN98" i="33"/>
  <c r="AO98" i="33" s="1"/>
  <c r="AW98" i="33"/>
  <c r="AX98" i="33" s="1"/>
  <c r="BU98" i="33" s="1"/>
  <c r="BP66" i="33"/>
  <c r="BI66" i="33"/>
  <c r="BK66" i="33" s="1"/>
  <c r="BO66" i="33" s="1"/>
  <c r="X25" i="33"/>
  <c r="Z25" i="33" s="1"/>
  <c r="AG25" i="33"/>
  <c r="AH25" i="33" s="1"/>
  <c r="AK25" i="33" s="1"/>
  <c r="AY25" i="33"/>
  <c r="AG97" i="33"/>
  <c r="AH97" i="33" s="1"/>
  <c r="AU177" i="33"/>
  <c r="AV177" i="33" s="1"/>
  <c r="AX177" i="33" s="1"/>
  <c r="BU177" i="33" s="1"/>
  <c r="AG96" i="33"/>
  <c r="AH96" i="33" s="1"/>
  <c r="BR157" i="33"/>
  <c r="BL157" i="33"/>
  <c r="BQ157" i="33"/>
  <c r="AU13" i="33"/>
  <c r="AV13" i="33" s="1"/>
  <c r="X24" i="33"/>
  <c r="Z24" i="33" s="1"/>
  <c r="AY24" i="33"/>
  <c r="AG24" i="33"/>
  <c r="AH24" i="33" s="1"/>
  <c r="AK24" i="33" s="1"/>
  <c r="W111" i="33"/>
  <c r="X111" i="33" s="1"/>
  <c r="X50" i="33"/>
  <c r="AG50" i="33"/>
  <c r="AH50" i="33" s="1"/>
  <c r="AK50" i="33" s="1"/>
  <c r="AY50" i="33"/>
  <c r="BT21" i="33"/>
  <c r="BL21" i="33"/>
  <c r="AP68" i="33"/>
  <c r="AQ68" i="33" s="1"/>
  <c r="AM184" i="33"/>
  <c r="BC184" i="33"/>
  <c r="BV184" i="33" s="1"/>
  <c r="AU114" i="33"/>
  <c r="AV114" i="33" s="1"/>
  <c r="Y163" i="33"/>
  <c r="AA163" i="33"/>
  <c r="AB163" i="33" s="1"/>
  <c r="AC163" i="33" s="1"/>
  <c r="AJ163" i="33"/>
  <c r="AK163" i="33" s="1"/>
  <c r="AN163" i="33"/>
  <c r="AO163" i="33" s="1"/>
  <c r="AD163" i="33"/>
  <c r="AE163" i="33" s="1"/>
  <c r="AF163" i="33" s="1"/>
  <c r="BR21" i="33"/>
  <c r="BQ21" i="33"/>
  <c r="BT40" i="33"/>
  <c r="BL40" i="33"/>
  <c r="X45" i="33"/>
  <c r="AY45" i="33"/>
  <c r="AG45" i="33"/>
  <c r="AH45" i="33" s="1"/>
  <c r="AU141" i="33"/>
  <c r="AV141" i="33" s="1"/>
  <c r="AX141" i="33" s="1"/>
  <c r="BU141" i="33" s="1"/>
  <c r="V204" i="33"/>
  <c r="S65" i="33"/>
  <c r="AI65" i="33" s="1"/>
  <c r="AK65" i="33" s="1"/>
  <c r="AU73" i="33"/>
  <c r="AV73" i="33" s="1"/>
  <c r="W129" i="33"/>
  <c r="X144" i="33"/>
  <c r="Z144" i="33" s="1"/>
  <c r="AY144" i="33"/>
  <c r="W186" i="33"/>
  <c r="AG186" i="33"/>
  <c r="AH186" i="33" s="1"/>
  <c r="V139" i="33"/>
  <c r="BR154" i="33"/>
  <c r="BL154" i="33"/>
  <c r="AU52" i="33"/>
  <c r="AV52" i="33" s="1"/>
  <c r="AT44" i="33"/>
  <c r="BI44" i="33" s="1"/>
  <c r="BK44" i="33" s="1"/>
  <c r="BO44" i="33" s="1"/>
  <c r="AU185" i="33"/>
  <c r="AV185" i="33" s="1"/>
  <c r="AX185" i="33" s="1"/>
  <c r="BU185" i="33" s="1"/>
  <c r="Y61" i="33"/>
  <c r="Z61" i="33" s="1"/>
  <c r="AD61" i="33"/>
  <c r="AE61" i="33" s="1"/>
  <c r="AF61" i="33" s="1"/>
  <c r="AS61" i="33"/>
  <c r="AT61" i="33" s="1"/>
  <c r="AW61" i="33"/>
  <c r="AX61" i="33" s="1"/>
  <c r="AA61" i="33"/>
  <c r="AB61" i="33" s="1"/>
  <c r="AC61" i="33" s="1"/>
  <c r="S181" i="33"/>
  <c r="X194" i="33"/>
  <c r="Z194" i="33" s="1"/>
  <c r="AY194" i="33"/>
  <c r="BU10" i="33"/>
  <c r="BM10" i="33"/>
  <c r="S53" i="33"/>
  <c r="AI53" i="33" s="1"/>
  <c r="AU65" i="33"/>
  <c r="AV65" i="33" s="1"/>
  <c r="AP27" i="33"/>
  <c r="V104" i="33"/>
  <c r="V39" i="33"/>
  <c r="AL176" i="33"/>
  <c r="S191" i="33"/>
  <c r="BR10" i="33"/>
  <c r="BQ10" i="33"/>
  <c r="W53" i="33"/>
  <c r="AM208" i="33"/>
  <c r="AO208" i="33" s="1"/>
  <c r="BC208" i="33"/>
  <c r="BV208" i="33" s="1"/>
  <c r="W172" i="33"/>
  <c r="W60" i="33"/>
  <c r="W86" i="33"/>
  <c r="X86" i="33" s="1"/>
  <c r="S108" i="33"/>
  <c r="AI108" i="33" s="1"/>
  <c r="W39" i="33"/>
  <c r="AM124" i="33"/>
  <c r="BC124" i="33"/>
  <c r="BV124" i="33" s="1"/>
  <c r="AQ15" i="33"/>
  <c r="BC15" i="33"/>
  <c r="BV15" i="33" s="1"/>
  <c r="BU22" i="33"/>
  <c r="BM22" i="33"/>
  <c r="AM198" i="33"/>
  <c r="BC198" i="33"/>
  <c r="BV198" i="33" s="1"/>
  <c r="W171" i="33"/>
  <c r="AK62" i="33"/>
  <c r="AU147" i="33"/>
  <c r="AV147" i="33" s="1"/>
  <c r="AX147" i="33" s="1"/>
  <c r="BU147" i="33" s="1"/>
  <c r="W150" i="33"/>
  <c r="AQ17" i="33"/>
  <c r="BC17" i="33"/>
  <c r="BV17" i="33" s="1"/>
  <c r="BQ149" i="33"/>
  <c r="BR149" i="33"/>
  <c r="BL149" i="33"/>
  <c r="AO143" i="33"/>
  <c r="BI143" i="33" s="1"/>
  <c r="BK143" i="33" s="1"/>
  <c r="BO143" i="33" s="1"/>
  <c r="AM158" i="33"/>
  <c r="BC158" i="33"/>
  <c r="BV158" i="33" s="1"/>
  <c r="X136" i="33"/>
  <c r="Z136" i="33" s="1"/>
  <c r="AY136" i="33"/>
  <c r="AG204" i="33"/>
  <c r="AH204" i="33" s="1"/>
  <c r="AX48" i="33"/>
  <c r="AA51" i="33"/>
  <c r="AB51" i="33" s="1"/>
  <c r="AC51" i="33" s="1"/>
  <c r="Y51" i="33"/>
  <c r="Z51" i="33" s="1"/>
  <c r="AS51" i="33"/>
  <c r="AD51" i="33"/>
  <c r="AE51" i="33" s="1"/>
  <c r="AF51" i="33" s="1"/>
  <c r="AW51" i="33"/>
  <c r="AX51" i="33" s="1"/>
  <c r="AQ55" i="33"/>
  <c r="AT55" i="33" s="1"/>
  <c r="BC55" i="33"/>
  <c r="BV55" i="33" s="1"/>
  <c r="AQ12" i="33"/>
  <c r="BC12" i="33"/>
  <c r="BV12" i="33" s="1"/>
  <c r="Y130" i="33"/>
  <c r="AA130" i="33"/>
  <c r="AB130" i="33" s="1"/>
  <c r="AC130" i="33" s="1"/>
  <c r="AJ130" i="33"/>
  <c r="AK130" i="33" s="1"/>
  <c r="AN130" i="33"/>
  <c r="AD130" i="33"/>
  <c r="AE130" i="33" s="1"/>
  <c r="AF130" i="33" s="1"/>
  <c r="X125" i="33"/>
  <c r="AY125" i="33"/>
  <c r="AM135" i="33"/>
  <c r="BC135" i="33"/>
  <c r="BV135" i="33" s="1"/>
  <c r="AK59" i="33"/>
  <c r="Z190" i="33"/>
  <c r="AQ63" i="33"/>
  <c r="BC63" i="33"/>
  <c r="BV63" i="33" s="1"/>
  <c r="Y34" i="33"/>
  <c r="AS34" i="33"/>
  <c r="AD34" i="33"/>
  <c r="AE34" i="33" s="1"/>
  <c r="AF34" i="33" s="1"/>
  <c r="AW34" i="33"/>
  <c r="AX34" i="33" s="1"/>
  <c r="AA34" i="33"/>
  <c r="AB34" i="33" s="1"/>
  <c r="AC34" i="33" s="1"/>
  <c r="R120" i="33"/>
  <c r="AU120" i="33" s="1"/>
  <c r="AV120" i="33" s="1"/>
  <c r="W120" i="33"/>
  <c r="X120" i="33" s="1"/>
  <c r="S148" i="33"/>
  <c r="X43" i="33"/>
  <c r="AG43" i="33"/>
  <c r="AH43" i="33" s="1"/>
  <c r="AY43" i="33"/>
  <c r="Y185" i="33"/>
  <c r="Z185" i="33" s="1"/>
  <c r="AA185" i="33"/>
  <c r="AB185" i="33" s="1"/>
  <c r="AC185" i="33" s="1"/>
  <c r="AJ185" i="33"/>
  <c r="AN185" i="33"/>
  <c r="AD185" i="33"/>
  <c r="AE185" i="33" s="1"/>
  <c r="AF185" i="33" s="1"/>
  <c r="Y123" i="33"/>
  <c r="AJ123" i="33"/>
  <c r="AK123" i="33" s="1"/>
  <c r="AA123" i="33"/>
  <c r="AB123" i="33" s="1"/>
  <c r="AC123" i="33" s="1"/>
  <c r="AN123" i="33"/>
  <c r="AD123" i="33"/>
  <c r="AE123" i="33" s="1"/>
  <c r="AF123" i="33" s="1"/>
  <c r="Y52" i="33"/>
  <c r="AD52" i="33"/>
  <c r="AE52" i="33" s="1"/>
  <c r="AF52" i="33" s="1"/>
  <c r="AS52" i="33"/>
  <c r="AW52" i="33"/>
  <c r="AX52" i="33" s="1"/>
  <c r="AA52" i="33"/>
  <c r="AB52" i="33" s="1"/>
  <c r="AC52" i="33" s="1"/>
  <c r="S84" i="33"/>
  <c r="AI84" i="33" s="1"/>
  <c r="X58" i="33"/>
  <c r="Z58" i="33" s="1"/>
  <c r="AY58" i="33"/>
  <c r="AG58" i="33"/>
  <c r="AH58" i="33" s="1"/>
  <c r="AK58" i="33" s="1"/>
  <c r="S19" i="33"/>
  <c r="AO189" i="33"/>
  <c r="X13" i="33"/>
  <c r="AY13" i="33"/>
  <c r="AG13" i="33"/>
  <c r="AH13" i="33" s="1"/>
  <c r="AK13" i="33" s="1"/>
  <c r="AG183" i="33"/>
  <c r="AH183" i="33" s="1"/>
  <c r="AU183" i="33"/>
  <c r="AV183" i="33" s="1"/>
  <c r="AX183" i="33" s="1"/>
  <c r="BU183" i="33" s="1"/>
  <c r="BS78" i="33"/>
  <c r="BM78" i="33"/>
  <c r="S132" i="33"/>
  <c r="V85" i="33"/>
  <c r="AQ43" i="33"/>
  <c r="BC43" i="33"/>
  <c r="BV43" i="33" s="1"/>
  <c r="Z29" i="33"/>
  <c r="AU97" i="33"/>
  <c r="AV97" i="33" s="1"/>
  <c r="Y116" i="33"/>
  <c r="Z116" i="33" s="1"/>
  <c r="AJ116" i="33"/>
  <c r="AK116" i="33" s="1"/>
  <c r="AA116" i="33"/>
  <c r="AB116" i="33" s="1"/>
  <c r="AC116" i="33" s="1"/>
  <c r="AW116" i="33"/>
  <c r="AX116" i="33" s="1"/>
  <c r="BU116" i="33" s="1"/>
  <c r="AN116" i="33"/>
  <c r="AM83" i="33"/>
  <c r="AO83" i="33" s="1"/>
  <c r="BC83" i="33"/>
  <c r="BV83" i="33" s="1"/>
  <c r="S13" i="33"/>
  <c r="W20" i="33"/>
  <c r="AP20" i="33"/>
  <c r="X188" i="33"/>
  <c r="AY188" i="33"/>
  <c r="R99" i="33"/>
  <c r="W99" i="33"/>
  <c r="X99" i="33" s="1"/>
  <c r="AP99" i="33"/>
  <c r="AQ99" i="33" s="1"/>
  <c r="AT99" i="33" s="1"/>
  <c r="BT99" i="33" s="1"/>
  <c r="BP69" i="33"/>
  <c r="BI69" i="33"/>
  <c r="BK69" i="33" s="1"/>
  <c r="BO69" i="33" s="1"/>
  <c r="AQ50" i="33"/>
  <c r="BC50" i="33"/>
  <c r="BV50" i="33" s="1"/>
  <c r="AM166" i="33"/>
  <c r="BC166" i="33"/>
  <c r="BV166" i="33" s="1"/>
  <c r="BP36" i="33"/>
  <c r="BI36" i="33"/>
  <c r="BK36" i="33" s="1"/>
  <c r="BO36" i="33" s="1"/>
  <c r="R121" i="33"/>
  <c r="AL121" i="33" s="1"/>
  <c r="W121" i="33"/>
  <c r="X121" i="33" s="1"/>
  <c r="R79" i="33"/>
  <c r="AL79" i="33" s="1"/>
  <c r="AP79" i="33"/>
  <c r="AQ79" i="33" s="1"/>
  <c r="AT79" i="33" s="1"/>
  <c r="BT79" i="33" s="1"/>
  <c r="W79" i="33"/>
  <c r="X79" i="33" s="1"/>
  <c r="AG79" i="33"/>
  <c r="AH79" i="33" s="1"/>
  <c r="X130" i="33"/>
  <c r="Z130" i="33" s="1"/>
  <c r="AY130" i="33"/>
  <c r="S96" i="33"/>
  <c r="AI96" i="33" s="1"/>
  <c r="AL205" i="33"/>
  <c r="X131" i="33"/>
  <c r="Z131" i="33" s="1"/>
  <c r="AY131" i="33"/>
  <c r="Y188" i="33"/>
  <c r="AJ188" i="33"/>
  <c r="AK188" i="33" s="1"/>
  <c r="AA188" i="33"/>
  <c r="AB188" i="33" s="1"/>
  <c r="AC188" i="33" s="1"/>
  <c r="AN188" i="33"/>
  <c r="AD188" i="33"/>
  <c r="AE188" i="33" s="1"/>
  <c r="AF188" i="33" s="1"/>
  <c r="Y53" i="33"/>
  <c r="AS53" i="33"/>
  <c r="AT53" i="33" s="1"/>
  <c r="AD53" i="33"/>
  <c r="AE53" i="33" s="1"/>
  <c r="AF53" i="33" s="1"/>
  <c r="AW53" i="33"/>
  <c r="AX53" i="33" s="1"/>
  <c r="AA53" i="33"/>
  <c r="AB53" i="33" s="1"/>
  <c r="AC53" i="33" s="1"/>
  <c r="BP21" i="33"/>
  <c r="BI21" i="33"/>
  <c r="BK21" i="33" s="1"/>
  <c r="BO21" i="33" s="1"/>
  <c r="Y137" i="33"/>
  <c r="AJ137" i="33"/>
  <c r="AK137" i="33" s="1"/>
  <c r="AA137" i="33"/>
  <c r="AB137" i="33" s="1"/>
  <c r="AC137" i="33" s="1"/>
  <c r="AN137" i="33"/>
  <c r="AD137" i="33"/>
  <c r="AE137" i="33" s="1"/>
  <c r="AF137" i="33" s="1"/>
  <c r="AG68" i="33"/>
  <c r="AH68" i="33" s="1"/>
  <c r="AK68" i="33" s="1"/>
  <c r="V68" i="33"/>
  <c r="W114" i="33"/>
  <c r="X114" i="33" s="1"/>
  <c r="AK45" i="33"/>
  <c r="BS190" i="33"/>
  <c r="BM190" i="33"/>
  <c r="V65" i="33"/>
  <c r="AL134" i="33"/>
  <c r="W73" i="33"/>
  <c r="X73" i="33" s="1"/>
  <c r="AL73" i="33"/>
  <c r="V54" i="33"/>
  <c r="AP54" i="33"/>
  <c r="AU54" i="33"/>
  <c r="AV54" i="33" s="1"/>
  <c r="Y168" i="33"/>
  <c r="AA168" i="33"/>
  <c r="AB168" i="33" s="1"/>
  <c r="AC168" i="33" s="1"/>
  <c r="AJ168" i="33"/>
  <c r="AK168" i="33" s="1"/>
  <c r="AN168" i="33"/>
  <c r="AD168" i="33"/>
  <c r="AE168" i="33" s="1"/>
  <c r="AF168" i="33" s="1"/>
  <c r="Y50" i="33"/>
  <c r="AD50" i="33"/>
  <c r="AE50" i="33" s="1"/>
  <c r="AF50" i="33" s="1"/>
  <c r="AS50" i="33"/>
  <c r="AT50" i="33" s="1"/>
  <c r="AW50" i="33"/>
  <c r="AX50" i="33" s="1"/>
  <c r="AA50" i="33"/>
  <c r="AB50" i="33" s="1"/>
  <c r="AC50" i="33" s="1"/>
  <c r="AQ42" i="33"/>
  <c r="BC42" i="33"/>
  <c r="BV42" i="33" s="1"/>
  <c r="X164" i="33"/>
  <c r="Z164" i="33" s="1"/>
  <c r="AY164" i="33"/>
  <c r="W203" i="33"/>
  <c r="BP93" i="33"/>
  <c r="W14" i="33"/>
  <c r="AP14" i="33"/>
  <c r="BS80" i="33"/>
  <c r="BM80" i="33"/>
  <c r="Z83" i="33"/>
  <c r="X17" i="33"/>
  <c r="AG17" i="33"/>
  <c r="AH17" i="33" s="1"/>
  <c r="AK17" i="33" s="1"/>
  <c r="AY17" i="33"/>
  <c r="Y181" i="33"/>
  <c r="AJ181" i="33"/>
  <c r="AK181" i="33" s="1"/>
  <c r="AA181" i="33"/>
  <c r="AB181" i="33" s="1"/>
  <c r="AC181" i="33" s="1"/>
  <c r="AN181" i="33"/>
  <c r="AD181" i="33"/>
  <c r="AE181" i="33" s="1"/>
  <c r="AF181" i="33" s="1"/>
  <c r="AM194" i="33"/>
  <c r="BC194" i="33"/>
  <c r="BV194" i="33" s="1"/>
  <c r="AG166" i="33"/>
  <c r="AH166" i="33" s="1"/>
  <c r="AU166" i="33"/>
  <c r="AV166" i="33" s="1"/>
  <c r="AX166" i="33" s="1"/>
  <c r="BU166" i="33" s="1"/>
  <c r="X18" i="33"/>
  <c r="Z18" i="33" s="1"/>
  <c r="AY18" i="33"/>
  <c r="AG18" i="33"/>
  <c r="AH18" i="33" s="1"/>
  <c r="AK18" i="33" s="1"/>
  <c r="AU82" i="33"/>
  <c r="AV82" i="33" s="1"/>
  <c r="S82" i="33"/>
  <c r="AI82" i="33" s="1"/>
  <c r="AP9" i="33"/>
  <c r="W9" i="33"/>
  <c r="AG209" i="33"/>
  <c r="AH209" i="33" s="1"/>
  <c r="AU209" i="33"/>
  <c r="AV209" i="33" s="1"/>
  <c r="AX209" i="33" s="1"/>
  <c r="BU209" i="33" s="1"/>
  <c r="Y191" i="33"/>
  <c r="Z191" i="33" s="1"/>
  <c r="AJ191" i="33"/>
  <c r="AK191" i="33" s="1"/>
  <c r="AA191" i="33"/>
  <c r="AB191" i="33" s="1"/>
  <c r="AC191" i="33" s="1"/>
  <c r="AN191" i="33"/>
  <c r="AO191" i="33" s="1"/>
  <c r="AD191" i="33"/>
  <c r="AE191" i="33" s="1"/>
  <c r="AF191" i="33" s="1"/>
  <c r="BP10" i="33"/>
  <c r="BI10" i="33"/>
  <c r="BK10" i="33" s="1"/>
  <c r="BO10" i="33" s="1"/>
  <c r="BS149" i="33"/>
  <c r="BM149" i="33"/>
  <c r="AL187" i="33"/>
  <c r="AQ29" i="33"/>
  <c r="BC29" i="33"/>
  <c r="BV29" i="33" s="1"/>
  <c r="Y174" i="33"/>
  <c r="AJ174" i="33"/>
  <c r="AK174" i="33" s="1"/>
  <c r="AA174" i="33"/>
  <c r="AB174" i="33" s="1"/>
  <c r="AC174" i="33" s="1"/>
  <c r="AN174" i="33"/>
  <c r="AD174" i="33"/>
  <c r="AE174" i="33" s="1"/>
  <c r="AF174" i="33" s="1"/>
  <c r="AT26" i="33"/>
  <c r="AA68" i="33"/>
  <c r="AB68" i="33" s="1"/>
  <c r="AC68" i="33" s="1"/>
  <c r="V108" i="33"/>
  <c r="S74" i="33"/>
  <c r="AI74" i="33" s="1"/>
  <c r="AK74" i="33" s="1"/>
  <c r="W19" i="33"/>
  <c r="S15" i="33"/>
  <c r="AP113" i="33"/>
  <c r="AQ113" i="33" s="1"/>
  <c r="AT113" i="33" s="1"/>
  <c r="BT113" i="33" s="1"/>
  <c r="R113" i="33"/>
  <c r="AT22" i="33"/>
  <c r="BI22" i="33" s="1"/>
  <c r="BK22" i="33" s="1"/>
  <c r="BO22" i="33" s="1"/>
  <c r="AL160" i="33"/>
  <c r="AL109" i="33"/>
  <c r="AL171" i="33"/>
  <c r="W147" i="33"/>
  <c r="Y17" i="33"/>
  <c r="AS17" i="33"/>
  <c r="AT17" i="33" s="1"/>
  <c r="AD17" i="33"/>
  <c r="AE17" i="33" s="1"/>
  <c r="AF17" i="33" s="1"/>
  <c r="AW17" i="33"/>
  <c r="AX17" i="33" s="1"/>
  <c r="AA17" i="33"/>
  <c r="AB17" i="33" s="1"/>
  <c r="AC17" i="33" s="1"/>
  <c r="AL116" i="33"/>
  <c r="Y158" i="33"/>
  <c r="AJ158" i="33"/>
  <c r="AK158" i="33" s="1"/>
  <c r="AA158" i="33"/>
  <c r="AB158" i="33" s="1"/>
  <c r="AC158" i="33" s="1"/>
  <c r="AN158" i="33"/>
  <c r="AO158" i="33" s="1"/>
  <c r="AD158" i="33"/>
  <c r="AE158" i="33" s="1"/>
  <c r="AF158" i="33" s="1"/>
  <c r="AP89" i="33"/>
  <c r="AQ89" i="33" s="1"/>
  <c r="AT89" i="33" s="1"/>
  <c r="BT89" i="33" s="1"/>
  <c r="R89" i="33"/>
  <c r="BR81" i="33"/>
  <c r="BL81" i="33"/>
  <c r="BQ81" i="33"/>
  <c r="AM139" i="33"/>
  <c r="BC139" i="33"/>
  <c r="BV139" i="33" s="1"/>
  <c r="Y187" i="33"/>
  <c r="AJ187" i="33"/>
  <c r="AK187" i="33" s="1"/>
  <c r="AA187" i="33"/>
  <c r="AB187" i="33" s="1"/>
  <c r="AC187" i="33" s="1"/>
  <c r="AN187" i="33"/>
  <c r="AD187" i="33"/>
  <c r="AE187" i="33" s="1"/>
  <c r="AF187" i="33" s="1"/>
  <c r="S120" i="33"/>
  <c r="AI120" i="33" s="1"/>
  <c r="V148" i="33"/>
  <c r="AM77" i="33"/>
  <c r="BC77" i="33"/>
  <c r="BV77" i="33" s="1"/>
  <c r="BP118" i="33"/>
  <c r="BI118" i="33"/>
  <c r="BK118" i="33" s="1"/>
  <c r="BO118" i="33" s="1"/>
  <c r="V84" i="33"/>
  <c r="AL106" i="33"/>
  <c r="AG106" i="33"/>
  <c r="AH106" i="33" s="1"/>
  <c r="V106" i="33"/>
  <c r="W106" i="33"/>
  <c r="X106" i="33" s="1"/>
  <c r="S106" i="33"/>
  <c r="AI106" i="33" s="1"/>
  <c r="BR26" i="33"/>
  <c r="BQ26" i="33"/>
  <c r="AP57" i="33"/>
  <c r="V19" i="33"/>
  <c r="BQ189" i="33"/>
  <c r="BR189" i="33"/>
  <c r="BL189" i="33"/>
  <c r="BP105" i="33"/>
  <c r="AQ28" i="33"/>
  <c r="BC28" i="33"/>
  <c r="BV28" i="33" s="1"/>
  <c r="AU109" i="33"/>
  <c r="AV109" i="33" s="1"/>
  <c r="S183" i="33"/>
  <c r="V132" i="33"/>
  <c r="BL56" i="33"/>
  <c r="BT56" i="33"/>
  <c r="S43" i="33"/>
  <c r="AI43" i="33" s="1"/>
  <c r="AK43" i="33" s="1"/>
  <c r="AQ32" i="33"/>
  <c r="BC32" i="33"/>
  <c r="BV32" i="33" s="1"/>
  <c r="AG175" i="33"/>
  <c r="AH175" i="33" s="1"/>
  <c r="W175" i="33"/>
  <c r="AU175" i="33"/>
  <c r="AV175" i="33" s="1"/>
  <c r="AX175" i="33" s="1"/>
  <c r="BU175" i="33" s="1"/>
  <c r="AQ49" i="33"/>
  <c r="BC49" i="33"/>
  <c r="BV49" i="33" s="1"/>
  <c r="V13" i="33"/>
  <c r="S20" i="33"/>
  <c r="AG99" i="33"/>
  <c r="AH99" i="33" s="1"/>
  <c r="AM188" i="33"/>
  <c r="BC188" i="33"/>
  <c r="BV188" i="33" s="1"/>
  <c r="S99" i="33"/>
  <c r="AI99" i="33" s="1"/>
  <c r="X197" i="33"/>
  <c r="AY197" i="33"/>
  <c r="Y195" i="33"/>
  <c r="Z195" i="33" s="1"/>
  <c r="AJ195" i="33"/>
  <c r="AK195" i="33" s="1"/>
  <c r="AA195" i="33"/>
  <c r="AB195" i="33" s="1"/>
  <c r="AC195" i="33" s="1"/>
  <c r="AN195" i="33"/>
  <c r="AO195" i="33" s="1"/>
  <c r="AD195" i="33"/>
  <c r="AE195" i="33" s="1"/>
  <c r="AF195" i="33" s="1"/>
  <c r="Z128" i="33"/>
  <c r="W30" i="33"/>
  <c r="AP30" i="33"/>
  <c r="S121" i="33"/>
  <c r="AI121" i="33" s="1"/>
  <c r="S79" i="33"/>
  <c r="AI79" i="33" s="1"/>
  <c r="AL130" i="33"/>
  <c r="V96" i="33"/>
  <c r="BS202" i="33"/>
  <c r="BM202" i="33"/>
  <c r="Y47" i="33"/>
  <c r="AD47" i="33"/>
  <c r="AE47" i="33" s="1"/>
  <c r="AF47" i="33" s="1"/>
  <c r="AS47" i="33"/>
  <c r="AT47" i="33" s="1"/>
  <c r="AW47" i="33"/>
  <c r="AX47" i="33" s="1"/>
  <c r="AA47" i="33"/>
  <c r="AB47" i="33" s="1"/>
  <c r="AC47" i="33" s="1"/>
  <c r="BR66" i="33"/>
  <c r="BQ66" i="33"/>
  <c r="BR69" i="33"/>
  <c r="BQ69" i="33"/>
  <c r="AU129" i="33"/>
  <c r="AV129" i="33" s="1"/>
  <c r="AX129" i="33" s="1"/>
  <c r="BU129" i="33" s="1"/>
  <c r="Y59" i="33"/>
  <c r="AS59" i="33"/>
  <c r="AD59" i="33"/>
  <c r="AE59" i="33" s="1"/>
  <c r="AF59" i="33" s="1"/>
  <c r="AW59" i="33"/>
  <c r="AX59" i="33" s="1"/>
  <c r="AA59" i="33"/>
  <c r="AB59" i="33" s="1"/>
  <c r="AC59" i="33" s="1"/>
  <c r="V184" i="33"/>
  <c r="V114" i="33"/>
  <c r="V45" i="33"/>
  <c r="S141" i="33"/>
  <c r="AL155" i="33"/>
  <c r="W155" i="33"/>
  <c r="AU134" i="33"/>
  <c r="AV134" i="33" s="1"/>
  <c r="AX134" i="33" s="1"/>
  <c r="BU134" i="33" s="1"/>
  <c r="S129" i="33"/>
  <c r="BS112" i="33"/>
  <c r="BM112" i="33"/>
  <c r="S54" i="33"/>
  <c r="AI54" i="33" s="1"/>
  <c r="AO133" i="33"/>
  <c r="V186" i="33"/>
  <c r="V42" i="33"/>
  <c r="AP34" i="33"/>
  <c r="W34" i="33"/>
  <c r="S14" i="33"/>
  <c r="AA72" i="33"/>
  <c r="AB72" i="33" s="1"/>
  <c r="AC72" i="33" s="1"/>
  <c r="AG146" i="33"/>
  <c r="AH146" i="33" s="1"/>
  <c r="W146" i="33"/>
  <c r="BP37" i="33"/>
  <c r="BI37" i="33"/>
  <c r="BK37" i="33" s="1"/>
  <c r="BO37" i="33" s="1"/>
  <c r="R119" i="33"/>
  <c r="AP119" i="33"/>
  <c r="AQ119" i="33" s="1"/>
  <c r="AT119" i="33" s="1"/>
  <c r="BT119" i="33" s="1"/>
  <c r="W119" i="33"/>
  <c r="X119" i="33" s="1"/>
  <c r="V33" i="33"/>
  <c r="W33" i="33"/>
  <c r="BT10" i="33"/>
  <c r="BL10" i="33"/>
  <c r="V166" i="33"/>
  <c r="AL95" i="33"/>
  <c r="AU95" i="33"/>
  <c r="AV95" i="33" s="1"/>
  <c r="W95" i="33"/>
  <c r="X95" i="33" s="1"/>
  <c r="S9" i="33"/>
  <c r="BL208" i="33"/>
  <c r="BR208" i="33"/>
  <c r="V27" i="33"/>
  <c r="AM206" i="33"/>
  <c r="BC206" i="33"/>
  <c r="BV206" i="33" s="1"/>
  <c r="AM179" i="33"/>
  <c r="AO179" i="33" s="1"/>
  <c r="BC179" i="33"/>
  <c r="BV179" i="33" s="1"/>
  <c r="V209" i="33"/>
  <c r="AL185" i="33"/>
  <c r="AG94" i="33"/>
  <c r="AH94" i="33" s="1"/>
  <c r="BU16" i="33"/>
  <c r="BM16" i="33"/>
  <c r="W187" i="33"/>
  <c r="AO200" i="33"/>
  <c r="AP67" i="33"/>
  <c r="AQ67" i="33" s="1"/>
  <c r="R67" i="33"/>
  <c r="AU67" i="33"/>
  <c r="AV67" i="33" s="1"/>
  <c r="R76" i="33"/>
  <c r="AP76" i="33"/>
  <c r="AQ76" i="33" s="1"/>
  <c r="AT76" i="33" s="1"/>
  <c r="BT76" i="33" s="1"/>
  <c r="AO162" i="33"/>
  <c r="AL129" i="33"/>
  <c r="W64" i="33"/>
  <c r="X64" i="33" s="1"/>
  <c r="W174" i="33"/>
  <c r="AG108" i="33"/>
  <c r="AH108" i="33" s="1"/>
  <c r="V74" i="33"/>
  <c r="S64" i="33"/>
  <c r="AI64" i="33" s="1"/>
  <c r="AK64" i="33" s="1"/>
  <c r="AU124" i="33"/>
  <c r="AV124" i="33" s="1"/>
  <c r="AX124" i="33" s="1"/>
  <c r="BU124" i="33" s="1"/>
  <c r="V15" i="33"/>
  <c r="S113" i="33"/>
  <c r="AI113" i="33" s="1"/>
  <c r="W204" i="33"/>
  <c r="W198" i="33"/>
  <c r="AU198" i="33"/>
  <c r="AV198" i="33" s="1"/>
  <c r="AX198" i="33" s="1"/>
  <c r="BU198" i="33" s="1"/>
  <c r="AL147" i="33"/>
  <c r="AU150" i="33"/>
  <c r="AV150" i="33" s="1"/>
  <c r="AX150" i="33" s="1"/>
  <c r="BU150" i="33" s="1"/>
  <c r="S17" i="33"/>
  <c r="W209" i="33"/>
  <c r="Y140" i="33"/>
  <c r="AJ140" i="33"/>
  <c r="AK140" i="33" s="1"/>
  <c r="AA140" i="33"/>
  <c r="AB140" i="33" s="1"/>
  <c r="AC140" i="33" s="1"/>
  <c r="AN140" i="33"/>
  <c r="AD140" i="33"/>
  <c r="AE140" i="33" s="1"/>
  <c r="AF140" i="33" s="1"/>
  <c r="BQ143" i="33"/>
  <c r="BR143" i="33"/>
  <c r="BL143" i="33"/>
  <c r="AM136" i="33"/>
  <c r="BC136" i="33"/>
  <c r="BV136" i="33" s="1"/>
  <c r="W177" i="33"/>
  <c r="AT48" i="33"/>
  <c r="BQ48" i="33" s="1"/>
  <c r="AG89" i="33"/>
  <c r="AH89" i="33" s="1"/>
  <c r="AU46" i="33"/>
  <c r="AV46" i="33" s="1"/>
  <c r="AM74" i="33"/>
  <c r="Y175" i="33"/>
  <c r="AJ175" i="33"/>
  <c r="AK175" i="33" s="1"/>
  <c r="AA175" i="33"/>
  <c r="AB175" i="33" s="1"/>
  <c r="AC175" i="33" s="1"/>
  <c r="AN175" i="33"/>
  <c r="AO175" i="33" s="1"/>
  <c r="AD175" i="33"/>
  <c r="AE175" i="33" s="1"/>
  <c r="AF175" i="33" s="1"/>
  <c r="BR151" i="33"/>
  <c r="BL151" i="33"/>
  <c r="AO153" i="33"/>
  <c r="BQ153" i="33" s="1"/>
  <c r="AM180" i="33"/>
  <c r="BC180" i="33"/>
  <c r="BV180" i="33" s="1"/>
  <c r="X38" i="33"/>
  <c r="AY38" i="33"/>
  <c r="AG38" i="33"/>
  <c r="AH38" i="33" s="1"/>
  <c r="AK38" i="33" s="1"/>
  <c r="X201" i="33"/>
  <c r="AY201" i="33"/>
  <c r="V120" i="33"/>
  <c r="AO135" i="33"/>
  <c r="BQ135" i="33" s="1"/>
  <c r="W85" i="33"/>
  <c r="X85" i="33" s="1"/>
  <c r="AM207" i="33"/>
  <c r="BC207" i="33"/>
  <c r="BV207" i="33" s="1"/>
  <c r="S51" i="33"/>
  <c r="AI51" i="33" s="1"/>
  <c r="AP51" i="33"/>
  <c r="S94" i="33"/>
  <c r="AI94" i="33" s="1"/>
  <c r="BP26" i="33"/>
  <c r="BI26" i="33"/>
  <c r="BK26" i="33" s="1"/>
  <c r="BO26" i="33" s="1"/>
  <c r="AM82" i="33"/>
  <c r="BC82" i="33"/>
  <c r="BV82" i="33" s="1"/>
  <c r="Y180" i="33"/>
  <c r="Z180" i="33" s="1"/>
  <c r="AA180" i="33"/>
  <c r="AB180" i="33" s="1"/>
  <c r="AC180" i="33" s="1"/>
  <c r="AJ180" i="33"/>
  <c r="AK180" i="33" s="1"/>
  <c r="AN180" i="33"/>
  <c r="AD180" i="33"/>
  <c r="AE180" i="33" s="1"/>
  <c r="AF180" i="33" s="1"/>
  <c r="AP71" i="33"/>
  <c r="AQ71" i="33" s="1"/>
  <c r="R71" i="33"/>
  <c r="S109" i="33"/>
  <c r="AI109" i="33" s="1"/>
  <c r="AK109" i="33" s="1"/>
  <c r="V183" i="33"/>
  <c r="AD98" i="33"/>
  <c r="AE98" i="33" s="1"/>
  <c r="AF98" i="33" s="1"/>
  <c r="AG77" i="33"/>
  <c r="AH77" i="33" s="1"/>
  <c r="AM168" i="33"/>
  <c r="BC168" i="33"/>
  <c r="BV168" i="33" s="1"/>
  <c r="AU169" i="33"/>
  <c r="AV169" i="33" s="1"/>
  <c r="AX169" i="33" s="1"/>
  <c r="BU169" i="33" s="1"/>
  <c r="S28" i="33"/>
  <c r="V43" i="33"/>
  <c r="S175" i="33"/>
  <c r="AA73" i="33"/>
  <c r="AB73" i="33" s="1"/>
  <c r="AC73" i="33" s="1"/>
  <c r="AL138" i="33"/>
  <c r="AU138" i="33"/>
  <c r="AV138" i="33" s="1"/>
  <c r="AX138" i="33" s="1"/>
  <c r="BU138" i="33" s="1"/>
  <c r="S49" i="33"/>
  <c r="AI49" i="33" s="1"/>
  <c r="AK49" i="33" s="1"/>
  <c r="AO151" i="33"/>
  <c r="W205" i="33"/>
  <c r="V20" i="33"/>
  <c r="AO92" i="33"/>
  <c r="BI92" i="33" s="1"/>
  <c r="BK92" i="33" s="1"/>
  <c r="BO92" i="33" s="1"/>
  <c r="AU207" i="33"/>
  <c r="AV207" i="33" s="1"/>
  <c r="AX207" i="33" s="1"/>
  <c r="BU207" i="33" s="1"/>
  <c r="W207" i="33"/>
  <c r="V99" i="33"/>
  <c r="AM165" i="33"/>
  <c r="BC165" i="33"/>
  <c r="BV165" i="33" s="1"/>
  <c r="AU193" i="33"/>
  <c r="AV193" i="33" s="1"/>
  <c r="AX193" i="33" s="1"/>
  <c r="BU193" i="33" s="1"/>
  <c r="AG193" i="33"/>
  <c r="AH193" i="33" s="1"/>
  <c r="S137" i="33"/>
  <c r="AP107" i="33"/>
  <c r="AQ107" i="33" s="1"/>
  <c r="AT107" i="33" s="1"/>
  <c r="BT107" i="33" s="1"/>
  <c r="R107" i="33"/>
  <c r="W107" i="33"/>
  <c r="X107" i="33" s="1"/>
  <c r="Y110" i="33"/>
  <c r="Z110" i="33" s="1"/>
  <c r="AJ110" i="33"/>
  <c r="AA110" i="33"/>
  <c r="AB110" i="33" s="1"/>
  <c r="AC110" i="33" s="1"/>
  <c r="AN110" i="33"/>
  <c r="AO110" i="33" s="1"/>
  <c r="AW110" i="33"/>
  <c r="AX110" i="33" s="1"/>
  <c r="BU110" i="33" s="1"/>
  <c r="AD110" i="33"/>
  <c r="AE110" i="33" s="1"/>
  <c r="AF110" i="33" s="1"/>
  <c r="X161" i="33"/>
  <c r="Z161" i="33" s="1"/>
  <c r="AY161" i="33"/>
  <c r="S30" i="33"/>
  <c r="V121" i="33"/>
  <c r="V79" i="33"/>
  <c r="BC87" i="33"/>
  <c r="BV87" i="33" s="1"/>
  <c r="X135" i="33"/>
  <c r="Z135" i="33" s="1"/>
  <c r="AY135" i="33"/>
  <c r="AX91" i="33"/>
  <c r="BU91" i="33" s="1"/>
  <c r="Y197" i="33"/>
  <c r="AA197" i="33"/>
  <c r="AB197" i="33" s="1"/>
  <c r="AC197" i="33" s="1"/>
  <c r="AJ197" i="33"/>
  <c r="AK197" i="33" s="1"/>
  <c r="AN197" i="33"/>
  <c r="AO197" i="33" s="1"/>
  <c r="AD197" i="33"/>
  <c r="AE197" i="33" s="1"/>
  <c r="AF197" i="33" s="1"/>
  <c r="W28" i="33"/>
  <c r="AL193" i="33"/>
  <c r="AP59" i="33"/>
  <c r="R100" i="33"/>
  <c r="AP100" i="33"/>
  <c r="AQ100" i="33" s="1"/>
  <c r="AT100" i="33" s="1"/>
  <c r="BT100" i="33" s="1"/>
  <c r="AP38" i="33"/>
  <c r="BL190" i="33"/>
  <c r="BQ190" i="33"/>
  <c r="BR190" i="33"/>
  <c r="V141" i="33"/>
  <c r="AG155" i="33"/>
  <c r="AH155" i="33" s="1"/>
  <c r="BL133" i="33"/>
  <c r="BR133" i="33"/>
  <c r="BQ133" i="33"/>
  <c r="BU55" i="33"/>
  <c r="BM55" i="33"/>
  <c r="R88" i="33"/>
  <c r="AO194" i="33"/>
  <c r="Y62" i="33"/>
  <c r="Z62" i="33" s="1"/>
  <c r="AD62" i="33"/>
  <c r="AE62" i="33" s="1"/>
  <c r="AF62" i="33" s="1"/>
  <c r="AS62" i="33"/>
  <c r="AT62" i="33" s="1"/>
  <c r="AW62" i="33"/>
  <c r="AX62" i="33" s="1"/>
  <c r="AA62" i="33"/>
  <c r="AB62" i="33" s="1"/>
  <c r="AC62" i="33" s="1"/>
  <c r="S187" i="33"/>
  <c r="AG102" i="33"/>
  <c r="AH102" i="33" s="1"/>
  <c r="S31" i="33"/>
  <c r="S34" i="33"/>
  <c r="AI34" i="33" s="1"/>
  <c r="V14" i="33"/>
  <c r="AM103" i="33"/>
  <c r="BC103" i="33"/>
  <c r="BV103" i="33" s="1"/>
  <c r="X40" i="33"/>
  <c r="Z40" i="33" s="1"/>
  <c r="AG40" i="33"/>
  <c r="AH40" i="33" s="1"/>
  <c r="AK40" i="33" s="1"/>
  <c r="AY40" i="33"/>
  <c r="S146" i="33"/>
  <c r="AM128" i="33"/>
  <c r="AO128" i="33" s="1"/>
  <c r="BC128" i="33"/>
  <c r="BV128" i="33" s="1"/>
  <c r="S119" i="33"/>
  <c r="AI119" i="33" s="1"/>
  <c r="AO75" i="33"/>
  <c r="BS75" i="33" s="1"/>
  <c r="AL209" i="33"/>
  <c r="AU33" i="33"/>
  <c r="AV33" i="33" s="1"/>
  <c r="AM64" i="33"/>
  <c r="BC64" i="33"/>
  <c r="BV64" i="33" s="1"/>
  <c r="AK93" i="33"/>
  <c r="AU14" i="33"/>
  <c r="AV14" i="33" s="1"/>
  <c r="V9" i="33"/>
  <c r="S206" i="33"/>
  <c r="X179" i="33"/>
  <c r="Z179" i="33" s="1"/>
  <c r="AY179" i="33"/>
  <c r="AX18" i="33"/>
  <c r="AU11" i="33"/>
  <c r="AV11" i="33" s="1"/>
  <c r="R115" i="33"/>
  <c r="AP115" i="33"/>
  <c r="AQ115" i="33" s="1"/>
  <c r="AT115" i="33" s="1"/>
  <c r="BT115" i="33" s="1"/>
  <c r="AT16" i="33"/>
  <c r="AU94" i="33"/>
  <c r="AV94" i="33" s="1"/>
  <c r="AM93" i="33"/>
  <c r="AO93" i="33" s="1"/>
  <c r="BC93" i="33"/>
  <c r="BV93" i="33" s="1"/>
  <c r="AO103" i="33"/>
  <c r="BL200" i="33"/>
  <c r="BR200" i="33"/>
  <c r="S32" i="33"/>
  <c r="AI32" i="33" s="1"/>
  <c r="S67" i="33"/>
  <c r="AI67" i="33" s="1"/>
  <c r="AU146" i="33"/>
  <c r="AV146" i="33" s="1"/>
  <c r="AX146" i="33" s="1"/>
  <c r="BU146" i="33" s="1"/>
  <c r="S76" i="33"/>
  <c r="AI76" i="33" s="1"/>
  <c r="W57" i="33"/>
  <c r="BP126" i="33"/>
  <c r="BI126" i="33"/>
  <c r="BK126" i="33" s="1"/>
  <c r="BO126" i="33" s="1"/>
  <c r="AL174" i="33"/>
  <c r="W108" i="33"/>
  <c r="X108" i="33" s="1"/>
  <c r="AP74" i="33"/>
  <c r="AQ74" i="33" s="1"/>
  <c r="V64" i="33"/>
  <c r="AA64" i="33" s="1"/>
  <c r="AB64" i="33" s="1"/>
  <c r="AC64" i="33" s="1"/>
  <c r="W124" i="33"/>
  <c r="BU37" i="33"/>
  <c r="BM37" i="33"/>
  <c r="V113" i="33"/>
  <c r="S125" i="33"/>
  <c r="W46" i="33"/>
  <c r="W72" i="33"/>
  <c r="X72" i="33" s="1"/>
  <c r="S198" i="33"/>
  <c r="AL150" i="33"/>
  <c r="AG160" i="33"/>
  <c r="AH160" i="33" s="1"/>
  <c r="AG185" i="33"/>
  <c r="AH185" i="33" s="1"/>
  <c r="X140" i="33"/>
  <c r="Z140" i="33" s="1"/>
  <c r="AY140" i="33"/>
  <c r="R101" i="33"/>
  <c r="Z48" i="33"/>
  <c r="S89" i="33"/>
  <c r="AI89" i="33" s="1"/>
  <c r="AU113" i="33"/>
  <c r="AV113" i="33" s="1"/>
  <c r="AX310" i="28"/>
  <c r="AY310" i="28" s="1"/>
  <c r="AW502" i="28"/>
  <c r="BL464" i="28"/>
  <c r="BM464" i="28" s="1"/>
  <c r="AW507" i="28"/>
  <c r="BL506" i="28" s="1"/>
  <c r="BM506" i="28" s="1"/>
  <c r="AX464" i="28"/>
  <c r="AY464" i="28" s="1"/>
  <c r="AW336" i="28"/>
  <c r="BL335" i="28" s="1"/>
  <c r="BM335" i="28" s="1"/>
  <c r="BL310" i="28"/>
  <c r="BM310" i="28" s="1"/>
  <c r="BL463" i="28"/>
  <c r="BM463" i="28" s="1"/>
  <c r="AW154" i="28"/>
  <c r="BL154" i="28" s="1"/>
  <c r="BM154" i="28" s="1"/>
  <c r="AW218" i="28"/>
  <c r="AX442" i="28"/>
  <c r="AY442" i="28" s="1"/>
  <c r="AW389" i="28"/>
  <c r="BL389" i="28" s="1"/>
  <c r="BM389" i="28" s="1"/>
  <c r="AW415" i="28"/>
  <c r="BL414" i="28" s="1"/>
  <c r="BM414" i="28" s="1"/>
  <c r="AX599" i="28"/>
  <c r="AY599" i="28" s="1"/>
  <c r="AW69" i="28"/>
  <c r="AX182" i="28"/>
  <c r="AY182" i="28" s="1"/>
  <c r="AW354" i="28"/>
  <c r="BL353" i="28" s="1"/>
  <c r="BM353" i="28" s="1"/>
  <c r="AW567" i="28"/>
  <c r="BL567" i="28" s="1"/>
  <c r="BM567" i="28" s="1"/>
  <c r="AX377" i="28"/>
  <c r="AY377" i="28" s="1"/>
  <c r="BL377" i="28"/>
  <c r="BM377" i="28" s="1"/>
  <c r="AW206" i="28"/>
  <c r="BL205" i="28" s="1"/>
  <c r="BM205" i="28" s="1"/>
  <c r="AX81" i="28"/>
  <c r="AY81" i="28" s="1"/>
  <c r="AW152" i="28"/>
  <c r="AX50" i="28"/>
  <c r="AY50" i="28" s="1"/>
  <c r="AW59" i="28"/>
  <c r="BL59" i="28" s="1"/>
  <c r="BM59" i="28" s="1"/>
  <c r="AW121" i="28"/>
  <c r="BL121" i="28" s="1"/>
  <c r="BM121" i="28" s="1"/>
  <c r="AX161" i="28"/>
  <c r="AY161" i="28" s="1"/>
  <c r="AX463" i="28"/>
  <c r="AY463" i="28" s="1"/>
  <c r="AW140" i="28"/>
  <c r="AW551" i="28"/>
  <c r="BL550" i="28" s="1"/>
  <c r="BM550" i="28" s="1"/>
  <c r="BL87" i="28"/>
  <c r="BM87" i="28" s="1"/>
  <c r="BL439" i="28"/>
  <c r="BM439" i="28" s="1"/>
  <c r="AW549" i="28"/>
  <c r="BL548" i="28" s="1"/>
  <c r="BM548" i="28" s="1"/>
  <c r="BL591" i="28"/>
  <c r="BM591" i="28" s="1"/>
  <c r="BL292" i="28"/>
  <c r="BM292" i="28" s="1"/>
  <c r="BL521" i="28"/>
  <c r="BM521" i="28" s="1"/>
  <c r="AW110" i="28"/>
  <c r="BL109" i="28" s="1"/>
  <c r="BM109" i="28" s="1"/>
  <c r="AX343" i="28"/>
  <c r="AY343" i="28" s="1"/>
  <c r="BL522" i="28"/>
  <c r="BM522" i="28" s="1"/>
  <c r="AX244" i="28"/>
  <c r="AY244" i="28" s="1"/>
  <c r="AW198" i="28"/>
  <c r="AW434" i="28"/>
  <c r="BL433" i="28" s="1"/>
  <c r="BM433" i="28" s="1"/>
  <c r="AX540" i="28"/>
  <c r="AY540" i="28" s="1"/>
  <c r="AW228" i="28"/>
  <c r="BL227" i="28" s="1"/>
  <c r="BM227" i="28" s="1"/>
  <c r="AX454" i="28"/>
  <c r="AY454" i="28" s="1"/>
  <c r="BL359" i="28"/>
  <c r="BM359" i="28" s="1"/>
  <c r="AW243" i="28"/>
  <c r="BL243" i="28" s="1"/>
  <c r="BM243" i="28" s="1"/>
  <c r="AW178" i="28"/>
  <c r="BL178" i="28" s="1"/>
  <c r="BM178" i="28" s="1"/>
  <c r="AX16" i="28"/>
  <c r="AY16" i="28" s="1"/>
  <c r="AW328" i="28"/>
  <c r="BL328" i="28" s="1"/>
  <c r="BM328" i="28" s="1"/>
  <c r="AX258" i="28"/>
  <c r="AY258" i="28" s="1"/>
  <c r="AX104" i="28"/>
  <c r="AY104" i="28" s="1"/>
  <c r="AX341" i="28"/>
  <c r="AY341" i="28" s="1"/>
  <c r="AW312" i="28"/>
  <c r="BL311" i="28" s="1"/>
  <c r="BM311" i="28" s="1"/>
  <c r="AX46" i="28"/>
  <c r="AY46" i="28" s="1"/>
  <c r="AW361" i="28"/>
  <c r="BL361" i="28" s="1"/>
  <c r="BM361" i="28" s="1"/>
  <c r="AX570" i="28"/>
  <c r="AY570" i="28" s="1"/>
  <c r="AW91" i="28"/>
  <c r="BL91" i="28" s="1"/>
  <c r="BM91" i="28" s="1"/>
  <c r="AW379" i="28"/>
  <c r="BL379" i="28" s="1"/>
  <c r="BM379" i="28" s="1"/>
  <c r="AX125" i="28"/>
  <c r="AY125" i="28" s="1"/>
  <c r="AX25" i="28"/>
  <c r="AY25" i="28" s="1"/>
  <c r="AW545" i="28"/>
  <c r="BL545" i="28" s="1"/>
  <c r="BM545" i="28" s="1"/>
  <c r="AX547" i="28"/>
  <c r="AY547" i="28" s="1"/>
  <c r="AX265" i="28"/>
  <c r="AY265" i="28" s="1"/>
  <c r="AX18" i="28"/>
  <c r="AY18" i="28" s="1"/>
  <c r="AW391" i="28"/>
  <c r="BL391" i="28" s="1"/>
  <c r="BM391" i="28" s="1"/>
  <c r="AW317" i="28"/>
  <c r="BL317" i="28" s="1"/>
  <c r="BM317" i="28" s="1"/>
  <c r="AW626" i="28"/>
  <c r="H636" i="28" s="1"/>
  <c r="AX313" i="28"/>
  <c r="AY313" i="28" s="1"/>
  <c r="AW327" i="28"/>
  <c r="BL326" i="28" s="1"/>
  <c r="BM326" i="28" s="1"/>
  <c r="BL204" i="28"/>
  <c r="BM204" i="28" s="1"/>
  <c r="AW55" i="28"/>
  <c r="BL55" i="28" s="1"/>
  <c r="BM55" i="28" s="1"/>
  <c r="AX422" i="28"/>
  <c r="AY422" i="28" s="1"/>
  <c r="AX213" i="28"/>
  <c r="AY213" i="28" s="1"/>
  <c r="BL325" i="28"/>
  <c r="BM325" i="28" s="1"/>
  <c r="AW452" i="28"/>
  <c r="BL452" i="28" s="1"/>
  <c r="BM452" i="28" s="1"/>
  <c r="BL169" i="28"/>
  <c r="BM169" i="28" s="1"/>
  <c r="AX86" i="28"/>
  <c r="AY86" i="28" s="1"/>
  <c r="AW62" i="28"/>
  <c r="BL426" i="28"/>
  <c r="BM426" i="28" s="1"/>
  <c r="AW132" i="28"/>
  <c r="BL132" i="28" s="1"/>
  <c r="BM132" i="28" s="1"/>
  <c r="AX80" i="28"/>
  <c r="AY80" i="28" s="1"/>
  <c r="AX355" i="28"/>
  <c r="AY355" i="28" s="1"/>
  <c r="AX366" i="28"/>
  <c r="AY366" i="28" s="1"/>
  <c r="AW572" i="28"/>
  <c r="BL572" i="28" s="1"/>
  <c r="BM572" i="28" s="1"/>
  <c r="AW300" i="28"/>
  <c r="BL299" i="28" s="1"/>
  <c r="BM299" i="28" s="1"/>
  <c r="BL274" i="28"/>
  <c r="BM274" i="28" s="1"/>
  <c r="BL166" i="28"/>
  <c r="BM166" i="28" s="1"/>
  <c r="AW371" i="28"/>
  <c r="BL370" i="28" s="1"/>
  <c r="BM370" i="28" s="1"/>
  <c r="AW398" i="28"/>
  <c r="BL397" i="28" s="1"/>
  <c r="BM397" i="28" s="1"/>
  <c r="AX259" i="28"/>
  <c r="AY259" i="28" s="1"/>
  <c r="AW193" i="28"/>
  <c r="BL193" i="28" s="1"/>
  <c r="BM193" i="28" s="1"/>
  <c r="AX246" i="28"/>
  <c r="AY246" i="28" s="1"/>
  <c r="AX574" i="28"/>
  <c r="AY574" i="28" s="1"/>
  <c r="AW405" i="28"/>
  <c r="BL404" i="28" s="1"/>
  <c r="BM404" i="28" s="1"/>
  <c r="AX606" i="28"/>
  <c r="AY606" i="28" s="1"/>
  <c r="AX592" i="28"/>
  <c r="AY592" i="28" s="1"/>
  <c r="AW130" i="28"/>
  <c r="BL129" i="28" s="1"/>
  <c r="BM129" i="28" s="1"/>
  <c r="AW466" i="28"/>
  <c r="BL465" i="28" s="1"/>
  <c r="BM465" i="28" s="1"/>
  <c r="AW168" i="28"/>
  <c r="BL168" i="28" s="1"/>
  <c r="BM168" i="28" s="1"/>
  <c r="AX575" i="28"/>
  <c r="AY575" i="28" s="1"/>
  <c r="BL281" i="28"/>
  <c r="BM281" i="28" s="1"/>
  <c r="AW114" i="28"/>
  <c r="AX253" i="28"/>
  <c r="AY253" i="28" s="1"/>
  <c r="AW590" i="28"/>
  <c r="BL590" i="28" s="1"/>
  <c r="BM590" i="28" s="1"/>
  <c r="AX580" i="28"/>
  <c r="AY580" i="28" s="1"/>
  <c r="AW200" i="28"/>
  <c r="AW128" i="28"/>
  <c r="BL128" i="28" s="1"/>
  <c r="BM128" i="28" s="1"/>
  <c r="AX472" i="28"/>
  <c r="AY472" i="28" s="1"/>
  <c r="BL203" i="28"/>
  <c r="BM203" i="28" s="1"/>
  <c r="AX512" i="28"/>
  <c r="AY512" i="28" s="1"/>
  <c r="AW499" i="28"/>
  <c r="BL498" i="28" s="1"/>
  <c r="BM498" i="28" s="1"/>
  <c r="AW416" i="28"/>
  <c r="AX96" i="28"/>
  <c r="AY96" i="28" s="1"/>
  <c r="AW629" i="28"/>
  <c r="AW245" i="28"/>
  <c r="BL244" i="28" s="1"/>
  <c r="BM244" i="28" s="1"/>
  <c r="AW520" i="28"/>
  <c r="BL520" i="28" s="1"/>
  <c r="BM520" i="28" s="1"/>
  <c r="AW495" i="28"/>
  <c r="BL495" i="28" s="1"/>
  <c r="BM495" i="28" s="1"/>
  <c r="AW234" i="28"/>
  <c r="BL233" i="28" s="1"/>
  <c r="BM233" i="28" s="1"/>
  <c r="BM64" i="28"/>
  <c r="AX445" i="28"/>
  <c r="AY445" i="28" s="1"/>
  <c r="AX126" i="28"/>
  <c r="AY126" i="28" s="1"/>
  <c r="AW306" i="28"/>
  <c r="BL305" i="28" s="1"/>
  <c r="BM305" i="28" s="1"/>
  <c r="AW408" i="28"/>
  <c r="BL407" i="28" s="1"/>
  <c r="BM407" i="28" s="1"/>
  <c r="AW519" i="28"/>
  <c r="AX231" i="28"/>
  <c r="AY231" i="28" s="1"/>
  <c r="AX117" i="28"/>
  <c r="AY117" i="28" s="1"/>
  <c r="AW116" i="28"/>
  <c r="BL116" i="28" s="1"/>
  <c r="BM116" i="28" s="1"/>
  <c r="AX23" i="28"/>
  <c r="AY23" i="28" s="1"/>
  <c r="AW70" i="28"/>
  <c r="BL392" i="28"/>
  <c r="BM392" i="28" s="1"/>
  <c r="AW35" i="28"/>
  <c r="AW175" i="28"/>
  <c r="AX548" i="28"/>
  <c r="AY548" i="28" s="1"/>
  <c r="AW571" i="28"/>
  <c r="BL570" i="28" s="1"/>
  <c r="BM570" i="28" s="1"/>
  <c r="AW564" i="28"/>
  <c r="BL563" i="28" s="1"/>
  <c r="BM563" i="28" s="1"/>
  <c r="BL373" i="28"/>
  <c r="BM373" i="28" s="1"/>
  <c r="AW279" i="28"/>
  <c r="BL279" i="28" s="1"/>
  <c r="BM279" i="28" s="1"/>
  <c r="AW295" i="28"/>
  <c r="BL294" i="28" s="1"/>
  <c r="BM294" i="28" s="1"/>
  <c r="AX588" i="28"/>
  <c r="AY588" i="28" s="1"/>
  <c r="AX83" i="28"/>
  <c r="AY83" i="28" s="1"/>
  <c r="AX186" i="28"/>
  <c r="AY186" i="28" s="1"/>
  <c r="AX108" i="28"/>
  <c r="AY108" i="28" s="1"/>
  <c r="AW420" i="28"/>
  <c r="BL420" i="28" s="1"/>
  <c r="BM420" i="28" s="1"/>
  <c r="AX19" i="28"/>
  <c r="AY19" i="28" s="1"/>
  <c r="AW524" i="28"/>
  <c r="BL523" i="28" s="1"/>
  <c r="BM523" i="28" s="1"/>
  <c r="AX527" i="28"/>
  <c r="AY527" i="28" s="1"/>
  <c r="AW348" i="28"/>
  <c r="BL348" i="28" s="1"/>
  <c r="BM348" i="28" s="1"/>
  <c r="AX144" i="28"/>
  <c r="AY144" i="28" s="1"/>
  <c r="AX67" i="28"/>
  <c r="AY67" i="28" s="1"/>
  <c r="AX143" i="28"/>
  <c r="AY143" i="28" s="1"/>
  <c r="AW61" i="28"/>
  <c r="BL60" i="28" s="1"/>
  <c r="BM60" i="28" s="1"/>
  <c r="BL554" i="28"/>
  <c r="BM554" i="28" s="1"/>
  <c r="BL235" i="28"/>
  <c r="BM235" i="28" s="1"/>
  <c r="BL578" i="28"/>
  <c r="BM578" i="28" s="1"/>
  <c r="AX353" i="28"/>
  <c r="AY353" i="28" s="1"/>
  <c r="AW127" i="28"/>
  <c r="AW482" i="28"/>
  <c r="BL482" i="28" s="1"/>
  <c r="BM482" i="28" s="1"/>
  <c r="AW119" i="28"/>
  <c r="AX342" i="28"/>
  <c r="AY342" i="28" s="1"/>
  <c r="AX582" i="28"/>
  <c r="AY582" i="28" s="1"/>
  <c r="AW145" i="28"/>
  <c r="BL144" i="28" s="1"/>
  <c r="BM144" i="28" s="1"/>
  <c r="AW402" i="28"/>
  <c r="BL402" i="28" s="1"/>
  <c r="BM402" i="28" s="1"/>
  <c r="AW242" i="28"/>
  <c r="BL241" i="28" s="1"/>
  <c r="BM241" i="28" s="1"/>
  <c r="AX189" i="28"/>
  <c r="AY189" i="28" s="1"/>
  <c r="AW158" i="28"/>
  <c r="AW68" i="28"/>
  <c r="AW273" i="28"/>
  <c r="BL273" i="28" s="1"/>
  <c r="BM273" i="28" s="1"/>
  <c r="AW212" i="28"/>
  <c r="BL211" i="28" s="1"/>
  <c r="BM211" i="28" s="1"/>
  <c r="AX277" i="28"/>
  <c r="AY277" i="28" s="1"/>
  <c r="AX362" i="28"/>
  <c r="AY362" i="28" s="1"/>
  <c r="AX94" i="28"/>
  <c r="AY94" i="28" s="1"/>
  <c r="AW436" i="28"/>
  <c r="BL435" i="28" s="1"/>
  <c r="BM435" i="28" s="1"/>
  <c r="AW438" i="28"/>
  <c r="BL438" i="28" s="1"/>
  <c r="BM438" i="28" s="1"/>
  <c r="AX410" i="28"/>
  <c r="AY410" i="28" s="1"/>
  <c r="AW576" i="28"/>
  <c r="BL575" i="28" s="1"/>
  <c r="BM575" i="28" s="1"/>
  <c r="AX611" i="28"/>
  <c r="AY611" i="28" s="1"/>
  <c r="AW187" i="28"/>
  <c r="BL186" i="28" s="1"/>
  <c r="BM186" i="28" s="1"/>
  <c r="AW238" i="28"/>
  <c r="AW319" i="28"/>
  <c r="BL318" i="28" s="1"/>
  <c r="BM318" i="28" s="1"/>
  <c r="AW289" i="28"/>
  <c r="BL288" i="28" s="1"/>
  <c r="BM288" i="28" s="1"/>
  <c r="AW595" i="28"/>
  <c r="BL595" i="28" s="1"/>
  <c r="BM595" i="28" s="1"/>
  <c r="AW450" i="28"/>
  <c r="BL450" i="28" s="1"/>
  <c r="BM450" i="28" s="1"/>
  <c r="AX215" i="28"/>
  <c r="AY215" i="28" s="1"/>
  <c r="AW460" i="28"/>
  <c r="BL460" i="28" s="1"/>
  <c r="BM460" i="28" s="1"/>
  <c r="AX222" i="28"/>
  <c r="AY222" i="28" s="1"/>
  <c r="BL218" i="28"/>
  <c r="BM218" i="28" s="1"/>
  <c r="BL226" i="28"/>
  <c r="BM226" i="28" s="1"/>
  <c r="AW278" i="28"/>
  <c r="BL277" i="28" s="1"/>
  <c r="BM277" i="28" s="1"/>
  <c r="AW484" i="28"/>
  <c r="BL483" i="28" s="1"/>
  <c r="BM483" i="28" s="1"/>
  <c r="AW386" i="28"/>
  <c r="BL386" i="28" s="1"/>
  <c r="BM386" i="28" s="1"/>
  <c r="AW561" i="28"/>
  <c r="BL560" i="28" s="1"/>
  <c r="BM560" i="28" s="1"/>
  <c r="AX41" i="28"/>
  <c r="AY41" i="28" s="1"/>
  <c r="AX307" i="28"/>
  <c r="AY307" i="28" s="1"/>
  <c r="AW171" i="28"/>
  <c r="AX532" i="28"/>
  <c r="AY532" i="28" s="1"/>
  <c r="AX324" i="28"/>
  <c r="AY324" i="28" s="1"/>
  <c r="AW474" i="28"/>
  <c r="BL473" i="28" s="1"/>
  <c r="BM473" i="28" s="1"/>
  <c r="AW283" i="28"/>
  <c r="BL282" i="28" s="1"/>
  <c r="BM282" i="28" s="1"/>
  <c r="AX345" i="28"/>
  <c r="AY345" i="28" s="1"/>
  <c r="AW308" i="28"/>
  <c r="BL307" i="28" s="1"/>
  <c r="BM307" i="28" s="1"/>
  <c r="AW177" i="28"/>
  <c r="AX208" i="28"/>
  <c r="AY208" i="28" s="1"/>
  <c r="AW363" i="28"/>
  <c r="BL362" i="28" s="1"/>
  <c r="BM362" i="28" s="1"/>
  <c r="AX326" i="28"/>
  <c r="AY326" i="28" s="1"/>
  <c r="AX248" i="28"/>
  <c r="AY248" i="28" s="1"/>
  <c r="BL41" i="28"/>
  <c r="BM41" i="28" s="1"/>
  <c r="AX496" i="28"/>
  <c r="AY496" i="28" s="1"/>
  <c r="AW337" i="28"/>
  <c r="BL337" i="28" s="1"/>
  <c r="BM337" i="28" s="1"/>
  <c r="AX221" i="28"/>
  <c r="AY221" i="28" s="1"/>
  <c r="AX605" i="28"/>
  <c r="AY605" i="28" s="1"/>
  <c r="AX388" i="28"/>
  <c r="AY388" i="28" s="1"/>
  <c r="AX360" i="28"/>
  <c r="AY360" i="28" s="1"/>
  <c r="AX194" i="28"/>
  <c r="AY194" i="28" s="1"/>
  <c r="AW271" i="28"/>
  <c r="BL270" i="28" s="1"/>
  <c r="BM270" i="28" s="1"/>
  <c r="AW504" i="28"/>
  <c r="BL504" i="28" s="1"/>
  <c r="BM504" i="28" s="1"/>
  <c r="AX427" i="28"/>
  <c r="AY427" i="28" s="1"/>
  <c r="AX559" i="28"/>
  <c r="AY559" i="28" s="1"/>
  <c r="AX240" i="28"/>
  <c r="AY240" i="28" s="1"/>
  <c r="AW93" i="28"/>
  <c r="BL93" i="28" s="1"/>
  <c r="BM93" i="28" s="1"/>
  <c r="BL493" i="28"/>
  <c r="BM493" i="28" s="1"/>
  <c r="AX573" i="28"/>
  <c r="AY573" i="28" s="1"/>
  <c r="AW185" i="28"/>
  <c r="BL184" i="28" s="1"/>
  <c r="BM184" i="28" s="1"/>
  <c r="BL38" i="28"/>
  <c r="BM38" i="28" s="1"/>
  <c r="AW159" i="28"/>
  <c r="BL159" i="28" s="1"/>
  <c r="BM159" i="28" s="1"/>
  <c r="AX30" i="28"/>
  <c r="AY30" i="28" s="1"/>
  <c r="AX503" i="28"/>
  <c r="AY503" i="28" s="1"/>
  <c r="AW255" i="28"/>
  <c r="AW431" i="28"/>
  <c r="BL430" i="28" s="1"/>
  <c r="BM430" i="28" s="1"/>
  <c r="AW537" i="28"/>
  <c r="BL537" i="28" s="1"/>
  <c r="BM537" i="28" s="1"/>
  <c r="AX584" i="28"/>
  <c r="AY584" i="28" s="1"/>
  <c r="AW40" i="28"/>
  <c r="BL39" i="28" s="1"/>
  <c r="BM39" i="28" s="1"/>
  <c r="AW262" i="28"/>
  <c r="BL261" i="28" s="1"/>
  <c r="BM261" i="28" s="1"/>
  <c r="AW437" i="28"/>
  <c r="AW321" i="28"/>
  <c r="BL320" i="28" s="1"/>
  <c r="BM320" i="28" s="1"/>
  <c r="AX282" i="28"/>
  <c r="AY282" i="28" s="1"/>
  <c r="AX357" i="28"/>
  <c r="AY357" i="28" s="1"/>
  <c r="AW201" i="28"/>
  <c r="AW542" i="28"/>
  <c r="BL542" i="28" s="1"/>
  <c r="BM542" i="28" s="1"/>
  <c r="BL162" i="28"/>
  <c r="BM162" i="28" s="1"/>
  <c r="BL79" i="28"/>
  <c r="BM79" i="28" s="1"/>
  <c r="AW441" i="28"/>
  <c r="BL440" i="28" s="1"/>
  <c r="BM440" i="28" s="1"/>
  <c r="AX624" i="28"/>
  <c r="AY624" i="28" s="1"/>
  <c r="AX138" i="28"/>
  <c r="AY138" i="28" s="1"/>
  <c r="AX156" i="28"/>
  <c r="AY156" i="28" s="1"/>
  <c r="AX230" i="28"/>
  <c r="AY230" i="28" s="1"/>
  <c r="AW449" i="28"/>
  <c r="BL448" i="28" s="1"/>
  <c r="BM448" i="28" s="1"/>
  <c r="AW174" i="28"/>
  <c r="BL173" i="28" s="1"/>
  <c r="BM173" i="28" s="1"/>
  <c r="AX227" i="28"/>
  <c r="AY227" i="28" s="1"/>
  <c r="AW365" i="28"/>
  <c r="BL364" i="28" s="1"/>
  <c r="BM364" i="28" s="1"/>
  <c r="BL344" i="28"/>
  <c r="BM344" i="28" s="1"/>
  <c r="AX269" i="28"/>
  <c r="AY269" i="28" s="1"/>
  <c r="AX323" i="28"/>
  <c r="AY323" i="28" s="1"/>
  <c r="AW297" i="28"/>
  <c r="BL297" i="28" s="1"/>
  <c r="BM297" i="28" s="1"/>
  <c r="AW607" i="28"/>
  <c r="BL606" i="28" s="1"/>
  <c r="BM606" i="28" s="1"/>
  <c r="AW534" i="28"/>
  <c r="AX569" i="28"/>
  <c r="AY569" i="28" s="1"/>
  <c r="BL94" i="28"/>
  <c r="BM94" i="28" s="1"/>
  <c r="AW63" i="28"/>
  <c r="BL63" i="28" s="1"/>
  <c r="BM63" i="28" s="1"/>
  <c r="AW229" i="28"/>
  <c r="BL229" i="28" s="1"/>
  <c r="BM229" i="28" s="1"/>
  <c r="AX538" i="28"/>
  <c r="AY538" i="28" s="1"/>
  <c r="AX320" i="28"/>
  <c r="AY320" i="28" s="1"/>
  <c r="AX346" i="28"/>
  <c r="AY346" i="28" s="1"/>
  <c r="AW237" i="28"/>
  <c r="BL236" i="28" s="1"/>
  <c r="BM236" i="28" s="1"/>
  <c r="AW210" i="28"/>
  <c r="AW419" i="28"/>
  <c r="AX411" i="28"/>
  <c r="AY411" i="28" s="1"/>
  <c r="AW202" i="28"/>
  <c r="AX47" i="28"/>
  <c r="AY47" i="28" s="1"/>
  <c r="AX521" i="28"/>
  <c r="AY521" i="28" s="1"/>
  <c r="BL343" i="28"/>
  <c r="BM343" i="28" s="1"/>
  <c r="AW24" i="28"/>
  <c r="BL23" i="28" s="1"/>
  <c r="BM23" i="28" s="1"/>
  <c r="AX587" i="28"/>
  <c r="AY587" i="28" s="1"/>
  <c r="AW491" i="28"/>
  <c r="BL490" i="28" s="1"/>
  <c r="BM490" i="28" s="1"/>
  <c r="AW89" i="28"/>
  <c r="BL88" i="28" s="1"/>
  <c r="BM88" i="28" s="1"/>
  <c r="AW141" i="28"/>
  <c r="BL141" i="28" s="1"/>
  <c r="BM141" i="28" s="1"/>
  <c r="AX413" i="28"/>
  <c r="AY413" i="28" s="1"/>
  <c r="AX458" i="28"/>
  <c r="AY458" i="28" s="1"/>
  <c r="AW356" i="28"/>
  <c r="BL356" i="28" s="1"/>
  <c r="BM356" i="28" s="1"/>
  <c r="AX351" i="28"/>
  <c r="AY351" i="28" s="1"/>
  <c r="AX407" i="28"/>
  <c r="AY407" i="28" s="1"/>
  <c r="AX531" i="28"/>
  <c r="AY531" i="28" s="1"/>
  <c r="AW322" i="28"/>
  <c r="BL322" i="28" s="1"/>
  <c r="BM322" i="28" s="1"/>
  <c r="AX137" i="28"/>
  <c r="AY137" i="28" s="1"/>
  <c r="AW488" i="28"/>
  <c r="BL487" i="28" s="1"/>
  <c r="BM487" i="28" s="1"/>
  <c r="AX446" i="28"/>
  <c r="AY446" i="28" s="1"/>
  <c r="AX314" i="28"/>
  <c r="AY314" i="28" s="1"/>
  <c r="AW600" i="28"/>
  <c r="BL599" i="28" s="1"/>
  <c r="BM599" i="28" s="1"/>
  <c r="AX188" i="28"/>
  <c r="AY188" i="28" s="1"/>
  <c r="AW32" i="28"/>
  <c r="BL31" i="28" s="1"/>
  <c r="BM31" i="28" s="1"/>
  <c r="AX98" i="28"/>
  <c r="AY98" i="28" s="1"/>
  <c r="BL334" i="28"/>
  <c r="BM334" i="28" s="1"/>
  <c r="AX374" i="28"/>
  <c r="AY374" i="28" s="1"/>
  <c r="AX302" i="28"/>
  <c r="AY302" i="28" s="1"/>
  <c r="BL497" i="28"/>
  <c r="BM497" i="28" s="1"/>
  <c r="AW72" i="28"/>
  <c r="BL72" i="28" s="1"/>
  <c r="BM72" i="28" s="1"/>
  <c r="AW36" i="28"/>
  <c r="AW471" i="28"/>
  <c r="BL471" i="28" s="1"/>
  <c r="BM471" i="28" s="1"/>
  <c r="AW376" i="28"/>
  <c r="BL376" i="28" s="1"/>
  <c r="BM376" i="28" s="1"/>
  <c r="BL21" i="28"/>
  <c r="BM21" i="28" s="1"/>
  <c r="AX414" i="28"/>
  <c r="AY414" i="28" s="1"/>
  <c r="BL136" i="28"/>
  <c r="BM136" i="28" s="1"/>
  <c r="BL53" i="28"/>
  <c r="BM53" i="28" s="1"/>
  <c r="BL16" i="28"/>
  <c r="BM16" i="28" s="1"/>
  <c r="BL573" i="28"/>
  <c r="BM573" i="28" s="1"/>
  <c r="BL352" i="28"/>
  <c r="BM352" i="28" s="1"/>
  <c r="AW316" i="28"/>
  <c r="BL315" i="28" s="1"/>
  <c r="BM315" i="28" s="1"/>
  <c r="AX107" i="28"/>
  <c r="AY107" i="28" s="1"/>
  <c r="BL581" i="28"/>
  <c r="BM581" i="28" s="1"/>
  <c r="AW476" i="28"/>
  <c r="BL475" i="28" s="1"/>
  <c r="BM475" i="28" s="1"/>
  <c r="AW71" i="28"/>
  <c r="AX526" i="28"/>
  <c r="AY526" i="28" s="1"/>
  <c r="AW525" i="28"/>
  <c r="AW478" i="28"/>
  <c r="BL478" i="28" s="1"/>
  <c r="BM478" i="28" s="1"/>
  <c r="AX583" i="28"/>
  <c r="AY583" i="28" s="1"/>
  <c r="AW252" i="28"/>
  <c r="BL251" i="28" s="1"/>
  <c r="BM251" i="28" s="1"/>
  <c r="BL45" i="28"/>
  <c r="BM45" i="28" s="1"/>
  <c r="BL260" i="28"/>
  <c r="BM260" i="28" s="1"/>
  <c r="BL225" i="28"/>
  <c r="BM225" i="28" s="1"/>
  <c r="BL553" i="28"/>
  <c r="BM553" i="28" s="1"/>
  <c r="AW232" i="28"/>
  <c r="BL232" i="28" s="1"/>
  <c r="BM232" i="28" s="1"/>
  <c r="AW565" i="28"/>
  <c r="AW264" i="28"/>
  <c r="BL263" i="28" s="1"/>
  <c r="BM263" i="28" s="1"/>
  <c r="BL222" i="28"/>
  <c r="BM222" i="28" s="1"/>
  <c r="AW443" i="28"/>
  <c r="BL442" i="28" s="1"/>
  <c r="BM442" i="28" s="1"/>
  <c r="AX546" i="28"/>
  <c r="AY546" i="28" s="1"/>
  <c r="AW509" i="28"/>
  <c r="BL508" i="28" s="1"/>
  <c r="BM508" i="28" s="1"/>
  <c r="AX17" i="28"/>
  <c r="AY17" i="28" s="1"/>
  <c r="AX390" i="28"/>
  <c r="AY390" i="28" s="1"/>
  <c r="AX335" i="28"/>
  <c r="AY335" i="28" s="1"/>
  <c r="AX397" i="28"/>
  <c r="AY397" i="28" s="1"/>
  <c r="AW536" i="28"/>
  <c r="AW385" i="28"/>
  <c r="BL384" i="28" s="1"/>
  <c r="BM384" i="28" s="1"/>
  <c r="AX489" i="28"/>
  <c r="AY489" i="28" s="1"/>
  <c r="AX627" i="28"/>
  <c r="AY627" i="28" s="1"/>
  <c r="BL501" i="28"/>
  <c r="BM501" i="28" s="1"/>
  <c r="BL585" i="28"/>
  <c r="BM585" i="28" s="1"/>
  <c r="AX54" i="28"/>
  <c r="AY54" i="28" s="1"/>
  <c r="AW239" i="28"/>
  <c r="BL239" i="28" s="1"/>
  <c r="BM239" i="28" s="1"/>
  <c r="AX457" i="28"/>
  <c r="AY457" i="28" s="1"/>
  <c r="AW84" i="28"/>
  <c r="BL84" i="28" s="1"/>
  <c r="BM84" i="28" s="1"/>
  <c r="AW77" i="28"/>
  <c r="BL76" i="28" s="1"/>
  <c r="BM76" i="28" s="1"/>
  <c r="AX181" i="28"/>
  <c r="AY181" i="28" s="1"/>
  <c r="AW533" i="28"/>
  <c r="BL257" i="28"/>
  <c r="BM257" i="28" s="1"/>
  <c r="AW15" i="28"/>
  <c r="BL14" i="28" s="1"/>
  <c r="AW192" i="28"/>
  <c r="AX486" i="28"/>
  <c r="AY486" i="28" s="1"/>
  <c r="AW220" i="28"/>
  <c r="BL220" i="28" s="1"/>
  <c r="BM220" i="28" s="1"/>
  <c r="AW164" i="28"/>
  <c r="BL163" i="28" s="1"/>
  <c r="BM163" i="28" s="1"/>
  <c r="AX523" i="28"/>
  <c r="AY523" i="28" s="1"/>
  <c r="AX76" i="28"/>
  <c r="AY76" i="28" s="1"/>
  <c r="AX383" i="28"/>
  <c r="AY383" i="28" s="1"/>
  <c r="AX430" i="28"/>
  <c r="AY430" i="28" s="1"/>
  <c r="AW209" i="28"/>
  <c r="BL208" i="28" s="1"/>
  <c r="BM208" i="28" s="1"/>
  <c r="AW183" i="28"/>
  <c r="BL183" i="28" s="1"/>
  <c r="BM183" i="28" s="1"/>
  <c r="AW492" i="28"/>
  <c r="BL492" i="28" s="1"/>
  <c r="BM492" i="28" s="1"/>
  <c r="BL122" i="28"/>
  <c r="BM122" i="28" s="1"/>
  <c r="AX447" i="28"/>
  <c r="AY447" i="28" s="1"/>
  <c r="AW358" i="28"/>
  <c r="BL357" i="28" s="1"/>
  <c r="BM357" i="28" s="1"/>
  <c r="AW594" i="28"/>
  <c r="BL604" i="28"/>
  <c r="BM604" i="28" s="1"/>
  <c r="AX418" i="28"/>
  <c r="AY418" i="28" s="1"/>
  <c r="AW372" i="28"/>
  <c r="BL372" i="28" s="1"/>
  <c r="BM372" i="28" s="1"/>
  <c r="BL51" i="28"/>
  <c r="BM51" i="28" s="1"/>
  <c r="BL417" i="28"/>
  <c r="BM417" i="28" s="1"/>
  <c r="BL106" i="28"/>
  <c r="BM106" i="28" s="1"/>
  <c r="AX291" i="28"/>
  <c r="AY291" i="28" s="1"/>
  <c r="AX219" i="28"/>
  <c r="AY219" i="28" s="1"/>
  <c r="AW43" i="28"/>
  <c r="BL42" i="28" s="1"/>
  <c r="BM42" i="28" s="1"/>
  <c r="AW544" i="28"/>
  <c r="BL543" i="28" s="1"/>
  <c r="BM543" i="28" s="1"/>
  <c r="AX22" i="28"/>
  <c r="AY22" i="28" s="1"/>
  <c r="AX352" i="28"/>
  <c r="AY352" i="28" s="1"/>
  <c r="AW517" i="28"/>
  <c r="BL516" i="28" s="1"/>
  <c r="BM516" i="28" s="1"/>
  <c r="AX505" i="28"/>
  <c r="AY505" i="28" s="1"/>
  <c r="AX556" i="28"/>
  <c r="AY556" i="28" s="1"/>
  <c r="AW593" i="28"/>
  <c r="BL592" i="28" s="1"/>
  <c r="BM592" i="28" s="1"/>
  <c r="AW601" i="28"/>
  <c r="AX272" i="28"/>
  <c r="AY272" i="28" s="1"/>
  <c r="AX597" i="28"/>
  <c r="AY597" i="28" s="1"/>
  <c r="AW467" i="28"/>
  <c r="AW247" i="28"/>
  <c r="BL246" i="28" s="1"/>
  <c r="BM246" i="28" s="1"/>
  <c r="AW428" i="28"/>
  <c r="BL428" i="28" s="1"/>
  <c r="BM428" i="28" s="1"/>
  <c r="AW190" i="28"/>
  <c r="BL189" i="28" s="1"/>
  <c r="BM189" i="28" s="1"/>
  <c r="AW191" i="28"/>
  <c r="AX165" i="28"/>
  <c r="AY165" i="28" s="1"/>
  <c r="AX44" i="28"/>
  <c r="AY44" i="28" s="1"/>
  <c r="AX60" i="28"/>
  <c r="AY60" i="28" s="1"/>
  <c r="AX85" i="28"/>
  <c r="AY85" i="28" s="1"/>
  <c r="AX179" i="28"/>
  <c r="AY179" i="28" s="1"/>
  <c r="AW74" i="28"/>
  <c r="BL73" i="28" s="1"/>
  <c r="BM73" i="28" s="1"/>
  <c r="AW100" i="28"/>
  <c r="BL100" i="28" s="1"/>
  <c r="BM100" i="28" s="1"/>
  <c r="BL188" i="28"/>
  <c r="BM188" i="28" s="1"/>
  <c r="AW57" i="28"/>
  <c r="BL57" i="28" s="1"/>
  <c r="BM57" i="28" s="1"/>
  <c r="AW375" i="28"/>
  <c r="BL374" i="28" s="1"/>
  <c r="BM374" i="28" s="1"/>
  <c r="AX529" i="28"/>
  <c r="AY529" i="28" s="1"/>
  <c r="AX75" i="28"/>
  <c r="AY75" i="28" s="1"/>
  <c r="AX287" i="28"/>
  <c r="AY287" i="28" s="1"/>
  <c r="AW333" i="28"/>
  <c r="BL332" i="28" s="1"/>
  <c r="BM332" i="28" s="1"/>
  <c r="AW481" i="28"/>
  <c r="BL480" i="28" s="1"/>
  <c r="BM480" i="28" s="1"/>
  <c r="AW139" i="28"/>
  <c r="AX147" i="28"/>
  <c r="AY147" i="28" s="1"/>
  <c r="BL479" i="28"/>
  <c r="BM479" i="28" s="1"/>
  <c r="AX338" i="28"/>
  <c r="AY338" i="28" s="1"/>
  <c r="AX515" i="28"/>
  <c r="AY515" i="28" s="1"/>
  <c r="BL340" i="28"/>
  <c r="BM340" i="28" s="1"/>
  <c r="BL568" i="28"/>
  <c r="BM568" i="28" s="1"/>
  <c r="BL13" i="28"/>
  <c r="BM13" i="28" s="1"/>
  <c r="BL562" i="28"/>
  <c r="BM562" i="28" s="1"/>
  <c r="BL380" i="28"/>
  <c r="BM380" i="28" s="1"/>
  <c r="BL587" i="28"/>
  <c r="BM587" i="28" s="1"/>
  <c r="BL455" i="28"/>
  <c r="BM455" i="28" s="1"/>
  <c r="BL275" i="28"/>
  <c r="BM275" i="28" s="1"/>
  <c r="BL123" i="28"/>
  <c r="BM123" i="28" s="1"/>
  <c r="BL510" i="28"/>
  <c r="BM510" i="28" s="1"/>
  <c r="BL331" i="28"/>
  <c r="BM331" i="28" s="1"/>
  <c r="BL569" i="28"/>
  <c r="BM569" i="28" s="1"/>
  <c r="BL412" i="28"/>
  <c r="BM412" i="28" s="1"/>
  <c r="BL81" i="28"/>
  <c r="BM81" i="28" s="1"/>
  <c r="AW477" i="28"/>
  <c r="AX267" i="28"/>
  <c r="AY267" i="28" s="1"/>
  <c r="AX56" i="28"/>
  <c r="AY56" i="28" s="1"/>
  <c r="AX78" i="28"/>
  <c r="AY78" i="28" s="1"/>
  <c r="AX396" i="28"/>
  <c r="AY396" i="28" s="1"/>
  <c r="AX387" i="28"/>
  <c r="AY387" i="28" s="1"/>
  <c r="AW406" i="28"/>
  <c r="AX217" i="28"/>
  <c r="AY217" i="28" s="1"/>
  <c r="AW469" i="28"/>
  <c r="BL468" i="28" s="1"/>
  <c r="BM468" i="28" s="1"/>
  <c r="AW577" i="28"/>
  <c r="AW37" i="28"/>
  <c r="AX284" i="28"/>
  <c r="AY284" i="28" s="1"/>
  <c r="BL411" i="28"/>
  <c r="BM411" i="28" s="1"/>
  <c r="AW625" i="28"/>
  <c r="H635" i="28" s="1"/>
  <c r="AX124" i="28"/>
  <c r="AY124" i="28" s="1"/>
  <c r="BL531" i="28"/>
  <c r="BM531" i="28" s="1"/>
  <c r="AW309" i="28"/>
  <c r="BL309" i="28" s="1"/>
  <c r="BM309" i="28" s="1"/>
  <c r="AW394" i="28"/>
  <c r="BL394" i="28" s="1"/>
  <c r="BM394" i="28" s="1"/>
  <c r="AX280" i="28"/>
  <c r="AY280" i="28" s="1"/>
  <c r="AW49" i="28"/>
  <c r="BL48" i="28" s="1"/>
  <c r="BM48" i="28" s="1"/>
  <c r="AX276" i="28"/>
  <c r="AY276" i="28" s="1"/>
  <c r="AW552" i="28"/>
  <c r="BL552" i="28" s="1"/>
  <c r="BM552" i="28" s="1"/>
  <c r="AX511" i="28"/>
  <c r="AY511" i="28" s="1"/>
  <c r="AW115" i="28"/>
  <c r="AW33" i="28"/>
  <c r="AW120" i="28"/>
  <c r="AW400" i="28"/>
  <c r="BL400" i="28" s="1"/>
  <c r="BM400" i="28" s="1"/>
  <c r="AW409" i="28"/>
  <c r="BL409" i="28" s="1"/>
  <c r="BM409" i="28" s="1"/>
  <c r="BL224" i="28"/>
  <c r="BM224" i="28" s="1"/>
  <c r="BL586" i="28"/>
  <c r="BM586" i="28" s="1"/>
  <c r="AX102" i="28"/>
  <c r="AY102" i="28" s="1"/>
  <c r="AW589" i="28"/>
  <c r="BL588" i="28" s="1"/>
  <c r="BM588" i="28" s="1"/>
  <c r="AW153" i="28"/>
  <c r="AW118" i="28"/>
  <c r="BL117" i="28" s="1"/>
  <c r="BM117" i="28" s="1"/>
  <c r="BL213" i="28"/>
  <c r="BM213" i="28" s="1"/>
  <c r="AX456" i="28"/>
  <c r="AY456" i="28" s="1"/>
  <c r="BL429" i="28"/>
  <c r="BM429" i="28" s="1"/>
  <c r="BL381" i="28"/>
  <c r="BM381" i="28" s="1"/>
  <c r="BL454" i="28"/>
  <c r="BM454" i="28" s="1"/>
  <c r="BL249" i="28"/>
  <c r="BM249" i="28" s="1"/>
  <c r="BL149" i="28"/>
  <c r="BM149" i="28" s="1"/>
  <c r="BL80" i="28"/>
  <c r="BM80" i="28" s="1"/>
  <c r="BL50" i="28"/>
  <c r="BM50" i="28" s="1"/>
  <c r="BL609" i="28"/>
  <c r="BM609" i="28" s="1"/>
  <c r="BL608" i="28"/>
  <c r="BM608" i="28" s="1"/>
  <c r="AX254" i="28"/>
  <c r="AY254" i="28" s="1"/>
  <c r="AW254" i="28"/>
  <c r="BL253" i="28" s="1"/>
  <c r="BM253" i="28" s="1"/>
  <c r="AW148" i="28"/>
  <c r="BL148" i="28" s="1"/>
  <c r="BM148" i="28" s="1"/>
  <c r="AX148" i="28"/>
  <c r="AY148" i="28" s="1"/>
  <c r="BL422" i="28"/>
  <c r="BM422" i="28" s="1"/>
  <c r="BL250" i="28"/>
  <c r="BM250" i="28" s="1"/>
  <c r="BL161" i="28"/>
  <c r="BM161" i="28" s="1"/>
  <c r="AX151" i="28"/>
  <c r="AY151" i="28" s="1"/>
  <c r="AW151" i="28"/>
  <c r="BL150" i="28" s="1"/>
  <c r="BM150" i="28" s="1"/>
  <c r="AX27" i="28"/>
  <c r="AY27" i="28" s="1"/>
  <c r="AW27" i="28"/>
  <c r="BL26" i="28" s="1"/>
  <c r="BM26" i="28" s="1"/>
  <c r="AX350" i="28"/>
  <c r="AY350" i="28" s="1"/>
  <c r="AW350" i="28"/>
  <c r="BL349" i="28" s="1"/>
  <c r="BM349" i="28" s="1"/>
  <c r="BL28" i="28"/>
  <c r="BM28" i="28" s="1"/>
  <c r="AW256" i="28"/>
  <c r="BL256" i="28" s="1"/>
  <c r="BM256" i="28" s="1"/>
  <c r="AX256" i="28"/>
  <c r="AY256" i="28" s="1"/>
  <c r="AW518" i="28"/>
  <c r="AX518" i="28"/>
  <c r="AY518" i="28" s="1"/>
  <c r="AX535" i="28"/>
  <c r="AY535" i="28" s="1"/>
  <c r="AW535" i="28"/>
  <c r="AX157" i="28"/>
  <c r="AY157" i="28" s="1"/>
  <c r="AW157" i="28"/>
  <c r="AW541" i="28"/>
  <c r="BL540" i="28" s="1"/>
  <c r="BM540" i="28" s="1"/>
  <c r="AX541" i="28"/>
  <c r="AY541" i="28" s="1"/>
  <c r="AW112" i="28"/>
  <c r="BL112" i="28" s="1"/>
  <c r="BM112" i="28" s="1"/>
  <c r="AX112" i="28"/>
  <c r="AY112" i="28" s="1"/>
  <c r="AX197" i="28"/>
  <c r="AY197" i="28" s="1"/>
  <c r="AW197" i="28"/>
  <c r="BL196" i="28" s="1"/>
  <c r="BM196" i="28" s="1"/>
  <c r="AW172" i="28"/>
  <c r="BL172" i="28" s="1"/>
  <c r="BM172" i="28" s="1"/>
  <c r="AX172" i="28"/>
  <c r="AY172" i="28" s="1"/>
  <c r="BL446" i="28"/>
  <c r="BM446" i="28" s="1"/>
  <c r="BL447" i="28"/>
  <c r="BM447" i="28" s="1"/>
  <c r="AX339" i="28"/>
  <c r="AY339" i="28" s="1"/>
  <c r="AW339" i="28"/>
  <c r="BL339" i="28" s="1"/>
  <c r="BM339" i="28" s="1"/>
  <c r="BL605" i="28"/>
  <c r="BM605" i="28" s="1"/>
  <c r="AW195" i="28"/>
  <c r="BL195" i="28" s="1"/>
  <c r="BM195" i="28" s="1"/>
  <c r="AX195" i="28"/>
  <c r="AY195" i="28" s="1"/>
  <c r="AX103" i="28"/>
  <c r="AY103" i="28" s="1"/>
  <c r="AW103" i="28"/>
  <c r="BL102" i="28" s="1"/>
  <c r="BL223" i="28"/>
  <c r="BM223" i="28" s="1"/>
  <c r="BL293" i="28"/>
  <c r="BM293" i="28" s="1"/>
  <c r="AX111" i="28"/>
  <c r="AY111" i="28" s="1"/>
  <c r="AW111" i="28"/>
  <c r="BL462" i="28"/>
  <c r="BM462" i="28" s="1"/>
  <c r="BL461" i="28"/>
  <c r="BM461" i="28" s="1"/>
  <c r="AX135" i="28"/>
  <c r="AY135" i="28" s="1"/>
  <c r="AW135" i="28"/>
  <c r="BL134" i="28" s="1"/>
  <c r="BM134" i="28" s="1"/>
  <c r="BL369" i="28"/>
  <c r="BM369" i="28" s="1"/>
  <c r="BL368" i="28"/>
  <c r="BM368" i="28" s="1"/>
  <c r="AX176" i="28"/>
  <c r="AY176" i="28" s="1"/>
  <c r="AW176" i="28"/>
  <c r="BL298" i="28"/>
  <c r="BM298" i="28" s="1"/>
  <c r="BL456" i="28"/>
  <c r="BM456" i="28" s="1"/>
  <c r="BL160" i="28"/>
  <c r="BM160" i="28" s="1"/>
  <c r="BL52" i="28"/>
  <c r="BM52" i="28" s="1"/>
  <c r="BL423" i="28"/>
  <c r="BM423" i="28" s="1"/>
  <c r="BL424" i="28"/>
  <c r="BM424" i="28" s="1"/>
  <c r="BL513" i="28"/>
  <c r="BM513" i="28" s="1"/>
  <c r="AX34" i="28"/>
  <c r="AY34" i="28" s="1"/>
  <c r="AW34" i="28"/>
  <c r="AW500" i="28"/>
  <c r="BL500" i="28" s="1"/>
  <c r="BM500" i="28" s="1"/>
  <c r="AX500" i="28"/>
  <c r="AY500" i="28" s="1"/>
  <c r="AX199" i="28"/>
  <c r="AY199" i="28" s="1"/>
  <c r="AW199" i="28"/>
  <c r="AX612" i="28"/>
  <c r="AY612" i="28" s="1"/>
  <c r="AW612" i="28"/>
  <c r="BL612" i="28" s="1"/>
  <c r="BM612" i="28" s="1"/>
  <c r="BL396" i="28"/>
  <c r="BM396" i="28" s="1"/>
  <c r="BL146" i="28"/>
  <c r="BM146" i="28" s="1"/>
  <c r="BL301" i="28"/>
  <c r="BM301" i="28" s="1"/>
  <c r="BL302" i="28"/>
  <c r="BM302" i="28" s="1"/>
  <c r="BL230" i="28"/>
  <c r="BM230" i="28" s="1"/>
  <c r="BL527" i="28"/>
  <c r="BM527" i="28" s="1"/>
  <c r="BL526" i="28"/>
  <c r="BM526" i="28" s="1"/>
  <c r="BL342" i="28"/>
  <c r="BM342" i="28" s="1"/>
  <c r="BL341" i="28"/>
  <c r="BM341" i="28" s="1"/>
  <c r="BL556" i="28"/>
  <c r="BM556" i="28" s="1"/>
  <c r="BL555" i="28"/>
  <c r="BM555" i="28" s="1"/>
  <c r="BL512" i="28"/>
  <c r="BM512" i="28" s="1"/>
  <c r="BL511" i="28"/>
  <c r="BM511" i="28" s="1"/>
  <c r="BL559" i="28"/>
  <c r="BM559" i="28" s="1"/>
  <c r="BL558" i="28"/>
  <c r="BM558" i="28" s="1"/>
  <c r="BL266" i="28"/>
  <c r="BM266" i="28" s="1"/>
  <c r="BL267" i="28"/>
  <c r="BM267" i="28" s="1"/>
  <c r="BL78" i="28"/>
  <c r="BM78" i="28" s="1"/>
  <c r="BL216" i="28"/>
  <c r="BM216" i="28" s="1"/>
  <c r="BL217" i="28"/>
  <c r="BM217" i="28" s="1"/>
  <c r="BL125" i="28"/>
  <c r="BM125" i="28" s="1"/>
  <c r="BL284" i="28"/>
  <c r="BM284" i="28" s="1"/>
  <c r="BL489" i="28"/>
  <c r="BM489" i="28" s="1"/>
  <c r="BL155" i="28"/>
  <c r="BM155" i="28" s="1"/>
  <c r="BL142" i="28"/>
  <c r="BM142" i="28" s="1"/>
  <c r="BL143" i="28"/>
  <c r="BM143" i="28" s="1"/>
  <c r="BL314" i="28"/>
  <c r="BM314" i="28" s="1"/>
  <c r="BL313" i="28"/>
  <c r="BM313" i="28" s="1"/>
  <c r="BL547" i="28"/>
  <c r="BM547" i="28" s="1"/>
  <c r="BL75" i="28"/>
  <c r="BM75" i="28" s="1"/>
  <c r="BL248" i="28"/>
  <c r="BM248" i="28" s="1"/>
  <c r="Q623" i="28"/>
  <c r="U623" i="28" s="1"/>
  <c r="BL86" i="28"/>
  <c r="BM86" i="28" s="1"/>
  <c r="BL85" i="28"/>
  <c r="BM85" i="28" s="1"/>
  <c r="BL496" i="28"/>
  <c r="BM496" i="28" s="1"/>
  <c r="BL546" i="28"/>
  <c r="BM546" i="28" s="1"/>
  <c r="BL25" i="28"/>
  <c r="BM25" i="28" s="1"/>
  <c r="BL265" i="28"/>
  <c r="BM265" i="28" s="1"/>
  <c r="BL383" i="28"/>
  <c r="BM383" i="28" s="1"/>
  <c r="BL382" i="28"/>
  <c r="BM382" i="28" s="1"/>
  <c r="BL276" i="28"/>
  <c r="BM276" i="28" s="1"/>
  <c r="BL574" i="28"/>
  <c r="BM574" i="28" s="1"/>
  <c r="BL17" i="28"/>
  <c r="BM17" i="28" s="1"/>
  <c r="BL44" i="28"/>
  <c r="BM44" i="28" s="1"/>
  <c r="BL179" i="28"/>
  <c r="BM179" i="28" s="1"/>
  <c r="BL137" i="28"/>
  <c r="BM137" i="28" s="1"/>
  <c r="BL124" i="28"/>
  <c r="BM124" i="28" s="1"/>
  <c r="BL410" i="28"/>
  <c r="BM410" i="28" s="1"/>
  <c r="BL584" i="28"/>
  <c r="BM584" i="28" s="1"/>
  <c r="BL583" i="28"/>
  <c r="BM583" i="28" s="1"/>
  <c r="BL538" i="28"/>
  <c r="BM538" i="28" s="1"/>
  <c r="BL413" i="28"/>
  <c r="BM413" i="28" s="1"/>
  <c r="BL46" i="28"/>
  <c r="BM46" i="28" s="1"/>
  <c r="BL47" i="28"/>
  <c r="BM47" i="28" s="1"/>
  <c r="BL221" i="28"/>
  <c r="BM221" i="28" s="1"/>
  <c r="BL280" i="28"/>
  <c r="BM280" i="28" s="1"/>
  <c r="BL165" i="28"/>
  <c r="BM165" i="28" s="1"/>
  <c r="BL291" i="28"/>
  <c r="BM291" i="28" s="1"/>
  <c r="BL290" i="28"/>
  <c r="BM290" i="28" s="1"/>
  <c r="BL95" i="28"/>
  <c r="BM95" i="28" s="1"/>
  <c r="BL96" i="28"/>
  <c r="BM96" i="28" s="1"/>
  <c r="BL351" i="28"/>
  <c r="BM351" i="28" s="1"/>
  <c r="BL101" i="28"/>
  <c r="BM101" i="28" s="1"/>
  <c r="BL579" i="28"/>
  <c r="BM579" i="28" s="1"/>
  <c r="BL580" i="28"/>
  <c r="BM580" i="28" s="1"/>
  <c r="BL214" i="28"/>
  <c r="BM214" i="28" s="1"/>
  <c r="BL215" i="28"/>
  <c r="BM215" i="28" s="1"/>
  <c r="BL505" i="28"/>
  <c r="BM505" i="28" s="1"/>
  <c r="BL240" i="28"/>
  <c r="BM240" i="28" s="1"/>
  <c r="BL610" i="28"/>
  <c r="BM610" i="28" s="1"/>
  <c r="BL528" i="28"/>
  <c r="BM528" i="28" s="1"/>
  <c r="BL529" i="28"/>
  <c r="BM529" i="28" s="1"/>
  <c r="BL324" i="28"/>
  <c r="BM324" i="28" s="1"/>
  <c r="BL323" i="28"/>
  <c r="BM323" i="28" s="1"/>
  <c r="BL486" i="28"/>
  <c r="BM486" i="28" s="1"/>
  <c r="BL485" i="28"/>
  <c r="BM485" i="28" s="1"/>
  <c r="BL515" i="28"/>
  <c r="BM515" i="28" s="1"/>
  <c r="BL514" i="28"/>
  <c r="BM514" i="28" s="1"/>
  <c r="BL286" i="28"/>
  <c r="BM286" i="28" s="1"/>
  <c r="BL287" i="28"/>
  <c r="BM287" i="28" s="1"/>
  <c r="BL472" i="28"/>
  <c r="BM472" i="28" s="1"/>
  <c r="BL22" i="28"/>
  <c r="BM22" i="28" s="1"/>
  <c r="BL387" i="28"/>
  <c r="BM387" i="28" s="1"/>
  <c r="BL366" i="28"/>
  <c r="BM366" i="28" s="1"/>
  <c r="BL444" i="28"/>
  <c r="BM444" i="28" s="1"/>
  <c r="BL445" i="28"/>
  <c r="BM445" i="28" s="1"/>
  <c r="BL104" i="28"/>
  <c r="BM104" i="28" s="1"/>
  <c r="BL582" i="28"/>
  <c r="BM582" i="28" s="1"/>
  <c r="BL345" i="28"/>
  <c r="BM345" i="28" s="1"/>
  <c r="BL346" i="28"/>
  <c r="BM346" i="28" s="1"/>
  <c r="BL268" i="28"/>
  <c r="BM268" i="28" s="1"/>
  <c r="BL269" i="28"/>
  <c r="BM269" i="28" s="1"/>
  <c r="BL458" i="28"/>
  <c r="BM458" i="28" s="1"/>
  <c r="BL457" i="28"/>
  <c r="BM457" i="28" s="1"/>
  <c r="BL181" i="28"/>
  <c r="BM181" i="28" s="1"/>
  <c r="BL180" i="28"/>
  <c r="BM180" i="28" s="1"/>
  <c r="BL29" i="28"/>
  <c r="BM29" i="28" s="1"/>
  <c r="BL30" i="28"/>
  <c r="BM30" i="28" s="1"/>
  <c r="BL596" i="28"/>
  <c r="BM596" i="28" s="1"/>
  <c r="BL107" i="28"/>
  <c r="BM107" i="28" s="1"/>
  <c r="BL108" i="28"/>
  <c r="BM108" i="28" s="1"/>
  <c r="BL502" i="28"/>
  <c r="BM502" i="28" s="1"/>
  <c r="BL18" i="28"/>
  <c r="BM18" i="28" s="1"/>
  <c r="BL19" i="28"/>
  <c r="BM19" i="28" s="1"/>
  <c r="BL97" i="28"/>
  <c r="BM97" i="28" s="1"/>
  <c r="BL98" i="28"/>
  <c r="BM98" i="28" s="1"/>
  <c r="BL259" i="28"/>
  <c r="BM259" i="28" s="1"/>
  <c r="BL258" i="28"/>
  <c r="BM258" i="28" s="1"/>
  <c r="BL82" i="28"/>
  <c r="BM82" i="28" s="1"/>
  <c r="AS628" i="28"/>
  <c r="AK628" i="28"/>
  <c r="AL628" i="28"/>
  <c r="AR628" i="28"/>
  <c r="AQ628" i="28"/>
  <c r="AO628" i="28"/>
  <c r="AN628" i="28"/>
  <c r="F6" i="17"/>
  <c r="H6" i="28"/>
  <c r="P622" i="28"/>
  <c r="O622" i="28"/>
  <c r="T622" i="28" s="1"/>
  <c r="J628" i="28"/>
  <c r="M628" i="28" s="1"/>
  <c r="F7" i="17"/>
  <c r="K366" i="2"/>
  <c r="B355" i="2"/>
  <c r="B357" i="2" s="1"/>
  <c r="B340" i="2"/>
  <c r="D607" i="17"/>
  <c r="D194" i="17"/>
  <c r="C598" i="17"/>
  <c r="D606" i="17"/>
  <c r="C174" i="17"/>
  <c r="D291" i="17"/>
  <c r="D60" i="17"/>
  <c r="C524" i="17"/>
  <c r="C420" i="17"/>
  <c r="C446" i="17"/>
  <c r="C228" i="17"/>
  <c r="D222" i="17"/>
  <c r="D562" i="17"/>
  <c r="C484" i="17"/>
  <c r="D418" i="17"/>
  <c r="D163" i="17"/>
  <c r="D472" i="17"/>
  <c r="D561" i="17"/>
  <c r="D381" i="17"/>
  <c r="C449" i="17"/>
  <c r="C123" i="17"/>
  <c r="C30" i="17"/>
  <c r="D594" i="17"/>
  <c r="C541" i="17"/>
  <c r="C516" i="17"/>
  <c r="C594" i="17"/>
  <c r="C546" i="17"/>
  <c r="C380" i="17"/>
  <c r="D227" i="17"/>
  <c r="D585" i="17"/>
  <c r="C535" i="17"/>
  <c r="C382" i="17"/>
  <c r="D215" i="17"/>
  <c r="D281" i="17"/>
  <c r="D509" i="17"/>
  <c r="D304" i="17"/>
  <c r="C513" i="17"/>
  <c r="D359" i="17"/>
  <c r="C251" i="17"/>
  <c r="D29" i="17"/>
  <c r="C77" i="17"/>
  <c r="D368" i="17"/>
  <c r="C610" i="17"/>
  <c r="D546" i="17"/>
  <c r="C570" i="17"/>
  <c r="D494" i="17"/>
  <c r="D430" i="17"/>
  <c r="C468" i="17"/>
  <c r="D559" i="17"/>
  <c r="D474" i="17"/>
  <c r="D575" i="17"/>
  <c r="C480" i="17"/>
  <c r="C404" i="17"/>
  <c r="C387" i="17"/>
  <c r="D259" i="17"/>
  <c r="D131" i="17"/>
  <c r="C571" i="17"/>
  <c r="D600" i="17"/>
  <c r="C590" i="17"/>
  <c r="D440" i="17"/>
  <c r="C414" i="17"/>
  <c r="C389" i="17"/>
  <c r="C343" i="17"/>
  <c r="D576" i="17"/>
  <c r="C345" i="17"/>
  <c r="C293" i="17"/>
  <c r="C471" i="17"/>
  <c r="D317" i="17"/>
  <c r="C164" i="17"/>
  <c r="C113" i="17"/>
  <c r="D92" i="17"/>
  <c r="D519" i="17"/>
  <c r="D391" i="17"/>
  <c r="D366" i="17"/>
  <c r="D314" i="17"/>
  <c r="C64" i="17"/>
  <c r="D158" i="17"/>
  <c r="D268" i="17"/>
  <c r="C13" i="17"/>
  <c r="C157" i="17"/>
  <c r="C240" i="17"/>
  <c r="D597" i="17"/>
  <c r="D598" i="17"/>
  <c r="D586" i="17"/>
  <c r="D554" i="17"/>
  <c r="D551" i="17"/>
  <c r="C586" i="17"/>
  <c r="C533" i="17"/>
  <c r="D502" i="17"/>
  <c r="D470" i="17"/>
  <c r="D438" i="17"/>
  <c r="C508" i="17"/>
  <c r="C476" i="17"/>
  <c r="C606" i="17"/>
  <c r="D591" i="17"/>
  <c r="C562" i="17"/>
  <c r="D490" i="17"/>
  <c r="D426" i="17"/>
  <c r="D566" i="17"/>
  <c r="D514" i="17"/>
  <c r="C496" i="17"/>
  <c r="C444" i="17"/>
  <c r="C412" i="17"/>
  <c r="C364" i="17"/>
  <c r="C403" i="17"/>
  <c r="C339" i="17"/>
  <c r="D275" i="17"/>
  <c r="D211" i="17"/>
  <c r="D147" i="17"/>
  <c r="C287" i="17"/>
  <c r="C587" i="17"/>
  <c r="D553" i="17"/>
  <c r="D534" i="17"/>
  <c r="D572" i="17"/>
  <c r="C534" i="17"/>
  <c r="C519" i="17"/>
  <c r="D456" i="17"/>
  <c r="C494" i="17"/>
  <c r="C430" i="17"/>
  <c r="C366" i="17"/>
  <c r="C405" i="17"/>
  <c r="D582" i="17"/>
  <c r="C407" i="17"/>
  <c r="D151" i="17"/>
  <c r="D538" i="17"/>
  <c r="D460" i="17"/>
  <c r="C409" i="17"/>
  <c r="D249" i="17"/>
  <c r="D121" i="17"/>
  <c r="C561" i="17"/>
  <c r="C503" i="17"/>
  <c r="D477" i="17"/>
  <c r="D349" i="17"/>
  <c r="D324" i="17"/>
  <c r="C196" i="17"/>
  <c r="D272" i="17"/>
  <c r="C145" i="17"/>
  <c r="C106" i="17"/>
  <c r="D76" i="17"/>
  <c r="C497" i="17"/>
  <c r="C433" i="17"/>
  <c r="D471" i="17"/>
  <c r="D407" i="17"/>
  <c r="D343" i="17"/>
  <c r="D382" i="17"/>
  <c r="C270" i="17"/>
  <c r="C142" i="17"/>
  <c r="C219" i="17"/>
  <c r="C32" i="17"/>
  <c r="D62" i="17"/>
  <c r="D190" i="17"/>
  <c r="D61" i="17"/>
  <c r="C91" i="17"/>
  <c r="D172" i="17"/>
  <c r="D79" i="17"/>
  <c r="C109" i="17"/>
  <c r="C125" i="17"/>
  <c r="C253" i="17"/>
  <c r="C176" i="17"/>
  <c r="D329" i="17"/>
  <c r="D544" i="17"/>
  <c r="C378" i="17"/>
  <c r="C208" i="17"/>
  <c r="D336" i="17"/>
  <c r="D361" i="17"/>
  <c r="D489" i="17"/>
  <c r="D573" i="17"/>
  <c r="D221" i="17"/>
  <c r="C506" i="17"/>
  <c r="D75" i="17"/>
  <c r="C585" i="17"/>
  <c r="C408" i="17"/>
  <c r="D599" i="17"/>
  <c r="D547" i="17"/>
  <c r="C442" i="17"/>
  <c r="C317" i="17"/>
  <c r="D189" i="17"/>
  <c r="C609" i="17"/>
  <c r="D527" i="17"/>
  <c r="C443" i="17"/>
  <c r="D473" i="17"/>
  <c r="D409" i="17"/>
  <c r="D345" i="17"/>
  <c r="D384" i="17"/>
  <c r="D320" i="17"/>
  <c r="C256" i="17"/>
  <c r="C192" i="17"/>
  <c r="C128" i="17"/>
  <c r="C269" i="17"/>
  <c r="C205" i="17"/>
  <c r="C141" i="17"/>
  <c r="C46" i="17"/>
  <c r="C110" i="17"/>
  <c r="C61" i="17"/>
  <c r="D95" i="17"/>
  <c r="D31" i="17"/>
  <c r="D156" i="17"/>
  <c r="D220" i="17"/>
  <c r="C107" i="17"/>
  <c r="C43" i="17"/>
  <c r="D77" i="17"/>
  <c r="D13" i="17"/>
  <c r="D174" i="17"/>
  <c r="D238" i="17"/>
  <c r="D78" i="17"/>
  <c r="D14" i="17"/>
  <c r="C48" i="17"/>
  <c r="C139" i="17"/>
  <c r="C203" i="17"/>
  <c r="C267" i="17"/>
  <c r="C126" i="17"/>
  <c r="C190" i="17"/>
  <c r="C254" i="17"/>
  <c r="D318" i="17"/>
  <c r="D374" i="17"/>
  <c r="D406" i="17"/>
  <c r="D335" i="17"/>
  <c r="D367" i="17"/>
  <c r="D399" i="17"/>
  <c r="D431" i="17"/>
  <c r="D463" i="17"/>
  <c r="D495" i="17"/>
  <c r="C425" i="17"/>
  <c r="C457" i="17"/>
  <c r="C489" i="17"/>
  <c r="D520" i="17"/>
  <c r="D84" i="17"/>
  <c r="D52" i="17"/>
  <c r="D20" i="17"/>
  <c r="C58" i="17"/>
  <c r="C129" i="17"/>
  <c r="C193" i="17"/>
  <c r="C257" i="17"/>
  <c r="C116" i="17"/>
  <c r="C180" i="17"/>
  <c r="C244" i="17"/>
  <c r="C308" i="17"/>
  <c r="D372" i="17"/>
  <c r="D333" i="17"/>
  <c r="D397" i="17"/>
  <c r="D461" i="17"/>
  <c r="C423" i="17"/>
  <c r="C487" i="17"/>
  <c r="C568" i="17"/>
  <c r="C545" i="17"/>
  <c r="D609" i="17"/>
  <c r="C309" i="17"/>
  <c r="D169" i="17"/>
  <c r="D233" i="17"/>
  <c r="D297" i="17"/>
  <c r="C377" i="17"/>
  <c r="C402" i="17"/>
  <c r="D428" i="17"/>
  <c r="C566" i="17"/>
  <c r="C608" i="17"/>
  <c r="C559" i="17"/>
  <c r="D610" i="17"/>
  <c r="D536" i="17"/>
  <c r="D446" i="17"/>
  <c r="D47" i="17"/>
  <c r="D603" i="17"/>
  <c r="D423" i="17"/>
  <c r="D510" i="17"/>
  <c r="C316" i="17"/>
  <c r="C318" i="17"/>
  <c r="C177" i="17"/>
  <c r="C59" i="17"/>
  <c r="D567" i="17"/>
  <c r="D602" i="17"/>
  <c r="C452" i="17"/>
  <c r="C303" i="17"/>
  <c r="C510" i="17"/>
  <c r="C523" i="17"/>
  <c r="D356" i="17"/>
  <c r="D487" i="17"/>
  <c r="D30" i="17"/>
  <c r="C221" i="17"/>
  <c r="D578" i="17"/>
  <c r="C525" i="17"/>
  <c r="C500" i="17"/>
  <c r="C537" i="17"/>
  <c r="D482" i="17"/>
  <c r="C348" i="17"/>
  <c r="D195" i="17"/>
  <c r="D533" i="17"/>
  <c r="D504" i="17"/>
  <c r="C350" i="17"/>
  <c r="C291" i="17"/>
  <c r="D217" i="17"/>
  <c r="D445" i="17"/>
  <c r="C241" i="17"/>
  <c r="C481" i="17"/>
  <c r="D327" i="17"/>
  <c r="C187" i="17"/>
  <c r="D93" i="17"/>
  <c r="C94" i="17"/>
  <c r="D393" i="17"/>
  <c r="C602" i="17"/>
  <c r="D583" i="17"/>
  <c r="C554" i="17"/>
  <c r="D486" i="17"/>
  <c r="D422" i="17"/>
  <c r="C460" i="17"/>
  <c r="C536" i="17"/>
  <c r="D458" i="17"/>
  <c r="C528" i="17"/>
  <c r="C464" i="17"/>
  <c r="C396" i="17"/>
  <c r="C371" i="17"/>
  <c r="D243" i="17"/>
  <c r="D115" i="17"/>
  <c r="C555" i="17"/>
  <c r="C604" i="17"/>
  <c r="C558" i="17"/>
  <c r="D424" i="17"/>
  <c r="C398" i="17"/>
  <c r="C373" i="17"/>
  <c r="D279" i="17"/>
  <c r="C538" i="17"/>
  <c r="D313" i="17"/>
  <c r="C605" i="17"/>
  <c r="C439" i="17"/>
  <c r="D388" i="17"/>
  <c r="C132" i="17"/>
  <c r="C42" i="17"/>
  <c r="D528" i="17"/>
  <c r="D503" i="17"/>
  <c r="D375" i="17"/>
  <c r="D334" i="17"/>
  <c r="D282" i="17"/>
  <c r="C96" i="17"/>
  <c r="D126" i="17"/>
  <c r="D236" i="17"/>
  <c r="C45" i="17"/>
  <c r="C189" i="17"/>
  <c r="C304" i="17"/>
  <c r="D157" i="17"/>
  <c r="C272" i="17"/>
  <c r="D425" i="17"/>
  <c r="C297" i="17"/>
  <c r="D577" i="17"/>
  <c r="C275" i="17"/>
  <c r="C548" i="17"/>
  <c r="C417" i="17"/>
  <c r="D125" i="17"/>
  <c r="C507" i="17"/>
  <c r="D441" i="17"/>
  <c r="D416" i="17"/>
  <c r="C288" i="17"/>
  <c r="C160" i="17"/>
  <c r="C237" i="17"/>
  <c r="C14" i="17"/>
  <c r="C93" i="17"/>
  <c r="D63" i="17"/>
  <c r="D188" i="17"/>
  <c r="C75" i="17"/>
  <c r="D45" i="17"/>
  <c r="D206" i="17"/>
  <c r="D46" i="17"/>
  <c r="C16" i="17"/>
  <c r="C235" i="17"/>
  <c r="C158" i="17"/>
  <c r="C286" i="17"/>
  <c r="D390" i="17"/>
  <c r="D351" i="17"/>
  <c r="D415" i="17"/>
  <c r="D479" i="17"/>
  <c r="C441" i="17"/>
  <c r="C505" i="17"/>
  <c r="D68" i="17"/>
  <c r="C90" i="17"/>
  <c r="C161" i="17"/>
  <c r="D288" i="17"/>
  <c r="C212" i="17"/>
  <c r="D340" i="17"/>
  <c r="D365" i="17"/>
  <c r="D493" i="17"/>
  <c r="C520" i="17"/>
  <c r="C577" i="17"/>
  <c r="D137" i="17"/>
  <c r="D265" i="17"/>
  <c r="C338" i="17"/>
  <c r="D492" i="17"/>
  <c r="D521" i="17"/>
  <c r="D119" i="17"/>
  <c r="D247" i="17"/>
  <c r="C375" i="17"/>
  <c r="C400" i="17"/>
  <c r="C544" i="17"/>
  <c r="C365" i="17"/>
  <c r="C397" i="17"/>
  <c r="C326" i="17"/>
  <c r="C358" i="17"/>
  <c r="C390" i="17"/>
  <c r="C422" i="17"/>
  <c r="C454" i="17"/>
  <c r="C486" i="17"/>
  <c r="C518" i="17"/>
  <c r="D448" i="17"/>
  <c r="D480" i="17"/>
  <c r="D512" i="17"/>
  <c r="C543" i="17"/>
  <c r="C526" i="17"/>
  <c r="D571" i="17"/>
  <c r="D564" i="17"/>
  <c r="C596" i="17"/>
  <c r="D608" i="17"/>
  <c r="C572" i="17"/>
  <c r="D541" i="17"/>
  <c r="C547" i="17"/>
  <c r="C579" i="17"/>
  <c r="D611" i="17"/>
  <c r="C279" i="17"/>
  <c r="C311" i="17"/>
  <c r="D139" i="17"/>
  <c r="D171" i="17"/>
  <c r="D203" i="17"/>
  <c r="D235" i="17"/>
  <c r="D267" i="17"/>
  <c r="D299" i="17"/>
  <c r="C331" i="17"/>
  <c r="C363" i="17"/>
  <c r="C395" i="17"/>
  <c r="C324" i="17"/>
  <c r="C356" i="17"/>
  <c r="C388" i="17"/>
  <c r="D127" i="17"/>
  <c r="D348" i="17"/>
  <c r="D342" i="17"/>
  <c r="C310" i="17"/>
  <c r="C278" i="17"/>
  <c r="C246" i="17"/>
  <c r="C214" i="17"/>
  <c r="C182" i="17"/>
  <c r="C150" i="17"/>
  <c r="C118" i="17"/>
  <c r="D290" i="17"/>
  <c r="C259" i="17"/>
  <c r="C227" i="17"/>
  <c r="C195" i="17"/>
  <c r="C163" i="17"/>
  <c r="C131" i="17"/>
  <c r="C24" i="17"/>
  <c r="C56" i="17"/>
  <c r="C88" i="17"/>
  <c r="D22" i="17"/>
  <c r="D54" i="17"/>
  <c r="D86" i="17"/>
  <c r="D262" i="17"/>
  <c r="D230" i="17"/>
  <c r="D198" i="17"/>
  <c r="D166" i="17"/>
  <c r="D134" i="17"/>
  <c r="D21" i="17"/>
  <c r="D53" i="17"/>
  <c r="D85" i="17"/>
  <c r="C19" i="17"/>
  <c r="C51" i="17"/>
  <c r="C83" i="17"/>
  <c r="D104" i="17"/>
  <c r="D244" i="17"/>
  <c r="D212" i="17"/>
  <c r="D180" i="17"/>
  <c r="D148" i="17"/>
  <c r="D116" i="17"/>
  <c r="D39" i="17"/>
  <c r="D71" i="17"/>
  <c r="D103" i="17"/>
  <c r="C37" i="17"/>
  <c r="C69" i="17"/>
  <c r="C101" i="17"/>
  <c r="C102" i="17"/>
  <c r="C70" i="17"/>
  <c r="C38" i="17"/>
  <c r="C117" i="17"/>
  <c r="C149" i="17"/>
  <c r="C181" i="17"/>
  <c r="C213" i="17"/>
  <c r="C245" i="17"/>
  <c r="D276" i="17"/>
  <c r="D308" i="17"/>
  <c r="C136" i="17"/>
  <c r="C168" i="17"/>
  <c r="C200" i="17"/>
  <c r="C232" i="17"/>
  <c r="C264" i="17"/>
  <c r="C296" i="17"/>
  <c r="D328" i="17"/>
  <c r="D360" i="17"/>
  <c r="D392" i="17"/>
  <c r="D321" i="17"/>
  <c r="D353" i="17"/>
  <c r="D385" i="17"/>
  <c r="D417" i="17"/>
  <c r="D449" i="17"/>
  <c r="D481" i="17"/>
  <c r="D513" i="17"/>
  <c r="C459" i="17"/>
  <c r="D522" i="17"/>
  <c r="D543" i="17"/>
  <c r="C581" i="17"/>
  <c r="C281" i="17"/>
  <c r="D141" i="17"/>
  <c r="D205" i="17"/>
  <c r="D269" i="17"/>
  <c r="C333" i="17"/>
  <c r="C346" i="17"/>
  <c r="C474" i="17"/>
  <c r="D500" i="17"/>
  <c r="D552" i="17"/>
  <c r="D529" i="17"/>
  <c r="C611" i="17"/>
  <c r="C319" i="17"/>
  <c r="C488" i="17"/>
  <c r="C482" i="17"/>
  <c r="D501" i="17"/>
  <c r="C151" i="17"/>
  <c r="D331" i="17"/>
  <c r="D159" i="17"/>
  <c r="D287" i="17"/>
  <c r="C415" i="17"/>
  <c r="C440" i="17"/>
  <c r="C504" i="17"/>
  <c r="D560" i="17"/>
  <c r="C450" i="17"/>
  <c r="D526" i="17"/>
  <c r="C156" i="17"/>
  <c r="C202" i="17"/>
  <c r="D507" i="17"/>
  <c r="D199" i="17"/>
  <c r="D508" i="17"/>
  <c r="D295" i="17"/>
  <c r="C337" i="17"/>
  <c r="C285" i="17"/>
  <c r="C463" i="17"/>
  <c r="D412" i="17"/>
  <c r="C233" i="17"/>
  <c r="D483" i="17"/>
  <c r="D278" i="17"/>
  <c r="D136" i="17"/>
  <c r="D302" i="17"/>
  <c r="D225" i="17"/>
  <c r="D427" i="17"/>
  <c r="D296" i="17"/>
  <c r="C82" i="17"/>
  <c r="C445" i="17"/>
  <c r="D394" i="17"/>
  <c r="C138" i="17"/>
  <c r="C68" i="17"/>
  <c r="D264" i="17"/>
  <c r="C613" i="17"/>
  <c r="D354" i="17"/>
  <c r="D256" i="17"/>
  <c r="C127" i="17"/>
  <c r="C23" i="17"/>
  <c r="D96" i="17"/>
  <c r="D515" i="17"/>
  <c r="D387" i="17"/>
  <c r="D362" i="17"/>
  <c r="C234" i="17"/>
  <c r="D310" i="17"/>
  <c r="C183" i="17"/>
  <c r="D34" i="17"/>
  <c r="D33" i="17"/>
  <c r="D200" i="17"/>
  <c r="C81" i="17"/>
  <c r="C447" i="17"/>
  <c r="D532" i="17"/>
  <c r="C226" i="17"/>
  <c r="D106" i="17"/>
  <c r="D128" i="17"/>
  <c r="C485" i="17"/>
  <c r="D226" i="17"/>
  <c r="D312" i="17"/>
  <c r="C514" i="17"/>
  <c r="D389" i="17"/>
  <c r="C100" i="17"/>
  <c r="D250" i="17"/>
  <c r="D122" i="17"/>
  <c r="C31" i="17"/>
  <c r="D232" i="17"/>
  <c r="D19" i="17"/>
  <c r="C49" i="17"/>
  <c r="C539" i="17"/>
  <c r="D531" i="17"/>
  <c r="C268" i="17"/>
  <c r="D40" i="17"/>
  <c r="D443" i="17"/>
  <c r="C290" i="17"/>
  <c r="C239" i="17"/>
  <c r="D42" i="17"/>
  <c r="D41" i="17"/>
  <c r="D192" i="17"/>
  <c r="C89" i="17"/>
  <c r="D581" i="17"/>
  <c r="D24" i="17"/>
  <c r="C306" i="17"/>
  <c r="D26" i="17"/>
  <c r="D208" i="17"/>
  <c r="D517" i="17"/>
  <c r="C210" i="17"/>
  <c r="D112" i="17"/>
  <c r="C223" i="17"/>
  <c r="C28" i="17"/>
  <c r="C453" i="17"/>
  <c r="C87" i="17"/>
  <c r="D161" i="17"/>
  <c r="D58" i="17"/>
  <c r="D56" i="17"/>
  <c r="C41" i="17"/>
  <c r="D130" i="17"/>
  <c r="D286" i="17"/>
  <c r="D491" i="17"/>
  <c r="D364" i="17"/>
  <c r="C307" i="17"/>
  <c r="D144" i="17"/>
  <c r="D89" i="17"/>
  <c r="D90" i="17"/>
  <c r="C191" i="17"/>
  <c r="C242" i="17"/>
  <c r="D395" i="17"/>
  <c r="D88" i="17"/>
  <c r="C172" i="17"/>
  <c r="C479" i="17"/>
  <c r="C361" i="17"/>
  <c r="C623" i="17"/>
  <c r="D91" i="17"/>
  <c r="D160" i="17"/>
  <c r="C103" i="17"/>
  <c r="D73" i="17"/>
  <c r="D178" i="17"/>
  <c r="D74" i="17"/>
  <c r="C44" i="17"/>
  <c r="C207" i="17"/>
  <c r="C130" i="17"/>
  <c r="C258" i="17"/>
  <c r="D386" i="17"/>
  <c r="D411" i="17"/>
  <c r="C437" i="17"/>
  <c r="D72" i="17"/>
  <c r="C153" i="17"/>
  <c r="C204" i="17"/>
  <c r="D357" i="17"/>
  <c r="C511" i="17"/>
  <c r="D129" i="17"/>
  <c r="C386" i="17"/>
  <c r="C384" i="17"/>
  <c r="C65" i="17"/>
  <c r="D99" i="17"/>
  <c r="D35" i="17"/>
  <c r="D152" i="17"/>
  <c r="D216" i="17"/>
  <c r="D100" i="17"/>
  <c r="C47" i="17"/>
  <c r="D81" i="17"/>
  <c r="D17" i="17"/>
  <c r="D170" i="17"/>
  <c r="D234" i="17"/>
  <c r="D82" i="17"/>
  <c r="D18" i="17"/>
  <c r="C52" i="17"/>
  <c r="C135" i="17"/>
  <c r="C199" i="17"/>
  <c r="C263" i="17"/>
  <c r="C122" i="17"/>
  <c r="C186" i="17"/>
  <c r="C250" i="17"/>
  <c r="C314" i="17"/>
  <c r="D378" i="17"/>
  <c r="D339" i="17"/>
  <c r="D403" i="17"/>
  <c r="D467" i="17"/>
  <c r="C429" i="17"/>
  <c r="C493" i="17"/>
  <c r="D80" i="17"/>
  <c r="D16" i="17"/>
  <c r="C137" i="17"/>
  <c r="C265" i="17"/>
  <c r="C188" i="17"/>
  <c r="D316" i="17"/>
  <c r="D341" i="17"/>
  <c r="D469" i="17"/>
  <c r="C495" i="17"/>
  <c r="C553" i="17"/>
  <c r="D113" i="17"/>
  <c r="D241" i="17"/>
  <c r="C322" i="17"/>
  <c r="C564" i="17"/>
  <c r="C320" i="17"/>
  <c r="C418" i="17"/>
  <c r="C522" i="17"/>
  <c r="C575" i="17"/>
  <c r="D263" i="17"/>
  <c r="C416" i="17"/>
  <c r="C578" i="17"/>
  <c r="C456" i="17"/>
  <c r="C392" i="17"/>
  <c r="C328" i="17"/>
  <c r="C367" i="17"/>
  <c r="D303" i="17"/>
  <c r="D239" i="17"/>
  <c r="D175" i="17"/>
  <c r="D111" i="17"/>
  <c r="C632" i="17"/>
  <c r="C551" i="17"/>
  <c r="C580" i="17"/>
  <c r="C600" i="17"/>
  <c r="D579" i="17"/>
  <c r="C550" i="17"/>
  <c r="D484" i="17"/>
  <c r="D420" i="17"/>
  <c r="C458" i="17"/>
  <c r="C394" i="17"/>
  <c r="C330" i="17"/>
  <c r="C369" i="17"/>
  <c r="C325" i="17"/>
  <c r="D293" i="17"/>
  <c r="D261" i="17"/>
  <c r="D229" i="17"/>
  <c r="D197" i="17"/>
  <c r="D165" i="17"/>
  <c r="D133" i="17"/>
  <c r="C305" i="17"/>
  <c r="C273" i="17"/>
  <c r="D605" i="17"/>
  <c r="C573" i="17"/>
  <c r="D589" i="17"/>
  <c r="D535" i="17"/>
  <c r="C560" i="17"/>
  <c r="C515" i="17"/>
  <c r="C483" i="17"/>
  <c r="C451" i="17"/>
  <c r="D231" i="17"/>
  <c r="D555" i="17"/>
  <c r="C368" i="17"/>
  <c r="D558" i="17"/>
  <c r="C370" i="17"/>
  <c r="C144" i="17"/>
  <c r="D506" i="17"/>
  <c r="C556" i="17"/>
  <c r="D153" i="17"/>
  <c r="D398" i="17"/>
  <c r="C419" i="17"/>
  <c r="D478" i="17"/>
  <c r="D442" i="17"/>
  <c r="C355" i="17"/>
  <c r="D588" i="17"/>
  <c r="C357" i="17"/>
  <c r="C593" i="17"/>
  <c r="C74" i="17"/>
  <c r="C302" i="17"/>
  <c r="D204" i="17"/>
  <c r="D285" i="17"/>
  <c r="C540" i="17"/>
  <c r="D462" i="17"/>
  <c r="D590" i="17"/>
  <c r="C512" i="17"/>
  <c r="C436" i="17"/>
  <c r="C323" i="17"/>
  <c r="C271" i="17"/>
  <c r="D556" i="17"/>
  <c r="C478" i="17"/>
  <c r="D466" i="17"/>
  <c r="C498" i="17"/>
  <c r="D565" i="17"/>
  <c r="C292" i="17"/>
  <c r="D28" i="17"/>
  <c r="D455" i="17"/>
  <c r="C238" i="17"/>
  <c r="D140" i="17"/>
  <c r="C531" i="17"/>
  <c r="C532" i="17"/>
  <c r="D454" i="17"/>
  <c r="D574" i="17"/>
  <c r="B622" i="17"/>
  <c r="C428" i="17"/>
  <c r="D307" i="17"/>
  <c r="C599" i="17"/>
  <c r="D587" i="17"/>
  <c r="C462" i="17"/>
  <c r="C432" i="17"/>
  <c r="C434" i="17"/>
  <c r="D523" i="17"/>
  <c r="C260" i="17"/>
  <c r="D44" i="17"/>
  <c r="D439" i="17"/>
  <c r="C206" i="17"/>
  <c r="D254" i="17"/>
  <c r="D15" i="17"/>
  <c r="C112" i="17"/>
  <c r="C383" i="17"/>
  <c r="C475" i="17"/>
  <c r="D355" i="17"/>
  <c r="D468" i="17"/>
  <c r="C565" i="17"/>
  <c r="D377" i="17"/>
  <c r="C224" i="17"/>
  <c r="C173" i="17"/>
  <c r="C29" i="17"/>
  <c r="D252" i="17"/>
  <c r="D142" i="17"/>
  <c r="C80" i="17"/>
  <c r="D298" i="17"/>
  <c r="D350" i="17"/>
  <c r="D383" i="17"/>
  <c r="D511" i="17"/>
  <c r="D540" i="17"/>
  <c r="C26" i="17"/>
  <c r="C148" i="17"/>
  <c r="D404" i="17"/>
  <c r="C455" i="17"/>
  <c r="C277" i="17"/>
  <c r="C329" i="17"/>
  <c r="D595" i="17"/>
  <c r="D183" i="17"/>
  <c r="C336" i="17"/>
  <c r="C349" i="17"/>
  <c r="C413" i="17"/>
  <c r="C374" i="17"/>
  <c r="C438" i="17"/>
  <c r="C502" i="17"/>
  <c r="D464" i="17"/>
  <c r="C527" i="17"/>
  <c r="C542" i="17"/>
  <c r="D580" i="17"/>
  <c r="D542" i="17"/>
  <c r="D569" i="17"/>
  <c r="C595" i="17"/>
  <c r="C295" i="17"/>
  <c r="D155" i="17"/>
  <c r="D219" i="17"/>
  <c r="D283" i="17"/>
  <c r="C347" i="17"/>
  <c r="C411" i="17"/>
  <c r="C372" i="17"/>
  <c r="D550" i="17"/>
  <c r="D326" i="17"/>
  <c r="C262" i="17"/>
  <c r="C198" i="17"/>
  <c r="C134" i="17"/>
  <c r="D274" i="17"/>
  <c r="C211" i="17"/>
  <c r="C147" i="17"/>
  <c r="C40" i="17"/>
  <c r="C104" i="17"/>
  <c r="D70" i="17"/>
  <c r="D246" i="17"/>
  <c r="D182" i="17"/>
  <c r="D118" i="17"/>
  <c r="D69" i="17"/>
  <c r="C35" i="17"/>
  <c r="C99" i="17"/>
  <c r="D228" i="17"/>
  <c r="D164" i="17"/>
  <c r="D23" i="17"/>
  <c r="D87" i="17"/>
  <c r="C53" i="17"/>
  <c r="C626" i="17"/>
  <c r="C54" i="17"/>
  <c r="C133" i="17"/>
  <c r="C197" i="17"/>
  <c r="C261" i="17"/>
  <c r="C120" i="17"/>
  <c r="C184" i="17"/>
  <c r="C248" i="17"/>
  <c r="C312" i="17"/>
  <c r="D376" i="17"/>
  <c r="D337" i="17"/>
  <c r="D401" i="17"/>
  <c r="D465" i="17"/>
  <c r="C427" i="17"/>
  <c r="C576" i="17"/>
  <c r="D613" i="17"/>
  <c r="D173" i="17"/>
  <c r="D301" i="17"/>
  <c r="C410" i="17"/>
  <c r="C582" i="17"/>
  <c r="C567" i="17"/>
  <c r="C344" i="17"/>
  <c r="D273" i="17"/>
  <c r="D146" i="17"/>
  <c r="D223" i="17"/>
  <c r="C376" i="17"/>
  <c r="C327" i="17"/>
  <c r="D145" i="17"/>
  <c r="C509" i="17"/>
  <c r="D363" i="17"/>
  <c r="C354" i="17"/>
  <c r="D209" i="17"/>
  <c r="D437" i="17"/>
  <c r="D32" i="17"/>
  <c r="D98" i="17"/>
  <c r="C25" i="17"/>
  <c r="C220" i="17"/>
  <c r="D64" i="17"/>
  <c r="C266" i="17"/>
  <c r="D154" i="17"/>
  <c r="C34" i="17"/>
  <c r="C249" i="17"/>
  <c r="C185" i="17"/>
  <c r="D451" i="17"/>
  <c r="C298" i="17"/>
  <c r="C247" i="17"/>
  <c r="D218" i="17"/>
  <c r="D51" i="17"/>
  <c r="C140" i="17"/>
  <c r="C175" i="17"/>
  <c r="D453" i="17"/>
  <c r="D43" i="17"/>
  <c r="D57" i="17"/>
  <c r="D66" i="17"/>
  <c r="D65" i="17"/>
  <c r="D168" i="17"/>
  <c r="D626" i="17"/>
  <c r="D421" i="17"/>
  <c r="C469" i="17"/>
  <c r="C162" i="17"/>
  <c r="D210" i="17"/>
  <c r="D59" i="17"/>
  <c r="C300" i="17"/>
  <c r="C255" i="17"/>
  <c r="C73" i="17"/>
  <c r="D258" i="17"/>
  <c r="C105" i="17"/>
  <c r="C146" i="17"/>
  <c r="D176" i="17"/>
  <c r="C552" i="17"/>
  <c r="C92" i="17"/>
  <c r="C66" i="17"/>
  <c r="D107" i="17"/>
  <c r="D162" i="17"/>
  <c r="C114" i="17"/>
  <c r="C421" i="17"/>
  <c r="D325" i="17"/>
  <c r="C359" i="17"/>
  <c r="D27" i="17"/>
  <c r="C39" i="17"/>
  <c r="D242" i="17"/>
  <c r="C143" i="17"/>
  <c r="C194" i="17"/>
  <c r="D347" i="17"/>
  <c r="C501" i="17"/>
  <c r="D280" i="17"/>
  <c r="D485" i="17"/>
  <c r="D257" i="17"/>
  <c r="C97" i="17"/>
  <c r="D67" i="17"/>
  <c r="D184" i="17"/>
  <c r="C79" i="17"/>
  <c r="D49" i="17"/>
  <c r="D202" i="17"/>
  <c r="D50" i="17"/>
  <c r="C20" i="17"/>
  <c r="C231" i="17"/>
  <c r="C154" i="17"/>
  <c r="C282" i="17"/>
  <c r="D410" i="17"/>
  <c r="D435" i="17"/>
  <c r="C461" i="17"/>
  <c r="D48" i="17"/>
  <c r="C201" i="17"/>
  <c r="C252" i="17"/>
  <c r="D405" i="17"/>
  <c r="C584" i="17"/>
  <c r="D177" i="17"/>
  <c r="D476" i="17"/>
  <c r="C393" i="17"/>
  <c r="D604" i="17"/>
  <c r="C391" i="17"/>
  <c r="D434" i="17"/>
  <c r="C360" i="17"/>
  <c r="C335" i="17"/>
  <c r="D207" i="17"/>
  <c r="C283" i="17"/>
  <c r="D545" i="17"/>
  <c r="D568" i="17"/>
  <c r="D516" i="17"/>
  <c r="C490" i="17"/>
  <c r="C362" i="17"/>
  <c r="C341" i="17"/>
  <c r="D277" i="17"/>
  <c r="D213" i="17"/>
  <c r="D149" i="17"/>
  <c r="C289" i="17"/>
  <c r="C589" i="17"/>
  <c r="D557" i="17"/>
  <c r="D530" i="17"/>
  <c r="C467" i="17"/>
  <c r="D94" i="17"/>
  <c r="D284" i="17"/>
  <c r="D570" i="17"/>
  <c r="D518" i="17"/>
  <c r="C492" i="17"/>
  <c r="C521" i="17"/>
  <c r="D450" i="17"/>
  <c r="C332" i="17"/>
  <c r="D179" i="17"/>
  <c r="C588" i="17"/>
  <c r="D488" i="17"/>
  <c r="C334" i="17"/>
  <c r="C591" i="17"/>
  <c r="D185" i="17"/>
  <c r="D413" i="17"/>
  <c r="C209" i="17"/>
  <c r="C465" i="17"/>
  <c r="D414" i="17"/>
  <c r="C155" i="17"/>
  <c r="C27" i="17"/>
  <c r="C62" i="17"/>
  <c r="D457" i="17"/>
  <c r="D400" i="17"/>
  <c r="C353" i="17"/>
  <c r="D255" i="17"/>
  <c r="D253" i="17"/>
  <c r="D505" i="17"/>
  <c r="D352" i="17"/>
  <c r="D300" i="17"/>
  <c r="C78" i="17"/>
  <c r="D124" i="17"/>
  <c r="D109" i="17"/>
  <c r="D110" i="17"/>
  <c r="C171" i="17"/>
  <c r="C222" i="17"/>
  <c r="D319" i="17"/>
  <c r="D447" i="17"/>
  <c r="C473" i="17"/>
  <c r="D36" i="17"/>
  <c r="C225" i="17"/>
  <c r="C276" i="17"/>
  <c r="D429" i="17"/>
  <c r="D539" i="17"/>
  <c r="D201" i="17"/>
  <c r="C466" i="17"/>
  <c r="C603" i="17"/>
  <c r="D311" i="17"/>
  <c r="C472" i="17"/>
  <c r="C381" i="17"/>
  <c r="C342" i="17"/>
  <c r="C406" i="17"/>
  <c r="C470" i="17"/>
  <c r="D432" i="17"/>
  <c r="D496" i="17"/>
  <c r="C574" i="17"/>
  <c r="D548" i="17"/>
  <c r="C612" i="17"/>
  <c r="D525" i="17"/>
  <c r="C563" i="17"/>
  <c r="C607" i="17"/>
  <c r="D123" i="17"/>
  <c r="D187" i="17"/>
  <c r="D251" i="17"/>
  <c r="C315" i="17"/>
  <c r="C379" i="17"/>
  <c r="C340" i="17"/>
  <c r="D584" i="17"/>
  <c r="D358" i="17"/>
  <c r="C294" i="17"/>
  <c r="C230" i="17"/>
  <c r="C166" i="17"/>
  <c r="D306" i="17"/>
  <c r="C243" i="17"/>
  <c r="C179" i="17"/>
  <c r="C115" i="17"/>
  <c r="C72" i="17"/>
  <c r="D38" i="17"/>
  <c r="D102" i="17"/>
  <c r="D214" i="17"/>
  <c r="D150" i="17"/>
  <c r="D37" i="17"/>
  <c r="D101" i="17"/>
  <c r="C67" i="17"/>
  <c r="D260" i="17"/>
  <c r="D196" i="17"/>
  <c r="D132" i="17"/>
  <c r="D55" i="17"/>
  <c r="C21" i="17"/>
  <c r="C85" i="17"/>
  <c r="C86" i="17"/>
  <c r="C22" i="17"/>
  <c r="C165" i="17"/>
  <c r="C229" i="17"/>
  <c r="D292" i="17"/>
  <c r="C152" i="17"/>
  <c r="C216" i="17"/>
  <c r="C280" i="17"/>
  <c r="D344" i="17"/>
  <c r="D408" i="17"/>
  <c r="D369" i="17"/>
  <c r="D433" i="17"/>
  <c r="D497" i="17"/>
  <c r="C491" i="17"/>
  <c r="C549" i="17"/>
  <c r="C313" i="17"/>
  <c r="D237" i="17"/>
  <c r="C385" i="17"/>
  <c r="D436" i="17"/>
  <c r="D596" i="17"/>
  <c r="D191" i="17"/>
  <c r="C352" i="17"/>
  <c r="C18" i="17"/>
  <c r="C299" i="17"/>
  <c r="C351" i="17"/>
  <c r="D498" i="17"/>
  <c r="C448" i="17"/>
  <c r="D373" i="17"/>
  <c r="D97" i="17"/>
  <c r="D537" i="17"/>
  <c r="D563" i="17"/>
  <c r="D549" i="17"/>
  <c r="C284" i="17"/>
  <c r="D330" i="17"/>
  <c r="D396" i="17"/>
  <c r="C55" i="17"/>
  <c r="C169" i="17"/>
  <c r="D419" i="17"/>
  <c r="C215" i="17"/>
  <c r="C17" i="17"/>
  <c r="C76" i="17"/>
  <c r="D289" i="17"/>
  <c r="C477" i="17"/>
  <c r="D323" i="17"/>
  <c r="C170" i="17"/>
  <c r="C119" i="17"/>
  <c r="C63" i="17"/>
  <c r="C321" i="17"/>
  <c r="D379" i="17"/>
  <c r="D105" i="17"/>
  <c r="C178" i="17"/>
  <c r="C159" i="17"/>
  <c r="C36" i="17"/>
  <c r="D186" i="17"/>
  <c r="C95" i="17"/>
  <c r="D83" i="17"/>
  <c r="D193" i="17"/>
  <c r="C217" i="17"/>
  <c r="D315" i="17"/>
  <c r="C111" i="17"/>
  <c r="C71" i="17"/>
  <c r="D592" i="17"/>
  <c r="D459" i="17"/>
  <c r="D25" i="17"/>
  <c r="C517" i="17"/>
  <c r="C236" i="17"/>
  <c r="C529" i="17"/>
  <c r="D402" i="17"/>
  <c r="C274" i="17"/>
  <c r="D240" i="17"/>
  <c r="D338" i="17"/>
  <c r="D601" i="17"/>
  <c r="D108" i="17"/>
  <c r="C60" i="17"/>
  <c r="D370" i="17"/>
  <c r="C121" i="17"/>
  <c r="C301" i="17"/>
  <c r="C57" i="17"/>
  <c r="D224" i="17"/>
  <c r="D114" i="17"/>
  <c r="C108" i="17"/>
  <c r="D270" i="17"/>
  <c r="D322" i="17"/>
  <c r="D475" i="17"/>
  <c r="C98" i="17"/>
  <c r="D332" i="17"/>
  <c r="C569" i="17"/>
  <c r="D593" i="17"/>
  <c r="C33" i="17"/>
  <c r="D120" i="17"/>
  <c r="D248" i="17"/>
  <c r="C15" i="17"/>
  <c r="D138" i="17"/>
  <c r="D266" i="17"/>
  <c r="C84" i="17"/>
  <c r="C167" i="17"/>
  <c r="D294" i="17"/>
  <c r="C218" i="17"/>
  <c r="D346" i="17"/>
  <c r="D371" i="17"/>
  <c r="D499" i="17"/>
  <c r="D524" i="17"/>
  <c r="C50" i="17"/>
  <c r="C124" i="17"/>
  <c r="D380" i="17"/>
  <c r="C431" i="17"/>
  <c r="C597" i="17"/>
  <c r="D305" i="17"/>
  <c r="D167" i="17"/>
  <c r="D444" i="17"/>
  <c r="D135" i="17"/>
  <c r="D623" i="17"/>
  <c r="C424" i="17"/>
  <c r="C399" i="17"/>
  <c r="D271" i="17"/>
  <c r="D143" i="17"/>
  <c r="C583" i="17"/>
  <c r="D612" i="17"/>
  <c r="C530" i="17"/>
  <c r="D452" i="17"/>
  <c r="C426" i="17"/>
  <c r="C401" i="17"/>
  <c r="D309" i="17"/>
  <c r="D245" i="17"/>
  <c r="D181" i="17"/>
  <c r="D117" i="17"/>
  <c r="C601" i="17"/>
  <c r="C557" i="17"/>
  <c r="C592" i="17"/>
  <c r="C499" i="17"/>
  <c r="C435" i="17"/>
  <c r="O13" i="8"/>
  <c r="B526" i="2" s="1"/>
  <c r="BL597" i="28" l="1"/>
  <c r="BM597" i="28" s="1"/>
  <c r="BL507" i="28"/>
  <c r="BM507" i="28" s="1"/>
  <c r="BL519" i="28"/>
  <c r="BM519" i="28" s="1"/>
  <c r="BL139" i="28"/>
  <c r="BM139" i="28" s="1"/>
  <c r="BL415" i="28"/>
  <c r="BM415" i="28" s="1"/>
  <c r="BL566" i="28"/>
  <c r="BM566" i="28" s="1"/>
  <c r="BL206" i="28"/>
  <c r="BM206" i="28" s="1"/>
  <c r="BP180" i="33"/>
  <c r="BS91" i="33"/>
  <c r="BM91" i="33"/>
  <c r="BI91" i="33"/>
  <c r="BK91" i="33" s="1"/>
  <c r="BO91" i="33" s="1"/>
  <c r="BQ91" i="33"/>
  <c r="BR90" i="33"/>
  <c r="BL90" i="33"/>
  <c r="BS170" i="33"/>
  <c r="BM170" i="33"/>
  <c r="BQ170" i="33"/>
  <c r="BS93" i="33"/>
  <c r="BM93" i="33"/>
  <c r="BS208" i="33"/>
  <c r="BM208" i="33"/>
  <c r="BQ208" i="33"/>
  <c r="BI208" i="33"/>
  <c r="BK208" i="33" s="1"/>
  <c r="BO208" i="33" s="1"/>
  <c r="BS154" i="33"/>
  <c r="BM154" i="33"/>
  <c r="BQ154" i="33"/>
  <c r="BS178" i="33"/>
  <c r="BM178" i="33"/>
  <c r="BQ178" i="33"/>
  <c r="BI178" i="33"/>
  <c r="BK178" i="33" s="1"/>
  <c r="BO178" i="33" s="1"/>
  <c r="BR122" i="33"/>
  <c r="BL122" i="33"/>
  <c r="BQ122" i="33"/>
  <c r="BR87" i="33"/>
  <c r="BL87" i="33"/>
  <c r="BQ87" i="33"/>
  <c r="BR68" i="33"/>
  <c r="BR56" i="33"/>
  <c r="BQ56" i="33"/>
  <c r="BS105" i="33"/>
  <c r="BM105" i="33"/>
  <c r="BI105" i="33"/>
  <c r="BK105" i="33" s="1"/>
  <c r="BO105" i="33" s="1"/>
  <c r="BQ105" i="33"/>
  <c r="BP200" i="33"/>
  <c r="BI200" i="33"/>
  <c r="BK200" i="33" s="1"/>
  <c r="BO200" i="33" s="1"/>
  <c r="BP164" i="33"/>
  <c r="BI164" i="33"/>
  <c r="BK164" i="33" s="1"/>
  <c r="BO164" i="33" s="1"/>
  <c r="BS128" i="33"/>
  <c r="BM128" i="33"/>
  <c r="BQ128" i="33"/>
  <c r="BL55" i="33"/>
  <c r="BT55" i="33"/>
  <c r="BR98" i="33"/>
  <c r="BL98" i="33"/>
  <c r="BQ98" i="33"/>
  <c r="BP145" i="33"/>
  <c r="BS83" i="33"/>
  <c r="BM83" i="33"/>
  <c r="BR116" i="33"/>
  <c r="BL116" i="33"/>
  <c r="AL101" i="33"/>
  <c r="AU101" i="33"/>
  <c r="AV101" i="33" s="1"/>
  <c r="W101" i="33"/>
  <c r="X101" i="33" s="1"/>
  <c r="AG101" i="33"/>
  <c r="AH101" i="33" s="1"/>
  <c r="V101" i="33"/>
  <c r="S101" i="33"/>
  <c r="AI101" i="33" s="1"/>
  <c r="X46" i="33"/>
  <c r="AG46" i="33"/>
  <c r="AH46" i="33" s="1"/>
  <c r="AK46" i="33" s="1"/>
  <c r="AY46" i="33"/>
  <c r="BT16" i="33"/>
  <c r="BL16" i="33"/>
  <c r="Y9" i="33"/>
  <c r="AD9" i="33"/>
  <c r="AE9" i="33" s="1"/>
  <c r="AF9" i="33" s="1"/>
  <c r="AS9" i="33"/>
  <c r="AW9" i="33"/>
  <c r="AX9" i="33" s="1"/>
  <c r="AA9" i="33"/>
  <c r="AB9" i="33" s="1"/>
  <c r="AC9" i="33" s="1"/>
  <c r="BL62" i="33"/>
  <c r="BT62" i="33"/>
  <c r="AQ38" i="33"/>
  <c r="BC38" i="33"/>
  <c r="BV38" i="33" s="1"/>
  <c r="BR197" i="33"/>
  <c r="BQ197" i="33"/>
  <c r="BL197" i="33"/>
  <c r="Y121" i="33"/>
  <c r="Z121" i="33" s="1"/>
  <c r="AA121" i="33"/>
  <c r="AB121" i="33" s="1"/>
  <c r="AC121" i="33" s="1"/>
  <c r="AJ121" i="33"/>
  <c r="AW121" i="33"/>
  <c r="AN121" i="33"/>
  <c r="AO121" i="33" s="1"/>
  <c r="AD121" i="33"/>
  <c r="AE121" i="33" s="1"/>
  <c r="AF121" i="33" s="1"/>
  <c r="BS151" i="33"/>
  <c r="BM151" i="33"/>
  <c r="V71" i="33"/>
  <c r="AL71" i="33"/>
  <c r="W71" i="33"/>
  <c r="X71" i="33" s="1"/>
  <c r="AU71" i="33"/>
  <c r="AV71" i="33" s="1"/>
  <c r="S71" i="33"/>
  <c r="AI71" i="33" s="1"/>
  <c r="AK71" i="33" s="1"/>
  <c r="X177" i="33"/>
  <c r="AY177" i="33"/>
  <c r="X198" i="33"/>
  <c r="AY198" i="33"/>
  <c r="X174" i="33"/>
  <c r="Z174" i="33" s="1"/>
  <c r="AY174" i="33"/>
  <c r="Y33" i="33"/>
  <c r="AD33" i="33"/>
  <c r="AE33" i="33" s="1"/>
  <c r="AF33" i="33" s="1"/>
  <c r="AS33" i="33"/>
  <c r="AT33" i="33" s="1"/>
  <c r="AW33" i="33"/>
  <c r="AX33" i="33" s="1"/>
  <c r="AA33" i="33"/>
  <c r="AB33" i="33" s="1"/>
  <c r="AC33" i="33" s="1"/>
  <c r="Y114" i="33"/>
  <c r="Z114" i="33" s="1"/>
  <c r="AJ114" i="33"/>
  <c r="AA114" i="33"/>
  <c r="AB114" i="33" s="1"/>
  <c r="AC114" i="33" s="1"/>
  <c r="AN114" i="33"/>
  <c r="AW114" i="33"/>
  <c r="AX114" i="33" s="1"/>
  <c r="BU114" i="33" s="1"/>
  <c r="AD114" i="33"/>
  <c r="AE114" i="33" s="1"/>
  <c r="AF114" i="33" s="1"/>
  <c r="X30" i="33"/>
  <c r="Z30" i="33" s="1"/>
  <c r="AG30" i="33"/>
  <c r="AH30" i="33" s="1"/>
  <c r="AK30" i="33" s="1"/>
  <c r="AY30" i="33"/>
  <c r="Z197" i="33"/>
  <c r="BS158" i="33"/>
  <c r="BM158" i="33"/>
  <c r="BL17" i="33"/>
  <c r="BT17" i="33"/>
  <c r="BP18" i="33"/>
  <c r="BI18" i="33"/>
  <c r="BK18" i="33" s="1"/>
  <c r="BO18" i="33" s="1"/>
  <c r="BL181" i="33"/>
  <c r="BR181" i="33"/>
  <c r="AQ14" i="33"/>
  <c r="BC14" i="33"/>
  <c r="BV14" i="33" s="1"/>
  <c r="BL168" i="33"/>
  <c r="BR168" i="33"/>
  <c r="AM134" i="33"/>
  <c r="BC134" i="33"/>
  <c r="BV134" i="33" s="1"/>
  <c r="BU53" i="33"/>
  <c r="BM53" i="33"/>
  <c r="AM121" i="33"/>
  <c r="AK185" i="33"/>
  <c r="BL61" i="33"/>
  <c r="BT61" i="33"/>
  <c r="Z50" i="33"/>
  <c r="AL84" i="33"/>
  <c r="AG84" i="33"/>
  <c r="AH84" i="33" s="1"/>
  <c r="W84" i="33"/>
  <c r="X84" i="33" s="1"/>
  <c r="BU70" i="33"/>
  <c r="BM70" i="33"/>
  <c r="AD82" i="33"/>
  <c r="AE82" i="33" s="1"/>
  <c r="AF82" i="33" s="1"/>
  <c r="Y82" i="33"/>
  <c r="Z82" i="33" s="1"/>
  <c r="AA82" i="33"/>
  <c r="AB82" i="33" s="1"/>
  <c r="AC82" i="33" s="1"/>
  <c r="AJ82" i="33"/>
  <c r="AK82" i="33" s="1"/>
  <c r="AN82" i="33"/>
  <c r="AO82" i="33" s="1"/>
  <c r="AW82" i="33"/>
  <c r="AX82" i="33" s="1"/>
  <c r="BU82" i="33" s="1"/>
  <c r="AM172" i="33"/>
  <c r="BC172" i="33"/>
  <c r="BV172" i="33" s="1"/>
  <c r="BP202" i="33"/>
  <c r="BI202" i="33"/>
  <c r="BK202" i="33" s="1"/>
  <c r="BO202" i="33" s="1"/>
  <c r="BR42" i="33"/>
  <c r="BQ42" i="33"/>
  <c r="X163" i="33"/>
  <c r="Z163" i="33" s="1"/>
  <c r="AY163" i="33"/>
  <c r="BR31" i="33"/>
  <c r="AO145" i="33"/>
  <c r="BR16" i="33"/>
  <c r="BQ16" i="33"/>
  <c r="Y46" i="33"/>
  <c r="AS46" i="33"/>
  <c r="AT46" i="33" s="1"/>
  <c r="AD46" i="33"/>
  <c r="AE46" i="33" s="1"/>
  <c r="AF46" i="33" s="1"/>
  <c r="AW46" i="33"/>
  <c r="AX46" i="33" s="1"/>
  <c r="AA46" i="33"/>
  <c r="AB46" i="33" s="1"/>
  <c r="AC46" i="33" s="1"/>
  <c r="BR127" i="33"/>
  <c r="BQ127" i="33"/>
  <c r="BL127" i="33"/>
  <c r="X169" i="33"/>
  <c r="AY169" i="33"/>
  <c r="BP170" i="33"/>
  <c r="BI170" i="33"/>
  <c r="BK170" i="33" s="1"/>
  <c r="BO170" i="33" s="1"/>
  <c r="Y97" i="33"/>
  <c r="AA97" i="33"/>
  <c r="AB97" i="33" s="1"/>
  <c r="AC97" i="33" s="1"/>
  <c r="AJ97" i="33"/>
  <c r="AW97" i="33"/>
  <c r="AX97" i="33" s="1"/>
  <c r="BU97" i="33" s="1"/>
  <c r="AN97" i="33"/>
  <c r="AD97" i="33"/>
  <c r="AE97" i="33" s="1"/>
  <c r="AF97" i="33" s="1"/>
  <c r="BS87" i="33"/>
  <c r="BM87" i="33"/>
  <c r="Z59" i="33"/>
  <c r="AO134" i="33"/>
  <c r="Y12" i="33"/>
  <c r="AD12" i="33"/>
  <c r="AE12" i="33" s="1"/>
  <c r="AF12" i="33" s="1"/>
  <c r="AS12" i="33"/>
  <c r="AT12" i="33" s="1"/>
  <c r="AW12" i="33"/>
  <c r="AX12" i="33" s="1"/>
  <c r="AA12" i="33"/>
  <c r="AB12" i="33" s="1"/>
  <c r="AC12" i="33" s="1"/>
  <c r="BP189" i="33"/>
  <c r="BI189" i="33"/>
  <c r="BK189" i="33" s="1"/>
  <c r="BO189" i="33" s="1"/>
  <c r="AM111" i="33"/>
  <c r="BR124" i="33"/>
  <c r="BL124" i="33"/>
  <c r="AM203" i="33"/>
  <c r="BC203" i="33"/>
  <c r="BV203" i="33" s="1"/>
  <c r="BP149" i="33"/>
  <c r="BI149" i="33"/>
  <c r="BK149" i="33" s="1"/>
  <c r="BO149" i="33" s="1"/>
  <c r="BL167" i="33"/>
  <c r="BQ167" i="33"/>
  <c r="BR167" i="33"/>
  <c r="BP112" i="33"/>
  <c r="BI112" i="33"/>
  <c r="BK112" i="33" s="1"/>
  <c r="BO112" i="33" s="1"/>
  <c r="AK155" i="33"/>
  <c r="AO172" i="33"/>
  <c r="AM125" i="33"/>
  <c r="BC125" i="33"/>
  <c r="BV125" i="33" s="1"/>
  <c r="AO207" i="33"/>
  <c r="BR138" i="33"/>
  <c r="BL138" i="33"/>
  <c r="Z156" i="33"/>
  <c r="AM152" i="33"/>
  <c r="BC152" i="33"/>
  <c r="BV152" i="33" s="1"/>
  <c r="AT31" i="33"/>
  <c r="Z193" i="33"/>
  <c r="BR136" i="33"/>
  <c r="BL136" i="33"/>
  <c r="BR198" i="33"/>
  <c r="BL198" i="33"/>
  <c r="BQ198" i="33"/>
  <c r="BU32" i="33"/>
  <c r="BM32" i="33"/>
  <c r="BQ61" i="33"/>
  <c r="AM174" i="33"/>
  <c r="AO174" i="33" s="1"/>
  <c r="BC174" i="33"/>
  <c r="BV174" i="33" s="1"/>
  <c r="Y14" i="33"/>
  <c r="AD14" i="33"/>
  <c r="AE14" i="33" s="1"/>
  <c r="AF14" i="33" s="1"/>
  <c r="AS14" i="33"/>
  <c r="AT14" i="33" s="1"/>
  <c r="AW14" i="33"/>
  <c r="AX14" i="33" s="1"/>
  <c r="AA14" i="33"/>
  <c r="AB14" i="33" s="1"/>
  <c r="AC14" i="33" s="1"/>
  <c r="BP110" i="33"/>
  <c r="BR49" i="33"/>
  <c r="BS135" i="33"/>
  <c r="BM135" i="33"/>
  <c r="BL175" i="33"/>
  <c r="BR175" i="33"/>
  <c r="BQ175" i="33"/>
  <c r="BL140" i="33"/>
  <c r="BR140" i="33"/>
  <c r="X204" i="33"/>
  <c r="AY204" i="33"/>
  <c r="BS200" i="33"/>
  <c r="BM200" i="33"/>
  <c r="BS179" i="33"/>
  <c r="BM179" i="33"/>
  <c r="BQ179" i="33"/>
  <c r="Y184" i="33"/>
  <c r="AA184" i="33"/>
  <c r="AB184" i="33" s="1"/>
  <c r="AC184" i="33" s="1"/>
  <c r="AJ184" i="33"/>
  <c r="AK184" i="33" s="1"/>
  <c r="AN184" i="33"/>
  <c r="AO184" i="33" s="1"/>
  <c r="AD184" i="33"/>
  <c r="AE184" i="33" s="1"/>
  <c r="AF184" i="33" s="1"/>
  <c r="BP128" i="33"/>
  <c r="BI128" i="33"/>
  <c r="BK128" i="33" s="1"/>
  <c r="BO128" i="33" s="1"/>
  <c r="Y132" i="33"/>
  <c r="AJ132" i="33"/>
  <c r="AK132" i="33" s="1"/>
  <c r="AA132" i="33"/>
  <c r="AB132" i="33" s="1"/>
  <c r="AC132" i="33" s="1"/>
  <c r="AN132" i="33"/>
  <c r="AO132" i="33" s="1"/>
  <c r="AD132" i="33"/>
  <c r="AE132" i="33" s="1"/>
  <c r="AF132" i="33" s="1"/>
  <c r="Y106" i="33"/>
  <c r="Z106" i="33" s="1"/>
  <c r="AJ106" i="33"/>
  <c r="AA106" i="33"/>
  <c r="AB106" i="33" s="1"/>
  <c r="AC106" i="33" s="1"/>
  <c r="AW106" i="33"/>
  <c r="AX106" i="33" s="1"/>
  <c r="BU106" i="33" s="1"/>
  <c r="AN106" i="33"/>
  <c r="AD106" i="33"/>
  <c r="AE106" i="33" s="1"/>
  <c r="AF106" i="33" s="1"/>
  <c r="Y148" i="33"/>
  <c r="AJ148" i="33"/>
  <c r="AK148" i="33" s="1"/>
  <c r="AA148" i="33"/>
  <c r="AB148" i="33" s="1"/>
  <c r="AC148" i="33" s="1"/>
  <c r="AN148" i="33"/>
  <c r="AD148" i="33"/>
  <c r="AE148" i="33" s="1"/>
  <c r="AF148" i="33" s="1"/>
  <c r="X14" i="33"/>
  <c r="Z14" i="33" s="1"/>
  <c r="AY14" i="33"/>
  <c r="AG14" i="33"/>
  <c r="AH14" i="33" s="1"/>
  <c r="AK14" i="33" s="1"/>
  <c r="Y65" i="33"/>
  <c r="AD65" i="33"/>
  <c r="AE65" i="33" s="1"/>
  <c r="AF65" i="33" s="1"/>
  <c r="AS65" i="33"/>
  <c r="AW65" i="33"/>
  <c r="AX65" i="33" s="1"/>
  <c r="AN65" i="33"/>
  <c r="AA65" i="33"/>
  <c r="AB65" i="33" s="1"/>
  <c r="AC65" i="33" s="1"/>
  <c r="AO137" i="33"/>
  <c r="BQ137" i="33" s="1"/>
  <c r="BP29" i="33"/>
  <c r="BP58" i="33"/>
  <c r="BI58" i="33"/>
  <c r="BK58" i="33" s="1"/>
  <c r="BO58" i="33" s="1"/>
  <c r="BR65" i="33"/>
  <c r="BR63" i="33"/>
  <c r="BS70" i="33"/>
  <c r="BQ70" i="33"/>
  <c r="Y60" i="33"/>
  <c r="AD60" i="33"/>
  <c r="AE60" i="33" s="1"/>
  <c r="AF60" i="33" s="1"/>
  <c r="AS60" i="33"/>
  <c r="AT60" i="33" s="1"/>
  <c r="AW60" i="33"/>
  <c r="AX60" i="33" s="1"/>
  <c r="AA60" i="33"/>
  <c r="AB60" i="33" s="1"/>
  <c r="AC60" i="33" s="1"/>
  <c r="X168" i="33"/>
  <c r="Z168" i="33" s="1"/>
  <c r="AY168" i="33"/>
  <c r="X182" i="33"/>
  <c r="Z182" i="33" s="1"/>
  <c r="AY182" i="33"/>
  <c r="BP31" i="33"/>
  <c r="BP16" i="33"/>
  <c r="BI16" i="33"/>
  <c r="BK16" i="33" s="1"/>
  <c r="BO16" i="33" s="1"/>
  <c r="X141" i="33"/>
  <c r="AY141" i="33"/>
  <c r="BP103" i="33"/>
  <c r="BI103" i="33"/>
  <c r="BK103" i="33" s="1"/>
  <c r="BO103" i="33" s="1"/>
  <c r="Y205" i="33"/>
  <c r="AA205" i="33"/>
  <c r="AB205" i="33" s="1"/>
  <c r="AC205" i="33" s="1"/>
  <c r="AJ205" i="33"/>
  <c r="AK205" i="33" s="1"/>
  <c r="AN205" i="33"/>
  <c r="AO205" i="33" s="1"/>
  <c r="AD205" i="33"/>
  <c r="AE205" i="33" s="1"/>
  <c r="AF205" i="33" s="1"/>
  <c r="BR134" i="33"/>
  <c r="BL134" i="33"/>
  <c r="BQ134" i="33"/>
  <c r="X173" i="33"/>
  <c r="AY173" i="33"/>
  <c r="BL83" i="33"/>
  <c r="BR83" i="33"/>
  <c r="BQ83" i="33"/>
  <c r="AK110" i="33"/>
  <c r="BI110" i="33" s="1"/>
  <c r="BK110" i="33" s="1"/>
  <c r="BO110" i="33" s="1"/>
  <c r="BR182" i="33"/>
  <c r="BL182" i="33"/>
  <c r="BL172" i="33"/>
  <c r="BQ172" i="33"/>
  <c r="BR172" i="33"/>
  <c r="AK160" i="33"/>
  <c r="AK41" i="33"/>
  <c r="Z198" i="33"/>
  <c r="AT32" i="33"/>
  <c r="AO206" i="33"/>
  <c r="BP140" i="33"/>
  <c r="Y113" i="33"/>
  <c r="AA113" i="33"/>
  <c r="AB113" i="33" s="1"/>
  <c r="AC113" i="33" s="1"/>
  <c r="AJ113" i="33"/>
  <c r="AW113" i="33"/>
  <c r="AX113" i="33" s="1"/>
  <c r="BU113" i="33" s="1"/>
  <c r="AN113" i="33"/>
  <c r="AD113" i="33"/>
  <c r="AE113" i="33" s="1"/>
  <c r="AF113" i="33" s="1"/>
  <c r="AL115" i="33"/>
  <c r="AU115" i="33"/>
  <c r="AV115" i="33" s="1"/>
  <c r="AG115" i="33"/>
  <c r="AH115" i="33" s="1"/>
  <c r="W115" i="33"/>
  <c r="X115" i="33" s="1"/>
  <c r="S115" i="33"/>
  <c r="AI115" i="33" s="1"/>
  <c r="V115" i="33"/>
  <c r="BR93" i="33"/>
  <c r="BL93" i="33"/>
  <c r="BQ93" i="33"/>
  <c r="BP62" i="33"/>
  <c r="BI62" i="33"/>
  <c r="BK62" i="33" s="1"/>
  <c r="BO62" i="33" s="1"/>
  <c r="AG100" i="33"/>
  <c r="AH100" i="33" s="1"/>
  <c r="S100" i="33"/>
  <c r="AI100" i="33" s="1"/>
  <c r="AL100" i="33"/>
  <c r="V100" i="33"/>
  <c r="AU100" i="33"/>
  <c r="AV100" i="33" s="1"/>
  <c r="AD99" i="33"/>
  <c r="AE99" i="33" s="1"/>
  <c r="AF99" i="33" s="1"/>
  <c r="Y99" i="33"/>
  <c r="Z99" i="33" s="1"/>
  <c r="AJ99" i="33"/>
  <c r="AK99" i="33" s="1"/>
  <c r="AA99" i="33"/>
  <c r="AB99" i="33" s="1"/>
  <c r="AC99" i="33" s="1"/>
  <c r="AW99" i="33"/>
  <c r="AN99" i="33"/>
  <c r="Y120" i="33"/>
  <c r="Z120" i="33" s="1"/>
  <c r="AA120" i="33"/>
  <c r="AB120" i="33" s="1"/>
  <c r="AC120" i="33" s="1"/>
  <c r="AJ120" i="33"/>
  <c r="AN120" i="33"/>
  <c r="AW120" i="33"/>
  <c r="AX120" i="33" s="1"/>
  <c r="BU120" i="33" s="1"/>
  <c r="AD120" i="33"/>
  <c r="AE120" i="33" s="1"/>
  <c r="AF120" i="33" s="1"/>
  <c r="BS153" i="33"/>
  <c r="BM153" i="33"/>
  <c r="AM129" i="33"/>
  <c r="AO129" i="33" s="1"/>
  <c r="BC129" i="33"/>
  <c r="BV129" i="33" s="1"/>
  <c r="X187" i="33"/>
  <c r="Z187" i="33" s="1"/>
  <c r="AY187" i="33"/>
  <c r="X34" i="33"/>
  <c r="AG34" i="33"/>
  <c r="AH34" i="33" s="1"/>
  <c r="AK34" i="33" s="1"/>
  <c r="AY34" i="33"/>
  <c r="X175" i="33"/>
  <c r="Z175" i="33" s="1"/>
  <c r="AY175" i="33"/>
  <c r="BL158" i="33"/>
  <c r="BR158" i="33"/>
  <c r="BQ158" i="33"/>
  <c r="X147" i="33"/>
  <c r="Z147" i="33" s="1"/>
  <c r="AY147" i="33"/>
  <c r="X19" i="33"/>
  <c r="AG19" i="33"/>
  <c r="AH19" i="33" s="1"/>
  <c r="AK19" i="33" s="1"/>
  <c r="AY19" i="33"/>
  <c r="BR174" i="33"/>
  <c r="BL174" i="33"/>
  <c r="X9" i="33"/>
  <c r="Z9" i="33" s="1"/>
  <c r="AG9" i="33"/>
  <c r="AH9" i="33" s="1"/>
  <c r="AK9" i="33" s="1"/>
  <c r="AY9" i="33"/>
  <c r="BI93" i="33"/>
  <c r="BK93" i="33" s="1"/>
  <c r="BO93" i="33" s="1"/>
  <c r="BU50" i="33"/>
  <c r="BM50" i="33"/>
  <c r="BL53" i="33"/>
  <c r="BT53" i="33"/>
  <c r="BP131" i="33"/>
  <c r="BI131" i="33"/>
  <c r="BK131" i="33" s="1"/>
  <c r="BO131" i="33" s="1"/>
  <c r="BR13" i="33"/>
  <c r="BQ13" i="33"/>
  <c r="BP185" i="33"/>
  <c r="AP120" i="33"/>
  <c r="AQ120" i="33" s="1"/>
  <c r="AT120" i="33" s="1"/>
  <c r="BT120" i="33" s="1"/>
  <c r="AL120" i="33"/>
  <c r="BU51" i="33"/>
  <c r="BM51" i="33"/>
  <c r="BP136" i="33"/>
  <c r="X60" i="33"/>
  <c r="AY60" i="33"/>
  <c r="AG60" i="33"/>
  <c r="AH60" i="33" s="1"/>
  <c r="AK60" i="33" s="1"/>
  <c r="AM176" i="33"/>
  <c r="BC176" i="33"/>
  <c r="BV176" i="33" s="1"/>
  <c r="BP61" i="33"/>
  <c r="BI61" i="33"/>
  <c r="BK61" i="33" s="1"/>
  <c r="BO61" i="33" s="1"/>
  <c r="Y139" i="33"/>
  <c r="AJ139" i="33"/>
  <c r="AK139" i="33" s="1"/>
  <c r="AA139" i="33"/>
  <c r="AB139" i="33" s="1"/>
  <c r="AC139" i="33" s="1"/>
  <c r="AN139" i="33"/>
  <c r="AO139" i="33" s="1"/>
  <c r="AD139" i="33"/>
  <c r="AE139" i="33" s="1"/>
  <c r="AF139" i="33" s="1"/>
  <c r="Y204" i="33"/>
  <c r="AA204" i="33"/>
  <c r="AB204" i="33" s="1"/>
  <c r="AC204" i="33" s="1"/>
  <c r="AJ204" i="33"/>
  <c r="AK204" i="33" s="1"/>
  <c r="AN204" i="33"/>
  <c r="AO204" i="33" s="1"/>
  <c r="AD204" i="33"/>
  <c r="AE204" i="33" s="1"/>
  <c r="AF204" i="33" s="1"/>
  <c r="BR24" i="33"/>
  <c r="BQ24" i="33"/>
  <c r="BS98" i="33"/>
  <c r="BM98" i="33"/>
  <c r="BQ145" i="33"/>
  <c r="BR145" i="33"/>
  <c r="BL145" i="33"/>
  <c r="BS156" i="33"/>
  <c r="BM156" i="33"/>
  <c r="BP63" i="33"/>
  <c r="Y173" i="33"/>
  <c r="Z173" i="33" s="1"/>
  <c r="AA173" i="33"/>
  <c r="AB173" i="33" s="1"/>
  <c r="AC173" i="33" s="1"/>
  <c r="AJ173" i="33"/>
  <c r="AK173" i="33" s="1"/>
  <c r="AN173" i="33"/>
  <c r="AD173" i="33"/>
  <c r="AE173" i="33" s="1"/>
  <c r="AF173" i="33" s="1"/>
  <c r="BL70" i="33"/>
  <c r="BT70" i="33"/>
  <c r="BP109" i="33"/>
  <c r="X12" i="33"/>
  <c r="Z12" i="33" s="1"/>
  <c r="AY12" i="33"/>
  <c r="AG12" i="33"/>
  <c r="AH12" i="33" s="1"/>
  <c r="AK12" i="33" s="1"/>
  <c r="BR147" i="33"/>
  <c r="BL147" i="33"/>
  <c r="BR55" i="33"/>
  <c r="BQ55" i="33"/>
  <c r="Y196" i="33"/>
  <c r="AA196" i="33"/>
  <c r="AB196" i="33" s="1"/>
  <c r="AC196" i="33" s="1"/>
  <c r="AJ196" i="33"/>
  <c r="AK196" i="33" s="1"/>
  <c r="AN196" i="33"/>
  <c r="AD196" i="33"/>
  <c r="AE196" i="33" s="1"/>
  <c r="AF196" i="33" s="1"/>
  <c r="AM199" i="33"/>
  <c r="BC199" i="33"/>
  <c r="BV199" i="33" s="1"/>
  <c r="AM123" i="33"/>
  <c r="AO123" i="33" s="1"/>
  <c r="BC123" i="33"/>
  <c r="BV123" i="33" s="1"/>
  <c r="X139" i="33"/>
  <c r="Z139" i="33" s="1"/>
  <c r="AY139" i="33"/>
  <c r="AL85" i="33"/>
  <c r="AU85" i="33"/>
  <c r="AV85" i="33" s="1"/>
  <c r="AQ11" i="33"/>
  <c r="BC11" i="33"/>
  <c r="BV11" i="33" s="1"/>
  <c r="BU28" i="33"/>
  <c r="BM28" i="33"/>
  <c r="Y169" i="33"/>
  <c r="AJ169" i="33"/>
  <c r="AK169" i="33" s="1"/>
  <c r="AA169" i="33"/>
  <c r="AB169" i="33" s="1"/>
  <c r="AC169" i="33" s="1"/>
  <c r="AN169" i="33"/>
  <c r="AD169" i="33"/>
  <c r="AE169" i="33" s="1"/>
  <c r="AF169" i="33" s="1"/>
  <c r="BL207" i="33"/>
  <c r="BR207" i="33"/>
  <c r="BQ207" i="33"/>
  <c r="AO146" i="33"/>
  <c r="AK51" i="33"/>
  <c r="BR206" i="33"/>
  <c r="BL206" i="33"/>
  <c r="BQ206" i="33"/>
  <c r="AU86" i="33"/>
  <c r="AV86" i="33" s="1"/>
  <c r="AO125" i="33"/>
  <c r="S111" i="33"/>
  <c r="AI111" i="33" s="1"/>
  <c r="AK129" i="33"/>
  <c r="BQ200" i="33"/>
  <c r="BS194" i="33"/>
  <c r="BM194" i="33"/>
  <c r="AQ59" i="33"/>
  <c r="AT59" i="33" s="1"/>
  <c r="BC59" i="33"/>
  <c r="BV59" i="33" s="1"/>
  <c r="BP161" i="33"/>
  <c r="BI161" i="33"/>
  <c r="BK161" i="33" s="1"/>
  <c r="BO161" i="33" s="1"/>
  <c r="AL107" i="33"/>
  <c r="AG107" i="33"/>
  <c r="AH107" i="33" s="1"/>
  <c r="V107" i="33"/>
  <c r="S107" i="33"/>
  <c r="AI107" i="33" s="1"/>
  <c r="AU107" i="33"/>
  <c r="AV107" i="33" s="1"/>
  <c r="X207" i="33"/>
  <c r="Z207" i="33" s="1"/>
  <c r="AY207" i="33"/>
  <c r="AM138" i="33"/>
  <c r="BC138" i="33"/>
  <c r="BV138" i="33" s="1"/>
  <c r="AO180" i="33"/>
  <c r="BC74" i="33"/>
  <c r="BV74" i="33" s="1"/>
  <c r="X209" i="33"/>
  <c r="Z209" i="33" s="1"/>
  <c r="AY209" i="33"/>
  <c r="Y15" i="33"/>
  <c r="AD15" i="33"/>
  <c r="AE15" i="33" s="1"/>
  <c r="AF15" i="33" s="1"/>
  <c r="AS15" i="33"/>
  <c r="AT15" i="33" s="1"/>
  <c r="AW15" i="33"/>
  <c r="AX15" i="33" s="1"/>
  <c r="AA15" i="33"/>
  <c r="AB15" i="33" s="1"/>
  <c r="AC15" i="33" s="1"/>
  <c r="BS162" i="33"/>
  <c r="BM162" i="33"/>
  <c r="AM95" i="33"/>
  <c r="BC95" i="33"/>
  <c r="BV95" i="33" s="1"/>
  <c r="AL119" i="33"/>
  <c r="AG119" i="33"/>
  <c r="AH119" i="33" s="1"/>
  <c r="AU119" i="33"/>
  <c r="AV119" i="33" s="1"/>
  <c r="V119" i="33"/>
  <c r="AQ34" i="33"/>
  <c r="BC34" i="33"/>
  <c r="BV34" i="33" s="1"/>
  <c r="BU59" i="33"/>
  <c r="BM59" i="33"/>
  <c r="Y96" i="33"/>
  <c r="AJ96" i="33"/>
  <c r="AA96" i="33"/>
  <c r="AB96" i="33" s="1"/>
  <c r="AC96" i="33" s="1"/>
  <c r="AN96" i="33"/>
  <c r="AW96" i="33"/>
  <c r="AX96" i="33" s="1"/>
  <c r="BU96" i="33" s="1"/>
  <c r="AD96" i="33"/>
  <c r="AE96" i="33" s="1"/>
  <c r="AF96" i="33" s="1"/>
  <c r="BS195" i="33"/>
  <c r="BM195" i="33"/>
  <c r="Y19" i="33"/>
  <c r="AD19" i="33"/>
  <c r="AE19" i="33" s="1"/>
  <c r="AF19" i="33" s="1"/>
  <c r="AS19" i="33"/>
  <c r="AT19" i="33" s="1"/>
  <c r="AW19" i="33"/>
  <c r="AX19" i="33" s="1"/>
  <c r="AA19" i="33"/>
  <c r="AB19" i="33" s="1"/>
  <c r="AC19" i="33" s="1"/>
  <c r="AM106" i="33"/>
  <c r="BC106" i="33"/>
  <c r="BV106" i="33" s="1"/>
  <c r="AM171" i="33"/>
  <c r="BC171" i="33"/>
  <c r="BV171" i="33" s="1"/>
  <c r="BR74" i="33"/>
  <c r="AQ9" i="33"/>
  <c r="BC9" i="33"/>
  <c r="BV9" i="33" s="1"/>
  <c r="BR17" i="33"/>
  <c r="BQ17" i="33"/>
  <c r="BT50" i="33"/>
  <c r="BL50" i="33"/>
  <c r="BR137" i="33"/>
  <c r="BL137" i="33"/>
  <c r="AM205" i="33"/>
  <c r="BC205" i="33"/>
  <c r="BV205" i="33" s="1"/>
  <c r="AM79" i="33"/>
  <c r="BC79" i="33"/>
  <c r="BV79" i="33" s="1"/>
  <c r="AL99" i="33"/>
  <c r="AU99" i="33"/>
  <c r="AV99" i="33" s="1"/>
  <c r="BL123" i="33"/>
  <c r="BR123" i="33"/>
  <c r="BP190" i="33"/>
  <c r="BI190" i="33"/>
  <c r="BK190" i="33" s="1"/>
  <c r="BO190" i="33" s="1"/>
  <c r="BR130" i="33"/>
  <c r="BL130" i="33"/>
  <c r="X150" i="33"/>
  <c r="AY150" i="33"/>
  <c r="X172" i="33"/>
  <c r="Z172" i="33" s="1"/>
  <c r="AY172" i="33"/>
  <c r="Y39" i="33"/>
  <c r="AD39" i="33"/>
  <c r="AE39" i="33" s="1"/>
  <c r="AF39" i="33" s="1"/>
  <c r="AS39" i="33"/>
  <c r="AT39" i="33" s="1"/>
  <c r="AW39" i="33"/>
  <c r="AX39" i="33" s="1"/>
  <c r="AA39" i="33"/>
  <c r="AB39" i="33" s="1"/>
  <c r="AC39" i="33" s="1"/>
  <c r="X132" i="33"/>
  <c r="Z132" i="33" s="1"/>
  <c r="AY132" i="33"/>
  <c r="BQ75" i="33"/>
  <c r="AM169" i="33"/>
  <c r="BC169" i="33"/>
  <c r="BV169" i="33" s="1"/>
  <c r="BR117" i="33"/>
  <c r="BL117" i="33"/>
  <c r="BQ117" i="33"/>
  <c r="AP86" i="33"/>
  <c r="AQ86" i="33" s="1"/>
  <c r="AT86" i="33" s="1"/>
  <c r="BT86" i="33" s="1"/>
  <c r="AD201" i="33"/>
  <c r="AE201" i="33" s="1"/>
  <c r="AF201" i="33" s="1"/>
  <c r="Y201" i="33"/>
  <c r="AA201" i="33"/>
  <c r="AB201" i="33" s="1"/>
  <c r="AC201" i="33" s="1"/>
  <c r="AJ201" i="33"/>
  <c r="AK201" i="33" s="1"/>
  <c r="AN201" i="33"/>
  <c r="BS126" i="33"/>
  <c r="BM126" i="33"/>
  <c r="AU104" i="33"/>
  <c r="AV104" i="33" s="1"/>
  <c r="AL104" i="33"/>
  <c r="BP122" i="33"/>
  <c r="BI122" i="33"/>
  <c r="BK122" i="33" s="1"/>
  <c r="BO122" i="33" s="1"/>
  <c r="BL95" i="33"/>
  <c r="BR95" i="33"/>
  <c r="S114" i="33"/>
  <c r="AI114" i="33" s="1"/>
  <c r="AK114" i="33" s="1"/>
  <c r="AL114" i="33"/>
  <c r="BP87" i="33"/>
  <c r="BI87" i="33"/>
  <c r="BK87" i="33" s="1"/>
  <c r="BO87" i="33" s="1"/>
  <c r="AX73" i="33"/>
  <c r="X11" i="33"/>
  <c r="AY11" i="33"/>
  <c r="AG11" i="33"/>
  <c r="AH11" i="33" s="1"/>
  <c r="AK11" i="33" s="1"/>
  <c r="BQ162" i="33"/>
  <c r="AT28" i="33"/>
  <c r="Z167" i="33"/>
  <c r="AQ41" i="33"/>
  <c r="BC41" i="33"/>
  <c r="BV41" i="33" s="1"/>
  <c r="AO95" i="33"/>
  <c r="BQ95" i="33" s="1"/>
  <c r="AU72" i="33"/>
  <c r="AV72" i="33" s="1"/>
  <c r="AL72" i="33"/>
  <c r="S72" i="33"/>
  <c r="AI72" i="33" s="1"/>
  <c r="AK72" i="33" s="1"/>
  <c r="AM196" i="33"/>
  <c r="BC196" i="33"/>
  <c r="BV196" i="33" s="1"/>
  <c r="BU57" i="33"/>
  <c r="BM57" i="33"/>
  <c r="BP162" i="33"/>
  <c r="BI162" i="33"/>
  <c r="BK162" i="33" s="1"/>
  <c r="BO162" i="33" s="1"/>
  <c r="BR47" i="33"/>
  <c r="BQ47" i="33"/>
  <c r="AK146" i="33"/>
  <c r="BQ194" i="33"/>
  <c r="AX49" i="33"/>
  <c r="Z138" i="33"/>
  <c r="BC68" i="33"/>
  <c r="BV68" i="33" s="1"/>
  <c r="X57" i="33"/>
  <c r="Z57" i="33" s="1"/>
  <c r="AY57" i="33"/>
  <c r="AG57" i="33"/>
  <c r="AH57" i="33" s="1"/>
  <c r="AK57" i="33" s="1"/>
  <c r="BS103" i="33"/>
  <c r="BM103" i="33"/>
  <c r="BU18" i="33"/>
  <c r="BM18" i="33"/>
  <c r="W88" i="33"/>
  <c r="X88" i="33" s="1"/>
  <c r="AL88" i="33"/>
  <c r="AU88" i="33"/>
  <c r="AV88" i="33" s="1"/>
  <c r="AG88" i="33"/>
  <c r="AH88" i="33" s="1"/>
  <c r="S88" i="33"/>
  <c r="AI88" i="33" s="1"/>
  <c r="V88" i="33"/>
  <c r="Y141" i="33"/>
  <c r="AA141" i="33"/>
  <c r="AB141" i="33" s="1"/>
  <c r="AC141" i="33" s="1"/>
  <c r="AJ141" i="33"/>
  <c r="AK141" i="33" s="1"/>
  <c r="AN141" i="33"/>
  <c r="AD141" i="33"/>
  <c r="AE141" i="33" s="1"/>
  <c r="AF141" i="33" s="1"/>
  <c r="AM193" i="33"/>
  <c r="AO193" i="33" s="1"/>
  <c r="BC193" i="33"/>
  <c r="BV193" i="33" s="1"/>
  <c r="BR180" i="33"/>
  <c r="BL180" i="33"/>
  <c r="BQ180" i="33"/>
  <c r="AQ51" i="33"/>
  <c r="BC51" i="33"/>
  <c r="BV51" i="33" s="1"/>
  <c r="Z201" i="33"/>
  <c r="BQ151" i="33"/>
  <c r="Y27" i="33"/>
  <c r="Z27" i="33" s="1"/>
  <c r="AD27" i="33"/>
  <c r="AE27" i="33" s="1"/>
  <c r="AF27" i="33" s="1"/>
  <c r="AS27" i="33"/>
  <c r="AW27" i="33"/>
  <c r="AX27" i="33" s="1"/>
  <c r="AA27" i="33"/>
  <c r="AB27" i="33" s="1"/>
  <c r="AC27" i="33" s="1"/>
  <c r="Y166" i="33"/>
  <c r="Z166" i="33" s="1"/>
  <c r="AJ166" i="33"/>
  <c r="AK166" i="33" s="1"/>
  <c r="AA166" i="33"/>
  <c r="AB166" i="33" s="1"/>
  <c r="AC166" i="33" s="1"/>
  <c r="AN166" i="33"/>
  <c r="AO166" i="33" s="1"/>
  <c r="AD166" i="33"/>
  <c r="AE166" i="33" s="1"/>
  <c r="AF166" i="33" s="1"/>
  <c r="Y42" i="33"/>
  <c r="Z42" i="33" s="1"/>
  <c r="AD42" i="33"/>
  <c r="AE42" i="33" s="1"/>
  <c r="AF42" i="33" s="1"/>
  <c r="AS42" i="33"/>
  <c r="AT42" i="33" s="1"/>
  <c r="AW42" i="33"/>
  <c r="AX42" i="33" s="1"/>
  <c r="AA42" i="33"/>
  <c r="AB42" i="33" s="1"/>
  <c r="AC42" i="33" s="1"/>
  <c r="X155" i="33"/>
  <c r="Z155" i="33" s="1"/>
  <c r="AY155" i="33"/>
  <c r="AM130" i="33"/>
  <c r="AO130" i="33" s="1"/>
  <c r="BC130" i="33"/>
  <c r="BV130" i="33" s="1"/>
  <c r="AQ57" i="33"/>
  <c r="BC57" i="33"/>
  <c r="BV57" i="33" s="1"/>
  <c r="Y84" i="33"/>
  <c r="Z84" i="33" s="1"/>
  <c r="AA84" i="33"/>
  <c r="AB84" i="33" s="1"/>
  <c r="AC84" i="33" s="1"/>
  <c r="AJ84" i="33"/>
  <c r="AK84" i="33" s="1"/>
  <c r="AW84" i="33"/>
  <c r="AN84" i="33"/>
  <c r="AD84" i="33"/>
  <c r="AE84" i="33" s="1"/>
  <c r="AF84" i="33" s="1"/>
  <c r="AM116" i="33"/>
  <c r="AO116" i="33" s="1"/>
  <c r="BC116" i="33"/>
  <c r="BV116" i="33" s="1"/>
  <c r="AM109" i="33"/>
  <c r="BC109" i="33"/>
  <c r="BV109" i="33" s="1"/>
  <c r="Y108" i="33"/>
  <c r="Z108" i="33" s="1"/>
  <c r="AJ108" i="33"/>
  <c r="AK108" i="33" s="1"/>
  <c r="AA108" i="33"/>
  <c r="AB108" i="33" s="1"/>
  <c r="AC108" i="33" s="1"/>
  <c r="AW108" i="33"/>
  <c r="AX108" i="33" s="1"/>
  <c r="BU108" i="33" s="1"/>
  <c r="AN108" i="33"/>
  <c r="AO108" i="33" s="1"/>
  <c r="AD108" i="33"/>
  <c r="AE108" i="33" s="1"/>
  <c r="AF108" i="33" s="1"/>
  <c r="BS191" i="33"/>
  <c r="BM191" i="33"/>
  <c r="Z17" i="33"/>
  <c r="X203" i="33"/>
  <c r="AY203" i="33"/>
  <c r="AQ54" i="33"/>
  <c r="BC54" i="33"/>
  <c r="BV54" i="33" s="1"/>
  <c r="BR45" i="33"/>
  <c r="AK96" i="33"/>
  <c r="Y85" i="33"/>
  <c r="Z85" i="33" s="1"/>
  <c r="AJ85" i="33"/>
  <c r="AK85" i="33" s="1"/>
  <c r="AA85" i="33"/>
  <c r="AB85" i="33" s="1"/>
  <c r="AC85" i="33" s="1"/>
  <c r="AW85" i="33"/>
  <c r="AX85" i="33" s="1"/>
  <c r="BU85" i="33" s="1"/>
  <c r="AN85" i="33"/>
  <c r="AD85" i="33"/>
  <c r="AE85" i="33" s="1"/>
  <c r="AF85" i="33" s="1"/>
  <c r="Z13" i="33"/>
  <c r="BU52" i="33"/>
  <c r="BM52" i="33"/>
  <c r="BU34" i="33"/>
  <c r="BM34" i="33"/>
  <c r="BR59" i="33"/>
  <c r="AT51" i="33"/>
  <c r="Y104" i="33"/>
  <c r="Z104" i="33" s="1"/>
  <c r="AA104" i="33"/>
  <c r="AB104" i="33" s="1"/>
  <c r="AC104" i="33" s="1"/>
  <c r="AJ104" i="33"/>
  <c r="AK104" i="33" s="1"/>
  <c r="AW104" i="33"/>
  <c r="AN104" i="33"/>
  <c r="AD104" i="33"/>
  <c r="AE104" i="33" s="1"/>
  <c r="AF104" i="33" s="1"/>
  <c r="BP194" i="33"/>
  <c r="BI194" i="33"/>
  <c r="BK194" i="33" s="1"/>
  <c r="BO194" i="33" s="1"/>
  <c r="X186" i="33"/>
  <c r="Z186" i="33" s="1"/>
  <c r="AY186" i="33"/>
  <c r="BS163" i="33"/>
  <c r="BM163" i="33"/>
  <c r="BP24" i="33"/>
  <c r="BI24" i="33"/>
  <c r="BK24" i="33" s="1"/>
  <c r="BO24" i="33" s="1"/>
  <c r="BL156" i="33"/>
  <c r="BR156" i="33"/>
  <c r="BQ156" i="33"/>
  <c r="BP70" i="33"/>
  <c r="BI70" i="33"/>
  <c r="BK70" i="33" s="1"/>
  <c r="BO70" i="33" s="1"/>
  <c r="BT25" i="33"/>
  <c r="BL25" i="33"/>
  <c r="BI75" i="33"/>
  <c r="BK75" i="33" s="1"/>
  <c r="BO75" i="33" s="1"/>
  <c r="Y102" i="33"/>
  <c r="AJ102" i="33"/>
  <c r="AA102" i="33"/>
  <c r="AB102" i="33" s="1"/>
  <c r="AC102" i="33" s="1"/>
  <c r="AW102" i="33"/>
  <c r="AX102" i="33" s="1"/>
  <c r="BU102" i="33" s="1"/>
  <c r="AN102" i="33"/>
  <c r="AD102" i="33"/>
  <c r="AE102" i="33" s="1"/>
  <c r="AF102" i="33" s="1"/>
  <c r="AM137" i="33"/>
  <c r="BC137" i="33"/>
  <c r="BV137" i="33" s="1"/>
  <c r="AM201" i="33"/>
  <c r="BC201" i="33"/>
  <c r="BV201" i="33" s="1"/>
  <c r="Z96" i="33"/>
  <c r="BP55" i="33"/>
  <c r="BI55" i="33"/>
  <c r="BK55" i="33" s="1"/>
  <c r="BO55" i="33" s="1"/>
  <c r="AL86" i="33"/>
  <c r="V86" i="33"/>
  <c r="S86" i="33"/>
  <c r="AI86" i="33" s="1"/>
  <c r="X199" i="33"/>
  <c r="AY199" i="33"/>
  <c r="X123" i="33"/>
  <c r="Z123" i="33" s="1"/>
  <c r="AY123" i="33"/>
  <c r="Y171" i="33"/>
  <c r="AA171" i="33"/>
  <c r="AB171" i="33" s="1"/>
  <c r="AC171" i="33" s="1"/>
  <c r="AJ171" i="33"/>
  <c r="AK171" i="33" s="1"/>
  <c r="AN171" i="33"/>
  <c r="AO171" i="33" s="1"/>
  <c r="AD171" i="33"/>
  <c r="AE171" i="33" s="1"/>
  <c r="AF171" i="33" s="1"/>
  <c r="AP104" i="33"/>
  <c r="AQ104" i="33" s="1"/>
  <c r="AT104" i="33" s="1"/>
  <c r="BT104" i="33" s="1"/>
  <c r="BU41" i="33"/>
  <c r="BM41" i="33"/>
  <c r="BU21" i="33"/>
  <c r="BM21" i="33"/>
  <c r="BR44" i="33"/>
  <c r="BQ44" i="33"/>
  <c r="Z137" i="33"/>
  <c r="BT73" i="33"/>
  <c r="BL73" i="33"/>
  <c r="BU63" i="33"/>
  <c r="BM63" i="33"/>
  <c r="X32" i="33"/>
  <c r="Z32" i="33" s="1"/>
  <c r="AG32" i="33"/>
  <c r="AH32" i="33" s="1"/>
  <c r="AK32" i="33" s="1"/>
  <c r="AY32" i="33"/>
  <c r="BP153" i="33"/>
  <c r="BI153" i="33"/>
  <c r="BK153" i="33" s="1"/>
  <c r="BO153" i="33" s="1"/>
  <c r="AX95" i="33"/>
  <c r="BU95" i="33" s="1"/>
  <c r="AK193" i="33"/>
  <c r="BP165" i="33"/>
  <c r="X176" i="33"/>
  <c r="AY176" i="33"/>
  <c r="Z158" i="33"/>
  <c r="Z47" i="33"/>
  <c r="BU29" i="33"/>
  <c r="BM29" i="33"/>
  <c r="AT49" i="33"/>
  <c r="BQ49" i="33" s="1"/>
  <c r="AU84" i="33"/>
  <c r="AV84" i="33" s="1"/>
  <c r="AK125" i="33"/>
  <c r="AO165" i="33"/>
  <c r="AM150" i="33"/>
  <c r="BC150" i="33"/>
  <c r="BV150" i="33" s="1"/>
  <c r="X124" i="33"/>
  <c r="Z124" i="33" s="1"/>
  <c r="AY124" i="33"/>
  <c r="BR40" i="33"/>
  <c r="BQ40" i="33"/>
  <c r="AP88" i="33"/>
  <c r="AQ88" i="33" s="1"/>
  <c r="AT88" i="33" s="1"/>
  <c r="BT88" i="33" s="1"/>
  <c r="X28" i="33"/>
  <c r="Z28" i="33" s="1"/>
  <c r="AY28" i="33"/>
  <c r="AG28" i="33"/>
  <c r="AH28" i="33" s="1"/>
  <c r="AK28" i="33" s="1"/>
  <c r="BP135" i="33"/>
  <c r="BI135" i="33"/>
  <c r="BK135" i="33" s="1"/>
  <c r="BO135" i="33" s="1"/>
  <c r="BS92" i="33"/>
  <c r="BM92" i="33"/>
  <c r="Y183" i="33"/>
  <c r="Z183" i="33" s="1"/>
  <c r="AA183" i="33"/>
  <c r="AB183" i="33" s="1"/>
  <c r="AC183" i="33" s="1"/>
  <c r="AJ183" i="33"/>
  <c r="AK183" i="33" s="1"/>
  <c r="AN183" i="33"/>
  <c r="AO183" i="33" s="1"/>
  <c r="AD183" i="33"/>
  <c r="AE183" i="33" s="1"/>
  <c r="AF183" i="33" s="1"/>
  <c r="BR38" i="33"/>
  <c r="BR64" i="33"/>
  <c r="AL76" i="33"/>
  <c r="V76" i="33"/>
  <c r="W76" i="33"/>
  <c r="X76" i="33" s="1"/>
  <c r="AU76" i="33"/>
  <c r="AV76" i="33" s="1"/>
  <c r="AG76" i="33"/>
  <c r="AH76" i="33" s="1"/>
  <c r="Y186" i="33"/>
  <c r="AJ186" i="33"/>
  <c r="AK186" i="33" s="1"/>
  <c r="AA186" i="33"/>
  <c r="AB186" i="33" s="1"/>
  <c r="AC186" i="33" s="1"/>
  <c r="AN186" i="33"/>
  <c r="AO186" i="33" s="1"/>
  <c r="AD186" i="33"/>
  <c r="AE186" i="33" s="1"/>
  <c r="AF186" i="33" s="1"/>
  <c r="AM155" i="33"/>
  <c r="BC155" i="33"/>
  <c r="BV155" i="33" s="1"/>
  <c r="BU47" i="33"/>
  <c r="BM47" i="33"/>
  <c r="BQ195" i="33"/>
  <c r="BL195" i="33"/>
  <c r="BR195" i="33"/>
  <c r="AL89" i="33"/>
  <c r="AU89" i="33"/>
  <c r="AV89" i="33" s="1"/>
  <c r="V89" i="33"/>
  <c r="AM160" i="33"/>
  <c r="BC160" i="33"/>
  <c r="BV160" i="33" s="1"/>
  <c r="BP83" i="33"/>
  <c r="BI83" i="33"/>
  <c r="BK83" i="33" s="1"/>
  <c r="BO83" i="33" s="1"/>
  <c r="Y54" i="33"/>
  <c r="AD54" i="33"/>
  <c r="AE54" i="33" s="1"/>
  <c r="AF54" i="33" s="1"/>
  <c r="AS54" i="33"/>
  <c r="AT54" i="33" s="1"/>
  <c r="AW54" i="33"/>
  <c r="AX54" i="33" s="1"/>
  <c r="AA54" i="33"/>
  <c r="AB54" i="33" s="1"/>
  <c r="AC54" i="33" s="1"/>
  <c r="AO188" i="33"/>
  <c r="AU121" i="33"/>
  <c r="AV121" i="33" s="1"/>
  <c r="Z188" i="33"/>
  <c r="BS189" i="33"/>
  <c r="BM189" i="33"/>
  <c r="BP51" i="33"/>
  <c r="BI51" i="33"/>
  <c r="BK51" i="33" s="1"/>
  <c r="BO51" i="33" s="1"/>
  <c r="BS143" i="33"/>
  <c r="BM143" i="33"/>
  <c r="BR62" i="33"/>
  <c r="BQ62" i="33"/>
  <c r="AQ27" i="33"/>
  <c r="BC27" i="33"/>
  <c r="BV27" i="33" s="1"/>
  <c r="BL44" i="33"/>
  <c r="BT44" i="33"/>
  <c r="BR163" i="33"/>
  <c r="BL163" i="33"/>
  <c r="BQ163" i="33"/>
  <c r="BR25" i="33"/>
  <c r="BQ25" i="33"/>
  <c r="BP98" i="33"/>
  <c r="BI98" i="33"/>
  <c r="BK98" i="33" s="1"/>
  <c r="BO98" i="33" s="1"/>
  <c r="X160" i="33"/>
  <c r="Z160" i="33" s="1"/>
  <c r="AY160" i="33"/>
  <c r="BP90" i="33"/>
  <c r="BI90" i="33"/>
  <c r="BK90" i="33" s="1"/>
  <c r="BO90" i="33" s="1"/>
  <c r="BP206" i="33"/>
  <c r="BI206" i="33"/>
  <c r="BK206" i="33" s="1"/>
  <c r="BO206" i="33" s="1"/>
  <c r="AM141" i="33"/>
  <c r="BC141" i="33"/>
  <c r="BV141" i="33" s="1"/>
  <c r="Y199" i="33"/>
  <c r="AA199" i="33"/>
  <c r="AB199" i="33" s="1"/>
  <c r="AC199" i="33" s="1"/>
  <c r="AJ199" i="33"/>
  <c r="AK199" i="33" s="1"/>
  <c r="AN199" i="33"/>
  <c r="AO199" i="33" s="1"/>
  <c r="AD199" i="33"/>
  <c r="AE199" i="33" s="1"/>
  <c r="AF199" i="33" s="1"/>
  <c r="Y176" i="33"/>
  <c r="Z176" i="33" s="1"/>
  <c r="AA176" i="33"/>
  <c r="AB176" i="33" s="1"/>
  <c r="AC176" i="33" s="1"/>
  <c r="AJ176" i="33"/>
  <c r="AK176" i="33" s="1"/>
  <c r="AN176" i="33"/>
  <c r="AO176" i="33" s="1"/>
  <c r="AD176" i="33"/>
  <c r="AE176" i="33" s="1"/>
  <c r="AF176" i="33" s="1"/>
  <c r="X184" i="33"/>
  <c r="AY184" i="33"/>
  <c r="BS161" i="33"/>
  <c r="BM161" i="33"/>
  <c r="AO90" i="33"/>
  <c r="BP117" i="33"/>
  <c r="BI117" i="33"/>
  <c r="BK117" i="33" s="1"/>
  <c r="BO117" i="33" s="1"/>
  <c r="BR112" i="33"/>
  <c r="BL112" i="33"/>
  <c r="BQ112" i="33"/>
  <c r="W65" i="33"/>
  <c r="X65" i="33" s="1"/>
  <c r="AL65" i="33"/>
  <c r="Y150" i="33"/>
  <c r="AA150" i="33"/>
  <c r="AB150" i="33" s="1"/>
  <c r="AC150" i="33" s="1"/>
  <c r="AJ150" i="33"/>
  <c r="AK150" i="33" s="1"/>
  <c r="AN150" i="33"/>
  <c r="AD150" i="33"/>
  <c r="AE150" i="33" s="1"/>
  <c r="AF150" i="33" s="1"/>
  <c r="Y94" i="33"/>
  <c r="Z94" i="33" s="1"/>
  <c r="AA94" i="33"/>
  <c r="AB94" i="33" s="1"/>
  <c r="AC94" i="33" s="1"/>
  <c r="AJ94" i="33"/>
  <c r="AK94" i="33" s="1"/>
  <c r="AW94" i="33"/>
  <c r="AX94" i="33" s="1"/>
  <c r="BU94" i="33" s="1"/>
  <c r="AN94" i="33"/>
  <c r="AD94" i="33"/>
  <c r="AE94" i="33" s="1"/>
  <c r="AF94" i="33" s="1"/>
  <c r="AT63" i="33"/>
  <c r="BI63" i="33" s="1"/>
  <c r="BK63" i="33" s="1"/>
  <c r="BO63" i="33" s="1"/>
  <c r="BU58" i="33"/>
  <c r="BM58" i="33"/>
  <c r="X152" i="33"/>
  <c r="AY152" i="33"/>
  <c r="AK97" i="33"/>
  <c r="BP142" i="33"/>
  <c r="BI142" i="33"/>
  <c r="BK142" i="33" s="1"/>
  <c r="BO142" i="33" s="1"/>
  <c r="AT57" i="33"/>
  <c r="Z134" i="33"/>
  <c r="BP159" i="33"/>
  <c r="BI159" i="33"/>
  <c r="BK159" i="33" s="1"/>
  <c r="BO159" i="33" s="1"/>
  <c r="Z125" i="33"/>
  <c r="AK54" i="33"/>
  <c r="AK165" i="33"/>
  <c r="BP48" i="33"/>
  <c r="BI48" i="33"/>
  <c r="BK48" i="33" s="1"/>
  <c r="BO48" i="33" s="1"/>
  <c r="Y64" i="33"/>
  <c r="Z64" i="33" s="1"/>
  <c r="AS64" i="33"/>
  <c r="AT64" i="33" s="1"/>
  <c r="AD64" i="33"/>
  <c r="AE64" i="33" s="1"/>
  <c r="AF64" i="33" s="1"/>
  <c r="AW64" i="33"/>
  <c r="AX64" i="33" s="1"/>
  <c r="AN64" i="33"/>
  <c r="AO64" i="33" s="1"/>
  <c r="BS64" i="33" s="1"/>
  <c r="BP179" i="33"/>
  <c r="BI179" i="33"/>
  <c r="BK179" i="33" s="1"/>
  <c r="BO179" i="33" s="1"/>
  <c r="AM209" i="33"/>
  <c r="BC209" i="33"/>
  <c r="BV209" i="33" s="1"/>
  <c r="BP40" i="33"/>
  <c r="BI40" i="33"/>
  <c r="BK40" i="33" s="1"/>
  <c r="BO40" i="33" s="1"/>
  <c r="BS110" i="33"/>
  <c r="BM110" i="33"/>
  <c r="Y20" i="33"/>
  <c r="AD20" i="33"/>
  <c r="AE20" i="33" s="1"/>
  <c r="AF20" i="33" s="1"/>
  <c r="AS20" i="33"/>
  <c r="AW20" i="33"/>
  <c r="AX20" i="33" s="1"/>
  <c r="AA20" i="33"/>
  <c r="AB20" i="33" s="1"/>
  <c r="AC20" i="33" s="1"/>
  <c r="Y43" i="33"/>
  <c r="Z43" i="33" s="1"/>
  <c r="AD43" i="33"/>
  <c r="AE43" i="33" s="1"/>
  <c r="AF43" i="33" s="1"/>
  <c r="AS43" i="33"/>
  <c r="AT43" i="33" s="1"/>
  <c r="AW43" i="33"/>
  <c r="AX43" i="33" s="1"/>
  <c r="AA43" i="33"/>
  <c r="AB43" i="33" s="1"/>
  <c r="AC43" i="33" s="1"/>
  <c r="BR109" i="33"/>
  <c r="BL109" i="33"/>
  <c r="AM147" i="33"/>
  <c r="AO147" i="33" s="1"/>
  <c r="BC147" i="33"/>
  <c r="BV147" i="33" s="1"/>
  <c r="Y74" i="33"/>
  <c r="Z74" i="33" s="1"/>
  <c r="AS74" i="33"/>
  <c r="AT74" i="33" s="1"/>
  <c r="AD74" i="33"/>
  <c r="AE74" i="33" s="1"/>
  <c r="AF74" i="33" s="1"/>
  <c r="AN74" i="33"/>
  <c r="AO74" i="33" s="1"/>
  <c r="BS74" i="33" s="1"/>
  <c r="AW74" i="33"/>
  <c r="AX74" i="33" s="1"/>
  <c r="AM185" i="33"/>
  <c r="AO185" i="33" s="1"/>
  <c r="BC185" i="33"/>
  <c r="BV185" i="33" s="1"/>
  <c r="X146" i="33"/>
  <c r="Z146" i="33" s="1"/>
  <c r="AY146" i="33"/>
  <c r="BS133" i="33"/>
  <c r="BM133" i="33"/>
  <c r="BL47" i="33"/>
  <c r="BT47" i="33"/>
  <c r="AK121" i="33"/>
  <c r="BP195" i="33"/>
  <c r="BI195" i="33"/>
  <c r="BK195" i="33" s="1"/>
  <c r="BO195" i="33" s="1"/>
  <c r="Y13" i="33"/>
  <c r="AS13" i="33"/>
  <c r="AT13" i="33" s="1"/>
  <c r="AD13" i="33"/>
  <c r="AE13" i="33" s="1"/>
  <c r="AF13" i="33" s="1"/>
  <c r="AW13" i="33"/>
  <c r="AX13" i="33" s="1"/>
  <c r="AA13" i="33"/>
  <c r="AB13" i="33" s="1"/>
  <c r="AC13" i="33" s="1"/>
  <c r="BR43" i="33"/>
  <c r="BQ43" i="33"/>
  <c r="BL187" i="33"/>
  <c r="BR187" i="33"/>
  <c r="BU17" i="33"/>
  <c r="BM17" i="33"/>
  <c r="BL22" i="33"/>
  <c r="BT22" i="33"/>
  <c r="BL26" i="33"/>
  <c r="BT26" i="33"/>
  <c r="AM187" i="33"/>
  <c r="AO187" i="33" s="1"/>
  <c r="BC187" i="33"/>
  <c r="BV187" i="33" s="1"/>
  <c r="BR191" i="33"/>
  <c r="BQ191" i="33"/>
  <c r="BL191" i="33"/>
  <c r="BR18" i="33"/>
  <c r="BQ18" i="33"/>
  <c r="AM73" i="33"/>
  <c r="AO73" i="33" s="1"/>
  <c r="BC73" i="33"/>
  <c r="BV73" i="33" s="1"/>
  <c r="Y68" i="33"/>
  <c r="Z68" i="33" s="1"/>
  <c r="AD68" i="33"/>
  <c r="AE68" i="33" s="1"/>
  <c r="AF68" i="33" s="1"/>
  <c r="AS68" i="33"/>
  <c r="AT68" i="33" s="1"/>
  <c r="AN68" i="33"/>
  <c r="AO68" i="33" s="1"/>
  <c r="BS68" i="33" s="1"/>
  <c r="AW68" i="33"/>
  <c r="AX68" i="33" s="1"/>
  <c r="BP130" i="33"/>
  <c r="AG121" i="33"/>
  <c r="AH121" i="33" s="1"/>
  <c r="AQ20" i="33"/>
  <c r="BC20" i="33"/>
  <c r="BV20" i="33" s="1"/>
  <c r="AT34" i="33"/>
  <c r="X171" i="33"/>
  <c r="AY171" i="33"/>
  <c r="X53" i="33"/>
  <c r="Z53" i="33" s="1"/>
  <c r="AG53" i="33"/>
  <c r="AH53" i="33" s="1"/>
  <c r="AK53" i="33" s="1"/>
  <c r="AY53" i="33"/>
  <c r="BP144" i="33"/>
  <c r="BI144" i="33"/>
  <c r="BK144" i="33" s="1"/>
  <c r="BO144" i="33" s="1"/>
  <c r="BP25" i="33"/>
  <c r="BI25" i="33"/>
  <c r="BK25" i="33" s="1"/>
  <c r="BO25" i="33" s="1"/>
  <c r="Y11" i="33"/>
  <c r="Z11" i="33" s="1"/>
  <c r="AD11" i="33"/>
  <c r="AE11" i="33" s="1"/>
  <c r="AF11" i="33" s="1"/>
  <c r="AS11" i="33"/>
  <c r="AT11" i="33" s="1"/>
  <c r="AW11" i="33"/>
  <c r="AX11" i="33" s="1"/>
  <c r="AA11" i="33"/>
  <c r="AB11" i="33" s="1"/>
  <c r="AC11" i="33" s="1"/>
  <c r="AM148" i="33"/>
  <c r="BC148" i="33"/>
  <c r="BV148" i="33" s="1"/>
  <c r="AO109" i="33"/>
  <c r="BQ109" i="33" s="1"/>
  <c r="X15" i="33"/>
  <c r="Z15" i="33" s="1"/>
  <c r="AY15" i="33"/>
  <c r="AG15" i="33"/>
  <c r="AH15" i="33" s="1"/>
  <c r="AK15" i="33" s="1"/>
  <c r="Y152" i="33"/>
  <c r="AA152" i="33"/>
  <c r="AB152" i="33" s="1"/>
  <c r="AC152" i="33" s="1"/>
  <c r="AJ152" i="33"/>
  <c r="AK152" i="33" s="1"/>
  <c r="AN152" i="33"/>
  <c r="AO152" i="33" s="1"/>
  <c r="AD152" i="33"/>
  <c r="AE152" i="33" s="1"/>
  <c r="AF152" i="33" s="1"/>
  <c r="Y72" i="33"/>
  <c r="Z72" i="33" s="1"/>
  <c r="AS72" i="33"/>
  <c r="AT72" i="33" s="1"/>
  <c r="AD72" i="33"/>
  <c r="AE72" i="33" s="1"/>
  <c r="AF72" i="33" s="1"/>
  <c r="AN72" i="33"/>
  <c r="AW72" i="33"/>
  <c r="AX72" i="33" s="1"/>
  <c r="AQ45" i="33"/>
  <c r="BC45" i="33"/>
  <c r="BV45" i="33" s="1"/>
  <c r="BP56" i="33"/>
  <c r="BI56" i="33"/>
  <c r="BK56" i="33" s="1"/>
  <c r="BO56" i="33" s="1"/>
  <c r="AQ52" i="33"/>
  <c r="AT52" i="33" s="1"/>
  <c r="BC52" i="33"/>
  <c r="BV52" i="33" s="1"/>
  <c r="X196" i="33"/>
  <c r="Z196" i="33" s="1"/>
  <c r="AY196" i="33"/>
  <c r="BL161" i="33"/>
  <c r="BR161" i="33"/>
  <c r="BQ161" i="33"/>
  <c r="AT41" i="33"/>
  <c r="AP65" i="33"/>
  <c r="AQ65" i="33" s="1"/>
  <c r="AM96" i="33"/>
  <c r="BC96" i="33"/>
  <c r="BV96" i="33" s="1"/>
  <c r="BP192" i="33"/>
  <c r="BI192" i="33"/>
  <c r="BK192" i="33" s="1"/>
  <c r="BO192" i="33" s="1"/>
  <c r="Z73" i="33"/>
  <c r="BS164" i="33"/>
  <c r="BM164" i="33"/>
  <c r="AG111" i="33"/>
  <c r="AH111" i="33" s="1"/>
  <c r="BP151" i="33"/>
  <c r="BI151" i="33"/>
  <c r="BK151" i="33" s="1"/>
  <c r="BO151" i="33" s="1"/>
  <c r="BP133" i="33"/>
  <c r="BI133" i="33"/>
  <c r="BK133" i="33" s="1"/>
  <c r="BO133" i="33" s="1"/>
  <c r="BS167" i="33"/>
  <c r="BM167" i="33"/>
  <c r="X127" i="33"/>
  <c r="Z127" i="33" s="1"/>
  <c r="AY127" i="33"/>
  <c r="BP157" i="33"/>
  <c r="BI157" i="33"/>
  <c r="BK157" i="33" s="1"/>
  <c r="BO157" i="33" s="1"/>
  <c r="S102" i="33"/>
  <c r="AI102" i="33" s="1"/>
  <c r="AK102" i="33" s="1"/>
  <c r="AL102" i="33"/>
  <c r="W102" i="33"/>
  <c r="X102" i="33" s="1"/>
  <c r="Z102" i="33" s="1"/>
  <c r="AO155" i="33"/>
  <c r="AO138" i="33"/>
  <c r="BQ138" i="33" s="1"/>
  <c r="BR23" i="33"/>
  <c r="BQ23" i="33"/>
  <c r="W97" i="33"/>
  <c r="X97" i="33" s="1"/>
  <c r="AL97" i="33"/>
  <c r="AO140" i="33"/>
  <c r="AO198" i="33"/>
  <c r="BU30" i="33"/>
  <c r="BM30" i="33"/>
  <c r="AT29" i="33"/>
  <c r="BI29" i="33" s="1"/>
  <c r="BK29" i="33" s="1"/>
  <c r="BO29" i="33" s="1"/>
  <c r="Z49" i="33"/>
  <c r="BQ103" i="33"/>
  <c r="Z148" i="33"/>
  <c r="W100" i="33"/>
  <c r="X100" i="33" s="1"/>
  <c r="Z54" i="33"/>
  <c r="AP101" i="33"/>
  <c r="AQ101" i="33" s="1"/>
  <c r="AT101" i="33" s="1"/>
  <c r="BT101" i="33" s="1"/>
  <c r="BU62" i="33"/>
  <c r="BM62" i="33"/>
  <c r="BS197" i="33"/>
  <c r="BM197" i="33"/>
  <c r="Y79" i="33"/>
  <c r="Z79" i="33" s="1"/>
  <c r="AJ79" i="33"/>
  <c r="AK79" i="33" s="1"/>
  <c r="AA79" i="33"/>
  <c r="AB79" i="33" s="1"/>
  <c r="AC79" i="33" s="1"/>
  <c r="AN79" i="33"/>
  <c r="AO79" i="33" s="1"/>
  <c r="AW79" i="33"/>
  <c r="AD79" i="33"/>
  <c r="AE79" i="33" s="1"/>
  <c r="AF79" i="33" s="1"/>
  <c r="X205" i="33"/>
  <c r="Z205" i="33" s="1"/>
  <c r="AY205" i="33"/>
  <c r="AG71" i="33"/>
  <c r="AH71" i="33" s="1"/>
  <c r="BS175" i="33"/>
  <c r="BM175" i="33"/>
  <c r="BL48" i="33"/>
  <c r="BT48" i="33"/>
  <c r="AL67" i="33"/>
  <c r="W67" i="33"/>
  <c r="X67" i="33" s="1"/>
  <c r="AG67" i="33"/>
  <c r="AH67" i="33" s="1"/>
  <c r="AK67" i="33" s="1"/>
  <c r="V67" i="33"/>
  <c r="Y209" i="33"/>
  <c r="AA209" i="33"/>
  <c r="AB209" i="33" s="1"/>
  <c r="AC209" i="33" s="1"/>
  <c r="AJ209" i="33"/>
  <c r="AK209" i="33" s="1"/>
  <c r="AN209" i="33"/>
  <c r="AO209" i="33" s="1"/>
  <c r="AD209" i="33"/>
  <c r="AE209" i="33" s="1"/>
  <c r="AF209" i="33" s="1"/>
  <c r="X33" i="33"/>
  <c r="Z33" i="33" s="1"/>
  <c r="AY33" i="33"/>
  <c r="AG33" i="33"/>
  <c r="AH33" i="33" s="1"/>
  <c r="AK33" i="33" s="1"/>
  <c r="Y45" i="33"/>
  <c r="Z45" i="33" s="1"/>
  <c r="AS45" i="33"/>
  <c r="AT45" i="33" s="1"/>
  <c r="AD45" i="33"/>
  <c r="AE45" i="33" s="1"/>
  <c r="AF45" i="33" s="1"/>
  <c r="AW45" i="33"/>
  <c r="AX45" i="33" s="1"/>
  <c r="AA45" i="33"/>
  <c r="AB45" i="33" s="1"/>
  <c r="AC45" i="33" s="1"/>
  <c r="AQ30" i="33"/>
  <c r="BC30" i="33"/>
  <c r="BV30" i="33" s="1"/>
  <c r="AK106" i="33"/>
  <c r="AL113" i="33"/>
  <c r="AG113" i="33"/>
  <c r="AH113" i="33" s="1"/>
  <c r="AK113" i="33" s="1"/>
  <c r="W113" i="33"/>
  <c r="X113" i="33" s="1"/>
  <c r="BP191" i="33"/>
  <c r="BI191" i="33"/>
  <c r="BK191" i="33" s="1"/>
  <c r="BO191" i="33" s="1"/>
  <c r="AO168" i="33"/>
  <c r="BR188" i="33"/>
  <c r="BL188" i="33"/>
  <c r="BQ188" i="33"/>
  <c r="AU79" i="33"/>
  <c r="AV79" i="33" s="1"/>
  <c r="AP121" i="33"/>
  <c r="AQ121" i="33" s="1"/>
  <c r="AT121" i="33" s="1"/>
  <c r="BT121" i="33" s="1"/>
  <c r="X20" i="33"/>
  <c r="AY20" i="33"/>
  <c r="AG20" i="33"/>
  <c r="AH20" i="33" s="1"/>
  <c r="AK20" i="33" s="1"/>
  <c r="BP116" i="33"/>
  <c r="BR58" i="33"/>
  <c r="BQ58" i="33"/>
  <c r="AG120" i="33"/>
  <c r="AH120" i="33" s="1"/>
  <c r="AK120" i="33" s="1"/>
  <c r="Z34" i="33"/>
  <c r="BU48" i="33"/>
  <c r="BM48" i="33"/>
  <c r="X39" i="33"/>
  <c r="Z39" i="33" s="1"/>
  <c r="AY39" i="33"/>
  <c r="AG39" i="33"/>
  <c r="AH39" i="33" s="1"/>
  <c r="AK39" i="33" s="1"/>
  <c r="BU61" i="33"/>
  <c r="BM61" i="33"/>
  <c r="X129" i="33"/>
  <c r="Z129" i="33" s="1"/>
  <c r="AY129" i="33"/>
  <c r="BR50" i="33"/>
  <c r="BQ50" i="33"/>
  <c r="Y177" i="33"/>
  <c r="AA177" i="33"/>
  <c r="AB177" i="33" s="1"/>
  <c r="AC177" i="33" s="1"/>
  <c r="AJ177" i="33"/>
  <c r="AK177" i="33" s="1"/>
  <c r="AN177" i="33"/>
  <c r="AO177" i="33" s="1"/>
  <c r="AD177" i="33"/>
  <c r="AE177" i="33" s="1"/>
  <c r="AF177" i="33" s="1"/>
  <c r="Y203" i="33"/>
  <c r="AA203" i="33"/>
  <c r="AB203" i="33" s="1"/>
  <c r="AC203" i="33" s="1"/>
  <c r="AJ203" i="33"/>
  <c r="AK203" i="33" s="1"/>
  <c r="AN203" i="33"/>
  <c r="AO203" i="33" s="1"/>
  <c r="AD203" i="33"/>
  <c r="AE203" i="33" s="1"/>
  <c r="AF203" i="33" s="1"/>
  <c r="AP84" i="33"/>
  <c r="AQ84" i="33" s="1"/>
  <c r="AT84" i="33" s="1"/>
  <c r="BT84" i="33" s="1"/>
  <c r="AX109" i="33"/>
  <c r="BU109" i="33" s="1"/>
  <c r="BP154" i="33"/>
  <c r="BI154" i="33"/>
  <c r="BK154" i="33" s="1"/>
  <c r="BO154" i="33" s="1"/>
  <c r="BR27" i="33"/>
  <c r="AM182" i="33"/>
  <c r="AO182" i="33" s="1"/>
  <c r="BC182" i="33"/>
  <c r="BV182" i="33" s="1"/>
  <c r="BU40" i="33"/>
  <c r="BM40" i="33"/>
  <c r="AM173" i="33"/>
  <c r="BC173" i="33"/>
  <c r="BV173" i="33" s="1"/>
  <c r="Y77" i="33"/>
  <c r="Z77" i="33" s="1"/>
  <c r="AJ77" i="33"/>
  <c r="AK77" i="33" s="1"/>
  <c r="AA77" i="33"/>
  <c r="AB77" i="33" s="1"/>
  <c r="AC77" i="33" s="1"/>
  <c r="AW77" i="33"/>
  <c r="AX77" i="33" s="1"/>
  <c r="BU77" i="33" s="1"/>
  <c r="AN77" i="33"/>
  <c r="AO77" i="33" s="1"/>
  <c r="AD77" i="33"/>
  <c r="AE77" i="33" s="1"/>
  <c r="AF77" i="33" s="1"/>
  <c r="X52" i="33"/>
  <c r="Z52" i="33" s="1"/>
  <c r="AY52" i="33"/>
  <c r="AG52" i="33"/>
  <c r="AH52" i="33" s="1"/>
  <c r="AK52" i="33" s="1"/>
  <c r="X181" i="33"/>
  <c r="Z181" i="33" s="1"/>
  <c r="AY181" i="33"/>
  <c r="BS122" i="33"/>
  <c r="BM122" i="33"/>
  <c r="BS127" i="33"/>
  <c r="BM127" i="33"/>
  <c r="BP41" i="33"/>
  <c r="BI41" i="33"/>
  <c r="BK41" i="33" s="1"/>
  <c r="BO41" i="33" s="1"/>
  <c r="BU44" i="33"/>
  <c r="BM44" i="33"/>
  <c r="Y38" i="33"/>
  <c r="Z38" i="33" s="1"/>
  <c r="AD38" i="33"/>
  <c r="AE38" i="33" s="1"/>
  <c r="AF38" i="33" s="1"/>
  <c r="AS38" i="33"/>
  <c r="AT38" i="33" s="1"/>
  <c r="BQ38" i="33" s="1"/>
  <c r="AW38" i="33"/>
  <c r="AX38" i="33" s="1"/>
  <c r="AA38" i="33"/>
  <c r="AB38" i="33" s="1"/>
  <c r="AC38" i="33" s="1"/>
  <c r="V111" i="33"/>
  <c r="AM94" i="33"/>
  <c r="BC94" i="33"/>
  <c r="BV94" i="33" s="1"/>
  <c r="AP111" i="33"/>
  <c r="AQ111" i="33" s="1"/>
  <c r="AT111" i="33" s="1"/>
  <c r="BT111" i="33" s="1"/>
  <c r="AM181" i="33"/>
  <c r="AO181" i="33" s="1"/>
  <c r="BC181" i="33"/>
  <c r="BV181" i="33" s="1"/>
  <c r="AO124" i="33"/>
  <c r="BQ22" i="33"/>
  <c r="Z95" i="33"/>
  <c r="AA74" i="33"/>
  <c r="AB74" i="33" s="1"/>
  <c r="AC74" i="33" s="1"/>
  <c r="BP23" i="33"/>
  <c r="BI23" i="33"/>
  <c r="BK23" i="33" s="1"/>
  <c r="BO23" i="33" s="1"/>
  <c r="AO160" i="33"/>
  <c r="BU31" i="33"/>
  <c r="BM31" i="33"/>
  <c r="AO136" i="33"/>
  <c r="AT30" i="33"/>
  <c r="BQ92" i="33"/>
  <c r="AG104" i="33"/>
  <c r="AH104" i="33" s="1"/>
  <c r="W89" i="33"/>
  <c r="X89" i="33" s="1"/>
  <c r="BL153" i="28"/>
  <c r="BM153" i="28" s="1"/>
  <c r="BL58" i="28"/>
  <c r="BM58" i="28" s="1"/>
  <c r="BL388" i="28"/>
  <c r="BM388" i="28" s="1"/>
  <c r="BL378" i="28"/>
  <c r="BM378" i="28" s="1"/>
  <c r="BL145" i="28"/>
  <c r="BM145" i="28" s="1"/>
  <c r="BL68" i="28"/>
  <c r="BM68" i="28" s="1"/>
  <c r="BL354" i="28"/>
  <c r="BM354" i="28" s="1"/>
  <c r="BL549" i="28"/>
  <c r="BM549" i="28" s="1"/>
  <c r="BL69" i="28"/>
  <c r="BM69" i="28" s="1"/>
  <c r="BL192" i="28"/>
  <c r="BM192" i="28" s="1"/>
  <c r="BL434" i="28"/>
  <c r="BM434" i="28" s="1"/>
  <c r="BL130" i="28"/>
  <c r="BM130" i="28" s="1"/>
  <c r="BL120" i="28"/>
  <c r="BM120" i="28" s="1"/>
  <c r="BL110" i="28"/>
  <c r="BM110" i="28" s="1"/>
  <c r="BL360" i="28"/>
  <c r="BM360" i="28" s="1"/>
  <c r="BL177" i="28"/>
  <c r="BM177" i="28" s="1"/>
  <c r="BL131" i="28"/>
  <c r="BM131" i="28" s="1"/>
  <c r="BL90" i="28"/>
  <c r="BM90" i="28" s="1"/>
  <c r="BL494" i="28"/>
  <c r="BM494" i="28" s="1"/>
  <c r="BL327" i="28"/>
  <c r="BM327" i="28" s="1"/>
  <c r="BL312" i="28"/>
  <c r="BM312" i="28" s="1"/>
  <c r="BL300" i="28"/>
  <c r="BM300" i="28" s="1"/>
  <c r="BL54" i="28"/>
  <c r="BM54" i="28" s="1"/>
  <c r="BL390" i="28"/>
  <c r="BM390" i="28" s="1"/>
  <c r="BL398" i="28"/>
  <c r="BM398" i="28" s="1"/>
  <c r="BL272" i="28"/>
  <c r="BM272" i="28" s="1"/>
  <c r="BL488" i="28"/>
  <c r="BM488" i="28" s="1"/>
  <c r="BL200" i="28"/>
  <c r="BM200" i="28" s="1"/>
  <c r="BL576" i="28"/>
  <c r="BM576" i="28" s="1"/>
  <c r="BL295" i="28"/>
  <c r="BM295" i="28" s="1"/>
  <c r="BL333" i="28"/>
  <c r="BM333" i="28" s="1"/>
  <c r="BL212" i="28"/>
  <c r="BM212" i="28" s="1"/>
  <c r="BL199" i="28"/>
  <c r="BM199" i="28" s="1"/>
  <c r="BL306" i="28"/>
  <c r="BM306" i="28" s="1"/>
  <c r="BL466" i="28"/>
  <c r="BM466" i="28" s="1"/>
  <c r="BL61" i="28"/>
  <c r="BM61" i="28" s="1"/>
  <c r="BL167" i="28"/>
  <c r="BM167" i="28" s="1"/>
  <c r="BL347" i="28"/>
  <c r="BM347" i="28" s="1"/>
  <c r="BL451" i="28"/>
  <c r="BM451" i="28" s="1"/>
  <c r="BL67" i="28"/>
  <c r="BM67" i="28" s="1"/>
  <c r="BL416" i="28"/>
  <c r="BM416" i="28" s="1"/>
  <c r="BL594" i="28"/>
  <c r="BM594" i="28" s="1"/>
  <c r="BL234" i="28"/>
  <c r="BM234" i="28" s="1"/>
  <c r="BL431" i="28"/>
  <c r="BM431" i="28" s="1"/>
  <c r="BL419" i="28"/>
  <c r="BM419" i="28" s="1"/>
  <c r="BL115" i="28"/>
  <c r="BM115" i="28" s="1"/>
  <c r="BL405" i="28"/>
  <c r="BM405" i="28" s="1"/>
  <c r="BL245" i="28"/>
  <c r="BM245" i="28" s="1"/>
  <c r="BL459" i="28"/>
  <c r="BM459" i="28" s="1"/>
  <c r="BL158" i="28"/>
  <c r="BM158" i="28" s="1"/>
  <c r="BL535" i="28"/>
  <c r="BM535" i="28" s="1"/>
  <c r="BL607" i="28"/>
  <c r="BM607" i="28" s="1"/>
  <c r="BL355" i="28"/>
  <c r="BM355" i="28" s="1"/>
  <c r="BL174" i="28"/>
  <c r="BM174" i="28" s="1"/>
  <c r="BL187" i="28"/>
  <c r="BM187" i="28" s="1"/>
  <c r="BL114" i="28"/>
  <c r="BM114" i="28" s="1"/>
  <c r="BL571" i="28"/>
  <c r="BM571" i="28" s="1"/>
  <c r="BM102" i="28"/>
  <c r="BL436" i="28"/>
  <c r="BM436" i="28" s="1"/>
  <c r="BL127" i="28"/>
  <c r="BM127" i="28" s="1"/>
  <c r="BL113" i="28"/>
  <c r="BM113" i="28" s="1"/>
  <c r="BL363" i="28"/>
  <c r="BM363" i="28" s="1"/>
  <c r="BL319" i="28"/>
  <c r="BM319" i="28" s="1"/>
  <c r="BL36" i="28"/>
  <c r="BM36" i="28" s="1"/>
  <c r="BL283" i="28"/>
  <c r="BM283" i="28" s="1"/>
  <c r="BL271" i="28"/>
  <c r="BM271" i="28" s="1"/>
  <c r="BL35" i="28"/>
  <c r="BM35" i="28" s="1"/>
  <c r="BL336" i="28"/>
  <c r="BM336" i="28" s="1"/>
  <c r="BL34" i="28"/>
  <c r="BM34" i="28" s="1"/>
  <c r="BL264" i="28"/>
  <c r="BM264" i="28" s="1"/>
  <c r="BL524" i="28"/>
  <c r="BM524" i="28" s="1"/>
  <c r="BL577" i="28"/>
  <c r="BM577" i="28" s="1"/>
  <c r="BL278" i="28"/>
  <c r="BM278" i="28" s="1"/>
  <c r="BL70" i="28"/>
  <c r="BM70" i="28" s="1"/>
  <c r="BL209" i="28"/>
  <c r="BM209" i="28" s="1"/>
  <c r="BL219" i="28"/>
  <c r="BM219" i="28" s="1"/>
  <c r="BL157" i="28"/>
  <c r="BM157" i="28" s="1"/>
  <c r="BL237" i="28"/>
  <c r="BM237" i="28" s="1"/>
  <c r="BL185" i="28"/>
  <c r="BM185" i="28" s="1"/>
  <c r="BL56" i="28"/>
  <c r="BM56" i="28" s="1"/>
  <c r="BL289" i="28"/>
  <c r="BM289" i="28" s="1"/>
  <c r="BL437" i="28"/>
  <c r="BM437" i="28" s="1"/>
  <c r="BL140" i="28"/>
  <c r="BM140" i="28" s="1"/>
  <c r="BL308" i="28"/>
  <c r="BM308" i="28" s="1"/>
  <c r="BL564" i="28"/>
  <c r="BM564" i="28" s="1"/>
  <c r="BL126" i="28"/>
  <c r="BM126" i="28" s="1"/>
  <c r="BL467" i="28"/>
  <c r="BM467" i="28" s="1"/>
  <c r="BL441" i="28"/>
  <c r="BM441" i="28" s="1"/>
  <c r="BL443" i="28"/>
  <c r="BM443" i="28" s="1"/>
  <c r="BL365" i="28"/>
  <c r="BM365" i="28" s="1"/>
  <c r="BL242" i="28"/>
  <c r="BM242" i="28" s="1"/>
  <c r="BL238" i="28"/>
  <c r="BM238" i="28" s="1"/>
  <c r="BL254" i="28"/>
  <c r="BM254" i="28" s="1"/>
  <c r="BL210" i="28"/>
  <c r="BM210" i="28" s="1"/>
  <c r="BL92" i="28"/>
  <c r="BM92" i="28" s="1"/>
  <c r="BL518" i="28"/>
  <c r="BM518" i="28" s="1"/>
  <c r="BL176" i="28"/>
  <c r="BM176" i="28" s="1"/>
  <c r="BL401" i="28"/>
  <c r="BM401" i="28" s="1"/>
  <c r="BL103" i="28"/>
  <c r="BM103" i="28" s="1"/>
  <c r="BL551" i="28"/>
  <c r="BM551" i="28" s="1"/>
  <c r="BL171" i="28"/>
  <c r="BM171" i="28" s="1"/>
  <c r="BL24" i="28"/>
  <c r="BM24" i="28" s="1"/>
  <c r="BL533" i="28"/>
  <c r="BM533" i="28" s="1"/>
  <c r="BL15" i="28"/>
  <c r="BM15" i="28" s="1"/>
  <c r="BL600" i="28"/>
  <c r="BM600" i="28" s="1"/>
  <c r="BL170" i="28"/>
  <c r="BM170" i="28" s="1"/>
  <c r="BL37" i="28"/>
  <c r="BM37" i="28" s="1"/>
  <c r="BL393" i="28"/>
  <c r="BM393" i="28" s="1"/>
  <c r="BL375" i="28"/>
  <c r="BM375" i="28" s="1"/>
  <c r="BL231" i="28"/>
  <c r="BM231" i="28" s="1"/>
  <c r="BL481" i="28"/>
  <c r="BM481" i="28" s="1"/>
  <c r="BL484" i="28"/>
  <c r="BM484" i="28" s="1"/>
  <c r="BL71" i="28"/>
  <c r="BM71" i="28" s="1"/>
  <c r="BL503" i="28"/>
  <c r="BM503" i="28" s="1"/>
  <c r="BL40" i="28"/>
  <c r="BM40" i="28" s="1"/>
  <c r="BL89" i="28"/>
  <c r="BM89" i="28" s="1"/>
  <c r="BL99" i="28"/>
  <c r="BM99" i="28" s="1"/>
  <c r="BL561" i="28"/>
  <c r="BM561" i="28" s="1"/>
  <c r="BL197" i="28"/>
  <c r="BM197" i="28" s="1"/>
  <c r="BL477" i="28"/>
  <c r="BM477" i="28" s="1"/>
  <c r="BL83" i="28"/>
  <c r="BM83" i="28" s="1"/>
  <c r="BL371" i="28"/>
  <c r="BM371" i="28" s="1"/>
  <c r="BL491" i="28"/>
  <c r="BM491" i="28" s="1"/>
  <c r="BL427" i="28"/>
  <c r="BM427" i="28" s="1"/>
  <c r="BL536" i="28"/>
  <c r="BM536" i="28" s="1"/>
  <c r="BL49" i="28"/>
  <c r="BM49" i="28" s="1"/>
  <c r="BL474" i="28"/>
  <c r="BM474" i="28" s="1"/>
  <c r="BL321" i="28"/>
  <c r="BM321" i="28" s="1"/>
  <c r="BL470" i="28"/>
  <c r="BM470" i="28" s="1"/>
  <c r="BL509" i="28"/>
  <c r="BM509" i="28" s="1"/>
  <c r="BL62" i="28"/>
  <c r="BM62" i="28" s="1"/>
  <c r="BL182" i="28"/>
  <c r="BM182" i="28" s="1"/>
  <c r="BL449" i="28"/>
  <c r="BM449" i="28" s="1"/>
  <c r="BL201" i="28"/>
  <c r="BM201" i="28" s="1"/>
  <c r="BL350" i="28"/>
  <c r="BM350" i="28" s="1"/>
  <c r="BL152" i="28"/>
  <c r="BM152" i="28" s="1"/>
  <c r="BL262" i="28"/>
  <c r="BM262" i="28" s="1"/>
  <c r="BL358" i="28"/>
  <c r="BM358" i="28" s="1"/>
  <c r="BL418" i="28"/>
  <c r="BM418" i="28" s="1"/>
  <c r="BL252" i="28"/>
  <c r="BM252" i="28" s="1"/>
  <c r="BL296" i="28"/>
  <c r="BM296" i="28" s="1"/>
  <c r="BL32" i="28"/>
  <c r="BM32" i="28" s="1"/>
  <c r="BL202" i="28"/>
  <c r="BM202" i="28" s="1"/>
  <c r="BL525" i="28"/>
  <c r="BM525" i="28" s="1"/>
  <c r="BL77" i="28"/>
  <c r="BM77" i="28" s="1"/>
  <c r="BL228" i="28"/>
  <c r="BM228" i="28" s="1"/>
  <c r="R628" i="28"/>
  <c r="S628" i="28" s="1"/>
  <c r="BL399" i="28"/>
  <c r="BM399" i="28" s="1"/>
  <c r="BB628" i="28"/>
  <c r="BC628" i="28"/>
  <c r="BL43" i="28"/>
  <c r="BM43" i="28" s="1"/>
  <c r="BL499" i="28"/>
  <c r="BM499" i="28" s="1"/>
  <c r="BL408" i="28"/>
  <c r="BM408" i="28" s="1"/>
  <c r="BL316" i="28"/>
  <c r="BM316" i="28" s="1"/>
  <c r="BL532" i="28"/>
  <c r="BM532" i="28" s="1"/>
  <c r="BL601" i="28"/>
  <c r="BM601" i="28" s="1"/>
  <c r="BL147" i="28"/>
  <c r="BM147" i="28" s="1"/>
  <c r="BL198" i="28"/>
  <c r="BM198" i="28" s="1"/>
  <c r="BL190" i="28"/>
  <c r="BM190" i="28" s="1"/>
  <c r="BL544" i="28"/>
  <c r="BM544" i="28" s="1"/>
  <c r="BL385" i="28"/>
  <c r="BM385" i="28" s="1"/>
  <c r="BL565" i="28"/>
  <c r="BM565" i="28" s="1"/>
  <c r="BL156" i="28"/>
  <c r="BM156" i="28" s="1"/>
  <c r="BL164" i="28"/>
  <c r="BM164" i="28" s="1"/>
  <c r="BL119" i="28"/>
  <c r="BM119" i="28" s="1"/>
  <c r="BF623" i="28"/>
  <c r="BE623" i="28"/>
  <c r="J633" i="28" s="1"/>
  <c r="BL247" i="28"/>
  <c r="BM247" i="28" s="1"/>
  <c r="BL33" i="28"/>
  <c r="BM33" i="28" s="1"/>
  <c r="BL593" i="28"/>
  <c r="BM593" i="28" s="1"/>
  <c r="BL541" i="28"/>
  <c r="BM541" i="28" s="1"/>
  <c r="BL74" i="28"/>
  <c r="BM74" i="28" s="1"/>
  <c r="BL517" i="28"/>
  <c r="BM517" i="28" s="1"/>
  <c r="BL118" i="28"/>
  <c r="BM118" i="28" s="1"/>
  <c r="BL255" i="28"/>
  <c r="BM255" i="28" s="1"/>
  <c r="BL194" i="28"/>
  <c r="BM194" i="28" s="1"/>
  <c r="BL406" i="28"/>
  <c r="BM406" i="28" s="1"/>
  <c r="BL191" i="28"/>
  <c r="BM191" i="28" s="1"/>
  <c r="BL611" i="28"/>
  <c r="BM611" i="28" s="1"/>
  <c r="BL589" i="28"/>
  <c r="BM589" i="28" s="1"/>
  <c r="BL138" i="28"/>
  <c r="BM138" i="28" s="1"/>
  <c r="BL469" i="28"/>
  <c r="BM469" i="28" s="1"/>
  <c r="BL476" i="28"/>
  <c r="BM476" i="28" s="1"/>
  <c r="BL151" i="28"/>
  <c r="BM151" i="28" s="1"/>
  <c r="BL338" i="28"/>
  <c r="BM338" i="28" s="1"/>
  <c r="BL27" i="28"/>
  <c r="BM27" i="28" s="1"/>
  <c r="AV623" i="28"/>
  <c r="AW623" i="28" s="1"/>
  <c r="H633" i="28" s="1"/>
  <c r="BL534" i="28"/>
  <c r="BM534" i="28" s="1"/>
  <c r="BL111" i="28"/>
  <c r="BM111" i="28" s="1"/>
  <c r="BL175" i="28"/>
  <c r="BM175" i="28" s="1"/>
  <c r="BL135" i="28"/>
  <c r="BM135" i="28" s="1"/>
  <c r="Q622" i="28"/>
  <c r="U622" i="28" s="1"/>
  <c r="BM14" i="28"/>
  <c r="H5" i="28"/>
  <c r="R4" i="28"/>
  <c r="AT628" i="28"/>
  <c r="AU628" i="28"/>
  <c r="H4" i="28"/>
  <c r="U3" i="28"/>
  <c r="U7" i="28" s="1"/>
  <c r="J634" i="28"/>
  <c r="J635" i="28"/>
  <c r="J636" i="28"/>
  <c r="N628" i="28"/>
  <c r="V623" i="17"/>
  <c r="AG623" i="17" s="1"/>
  <c r="F5" i="17"/>
  <c r="V626" i="17"/>
  <c r="AG626" i="17" s="1"/>
  <c r="F4" i="17"/>
  <c r="Q3" i="17"/>
  <c r="S3" i="17" s="1"/>
  <c r="V622" i="17"/>
  <c r="G622" i="17"/>
  <c r="H622" i="17"/>
  <c r="F622" i="17"/>
  <c r="E622" i="17"/>
  <c r="D622" i="17"/>
  <c r="C622" i="17"/>
  <c r="G4" i="8"/>
  <c r="O14" i="8" s="1"/>
  <c r="N10" i="26" s="1"/>
  <c r="E25" i="1" s="1"/>
  <c r="BR32" i="33" l="1"/>
  <c r="BQ32" i="33"/>
  <c r="BR85" i="33"/>
  <c r="BL85" i="33"/>
  <c r="BR84" i="33"/>
  <c r="BL84" i="33"/>
  <c r="BQ84" i="33"/>
  <c r="BP155" i="33"/>
  <c r="BI155" i="33"/>
  <c r="BK155" i="33" s="1"/>
  <c r="BO155" i="33" s="1"/>
  <c r="BS193" i="33"/>
  <c r="BM193" i="33"/>
  <c r="BP52" i="33"/>
  <c r="BI52" i="33"/>
  <c r="BK52" i="33" s="1"/>
  <c r="BO52" i="33" s="1"/>
  <c r="BR120" i="33"/>
  <c r="BL120" i="33"/>
  <c r="BL113" i="33"/>
  <c r="BR113" i="33"/>
  <c r="BP183" i="33"/>
  <c r="BI183" i="33"/>
  <c r="BK183" i="33" s="1"/>
  <c r="BO183" i="33" s="1"/>
  <c r="BL108" i="33"/>
  <c r="BR108" i="33"/>
  <c r="BQ108" i="33"/>
  <c r="BR79" i="33"/>
  <c r="BL79" i="33"/>
  <c r="BR94" i="33"/>
  <c r="BL94" i="33"/>
  <c r="BR104" i="33"/>
  <c r="BL104" i="33"/>
  <c r="BP166" i="33"/>
  <c r="BI166" i="33"/>
  <c r="BK166" i="33" s="1"/>
  <c r="BO166" i="33" s="1"/>
  <c r="BL99" i="33"/>
  <c r="BR99" i="33"/>
  <c r="BS181" i="33"/>
  <c r="BM181" i="33"/>
  <c r="BQ181" i="33"/>
  <c r="BP79" i="33"/>
  <c r="BS187" i="33"/>
  <c r="BM187" i="33"/>
  <c r="BQ187" i="33"/>
  <c r="BS129" i="33"/>
  <c r="BM129" i="33"/>
  <c r="BR82" i="33"/>
  <c r="BL82" i="33"/>
  <c r="BQ82" i="33"/>
  <c r="BT59" i="33"/>
  <c r="BL59" i="33"/>
  <c r="BQ59" i="33"/>
  <c r="BR67" i="33"/>
  <c r="BS73" i="33"/>
  <c r="BQ73" i="33"/>
  <c r="BS147" i="33"/>
  <c r="BM147" i="33"/>
  <c r="BQ147" i="33"/>
  <c r="BS116" i="33"/>
  <c r="BM116" i="33"/>
  <c r="BQ116" i="33"/>
  <c r="BI116" i="33"/>
  <c r="BK116" i="33" s="1"/>
  <c r="BO116" i="33" s="1"/>
  <c r="BS174" i="33"/>
  <c r="BM174" i="33"/>
  <c r="BQ174" i="33"/>
  <c r="BS182" i="33"/>
  <c r="BM182" i="33"/>
  <c r="BQ182" i="33"/>
  <c r="BS185" i="33"/>
  <c r="BM185" i="33"/>
  <c r="BI185" i="33"/>
  <c r="BK185" i="33" s="1"/>
  <c r="BO185" i="33" s="1"/>
  <c r="BP172" i="33"/>
  <c r="BI172" i="33"/>
  <c r="BK172" i="33" s="1"/>
  <c r="BO172" i="33" s="1"/>
  <c r="BP181" i="33"/>
  <c r="BI181" i="33"/>
  <c r="BK181" i="33" s="1"/>
  <c r="BO181" i="33" s="1"/>
  <c r="BL52" i="33"/>
  <c r="BT52" i="33"/>
  <c r="BS130" i="33"/>
  <c r="BM130" i="33"/>
  <c r="BI130" i="33"/>
  <c r="BK130" i="33" s="1"/>
  <c r="BO130" i="33" s="1"/>
  <c r="BQ130" i="33"/>
  <c r="BS155" i="33"/>
  <c r="BM155" i="33"/>
  <c r="BS199" i="33"/>
  <c r="BM199" i="33"/>
  <c r="Y76" i="33"/>
  <c r="Z76" i="33" s="1"/>
  <c r="AJ76" i="33"/>
  <c r="AK76" i="33" s="1"/>
  <c r="AA76" i="33"/>
  <c r="AB76" i="33" s="1"/>
  <c r="AC76" i="33" s="1"/>
  <c r="AN76" i="33"/>
  <c r="AW76" i="33"/>
  <c r="AX76" i="33" s="1"/>
  <c r="BU76" i="33" s="1"/>
  <c r="AD76" i="33"/>
  <c r="AE76" i="33" s="1"/>
  <c r="AF76" i="33" s="1"/>
  <c r="BP13" i="33"/>
  <c r="BI13" i="33"/>
  <c r="BK13" i="33" s="1"/>
  <c r="BO13" i="33" s="1"/>
  <c r="BT28" i="33"/>
  <c r="BL28" i="33"/>
  <c r="BS123" i="33"/>
  <c r="BM123" i="33"/>
  <c r="AM84" i="33"/>
  <c r="BC84" i="33"/>
  <c r="BV84" i="33" s="1"/>
  <c r="AK101" i="33"/>
  <c r="BR77" i="33"/>
  <c r="BL77" i="33"/>
  <c r="BQ77" i="33"/>
  <c r="BQ203" i="33"/>
  <c r="BL203" i="33"/>
  <c r="BR203" i="33"/>
  <c r="BP39" i="33"/>
  <c r="BI39" i="33"/>
  <c r="BK39" i="33" s="1"/>
  <c r="BO39" i="33" s="1"/>
  <c r="AM113" i="33"/>
  <c r="BC113" i="33"/>
  <c r="BV113" i="33" s="1"/>
  <c r="BP45" i="33"/>
  <c r="BI45" i="33"/>
  <c r="BK45" i="33" s="1"/>
  <c r="BO45" i="33" s="1"/>
  <c r="BP54" i="33"/>
  <c r="BI54" i="33"/>
  <c r="BK54" i="33" s="1"/>
  <c r="BO54" i="33" s="1"/>
  <c r="BS198" i="33"/>
  <c r="BM198" i="33"/>
  <c r="BP102" i="33"/>
  <c r="BP73" i="33"/>
  <c r="BI73" i="33"/>
  <c r="BK73" i="33" s="1"/>
  <c r="BO73" i="33" s="1"/>
  <c r="BS152" i="33"/>
  <c r="BM152" i="33"/>
  <c r="BT34" i="33"/>
  <c r="BL34" i="33"/>
  <c r="BT68" i="33"/>
  <c r="BL68" i="33"/>
  <c r="BU74" i="33"/>
  <c r="BM74" i="33"/>
  <c r="BU20" i="33"/>
  <c r="BM20" i="33"/>
  <c r="BP64" i="33"/>
  <c r="BI64" i="33"/>
  <c r="BK64" i="33" s="1"/>
  <c r="BO64" i="33" s="1"/>
  <c r="BP134" i="33"/>
  <c r="BI134" i="33"/>
  <c r="BK134" i="33" s="1"/>
  <c r="BO134" i="33" s="1"/>
  <c r="BR199" i="33"/>
  <c r="BL199" i="33"/>
  <c r="BQ199" i="33"/>
  <c r="BS186" i="33"/>
  <c r="BM186" i="33"/>
  <c r="AM76" i="33"/>
  <c r="BC76" i="33"/>
  <c r="BV76" i="33" s="1"/>
  <c r="BP28" i="33"/>
  <c r="BI28" i="33"/>
  <c r="BK28" i="33" s="1"/>
  <c r="BO28" i="33" s="1"/>
  <c r="AO150" i="33"/>
  <c r="BP47" i="33"/>
  <c r="BI47" i="33"/>
  <c r="BK47" i="33" s="1"/>
  <c r="BO47" i="33" s="1"/>
  <c r="BT51" i="33"/>
  <c r="BL51" i="33"/>
  <c r="BR166" i="33"/>
  <c r="BQ166" i="33"/>
  <c r="BL166" i="33"/>
  <c r="BP201" i="33"/>
  <c r="BR72" i="33"/>
  <c r="BR114" i="33"/>
  <c r="BL114" i="33"/>
  <c r="BP132" i="33"/>
  <c r="BI132" i="33"/>
  <c r="BK132" i="33" s="1"/>
  <c r="BO132" i="33" s="1"/>
  <c r="BQ123" i="33"/>
  <c r="Z19" i="33"/>
  <c r="BP175" i="33"/>
  <c r="BI175" i="33"/>
  <c r="BK175" i="33" s="1"/>
  <c r="BO175" i="33" s="1"/>
  <c r="BP120" i="33"/>
  <c r="Y100" i="33"/>
  <c r="AA100" i="33"/>
  <c r="AB100" i="33" s="1"/>
  <c r="AC100" i="33" s="1"/>
  <c r="AJ100" i="33"/>
  <c r="AN100" i="33"/>
  <c r="AW100" i="33"/>
  <c r="AX100" i="33" s="1"/>
  <c r="BU100" i="33" s="1"/>
  <c r="AD100" i="33"/>
  <c r="AE100" i="33" s="1"/>
  <c r="AF100" i="33" s="1"/>
  <c r="AO113" i="33"/>
  <c r="BQ113" i="33" s="1"/>
  <c r="BR205" i="33"/>
  <c r="BL205" i="33"/>
  <c r="BQ205" i="33"/>
  <c r="BU60" i="33"/>
  <c r="BM60" i="33"/>
  <c r="BP14" i="33"/>
  <c r="BI14" i="33"/>
  <c r="BK14" i="33" s="1"/>
  <c r="BO14" i="33" s="1"/>
  <c r="AO106" i="33"/>
  <c r="BR132" i="33"/>
  <c r="BQ132" i="33"/>
  <c r="BL132" i="33"/>
  <c r="Z204" i="33"/>
  <c r="BC111" i="33"/>
  <c r="BV111" i="33" s="1"/>
  <c r="BP50" i="33"/>
  <c r="BI50" i="33"/>
  <c r="BK50" i="33" s="1"/>
  <c r="BO50" i="33" s="1"/>
  <c r="AX121" i="33"/>
  <c r="BU121" i="33" s="1"/>
  <c r="Y101" i="33"/>
  <c r="Z101" i="33" s="1"/>
  <c r="AJ101" i="33"/>
  <c r="AA101" i="33"/>
  <c r="AB101" i="33" s="1"/>
  <c r="AC101" i="33" s="1"/>
  <c r="AW101" i="33"/>
  <c r="AX101" i="33" s="1"/>
  <c r="BU101" i="33" s="1"/>
  <c r="AN101" i="33"/>
  <c r="AO101" i="33" s="1"/>
  <c r="AD101" i="33"/>
  <c r="AE101" i="33" s="1"/>
  <c r="AF101" i="33" s="1"/>
  <c r="BS203" i="33"/>
  <c r="BM203" i="33"/>
  <c r="BP104" i="33"/>
  <c r="BR57" i="33"/>
  <c r="BQ57" i="33"/>
  <c r="BS205" i="33"/>
  <c r="BM205" i="33"/>
  <c r="BL31" i="33"/>
  <c r="BT31" i="33"/>
  <c r="BR71" i="33"/>
  <c r="BL30" i="33"/>
  <c r="BT30" i="33"/>
  <c r="BP95" i="33"/>
  <c r="BI95" i="33"/>
  <c r="BK95" i="33" s="1"/>
  <c r="BO95" i="33" s="1"/>
  <c r="Y111" i="33"/>
  <c r="Z111" i="33" s="1"/>
  <c r="AJ111" i="33"/>
  <c r="AA111" i="33"/>
  <c r="AB111" i="33" s="1"/>
  <c r="AC111" i="33" s="1"/>
  <c r="AW111" i="33"/>
  <c r="AX111" i="33" s="1"/>
  <c r="BU111" i="33" s="1"/>
  <c r="AN111" i="33"/>
  <c r="AO111" i="33" s="1"/>
  <c r="AD111" i="33"/>
  <c r="AE111" i="33" s="1"/>
  <c r="AF111" i="33" s="1"/>
  <c r="BR52" i="33"/>
  <c r="BQ52" i="33"/>
  <c r="BP77" i="33"/>
  <c r="BI77" i="33"/>
  <c r="BK77" i="33" s="1"/>
  <c r="BO77" i="33" s="1"/>
  <c r="BR106" i="33"/>
  <c r="BL106" i="33"/>
  <c r="BQ106" i="33"/>
  <c r="BR33" i="33"/>
  <c r="BQ33" i="33"/>
  <c r="Y67" i="33"/>
  <c r="Z67" i="33" s="1"/>
  <c r="AS67" i="33"/>
  <c r="AT67" i="33" s="1"/>
  <c r="AD67" i="33"/>
  <c r="AE67" i="33" s="1"/>
  <c r="AF67" i="33" s="1"/>
  <c r="AN67" i="33"/>
  <c r="AW67" i="33"/>
  <c r="AX67" i="33" s="1"/>
  <c r="AA67" i="33"/>
  <c r="AB67" i="33" s="1"/>
  <c r="AC67" i="33" s="1"/>
  <c r="Z100" i="33"/>
  <c r="BS140" i="33"/>
  <c r="BM140" i="33"/>
  <c r="AM102" i="33"/>
  <c r="BC102" i="33"/>
  <c r="BV102" i="33" s="1"/>
  <c r="BR152" i="33"/>
  <c r="BQ152" i="33"/>
  <c r="BL152" i="33"/>
  <c r="BU13" i="33"/>
  <c r="BM13" i="33"/>
  <c r="AT20" i="33"/>
  <c r="BT57" i="33"/>
  <c r="BL57" i="33"/>
  <c r="BL63" i="33"/>
  <c r="BT63" i="33"/>
  <c r="BM188" i="33"/>
  <c r="BS188" i="33"/>
  <c r="BQ64" i="33"/>
  <c r="BP158" i="33"/>
  <c r="BI158" i="33"/>
  <c r="BK158" i="33" s="1"/>
  <c r="BO158" i="33" s="1"/>
  <c r="BP137" i="33"/>
  <c r="BI137" i="33"/>
  <c r="BK137" i="33" s="1"/>
  <c r="BO137" i="33" s="1"/>
  <c r="Z199" i="33"/>
  <c r="BP84" i="33"/>
  <c r="BI84" i="33"/>
  <c r="BK84" i="33" s="1"/>
  <c r="BO84" i="33" s="1"/>
  <c r="BU42" i="33"/>
  <c r="BM42" i="33"/>
  <c r="AO141" i="33"/>
  <c r="AM88" i="33"/>
  <c r="BC88" i="33"/>
  <c r="BV88" i="33" s="1"/>
  <c r="BP57" i="33"/>
  <c r="BI57" i="33"/>
  <c r="BK57" i="33" s="1"/>
  <c r="BO57" i="33" s="1"/>
  <c r="AM72" i="33"/>
  <c r="AO72" i="33" s="1"/>
  <c r="BC72" i="33"/>
  <c r="BV72" i="33" s="1"/>
  <c r="BR11" i="33"/>
  <c r="BQ11" i="33"/>
  <c r="Z150" i="33"/>
  <c r="BU19" i="33"/>
  <c r="BM19" i="33"/>
  <c r="AO96" i="33"/>
  <c r="Y119" i="33"/>
  <c r="Z119" i="33" s="1"/>
  <c r="AA119" i="33"/>
  <c r="AB119" i="33" s="1"/>
  <c r="AC119" i="33" s="1"/>
  <c r="AJ119" i="33"/>
  <c r="AK119" i="33" s="1"/>
  <c r="AN119" i="33"/>
  <c r="AW119" i="33"/>
  <c r="AX119" i="33" s="1"/>
  <c r="BU119" i="33" s="1"/>
  <c r="AD119" i="33"/>
  <c r="AE119" i="33" s="1"/>
  <c r="AF119" i="33" s="1"/>
  <c r="Y107" i="33"/>
  <c r="Z107" i="33" s="1"/>
  <c r="AJ107" i="33"/>
  <c r="AK107" i="33" s="1"/>
  <c r="AA107" i="33"/>
  <c r="AB107" i="33" s="1"/>
  <c r="AC107" i="33" s="1"/>
  <c r="AN107" i="33"/>
  <c r="AW107" i="33"/>
  <c r="AX107" i="33" s="1"/>
  <c r="BU107" i="33" s="1"/>
  <c r="AD107" i="33"/>
  <c r="AE107" i="33" s="1"/>
  <c r="AF107" i="33" s="1"/>
  <c r="AO169" i="33"/>
  <c r="BR9" i="33"/>
  <c r="AM100" i="33"/>
  <c r="BC100" i="33"/>
  <c r="BV100" i="33" s="1"/>
  <c r="Y115" i="33"/>
  <c r="Z115" i="33" s="1"/>
  <c r="AA115" i="33"/>
  <c r="AB115" i="33" s="1"/>
  <c r="AC115" i="33" s="1"/>
  <c r="AJ115" i="33"/>
  <c r="AW115" i="33"/>
  <c r="AX115" i="33" s="1"/>
  <c r="BU115" i="33" s="1"/>
  <c r="AN115" i="33"/>
  <c r="AD115" i="33"/>
  <c r="AE115" i="33" s="1"/>
  <c r="AF115" i="33" s="1"/>
  <c r="BS206" i="33"/>
  <c r="BM206" i="33"/>
  <c r="BI31" i="33"/>
  <c r="BK31" i="33" s="1"/>
  <c r="BO31" i="33" s="1"/>
  <c r="BL60" i="33"/>
  <c r="BT60" i="33"/>
  <c r="Z184" i="33"/>
  <c r="BS172" i="33"/>
  <c r="BM172" i="33"/>
  <c r="BS134" i="33"/>
  <c r="BM134" i="33"/>
  <c r="BS145" i="33"/>
  <c r="BM145" i="33"/>
  <c r="BP82" i="33"/>
  <c r="BI82" i="33"/>
  <c r="BK82" i="33" s="1"/>
  <c r="BO82" i="33" s="1"/>
  <c r="BS109" i="33"/>
  <c r="BM109" i="33"/>
  <c r="BR183" i="33"/>
  <c r="BQ183" i="33"/>
  <c r="BL183" i="33"/>
  <c r="BP96" i="33"/>
  <c r="BI96" i="33"/>
  <c r="BK96" i="33" s="1"/>
  <c r="BO96" i="33" s="1"/>
  <c r="BR19" i="33"/>
  <c r="BQ19" i="33"/>
  <c r="BS137" i="33"/>
  <c r="BM137" i="33"/>
  <c r="BT14" i="33"/>
  <c r="BL14" i="33"/>
  <c r="BS121" i="33"/>
  <c r="BM121" i="33"/>
  <c r="BS136" i="33"/>
  <c r="BM136" i="33"/>
  <c r="BP148" i="33"/>
  <c r="AM97" i="33"/>
  <c r="BC97" i="33"/>
  <c r="BV97" i="33" s="1"/>
  <c r="BR102" i="33"/>
  <c r="BL102" i="33"/>
  <c r="BU72" i="33"/>
  <c r="BM72" i="33"/>
  <c r="BP68" i="33"/>
  <c r="BI68" i="33"/>
  <c r="BK68" i="33" s="1"/>
  <c r="BO68" i="33" s="1"/>
  <c r="BR150" i="33"/>
  <c r="BQ150" i="33"/>
  <c r="BL150" i="33"/>
  <c r="BS176" i="33"/>
  <c r="BM176" i="33"/>
  <c r="BP160" i="33"/>
  <c r="BI160" i="33"/>
  <c r="BK160" i="33" s="1"/>
  <c r="BO160" i="33" s="1"/>
  <c r="BR186" i="33"/>
  <c r="BQ186" i="33"/>
  <c r="BL186" i="33"/>
  <c r="BS165" i="33"/>
  <c r="BM165" i="33"/>
  <c r="BS171" i="33"/>
  <c r="BM171" i="33"/>
  <c r="BS108" i="33"/>
  <c r="BM108" i="33"/>
  <c r="BT42" i="33"/>
  <c r="BL42" i="33"/>
  <c r="BL141" i="33"/>
  <c r="BR141" i="33"/>
  <c r="BQ141" i="33"/>
  <c r="AO201" i="33"/>
  <c r="BI201" i="33" s="1"/>
  <c r="BK201" i="33" s="1"/>
  <c r="BO201" i="33" s="1"/>
  <c r="BU39" i="33"/>
  <c r="BM39" i="33"/>
  <c r="BQ74" i="33"/>
  <c r="BL19" i="33"/>
  <c r="BT19" i="33"/>
  <c r="BU15" i="33"/>
  <c r="BM15" i="33"/>
  <c r="BS180" i="33"/>
  <c r="BM180" i="33"/>
  <c r="BR51" i="33"/>
  <c r="BQ51" i="33"/>
  <c r="BS139" i="33"/>
  <c r="BM139" i="33"/>
  <c r="BR60" i="33"/>
  <c r="BQ60" i="33"/>
  <c r="AM120" i="33"/>
  <c r="BC120" i="33"/>
  <c r="BV120" i="33" s="1"/>
  <c r="BP9" i="33"/>
  <c r="BP147" i="33"/>
  <c r="BI147" i="33"/>
  <c r="BK147" i="33" s="1"/>
  <c r="BO147" i="33" s="1"/>
  <c r="BR34" i="33"/>
  <c r="BQ34" i="33"/>
  <c r="AX99" i="33"/>
  <c r="BU99" i="33" s="1"/>
  <c r="AK100" i="33"/>
  <c r="AK115" i="33"/>
  <c r="BT32" i="33"/>
  <c r="BL32" i="33"/>
  <c r="BU65" i="33"/>
  <c r="BM65" i="33"/>
  <c r="BQ140" i="33"/>
  <c r="BP156" i="33"/>
  <c r="BI156" i="33"/>
  <c r="BK156" i="33" s="1"/>
  <c r="BO156" i="33" s="1"/>
  <c r="BP59" i="33"/>
  <c r="BI59" i="33"/>
  <c r="BK59" i="33" s="1"/>
  <c r="BO59" i="33" s="1"/>
  <c r="Z97" i="33"/>
  <c r="BQ31" i="33"/>
  <c r="BP197" i="33"/>
  <c r="BI197" i="33"/>
  <c r="BK197" i="33" s="1"/>
  <c r="BO197" i="33" s="1"/>
  <c r="BP174" i="33"/>
  <c r="BI174" i="33"/>
  <c r="BK174" i="33" s="1"/>
  <c r="BO174" i="33" s="1"/>
  <c r="AM71" i="33"/>
  <c r="BC71" i="33"/>
  <c r="BV71" i="33" s="1"/>
  <c r="BI145" i="33"/>
  <c r="BK145" i="33" s="1"/>
  <c r="BO145" i="33" s="1"/>
  <c r="BP188" i="33"/>
  <c r="BI188" i="33"/>
  <c r="BK188" i="33" s="1"/>
  <c r="BO188" i="33" s="1"/>
  <c r="BP123" i="33"/>
  <c r="BI123" i="33"/>
  <c r="BK123" i="33" s="1"/>
  <c r="BO123" i="33" s="1"/>
  <c r="BI109" i="33"/>
  <c r="BK109" i="33" s="1"/>
  <c r="BQ184" i="33"/>
  <c r="BR184" i="33"/>
  <c r="BL184" i="33"/>
  <c r="BS124" i="33"/>
  <c r="BM124" i="33"/>
  <c r="BU38" i="33"/>
  <c r="BM38" i="33"/>
  <c r="BP129" i="33"/>
  <c r="BI129" i="33"/>
  <c r="BK129" i="33" s="1"/>
  <c r="BO129" i="33" s="1"/>
  <c r="BP34" i="33"/>
  <c r="BI34" i="33"/>
  <c r="BK34" i="33" s="1"/>
  <c r="BO34" i="33" s="1"/>
  <c r="BR20" i="33"/>
  <c r="BQ20" i="33"/>
  <c r="BS168" i="33"/>
  <c r="BM168" i="33"/>
  <c r="BP33" i="33"/>
  <c r="BI33" i="33"/>
  <c r="BK33" i="33" s="1"/>
  <c r="BO33" i="33" s="1"/>
  <c r="BP205" i="33"/>
  <c r="BI205" i="33"/>
  <c r="BK205" i="33" s="1"/>
  <c r="BO205" i="33" s="1"/>
  <c r="BP196" i="33"/>
  <c r="BU11" i="33"/>
  <c r="BM11" i="33"/>
  <c r="BT13" i="33"/>
  <c r="BL13" i="33"/>
  <c r="BL74" i="33"/>
  <c r="BT74" i="33"/>
  <c r="BU43" i="33"/>
  <c r="BM43" i="33"/>
  <c r="Z20" i="33"/>
  <c r="BR165" i="33"/>
  <c r="BL165" i="33"/>
  <c r="BQ165" i="33"/>
  <c r="AO94" i="33"/>
  <c r="BQ94" i="33" s="1"/>
  <c r="BR176" i="33"/>
  <c r="BQ176" i="33"/>
  <c r="BL176" i="33"/>
  <c r="BU54" i="33"/>
  <c r="BM54" i="33"/>
  <c r="Y89" i="33"/>
  <c r="Z89" i="33" s="1"/>
  <c r="AJ89" i="33"/>
  <c r="AK89" i="33" s="1"/>
  <c r="AA89" i="33"/>
  <c r="AB89" i="33" s="1"/>
  <c r="AC89" i="33" s="1"/>
  <c r="AW89" i="33"/>
  <c r="AX89" i="33" s="1"/>
  <c r="BU89" i="33" s="1"/>
  <c r="AN89" i="33"/>
  <c r="AO89" i="33" s="1"/>
  <c r="AD89" i="33"/>
  <c r="AE89" i="33" s="1"/>
  <c r="AF89" i="33" s="1"/>
  <c r="BL125" i="33"/>
  <c r="BQ125" i="33"/>
  <c r="BR125" i="33"/>
  <c r="BQ171" i="33"/>
  <c r="BL171" i="33"/>
  <c r="BR171" i="33"/>
  <c r="Y86" i="33"/>
  <c r="Z86" i="33" s="1"/>
  <c r="AJ86" i="33"/>
  <c r="AK86" i="33" s="1"/>
  <c r="AA86" i="33"/>
  <c r="AB86" i="33" s="1"/>
  <c r="AC86" i="33" s="1"/>
  <c r="AN86" i="33"/>
  <c r="AW86" i="33"/>
  <c r="AX86" i="33" s="1"/>
  <c r="BU86" i="33" s="1"/>
  <c r="AD86" i="33"/>
  <c r="AE86" i="33" s="1"/>
  <c r="AF86" i="33" s="1"/>
  <c r="BU27" i="33"/>
  <c r="BM27" i="33"/>
  <c r="BP138" i="33"/>
  <c r="BI138" i="33"/>
  <c r="BK138" i="33" s="1"/>
  <c r="BO138" i="33" s="1"/>
  <c r="BS95" i="33"/>
  <c r="BM95" i="33"/>
  <c r="BL201" i="33"/>
  <c r="BR201" i="33"/>
  <c r="BQ201" i="33"/>
  <c r="BL39" i="33"/>
  <c r="BT39" i="33"/>
  <c r="BT15" i="33"/>
  <c r="BL15" i="33"/>
  <c r="AM107" i="33"/>
  <c r="BC107" i="33"/>
  <c r="BV107" i="33" s="1"/>
  <c r="BQ129" i="33"/>
  <c r="BL129" i="33"/>
  <c r="BR129" i="33"/>
  <c r="BS146" i="33"/>
  <c r="BM146" i="33"/>
  <c r="BR169" i="33"/>
  <c r="BL169" i="33"/>
  <c r="BQ169" i="33"/>
  <c r="AM85" i="33"/>
  <c r="AO85" i="33" s="1"/>
  <c r="BC85" i="33"/>
  <c r="BV85" i="33" s="1"/>
  <c r="AO196" i="33"/>
  <c r="BP198" i="33"/>
  <c r="BI198" i="33"/>
  <c r="BK198" i="33" s="1"/>
  <c r="BO198" i="33" s="1"/>
  <c r="Z60" i="33"/>
  <c r="AT65" i="33"/>
  <c r="AO148" i="33"/>
  <c r="BQ155" i="33"/>
  <c r="BL155" i="33"/>
  <c r="BR155" i="33"/>
  <c r="BU46" i="33"/>
  <c r="BM46" i="33"/>
  <c r="BP114" i="33"/>
  <c r="Y71" i="33"/>
  <c r="Z71" i="33" s="1"/>
  <c r="AS71" i="33"/>
  <c r="AT71" i="33" s="1"/>
  <c r="AD71" i="33"/>
  <c r="AE71" i="33" s="1"/>
  <c r="AF71" i="33" s="1"/>
  <c r="AN71" i="33"/>
  <c r="AO71" i="33" s="1"/>
  <c r="BS71" i="33" s="1"/>
  <c r="AW71" i="33"/>
  <c r="AX71" i="33" s="1"/>
  <c r="AA71" i="33"/>
  <c r="AB71" i="33" s="1"/>
  <c r="AC71" i="33" s="1"/>
  <c r="BP121" i="33"/>
  <c r="BL45" i="33"/>
  <c r="BT45" i="33"/>
  <c r="BL64" i="33"/>
  <c r="BT64" i="33"/>
  <c r="BP209" i="33"/>
  <c r="BI209" i="33"/>
  <c r="BK209" i="33" s="1"/>
  <c r="BL38" i="33"/>
  <c r="BT38" i="33"/>
  <c r="BS177" i="33"/>
  <c r="BM177" i="33"/>
  <c r="AM67" i="33"/>
  <c r="BC67" i="33"/>
  <c r="BV67" i="33" s="1"/>
  <c r="BP49" i="33"/>
  <c r="BI49" i="33"/>
  <c r="BK49" i="33" s="1"/>
  <c r="BO49" i="33" s="1"/>
  <c r="BR15" i="33"/>
  <c r="BQ15" i="33"/>
  <c r="BT11" i="33"/>
  <c r="BL11" i="33"/>
  <c r="BR53" i="33"/>
  <c r="BQ53" i="33"/>
  <c r="BP74" i="33"/>
  <c r="BI74" i="33"/>
  <c r="BK74" i="33" s="1"/>
  <c r="BO74" i="33" s="1"/>
  <c r="BL43" i="33"/>
  <c r="BT43" i="33"/>
  <c r="BR54" i="33"/>
  <c r="BQ54" i="33"/>
  <c r="BL97" i="33"/>
  <c r="BR97" i="33"/>
  <c r="BS90" i="33"/>
  <c r="BM90" i="33"/>
  <c r="BT54" i="33"/>
  <c r="BL54" i="33"/>
  <c r="BI165" i="33"/>
  <c r="BK165" i="33" s="1"/>
  <c r="BO165" i="33" s="1"/>
  <c r="BP32" i="33"/>
  <c r="BI32" i="33"/>
  <c r="BK32" i="33" s="1"/>
  <c r="BO32" i="33" s="1"/>
  <c r="AM86" i="33"/>
  <c r="BC86" i="33"/>
  <c r="BV86" i="33" s="1"/>
  <c r="AX104" i="33"/>
  <c r="BU104" i="33" s="1"/>
  <c r="Z203" i="33"/>
  <c r="BP42" i="33"/>
  <c r="BI42" i="33"/>
  <c r="BK42" i="33" s="1"/>
  <c r="BO42" i="33" s="1"/>
  <c r="AT27" i="33"/>
  <c r="BU49" i="33"/>
  <c r="BM49" i="33"/>
  <c r="BU73" i="33"/>
  <c r="BM73" i="33"/>
  <c r="AM99" i="33"/>
  <c r="AO99" i="33" s="1"/>
  <c r="BC99" i="33"/>
  <c r="BV99" i="33" s="1"/>
  <c r="AM119" i="33"/>
  <c r="BC119" i="33"/>
  <c r="BV119" i="33" s="1"/>
  <c r="AK111" i="33"/>
  <c r="BL196" i="33"/>
  <c r="BR196" i="33"/>
  <c r="BR12" i="33"/>
  <c r="BQ12" i="33"/>
  <c r="AO173" i="33"/>
  <c r="BR139" i="33"/>
  <c r="BL139" i="33"/>
  <c r="BQ139" i="33"/>
  <c r="Z113" i="33"/>
  <c r="BR41" i="33"/>
  <c r="BQ41" i="33"/>
  <c r="BP182" i="33"/>
  <c r="BI182" i="33"/>
  <c r="BK182" i="33" s="1"/>
  <c r="BO182" i="33" s="1"/>
  <c r="BP106" i="33"/>
  <c r="BI106" i="33"/>
  <c r="BK106" i="33" s="1"/>
  <c r="BO106" i="33" s="1"/>
  <c r="BQ185" i="33"/>
  <c r="BR185" i="33"/>
  <c r="BL185" i="33"/>
  <c r="BQ168" i="33"/>
  <c r="BR30" i="33"/>
  <c r="BQ30" i="33"/>
  <c r="AM101" i="33"/>
  <c r="BC101" i="33"/>
  <c r="BV101" i="33" s="1"/>
  <c r="BP186" i="33"/>
  <c r="BI186" i="33"/>
  <c r="BK186" i="33" s="1"/>
  <c r="BO186" i="33" s="1"/>
  <c r="AM114" i="33"/>
  <c r="AO114" i="33" s="1"/>
  <c r="BC114" i="33"/>
  <c r="BV114" i="33" s="1"/>
  <c r="BP173" i="33"/>
  <c r="BI173" i="33"/>
  <c r="BK173" i="33" s="1"/>
  <c r="BO173" i="33" s="1"/>
  <c r="BS160" i="33"/>
  <c r="BM160" i="33"/>
  <c r="BS77" i="33"/>
  <c r="BM77" i="33"/>
  <c r="BL177" i="33"/>
  <c r="BR177" i="33"/>
  <c r="BQ177" i="33"/>
  <c r="BU45" i="33"/>
  <c r="BM45" i="33"/>
  <c r="BS209" i="33"/>
  <c r="BM209" i="33"/>
  <c r="AX79" i="33"/>
  <c r="BU79" i="33" s="1"/>
  <c r="BT29" i="33"/>
  <c r="BL29" i="33"/>
  <c r="BQ29" i="33"/>
  <c r="BL72" i="33"/>
  <c r="BT72" i="33"/>
  <c r="BP53" i="33"/>
  <c r="BI53" i="33"/>
  <c r="BK53" i="33" s="1"/>
  <c r="BO53" i="33" s="1"/>
  <c r="BP146" i="33"/>
  <c r="BI146" i="33"/>
  <c r="BK146" i="33" s="1"/>
  <c r="BO146" i="33" s="1"/>
  <c r="BU64" i="33"/>
  <c r="BM64" i="33"/>
  <c r="BP125" i="33"/>
  <c r="BI125" i="33"/>
  <c r="BK125" i="33" s="1"/>
  <c r="BO125" i="33" s="1"/>
  <c r="AM65" i="33"/>
  <c r="AO65" i="33" s="1"/>
  <c r="BC65" i="33"/>
  <c r="BV65" i="33" s="1"/>
  <c r="BP176" i="33"/>
  <c r="BI176" i="33"/>
  <c r="BK176" i="33" s="1"/>
  <c r="BO176" i="33" s="1"/>
  <c r="AM89" i="33"/>
  <c r="BC89" i="33"/>
  <c r="BV89" i="33" s="1"/>
  <c r="BL49" i="33"/>
  <c r="BT49" i="33"/>
  <c r="Z171" i="33"/>
  <c r="AO102" i="33"/>
  <c r="BI102" i="33" s="1"/>
  <c r="BK102" i="33" s="1"/>
  <c r="BO102" i="33" s="1"/>
  <c r="BP85" i="33"/>
  <c r="BP17" i="33"/>
  <c r="BI17" i="33"/>
  <c r="BK17" i="33" s="1"/>
  <c r="BO17" i="33" s="1"/>
  <c r="AO84" i="33"/>
  <c r="Y88" i="33"/>
  <c r="Z88" i="33" s="1"/>
  <c r="AJ88" i="33"/>
  <c r="AK88" i="33" s="1"/>
  <c r="AA88" i="33"/>
  <c r="AB88" i="33" s="1"/>
  <c r="AC88" i="33" s="1"/>
  <c r="AN88" i="33"/>
  <c r="AO88" i="33" s="1"/>
  <c r="AW88" i="33"/>
  <c r="AX88" i="33" s="1"/>
  <c r="BU88" i="33" s="1"/>
  <c r="AD88" i="33"/>
  <c r="AE88" i="33" s="1"/>
  <c r="AF88" i="33" s="1"/>
  <c r="BS125" i="33"/>
  <c r="BM125" i="33"/>
  <c r="BP139" i="33"/>
  <c r="BI139" i="33"/>
  <c r="BK139" i="33" s="1"/>
  <c r="BO139" i="33" s="1"/>
  <c r="BR173" i="33"/>
  <c r="BL173" i="33"/>
  <c r="BS204" i="33"/>
  <c r="BM204" i="33"/>
  <c r="BI136" i="33"/>
  <c r="BK136" i="33" s="1"/>
  <c r="BO136" i="33" s="1"/>
  <c r="BP187" i="33"/>
  <c r="BI187" i="33"/>
  <c r="BK187" i="33" s="1"/>
  <c r="BO187" i="33" s="1"/>
  <c r="AO120" i="33"/>
  <c r="BI120" i="33" s="1"/>
  <c r="BK120" i="33" s="1"/>
  <c r="BO120" i="33" s="1"/>
  <c r="BP99" i="33"/>
  <c r="BI140" i="33"/>
  <c r="BK140" i="33" s="1"/>
  <c r="BO140" i="33" s="1"/>
  <c r="BR160" i="33"/>
  <c r="BQ160" i="33"/>
  <c r="BL160" i="33"/>
  <c r="BL110" i="33"/>
  <c r="BR110" i="33"/>
  <c r="BQ110" i="33"/>
  <c r="Z65" i="33"/>
  <c r="BR148" i="33"/>
  <c r="BL148" i="33"/>
  <c r="BQ148" i="33"/>
  <c r="BQ136" i="33"/>
  <c r="BU12" i="33"/>
  <c r="BM12" i="33"/>
  <c r="BL46" i="33"/>
  <c r="BT46" i="33"/>
  <c r="BC121" i="33"/>
  <c r="BV121" i="33" s="1"/>
  <c r="BP30" i="33"/>
  <c r="BI30" i="33"/>
  <c r="BK30" i="33" s="1"/>
  <c r="BO30" i="33" s="1"/>
  <c r="BU33" i="33"/>
  <c r="BM33" i="33"/>
  <c r="BU9" i="33"/>
  <c r="BM9" i="33"/>
  <c r="BR46" i="33"/>
  <c r="BQ46" i="33"/>
  <c r="BI180" i="33"/>
  <c r="BK180" i="33" s="1"/>
  <c r="BO180" i="33" s="1"/>
  <c r="BL121" i="33"/>
  <c r="BR121" i="33"/>
  <c r="BQ121" i="33"/>
  <c r="BP94" i="33"/>
  <c r="BI94" i="33"/>
  <c r="BK94" i="33" s="1"/>
  <c r="BO94" i="33" s="1"/>
  <c r="BQ45" i="33"/>
  <c r="BP38" i="33"/>
  <c r="BI38" i="33"/>
  <c r="BK38" i="33" s="1"/>
  <c r="BO38" i="33" s="1"/>
  <c r="BR39" i="33"/>
  <c r="BQ39" i="33"/>
  <c r="BR209" i="33"/>
  <c r="BQ209" i="33"/>
  <c r="BL209" i="33"/>
  <c r="BS79" i="33"/>
  <c r="BM79" i="33"/>
  <c r="BS138" i="33"/>
  <c r="BM138" i="33"/>
  <c r="BP127" i="33"/>
  <c r="BI127" i="33"/>
  <c r="BK127" i="33" s="1"/>
  <c r="BO127" i="33" s="1"/>
  <c r="BL41" i="33"/>
  <c r="BT41" i="33"/>
  <c r="BP72" i="33"/>
  <c r="BP15" i="33"/>
  <c r="BI15" i="33"/>
  <c r="BK15" i="33" s="1"/>
  <c r="BO15" i="33" s="1"/>
  <c r="BP11" i="33"/>
  <c r="BI11" i="33"/>
  <c r="BK11" i="33" s="1"/>
  <c r="BO11" i="33" s="1"/>
  <c r="BU68" i="33"/>
  <c r="BM68" i="33"/>
  <c r="BP43" i="33"/>
  <c r="BI43" i="33"/>
  <c r="BK43" i="33" s="1"/>
  <c r="BO43" i="33" s="1"/>
  <c r="Z152" i="33"/>
  <c r="BS183" i="33"/>
  <c r="BM183" i="33"/>
  <c r="BR28" i="33"/>
  <c r="BQ28" i="33"/>
  <c r="BP124" i="33"/>
  <c r="BI124" i="33"/>
  <c r="BK124" i="33" s="1"/>
  <c r="BO124" i="33" s="1"/>
  <c r="BR193" i="33"/>
  <c r="BL193" i="33"/>
  <c r="BQ193" i="33"/>
  <c r="BR96" i="33"/>
  <c r="BL96" i="33"/>
  <c r="BQ96" i="33"/>
  <c r="BP108" i="33"/>
  <c r="BI108" i="33"/>
  <c r="BK108" i="33" s="1"/>
  <c r="BO108" i="33" s="1"/>
  <c r="AX84" i="33"/>
  <c r="BU84" i="33" s="1"/>
  <c r="BS166" i="33"/>
  <c r="BM166" i="33"/>
  <c r="BP27" i="33"/>
  <c r="BI27" i="33"/>
  <c r="BK27" i="33" s="1"/>
  <c r="BO27" i="33" s="1"/>
  <c r="BR146" i="33"/>
  <c r="BQ146" i="33"/>
  <c r="BL146" i="33"/>
  <c r="BP167" i="33"/>
  <c r="BI167" i="33"/>
  <c r="BK167" i="33" s="1"/>
  <c r="BO167" i="33" s="1"/>
  <c r="AM104" i="33"/>
  <c r="AO104" i="33" s="1"/>
  <c r="BC104" i="33"/>
  <c r="BV104" i="33" s="1"/>
  <c r="BP207" i="33"/>
  <c r="BI207" i="33"/>
  <c r="BK207" i="33" s="1"/>
  <c r="BO207" i="33" s="1"/>
  <c r="BP12" i="33"/>
  <c r="BI12" i="33"/>
  <c r="BK12" i="33" s="1"/>
  <c r="BO12" i="33" s="1"/>
  <c r="BL204" i="33"/>
  <c r="BR204" i="33"/>
  <c r="BQ204" i="33"/>
  <c r="AM115" i="33"/>
  <c r="BC115" i="33"/>
  <c r="BV115" i="33" s="1"/>
  <c r="Z141" i="33"/>
  <c r="BP168" i="33"/>
  <c r="BI168" i="33"/>
  <c r="BK168" i="33" s="1"/>
  <c r="BO168" i="33" s="1"/>
  <c r="BQ63" i="33"/>
  <c r="BR14" i="33"/>
  <c r="BQ14" i="33"/>
  <c r="BS132" i="33"/>
  <c r="BM132" i="33"/>
  <c r="BS184" i="33"/>
  <c r="BM184" i="33"/>
  <c r="BU14" i="33"/>
  <c r="BM14" i="33"/>
  <c r="BP193" i="33"/>
  <c r="BI193" i="33"/>
  <c r="BK193" i="33" s="1"/>
  <c r="BO193" i="33" s="1"/>
  <c r="BS207" i="33"/>
  <c r="BM207" i="33"/>
  <c r="BQ124" i="33"/>
  <c r="BL12" i="33"/>
  <c r="BT12" i="33"/>
  <c r="AO97" i="33"/>
  <c r="Z169" i="33"/>
  <c r="BP163" i="33"/>
  <c r="BI163" i="33"/>
  <c r="BK163" i="33" s="1"/>
  <c r="BO163" i="33" s="1"/>
  <c r="BS82" i="33"/>
  <c r="BM82" i="33"/>
  <c r="BL33" i="33"/>
  <c r="BT33" i="33"/>
  <c r="Z177" i="33"/>
  <c r="AT9" i="33"/>
  <c r="BQ9" i="33" s="1"/>
  <c r="Z46" i="33"/>
  <c r="BQ68" i="33"/>
  <c r="BQ90" i="33"/>
  <c r="BE622" i="28"/>
  <c r="J632" i="28" s="1"/>
  <c r="BF622" i="28"/>
  <c r="BM9" i="28"/>
  <c r="U5" i="28" s="1"/>
  <c r="AX623" i="28"/>
  <c r="AY623" i="28" s="1"/>
  <c r="BM8" i="28"/>
  <c r="U4" i="28" s="1"/>
  <c r="D617" i="28" s="1"/>
  <c r="AV622" i="28"/>
  <c r="AW622" i="28" s="1"/>
  <c r="H632" i="28" s="1"/>
  <c r="AG622" i="17"/>
  <c r="P628" i="28"/>
  <c r="O628" i="28"/>
  <c r="T628" i="28" s="1"/>
  <c r="O6" i="8"/>
  <c r="B527" i="2" s="1"/>
  <c r="BS65" i="33" l="1"/>
  <c r="BQ65" i="33"/>
  <c r="BP71" i="33"/>
  <c r="BI71" i="33"/>
  <c r="BK71" i="33" s="1"/>
  <c r="BO71" i="33" s="1"/>
  <c r="BS104" i="33"/>
  <c r="BM104" i="33"/>
  <c r="BQ104" i="33"/>
  <c r="BI104" i="33"/>
  <c r="BK104" i="33" s="1"/>
  <c r="BO104" i="33" s="1"/>
  <c r="BS72" i="33"/>
  <c r="BI72" i="33"/>
  <c r="BK72" i="33" s="1"/>
  <c r="BO72" i="33" s="1"/>
  <c r="BQ72" i="33"/>
  <c r="BS85" i="33"/>
  <c r="BM85" i="33"/>
  <c r="BI85" i="33"/>
  <c r="BK85" i="33" s="1"/>
  <c r="BO85" i="33" s="1"/>
  <c r="BQ85" i="33"/>
  <c r="BR107" i="33"/>
  <c r="BL107" i="33"/>
  <c r="BR88" i="33"/>
  <c r="BL88" i="33"/>
  <c r="BQ88" i="33"/>
  <c r="BS99" i="33"/>
  <c r="BM99" i="33"/>
  <c r="BI99" i="33"/>
  <c r="BK99" i="33" s="1"/>
  <c r="BO99" i="33" s="1"/>
  <c r="BQ99" i="33"/>
  <c r="BR86" i="33"/>
  <c r="BL86" i="33"/>
  <c r="BS114" i="33"/>
  <c r="BM114" i="33"/>
  <c r="BQ114" i="33"/>
  <c r="BI114" i="33"/>
  <c r="BK114" i="33" s="1"/>
  <c r="BO114" i="33" s="1"/>
  <c r="BP86" i="33"/>
  <c r="BL101" i="33"/>
  <c r="BR101" i="33"/>
  <c r="BQ101" i="33"/>
  <c r="BP46" i="33"/>
  <c r="BI46" i="33"/>
  <c r="BK46" i="33" s="1"/>
  <c r="BO46" i="33" s="1"/>
  <c r="BP88" i="33"/>
  <c r="BI88" i="33"/>
  <c r="BK88" i="33" s="1"/>
  <c r="BO88" i="33" s="1"/>
  <c r="BT27" i="33"/>
  <c r="BL27" i="33"/>
  <c r="BQ27" i="33"/>
  <c r="BQ102" i="33"/>
  <c r="BS96" i="33"/>
  <c r="BM96" i="33"/>
  <c r="BP100" i="33"/>
  <c r="AO100" i="33"/>
  <c r="BP19" i="33"/>
  <c r="BI19" i="33"/>
  <c r="BK19" i="33" s="1"/>
  <c r="BO19" i="33" s="1"/>
  <c r="BP171" i="33"/>
  <c r="BI171" i="33"/>
  <c r="BK171" i="33" s="1"/>
  <c r="BO171" i="33" s="1"/>
  <c r="BS173" i="33"/>
  <c r="BM173" i="33"/>
  <c r="BL71" i="33"/>
  <c r="BT71" i="33"/>
  <c r="BS94" i="33"/>
  <c r="BM94" i="33"/>
  <c r="BP97" i="33"/>
  <c r="BI97" i="33"/>
  <c r="BK97" i="33" s="1"/>
  <c r="BO97" i="33" s="1"/>
  <c r="BP184" i="33"/>
  <c r="BI184" i="33"/>
  <c r="BK184" i="33" s="1"/>
  <c r="BO184" i="33" s="1"/>
  <c r="AO115" i="33"/>
  <c r="BP107" i="33"/>
  <c r="BS111" i="33"/>
  <c r="BM111" i="33"/>
  <c r="BP204" i="33"/>
  <c r="BI204" i="33"/>
  <c r="BK204" i="33" s="1"/>
  <c r="BO204" i="33" s="1"/>
  <c r="BR111" i="33"/>
  <c r="BL111" i="33"/>
  <c r="BQ111" i="33"/>
  <c r="BP119" i="33"/>
  <c r="BS101" i="33"/>
  <c r="BM101" i="33"/>
  <c r="BT9" i="33"/>
  <c r="BL9" i="33"/>
  <c r="BP169" i="33"/>
  <c r="BI169" i="33"/>
  <c r="BK169" i="33" s="1"/>
  <c r="BO169" i="33" s="1"/>
  <c r="BS84" i="33"/>
  <c r="BM84" i="33"/>
  <c r="BP177" i="33"/>
  <c r="BI177" i="33"/>
  <c r="BK177" i="33" s="1"/>
  <c r="BO177" i="33" s="1"/>
  <c r="BS97" i="33"/>
  <c r="BM97" i="33"/>
  <c r="BP152" i="33"/>
  <c r="BI152" i="33"/>
  <c r="BK152" i="33" s="1"/>
  <c r="BO152" i="33" s="1"/>
  <c r="BS148" i="33"/>
  <c r="BM148" i="33"/>
  <c r="BR89" i="33"/>
  <c r="BL89" i="33"/>
  <c r="BQ89" i="33"/>
  <c r="BI9" i="33"/>
  <c r="BK9" i="33" s="1"/>
  <c r="BP199" i="33"/>
  <c r="BI199" i="33"/>
  <c r="BK199" i="33" s="1"/>
  <c r="BO199" i="33" s="1"/>
  <c r="BU67" i="33"/>
  <c r="BM67" i="33"/>
  <c r="BQ71" i="33"/>
  <c r="AO76" i="33"/>
  <c r="BP203" i="33"/>
  <c r="BI203" i="33"/>
  <c r="BK203" i="33" s="1"/>
  <c r="BO203" i="33" s="1"/>
  <c r="BI121" i="33"/>
  <c r="BK121" i="33" s="1"/>
  <c r="BO121" i="33" s="1"/>
  <c r="BT65" i="33"/>
  <c r="BL65" i="33"/>
  <c r="BP89" i="33"/>
  <c r="BI89" i="33"/>
  <c r="BK89" i="33" s="1"/>
  <c r="BO89" i="33" s="1"/>
  <c r="BL115" i="33"/>
  <c r="BR115" i="33"/>
  <c r="BQ115" i="33"/>
  <c r="BS169" i="33"/>
  <c r="BM169" i="33"/>
  <c r="BP150" i="33"/>
  <c r="BI150" i="33"/>
  <c r="BK150" i="33" s="1"/>
  <c r="BO150" i="33" s="1"/>
  <c r="AO67" i="33"/>
  <c r="BP101" i="33"/>
  <c r="BI101" i="33"/>
  <c r="BK101" i="33" s="1"/>
  <c r="BO101" i="33" s="1"/>
  <c r="BS150" i="33"/>
  <c r="BM150" i="33"/>
  <c r="BI79" i="33"/>
  <c r="BK79" i="33" s="1"/>
  <c r="BO79" i="33" s="1"/>
  <c r="BQ79" i="33"/>
  <c r="BS89" i="33"/>
  <c r="BM89" i="33"/>
  <c r="BP65" i="33"/>
  <c r="BI65" i="33"/>
  <c r="BK65" i="33" s="1"/>
  <c r="BO65" i="33" s="1"/>
  <c r="BQ173" i="33"/>
  <c r="BP60" i="33"/>
  <c r="BI60" i="33"/>
  <c r="BK60" i="33" s="1"/>
  <c r="BO60" i="33" s="1"/>
  <c r="AO86" i="33"/>
  <c r="BQ86" i="33" s="1"/>
  <c r="H3" i="33"/>
  <c r="BO109" i="33"/>
  <c r="BR100" i="33"/>
  <c r="BL100" i="33"/>
  <c r="BQ100" i="33"/>
  <c r="AO119" i="33"/>
  <c r="BI119" i="33" s="1"/>
  <c r="BK119" i="33" s="1"/>
  <c r="BO119" i="33" s="1"/>
  <c r="BS141" i="33"/>
  <c r="BM141" i="33"/>
  <c r="BL76" i="33"/>
  <c r="BR76" i="33"/>
  <c r="BQ76" i="33"/>
  <c r="BS196" i="33"/>
  <c r="BM196" i="33"/>
  <c r="BI196" i="33"/>
  <c r="BK196" i="33" s="1"/>
  <c r="BO196" i="33" s="1"/>
  <c r="BP141" i="33"/>
  <c r="BI141" i="33"/>
  <c r="BK141" i="33" s="1"/>
  <c r="BO141" i="33" s="1"/>
  <c r="BS88" i="33"/>
  <c r="BM88" i="33"/>
  <c r="BP113" i="33"/>
  <c r="BI113" i="33"/>
  <c r="BK113" i="33" s="1"/>
  <c r="BO113" i="33" s="1"/>
  <c r="BQ196" i="33"/>
  <c r="H4" i="33"/>
  <c r="BO209" i="33"/>
  <c r="BP20" i="33"/>
  <c r="BI20" i="33"/>
  <c r="BK20" i="33" s="1"/>
  <c r="BO20" i="33" s="1"/>
  <c r="BS201" i="33"/>
  <c r="BM201" i="33"/>
  <c r="BI148" i="33"/>
  <c r="BK148" i="33" s="1"/>
  <c r="BO148" i="33" s="1"/>
  <c r="BP115" i="33"/>
  <c r="BI115" i="33"/>
  <c r="BK115" i="33" s="1"/>
  <c r="BO115" i="33" s="1"/>
  <c r="BR119" i="33"/>
  <c r="BL119" i="33"/>
  <c r="BQ119" i="33"/>
  <c r="BL67" i="33"/>
  <c r="BT67" i="33"/>
  <c r="BP111" i="33"/>
  <c r="BI111" i="33"/>
  <c r="BK111" i="33" s="1"/>
  <c r="BO111" i="33" s="1"/>
  <c r="BS106" i="33"/>
  <c r="BM106" i="33"/>
  <c r="BS113" i="33"/>
  <c r="BM113" i="33"/>
  <c r="BP76" i="33"/>
  <c r="BI76" i="33"/>
  <c r="BK76" i="33" s="1"/>
  <c r="BO76" i="33" s="1"/>
  <c r="BS120" i="33"/>
  <c r="BM120" i="33"/>
  <c r="BS102" i="33"/>
  <c r="BM102" i="33"/>
  <c r="BQ97" i="33"/>
  <c r="BU71" i="33"/>
  <c r="BM71" i="33"/>
  <c r="AO107" i="33"/>
  <c r="BT20" i="33"/>
  <c r="BL20" i="33"/>
  <c r="BP67" i="33"/>
  <c r="BI67" i="33"/>
  <c r="BK67" i="33" s="1"/>
  <c r="BO67" i="33" s="1"/>
  <c r="BQ120" i="33"/>
  <c r="C639" i="28"/>
  <c r="C640" i="28"/>
  <c r="AX622" i="28"/>
  <c r="AY622" i="28" s="1"/>
  <c r="Q628" i="28"/>
  <c r="U628" i="28" s="1"/>
  <c r="AJ617" i="28"/>
  <c r="K617" i="28"/>
  <c r="D618" i="28"/>
  <c r="D619" i="28" s="1"/>
  <c r="AP617" i="28"/>
  <c r="F617" i="28"/>
  <c r="AM617" i="28"/>
  <c r="E617" i="28"/>
  <c r="G617" i="28"/>
  <c r="H617" i="28" s="1"/>
  <c r="I617" i="28" s="1"/>
  <c r="B525" i="2"/>
  <c r="BS107" i="33" l="1"/>
  <c r="BM107" i="33"/>
  <c r="BS76" i="33"/>
  <c r="BM76" i="33"/>
  <c r="BS67" i="33"/>
  <c r="BQ67" i="33"/>
  <c r="H2" i="33"/>
  <c r="BO9" i="33"/>
  <c r="BS86" i="33"/>
  <c r="BM86" i="33"/>
  <c r="BI107" i="33"/>
  <c r="BK107" i="33" s="1"/>
  <c r="BO107" i="33" s="1"/>
  <c r="BS100" i="33"/>
  <c r="BM100" i="33"/>
  <c r="BI86" i="33"/>
  <c r="BK86" i="33" s="1"/>
  <c r="BO86" i="33" s="1"/>
  <c r="BQ107" i="33"/>
  <c r="BS119" i="33"/>
  <c r="BM119" i="33"/>
  <c r="BS115" i="33"/>
  <c r="BM115" i="33"/>
  <c r="BI100" i="33"/>
  <c r="BK100" i="33" s="1"/>
  <c r="BO100" i="33" s="1"/>
  <c r="BE628" i="28"/>
  <c r="J637" i="28" s="1"/>
  <c r="BF628" i="28"/>
  <c r="AV628" i="28"/>
  <c r="AX628" i="28" s="1"/>
  <c r="AY628" i="28" s="1"/>
  <c r="AN617" i="28"/>
  <c r="AO617" i="28"/>
  <c r="J617" i="28"/>
  <c r="M617" i="28" s="1"/>
  <c r="AS617" i="28"/>
  <c r="AR617" i="28"/>
  <c r="AQ617" i="28"/>
  <c r="AK617" i="28"/>
  <c r="AL617" i="28"/>
  <c r="A525" i="2"/>
  <c r="R617" i="28" l="1"/>
  <c r="S617" i="28" s="1"/>
  <c r="BC617" i="28"/>
  <c r="BB617" i="28"/>
  <c r="AW628" i="28"/>
  <c r="H637" i="28" s="1"/>
  <c r="N617" i="28"/>
  <c r="AT617" i="28"/>
  <c r="AU617" i="28"/>
  <c r="P617" i="28" l="1"/>
  <c r="O617" i="28"/>
  <c r="T617" i="28" s="1"/>
  <c r="C637" i="17"/>
  <c r="B628" i="17"/>
  <c r="U622" i="17"/>
  <c r="AF622" i="17" s="1"/>
  <c r="U626" i="17"/>
  <c r="AF626" i="17" s="1"/>
  <c r="U623" i="17"/>
  <c r="AF623" i="17" s="1"/>
  <c r="N4" i="17"/>
  <c r="B91" i="1"/>
  <c r="N7" i="8"/>
  <c r="O7" i="8" s="1"/>
  <c r="Q617" i="28" l="1"/>
  <c r="U617" i="28" s="1"/>
  <c r="U606" i="17"/>
  <c r="AF606" i="17" s="1"/>
  <c r="U542" i="17"/>
  <c r="AF542" i="17" s="1"/>
  <c r="U478" i="17"/>
  <c r="AF478" i="17" s="1"/>
  <c r="U414" i="17"/>
  <c r="AF414" i="17" s="1"/>
  <c r="U350" i="17"/>
  <c r="AF350" i="17" s="1"/>
  <c r="U286" i="17"/>
  <c r="AF286" i="17" s="1"/>
  <c r="U222" i="17"/>
  <c r="AF222" i="17" s="1"/>
  <c r="U158" i="17"/>
  <c r="AF158" i="17" s="1"/>
  <c r="U94" i="17"/>
  <c r="AF94" i="17" s="1"/>
  <c r="U30" i="17"/>
  <c r="AF30" i="17" s="1"/>
  <c r="U573" i="17"/>
  <c r="AF573" i="17" s="1"/>
  <c r="U509" i="17"/>
  <c r="AF509" i="17" s="1"/>
  <c r="U445" i="17"/>
  <c r="AF445" i="17" s="1"/>
  <c r="U381" i="17"/>
  <c r="AF381" i="17" s="1"/>
  <c r="U317" i="17"/>
  <c r="AF317" i="17" s="1"/>
  <c r="U253" i="17"/>
  <c r="AF253" i="17" s="1"/>
  <c r="U189" i="17"/>
  <c r="AF189" i="17" s="1"/>
  <c r="U125" i="17"/>
  <c r="AF125" i="17" s="1"/>
  <c r="U61" i="17"/>
  <c r="AF61" i="17" s="1"/>
  <c r="U250" i="17"/>
  <c r="AF250" i="17" s="1"/>
  <c r="U604" i="17"/>
  <c r="AF604" i="17" s="1"/>
  <c r="U540" i="17"/>
  <c r="AF540" i="17" s="1"/>
  <c r="U476" i="17"/>
  <c r="AF476" i="17" s="1"/>
  <c r="U412" i="17"/>
  <c r="AF412" i="17" s="1"/>
  <c r="U348" i="17"/>
  <c r="AF348" i="17" s="1"/>
  <c r="U284" i="17"/>
  <c r="AF284" i="17" s="1"/>
  <c r="U220" i="17"/>
  <c r="AF220" i="17" s="1"/>
  <c r="U156" i="17"/>
  <c r="AF156" i="17" s="1"/>
  <c r="U92" i="17"/>
  <c r="AF92" i="17" s="1"/>
  <c r="U28" i="17"/>
  <c r="AF28" i="17" s="1"/>
  <c r="U138" i="17"/>
  <c r="AF138" i="17" s="1"/>
  <c r="U579" i="17"/>
  <c r="AF579" i="17" s="1"/>
  <c r="U515" i="17"/>
  <c r="AF515" i="17" s="1"/>
  <c r="U451" i="17"/>
  <c r="AF451" i="17" s="1"/>
  <c r="U387" i="17"/>
  <c r="AF387" i="17" s="1"/>
  <c r="U323" i="17"/>
  <c r="AF323" i="17" s="1"/>
  <c r="U259" i="17"/>
  <c r="AF259" i="17" s="1"/>
  <c r="U195" i="17"/>
  <c r="AF195" i="17" s="1"/>
  <c r="U131" i="17"/>
  <c r="AF131" i="17" s="1"/>
  <c r="U67" i="17"/>
  <c r="AF67" i="17" s="1"/>
  <c r="U282" i="17"/>
  <c r="AF282" i="17" s="1"/>
  <c r="U66" i="17"/>
  <c r="AF66" i="17" s="1"/>
  <c r="U554" i="17"/>
  <c r="AF554" i="17" s="1"/>
  <c r="U490" i="17"/>
  <c r="AF490" i="17" s="1"/>
  <c r="U426" i="17"/>
  <c r="AF426" i="17" s="1"/>
  <c r="U346" i="17"/>
  <c r="AF346" i="17" s="1"/>
  <c r="U234" i="17"/>
  <c r="AF234" i="17" s="1"/>
  <c r="U585" i="17"/>
  <c r="AF585" i="17" s="1"/>
  <c r="U521" i="17"/>
  <c r="AF521" i="17" s="1"/>
  <c r="U457" i="17"/>
  <c r="AF457" i="17" s="1"/>
  <c r="U393" i="17"/>
  <c r="AF393" i="17" s="1"/>
  <c r="U329" i="17"/>
  <c r="AF329" i="17" s="1"/>
  <c r="U265" i="17"/>
  <c r="AF265" i="17" s="1"/>
  <c r="U560" i="17"/>
  <c r="AF560" i="17" s="1"/>
  <c r="U496" i="17"/>
  <c r="AF496" i="17" s="1"/>
  <c r="U432" i="17"/>
  <c r="AF432" i="17" s="1"/>
  <c r="U368" i="17"/>
  <c r="AF368" i="17" s="1"/>
  <c r="U304" i="17"/>
  <c r="AF304" i="17" s="1"/>
  <c r="U240" i="17"/>
  <c r="AF240" i="17" s="1"/>
  <c r="U176" i="17"/>
  <c r="AF176" i="17" s="1"/>
  <c r="U112" i="17"/>
  <c r="AF112" i="17" s="1"/>
  <c r="U48" i="17"/>
  <c r="AF48" i="17" s="1"/>
  <c r="U583" i="17"/>
  <c r="AF583" i="17" s="1"/>
  <c r="U295" i="17"/>
  <c r="AF295" i="17" s="1"/>
  <c r="U25" i="17"/>
  <c r="AF25" i="17" s="1"/>
  <c r="U543" i="17"/>
  <c r="AF543" i="17" s="1"/>
  <c r="U535" i="17"/>
  <c r="AF535" i="17" s="1"/>
  <c r="U137" i="17"/>
  <c r="AF137" i="17" s="1"/>
  <c r="U598" i="17"/>
  <c r="AF598" i="17" s="1"/>
  <c r="U534" i="17"/>
  <c r="AF534" i="17" s="1"/>
  <c r="U470" i="17"/>
  <c r="AF470" i="17" s="1"/>
  <c r="U406" i="17"/>
  <c r="AF406" i="17" s="1"/>
  <c r="U342" i="17"/>
  <c r="AF342" i="17" s="1"/>
  <c r="U278" i="17"/>
  <c r="AF278" i="17" s="1"/>
  <c r="U214" i="17"/>
  <c r="AF214" i="17" s="1"/>
  <c r="U150" i="17"/>
  <c r="AF150" i="17" s="1"/>
  <c r="U86" i="17"/>
  <c r="AF86" i="17" s="1"/>
  <c r="U22" i="17"/>
  <c r="AF22" i="17" s="1"/>
  <c r="U565" i="17"/>
  <c r="AF565" i="17" s="1"/>
  <c r="U501" i="17"/>
  <c r="AF501" i="17" s="1"/>
  <c r="U437" i="17"/>
  <c r="AF437" i="17" s="1"/>
  <c r="U373" i="17"/>
  <c r="AF373" i="17" s="1"/>
  <c r="U309" i="17"/>
  <c r="AF309" i="17" s="1"/>
  <c r="U245" i="17"/>
  <c r="AF245" i="17" s="1"/>
  <c r="U181" i="17"/>
  <c r="AF181" i="17" s="1"/>
  <c r="U117" i="17"/>
  <c r="AF117" i="17" s="1"/>
  <c r="U53" i="17"/>
  <c r="AF53" i="17" s="1"/>
  <c r="U210" i="17"/>
  <c r="AF210" i="17" s="1"/>
  <c r="U596" i="17"/>
  <c r="AF596" i="17" s="1"/>
  <c r="U532" i="17"/>
  <c r="AF532" i="17" s="1"/>
  <c r="U468" i="17"/>
  <c r="AF468" i="17" s="1"/>
  <c r="U404" i="17"/>
  <c r="AF404" i="17" s="1"/>
  <c r="U340" i="17"/>
  <c r="AF340" i="17" s="1"/>
  <c r="U276" i="17"/>
  <c r="AF276" i="17" s="1"/>
  <c r="U212" i="17"/>
  <c r="AF212" i="17" s="1"/>
  <c r="U148" i="17"/>
  <c r="AF148" i="17" s="1"/>
  <c r="U84" i="17"/>
  <c r="AF84" i="17" s="1"/>
  <c r="U20" i="17"/>
  <c r="AF20" i="17" s="1"/>
  <c r="U122" i="17"/>
  <c r="AF122" i="17" s="1"/>
  <c r="U571" i="17"/>
  <c r="AF571" i="17" s="1"/>
  <c r="U507" i="17"/>
  <c r="AF507" i="17" s="1"/>
  <c r="U443" i="17"/>
  <c r="AF443" i="17" s="1"/>
  <c r="U379" i="17"/>
  <c r="AF379" i="17" s="1"/>
  <c r="U315" i="17"/>
  <c r="AF315" i="17" s="1"/>
  <c r="U251" i="17"/>
  <c r="AF251" i="17" s="1"/>
  <c r="U187" i="17"/>
  <c r="AF187" i="17" s="1"/>
  <c r="U123" i="17"/>
  <c r="AF123" i="17" s="1"/>
  <c r="U59" i="17"/>
  <c r="AF59" i="17" s="1"/>
  <c r="U242" i="17"/>
  <c r="AF242" i="17" s="1"/>
  <c r="U610" i="17"/>
  <c r="AF610" i="17" s="1"/>
  <c r="U546" i="17"/>
  <c r="AF546" i="17" s="1"/>
  <c r="U482" i="17"/>
  <c r="AF482" i="17" s="1"/>
  <c r="U590" i="17"/>
  <c r="AF590" i="17" s="1"/>
  <c r="U526" i="17"/>
  <c r="AF526" i="17" s="1"/>
  <c r="U462" i="17"/>
  <c r="AF462" i="17" s="1"/>
  <c r="U398" i="17"/>
  <c r="AF398" i="17" s="1"/>
  <c r="U334" i="17"/>
  <c r="AF334" i="17" s="1"/>
  <c r="U270" i="17"/>
  <c r="AF270" i="17" s="1"/>
  <c r="U206" i="17"/>
  <c r="AF206" i="17" s="1"/>
  <c r="U142" i="17"/>
  <c r="AF142" i="17" s="1"/>
  <c r="U78" i="17"/>
  <c r="AF78" i="17" s="1"/>
  <c r="U14" i="17"/>
  <c r="AF14" i="17" s="1"/>
  <c r="U557" i="17"/>
  <c r="AF557" i="17" s="1"/>
  <c r="U493" i="17"/>
  <c r="AF493" i="17" s="1"/>
  <c r="U429" i="17"/>
  <c r="AF429" i="17" s="1"/>
  <c r="U365" i="17"/>
  <c r="AF365" i="17" s="1"/>
  <c r="U301" i="17"/>
  <c r="AF301" i="17" s="1"/>
  <c r="U237" i="17"/>
  <c r="AF237" i="17" s="1"/>
  <c r="U173" i="17"/>
  <c r="AF173" i="17" s="1"/>
  <c r="U109" i="17"/>
  <c r="AF109" i="17" s="1"/>
  <c r="U45" i="17"/>
  <c r="AF45" i="17" s="1"/>
  <c r="U178" i="17"/>
  <c r="AF178" i="17" s="1"/>
  <c r="U588" i="17"/>
  <c r="AF588" i="17" s="1"/>
  <c r="U524" i="17"/>
  <c r="AF524" i="17" s="1"/>
  <c r="U460" i="17"/>
  <c r="AF460" i="17" s="1"/>
  <c r="U396" i="17"/>
  <c r="AF396" i="17" s="1"/>
  <c r="U332" i="17"/>
  <c r="AF332" i="17" s="1"/>
  <c r="U268" i="17"/>
  <c r="AF268" i="17" s="1"/>
  <c r="U204" i="17"/>
  <c r="AF204" i="17" s="1"/>
  <c r="U140" i="17"/>
  <c r="AF140" i="17" s="1"/>
  <c r="U76" i="17"/>
  <c r="AF76" i="17" s="1"/>
  <c r="U370" i="17"/>
  <c r="AF370" i="17" s="1"/>
  <c r="U90" i="17"/>
  <c r="AF90" i="17" s="1"/>
  <c r="U563" i="17"/>
  <c r="AF563" i="17" s="1"/>
  <c r="U499" i="17"/>
  <c r="AF499" i="17" s="1"/>
  <c r="U435" i="17"/>
  <c r="AF435" i="17" s="1"/>
  <c r="U371" i="17"/>
  <c r="AF371" i="17" s="1"/>
  <c r="U307" i="17"/>
  <c r="AF307" i="17" s="1"/>
  <c r="U243" i="17"/>
  <c r="AF243" i="17" s="1"/>
  <c r="U179" i="17"/>
  <c r="AF179" i="17" s="1"/>
  <c r="U115" i="17"/>
  <c r="AF115" i="17" s="1"/>
  <c r="U51" i="17"/>
  <c r="AF51" i="17" s="1"/>
  <c r="U218" i="17"/>
  <c r="AF218" i="17" s="1"/>
  <c r="U602" i="17"/>
  <c r="AF602" i="17" s="1"/>
  <c r="U538" i="17"/>
  <c r="AF538" i="17" s="1"/>
  <c r="U474" i="17"/>
  <c r="AF474" i="17" s="1"/>
  <c r="U410" i="17"/>
  <c r="AF410" i="17" s="1"/>
  <c r="U330" i="17"/>
  <c r="AF330" i="17" s="1"/>
  <c r="U154" i="17"/>
  <c r="AF154" i="17" s="1"/>
  <c r="U569" i="17"/>
  <c r="AF569" i="17" s="1"/>
  <c r="U505" i="17"/>
  <c r="AF505" i="17" s="1"/>
  <c r="U441" i="17"/>
  <c r="AF441" i="17" s="1"/>
  <c r="U377" i="17"/>
  <c r="AF377" i="17" s="1"/>
  <c r="U313" i="17"/>
  <c r="AF313" i="17" s="1"/>
  <c r="U608" i="17"/>
  <c r="AF608" i="17" s="1"/>
  <c r="U544" i="17"/>
  <c r="AF544" i="17" s="1"/>
  <c r="U480" i="17"/>
  <c r="AF480" i="17" s="1"/>
  <c r="U416" i="17"/>
  <c r="AF416" i="17" s="1"/>
  <c r="U352" i="17"/>
  <c r="AF352" i="17" s="1"/>
  <c r="U288" i="17"/>
  <c r="AF288" i="17" s="1"/>
  <c r="U224" i="17"/>
  <c r="AF224" i="17" s="1"/>
  <c r="U160" i="17"/>
  <c r="AF160" i="17" s="1"/>
  <c r="U96" i="17"/>
  <c r="AF96" i="17" s="1"/>
  <c r="U32" i="17"/>
  <c r="AF32" i="17" s="1"/>
  <c r="U567" i="17"/>
  <c r="AF567" i="17" s="1"/>
  <c r="U209" i="17"/>
  <c r="AF209" i="17" s="1"/>
  <c r="U207" i="17"/>
  <c r="AF207" i="17" s="1"/>
  <c r="U582" i="17"/>
  <c r="AF582" i="17" s="1"/>
  <c r="U518" i="17"/>
  <c r="AF518" i="17" s="1"/>
  <c r="U454" i="17"/>
  <c r="AF454" i="17" s="1"/>
  <c r="U390" i="17"/>
  <c r="AF390" i="17" s="1"/>
  <c r="U326" i="17"/>
  <c r="AF326" i="17" s="1"/>
  <c r="U262" i="17"/>
  <c r="AF262" i="17" s="1"/>
  <c r="U198" i="17"/>
  <c r="AF198" i="17" s="1"/>
  <c r="U134" i="17"/>
  <c r="AF134" i="17" s="1"/>
  <c r="U70" i="17"/>
  <c r="AF70" i="17" s="1"/>
  <c r="U613" i="17"/>
  <c r="AF613" i="17" s="1"/>
  <c r="U549" i="17"/>
  <c r="AF549" i="17" s="1"/>
  <c r="U485" i="17"/>
  <c r="AF485" i="17" s="1"/>
  <c r="U421" i="17"/>
  <c r="AF421" i="17" s="1"/>
  <c r="U357" i="17"/>
  <c r="AF357" i="17" s="1"/>
  <c r="U293" i="17"/>
  <c r="AF293" i="17" s="1"/>
  <c r="U229" i="17"/>
  <c r="AF229" i="17" s="1"/>
  <c r="U165" i="17"/>
  <c r="AF165" i="17" s="1"/>
  <c r="U101" i="17"/>
  <c r="AF101" i="17" s="1"/>
  <c r="U37" i="17"/>
  <c r="AF37" i="17" s="1"/>
  <c r="U146" i="17"/>
  <c r="AF146" i="17" s="1"/>
  <c r="U580" i="17"/>
  <c r="AF580" i="17" s="1"/>
  <c r="U516" i="17"/>
  <c r="AF516" i="17" s="1"/>
  <c r="U452" i="17"/>
  <c r="AF452" i="17" s="1"/>
  <c r="U388" i="17"/>
  <c r="AF388" i="17" s="1"/>
  <c r="U324" i="17"/>
  <c r="AF324" i="17" s="1"/>
  <c r="U260" i="17"/>
  <c r="AF260" i="17" s="1"/>
  <c r="U196" i="17"/>
  <c r="AF196" i="17" s="1"/>
  <c r="U132" i="17"/>
  <c r="AF132" i="17" s="1"/>
  <c r="U68" i="17"/>
  <c r="AF68" i="17" s="1"/>
  <c r="U290" i="17"/>
  <c r="AF290" i="17" s="1"/>
  <c r="U58" i="17"/>
  <c r="AF58" i="17" s="1"/>
  <c r="U555" i="17"/>
  <c r="AF555" i="17" s="1"/>
  <c r="U491" i="17"/>
  <c r="AF491" i="17" s="1"/>
  <c r="U427" i="17"/>
  <c r="AF427" i="17" s="1"/>
  <c r="U363" i="17"/>
  <c r="AF363" i="17" s="1"/>
  <c r="U299" i="17"/>
  <c r="AF299" i="17" s="1"/>
  <c r="U235" i="17"/>
  <c r="AF235" i="17" s="1"/>
  <c r="U171" i="17"/>
  <c r="AF171" i="17" s="1"/>
  <c r="U107" i="17"/>
  <c r="AF107" i="17" s="1"/>
  <c r="U43" i="17"/>
  <c r="AF43" i="17" s="1"/>
  <c r="U194" i="17"/>
  <c r="AF194" i="17" s="1"/>
  <c r="U594" i="17"/>
  <c r="AF594" i="17" s="1"/>
  <c r="U530" i="17"/>
  <c r="AF530" i="17" s="1"/>
  <c r="U466" i="17"/>
  <c r="AF466" i="17" s="1"/>
  <c r="U574" i="17"/>
  <c r="AF574" i="17" s="1"/>
  <c r="U510" i="17"/>
  <c r="AF510" i="17" s="1"/>
  <c r="U446" i="17"/>
  <c r="AF446" i="17" s="1"/>
  <c r="U382" i="17"/>
  <c r="AF382" i="17" s="1"/>
  <c r="U318" i="17"/>
  <c r="AF318" i="17" s="1"/>
  <c r="U254" i="17"/>
  <c r="AF254" i="17" s="1"/>
  <c r="U190" i="17"/>
  <c r="AF190" i="17" s="1"/>
  <c r="U126" i="17"/>
  <c r="AF126" i="17" s="1"/>
  <c r="U62" i="17"/>
  <c r="AF62" i="17" s="1"/>
  <c r="U605" i="17"/>
  <c r="AF605" i="17" s="1"/>
  <c r="U541" i="17"/>
  <c r="AF541" i="17" s="1"/>
  <c r="U477" i="17"/>
  <c r="AF477" i="17" s="1"/>
  <c r="U413" i="17"/>
  <c r="AF413" i="17" s="1"/>
  <c r="U349" i="17"/>
  <c r="AF349" i="17" s="1"/>
  <c r="U285" i="17"/>
  <c r="AF285" i="17" s="1"/>
  <c r="U221" i="17"/>
  <c r="AF221" i="17" s="1"/>
  <c r="U157" i="17"/>
  <c r="AF157" i="17" s="1"/>
  <c r="U93" i="17"/>
  <c r="AF93" i="17" s="1"/>
  <c r="U29" i="17"/>
  <c r="AF29" i="17" s="1"/>
  <c r="U114" i="17"/>
  <c r="AF114" i="17" s="1"/>
  <c r="U572" i="17"/>
  <c r="AF572" i="17" s="1"/>
  <c r="U508" i="17"/>
  <c r="AF508" i="17" s="1"/>
  <c r="U444" i="17"/>
  <c r="AF444" i="17" s="1"/>
  <c r="U380" i="17"/>
  <c r="AF380" i="17" s="1"/>
  <c r="U316" i="17"/>
  <c r="AF316" i="17" s="1"/>
  <c r="U252" i="17"/>
  <c r="AF252" i="17" s="1"/>
  <c r="U188" i="17"/>
  <c r="AF188" i="17" s="1"/>
  <c r="U124" i="17"/>
  <c r="AF124" i="17" s="1"/>
  <c r="U60" i="17"/>
  <c r="AF60" i="17" s="1"/>
  <c r="U258" i="17"/>
  <c r="AF258" i="17" s="1"/>
  <c r="U611" i="17"/>
  <c r="AF611" i="17" s="1"/>
  <c r="U547" i="17"/>
  <c r="AF547" i="17" s="1"/>
  <c r="U483" i="17"/>
  <c r="AF483" i="17" s="1"/>
  <c r="U419" i="17"/>
  <c r="AF419" i="17" s="1"/>
  <c r="U355" i="17"/>
  <c r="AF355" i="17" s="1"/>
  <c r="U291" i="17"/>
  <c r="AF291" i="17" s="1"/>
  <c r="U227" i="17"/>
  <c r="AF227" i="17" s="1"/>
  <c r="U163" i="17"/>
  <c r="AF163" i="17" s="1"/>
  <c r="U99" i="17"/>
  <c r="AF99" i="17" s="1"/>
  <c r="U35" i="17"/>
  <c r="AF35" i="17" s="1"/>
  <c r="U162" i="17"/>
  <c r="AF162" i="17" s="1"/>
  <c r="U586" i="17"/>
  <c r="AF586" i="17" s="1"/>
  <c r="U522" i="17"/>
  <c r="AF522" i="17" s="1"/>
  <c r="U458" i="17"/>
  <c r="AF458" i="17" s="1"/>
  <c r="U394" i="17"/>
  <c r="AF394" i="17" s="1"/>
  <c r="U306" i="17"/>
  <c r="AF306" i="17" s="1"/>
  <c r="U50" i="17"/>
  <c r="AF50" i="17" s="1"/>
  <c r="U553" i="17"/>
  <c r="AF553" i="17" s="1"/>
  <c r="U489" i="17"/>
  <c r="AF489" i="17" s="1"/>
  <c r="U425" i="17"/>
  <c r="AF425" i="17" s="1"/>
  <c r="U361" i="17"/>
  <c r="AF361" i="17" s="1"/>
  <c r="U297" i="17"/>
  <c r="AF297" i="17" s="1"/>
  <c r="U592" i="17"/>
  <c r="AF592" i="17" s="1"/>
  <c r="U528" i="17"/>
  <c r="AF528" i="17" s="1"/>
  <c r="U464" i="17"/>
  <c r="AF464" i="17" s="1"/>
  <c r="U400" i="17"/>
  <c r="AF400" i="17" s="1"/>
  <c r="U336" i="17"/>
  <c r="AF336" i="17" s="1"/>
  <c r="U272" i="17"/>
  <c r="AF272" i="17" s="1"/>
  <c r="U208" i="17"/>
  <c r="AF208" i="17" s="1"/>
  <c r="U144" i="17"/>
  <c r="AF144" i="17" s="1"/>
  <c r="U80" i="17"/>
  <c r="AF80" i="17" s="1"/>
  <c r="U16" i="17"/>
  <c r="AF16" i="17" s="1"/>
  <c r="U551" i="17"/>
  <c r="AF551" i="17" s="1"/>
  <c r="U145" i="17"/>
  <c r="AF145" i="17" s="1"/>
  <c r="U111" i="17"/>
  <c r="AF111" i="17" s="1"/>
  <c r="U239" i="17"/>
  <c r="AF239" i="17" s="1"/>
  <c r="U279" i="17"/>
  <c r="AF279" i="17" s="1"/>
  <c r="U18" i="17"/>
  <c r="AF18" i="17" s="1"/>
  <c r="U399" i="17"/>
  <c r="AF399" i="17" s="1"/>
  <c r="U39" i="17"/>
  <c r="AF39" i="17" s="1"/>
  <c r="U225" i="17"/>
  <c r="AF225" i="17" s="1"/>
  <c r="U255" i="17"/>
  <c r="AF255" i="17" s="1"/>
  <c r="U447" i="17"/>
  <c r="AF447" i="17" s="1"/>
  <c r="U439" i="17"/>
  <c r="AF439" i="17" s="1"/>
  <c r="U89" i="17"/>
  <c r="AF89" i="17" s="1"/>
  <c r="U456" i="17"/>
  <c r="AF456" i="17" s="1"/>
  <c r="U264" i="17"/>
  <c r="AF264" i="17" s="1"/>
  <c r="U136" i="17"/>
  <c r="AF136" i="17" s="1"/>
  <c r="U607" i="17"/>
  <c r="AF607" i="17" s="1"/>
  <c r="U487" i="17"/>
  <c r="AF487" i="17" s="1"/>
  <c r="U47" i="17"/>
  <c r="AF47" i="17" s="1"/>
  <c r="U175" i="17"/>
  <c r="AF175" i="17" s="1"/>
  <c r="U71" i="17"/>
  <c r="AF71" i="17" s="1"/>
  <c r="U335" i="17"/>
  <c r="AF335" i="17" s="1"/>
  <c r="U193" i="17"/>
  <c r="AF193" i="17" s="1"/>
  <c r="U566" i="17"/>
  <c r="AF566" i="17" s="1"/>
  <c r="U502" i="17"/>
  <c r="AF502" i="17" s="1"/>
  <c r="U438" i="17"/>
  <c r="AF438" i="17" s="1"/>
  <c r="U374" i="17"/>
  <c r="AF374" i="17" s="1"/>
  <c r="U310" i="17"/>
  <c r="AF310" i="17" s="1"/>
  <c r="U246" i="17"/>
  <c r="AF246" i="17" s="1"/>
  <c r="U182" i="17"/>
  <c r="AF182" i="17" s="1"/>
  <c r="U118" i="17"/>
  <c r="AF118" i="17" s="1"/>
  <c r="U54" i="17"/>
  <c r="AF54" i="17" s="1"/>
  <c r="U597" i="17"/>
  <c r="AF597" i="17" s="1"/>
  <c r="U533" i="17"/>
  <c r="AF533" i="17" s="1"/>
  <c r="U469" i="17"/>
  <c r="AF469" i="17" s="1"/>
  <c r="U405" i="17"/>
  <c r="AF405" i="17" s="1"/>
  <c r="U341" i="17"/>
  <c r="AF341" i="17" s="1"/>
  <c r="U277" i="17"/>
  <c r="AF277" i="17" s="1"/>
  <c r="U213" i="17"/>
  <c r="AF213" i="17" s="1"/>
  <c r="U149" i="17"/>
  <c r="AF149" i="17" s="1"/>
  <c r="U85" i="17"/>
  <c r="AF85" i="17" s="1"/>
  <c r="U21" i="17"/>
  <c r="AF21" i="17" s="1"/>
  <c r="U74" i="17"/>
  <c r="AF74" i="17" s="1"/>
  <c r="U564" i="17"/>
  <c r="AF564" i="17" s="1"/>
  <c r="U500" i="17"/>
  <c r="AF500" i="17" s="1"/>
  <c r="U436" i="17"/>
  <c r="AF436" i="17" s="1"/>
  <c r="U372" i="17"/>
  <c r="AF372" i="17" s="1"/>
  <c r="U308" i="17"/>
  <c r="AF308" i="17" s="1"/>
  <c r="U244" i="17"/>
  <c r="AF244" i="17" s="1"/>
  <c r="U180" i="17"/>
  <c r="AF180" i="17" s="1"/>
  <c r="U116" i="17"/>
  <c r="AF116" i="17" s="1"/>
  <c r="U52" i="17"/>
  <c r="AF52" i="17" s="1"/>
  <c r="U226" i="17"/>
  <c r="AF226" i="17" s="1"/>
  <c r="U603" i="17"/>
  <c r="AF603" i="17" s="1"/>
  <c r="U539" i="17"/>
  <c r="AF539" i="17" s="1"/>
  <c r="U475" i="17"/>
  <c r="AF475" i="17" s="1"/>
  <c r="U411" i="17"/>
  <c r="AF411" i="17" s="1"/>
  <c r="U347" i="17"/>
  <c r="AF347" i="17" s="1"/>
  <c r="U283" i="17"/>
  <c r="AF283" i="17" s="1"/>
  <c r="U219" i="17"/>
  <c r="AF219" i="17" s="1"/>
  <c r="U155" i="17"/>
  <c r="AF155" i="17" s="1"/>
  <c r="U91" i="17"/>
  <c r="AF91" i="17" s="1"/>
  <c r="U27" i="17"/>
  <c r="AF27" i="17" s="1"/>
  <c r="U130" i="17"/>
  <c r="AF130" i="17" s="1"/>
  <c r="U578" i="17"/>
  <c r="AF578" i="17" s="1"/>
  <c r="U514" i="17"/>
  <c r="AF514" i="17" s="1"/>
  <c r="U450" i="17"/>
  <c r="AF450" i="17" s="1"/>
  <c r="U386" i="17"/>
  <c r="AF386" i="17" s="1"/>
  <c r="U298" i="17"/>
  <c r="AF298" i="17" s="1"/>
  <c r="U609" i="17"/>
  <c r="AF609" i="17" s="1"/>
  <c r="U545" i="17"/>
  <c r="AF545" i="17" s="1"/>
  <c r="U481" i="17"/>
  <c r="AF481" i="17" s="1"/>
  <c r="U417" i="17"/>
  <c r="AF417" i="17" s="1"/>
  <c r="U353" i="17"/>
  <c r="AF353" i="17" s="1"/>
  <c r="U289" i="17"/>
  <c r="AF289" i="17" s="1"/>
  <c r="U584" i="17"/>
  <c r="AF584" i="17" s="1"/>
  <c r="U520" i="17"/>
  <c r="AF520" i="17" s="1"/>
  <c r="U392" i="17"/>
  <c r="AF392" i="17" s="1"/>
  <c r="U328" i="17"/>
  <c r="AF328" i="17" s="1"/>
  <c r="U200" i="17"/>
  <c r="AF200" i="17" s="1"/>
  <c r="U72" i="17"/>
  <c r="AF72" i="17" s="1"/>
  <c r="U113" i="17"/>
  <c r="AF113" i="17" s="1"/>
  <c r="U233" i="17"/>
  <c r="AF233" i="17" s="1"/>
  <c r="U431" i="17"/>
  <c r="AF431" i="17" s="1"/>
  <c r="U558" i="17"/>
  <c r="AF558" i="17" s="1"/>
  <c r="U494" i="17"/>
  <c r="AF494" i="17" s="1"/>
  <c r="U430" i="17"/>
  <c r="AF430" i="17" s="1"/>
  <c r="U366" i="17"/>
  <c r="AF366" i="17" s="1"/>
  <c r="U302" i="17"/>
  <c r="AF302" i="17" s="1"/>
  <c r="U238" i="17"/>
  <c r="AF238" i="17" s="1"/>
  <c r="U174" i="17"/>
  <c r="AF174" i="17" s="1"/>
  <c r="U110" i="17"/>
  <c r="AF110" i="17" s="1"/>
  <c r="U46" i="17"/>
  <c r="AF46" i="17" s="1"/>
  <c r="U589" i="17"/>
  <c r="AF589" i="17" s="1"/>
  <c r="U525" i="17"/>
  <c r="AF525" i="17" s="1"/>
  <c r="U461" i="17"/>
  <c r="AF461" i="17" s="1"/>
  <c r="U397" i="17"/>
  <c r="AF397" i="17" s="1"/>
  <c r="U333" i="17"/>
  <c r="AF333" i="17" s="1"/>
  <c r="U269" i="17"/>
  <c r="AF269" i="17" s="1"/>
  <c r="U205" i="17"/>
  <c r="AF205" i="17" s="1"/>
  <c r="U141" i="17"/>
  <c r="AF141" i="17" s="1"/>
  <c r="U77" i="17"/>
  <c r="AF77" i="17" s="1"/>
  <c r="U13" i="17"/>
  <c r="AF13" i="17" s="1"/>
  <c r="U42" i="17"/>
  <c r="AF42" i="17" s="1"/>
  <c r="U556" i="17"/>
  <c r="AF556" i="17" s="1"/>
  <c r="U492" i="17"/>
  <c r="AF492" i="17" s="1"/>
  <c r="U428" i="17"/>
  <c r="AF428" i="17" s="1"/>
  <c r="U364" i="17"/>
  <c r="AF364" i="17" s="1"/>
  <c r="U300" i="17"/>
  <c r="AF300" i="17" s="1"/>
  <c r="U236" i="17"/>
  <c r="AF236" i="17" s="1"/>
  <c r="U172" i="17"/>
  <c r="AF172" i="17" s="1"/>
  <c r="U108" i="17"/>
  <c r="AF108" i="17" s="1"/>
  <c r="U44" i="17"/>
  <c r="AF44" i="17" s="1"/>
  <c r="U202" i="17"/>
  <c r="AF202" i="17" s="1"/>
  <c r="U595" i="17"/>
  <c r="AF595" i="17" s="1"/>
  <c r="U531" i="17"/>
  <c r="AF531" i="17" s="1"/>
  <c r="U467" i="17"/>
  <c r="AF467" i="17" s="1"/>
  <c r="U403" i="17"/>
  <c r="AF403" i="17" s="1"/>
  <c r="U339" i="17"/>
  <c r="AF339" i="17" s="1"/>
  <c r="U275" i="17"/>
  <c r="AF275" i="17" s="1"/>
  <c r="U211" i="17"/>
  <c r="AF211" i="17" s="1"/>
  <c r="U147" i="17"/>
  <c r="AF147" i="17" s="1"/>
  <c r="U83" i="17"/>
  <c r="AF83" i="17" s="1"/>
  <c r="U19" i="17"/>
  <c r="AF19" i="17" s="1"/>
  <c r="U106" i="17"/>
  <c r="AF106" i="17" s="1"/>
  <c r="U570" i="17"/>
  <c r="AF570" i="17" s="1"/>
  <c r="U506" i="17"/>
  <c r="AF506" i="17" s="1"/>
  <c r="U442" i="17"/>
  <c r="AF442" i="17" s="1"/>
  <c r="U362" i="17"/>
  <c r="AF362" i="17" s="1"/>
  <c r="U274" i="17"/>
  <c r="AF274" i="17" s="1"/>
  <c r="U601" i="17"/>
  <c r="AF601" i="17" s="1"/>
  <c r="U537" i="17"/>
  <c r="AF537" i="17" s="1"/>
  <c r="U473" i="17"/>
  <c r="AF473" i="17" s="1"/>
  <c r="U409" i="17"/>
  <c r="AF409" i="17" s="1"/>
  <c r="U345" i="17"/>
  <c r="AF345" i="17" s="1"/>
  <c r="U281" i="17"/>
  <c r="AF281" i="17" s="1"/>
  <c r="U576" i="17"/>
  <c r="AF576" i="17" s="1"/>
  <c r="U512" i="17"/>
  <c r="AF512" i="17" s="1"/>
  <c r="U448" i="17"/>
  <c r="AF448" i="17" s="1"/>
  <c r="U384" i="17"/>
  <c r="AF384" i="17" s="1"/>
  <c r="U320" i="17"/>
  <c r="AF320" i="17" s="1"/>
  <c r="U256" i="17"/>
  <c r="AF256" i="17" s="1"/>
  <c r="U192" i="17"/>
  <c r="AF192" i="17" s="1"/>
  <c r="U128" i="17"/>
  <c r="AF128" i="17" s="1"/>
  <c r="U64" i="17"/>
  <c r="AF64" i="17" s="1"/>
  <c r="U599" i="17"/>
  <c r="AF599" i="17" s="1"/>
  <c r="U423" i="17"/>
  <c r="AF423" i="17" s="1"/>
  <c r="U81" i="17"/>
  <c r="AF81" i="17" s="1"/>
  <c r="U23" i="17"/>
  <c r="AF23" i="17" s="1"/>
  <c r="U79" i="17"/>
  <c r="AF79" i="17" s="1"/>
  <c r="U201" i="17"/>
  <c r="AF201" i="17" s="1"/>
  <c r="U17" i="17"/>
  <c r="AF17" i="17" s="1"/>
  <c r="U271" i="17"/>
  <c r="AF271" i="17" s="1"/>
  <c r="U215" i="17"/>
  <c r="AF215" i="17" s="1"/>
  <c r="U161" i="17"/>
  <c r="AF161" i="17" s="1"/>
  <c r="U127" i="17"/>
  <c r="AF127" i="17" s="1"/>
  <c r="U319" i="17"/>
  <c r="AF319" i="17" s="1"/>
  <c r="U311" i="17"/>
  <c r="AF311" i="17" s="1"/>
  <c r="U31" i="17"/>
  <c r="AF31" i="17" s="1"/>
  <c r="U550" i="17"/>
  <c r="AF550" i="17" s="1"/>
  <c r="U38" i="17"/>
  <c r="AF38" i="17" s="1"/>
  <c r="U133" i="17"/>
  <c r="AF133" i="17" s="1"/>
  <c r="U292" i="17"/>
  <c r="AF292" i="17" s="1"/>
  <c r="U459" i="17"/>
  <c r="AF459" i="17" s="1"/>
  <c r="U82" i="17"/>
  <c r="AF82" i="17" s="1"/>
  <c r="U314" i="17"/>
  <c r="AF314" i="17" s="1"/>
  <c r="U513" i="17"/>
  <c r="AF513" i="17" s="1"/>
  <c r="U337" i="17"/>
  <c r="AF337" i="17" s="1"/>
  <c r="U536" i="17"/>
  <c r="AF536" i="17" s="1"/>
  <c r="U360" i="17"/>
  <c r="AF360" i="17" s="1"/>
  <c r="U184" i="17"/>
  <c r="AF184" i="17" s="1"/>
  <c r="U24" i="17"/>
  <c r="AF24" i="17" s="1"/>
  <c r="U287" i="17"/>
  <c r="AF287" i="17" s="1"/>
  <c r="U407" i="17"/>
  <c r="AF407" i="17" s="1"/>
  <c r="U26" i="17"/>
  <c r="AF26" i="17" s="1"/>
  <c r="U519" i="17"/>
  <c r="AF519" i="17" s="1"/>
  <c r="U34" i="17"/>
  <c r="AF34" i="17" s="1"/>
  <c r="U383" i="17"/>
  <c r="AF383" i="17" s="1"/>
  <c r="U217" i="17"/>
  <c r="AF217" i="17" s="1"/>
  <c r="U486" i="17"/>
  <c r="AF486" i="17" s="1"/>
  <c r="U581" i="17"/>
  <c r="AF581" i="17" s="1"/>
  <c r="U69" i="17"/>
  <c r="AF69" i="17" s="1"/>
  <c r="U228" i="17"/>
  <c r="AF228" i="17" s="1"/>
  <c r="U395" i="17"/>
  <c r="AF395" i="17" s="1"/>
  <c r="U562" i="17"/>
  <c r="AF562" i="17" s="1"/>
  <c r="U266" i="17"/>
  <c r="AF266" i="17" s="1"/>
  <c r="U497" i="17"/>
  <c r="AF497" i="17" s="1"/>
  <c r="U321" i="17"/>
  <c r="AF321" i="17" s="1"/>
  <c r="U504" i="17"/>
  <c r="AF504" i="17" s="1"/>
  <c r="U344" i="17"/>
  <c r="AF344" i="17" s="1"/>
  <c r="U168" i="17"/>
  <c r="AF168" i="17" s="1"/>
  <c r="U591" i="17"/>
  <c r="AF591" i="17" s="1"/>
  <c r="U527" i="17"/>
  <c r="AF527" i="17" s="1"/>
  <c r="U15" i="17"/>
  <c r="AF15" i="17" s="1"/>
  <c r="U422" i="17"/>
  <c r="AF422" i="17" s="1"/>
  <c r="U517" i="17"/>
  <c r="AF517" i="17" s="1"/>
  <c r="U322" i="17"/>
  <c r="AF322" i="17" s="1"/>
  <c r="U164" i="17"/>
  <c r="AF164" i="17" s="1"/>
  <c r="U331" i="17"/>
  <c r="AF331" i="17" s="1"/>
  <c r="U498" i="17"/>
  <c r="AF498" i="17" s="1"/>
  <c r="U186" i="17"/>
  <c r="AF186" i="17" s="1"/>
  <c r="U465" i="17"/>
  <c r="AF465" i="17" s="1"/>
  <c r="U305" i="17"/>
  <c r="AF305" i="17" s="1"/>
  <c r="U488" i="17"/>
  <c r="AF488" i="17" s="1"/>
  <c r="U312" i="17"/>
  <c r="AF312" i="17" s="1"/>
  <c r="U152" i="17"/>
  <c r="AF152" i="17" s="1"/>
  <c r="U575" i="17"/>
  <c r="AF575" i="17" s="1"/>
  <c r="U183" i="17"/>
  <c r="AF183" i="17" s="1"/>
  <c r="U169" i="17"/>
  <c r="AF169" i="17" s="1"/>
  <c r="U463" i="17"/>
  <c r="AF463" i="17" s="1"/>
  <c r="U391" i="17"/>
  <c r="AF391" i="17" s="1"/>
  <c r="U191" i="17"/>
  <c r="AF191" i="17" s="1"/>
  <c r="U159" i="17"/>
  <c r="AF159" i="17" s="1"/>
  <c r="U153" i="17"/>
  <c r="AF153" i="17" s="1"/>
  <c r="U63" i="17"/>
  <c r="AF63" i="17" s="1"/>
  <c r="U230" i="17"/>
  <c r="AF230" i="17" s="1"/>
  <c r="U402" i="17"/>
  <c r="AF402" i="17" s="1"/>
  <c r="U600" i="17"/>
  <c r="AF600" i="17" s="1"/>
  <c r="U88" i="17"/>
  <c r="AF88" i="17" s="1"/>
  <c r="U41" i="17"/>
  <c r="AF41" i="17" s="1"/>
  <c r="U247" i="17"/>
  <c r="AF247" i="17" s="1"/>
  <c r="U552" i="17"/>
  <c r="AF552" i="17" s="1"/>
  <c r="U49" i="17"/>
  <c r="AF49" i="17" s="1"/>
  <c r="U249" i="17"/>
  <c r="AF249" i="17" s="1"/>
  <c r="U455" i="17"/>
  <c r="AF455" i="17" s="1"/>
  <c r="U358" i="17"/>
  <c r="AF358" i="17" s="1"/>
  <c r="U453" i="17"/>
  <c r="AF453" i="17" s="1"/>
  <c r="U612" i="17"/>
  <c r="AF612" i="17" s="1"/>
  <c r="U100" i="17"/>
  <c r="AF100" i="17" s="1"/>
  <c r="U267" i="17"/>
  <c r="AF267" i="17" s="1"/>
  <c r="U434" i="17"/>
  <c r="AF434" i="17" s="1"/>
  <c r="U98" i="17"/>
  <c r="AF98" i="17" s="1"/>
  <c r="U449" i="17"/>
  <c r="AF449" i="17" s="1"/>
  <c r="U273" i="17"/>
  <c r="AF273" i="17" s="1"/>
  <c r="U472" i="17"/>
  <c r="AF472" i="17" s="1"/>
  <c r="U296" i="17"/>
  <c r="AF296" i="17" s="1"/>
  <c r="U120" i="17"/>
  <c r="AF120" i="17" s="1"/>
  <c r="U559" i="17"/>
  <c r="AF559" i="17" s="1"/>
  <c r="U479" i="17"/>
  <c r="AF479" i="17" s="1"/>
  <c r="U105" i="17"/>
  <c r="AF105" i="17" s="1"/>
  <c r="U231" i="17"/>
  <c r="AF231" i="17" s="1"/>
  <c r="U327" i="17"/>
  <c r="AF327" i="17" s="1"/>
  <c r="U95" i="17"/>
  <c r="AF95" i="17" s="1"/>
  <c r="U121" i="17"/>
  <c r="AF121" i="17" s="1"/>
  <c r="U484" i="17"/>
  <c r="AF484" i="17" s="1"/>
  <c r="U170" i="17"/>
  <c r="AF170" i="17" s="1"/>
  <c r="U577" i="17"/>
  <c r="AF577" i="17" s="1"/>
  <c r="U424" i="17"/>
  <c r="AF424" i="17" s="1"/>
  <c r="U241" i="17"/>
  <c r="AF241" i="17" s="1"/>
  <c r="U167" i="17"/>
  <c r="AF167" i="17" s="1"/>
  <c r="U503" i="17"/>
  <c r="AF503" i="17" s="1"/>
  <c r="U376" i="17"/>
  <c r="AF376" i="17" s="1"/>
  <c r="U471" i="17"/>
  <c r="AF471" i="17" s="1"/>
  <c r="U65" i="17"/>
  <c r="AF65" i="17" s="1"/>
  <c r="U143" i="17"/>
  <c r="AF143" i="17" s="1"/>
  <c r="U185" i="17"/>
  <c r="AF185" i="17" s="1"/>
  <c r="U294" i="17"/>
  <c r="AF294" i="17" s="1"/>
  <c r="U389" i="17"/>
  <c r="AF389" i="17" s="1"/>
  <c r="U548" i="17"/>
  <c r="AF548" i="17" s="1"/>
  <c r="U36" i="17"/>
  <c r="AF36" i="17" s="1"/>
  <c r="U203" i="17"/>
  <c r="AF203" i="17" s="1"/>
  <c r="U418" i="17"/>
  <c r="AF418" i="17" s="1"/>
  <c r="U593" i="17"/>
  <c r="AF593" i="17" s="1"/>
  <c r="U433" i="17"/>
  <c r="AF433" i="17" s="1"/>
  <c r="U257" i="17"/>
  <c r="AF257" i="17" s="1"/>
  <c r="U440" i="17"/>
  <c r="AF440" i="17" s="1"/>
  <c r="U280" i="17"/>
  <c r="AF280" i="17" s="1"/>
  <c r="U104" i="17"/>
  <c r="AF104" i="17" s="1"/>
  <c r="U359" i="17"/>
  <c r="AF359" i="17" s="1"/>
  <c r="U415" i="17"/>
  <c r="AF415" i="17" s="1"/>
  <c r="U73" i="17"/>
  <c r="AF73" i="17" s="1"/>
  <c r="U199" i="17"/>
  <c r="AF199" i="17" s="1"/>
  <c r="U263" i="17"/>
  <c r="AF263" i="17" s="1"/>
  <c r="U303" i="17"/>
  <c r="AF303" i="17" s="1"/>
  <c r="U151" i="17"/>
  <c r="AF151" i="17" s="1"/>
  <c r="U57" i="17"/>
  <c r="AF57" i="17" s="1"/>
  <c r="U325" i="17"/>
  <c r="AF325" i="17" s="1"/>
  <c r="U139" i="17"/>
  <c r="AF139" i="17" s="1"/>
  <c r="U401" i="17"/>
  <c r="AF401" i="17" s="1"/>
  <c r="U248" i="17"/>
  <c r="AF248" i="17" s="1"/>
  <c r="U351" i="17"/>
  <c r="AF351" i="17" s="1"/>
  <c r="U129" i="17"/>
  <c r="AF129" i="17" s="1"/>
  <c r="U495" i="17"/>
  <c r="AF495" i="17" s="1"/>
  <c r="U216" i="17"/>
  <c r="AF216" i="17" s="1"/>
  <c r="U367" i="17"/>
  <c r="AF367" i="17" s="1"/>
  <c r="U511" i="17"/>
  <c r="AF511" i="17" s="1"/>
  <c r="U343" i="17"/>
  <c r="AF343" i="17" s="1"/>
  <c r="U223" i="17"/>
  <c r="AF223" i="17" s="1"/>
  <c r="U166" i="17"/>
  <c r="AF166" i="17" s="1"/>
  <c r="U261" i="17"/>
  <c r="AF261" i="17" s="1"/>
  <c r="U420" i="17"/>
  <c r="AF420" i="17" s="1"/>
  <c r="U587" i="17"/>
  <c r="AF587" i="17" s="1"/>
  <c r="U75" i="17"/>
  <c r="AF75" i="17" s="1"/>
  <c r="U354" i="17"/>
  <c r="AF354" i="17" s="1"/>
  <c r="U561" i="17"/>
  <c r="AF561" i="17" s="1"/>
  <c r="U385" i="17"/>
  <c r="AF385" i="17" s="1"/>
  <c r="U568" i="17"/>
  <c r="AF568" i="17" s="1"/>
  <c r="U408" i="17"/>
  <c r="AF408" i="17" s="1"/>
  <c r="U232" i="17"/>
  <c r="AF232" i="17" s="1"/>
  <c r="U56" i="17"/>
  <c r="AF56" i="17" s="1"/>
  <c r="U177" i="17"/>
  <c r="AF177" i="17" s="1"/>
  <c r="U87" i="17"/>
  <c r="AF87" i="17" s="1"/>
  <c r="U33" i="17"/>
  <c r="AF33" i="17" s="1"/>
  <c r="U135" i="17"/>
  <c r="AF135" i="17" s="1"/>
  <c r="U97" i="17"/>
  <c r="AF97" i="17" s="1"/>
  <c r="U55" i="17"/>
  <c r="AF55" i="17" s="1"/>
  <c r="U375" i="17"/>
  <c r="AF375" i="17" s="1"/>
  <c r="U119" i="17"/>
  <c r="AF119" i="17" s="1"/>
  <c r="U102" i="17"/>
  <c r="AF102" i="17" s="1"/>
  <c r="U197" i="17"/>
  <c r="AF197" i="17" s="1"/>
  <c r="U356" i="17"/>
  <c r="AF356" i="17" s="1"/>
  <c r="U523" i="17"/>
  <c r="AF523" i="17" s="1"/>
  <c r="U378" i="17"/>
  <c r="AF378" i="17" s="1"/>
  <c r="U338" i="17"/>
  <c r="AF338" i="17" s="1"/>
  <c r="U529" i="17"/>
  <c r="AF529" i="17" s="1"/>
  <c r="U369" i="17"/>
  <c r="AF369" i="17" s="1"/>
  <c r="U40" i="17"/>
  <c r="AF40" i="17" s="1"/>
  <c r="U103" i="17"/>
  <c r="AF103" i="17" s="1"/>
  <c r="V606" i="17"/>
  <c r="AG606" i="17" s="1"/>
  <c r="V598" i="17"/>
  <c r="AG598" i="17" s="1"/>
  <c r="V590" i="17"/>
  <c r="AG590" i="17" s="1"/>
  <c r="V582" i="17"/>
  <c r="AG582" i="17" s="1"/>
  <c r="V574" i="17"/>
  <c r="AG574" i="17" s="1"/>
  <c r="V566" i="17"/>
  <c r="AG566" i="17" s="1"/>
  <c r="V558" i="17"/>
  <c r="AG558" i="17" s="1"/>
  <c r="V550" i="17"/>
  <c r="AG550" i="17" s="1"/>
  <c r="V542" i="17"/>
  <c r="AG542" i="17" s="1"/>
  <c r="V534" i="17"/>
  <c r="AG534" i="17" s="1"/>
  <c r="V526" i="17"/>
  <c r="AG526" i="17" s="1"/>
  <c r="V518" i="17"/>
  <c r="AG518" i="17" s="1"/>
  <c r="V510" i="17"/>
  <c r="AG510" i="17" s="1"/>
  <c r="V502" i="17"/>
  <c r="AG502" i="17" s="1"/>
  <c r="V494" i="17"/>
  <c r="AG494" i="17" s="1"/>
  <c r="V486" i="17"/>
  <c r="AG486" i="17" s="1"/>
  <c r="V478" i="17"/>
  <c r="AG478" i="17" s="1"/>
  <c r="V470" i="17"/>
  <c r="AG470" i="17" s="1"/>
  <c r="V462" i="17"/>
  <c r="AG462" i="17" s="1"/>
  <c r="V454" i="17"/>
  <c r="AG454" i="17" s="1"/>
  <c r="V446" i="17"/>
  <c r="AG446" i="17" s="1"/>
  <c r="V438" i="17"/>
  <c r="AG438" i="17" s="1"/>
  <c r="V430" i="17"/>
  <c r="AG430" i="17" s="1"/>
  <c r="V422" i="17"/>
  <c r="AG422" i="17" s="1"/>
  <c r="V414" i="17"/>
  <c r="AG414" i="17" s="1"/>
  <c r="V406" i="17"/>
  <c r="AG406" i="17" s="1"/>
  <c r="V398" i="17"/>
  <c r="AG398" i="17" s="1"/>
  <c r="V390" i="17"/>
  <c r="AG390" i="17" s="1"/>
  <c r="V382" i="17"/>
  <c r="AG382" i="17" s="1"/>
  <c r="V374" i="17"/>
  <c r="AG374" i="17" s="1"/>
  <c r="V366" i="17"/>
  <c r="AG366" i="17" s="1"/>
  <c r="V358" i="17"/>
  <c r="AG358" i="17" s="1"/>
  <c r="V350" i="17"/>
  <c r="AG350" i="17" s="1"/>
  <c r="V342" i="17"/>
  <c r="AG342" i="17" s="1"/>
  <c r="V334" i="17"/>
  <c r="AG334" i="17" s="1"/>
  <c r="V326" i="17"/>
  <c r="AG326" i="17" s="1"/>
  <c r="V318" i="17"/>
  <c r="AG318" i="17" s="1"/>
  <c r="V310" i="17"/>
  <c r="AG310" i="17" s="1"/>
  <c r="V302" i="17"/>
  <c r="AG302" i="17" s="1"/>
  <c r="V294" i="17"/>
  <c r="AG294" i="17" s="1"/>
  <c r="V286" i="17"/>
  <c r="AG286" i="17" s="1"/>
  <c r="V278" i="17"/>
  <c r="AG278" i="17" s="1"/>
  <c r="V270" i="17"/>
  <c r="AG270" i="17" s="1"/>
  <c r="V262" i="17"/>
  <c r="AG262" i="17" s="1"/>
  <c r="V254" i="17"/>
  <c r="AG254" i="17" s="1"/>
  <c r="V246" i="17"/>
  <c r="AG246" i="17" s="1"/>
  <c r="V238" i="17"/>
  <c r="AG238" i="17" s="1"/>
  <c r="V230" i="17"/>
  <c r="AG230" i="17" s="1"/>
  <c r="V222" i="17"/>
  <c r="AG222" i="17" s="1"/>
  <c r="V214" i="17"/>
  <c r="AG214" i="17" s="1"/>
  <c r="V206" i="17"/>
  <c r="AG206" i="17" s="1"/>
  <c r="V198" i="17"/>
  <c r="AG198" i="17" s="1"/>
  <c r="V190" i="17"/>
  <c r="AG190" i="17" s="1"/>
  <c r="V182" i="17"/>
  <c r="AG182" i="17" s="1"/>
  <c r="V174" i="17"/>
  <c r="AG174" i="17" s="1"/>
  <c r="V166" i="17"/>
  <c r="AG166" i="17" s="1"/>
  <c r="V158" i="17"/>
  <c r="AG158" i="17" s="1"/>
  <c r="V150" i="17"/>
  <c r="AG150" i="17" s="1"/>
  <c r="V142" i="17"/>
  <c r="AG142" i="17" s="1"/>
  <c r="V134" i="17"/>
  <c r="AG134" i="17" s="1"/>
  <c r="V126" i="17"/>
  <c r="AG126" i="17" s="1"/>
  <c r="V118" i="17"/>
  <c r="AG118" i="17" s="1"/>
  <c r="V110" i="17"/>
  <c r="AG110" i="17" s="1"/>
  <c r="V102" i="17"/>
  <c r="AG102" i="17" s="1"/>
  <c r="V94" i="17"/>
  <c r="AG94" i="17" s="1"/>
  <c r="V86" i="17"/>
  <c r="AG86" i="17" s="1"/>
  <c r="V78" i="17"/>
  <c r="AG78" i="17" s="1"/>
  <c r="V70" i="17"/>
  <c r="AG70" i="17" s="1"/>
  <c r="V62" i="17"/>
  <c r="AG62" i="17" s="1"/>
  <c r="V54" i="17"/>
  <c r="AG54" i="17" s="1"/>
  <c r="V46" i="17"/>
  <c r="AG46" i="17" s="1"/>
  <c r="V38" i="17"/>
  <c r="AG38" i="17" s="1"/>
  <c r="V30" i="17"/>
  <c r="AG30" i="17" s="1"/>
  <c r="V22" i="17"/>
  <c r="AG22" i="17" s="1"/>
  <c r="V14" i="17"/>
  <c r="AG14" i="17" s="1"/>
  <c r="V613" i="17"/>
  <c r="AG613" i="17" s="1"/>
  <c r="V605" i="17"/>
  <c r="AG605" i="17" s="1"/>
  <c r="V597" i="17"/>
  <c r="AG597" i="17" s="1"/>
  <c r="V589" i="17"/>
  <c r="AG589" i="17" s="1"/>
  <c r="V581" i="17"/>
  <c r="AG581" i="17" s="1"/>
  <c r="V573" i="17"/>
  <c r="AG573" i="17" s="1"/>
  <c r="V565" i="17"/>
  <c r="AG565" i="17" s="1"/>
  <c r="V557" i="17"/>
  <c r="AG557" i="17" s="1"/>
  <c r="V549" i="17"/>
  <c r="AG549" i="17" s="1"/>
  <c r="V541" i="17"/>
  <c r="AG541" i="17" s="1"/>
  <c r="V533" i="17"/>
  <c r="AG533" i="17" s="1"/>
  <c r="V525" i="17"/>
  <c r="AG525" i="17" s="1"/>
  <c r="V517" i="17"/>
  <c r="AG517" i="17" s="1"/>
  <c r="V509" i="17"/>
  <c r="AG509" i="17" s="1"/>
  <c r="V501" i="17"/>
  <c r="AG501" i="17" s="1"/>
  <c r="V493" i="17"/>
  <c r="AG493" i="17" s="1"/>
  <c r="V485" i="17"/>
  <c r="AG485" i="17" s="1"/>
  <c r="V477" i="17"/>
  <c r="AG477" i="17" s="1"/>
  <c r="V469" i="17"/>
  <c r="AG469" i="17" s="1"/>
  <c r="V461" i="17"/>
  <c r="AG461" i="17" s="1"/>
  <c r="V453" i="17"/>
  <c r="AG453" i="17" s="1"/>
  <c r="V445" i="17"/>
  <c r="AG445" i="17" s="1"/>
  <c r="V437" i="17"/>
  <c r="AG437" i="17" s="1"/>
  <c r="V429" i="17"/>
  <c r="AG429" i="17" s="1"/>
  <c r="V421" i="17"/>
  <c r="AG421" i="17" s="1"/>
  <c r="V413" i="17"/>
  <c r="AG413" i="17" s="1"/>
  <c r="V405" i="17"/>
  <c r="AG405" i="17" s="1"/>
  <c r="V397" i="17"/>
  <c r="AG397" i="17" s="1"/>
  <c r="V389" i="17"/>
  <c r="AG389" i="17" s="1"/>
  <c r="V381" i="17"/>
  <c r="AG381" i="17" s="1"/>
  <c r="V373" i="17"/>
  <c r="AG373" i="17" s="1"/>
  <c r="V365" i="17"/>
  <c r="AG365" i="17" s="1"/>
  <c r="V357" i="17"/>
  <c r="AG357" i="17" s="1"/>
  <c r="V349" i="17"/>
  <c r="AG349" i="17" s="1"/>
  <c r="V341" i="17"/>
  <c r="AG341" i="17" s="1"/>
  <c r="V333" i="17"/>
  <c r="AG333" i="17" s="1"/>
  <c r="V325" i="17"/>
  <c r="AG325" i="17" s="1"/>
  <c r="V317" i="17"/>
  <c r="AG317" i="17" s="1"/>
  <c r="V309" i="17"/>
  <c r="AG309" i="17" s="1"/>
  <c r="V301" i="17"/>
  <c r="AG301" i="17" s="1"/>
  <c r="V293" i="17"/>
  <c r="AG293" i="17" s="1"/>
  <c r="V285" i="17"/>
  <c r="AG285" i="17" s="1"/>
  <c r="V277" i="17"/>
  <c r="AG277" i="17" s="1"/>
  <c r="V269" i="17"/>
  <c r="AG269" i="17" s="1"/>
  <c r="V261" i="17"/>
  <c r="AG261" i="17" s="1"/>
  <c r="V253" i="17"/>
  <c r="AG253" i="17" s="1"/>
  <c r="V245" i="17"/>
  <c r="AG245" i="17" s="1"/>
  <c r="V237" i="17"/>
  <c r="AG237" i="17" s="1"/>
  <c r="V229" i="17"/>
  <c r="AG229" i="17" s="1"/>
  <c r="V221" i="17"/>
  <c r="AG221" i="17" s="1"/>
  <c r="V213" i="17"/>
  <c r="AG213" i="17" s="1"/>
  <c r="V205" i="17"/>
  <c r="AG205" i="17" s="1"/>
  <c r="V197" i="17"/>
  <c r="AG197" i="17" s="1"/>
  <c r="V189" i="17"/>
  <c r="AG189" i="17" s="1"/>
  <c r="V181" i="17"/>
  <c r="AG181" i="17" s="1"/>
  <c r="V173" i="17"/>
  <c r="AG173" i="17" s="1"/>
  <c r="V165" i="17"/>
  <c r="AG165" i="17" s="1"/>
  <c r="V157" i="17"/>
  <c r="AG157" i="17" s="1"/>
  <c r="V149" i="17"/>
  <c r="AG149" i="17" s="1"/>
  <c r="V141" i="17"/>
  <c r="AG141" i="17" s="1"/>
  <c r="V133" i="17"/>
  <c r="AG133" i="17" s="1"/>
  <c r="V125" i="17"/>
  <c r="AG125" i="17" s="1"/>
  <c r="V117" i="17"/>
  <c r="AG117" i="17" s="1"/>
  <c r="V109" i="17"/>
  <c r="AG109" i="17" s="1"/>
  <c r="V101" i="17"/>
  <c r="AG101" i="17" s="1"/>
  <c r="V93" i="17"/>
  <c r="AG93" i="17" s="1"/>
  <c r="V85" i="17"/>
  <c r="AG85" i="17" s="1"/>
  <c r="V77" i="17"/>
  <c r="AG77" i="17" s="1"/>
  <c r="V69" i="17"/>
  <c r="AG69" i="17" s="1"/>
  <c r="V61" i="17"/>
  <c r="AG61" i="17" s="1"/>
  <c r="V53" i="17"/>
  <c r="AG53" i="17" s="1"/>
  <c r="V45" i="17"/>
  <c r="AG45" i="17" s="1"/>
  <c r="V37" i="17"/>
  <c r="AG37" i="17" s="1"/>
  <c r="V29" i="17"/>
  <c r="AG29" i="17" s="1"/>
  <c r="V21" i="17"/>
  <c r="AG21" i="17" s="1"/>
  <c r="V13" i="17"/>
  <c r="AG13" i="17" s="1"/>
  <c r="V612" i="17"/>
  <c r="AG612" i="17" s="1"/>
  <c r="V604" i="17"/>
  <c r="AG604" i="17" s="1"/>
  <c r="V596" i="17"/>
  <c r="AG596" i="17" s="1"/>
  <c r="V588" i="17"/>
  <c r="AG588" i="17" s="1"/>
  <c r="V580" i="17"/>
  <c r="AG580" i="17" s="1"/>
  <c r="V572" i="17"/>
  <c r="AG572" i="17" s="1"/>
  <c r="V564" i="17"/>
  <c r="AG564" i="17" s="1"/>
  <c r="V556" i="17"/>
  <c r="AG556" i="17" s="1"/>
  <c r="V548" i="17"/>
  <c r="AG548" i="17" s="1"/>
  <c r="V540" i="17"/>
  <c r="AG540" i="17" s="1"/>
  <c r="V532" i="17"/>
  <c r="AG532" i="17" s="1"/>
  <c r="V524" i="17"/>
  <c r="AG524" i="17" s="1"/>
  <c r="V516" i="17"/>
  <c r="AG516" i="17" s="1"/>
  <c r="V508" i="17"/>
  <c r="AG508" i="17" s="1"/>
  <c r="V500" i="17"/>
  <c r="AG500" i="17" s="1"/>
  <c r="V492" i="17"/>
  <c r="AG492" i="17" s="1"/>
  <c r="V484" i="17"/>
  <c r="AG484" i="17" s="1"/>
  <c r="V476" i="17"/>
  <c r="AG476" i="17" s="1"/>
  <c r="V468" i="17"/>
  <c r="AG468" i="17" s="1"/>
  <c r="V460" i="17"/>
  <c r="AG460" i="17" s="1"/>
  <c r="V452" i="17"/>
  <c r="AG452" i="17" s="1"/>
  <c r="V444" i="17"/>
  <c r="AG444" i="17" s="1"/>
  <c r="V436" i="17"/>
  <c r="AG436" i="17" s="1"/>
  <c r="V428" i="17"/>
  <c r="AG428" i="17" s="1"/>
  <c r="V420" i="17"/>
  <c r="AG420" i="17" s="1"/>
  <c r="V412" i="17"/>
  <c r="AG412" i="17" s="1"/>
  <c r="V404" i="17"/>
  <c r="AG404" i="17" s="1"/>
  <c r="V396" i="17"/>
  <c r="AG396" i="17" s="1"/>
  <c r="V388" i="17"/>
  <c r="AG388" i="17" s="1"/>
  <c r="V380" i="17"/>
  <c r="AG380" i="17" s="1"/>
  <c r="V372" i="17"/>
  <c r="AG372" i="17" s="1"/>
  <c r="V364" i="17"/>
  <c r="AG364" i="17" s="1"/>
  <c r="V356" i="17"/>
  <c r="AG356" i="17" s="1"/>
  <c r="V348" i="17"/>
  <c r="AG348" i="17" s="1"/>
  <c r="V340" i="17"/>
  <c r="AG340" i="17" s="1"/>
  <c r="V332" i="17"/>
  <c r="AG332" i="17" s="1"/>
  <c r="V324" i="17"/>
  <c r="AG324" i="17" s="1"/>
  <c r="V316" i="17"/>
  <c r="AG316" i="17" s="1"/>
  <c r="V308" i="17"/>
  <c r="AG308" i="17" s="1"/>
  <c r="V300" i="17"/>
  <c r="AG300" i="17" s="1"/>
  <c r="V292" i="17"/>
  <c r="AG292" i="17" s="1"/>
  <c r="V284" i="17"/>
  <c r="AG284" i="17" s="1"/>
  <c r="V276" i="17"/>
  <c r="AG276" i="17" s="1"/>
  <c r="V268" i="17"/>
  <c r="AG268" i="17" s="1"/>
  <c r="V260" i="17"/>
  <c r="AG260" i="17" s="1"/>
  <c r="V252" i="17"/>
  <c r="AG252" i="17" s="1"/>
  <c r="V244" i="17"/>
  <c r="AG244" i="17" s="1"/>
  <c r="V236" i="17"/>
  <c r="AG236" i="17" s="1"/>
  <c r="V228" i="17"/>
  <c r="AG228" i="17" s="1"/>
  <c r="V220" i="17"/>
  <c r="AG220" i="17" s="1"/>
  <c r="V212" i="17"/>
  <c r="AG212" i="17" s="1"/>
  <c r="V204" i="17"/>
  <c r="AG204" i="17" s="1"/>
  <c r="V196" i="17"/>
  <c r="AG196" i="17" s="1"/>
  <c r="V188" i="17"/>
  <c r="AG188" i="17" s="1"/>
  <c r="V180" i="17"/>
  <c r="AG180" i="17" s="1"/>
  <c r="V172" i="17"/>
  <c r="AG172" i="17" s="1"/>
  <c r="V611" i="17"/>
  <c r="AG611" i="17" s="1"/>
  <c r="V603" i="17"/>
  <c r="AG603" i="17" s="1"/>
  <c r="V595" i="17"/>
  <c r="AG595" i="17" s="1"/>
  <c r="V587" i="17"/>
  <c r="AG587" i="17" s="1"/>
  <c r="V579" i="17"/>
  <c r="AG579" i="17" s="1"/>
  <c r="V571" i="17"/>
  <c r="AG571" i="17" s="1"/>
  <c r="V563" i="17"/>
  <c r="AG563" i="17" s="1"/>
  <c r="V555" i="17"/>
  <c r="AG555" i="17" s="1"/>
  <c r="V547" i="17"/>
  <c r="AG547" i="17" s="1"/>
  <c r="V539" i="17"/>
  <c r="AG539" i="17" s="1"/>
  <c r="V531" i="17"/>
  <c r="AG531" i="17" s="1"/>
  <c r="V523" i="17"/>
  <c r="AG523" i="17" s="1"/>
  <c r="V515" i="17"/>
  <c r="AG515" i="17" s="1"/>
  <c r="V507" i="17"/>
  <c r="AG507" i="17" s="1"/>
  <c r="V499" i="17"/>
  <c r="AG499" i="17" s="1"/>
  <c r="V491" i="17"/>
  <c r="AG491" i="17" s="1"/>
  <c r="V483" i="17"/>
  <c r="AG483" i="17" s="1"/>
  <c r="V475" i="17"/>
  <c r="AG475" i="17" s="1"/>
  <c r="V467" i="17"/>
  <c r="AG467" i="17" s="1"/>
  <c r="V459" i="17"/>
  <c r="AG459" i="17" s="1"/>
  <c r="V451" i="17"/>
  <c r="AG451" i="17" s="1"/>
  <c r="V443" i="17"/>
  <c r="AG443" i="17" s="1"/>
  <c r="V435" i="17"/>
  <c r="AG435" i="17" s="1"/>
  <c r="V427" i="17"/>
  <c r="AG427" i="17" s="1"/>
  <c r="V419" i="17"/>
  <c r="AG419" i="17" s="1"/>
  <c r="V411" i="17"/>
  <c r="AG411" i="17" s="1"/>
  <c r="V403" i="17"/>
  <c r="AG403" i="17" s="1"/>
  <c r="V395" i="17"/>
  <c r="AG395" i="17" s="1"/>
  <c r="V387" i="17"/>
  <c r="AG387" i="17" s="1"/>
  <c r="V379" i="17"/>
  <c r="AG379" i="17" s="1"/>
  <c r="V371" i="17"/>
  <c r="AG371" i="17" s="1"/>
  <c r="V363" i="17"/>
  <c r="AG363" i="17" s="1"/>
  <c r="V355" i="17"/>
  <c r="AG355" i="17" s="1"/>
  <c r="V347" i="17"/>
  <c r="AG347" i="17" s="1"/>
  <c r="V339" i="17"/>
  <c r="AG339" i="17" s="1"/>
  <c r="V331" i="17"/>
  <c r="AG331" i="17" s="1"/>
  <c r="V323" i="17"/>
  <c r="AG323" i="17" s="1"/>
  <c r="V315" i="17"/>
  <c r="AG315" i="17" s="1"/>
  <c r="V307" i="17"/>
  <c r="AG307" i="17" s="1"/>
  <c r="V299" i="17"/>
  <c r="AG299" i="17" s="1"/>
  <c r="V291" i="17"/>
  <c r="AG291" i="17" s="1"/>
  <c r="V283" i="17"/>
  <c r="AG283" i="17" s="1"/>
  <c r="V275" i="17"/>
  <c r="AG275" i="17" s="1"/>
  <c r="V267" i="17"/>
  <c r="AG267" i="17" s="1"/>
  <c r="V259" i="17"/>
  <c r="AG259" i="17" s="1"/>
  <c r="V251" i="17"/>
  <c r="AG251" i="17" s="1"/>
  <c r="V243" i="17"/>
  <c r="AG243" i="17" s="1"/>
  <c r="V235" i="17"/>
  <c r="AG235" i="17" s="1"/>
  <c r="V227" i="17"/>
  <c r="AG227" i="17" s="1"/>
  <c r="V219" i="17"/>
  <c r="AG219" i="17" s="1"/>
  <c r="V211" i="17"/>
  <c r="AG211" i="17" s="1"/>
  <c r="V203" i="17"/>
  <c r="AG203" i="17" s="1"/>
  <c r="V195" i="17"/>
  <c r="AG195" i="17" s="1"/>
  <c r="V187" i="17"/>
  <c r="AG187" i="17" s="1"/>
  <c r="V179" i="17"/>
  <c r="AG179" i="17" s="1"/>
  <c r="V171" i="17"/>
  <c r="AG171" i="17" s="1"/>
  <c r="V163" i="17"/>
  <c r="AG163" i="17" s="1"/>
  <c r="V155" i="17"/>
  <c r="AG155" i="17" s="1"/>
  <c r="V147" i="17"/>
  <c r="AG147" i="17" s="1"/>
  <c r="V139" i="17"/>
  <c r="AG139" i="17" s="1"/>
  <c r="V131" i="17"/>
  <c r="AG131" i="17" s="1"/>
  <c r="V123" i="17"/>
  <c r="AG123" i="17" s="1"/>
  <c r="V115" i="17"/>
  <c r="AG115" i="17" s="1"/>
  <c r="V107" i="17"/>
  <c r="AG107" i="17" s="1"/>
  <c r="V99" i="17"/>
  <c r="AG99" i="17" s="1"/>
  <c r="V91" i="17"/>
  <c r="AG91" i="17" s="1"/>
  <c r="V83" i="17"/>
  <c r="AG83" i="17" s="1"/>
  <c r="V75" i="17"/>
  <c r="AG75" i="17" s="1"/>
  <c r="V67" i="17"/>
  <c r="AG67" i="17" s="1"/>
  <c r="V59" i="17"/>
  <c r="AG59" i="17" s="1"/>
  <c r="V51" i="17"/>
  <c r="AG51" i="17" s="1"/>
  <c r="V43" i="17"/>
  <c r="AG43" i="17" s="1"/>
  <c r="V35" i="17"/>
  <c r="AG35" i="17" s="1"/>
  <c r="V27" i="17"/>
  <c r="AG27" i="17" s="1"/>
  <c r="V19" i="17"/>
  <c r="AG19" i="17" s="1"/>
  <c r="V610" i="17"/>
  <c r="AG610" i="17" s="1"/>
  <c r="V602" i="17"/>
  <c r="AG602" i="17" s="1"/>
  <c r="V594" i="17"/>
  <c r="AG594" i="17" s="1"/>
  <c r="V586" i="17"/>
  <c r="AG586" i="17" s="1"/>
  <c r="V578" i="17"/>
  <c r="AG578" i="17" s="1"/>
  <c r="V570" i="17"/>
  <c r="AG570" i="17" s="1"/>
  <c r="V562" i="17"/>
  <c r="AG562" i="17" s="1"/>
  <c r="V554" i="17"/>
  <c r="AG554" i="17" s="1"/>
  <c r="V546" i="17"/>
  <c r="AG546" i="17" s="1"/>
  <c r="V538" i="17"/>
  <c r="AG538" i="17" s="1"/>
  <c r="V608" i="17"/>
  <c r="AG608" i="17" s="1"/>
  <c r="V600" i="17"/>
  <c r="AG600" i="17" s="1"/>
  <c r="V592" i="17"/>
  <c r="AG592" i="17" s="1"/>
  <c r="V584" i="17"/>
  <c r="AG584" i="17" s="1"/>
  <c r="V576" i="17"/>
  <c r="AG576" i="17" s="1"/>
  <c r="V568" i="17"/>
  <c r="AG568" i="17" s="1"/>
  <c r="V560" i="17"/>
  <c r="AG560" i="17" s="1"/>
  <c r="V552" i="17"/>
  <c r="AG552" i="17" s="1"/>
  <c r="V544" i="17"/>
  <c r="AG544" i="17" s="1"/>
  <c r="V536" i="17"/>
  <c r="AG536" i="17" s="1"/>
  <c r="V528" i="17"/>
  <c r="AG528" i="17" s="1"/>
  <c r="V520" i="17"/>
  <c r="AG520" i="17" s="1"/>
  <c r="V512" i="17"/>
  <c r="AG512" i="17" s="1"/>
  <c r="V504" i="17"/>
  <c r="AG504" i="17" s="1"/>
  <c r="V496" i="17"/>
  <c r="AG496" i="17" s="1"/>
  <c r="V488" i="17"/>
  <c r="AG488" i="17" s="1"/>
  <c r="V480" i="17"/>
  <c r="AG480" i="17" s="1"/>
  <c r="V472" i="17"/>
  <c r="AG472" i="17" s="1"/>
  <c r="V464" i="17"/>
  <c r="AG464" i="17" s="1"/>
  <c r="V456" i="17"/>
  <c r="AG456" i="17" s="1"/>
  <c r="V448" i="17"/>
  <c r="AG448" i="17" s="1"/>
  <c r="V440" i="17"/>
  <c r="AG440" i="17" s="1"/>
  <c r="V432" i="17"/>
  <c r="AG432" i="17" s="1"/>
  <c r="V424" i="17"/>
  <c r="AG424" i="17" s="1"/>
  <c r="V416" i="17"/>
  <c r="AG416" i="17" s="1"/>
  <c r="V408" i="17"/>
  <c r="AG408" i="17" s="1"/>
  <c r="V400" i="17"/>
  <c r="AG400" i="17" s="1"/>
  <c r="V392" i="17"/>
  <c r="AG392" i="17" s="1"/>
  <c r="V384" i="17"/>
  <c r="AG384" i="17" s="1"/>
  <c r="V376" i="17"/>
  <c r="AG376" i="17" s="1"/>
  <c r="V368" i="17"/>
  <c r="AG368" i="17" s="1"/>
  <c r="V360" i="17"/>
  <c r="AG360" i="17" s="1"/>
  <c r="V352" i="17"/>
  <c r="AG352" i="17" s="1"/>
  <c r="V344" i="17"/>
  <c r="AG344" i="17" s="1"/>
  <c r="V336" i="17"/>
  <c r="AG336" i="17" s="1"/>
  <c r="V328" i="17"/>
  <c r="AG328" i="17" s="1"/>
  <c r="V320" i="17"/>
  <c r="AG320" i="17" s="1"/>
  <c r="V312" i="17"/>
  <c r="AG312" i="17" s="1"/>
  <c r="V304" i="17"/>
  <c r="AG304" i="17" s="1"/>
  <c r="V296" i="17"/>
  <c r="AG296" i="17" s="1"/>
  <c r="V288" i="17"/>
  <c r="AG288" i="17" s="1"/>
  <c r="V280" i="17"/>
  <c r="AG280" i="17" s="1"/>
  <c r="V272" i="17"/>
  <c r="AG272" i="17" s="1"/>
  <c r="V264" i="17"/>
  <c r="AG264" i="17" s="1"/>
  <c r="V256" i="17"/>
  <c r="AG256" i="17" s="1"/>
  <c r="V248" i="17"/>
  <c r="AG248" i="17" s="1"/>
  <c r="V240" i="17"/>
  <c r="AG240" i="17" s="1"/>
  <c r="V232" i="17"/>
  <c r="AG232" i="17" s="1"/>
  <c r="V224" i="17"/>
  <c r="AG224" i="17" s="1"/>
  <c r="V216" i="17"/>
  <c r="AG216" i="17" s="1"/>
  <c r="V208" i="17"/>
  <c r="AG208" i="17" s="1"/>
  <c r="V200" i="17"/>
  <c r="AG200" i="17" s="1"/>
  <c r="V192" i="17"/>
  <c r="AG192" i="17" s="1"/>
  <c r="V184" i="17"/>
  <c r="AG184" i="17" s="1"/>
  <c r="V176" i="17"/>
  <c r="AG176" i="17" s="1"/>
  <c r="V585" i="17"/>
  <c r="AG585" i="17" s="1"/>
  <c r="V553" i="17"/>
  <c r="AG553" i="17" s="1"/>
  <c r="V527" i="17"/>
  <c r="AG527" i="17" s="1"/>
  <c r="V505" i="17"/>
  <c r="AG505" i="17" s="1"/>
  <c r="V482" i="17"/>
  <c r="AG482" i="17" s="1"/>
  <c r="V463" i="17"/>
  <c r="AG463" i="17" s="1"/>
  <c r="V441" i="17"/>
  <c r="AG441" i="17" s="1"/>
  <c r="V418" i="17"/>
  <c r="AG418" i="17" s="1"/>
  <c r="V399" i="17"/>
  <c r="AG399" i="17" s="1"/>
  <c r="V377" i="17"/>
  <c r="AG377" i="17" s="1"/>
  <c r="V354" i="17"/>
  <c r="AG354" i="17" s="1"/>
  <c r="V335" i="17"/>
  <c r="AG335" i="17" s="1"/>
  <c r="V313" i="17"/>
  <c r="AG313" i="17" s="1"/>
  <c r="V290" i="17"/>
  <c r="AG290" i="17" s="1"/>
  <c r="V271" i="17"/>
  <c r="AG271" i="17" s="1"/>
  <c r="V249" i="17"/>
  <c r="AG249" i="17" s="1"/>
  <c r="V226" i="17"/>
  <c r="AG226" i="17" s="1"/>
  <c r="V207" i="17"/>
  <c r="AG207" i="17" s="1"/>
  <c r="V185" i="17"/>
  <c r="AG185" i="17" s="1"/>
  <c r="V167" i="17"/>
  <c r="AG167" i="17" s="1"/>
  <c r="V153" i="17"/>
  <c r="AG153" i="17" s="1"/>
  <c r="V140" i="17"/>
  <c r="AG140" i="17" s="1"/>
  <c r="V128" i="17"/>
  <c r="AG128" i="17" s="1"/>
  <c r="V114" i="17"/>
  <c r="AG114" i="17" s="1"/>
  <c r="V103" i="17"/>
  <c r="AG103" i="17" s="1"/>
  <c r="V89" i="17"/>
  <c r="AG89" i="17" s="1"/>
  <c r="V76" i="17"/>
  <c r="AG76" i="17" s="1"/>
  <c r="V64" i="17"/>
  <c r="AG64" i="17" s="1"/>
  <c r="V50" i="17"/>
  <c r="AG50" i="17" s="1"/>
  <c r="V39" i="17"/>
  <c r="AG39" i="17" s="1"/>
  <c r="V25" i="17"/>
  <c r="AG25" i="17" s="1"/>
  <c r="V583" i="17"/>
  <c r="AG583" i="17" s="1"/>
  <c r="V551" i="17"/>
  <c r="AG551" i="17" s="1"/>
  <c r="V522" i="17"/>
  <c r="AG522" i="17" s="1"/>
  <c r="V503" i="17"/>
  <c r="AG503" i="17" s="1"/>
  <c r="V481" i="17"/>
  <c r="AG481" i="17" s="1"/>
  <c r="V458" i="17"/>
  <c r="AG458" i="17" s="1"/>
  <c r="V439" i="17"/>
  <c r="AG439" i="17" s="1"/>
  <c r="V417" i="17"/>
  <c r="AG417" i="17" s="1"/>
  <c r="V394" i="17"/>
  <c r="AG394" i="17" s="1"/>
  <c r="V375" i="17"/>
  <c r="AG375" i="17" s="1"/>
  <c r="V353" i="17"/>
  <c r="AG353" i="17" s="1"/>
  <c r="V330" i="17"/>
  <c r="AG330" i="17" s="1"/>
  <c r="V311" i="17"/>
  <c r="AG311" i="17" s="1"/>
  <c r="V289" i="17"/>
  <c r="AG289" i="17" s="1"/>
  <c r="V266" i="17"/>
  <c r="AG266" i="17" s="1"/>
  <c r="V247" i="17"/>
  <c r="AG247" i="17" s="1"/>
  <c r="V225" i="17"/>
  <c r="AG225" i="17" s="1"/>
  <c r="V202" i="17"/>
  <c r="AG202" i="17" s="1"/>
  <c r="V183" i="17"/>
  <c r="AG183" i="17" s="1"/>
  <c r="V164" i="17"/>
  <c r="AG164" i="17" s="1"/>
  <c r="V152" i="17"/>
  <c r="AG152" i="17" s="1"/>
  <c r="V138" i="17"/>
  <c r="AG138" i="17" s="1"/>
  <c r="V127" i="17"/>
  <c r="AG127" i="17" s="1"/>
  <c r="V113" i="17"/>
  <c r="AG113" i="17" s="1"/>
  <c r="V100" i="17"/>
  <c r="AG100" i="17" s="1"/>
  <c r="V88" i="17"/>
  <c r="AG88" i="17" s="1"/>
  <c r="V74" i="17"/>
  <c r="AG74" i="17" s="1"/>
  <c r="V63" i="17"/>
  <c r="AG63" i="17" s="1"/>
  <c r="V49" i="17"/>
  <c r="AG49" i="17" s="1"/>
  <c r="V36" i="17"/>
  <c r="AG36" i="17" s="1"/>
  <c r="V24" i="17"/>
  <c r="AG24" i="17" s="1"/>
  <c r="V609" i="17"/>
  <c r="AG609" i="17" s="1"/>
  <c r="V577" i="17"/>
  <c r="AG577" i="17" s="1"/>
  <c r="V545" i="17"/>
  <c r="AG545" i="17" s="1"/>
  <c r="V521" i="17"/>
  <c r="AG521" i="17" s="1"/>
  <c r="V498" i="17"/>
  <c r="AG498" i="17" s="1"/>
  <c r="V479" i="17"/>
  <c r="AG479" i="17" s="1"/>
  <c r="V457" i="17"/>
  <c r="AG457" i="17" s="1"/>
  <c r="V434" i="17"/>
  <c r="AG434" i="17" s="1"/>
  <c r="V415" i="17"/>
  <c r="AG415" i="17" s="1"/>
  <c r="V393" i="17"/>
  <c r="AG393" i="17" s="1"/>
  <c r="V370" i="17"/>
  <c r="AG370" i="17" s="1"/>
  <c r="V351" i="17"/>
  <c r="AG351" i="17" s="1"/>
  <c r="V329" i="17"/>
  <c r="AG329" i="17" s="1"/>
  <c r="V306" i="17"/>
  <c r="AG306" i="17" s="1"/>
  <c r="V287" i="17"/>
  <c r="AG287" i="17" s="1"/>
  <c r="V265" i="17"/>
  <c r="AG265" i="17" s="1"/>
  <c r="V242" i="17"/>
  <c r="AG242" i="17" s="1"/>
  <c r="V223" i="17"/>
  <c r="AG223" i="17" s="1"/>
  <c r="V201" i="17"/>
  <c r="AG201" i="17" s="1"/>
  <c r="V178" i="17"/>
  <c r="AG178" i="17" s="1"/>
  <c r="V162" i="17"/>
  <c r="AG162" i="17" s="1"/>
  <c r="V151" i="17"/>
  <c r="AG151" i="17" s="1"/>
  <c r="V137" i="17"/>
  <c r="AG137" i="17" s="1"/>
  <c r="V124" i="17"/>
  <c r="AG124" i="17" s="1"/>
  <c r="V112" i="17"/>
  <c r="AG112" i="17" s="1"/>
  <c r="V98" i="17"/>
  <c r="AG98" i="17" s="1"/>
  <c r="V87" i="17"/>
  <c r="AG87" i="17" s="1"/>
  <c r="V73" i="17"/>
  <c r="AG73" i="17" s="1"/>
  <c r="V60" i="17"/>
  <c r="AG60" i="17" s="1"/>
  <c r="V48" i="17"/>
  <c r="AG48" i="17" s="1"/>
  <c r="V34" i="17"/>
  <c r="AG34" i="17" s="1"/>
  <c r="V23" i="17"/>
  <c r="AG23" i="17" s="1"/>
  <c r="V607" i="17"/>
  <c r="AG607" i="17" s="1"/>
  <c r="V575" i="17"/>
  <c r="AG575" i="17" s="1"/>
  <c r="V543" i="17"/>
  <c r="AG543" i="17" s="1"/>
  <c r="V519" i="17"/>
  <c r="AG519" i="17" s="1"/>
  <c r="V497" i="17"/>
  <c r="AG497" i="17" s="1"/>
  <c r="V474" i="17"/>
  <c r="AG474" i="17" s="1"/>
  <c r="V455" i="17"/>
  <c r="AG455" i="17" s="1"/>
  <c r="V433" i="17"/>
  <c r="AG433" i="17" s="1"/>
  <c r="V410" i="17"/>
  <c r="AG410" i="17" s="1"/>
  <c r="V391" i="17"/>
  <c r="AG391" i="17" s="1"/>
  <c r="V369" i="17"/>
  <c r="AG369" i="17" s="1"/>
  <c r="V346" i="17"/>
  <c r="AG346" i="17" s="1"/>
  <c r="V327" i="17"/>
  <c r="AG327" i="17" s="1"/>
  <c r="V305" i="17"/>
  <c r="AG305" i="17" s="1"/>
  <c r="V282" i="17"/>
  <c r="AG282" i="17" s="1"/>
  <c r="V263" i="17"/>
  <c r="AG263" i="17" s="1"/>
  <c r="V241" i="17"/>
  <c r="AG241" i="17" s="1"/>
  <c r="V218" i="17"/>
  <c r="AG218" i="17" s="1"/>
  <c r="V199" i="17"/>
  <c r="AG199" i="17" s="1"/>
  <c r="V177" i="17"/>
  <c r="AG177" i="17" s="1"/>
  <c r="V161" i="17"/>
  <c r="AG161" i="17" s="1"/>
  <c r="V148" i="17"/>
  <c r="AG148" i="17" s="1"/>
  <c r="V136" i="17"/>
  <c r="AG136" i="17" s="1"/>
  <c r="V122" i="17"/>
  <c r="AG122" i="17" s="1"/>
  <c r="V111" i="17"/>
  <c r="AG111" i="17" s="1"/>
  <c r="V97" i="17"/>
  <c r="AG97" i="17" s="1"/>
  <c r="V84" i="17"/>
  <c r="AG84" i="17" s="1"/>
  <c r="V72" i="17"/>
  <c r="AG72" i="17" s="1"/>
  <c r="V58" i="17"/>
  <c r="AG58" i="17" s="1"/>
  <c r="V47" i="17"/>
  <c r="AG47" i="17" s="1"/>
  <c r="V33" i="17"/>
  <c r="AG33" i="17" s="1"/>
  <c r="V20" i="17"/>
  <c r="AG20" i="17" s="1"/>
  <c r="V601" i="17"/>
  <c r="AG601" i="17" s="1"/>
  <c r="V569" i="17"/>
  <c r="AG569" i="17" s="1"/>
  <c r="V537" i="17"/>
  <c r="AG537" i="17" s="1"/>
  <c r="V514" i="17"/>
  <c r="AG514" i="17" s="1"/>
  <c r="V495" i="17"/>
  <c r="AG495" i="17" s="1"/>
  <c r="V473" i="17"/>
  <c r="AG473" i="17" s="1"/>
  <c r="V450" i="17"/>
  <c r="AG450" i="17" s="1"/>
  <c r="V431" i="17"/>
  <c r="AG431" i="17" s="1"/>
  <c r="V409" i="17"/>
  <c r="AG409" i="17" s="1"/>
  <c r="V386" i="17"/>
  <c r="AG386" i="17" s="1"/>
  <c r="V367" i="17"/>
  <c r="AG367" i="17" s="1"/>
  <c r="V345" i="17"/>
  <c r="AG345" i="17" s="1"/>
  <c r="V322" i="17"/>
  <c r="AG322" i="17" s="1"/>
  <c r="V303" i="17"/>
  <c r="AG303" i="17" s="1"/>
  <c r="V281" i="17"/>
  <c r="AG281" i="17" s="1"/>
  <c r="V258" i="17"/>
  <c r="AG258" i="17" s="1"/>
  <c r="V239" i="17"/>
  <c r="AG239" i="17" s="1"/>
  <c r="V217" i="17"/>
  <c r="AG217" i="17" s="1"/>
  <c r="V194" i="17"/>
  <c r="AG194" i="17" s="1"/>
  <c r="V175" i="17"/>
  <c r="AG175" i="17" s="1"/>
  <c r="V160" i="17"/>
  <c r="AG160" i="17" s="1"/>
  <c r="V146" i="17"/>
  <c r="AG146" i="17" s="1"/>
  <c r="V135" i="17"/>
  <c r="AG135" i="17" s="1"/>
  <c r="V121" i="17"/>
  <c r="AG121" i="17" s="1"/>
  <c r="V108" i="17"/>
  <c r="AG108" i="17" s="1"/>
  <c r="V96" i="17"/>
  <c r="AG96" i="17" s="1"/>
  <c r="V82" i="17"/>
  <c r="AG82" i="17" s="1"/>
  <c r="V71" i="17"/>
  <c r="AG71" i="17" s="1"/>
  <c r="V57" i="17"/>
  <c r="AG57" i="17" s="1"/>
  <c r="V44" i="17"/>
  <c r="AG44" i="17" s="1"/>
  <c r="V32" i="17"/>
  <c r="AG32" i="17" s="1"/>
  <c r="V18" i="17"/>
  <c r="AG18" i="17" s="1"/>
  <c r="V599" i="17"/>
  <c r="AG599" i="17" s="1"/>
  <c r="V567" i="17"/>
  <c r="AG567" i="17" s="1"/>
  <c r="V535" i="17"/>
  <c r="AG535" i="17" s="1"/>
  <c r="V513" i="17"/>
  <c r="AG513" i="17" s="1"/>
  <c r="V490" i="17"/>
  <c r="AG490" i="17" s="1"/>
  <c r="V471" i="17"/>
  <c r="AG471" i="17" s="1"/>
  <c r="V449" i="17"/>
  <c r="AG449" i="17" s="1"/>
  <c r="V426" i="17"/>
  <c r="AG426" i="17" s="1"/>
  <c r="V407" i="17"/>
  <c r="AG407" i="17" s="1"/>
  <c r="V385" i="17"/>
  <c r="AG385" i="17" s="1"/>
  <c r="V362" i="17"/>
  <c r="AG362" i="17" s="1"/>
  <c r="V343" i="17"/>
  <c r="AG343" i="17" s="1"/>
  <c r="V321" i="17"/>
  <c r="AG321" i="17" s="1"/>
  <c r="V298" i="17"/>
  <c r="AG298" i="17" s="1"/>
  <c r="V279" i="17"/>
  <c r="AG279" i="17" s="1"/>
  <c r="V257" i="17"/>
  <c r="AG257" i="17" s="1"/>
  <c r="V234" i="17"/>
  <c r="AG234" i="17" s="1"/>
  <c r="V215" i="17"/>
  <c r="AG215" i="17" s="1"/>
  <c r="V593" i="17"/>
  <c r="AG593" i="17" s="1"/>
  <c r="V561" i="17"/>
  <c r="AG561" i="17" s="1"/>
  <c r="V530" i="17"/>
  <c r="AG530" i="17" s="1"/>
  <c r="V511" i="17"/>
  <c r="AG511" i="17" s="1"/>
  <c r="V489" i="17"/>
  <c r="AG489" i="17" s="1"/>
  <c r="V466" i="17"/>
  <c r="AG466" i="17" s="1"/>
  <c r="V447" i="17"/>
  <c r="AG447" i="17" s="1"/>
  <c r="V425" i="17"/>
  <c r="AG425" i="17" s="1"/>
  <c r="V402" i="17"/>
  <c r="AG402" i="17" s="1"/>
  <c r="V383" i="17"/>
  <c r="AG383" i="17" s="1"/>
  <c r="V361" i="17"/>
  <c r="AG361" i="17" s="1"/>
  <c r="V338" i="17"/>
  <c r="AG338" i="17" s="1"/>
  <c r="V319" i="17"/>
  <c r="AG319" i="17" s="1"/>
  <c r="V297" i="17"/>
  <c r="AG297" i="17" s="1"/>
  <c r="V274" i="17"/>
  <c r="AG274" i="17" s="1"/>
  <c r="V255" i="17"/>
  <c r="AG255" i="17" s="1"/>
  <c r="V233" i="17"/>
  <c r="AG233" i="17" s="1"/>
  <c r="V210" i="17"/>
  <c r="AG210" i="17" s="1"/>
  <c r="V191" i="17"/>
  <c r="AG191" i="17" s="1"/>
  <c r="V169" i="17"/>
  <c r="AG169" i="17" s="1"/>
  <c r="V156" i="17"/>
  <c r="AG156" i="17" s="1"/>
  <c r="V144" i="17"/>
  <c r="AG144" i="17" s="1"/>
  <c r="V130" i="17"/>
  <c r="AG130" i="17" s="1"/>
  <c r="V119" i="17"/>
  <c r="AG119" i="17" s="1"/>
  <c r="V105" i="17"/>
  <c r="AG105" i="17" s="1"/>
  <c r="V92" i="17"/>
  <c r="AG92" i="17" s="1"/>
  <c r="V80" i="17"/>
  <c r="AG80" i="17" s="1"/>
  <c r="V66" i="17"/>
  <c r="AG66" i="17" s="1"/>
  <c r="V55" i="17"/>
  <c r="AG55" i="17" s="1"/>
  <c r="V41" i="17"/>
  <c r="AG41" i="17" s="1"/>
  <c r="V28" i="17"/>
  <c r="AG28" i="17" s="1"/>
  <c r="V16" i="17"/>
  <c r="AG16" i="17" s="1"/>
  <c r="V423" i="17"/>
  <c r="AG423" i="17" s="1"/>
  <c r="V250" i="17"/>
  <c r="AG250" i="17" s="1"/>
  <c r="V154" i="17"/>
  <c r="AG154" i="17" s="1"/>
  <c r="V104" i="17"/>
  <c r="AG104" i="17" s="1"/>
  <c r="V52" i="17"/>
  <c r="AG52" i="17" s="1"/>
  <c r="V314" i="17"/>
  <c r="AG314" i="17" s="1"/>
  <c r="V591" i="17"/>
  <c r="AG591" i="17" s="1"/>
  <c r="V401" i="17"/>
  <c r="AG401" i="17" s="1"/>
  <c r="V231" i="17"/>
  <c r="AG231" i="17" s="1"/>
  <c r="V145" i="17"/>
  <c r="AG145" i="17" s="1"/>
  <c r="V95" i="17"/>
  <c r="AG95" i="17" s="1"/>
  <c r="V42" i="17"/>
  <c r="AG42" i="17" s="1"/>
  <c r="V120" i="17"/>
  <c r="AG120" i="17" s="1"/>
  <c r="V559" i="17"/>
  <c r="AG559" i="17" s="1"/>
  <c r="V378" i="17"/>
  <c r="AG378" i="17" s="1"/>
  <c r="V209" i="17"/>
  <c r="AG209" i="17" s="1"/>
  <c r="V143" i="17"/>
  <c r="AG143" i="17" s="1"/>
  <c r="V90" i="17"/>
  <c r="AG90" i="17" s="1"/>
  <c r="V40" i="17"/>
  <c r="AG40" i="17" s="1"/>
  <c r="V170" i="17"/>
  <c r="AG170" i="17" s="1"/>
  <c r="V529" i="17"/>
  <c r="AG529" i="17" s="1"/>
  <c r="V359" i="17"/>
  <c r="AG359" i="17" s="1"/>
  <c r="V193" i="17"/>
  <c r="AG193" i="17" s="1"/>
  <c r="V132" i="17"/>
  <c r="AG132" i="17" s="1"/>
  <c r="V81" i="17"/>
  <c r="AG81" i="17" s="1"/>
  <c r="V31" i="17"/>
  <c r="AG31" i="17" s="1"/>
  <c r="V68" i="17"/>
  <c r="AG68" i="17" s="1"/>
  <c r="V506" i="17"/>
  <c r="AG506" i="17" s="1"/>
  <c r="V337" i="17"/>
  <c r="AG337" i="17" s="1"/>
  <c r="V186" i="17"/>
  <c r="AG186" i="17" s="1"/>
  <c r="V129" i="17"/>
  <c r="AG129" i="17" s="1"/>
  <c r="V79" i="17"/>
  <c r="AG79" i="17" s="1"/>
  <c r="V26" i="17"/>
  <c r="AG26" i="17" s="1"/>
  <c r="V487" i="17"/>
  <c r="AG487" i="17" s="1"/>
  <c r="V17" i="17"/>
  <c r="AG17" i="17" s="1"/>
  <c r="V465" i="17"/>
  <c r="AG465" i="17" s="1"/>
  <c r="V295" i="17"/>
  <c r="AG295" i="17" s="1"/>
  <c r="V168" i="17"/>
  <c r="AG168" i="17" s="1"/>
  <c r="V116" i="17"/>
  <c r="AG116" i="17" s="1"/>
  <c r="V65" i="17"/>
  <c r="AG65" i="17" s="1"/>
  <c r="V15" i="17"/>
  <c r="AG15" i="17" s="1"/>
  <c r="V442" i="17"/>
  <c r="AG442" i="17" s="1"/>
  <c r="V273" i="17"/>
  <c r="AG273" i="17" s="1"/>
  <c r="V159" i="17"/>
  <c r="AG159" i="17" s="1"/>
  <c r="V106" i="17"/>
  <c r="AG106" i="17" s="1"/>
  <c r="V56" i="17"/>
  <c r="AG56" i="17" s="1"/>
  <c r="V628" i="17"/>
  <c r="G628" i="17"/>
  <c r="H628" i="17"/>
  <c r="E632" i="17"/>
  <c r="D628" i="17"/>
  <c r="F628" i="17"/>
  <c r="C628" i="17"/>
  <c r="E628" i="17"/>
  <c r="U628" i="17"/>
  <c r="E636" i="17"/>
  <c r="N27" i="8"/>
  <c r="O27" i="8"/>
  <c r="C91" i="1" s="1"/>
  <c r="E91" i="1" s="1"/>
  <c r="E633" i="17"/>
  <c r="BE617" i="28" l="1"/>
  <c r="BF617" i="28"/>
  <c r="AG628" i="17"/>
  <c r="AV617" i="28"/>
  <c r="AX617" i="28" s="1"/>
  <c r="AF628" i="17"/>
  <c r="A487" i="2"/>
  <c r="B487" i="2"/>
  <c r="B386" i="2"/>
  <c r="AW617" i="28" l="1"/>
  <c r="AX620" i="28"/>
  <c r="AY620" i="28" s="1"/>
  <c r="AX619" i="28"/>
  <c r="AY619" i="28" s="1"/>
  <c r="AY617" i="28"/>
  <c r="AY618" i="28" s="1"/>
  <c r="B92" i="1"/>
  <c r="E637" i="17"/>
  <c r="A505" i="2"/>
  <c r="B505" i="2"/>
  <c r="C3" i="8" l="1"/>
  <c r="C159" i="8" s="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N28" i="8" s="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O28" i="8" l="1"/>
  <c r="C92" i="1" s="1"/>
  <c r="E92" i="1" s="1"/>
  <c r="O29" i="8"/>
  <c r="C93" i="1" s="1"/>
  <c r="E93" i="1" s="1"/>
  <c r="N29" i="8"/>
  <c r="B387" i="2" l="1"/>
  <c r="B506" i="2" s="1"/>
  <c r="B370" i="2" l="1"/>
  <c r="A506" i="2"/>
  <c r="B388" i="2"/>
  <c r="B507" i="2" s="1"/>
  <c r="B393" i="2"/>
  <c r="A507" i="2" l="1"/>
  <c r="B371" i="2"/>
  <c r="C7" i="17" s="1"/>
  <c r="B394" i="2"/>
  <c r="G91" i="1"/>
  <c r="C5" i="17"/>
  <c r="E84" i="1"/>
  <c r="G92" i="1"/>
  <c r="C4" i="17"/>
  <c r="Z622" i="28" l="1"/>
  <c r="Z629" i="28"/>
  <c r="Z626" i="28"/>
  <c r="Z628" i="28"/>
  <c r="Z623" i="28"/>
  <c r="Z627" i="28"/>
  <c r="Z608" i="28"/>
  <c r="Z600" i="28"/>
  <c r="Z592" i="28"/>
  <c r="Z607" i="28"/>
  <c r="Z599" i="28"/>
  <c r="Z591" i="28"/>
  <c r="Z606" i="28"/>
  <c r="Z598" i="28"/>
  <c r="Z590" i="28"/>
  <c r="Z613" i="28"/>
  <c r="Z605" i="28"/>
  <c r="Z597" i="28"/>
  <c r="Z589" i="28"/>
  <c r="Z612" i="28"/>
  <c r="Z604" i="28"/>
  <c r="Z596" i="28"/>
  <c r="Z588" i="28"/>
  <c r="Z611" i="28"/>
  <c r="Z603" i="28"/>
  <c r="Z595" i="28"/>
  <c r="Z587" i="28"/>
  <c r="Z610" i="28"/>
  <c r="Z602" i="28"/>
  <c r="Z594" i="28"/>
  <c r="Z586" i="28"/>
  <c r="Z581" i="28"/>
  <c r="Z573" i="28"/>
  <c r="Z565" i="28"/>
  <c r="Z557" i="28"/>
  <c r="Z549" i="28"/>
  <c r="Z541" i="28"/>
  <c r="Z533" i="28"/>
  <c r="Z525" i="28"/>
  <c r="Z517" i="28"/>
  <c r="Z509" i="28"/>
  <c r="Z501" i="28"/>
  <c r="Z493" i="28"/>
  <c r="Z485" i="28"/>
  <c r="Z477" i="28"/>
  <c r="Z469" i="28"/>
  <c r="Z461" i="28"/>
  <c r="Z453" i="28"/>
  <c r="Z445" i="28"/>
  <c r="Z437" i="28"/>
  <c r="Z429" i="28"/>
  <c r="Z421" i="28"/>
  <c r="Z413" i="28"/>
  <c r="Z405" i="28"/>
  <c r="Z397" i="28"/>
  <c r="Z389" i="28"/>
  <c r="Z381" i="28"/>
  <c r="Z373" i="28"/>
  <c r="Z365" i="28"/>
  <c r="Z357" i="28"/>
  <c r="Z349" i="28"/>
  <c r="Z341" i="28"/>
  <c r="Z333" i="28"/>
  <c r="Z325" i="28"/>
  <c r="Z317" i="28"/>
  <c r="Z309" i="28"/>
  <c r="Z301" i="28"/>
  <c r="Z293" i="28"/>
  <c r="Z285" i="28"/>
  <c r="Z277" i="28"/>
  <c r="Z269" i="28"/>
  <c r="Z261" i="28"/>
  <c r="Z253" i="28"/>
  <c r="Z245" i="28"/>
  <c r="Z237" i="28"/>
  <c r="Z229" i="28"/>
  <c r="Z221" i="28"/>
  <c r="Z213" i="28"/>
  <c r="Z205" i="28"/>
  <c r="Z197" i="28"/>
  <c r="Z189" i="28"/>
  <c r="Z181" i="28"/>
  <c r="Z173" i="28"/>
  <c r="Z165" i="28"/>
  <c r="Z157" i="28"/>
  <c r="Z149" i="28"/>
  <c r="Z141" i="28"/>
  <c r="Z133" i="28"/>
  <c r="Z125" i="28"/>
  <c r="Z117" i="28"/>
  <c r="Z109" i="28"/>
  <c r="Z101" i="28"/>
  <c r="Z93" i="28"/>
  <c r="Z85" i="28"/>
  <c r="Z77" i="28"/>
  <c r="Z69" i="28"/>
  <c r="Z61" i="28"/>
  <c r="Z53" i="28"/>
  <c r="Z45" i="28"/>
  <c r="Z37" i="28"/>
  <c r="Z29" i="28"/>
  <c r="Z21" i="28"/>
  <c r="Z13" i="28"/>
  <c r="Z534" i="28"/>
  <c r="Z609" i="28"/>
  <c r="Z580" i="28"/>
  <c r="Z572" i="28"/>
  <c r="Z564" i="28"/>
  <c r="Z556" i="28"/>
  <c r="Z548" i="28"/>
  <c r="Z540" i="28"/>
  <c r="Z532" i="28"/>
  <c r="Z524" i="28"/>
  <c r="Z516" i="28"/>
  <c r="Z508" i="28"/>
  <c r="Z500" i="28"/>
  <c r="Z492" i="28"/>
  <c r="Z484" i="28"/>
  <c r="Z476" i="28"/>
  <c r="Z468" i="28"/>
  <c r="Z460" i="28"/>
  <c r="Z452" i="28"/>
  <c r="Z444" i="28"/>
  <c r="Z436" i="28"/>
  <c r="Z428" i="28"/>
  <c r="Z420" i="28"/>
  <c r="Z412" i="28"/>
  <c r="Z404" i="28"/>
  <c r="Z396" i="28"/>
  <c r="Z388" i="28"/>
  <c r="Z380" i="28"/>
  <c r="Z372" i="28"/>
  <c r="Z364" i="28"/>
  <c r="Z356" i="28"/>
  <c r="Z348" i="28"/>
  <c r="Z340" i="28"/>
  <c r="Z332" i="28"/>
  <c r="Z324" i="28"/>
  <c r="Z316" i="28"/>
  <c r="Z308" i="28"/>
  <c r="Z300" i="28"/>
  <c r="Z292" i="28"/>
  <c r="Z284" i="28"/>
  <c r="Z276" i="28"/>
  <c r="Z268" i="28"/>
  <c r="Z260" i="28"/>
  <c r="Z252" i="28"/>
  <c r="Z244" i="28"/>
  <c r="Z236" i="28"/>
  <c r="Z228" i="28"/>
  <c r="Z220" i="28"/>
  <c r="Z212" i="28"/>
  <c r="Z204" i="28"/>
  <c r="Z196" i="28"/>
  <c r="Z188" i="28"/>
  <c r="Z180" i="28"/>
  <c r="Z172" i="28"/>
  <c r="Z164" i="28"/>
  <c r="Z156" i="28"/>
  <c r="Z148" i="28"/>
  <c r="Z140" i="28"/>
  <c r="Z132" i="28"/>
  <c r="Z124" i="28"/>
  <c r="Z116" i="28"/>
  <c r="Z108" i="28"/>
  <c r="Z100" i="28"/>
  <c r="Z92" i="28"/>
  <c r="Z84" i="28"/>
  <c r="Z76" i="28"/>
  <c r="Z68" i="28"/>
  <c r="Z60" i="28"/>
  <c r="Z52" i="28"/>
  <c r="Z44" i="28"/>
  <c r="Z36" i="28"/>
  <c r="Z28" i="28"/>
  <c r="Z20" i="28"/>
  <c r="Z550" i="28"/>
  <c r="Z601" i="28"/>
  <c r="Z579" i="28"/>
  <c r="Z571" i="28"/>
  <c r="Z563" i="28"/>
  <c r="Z555" i="28"/>
  <c r="Z547" i="28"/>
  <c r="Z539" i="28"/>
  <c r="Z531" i="28"/>
  <c r="Z523" i="28"/>
  <c r="Z515" i="28"/>
  <c r="Z507" i="28"/>
  <c r="Z499" i="28"/>
  <c r="Z491" i="28"/>
  <c r="Z483" i="28"/>
  <c r="Z475" i="28"/>
  <c r="Z467" i="28"/>
  <c r="Z459" i="28"/>
  <c r="Z451" i="28"/>
  <c r="Z443" i="28"/>
  <c r="Z435" i="28"/>
  <c r="Z427" i="28"/>
  <c r="Z419" i="28"/>
  <c r="Z411" i="28"/>
  <c r="Z403" i="28"/>
  <c r="Z395" i="28"/>
  <c r="Z387" i="28"/>
  <c r="Z379" i="28"/>
  <c r="Z371" i="28"/>
  <c r="Z363" i="28"/>
  <c r="Z355" i="28"/>
  <c r="Z347" i="28"/>
  <c r="Z339" i="28"/>
  <c r="Z331" i="28"/>
  <c r="Z323" i="28"/>
  <c r="Z315" i="28"/>
  <c r="Z307" i="28"/>
  <c r="Z299" i="28"/>
  <c r="Z291" i="28"/>
  <c r="Z283" i="28"/>
  <c r="Z275" i="28"/>
  <c r="Z267" i="28"/>
  <c r="Z259" i="28"/>
  <c r="Z251" i="28"/>
  <c r="Z243" i="28"/>
  <c r="Z235" i="28"/>
  <c r="Z227" i="28"/>
  <c r="Z219" i="28"/>
  <c r="Z211" i="28"/>
  <c r="Z203" i="28"/>
  <c r="Z195" i="28"/>
  <c r="Z187" i="28"/>
  <c r="Z179" i="28"/>
  <c r="Z171" i="28"/>
  <c r="Z163" i="28"/>
  <c r="Z155" i="28"/>
  <c r="Z147" i="28"/>
  <c r="Z139" i="28"/>
  <c r="Z131" i="28"/>
  <c r="Z123" i="28"/>
  <c r="Z115" i="28"/>
  <c r="Z107" i="28"/>
  <c r="Z99" i="28"/>
  <c r="Z91" i="28"/>
  <c r="Z83" i="28"/>
  <c r="Z75" i="28"/>
  <c r="Z67" i="28"/>
  <c r="Z59" i="28"/>
  <c r="Z51" i="28"/>
  <c r="Z43" i="28"/>
  <c r="Z35" i="28"/>
  <c r="Z27" i="28"/>
  <c r="Z19" i="28"/>
  <c r="Z542" i="28"/>
  <c r="Z593" i="28"/>
  <c r="Z578" i="28"/>
  <c r="Z570" i="28"/>
  <c r="Z562" i="28"/>
  <c r="Z554" i="28"/>
  <c r="Z546" i="28"/>
  <c r="Z538" i="28"/>
  <c r="Z530" i="28"/>
  <c r="Z522" i="28"/>
  <c r="Z514" i="28"/>
  <c r="Z506" i="28"/>
  <c r="Z498" i="28"/>
  <c r="Z490" i="28"/>
  <c r="Z482" i="28"/>
  <c r="Z474" i="28"/>
  <c r="Z466" i="28"/>
  <c r="Z458" i="28"/>
  <c r="Z450" i="28"/>
  <c r="Z442" i="28"/>
  <c r="Z434" i="28"/>
  <c r="Z426" i="28"/>
  <c r="Z418" i="28"/>
  <c r="Z410" i="28"/>
  <c r="Z402" i="28"/>
  <c r="Z394" i="28"/>
  <c r="Z386" i="28"/>
  <c r="Z378" i="28"/>
  <c r="Z370" i="28"/>
  <c r="Z362" i="28"/>
  <c r="Z354" i="28"/>
  <c r="Z346" i="28"/>
  <c r="Z338" i="28"/>
  <c r="Z330" i="28"/>
  <c r="Z322" i="28"/>
  <c r="Z314" i="28"/>
  <c r="Z306" i="28"/>
  <c r="Z298" i="28"/>
  <c r="Z290" i="28"/>
  <c r="Z282" i="28"/>
  <c r="Z274" i="28"/>
  <c r="Z266" i="28"/>
  <c r="Z258" i="28"/>
  <c r="Z250" i="28"/>
  <c r="Z242" i="28"/>
  <c r="Z234" i="28"/>
  <c r="Z226" i="28"/>
  <c r="Z218" i="28"/>
  <c r="Z210" i="28"/>
  <c r="Z202" i="28"/>
  <c r="Z194" i="28"/>
  <c r="Z186" i="28"/>
  <c r="Z178" i="28"/>
  <c r="Z170" i="28"/>
  <c r="Z162" i="28"/>
  <c r="Z154" i="28"/>
  <c r="Z146" i="28"/>
  <c r="Z138" i="28"/>
  <c r="Z130" i="28"/>
  <c r="Z122" i="28"/>
  <c r="Z114" i="28"/>
  <c r="Z106" i="28"/>
  <c r="Z98" i="28"/>
  <c r="Z90" i="28"/>
  <c r="Z82" i="28"/>
  <c r="Z74" i="28"/>
  <c r="Z66" i="28"/>
  <c r="Z58" i="28"/>
  <c r="Z50" i="28"/>
  <c r="Z42" i="28"/>
  <c r="Z34" i="28"/>
  <c r="Z26" i="28"/>
  <c r="Z18" i="28"/>
  <c r="Z574" i="28"/>
  <c r="Z518" i="28"/>
  <c r="Z585" i="28"/>
  <c r="Z577" i="28"/>
  <c r="Z569" i="28"/>
  <c r="Z561" i="28"/>
  <c r="Z553" i="28"/>
  <c r="Z545" i="28"/>
  <c r="Z537" i="28"/>
  <c r="Z529" i="28"/>
  <c r="Z521" i="28"/>
  <c r="Z513" i="28"/>
  <c r="Z505" i="28"/>
  <c r="Z497" i="28"/>
  <c r="Z489" i="28"/>
  <c r="Z481" i="28"/>
  <c r="Z473" i="28"/>
  <c r="Z465" i="28"/>
  <c r="Z457" i="28"/>
  <c r="Z449" i="28"/>
  <c r="Z441" i="28"/>
  <c r="Z433" i="28"/>
  <c r="Z425" i="28"/>
  <c r="Z417" i="28"/>
  <c r="Z409" i="28"/>
  <c r="Z401" i="28"/>
  <c r="Z393" i="28"/>
  <c r="Z385" i="28"/>
  <c r="Z377" i="28"/>
  <c r="Z369" i="28"/>
  <c r="Z361" i="28"/>
  <c r="Z353" i="28"/>
  <c r="Z345" i="28"/>
  <c r="Z337" i="28"/>
  <c r="Z329" i="28"/>
  <c r="Z321" i="28"/>
  <c r="Z313" i="28"/>
  <c r="Z305" i="28"/>
  <c r="Z297" i="28"/>
  <c r="Z289" i="28"/>
  <c r="Z281" i="28"/>
  <c r="Z273" i="28"/>
  <c r="Z265" i="28"/>
  <c r="Z257" i="28"/>
  <c r="Z249" i="28"/>
  <c r="Z241" i="28"/>
  <c r="Z233" i="28"/>
  <c r="Z225" i="28"/>
  <c r="Z217" i="28"/>
  <c r="Z209" i="28"/>
  <c r="Z201" i="28"/>
  <c r="Z193" i="28"/>
  <c r="Z185" i="28"/>
  <c r="Z177" i="28"/>
  <c r="Z169" i="28"/>
  <c r="Z161" i="28"/>
  <c r="Z153" i="28"/>
  <c r="Z145" i="28"/>
  <c r="Z137" i="28"/>
  <c r="Z129" i="28"/>
  <c r="Z121" i="28"/>
  <c r="Z113" i="28"/>
  <c r="Z105" i="28"/>
  <c r="Z97" i="28"/>
  <c r="Z89" i="28"/>
  <c r="Z81" i="28"/>
  <c r="Z73" i="28"/>
  <c r="Z65" i="28"/>
  <c r="Z57" i="28"/>
  <c r="Z49" i="28"/>
  <c r="Z41" i="28"/>
  <c r="Z33" i="28"/>
  <c r="Z25" i="28"/>
  <c r="Z17" i="28"/>
  <c r="Z566" i="28"/>
  <c r="Z584" i="28"/>
  <c r="Z576" i="28"/>
  <c r="Z568" i="28"/>
  <c r="Z560" i="28"/>
  <c r="Z552" i="28"/>
  <c r="Z544" i="28"/>
  <c r="Z536" i="28"/>
  <c r="Z528" i="28"/>
  <c r="Z520" i="28"/>
  <c r="Z512" i="28"/>
  <c r="Z504" i="28"/>
  <c r="Z496" i="28"/>
  <c r="Z488" i="28"/>
  <c r="Z480" i="28"/>
  <c r="Z472" i="28"/>
  <c r="Z464" i="28"/>
  <c r="Z456" i="28"/>
  <c r="Z448" i="28"/>
  <c r="Z440" i="28"/>
  <c r="Z432" i="28"/>
  <c r="Z424" i="28"/>
  <c r="Z416" i="28"/>
  <c r="Z408" i="28"/>
  <c r="Z400" i="28"/>
  <c r="Z392" i="28"/>
  <c r="Z384" i="28"/>
  <c r="Z376" i="28"/>
  <c r="Z368" i="28"/>
  <c r="Z360" i="28"/>
  <c r="Z352" i="28"/>
  <c r="Z344" i="28"/>
  <c r="Z336" i="28"/>
  <c r="Z328" i="28"/>
  <c r="Z320" i="28"/>
  <c r="Z312" i="28"/>
  <c r="Z304" i="28"/>
  <c r="Z296" i="28"/>
  <c r="Z288" i="28"/>
  <c r="Z280" i="28"/>
  <c r="Z272" i="28"/>
  <c r="Z264" i="28"/>
  <c r="Z256" i="28"/>
  <c r="Z248" i="28"/>
  <c r="Z240" i="28"/>
  <c r="Z232" i="28"/>
  <c r="Z224" i="28"/>
  <c r="Z216" i="28"/>
  <c r="Z208" i="28"/>
  <c r="Z200" i="28"/>
  <c r="Z192" i="28"/>
  <c r="Z184" i="28"/>
  <c r="Z176" i="28"/>
  <c r="Z168" i="28"/>
  <c r="Z160" i="28"/>
  <c r="Z152" i="28"/>
  <c r="Z144" i="28"/>
  <c r="Z136" i="28"/>
  <c r="Z128" i="28"/>
  <c r="Z120" i="28"/>
  <c r="Z112" i="28"/>
  <c r="Z104" i="28"/>
  <c r="Z96" i="28"/>
  <c r="Z88" i="28"/>
  <c r="Z80" i="28"/>
  <c r="Z72" i="28"/>
  <c r="Z64" i="28"/>
  <c r="Z56" i="28"/>
  <c r="Z48" i="28"/>
  <c r="Z40" i="28"/>
  <c r="Z32" i="28"/>
  <c r="Z24" i="28"/>
  <c r="Z16" i="28"/>
  <c r="Z582" i="28"/>
  <c r="Z526" i="28"/>
  <c r="Z583" i="28"/>
  <c r="Z575" i="28"/>
  <c r="Z567" i="28"/>
  <c r="Z559" i="28"/>
  <c r="Z551" i="28"/>
  <c r="Z543" i="28"/>
  <c r="Z535" i="28"/>
  <c r="Z527" i="28"/>
  <c r="Z519" i="28"/>
  <c r="Z511" i="28"/>
  <c r="Z503" i="28"/>
  <c r="Z495" i="28"/>
  <c r="Z487" i="28"/>
  <c r="Z479" i="28"/>
  <c r="Z471" i="28"/>
  <c r="Z463" i="28"/>
  <c r="Z455" i="28"/>
  <c r="Z447" i="28"/>
  <c r="Z439" i="28"/>
  <c r="Z431" i="28"/>
  <c r="Z423" i="28"/>
  <c r="Z415" i="28"/>
  <c r="Z407" i="28"/>
  <c r="Z399" i="28"/>
  <c r="Z391" i="28"/>
  <c r="Z383" i="28"/>
  <c r="Z375" i="28"/>
  <c r="Z367" i="28"/>
  <c r="Z359" i="28"/>
  <c r="Z351" i="28"/>
  <c r="Z343" i="28"/>
  <c r="Z335" i="28"/>
  <c r="Z327" i="28"/>
  <c r="Z319" i="28"/>
  <c r="Z311" i="28"/>
  <c r="Z303" i="28"/>
  <c r="Z295" i="28"/>
  <c r="Z287" i="28"/>
  <c r="Z279" i="28"/>
  <c r="Z271" i="28"/>
  <c r="Z263" i="28"/>
  <c r="Z255" i="28"/>
  <c r="Z247" i="28"/>
  <c r="Z239" i="28"/>
  <c r="Z231" i="28"/>
  <c r="Z223" i="28"/>
  <c r="Z215" i="28"/>
  <c r="Z207" i="28"/>
  <c r="Z199" i="28"/>
  <c r="Z191" i="28"/>
  <c r="Z183" i="28"/>
  <c r="Z175" i="28"/>
  <c r="Z167" i="28"/>
  <c r="Z159" i="28"/>
  <c r="Z151" i="28"/>
  <c r="Z143" i="28"/>
  <c r="Z135" i="28"/>
  <c r="Z127" i="28"/>
  <c r="Z119" i="28"/>
  <c r="Z111" i="28"/>
  <c r="Z103" i="28"/>
  <c r="Z95" i="28"/>
  <c r="Z87" i="28"/>
  <c r="Z79" i="28"/>
  <c r="Z71" i="28"/>
  <c r="Z63" i="28"/>
  <c r="Z55" i="28"/>
  <c r="Z47" i="28"/>
  <c r="Z39" i="28"/>
  <c r="Z31" i="28"/>
  <c r="Z23" i="28"/>
  <c r="Z15" i="28"/>
  <c r="Z558" i="28"/>
  <c r="Z54" i="28"/>
  <c r="Z502" i="28"/>
  <c r="Z310" i="28"/>
  <c r="Z174" i="28"/>
  <c r="Z494" i="28"/>
  <c r="Z430" i="28"/>
  <c r="Z302" i="28"/>
  <c r="Z486" i="28"/>
  <c r="Z422" i="28"/>
  <c r="Z358" i="28"/>
  <c r="Z294" i="28"/>
  <c r="Z230" i="28"/>
  <c r="Z166" i="28"/>
  <c r="Z102" i="28"/>
  <c r="Z38" i="28"/>
  <c r="Z478" i="28"/>
  <c r="Z414" i="28"/>
  <c r="Z350" i="28"/>
  <c r="Z286" i="28"/>
  <c r="Z222" i="28"/>
  <c r="Z158" i="28"/>
  <c r="Z94" i="28"/>
  <c r="Z30" i="28"/>
  <c r="Z62" i="28"/>
  <c r="Z246" i="28"/>
  <c r="Z238" i="28"/>
  <c r="Z366" i="28"/>
  <c r="Z470" i="28"/>
  <c r="Z406" i="28"/>
  <c r="Z342" i="28"/>
  <c r="Z278" i="28"/>
  <c r="Z214" i="28"/>
  <c r="Z150" i="28"/>
  <c r="Z86" i="28"/>
  <c r="Z22" i="28"/>
  <c r="Z390" i="28"/>
  <c r="Z262" i="28"/>
  <c r="Z134" i="28"/>
  <c r="Z510" i="28"/>
  <c r="Z382" i="28"/>
  <c r="Z254" i="28"/>
  <c r="Z126" i="28"/>
  <c r="Z374" i="28"/>
  <c r="Z182" i="28"/>
  <c r="Z110" i="28"/>
  <c r="Z462" i="28"/>
  <c r="Z398" i="28"/>
  <c r="Z334" i="28"/>
  <c r="Z270" i="28"/>
  <c r="Z206" i="28"/>
  <c r="Z142" i="28"/>
  <c r="Z78" i="28"/>
  <c r="Z14" i="28"/>
  <c r="Z454" i="28"/>
  <c r="Z326" i="28"/>
  <c r="Z198" i="28"/>
  <c r="Z70" i="28"/>
  <c r="Z446" i="28"/>
  <c r="Z318" i="28"/>
  <c r="Z190" i="28"/>
  <c r="Z438" i="28"/>
  <c r="Z118" i="28"/>
  <c r="Z46" i="28"/>
  <c r="Z625" i="28"/>
  <c r="Z624" i="28"/>
  <c r="Z617" i="28"/>
  <c r="W627" i="28"/>
  <c r="W622" i="28"/>
  <c r="W610" i="28"/>
  <c r="W606" i="28"/>
  <c r="W602" i="28"/>
  <c r="W598" i="28"/>
  <c r="W594" i="28"/>
  <c r="W590" i="28"/>
  <c r="W586" i="28"/>
  <c r="W582" i="28"/>
  <c r="W578" i="28"/>
  <c r="W574" i="28"/>
  <c r="W570" i="28"/>
  <c r="W566" i="28"/>
  <c r="W562" i="28"/>
  <c r="W558" i="28"/>
  <c r="W554" i="28"/>
  <c r="W550" i="28"/>
  <c r="W546" i="28"/>
  <c r="W542" i="28"/>
  <c r="W538" i="28"/>
  <c r="W534" i="28"/>
  <c r="W530" i="28"/>
  <c r="W526" i="28"/>
  <c r="W522" i="28"/>
  <c r="W518" i="28"/>
  <c r="W514" i="28"/>
  <c r="W510" i="28"/>
  <c r="W506" i="28"/>
  <c r="W502" i="28"/>
  <c r="W498" i="28"/>
  <c r="W494" i="28"/>
  <c r="W490" i="28"/>
  <c r="W486" i="28"/>
  <c r="W482" i="28"/>
  <c r="W478" i="28"/>
  <c r="W474" i="28"/>
  <c r="W470" i="28"/>
  <c r="W466" i="28"/>
  <c r="W462" i="28"/>
  <c r="W458" i="28"/>
  <c r="W454" i="28"/>
  <c r="W450" i="28"/>
  <c r="W446" i="28"/>
  <c r="W442" i="28"/>
  <c r="W438" i="28"/>
  <c r="W434" i="28"/>
  <c r="W430" i="28"/>
  <c r="W426" i="28"/>
  <c r="W422" i="28"/>
  <c r="W418" i="28"/>
  <c r="W414" i="28"/>
  <c r="W410" i="28"/>
  <c r="W406" i="28"/>
  <c r="W402" i="28"/>
  <c r="W398" i="28"/>
  <c r="W394" i="28"/>
  <c r="W390" i="28"/>
  <c r="W386" i="28"/>
  <c r="W382" i="28"/>
  <c r="W378" i="28"/>
  <c r="W374" i="28"/>
  <c r="W370" i="28"/>
  <c r="W366" i="28"/>
  <c r="W362" i="28"/>
  <c r="W358" i="28"/>
  <c r="W354" i="28"/>
  <c r="W350" i="28"/>
  <c r="W346" i="28"/>
  <c r="W342" i="28"/>
  <c r="W338" i="28"/>
  <c r="W334" i="28"/>
  <c r="W330" i="28"/>
  <c r="W326" i="28"/>
  <c r="W322" i="28"/>
  <c r="W318" i="28"/>
  <c r="W314" i="28"/>
  <c r="W310" i="28"/>
  <c r="W306" i="28"/>
  <c r="W302" i="28"/>
  <c r="W298" i="28"/>
  <c r="W294" i="28"/>
  <c r="W629" i="28"/>
  <c r="W626" i="28"/>
  <c r="W613" i="28"/>
  <c r="W609" i="28"/>
  <c r="W605" i="28"/>
  <c r="W601" i="28"/>
  <c r="W597" i="28"/>
  <c r="W593" i="28"/>
  <c r="W589" i="28"/>
  <c r="W585" i="28"/>
  <c r="W581" i="28"/>
  <c r="W577" i="28"/>
  <c r="W573" i="28"/>
  <c r="W569" i="28"/>
  <c r="W565" i="28"/>
  <c r="W561" i="28"/>
  <c r="W557" i="28"/>
  <c r="W553" i="28"/>
  <c r="W549" i="28"/>
  <c r="W545" i="28"/>
  <c r="W541" i="28"/>
  <c r="W537" i="28"/>
  <c r="W533" i="28"/>
  <c r="W529" i="28"/>
  <c r="W525" i="28"/>
  <c r="W521" i="28"/>
  <c r="W517" i="28"/>
  <c r="W513" i="28"/>
  <c r="W509" i="28"/>
  <c r="W505" i="28"/>
  <c r="W501" i="28"/>
  <c r="W497" i="28"/>
  <c r="W493" i="28"/>
  <c r="W489" i="28"/>
  <c r="W485" i="28"/>
  <c r="W481" i="28"/>
  <c r="W477" i="28"/>
  <c r="W473" i="28"/>
  <c r="W469" i="28"/>
  <c r="W465" i="28"/>
  <c r="W461" i="28"/>
  <c r="W457" i="28"/>
  <c r="W453" i="28"/>
  <c r="W449" i="28"/>
  <c r="W445" i="28"/>
  <c r="W441" i="28"/>
  <c r="W437" i="28"/>
  <c r="W433" i="28"/>
  <c r="W429" i="28"/>
  <c r="W425" i="28"/>
  <c r="W421" i="28"/>
  <c r="W417" i="28"/>
  <c r="W413" i="28"/>
  <c r="W409" i="28"/>
  <c r="W405" i="28"/>
  <c r="W401" i="28"/>
  <c r="W397" i="28"/>
  <c r="W393" i="28"/>
  <c r="W389" i="28"/>
  <c r="W385" i="28"/>
  <c r="W381" i="28"/>
  <c r="W377" i="28"/>
  <c r="W373" i="28"/>
  <c r="W369" i="28"/>
  <c r="W365" i="28"/>
  <c r="W361" i="28"/>
  <c r="W357" i="28"/>
  <c r="W353" i="28"/>
  <c r="W349" i="28"/>
  <c r="W345" i="28"/>
  <c r="W341" i="28"/>
  <c r="W337" i="28"/>
  <c r="W333" i="28"/>
  <c r="W329" i="28"/>
  <c r="W325" i="28"/>
  <c r="W321" i="28"/>
  <c r="W317" i="28"/>
  <c r="W313" i="28"/>
  <c r="W309" i="28"/>
  <c r="W305" i="28"/>
  <c r="W301" i="28"/>
  <c r="W297" i="28"/>
  <c r="W293" i="28"/>
  <c r="W289" i="28"/>
  <c r="W285" i="28"/>
  <c r="W628" i="28"/>
  <c r="W612" i="28"/>
  <c r="W608" i="28"/>
  <c r="W604" i="28"/>
  <c r="W600" i="28"/>
  <c r="W596" i="28"/>
  <c r="W592" i="28"/>
  <c r="W588" i="28"/>
  <c r="W584" i="28"/>
  <c r="W580" i="28"/>
  <c r="W576" i="28"/>
  <c r="W572" i="28"/>
  <c r="W568" i="28"/>
  <c r="W564" i="28"/>
  <c r="W560" i="28"/>
  <c r="W556" i="28"/>
  <c r="W552" i="28"/>
  <c r="W548" i="28"/>
  <c r="W544" i="28"/>
  <c r="W540" i="28"/>
  <c r="W536" i="28"/>
  <c r="W532" i="28"/>
  <c r="W528" i="28"/>
  <c r="W524" i="28"/>
  <c r="W520" i="28"/>
  <c r="W516" i="28"/>
  <c r="W512" i="28"/>
  <c r="W508" i="28"/>
  <c r="W504" i="28"/>
  <c r="W500" i="28"/>
  <c r="W496" i="28"/>
  <c r="W492" i="28"/>
  <c r="W488" i="28"/>
  <c r="W484" i="28"/>
  <c r="W480" i="28"/>
  <c r="W476" i="28"/>
  <c r="W472" i="28"/>
  <c r="W468" i="28"/>
  <c r="W464" i="28"/>
  <c r="W460" i="28"/>
  <c r="W456" i="28"/>
  <c r="W452" i="28"/>
  <c r="W448" i="28"/>
  <c r="W444" i="28"/>
  <c r="W440" i="28"/>
  <c r="W436" i="28"/>
  <c r="W432" i="28"/>
  <c r="W428" i="28"/>
  <c r="W424" i="28"/>
  <c r="W420" i="28"/>
  <c r="W416" i="28"/>
  <c r="W412" i="28"/>
  <c r="W408" i="28"/>
  <c r="W404" i="28"/>
  <c r="W400" i="28"/>
  <c r="W396" i="28"/>
  <c r="W392" i="28"/>
  <c r="W388" i="28"/>
  <c r="W384" i="28"/>
  <c r="W380" i="28"/>
  <c r="W376" i="28"/>
  <c r="W372" i="28"/>
  <c r="W368" i="28"/>
  <c r="W364" i="28"/>
  <c r="W360" i="28"/>
  <c r="W356" i="28"/>
  <c r="W352" i="28"/>
  <c r="W348" i="28"/>
  <c r="W344" i="28"/>
  <c r="W340" i="28"/>
  <c r="W336" i="28"/>
  <c r="W332" i="28"/>
  <c r="W328" i="28"/>
  <c r="W324" i="28"/>
  <c r="W320" i="28"/>
  <c r="W316" i="28"/>
  <c r="W312" i="28"/>
  <c r="W308" i="28"/>
  <c r="W304" i="28"/>
  <c r="W300" i="28"/>
  <c r="W296" i="28"/>
  <c r="W292" i="28"/>
  <c r="W288" i="28"/>
  <c r="W284" i="28"/>
  <c r="W623" i="28"/>
  <c r="W587" i="28"/>
  <c r="W555" i="28"/>
  <c r="W523" i="28"/>
  <c r="W491" i="28"/>
  <c r="W459" i="28"/>
  <c r="W427" i="28"/>
  <c r="W395" i="28"/>
  <c r="W363" i="28"/>
  <c r="W299" i="28"/>
  <c r="W290" i="28"/>
  <c r="W282" i="28"/>
  <c r="W278" i="28"/>
  <c r="W274" i="28"/>
  <c r="W270" i="28"/>
  <c r="W266" i="28"/>
  <c r="W262" i="28"/>
  <c r="W258" i="28"/>
  <c r="W254" i="28"/>
  <c r="W250" i="28"/>
  <c r="W246" i="28"/>
  <c r="W242" i="28"/>
  <c r="W238" i="28"/>
  <c r="W234" i="28"/>
  <c r="W230" i="28"/>
  <c r="W226" i="28"/>
  <c r="W222" i="28"/>
  <c r="W218" i="28"/>
  <c r="W214" i="28"/>
  <c r="W210" i="28"/>
  <c r="W206" i="28"/>
  <c r="W202" i="28"/>
  <c r="W198" i="28"/>
  <c r="W194" i="28"/>
  <c r="W190" i="28"/>
  <c r="W186" i="28"/>
  <c r="W182" i="28"/>
  <c r="W178" i="28"/>
  <c r="W174" i="28"/>
  <c r="W170" i="28"/>
  <c r="W166" i="28"/>
  <c r="W162" i="28"/>
  <c r="W158" i="28"/>
  <c r="W154" i="28"/>
  <c r="W150" i="28"/>
  <c r="W146" i="28"/>
  <c r="W142" i="28"/>
  <c r="W138" i="28"/>
  <c r="W134" i="28"/>
  <c r="W130" i="28"/>
  <c r="W126" i="28"/>
  <c r="W122" i="28"/>
  <c r="W118" i="28"/>
  <c r="W114" i="28"/>
  <c r="W110" i="28"/>
  <c r="W106" i="28"/>
  <c r="W102" i="28"/>
  <c r="W98" i="28"/>
  <c r="W94" i="28"/>
  <c r="W90" i="28"/>
  <c r="W86" i="28"/>
  <c r="W82" i="28"/>
  <c r="W78" i="28"/>
  <c r="W74" i="28"/>
  <c r="W70" i="28"/>
  <c r="W66" i="28"/>
  <c r="W62" i="28"/>
  <c r="W58" i="28"/>
  <c r="W54" i="28"/>
  <c r="W50" i="28"/>
  <c r="W46" i="28"/>
  <c r="W42" i="28"/>
  <c r="W38" i="28"/>
  <c r="W34" i="28"/>
  <c r="W30" i="28"/>
  <c r="W26" i="28"/>
  <c r="W22" i="28"/>
  <c r="W18" i="28"/>
  <c r="W14" i="28"/>
  <c r="W583" i="28"/>
  <c r="W551" i="28"/>
  <c r="W519" i="28"/>
  <c r="W487" i="28"/>
  <c r="W455" i="28"/>
  <c r="W423" i="28"/>
  <c r="W391" i="28"/>
  <c r="W359" i="28"/>
  <c r="W335" i="28"/>
  <c r="W319" i="28"/>
  <c r="W611" i="28"/>
  <c r="W579" i="28"/>
  <c r="W547" i="28"/>
  <c r="W515" i="28"/>
  <c r="W483" i="28"/>
  <c r="W451" i="28"/>
  <c r="W419" i="28"/>
  <c r="W387" i="28"/>
  <c r="W355" i="28"/>
  <c r="W307" i="28"/>
  <c r="W287" i="28"/>
  <c r="W281" i="28"/>
  <c r="W277" i="28"/>
  <c r="W273" i="28"/>
  <c r="W269" i="28"/>
  <c r="W265" i="28"/>
  <c r="W261" i="28"/>
  <c r="W257" i="28"/>
  <c r="W253" i="28"/>
  <c r="W249" i="28"/>
  <c r="W245" i="28"/>
  <c r="W241" i="28"/>
  <c r="W237" i="28"/>
  <c r="W233" i="28"/>
  <c r="W229" i="28"/>
  <c r="W225" i="28"/>
  <c r="W221" i="28"/>
  <c r="W217" i="28"/>
  <c r="W213" i="28"/>
  <c r="W209" i="28"/>
  <c r="W205" i="28"/>
  <c r="W201" i="28"/>
  <c r="W197" i="28"/>
  <c r="W193" i="28"/>
  <c r="W189" i="28"/>
  <c r="W185" i="28"/>
  <c r="W181" i="28"/>
  <c r="W177" i="28"/>
  <c r="W173" i="28"/>
  <c r="W169" i="28"/>
  <c r="W165" i="28"/>
  <c r="W161" i="28"/>
  <c r="W157" i="28"/>
  <c r="W153" i="28"/>
  <c r="W149" i="28"/>
  <c r="W145" i="28"/>
  <c r="W141" i="28"/>
  <c r="W137" i="28"/>
  <c r="W133" i="28"/>
  <c r="W129" i="28"/>
  <c r="W125" i="28"/>
  <c r="W121" i="28"/>
  <c r="W117" i="28"/>
  <c r="W113" i="28"/>
  <c r="W109" i="28"/>
  <c r="W105" i="28"/>
  <c r="W101" i="28"/>
  <c r="W97" i="28"/>
  <c r="W93" i="28"/>
  <c r="W89" i="28"/>
  <c r="W85" i="28"/>
  <c r="W81" i="28"/>
  <c r="W77" i="28"/>
  <c r="W73" i="28"/>
  <c r="W69" i="28"/>
  <c r="W65" i="28"/>
  <c r="W61" i="28"/>
  <c r="W57" i="28"/>
  <c r="W53" i="28"/>
  <c r="W49" i="28"/>
  <c r="W45" i="28"/>
  <c r="W41" i="28"/>
  <c r="W37" i="28"/>
  <c r="W33" i="28"/>
  <c r="W29" i="28"/>
  <c r="W25" i="28"/>
  <c r="W21" i="28"/>
  <c r="W17" i="28"/>
  <c r="W13" i="28"/>
  <c r="W607" i="28"/>
  <c r="W575" i="28"/>
  <c r="W543" i="28"/>
  <c r="W511" i="28"/>
  <c r="W479" i="28"/>
  <c r="W447" i="28"/>
  <c r="W415" i="28"/>
  <c r="W383" i="28"/>
  <c r="W351" i="28"/>
  <c r="W331" i="28"/>
  <c r="W295" i="28"/>
  <c r="W603" i="28"/>
  <c r="W571" i="28"/>
  <c r="W539" i="28"/>
  <c r="W507" i="28"/>
  <c r="W475" i="28"/>
  <c r="W443" i="28"/>
  <c r="W411" i="28"/>
  <c r="W379" i="28"/>
  <c r="W347" i="28"/>
  <c r="W315" i="28"/>
  <c r="W286" i="28"/>
  <c r="W280" i="28"/>
  <c r="W276" i="28"/>
  <c r="W272" i="28"/>
  <c r="W268" i="28"/>
  <c r="W264" i="28"/>
  <c r="W260" i="28"/>
  <c r="W256" i="28"/>
  <c r="W252" i="28"/>
  <c r="W248" i="28"/>
  <c r="W244" i="28"/>
  <c r="W240" i="28"/>
  <c r="W236" i="28"/>
  <c r="W232" i="28"/>
  <c r="W228" i="28"/>
  <c r="W224" i="28"/>
  <c r="W220" i="28"/>
  <c r="W216" i="28"/>
  <c r="W212" i="28"/>
  <c r="W208" i="28"/>
  <c r="W204" i="28"/>
  <c r="W200" i="28"/>
  <c r="W196" i="28"/>
  <c r="W192" i="28"/>
  <c r="W188" i="28"/>
  <c r="W184" i="28"/>
  <c r="W180" i="28"/>
  <c r="W176" i="28"/>
  <c r="W172" i="28"/>
  <c r="W168" i="28"/>
  <c r="W164" i="28"/>
  <c r="W160" i="28"/>
  <c r="W156" i="28"/>
  <c r="W152" i="28"/>
  <c r="W148" i="28"/>
  <c r="W144" i="28"/>
  <c r="W140" i="28"/>
  <c r="W136" i="28"/>
  <c r="W132" i="28"/>
  <c r="W128" i="28"/>
  <c r="W124" i="28"/>
  <c r="W120" i="28"/>
  <c r="W116" i="28"/>
  <c r="W112" i="28"/>
  <c r="W108" i="28"/>
  <c r="W104" i="28"/>
  <c r="W100" i="28"/>
  <c r="W96" i="28"/>
  <c r="W92" i="28"/>
  <c r="W88" i="28"/>
  <c r="W84" i="28"/>
  <c r="W80" i="28"/>
  <c r="W76" i="28"/>
  <c r="W72" i="28"/>
  <c r="W68" i="28"/>
  <c r="W64" i="28"/>
  <c r="W60" i="28"/>
  <c r="W56" i="28"/>
  <c r="W52" i="28"/>
  <c r="W48" i="28"/>
  <c r="W44" i="28"/>
  <c r="W40" i="28"/>
  <c r="W36" i="28"/>
  <c r="W32" i="28"/>
  <c r="W28" i="28"/>
  <c r="W24" i="28"/>
  <c r="W20" i="28"/>
  <c r="W16" i="28"/>
  <c r="W599" i="28"/>
  <c r="W567" i="28"/>
  <c r="W535" i="28"/>
  <c r="W503" i="28"/>
  <c r="W471" i="28"/>
  <c r="W439" i="28"/>
  <c r="W407" i="28"/>
  <c r="W375" i="28"/>
  <c r="W343" i="28"/>
  <c r="W327" i="28"/>
  <c r="W303" i="28"/>
  <c r="W595" i="28"/>
  <c r="W563" i="28"/>
  <c r="W531" i="28"/>
  <c r="W499" i="28"/>
  <c r="W467" i="28"/>
  <c r="W435" i="28"/>
  <c r="W403" i="28"/>
  <c r="W371" i="28"/>
  <c r="W291" i="28"/>
  <c r="W283" i="28"/>
  <c r="W279" i="28"/>
  <c r="W275" i="28"/>
  <c r="W271" i="28"/>
  <c r="W267" i="28"/>
  <c r="W263" i="28"/>
  <c r="W259" i="28"/>
  <c r="W255" i="28"/>
  <c r="W251" i="28"/>
  <c r="W247" i="28"/>
  <c r="W243" i="28"/>
  <c r="W239" i="28"/>
  <c r="W235" i="28"/>
  <c r="W231" i="28"/>
  <c r="W227" i="28"/>
  <c r="W223" i="28"/>
  <c r="W219" i="28"/>
  <c r="W215" i="28"/>
  <c r="W211" i="28"/>
  <c r="W207" i="28"/>
  <c r="W203" i="28"/>
  <c r="W199" i="28"/>
  <c r="W195" i="28"/>
  <c r="W191" i="28"/>
  <c r="W187" i="28"/>
  <c r="W183" i="28"/>
  <c r="W179" i="28"/>
  <c r="W175" i="28"/>
  <c r="W171" i="28"/>
  <c r="W167" i="28"/>
  <c r="W163" i="28"/>
  <c r="W159" i="28"/>
  <c r="W155" i="28"/>
  <c r="W151" i="28"/>
  <c r="W147" i="28"/>
  <c r="W143" i="28"/>
  <c r="W139" i="28"/>
  <c r="W135" i="28"/>
  <c r="W131" i="28"/>
  <c r="W127" i="28"/>
  <c r="W123" i="28"/>
  <c r="W119" i="28"/>
  <c r="W115" i="28"/>
  <c r="W111" i="28"/>
  <c r="W107" i="28"/>
  <c r="W103" i="28"/>
  <c r="W99" i="28"/>
  <c r="W95" i="28"/>
  <c r="W91" i="28"/>
  <c r="W87" i="28"/>
  <c r="W83" i="28"/>
  <c r="W79" i="28"/>
  <c r="W75" i="28"/>
  <c r="W71" i="28"/>
  <c r="W67" i="28"/>
  <c r="W63" i="28"/>
  <c r="W59" i="28"/>
  <c r="W55" i="28"/>
  <c r="W51" i="28"/>
  <c r="W47" i="28"/>
  <c r="W43" i="28"/>
  <c r="W39" i="28"/>
  <c r="W35" i="28"/>
  <c r="W31" i="28"/>
  <c r="W27" i="28"/>
  <c r="W23" i="28"/>
  <c r="W19" i="28"/>
  <c r="W15" i="28"/>
  <c r="W591" i="28"/>
  <c r="W339" i="28"/>
  <c r="W559" i="28"/>
  <c r="W323" i="28"/>
  <c r="W527" i="28"/>
  <c r="W311" i="28"/>
  <c r="W495" i="28"/>
  <c r="W463" i="28"/>
  <c r="W431" i="28"/>
  <c r="W399" i="28"/>
  <c r="W367" i="28"/>
  <c r="W625" i="28"/>
  <c r="W624" i="28"/>
  <c r="W617" i="28"/>
  <c r="AC629" i="28"/>
  <c r="AC610" i="28"/>
  <c r="AC606" i="28"/>
  <c r="AC602" i="28"/>
  <c r="AC598" i="28"/>
  <c r="AC594" i="28"/>
  <c r="AC590" i="28"/>
  <c r="AC586" i="28"/>
  <c r="AC582" i="28"/>
  <c r="AC578" i="28"/>
  <c r="AC574" i="28"/>
  <c r="AC570" i="28"/>
  <c r="AC566" i="28"/>
  <c r="AC562" i="28"/>
  <c r="AC558" i="28"/>
  <c r="AC554" i="28"/>
  <c r="AC550" i="28"/>
  <c r="AC546" i="28"/>
  <c r="AC542" i="28"/>
  <c r="AC538" i="28"/>
  <c r="AC534" i="28"/>
  <c r="AC530" i="28"/>
  <c r="AC526" i="28"/>
  <c r="AC522" i="28"/>
  <c r="AC518" i="28"/>
  <c r="AC514" i="28"/>
  <c r="AC510" i="28"/>
  <c r="AC506" i="28"/>
  <c r="AC502" i="28"/>
  <c r="AC498" i="28"/>
  <c r="AC494" i="28"/>
  <c r="AC490" i="28"/>
  <c r="AC486" i="28"/>
  <c r="AC482" i="28"/>
  <c r="AC478" i="28"/>
  <c r="AC474" i="28"/>
  <c r="AC470" i="28"/>
  <c r="AC466" i="28"/>
  <c r="AC462" i="28"/>
  <c r="AC458" i="28"/>
  <c r="AC454" i="28"/>
  <c r="AC450" i="28"/>
  <c r="AC446" i="28"/>
  <c r="AC442" i="28"/>
  <c r="AC438" i="28"/>
  <c r="AC434" i="28"/>
  <c r="AC430" i="28"/>
  <c r="AC426" i="28"/>
  <c r="AC422" i="28"/>
  <c r="AC418" i="28"/>
  <c r="AC414" i="28"/>
  <c r="AC410" i="28"/>
  <c r="AC406" i="28"/>
  <c r="AC402" i="28"/>
  <c r="AC398" i="28"/>
  <c r="AC394" i="28"/>
  <c r="AC390" i="28"/>
  <c r="AC386" i="28"/>
  <c r="AC382" i="28"/>
  <c r="AC378" i="28"/>
  <c r="AC374" i="28"/>
  <c r="AC370" i="28"/>
  <c r="AC366" i="28"/>
  <c r="AC362" i="28"/>
  <c r="AC358" i="28"/>
  <c r="AC354" i="28"/>
  <c r="AC350" i="28"/>
  <c r="AC346" i="28"/>
  <c r="AC342" i="28"/>
  <c r="AC338" i="28"/>
  <c r="AC334" i="28"/>
  <c r="AC330" i="28"/>
  <c r="AC326" i="28"/>
  <c r="AC322" i="28"/>
  <c r="AC626" i="28"/>
  <c r="AC613" i="28"/>
  <c r="AC609" i="28"/>
  <c r="AC605" i="28"/>
  <c r="AC601" i="28"/>
  <c r="AC597" i="28"/>
  <c r="AC593" i="28"/>
  <c r="AC589" i="28"/>
  <c r="AC585" i="28"/>
  <c r="AC581" i="28"/>
  <c r="AC577" i="28"/>
  <c r="AC573" i="28"/>
  <c r="AC569" i="28"/>
  <c r="AC565" i="28"/>
  <c r="AC561" i="28"/>
  <c r="AC557" i="28"/>
  <c r="AC553" i="28"/>
  <c r="AC549" i="28"/>
  <c r="AC545" i="28"/>
  <c r="AC541" i="28"/>
  <c r="AC537" i="28"/>
  <c r="AC533" i="28"/>
  <c r="AC529" i="28"/>
  <c r="AC525" i="28"/>
  <c r="AC521" i="28"/>
  <c r="AC517" i="28"/>
  <c r="AC513" i="28"/>
  <c r="AC509" i="28"/>
  <c r="AC505" i="28"/>
  <c r="AC501" i="28"/>
  <c r="AC497" i="28"/>
  <c r="AC493" i="28"/>
  <c r="AC489" i="28"/>
  <c r="AC485" i="28"/>
  <c r="AC481" i="28"/>
  <c r="AC477" i="28"/>
  <c r="AC473" i="28"/>
  <c r="AC469" i="28"/>
  <c r="AC465" i="28"/>
  <c r="AC461" i="28"/>
  <c r="AC457" i="28"/>
  <c r="AC453" i="28"/>
  <c r="AC449" i="28"/>
  <c r="AC445" i="28"/>
  <c r="AC441" i="28"/>
  <c r="AC437" i="28"/>
  <c r="AC433" i="28"/>
  <c r="AC429" i="28"/>
  <c r="AC425" i="28"/>
  <c r="AC421" i="28"/>
  <c r="AC417" i="28"/>
  <c r="AC413" i="28"/>
  <c r="AC409" i="28"/>
  <c r="AC405" i="28"/>
  <c r="AC401" i="28"/>
  <c r="AC397" i="28"/>
  <c r="AC393" i="28"/>
  <c r="AC389" i="28"/>
  <c r="AC385" i="28"/>
  <c r="AC381" i="28"/>
  <c r="AC377" i="28"/>
  <c r="AC373" i="28"/>
  <c r="AC369" i="28"/>
  <c r="AC365" i="28"/>
  <c r="AC361" i="28"/>
  <c r="AC357" i="28"/>
  <c r="AC353" i="28"/>
  <c r="AC349" i="28"/>
  <c r="AC345" i="28"/>
  <c r="AC341" i="28"/>
  <c r="AC337" i="28"/>
  <c r="AC333" i="28"/>
  <c r="AC329" i="28"/>
  <c r="AC325" i="28"/>
  <c r="AC321" i="28"/>
  <c r="AC317" i="28"/>
  <c r="AC313" i="28"/>
  <c r="AC309" i="28"/>
  <c r="AC305" i="28"/>
  <c r="AC301" i="28"/>
  <c r="AC297" i="28"/>
  <c r="AC293" i="28"/>
  <c r="AC289" i="28"/>
  <c r="AC285" i="28"/>
  <c r="AC628" i="28"/>
  <c r="AC623" i="28"/>
  <c r="AC612" i="28"/>
  <c r="AC608" i="28"/>
  <c r="AC604" i="28"/>
  <c r="AC600" i="28"/>
  <c r="AC596" i="28"/>
  <c r="AC592" i="28"/>
  <c r="AC588" i="28"/>
  <c r="AC584" i="28"/>
  <c r="AC580" i="28"/>
  <c r="AC576" i="28"/>
  <c r="AC572" i="28"/>
  <c r="AC568" i="28"/>
  <c r="AC564" i="28"/>
  <c r="AC560" i="28"/>
  <c r="AC556" i="28"/>
  <c r="AC552" i="28"/>
  <c r="AC548" i="28"/>
  <c r="AC544" i="28"/>
  <c r="AC540" i="28"/>
  <c r="AC536" i="28"/>
  <c r="AC532" i="28"/>
  <c r="AC528" i="28"/>
  <c r="AC524" i="28"/>
  <c r="AC520" i="28"/>
  <c r="AC516" i="28"/>
  <c r="AC512" i="28"/>
  <c r="AC508" i="28"/>
  <c r="AC504" i="28"/>
  <c r="AC500" i="28"/>
  <c r="AC496" i="28"/>
  <c r="AC492" i="28"/>
  <c r="AC488" i="28"/>
  <c r="AC484" i="28"/>
  <c r="AC480" i="28"/>
  <c r="AC476" i="28"/>
  <c r="AC472" i="28"/>
  <c r="AC468" i="28"/>
  <c r="AC464" i="28"/>
  <c r="AC460" i="28"/>
  <c r="AC456" i="28"/>
  <c r="AC452" i="28"/>
  <c r="AC448" i="28"/>
  <c r="AC444" i="28"/>
  <c r="AC440" i="28"/>
  <c r="AC436" i="28"/>
  <c r="AC432" i="28"/>
  <c r="AC428" i="28"/>
  <c r="AC424" i="28"/>
  <c r="AC420" i="28"/>
  <c r="AC416" i="28"/>
  <c r="AC412" i="28"/>
  <c r="AC408" i="28"/>
  <c r="AC404" i="28"/>
  <c r="AC400" i="28"/>
  <c r="AC396" i="28"/>
  <c r="AC392" i="28"/>
  <c r="AC388" i="28"/>
  <c r="AC384" i="28"/>
  <c r="AC380" i="28"/>
  <c r="AC376" i="28"/>
  <c r="AC372" i="28"/>
  <c r="AC368" i="28"/>
  <c r="AC364" i="28"/>
  <c r="AC360" i="28"/>
  <c r="AC356" i="28"/>
  <c r="AC352" i="28"/>
  <c r="AC348" i="28"/>
  <c r="AC344" i="28"/>
  <c r="AC627" i="28"/>
  <c r="AC611" i="28"/>
  <c r="AC607" i="28"/>
  <c r="AC603" i="28"/>
  <c r="AC599" i="28"/>
  <c r="AC595" i="28"/>
  <c r="AC591" i="28"/>
  <c r="AC587" i="28"/>
  <c r="AC583" i="28"/>
  <c r="AC579" i="28"/>
  <c r="AC575" i="28"/>
  <c r="AC571" i="28"/>
  <c r="AC567" i="28"/>
  <c r="AC563" i="28"/>
  <c r="AC559" i="28"/>
  <c r="AC555" i="28"/>
  <c r="AC551" i="28"/>
  <c r="AC547" i="28"/>
  <c r="AC543" i="28"/>
  <c r="AC539" i="28"/>
  <c r="AC535" i="28"/>
  <c r="AC531" i="28"/>
  <c r="AC527" i="28"/>
  <c r="AC523" i="28"/>
  <c r="AC519" i="28"/>
  <c r="AC515" i="28"/>
  <c r="AC511" i="28"/>
  <c r="AC507" i="28"/>
  <c r="AC503" i="28"/>
  <c r="AC499" i="28"/>
  <c r="AC495" i="28"/>
  <c r="AC491" i="28"/>
  <c r="AC487" i="28"/>
  <c r="AC483" i="28"/>
  <c r="AC479" i="28"/>
  <c r="AC475" i="28"/>
  <c r="AC471" i="28"/>
  <c r="AC467" i="28"/>
  <c r="AC463" i="28"/>
  <c r="AC459" i="28"/>
  <c r="AC455" i="28"/>
  <c r="AC451" i="28"/>
  <c r="AC447" i="28"/>
  <c r="AC443" i="28"/>
  <c r="AC439" i="28"/>
  <c r="AC435" i="28"/>
  <c r="AC431" i="28"/>
  <c r="AC427" i="28"/>
  <c r="AC423" i="28"/>
  <c r="AC419" i="28"/>
  <c r="AC415" i="28"/>
  <c r="AC411" i="28"/>
  <c r="AC407" i="28"/>
  <c r="AC403" i="28"/>
  <c r="AC399" i="28"/>
  <c r="AC395" i="28"/>
  <c r="AC391" i="28"/>
  <c r="AC387" i="28"/>
  <c r="AC383" i="28"/>
  <c r="AC379" i="28"/>
  <c r="AC375" i="28"/>
  <c r="AC371" i="28"/>
  <c r="AC367" i="28"/>
  <c r="AC363" i="28"/>
  <c r="AC359" i="28"/>
  <c r="AC355" i="28"/>
  <c r="AC351" i="28"/>
  <c r="AC347" i="28"/>
  <c r="AC343" i="28"/>
  <c r="AC339" i="28"/>
  <c r="AC335" i="28"/>
  <c r="AC331" i="28"/>
  <c r="AC327" i="28"/>
  <c r="AC323" i="28"/>
  <c r="AC319" i="28"/>
  <c r="AC315" i="28"/>
  <c r="AC311" i="28"/>
  <c r="AC307" i="28"/>
  <c r="AC303" i="28"/>
  <c r="AC299" i="28"/>
  <c r="AC295" i="28"/>
  <c r="AC291" i="28"/>
  <c r="AC287" i="28"/>
  <c r="AC283" i="28"/>
  <c r="AC336" i="28"/>
  <c r="AC320" i="28"/>
  <c r="AC310" i="28"/>
  <c r="AC622" i="28"/>
  <c r="AC308" i="28"/>
  <c r="AC298" i="28"/>
  <c r="AC288" i="28"/>
  <c r="AC281" i="28"/>
  <c r="AC277" i="28"/>
  <c r="AC273" i="28"/>
  <c r="AC269" i="28"/>
  <c r="AC265" i="28"/>
  <c r="AC261" i="28"/>
  <c r="AC257" i="28"/>
  <c r="AC253" i="28"/>
  <c r="AC249" i="28"/>
  <c r="AC245" i="28"/>
  <c r="AC241" i="28"/>
  <c r="AC237" i="28"/>
  <c r="AC233" i="28"/>
  <c r="AC229" i="28"/>
  <c r="AC225" i="28"/>
  <c r="AC221" i="28"/>
  <c r="AC217" i="28"/>
  <c r="AC213" i="28"/>
  <c r="AC209" i="28"/>
  <c r="AC205" i="28"/>
  <c r="AC201" i="28"/>
  <c r="AC197" i="28"/>
  <c r="AC193" i="28"/>
  <c r="AC189" i="28"/>
  <c r="AC185" i="28"/>
  <c r="AC181" i="28"/>
  <c r="AC177" i="28"/>
  <c r="AC173" i="28"/>
  <c r="AC169" i="28"/>
  <c r="AC165" i="28"/>
  <c r="AC161" i="28"/>
  <c r="AC157" i="28"/>
  <c r="AC153" i="28"/>
  <c r="AC149" i="28"/>
  <c r="AC145" i="28"/>
  <c r="AC141" i="28"/>
  <c r="AC137" i="28"/>
  <c r="AC133" i="28"/>
  <c r="AC129" i="28"/>
  <c r="AC125" i="28"/>
  <c r="AC121" i="28"/>
  <c r="AC117" i="28"/>
  <c r="AC113" i="28"/>
  <c r="AC109" i="28"/>
  <c r="AC105" i="28"/>
  <c r="AC101" i="28"/>
  <c r="AC97" i="28"/>
  <c r="AC93" i="28"/>
  <c r="AC89" i="28"/>
  <c r="AC85" i="28"/>
  <c r="AC81" i="28"/>
  <c r="AC77" i="28"/>
  <c r="AC73" i="28"/>
  <c r="AC69" i="28"/>
  <c r="AC65" i="28"/>
  <c r="AC61" i="28"/>
  <c r="AC57" i="28"/>
  <c r="AC53" i="28"/>
  <c r="AC49" i="28"/>
  <c r="AC45" i="28"/>
  <c r="AC41" i="28"/>
  <c r="AC37" i="28"/>
  <c r="AC33" i="28"/>
  <c r="AC29" i="28"/>
  <c r="AC25" i="28"/>
  <c r="AC21" i="28"/>
  <c r="AC17" i="28"/>
  <c r="AC13" i="28"/>
  <c r="AC332" i="28"/>
  <c r="AC318" i="28"/>
  <c r="AC296" i="28"/>
  <c r="AC316" i="28"/>
  <c r="AC306" i="28"/>
  <c r="AC286" i="28"/>
  <c r="AC280" i="28"/>
  <c r="AC276" i="28"/>
  <c r="AC272" i="28"/>
  <c r="AC268" i="28"/>
  <c r="AC264" i="28"/>
  <c r="AC260" i="28"/>
  <c r="AC256" i="28"/>
  <c r="AC252" i="28"/>
  <c r="AC248" i="28"/>
  <c r="AC244" i="28"/>
  <c r="AC240" i="28"/>
  <c r="AC236" i="28"/>
  <c r="AC232" i="28"/>
  <c r="AC228" i="28"/>
  <c r="AC224" i="28"/>
  <c r="AC220" i="28"/>
  <c r="AC216" i="28"/>
  <c r="AC212" i="28"/>
  <c r="AC208" i="28"/>
  <c r="AC204" i="28"/>
  <c r="AC200" i="28"/>
  <c r="AC196" i="28"/>
  <c r="AC192" i="28"/>
  <c r="AC188" i="28"/>
  <c r="AC184" i="28"/>
  <c r="AC180" i="28"/>
  <c r="AC176" i="28"/>
  <c r="AC172" i="28"/>
  <c r="AC168" i="28"/>
  <c r="AC164" i="28"/>
  <c r="AC160" i="28"/>
  <c r="AC156" i="28"/>
  <c r="AC152" i="28"/>
  <c r="AC148" i="28"/>
  <c r="AC144" i="28"/>
  <c r="AC140" i="28"/>
  <c r="AC136" i="28"/>
  <c r="AC132" i="28"/>
  <c r="AC128" i="28"/>
  <c r="AC124" i="28"/>
  <c r="AC120" i="28"/>
  <c r="AC116" i="28"/>
  <c r="AC112" i="28"/>
  <c r="AC108" i="28"/>
  <c r="AC104" i="28"/>
  <c r="AC100" i="28"/>
  <c r="AC96" i="28"/>
  <c r="AC92" i="28"/>
  <c r="AC88" i="28"/>
  <c r="AC84" i="28"/>
  <c r="AC80" i="28"/>
  <c r="AC76" i="28"/>
  <c r="AC72" i="28"/>
  <c r="AC68" i="28"/>
  <c r="AC64" i="28"/>
  <c r="AC60" i="28"/>
  <c r="AC56" i="28"/>
  <c r="AC52" i="28"/>
  <c r="AC48" i="28"/>
  <c r="AC44" i="28"/>
  <c r="AC40" i="28"/>
  <c r="AC36" i="28"/>
  <c r="AC32" i="28"/>
  <c r="AC28" i="28"/>
  <c r="AC24" i="28"/>
  <c r="AC20" i="28"/>
  <c r="AC16" i="28"/>
  <c r="AC328" i="28"/>
  <c r="AC304" i="28"/>
  <c r="AC294" i="28"/>
  <c r="AC314" i="28"/>
  <c r="AC292" i="28"/>
  <c r="AC284" i="28"/>
  <c r="AC279" i="28"/>
  <c r="AC275" i="28"/>
  <c r="AC271" i="28"/>
  <c r="AC267" i="28"/>
  <c r="AC263" i="28"/>
  <c r="AC259" i="28"/>
  <c r="AC255" i="28"/>
  <c r="AC251" i="28"/>
  <c r="AC247" i="28"/>
  <c r="AC243" i="28"/>
  <c r="AC239" i="28"/>
  <c r="AC235" i="28"/>
  <c r="AC231" i="28"/>
  <c r="AC227" i="28"/>
  <c r="AC223" i="28"/>
  <c r="AC219" i="28"/>
  <c r="AC215" i="28"/>
  <c r="AC211" i="28"/>
  <c r="AC207" i="28"/>
  <c r="AC203" i="28"/>
  <c r="AC199" i="28"/>
  <c r="AC195" i="28"/>
  <c r="AC191" i="28"/>
  <c r="AC187" i="28"/>
  <c r="AC183" i="28"/>
  <c r="AC179" i="28"/>
  <c r="AC175" i="28"/>
  <c r="AC171" i="28"/>
  <c r="AC167" i="28"/>
  <c r="AC163" i="28"/>
  <c r="AC159" i="28"/>
  <c r="AC155" i="28"/>
  <c r="AC151" i="28"/>
  <c r="AC147" i="28"/>
  <c r="AC143" i="28"/>
  <c r="AC139" i="28"/>
  <c r="AC135" i="28"/>
  <c r="AC131" i="28"/>
  <c r="AC127" i="28"/>
  <c r="AC123" i="28"/>
  <c r="AC119" i="28"/>
  <c r="AC115" i="28"/>
  <c r="AC111" i="28"/>
  <c r="AC107" i="28"/>
  <c r="AC103" i="28"/>
  <c r="AC99" i="28"/>
  <c r="AC95" i="28"/>
  <c r="AC91" i="28"/>
  <c r="AC87" i="28"/>
  <c r="AC83" i="28"/>
  <c r="AC79" i="28"/>
  <c r="AC75" i="28"/>
  <c r="AC71" i="28"/>
  <c r="AC67" i="28"/>
  <c r="AC63" i="28"/>
  <c r="AC59" i="28"/>
  <c r="AC55" i="28"/>
  <c r="AC51" i="28"/>
  <c r="AC47" i="28"/>
  <c r="AC43" i="28"/>
  <c r="AC39" i="28"/>
  <c r="AC35" i="28"/>
  <c r="AC31" i="28"/>
  <c r="AC27" i="28"/>
  <c r="AC23" i="28"/>
  <c r="AC19" i="28"/>
  <c r="AC15" i="28"/>
  <c r="AC340" i="28"/>
  <c r="AC324" i="28"/>
  <c r="AC312" i="28"/>
  <c r="AC302" i="28"/>
  <c r="AC270" i="28"/>
  <c r="AC238" i="28"/>
  <c r="AC206" i="28"/>
  <c r="AC174" i="28"/>
  <c r="AC142" i="28"/>
  <c r="AC110" i="28"/>
  <c r="AC78" i="28"/>
  <c r="AC46" i="28"/>
  <c r="AC14" i="28"/>
  <c r="AC114" i="28"/>
  <c r="AC18" i="28"/>
  <c r="AC266" i="28"/>
  <c r="AC234" i="28"/>
  <c r="AC202" i="28"/>
  <c r="AC170" i="28"/>
  <c r="AC138" i="28"/>
  <c r="AC106" i="28"/>
  <c r="AC74" i="28"/>
  <c r="AC42" i="28"/>
  <c r="AC210" i="28"/>
  <c r="AC82" i="28"/>
  <c r="AC262" i="28"/>
  <c r="AC230" i="28"/>
  <c r="AC198" i="28"/>
  <c r="AC166" i="28"/>
  <c r="AC134" i="28"/>
  <c r="AC102" i="28"/>
  <c r="AC70" i="28"/>
  <c r="AC38" i="28"/>
  <c r="AC178" i="28"/>
  <c r="AC50" i="28"/>
  <c r="AC300" i="28"/>
  <c r="AC258" i="28"/>
  <c r="AC226" i="28"/>
  <c r="AC194" i="28"/>
  <c r="AC162" i="28"/>
  <c r="AC130" i="28"/>
  <c r="AC98" i="28"/>
  <c r="AC66" i="28"/>
  <c r="AC34" i="28"/>
  <c r="AC146" i="28"/>
  <c r="AC290" i="28"/>
  <c r="AC254" i="28"/>
  <c r="AC222" i="28"/>
  <c r="AC190" i="28"/>
  <c r="AC158" i="28"/>
  <c r="AC126" i="28"/>
  <c r="AC94" i="28"/>
  <c r="AC62" i="28"/>
  <c r="AC30" i="28"/>
  <c r="AC242" i="28"/>
  <c r="AC282" i="28"/>
  <c r="AC250" i="28"/>
  <c r="AC218" i="28"/>
  <c r="AC186" i="28"/>
  <c r="AC154" i="28"/>
  <c r="AC122" i="28"/>
  <c r="AC90" i="28"/>
  <c r="AC58" i="28"/>
  <c r="AC26" i="28"/>
  <c r="AC274" i="28"/>
  <c r="AC278" i="28"/>
  <c r="AC246" i="28"/>
  <c r="AC214" i="28"/>
  <c r="AC182" i="28"/>
  <c r="AC150" i="28"/>
  <c r="AC118" i="28"/>
  <c r="AC86" i="28"/>
  <c r="AC54" i="28"/>
  <c r="AC22" i="28"/>
  <c r="AC625" i="28"/>
  <c r="AC624" i="28"/>
  <c r="AC617" i="28"/>
  <c r="R623" i="17"/>
  <c r="Q623" i="17"/>
  <c r="R626" i="17"/>
  <c r="Q626" i="17"/>
  <c r="Q622" i="17"/>
  <c r="R622" i="17"/>
  <c r="R628" i="17"/>
  <c r="Q628" i="17"/>
  <c r="P623" i="17"/>
  <c r="O623" i="17"/>
  <c r="P626" i="17"/>
  <c r="O626" i="17"/>
  <c r="P622" i="17"/>
  <c r="O622" i="17"/>
  <c r="P628" i="17"/>
  <c r="O628" i="17"/>
  <c r="S623" i="17"/>
  <c r="T626" i="17"/>
  <c r="S626" i="17"/>
  <c r="T623" i="17"/>
  <c r="T622" i="17"/>
  <c r="S622" i="17"/>
  <c r="T628" i="17"/>
  <c r="S628" i="17"/>
  <c r="J607" i="17"/>
  <c r="J599" i="17"/>
  <c r="J591" i="17"/>
  <c r="J583" i="17"/>
  <c r="J575" i="17"/>
  <c r="J567" i="17"/>
  <c r="J606" i="17"/>
  <c r="J612" i="17"/>
  <c r="J604" i="17"/>
  <c r="J596" i="17"/>
  <c r="J588" i="17"/>
  <c r="J580" i="17"/>
  <c r="J572" i="17"/>
  <c r="J564" i="17"/>
  <c r="J556" i="17"/>
  <c r="J609" i="17"/>
  <c r="J597" i="17"/>
  <c r="J586" i="17"/>
  <c r="J576" i="17"/>
  <c r="J565" i="17"/>
  <c r="J555" i="17"/>
  <c r="J547" i="17"/>
  <c r="J539" i="17"/>
  <c r="J531" i="17"/>
  <c r="J523" i="17"/>
  <c r="J515" i="17"/>
  <c r="J507" i="17"/>
  <c r="J499" i="17"/>
  <c r="J491" i="17"/>
  <c r="J483" i="17"/>
  <c r="J475" i="17"/>
  <c r="J467" i="17"/>
  <c r="J459" i="17"/>
  <c r="J451" i="17"/>
  <c r="J443" i="17"/>
  <c r="J435" i="17"/>
  <c r="J427" i="17"/>
  <c r="J419" i="17"/>
  <c r="J411" i="17"/>
  <c r="J403" i="17"/>
  <c r="J395" i="17"/>
  <c r="J387" i="17"/>
  <c r="J379" i="17"/>
  <c r="J371" i="17"/>
  <c r="J363" i="17"/>
  <c r="J355" i="17"/>
  <c r="J347" i="17"/>
  <c r="J339" i="17"/>
  <c r="J331" i="17"/>
  <c r="J323" i="17"/>
  <c r="J315" i="17"/>
  <c r="J307" i="17"/>
  <c r="J299" i="17"/>
  <c r="J291" i="17"/>
  <c r="J283" i="17"/>
  <c r="J275" i="17"/>
  <c r="J267" i="17"/>
  <c r="J259" i="17"/>
  <c r="J251" i="17"/>
  <c r="J243" i="17"/>
  <c r="J235" i="17"/>
  <c r="J227" i="17"/>
  <c r="J219" i="17"/>
  <c r="J211" i="17"/>
  <c r="J203" i="17"/>
  <c r="J195" i="17"/>
  <c r="J187" i="17"/>
  <c r="J179" i="17"/>
  <c r="J608" i="17"/>
  <c r="J595" i="17"/>
  <c r="J585" i="17"/>
  <c r="J574" i="17"/>
  <c r="J563" i="17"/>
  <c r="J554" i="17"/>
  <c r="J546" i="17"/>
  <c r="J538" i="17"/>
  <c r="J530" i="17"/>
  <c r="J522" i="17"/>
  <c r="J514" i="17"/>
  <c r="J506" i="17"/>
  <c r="J498" i="17"/>
  <c r="J490" i="17"/>
  <c r="J482" i="17"/>
  <c r="J474" i="17"/>
  <c r="J466" i="17"/>
  <c r="J458" i="17"/>
  <c r="J450" i="17"/>
  <c r="J442" i="17"/>
  <c r="J434" i="17"/>
  <c r="J426" i="17"/>
  <c r="J418" i="17"/>
  <c r="J410" i="17"/>
  <c r="J402" i="17"/>
  <c r="J394" i="17"/>
  <c r="J386" i="17"/>
  <c r="J378" i="17"/>
  <c r="J370" i="17"/>
  <c r="J362" i="17"/>
  <c r="J354" i="17"/>
  <c r="J346" i="17"/>
  <c r="J338" i="17"/>
  <c r="J330" i="17"/>
  <c r="J322" i="17"/>
  <c r="J314" i="17"/>
  <c r="J306" i="17"/>
  <c r="J298" i="17"/>
  <c r="J290" i="17"/>
  <c r="J282" i="17"/>
  <c r="J274" i="17"/>
  <c r="J266" i="17"/>
  <c r="J258" i="17"/>
  <c r="J250" i="17"/>
  <c r="J242" i="17"/>
  <c r="J234" i="17"/>
  <c r="J226" i="17"/>
  <c r="J218" i="17"/>
  <c r="J210" i="17"/>
  <c r="J202" i="17"/>
  <c r="J194" i="17"/>
  <c r="J186" i="17"/>
  <c r="J605" i="17"/>
  <c r="J594" i="17"/>
  <c r="J584" i="17"/>
  <c r="J573" i="17"/>
  <c r="J562" i="17"/>
  <c r="J553" i="17"/>
  <c r="J545" i="17"/>
  <c r="J537" i="17"/>
  <c r="J529" i="17"/>
  <c r="J521" i="17"/>
  <c r="J513" i="17"/>
  <c r="J505" i="17"/>
  <c r="J497" i="17"/>
  <c r="J489" i="17"/>
  <c r="J481" i="17"/>
  <c r="J473" i="17"/>
  <c r="J465" i="17"/>
  <c r="J457" i="17"/>
  <c r="J449" i="17"/>
  <c r="J441" i="17"/>
  <c r="J433" i="17"/>
  <c r="J425" i="17"/>
  <c r="J417" i="17"/>
  <c r="J409" i="17"/>
  <c r="J401" i="17"/>
  <c r="J393" i="17"/>
  <c r="J385" i="17"/>
  <c r="J377" i="17"/>
  <c r="J369" i="17"/>
  <c r="J361" i="17"/>
  <c r="J353" i="17"/>
  <c r="J345" i="17"/>
  <c r="J337" i="17"/>
  <c r="J329" i="17"/>
  <c r="J321" i="17"/>
  <c r="J313" i="17"/>
  <c r="J305" i="17"/>
  <c r="J297" i="17"/>
  <c r="J289" i="17"/>
  <c r="J281" i="17"/>
  <c r="J273" i="17"/>
  <c r="J265" i="17"/>
  <c r="J257" i="17"/>
  <c r="J249" i="17"/>
  <c r="J241" i="17"/>
  <c r="J233" i="17"/>
  <c r="J225" i="17"/>
  <c r="J217" i="17"/>
  <c r="J209" i="17"/>
  <c r="J201" i="17"/>
  <c r="J193" i="17"/>
  <c r="J185" i="17"/>
  <c r="J603" i="17"/>
  <c r="J593" i="17"/>
  <c r="J582" i="17"/>
  <c r="J571" i="17"/>
  <c r="J561" i="17"/>
  <c r="J552" i="17"/>
  <c r="J544" i="17"/>
  <c r="J536" i="17"/>
  <c r="J528" i="17"/>
  <c r="J520" i="17"/>
  <c r="J512" i="17"/>
  <c r="J504" i="17"/>
  <c r="J496" i="17"/>
  <c r="J488" i="17"/>
  <c r="J480" i="17"/>
  <c r="J472" i="17"/>
  <c r="J464" i="17"/>
  <c r="J456" i="17"/>
  <c r="J448" i="17"/>
  <c r="J440" i="17"/>
  <c r="J432" i="17"/>
  <c r="J424" i="17"/>
  <c r="J416" i="17"/>
  <c r="J408" i="17"/>
  <c r="J400" i="17"/>
  <c r="J392" i="17"/>
  <c r="J384" i="17"/>
  <c r="J376" i="17"/>
  <c r="J368" i="17"/>
  <c r="J360" i="17"/>
  <c r="J352" i="17"/>
  <c r="J344" i="17"/>
  <c r="J336" i="17"/>
  <c r="J328" i="17"/>
  <c r="J320" i="17"/>
  <c r="J312" i="17"/>
  <c r="J304" i="17"/>
  <c r="J296" i="17"/>
  <c r="J288" i="17"/>
  <c r="J280" i="17"/>
  <c r="J272" i="17"/>
  <c r="J264" i="17"/>
  <c r="J256" i="17"/>
  <c r="J248" i="17"/>
  <c r="J240" i="17"/>
  <c r="J232" i="17"/>
  <c r="J224" i="17"/>
  <c r="J216" i="17"/>
  <c r="J208" i="17"/>
  <c r="J200" i="17"/>
  <c r="J192" i="17"/>
  <c r="J184" i="17"/>
  <c r="J176" i="17"/>
  <c r="J602" i="17"/>
  <c r="J592" i="17"/>
  <c r="J581" i="17"/>
  <c r="J570" i="17"/>
  <c r="J560" i="17"/>
  <c r="J551" i="17"/>
  <c r="J543" i="17"/>
  <c r="J535" i="17"/>
  <c r="J527" i="17"/>
  <c r="J519" i="17"/>
  <c r="J511" i="17"/>
  <c r="J503" i="17"/>
  <c r="J495" i="17"/>
  <c r="J487" i="17"/>
  <c r="J479" i="17"/>
  <c r="J471" i="17"/>
  <c r="J463" i="17"/>
  <c r="J455" i="17"/>
  <c r="J447" i="17"/>
  <c r="J439" i="17"/>
  <c r="J431" i="17"/>
  <c r="J423" i="17"/>
  <c r="J415" i="17"/>
  <c r="J407" i="17"/>
  <c r="J399" i="17"/>
  <c r="J391" i="17"/>
  <c r="J383" i="17"/>
  <c r="J375" i="17"/>
  <c r="J367" i="17"/>
  <c r="J359" i="17"/>
  <c r="J351" i="17"/>
  <c r="J343" i="17"/>
  <c r="J335" i="17"/>
  <c r="J327" i="17"/>
  <c r="J319" i="17"/>
  <c r="J311" i="17"/>
  <c r="J303" i="17"/>
  <c r="J295" i="17"/>
  <c r="J287" i="17"/>
  <c r="J279" i="17"/>
  <c r="J271" i="17"/>
  <c r="J263" i="17"/>
  <c r="J255" i="17"/>
  <c r="J247" i="17"/>
  <c r="J239" i="17"/>
  <c r="J231" i="17"/>
  <c r="J223" i="17"/>
  <c r="J215" i="17"/>
  <c r="J207" i="17"/>
  <c r="J199" i="17"/>
  <c r="J191" i="17"/>
  <c r="J183" i="17"/>
  <c r="J611" i="17"/>
  <c r="J600" i="17"/>
  <c r="J589" i="17"/>
  <c r="J578" i="17"/>
  <c r="J568" i="17"/>
  <c r="J558" i="17"/>
  <c r="J549" i="17"/>
  <c r="J541" i="17"/>
  <c r="J533" i="17"/>
  <c r="J525" i="17"/>
  <c r="J517" i="17"/>
  <c r="J509" i="17"/>
  <c r="J501" i="17"/>
  <c r="J493" i="17"/>
  <c r="J485" i="17"/>
  <c r="J477" i="17"/>
  <c r="J469" i="17"/>
  <c r="J461" i="17"/>
  <c r="J453" i="17"/>
  <c r="J445" i="17"/>
  <c r="J437" i="17"/>
  <c r="J429" i="17"/>
  <c r="J421" i="17"/>
  <c r="J413" i="17"/>
  <c r="J405" i="17"/>
  <c r="J397" i="17"/>
  <c r="J389" i="17"/>
  <c r="J381" i="17"/>
  <c r="J373" i="17"/>
  <c r="J365" i="17"/>
  <c r="J357" i="17"/>
  <c r="J349" i="17"/>
  <c r="J341" i="17"/>
  <c r="J333" i="17"/>
  <c r="J325" i="17"/>
  <c r="J317" i="17"/>
  <c r="J309" i="17"/>
  <c r="J301" i="17"/>
  <c r="J293" i="17"/>
  <c r="J285" i="17"/>
  <c r="J277" i="17"/>
  <c r="J269" i="17"/>
  <c r="J261" i="17"/>
  <c r="J253" i="17"/>
  <c r="J245" i="17"/>
  <c r="J237" i="17"/>
  <c r="J229" i="17"/>
  <c r="J221" i="17"/>
  <c r="J213" i="17"/>
  <c r="J205" i="17"/>
  <c r="J197" i="17"/>
  <c r="J189" i="17"/>
  <c r="J181" i="17"/>
  <c r="J610" i="17"/>
  <c r="J566" i="17"/>
  <c r="J532" i="17"/>
  <c r="J500" i="17"/>
  <c r="J468" i="17"/>
  <c r="J436" i="17"/>
  <c r="J404" i="17"/>
  <c r="J372" i="17"/>
  <c r="J340" i="17"/>
  <c r="J308" i="17"/>
  <c r="J276" i="17"/>
  <c r="J244" i="17"/>
  <c r="J212" i="17"/>
  <c r="J180" i="17"/>
  <c r="J170" i="17"/>
  <c r="J162" i="17"/>
  <c r="J154" i="17"/>
  <c r="J146" i="17"/>
  <c r="J138" i="17"/>
  <c r="J130" i="17"/>
  <c r="J122" i="17"/>
  <c r="J114" i="17"/>
  <c r="J106" i="17"/>
  <c r="J98" i="17"/>
  <c r="J90" i="17"/>
  <c r="J82" i="17"/>
  <c r="J74" i="17"/>
  <c r="J66" i="17"/>
  <c r="J58" i="17"/>
  <c r="J50" i="17"/>
  <c r="J42" i="17"/>
  <c r="J34" i="17"/>
  <c r="J26" i="17"/>
  <c r="J18" i="17"/>
  <c r="J73" i="17"/>
  <c r="J57" i="17"/>
  <c r="J41" i="17"/>
  <c r="J25" i="17"/>
  <c r="J17" i="17"/>
  <c r="J16" i="17"/>
  <c r="J23" i="17"/>
  <c r="J510" i="17"/>
  <c r="J414" i="17"/>
  <c r="J350" i="17"/>
  <c r="J190" i="17"/>
  <c r="J165" i="17"/>
  <c r="J133" i="17"/>
  <c r="J117" i="17"/>
  <c r="J77" i="17"/>
  <c r="J37" i="17"/>
  <c r="J342" i="17"/>
  <c r="J131" i="17"/>
  <c r="J75" i="17"/>
  <c r="J35" i="17"/>
  <c r="J601" i="17"/>
  <c r="J559" i="17"/>
  <c r="J526" i="17"/>
  <c r="J494" i="17"/>
  <c r="J462" i="17"/>
  <c r="J430" i="17"/>
  <c r="J398" i="17"/>
  <c r="J366" i="17"/>
  <c r="J334" i="17"/>
  <c r="J302" i="17"/>
  <c r="J270" i="17"/>
  <c r="J238" i="17"/>
  <c r="J206" i="17"/>
  <c r="J178" i="17"/>
  <c r="J169" i="17"/>
  <c r="J161" i="17"/>
  <c r="J153" i="17"/>
  <c r="J145" i="17"/>
  <c r="J137" i="17"/>
  <c r="J129" i="17"/>
  <c r="J121" i="17"/>
  <c r="J113" i="17"/>
  <c r="J105" i="17"/>
  <c r="J97" i="17"/>
  <c r="J89" i="17"/>
  <c r="J81" i="17"/>
  <c r="J65" i="17"/>
  <c r="J49" i="17"/>
  <c r="J33" i="17"/>
  <c r="J24" i="17"/>
  <c r="J39" i="17"/>
  <c r="J318" i="17"/>
  <c r="J157" i="17"/>
  <c r="J85" i="17"/>
  <c r="J45" i="17"/>
  <c r="J13" i="17"/>
  <c r="J278" i="17"/>
  <c r="J155" i="17"/>
  <c r="J107" i="17"/>
  <c r="J19" i="17"/>
  <c r="J598" i="17"/>
  <c r="J557" i="17"/>
  <c r="J524" i="17"/>
  <c r="J492" i="17"/>
  <c r="J460" i="17"/>
  <c r="J428" i="17"/>
  <c r="J396" i="17"/>
  <c r="J364" i="17"/>
  <c r="J332" i="17"/>
  <c r="J300" i="17"/>
  <c r="J268" i="17"/>
  <c r="J236" i="17"/>
  <c r="J204" i="17"/>
  <c r="J177" i="17"/>
  <c r="J168" i="17"/>
  <c r="J160" i="17"/>
  <c r="J152" i="17"/>
  <c r="J144" i="17"/>
  <c r="J136" i="17"/>
  <c r="J128" i="17"/>
  <c r="J120" i="17"/>
  <c r="J112" i="17"/>
  <c r="J104" i="17"/>
  <c r="J96" i="17"/>
  <c r="J88" i="17"/>
  <c r="J80" i="17"/>
  <c r="J72" i="17"/>
  <c r="J64" i="17"/>
  <c r="J56" i="17"/>
  <c r="J48" i="17"/>
  <c r="J40" i="17"/>
  <c r="J32" i="17"/>
  <c r="J31" i="17"/>
  <c r="J286" i="17"/>
  <c r="J141" i="17"/>
  <c r="J93" i="17"/>
  <c r="J53" i="17"/>
  <c r="J21" i="17"/>
  <c r="J310" i="17"/>
  <c r="J147" i="17"/>
  <c r="J99" i="17"/>
  <c r="J27" i="17"/>
  <c r="J590" i="17"/>
  <c r="J550" i="17"/>
  <c r="J518" i="17"/>
  <c r="J486" i="17"/>
  <c r="J454" i="17"/>
  <c r="J422" i="17"/>
  <c r="J390" i="17"/>
  <c r="J358" i="17"/>
  <c r="J326" i="17"/>
  <c r="J294" i="17"/>
  <c r="J262" i="17"/>
  <c r="J230" i="17"/>
  <c r="J198" i="17"/>
  <c r="J175" i="17"/>
  <c r="J167" i="17"/>
  <c r="J159" i="17"/>
  <c r="J151" i="17"/>
  <c r="J143" i="17"/>
  <c r="J135" i="17"/>
  <c r="J127" i="17"/>
  <c r="J119" i="17"/>
  <c r="J111" i="17"/>
  <c r="J103" i="17"/>
  <c r="J95" i="17"/>
  <c r="J87" i="17"/>
  <c r="J79" i="17"/>
  <c r="J71" i="17"/>
  <c r="J63" i="17"/>
  <c r="J55" i="17"/>
  <c r="J47" i="17"/>
  <c r="J15" i="17"/>
  <c r="J254" i="17"/>
  <c r="J149" i="17"/>
  <c r="J101" i="17"/>
  <c r="J61" i="17"/>
  <c r="J438" i="17"/>
  <c r="J163" i="17"/>
  <c r="J91" i="17"/>
  <c r="J51" i="17"/>
  <c r="J587" i="17"/>
  <c r="J548" i="17"/>
  <c r="J516" i="17"/>
  <c r="J484" i="17"/>
  <c r="J452" i="17"/>
  <c r="J420" i="17"/>
  <c r="J388" i="17"/>
  <c r="J356" i="17"/>
  <c r="J324" i="17"/>
  <c r="J292" i="17"/>
  <c r="J260" i="17"/>
  <c r="J228" i="17"/>
  <c r="J196" i="17"/>
  <c r="J174" i="17"/>
  <c r="J166" i="17"/>
  <c r="J158" i="17"/>
  <c r="J150" i="17"/>
  <c r="J142" i="17"/>
  <c r="J134" i="17"/>
  <c r="J126" i="17"/>
  <c r="J118" i="17"/>
  <c r="J110" i="17"/>
  <c r="J102" i="17"/>
  <c r="J94" i="17"/>
  <c r="J86" i="17"/>
  <c r="J78" i="17"/>
  <c r="J70" i="17"/>
  <c r="J62" i="17"/>
  <c r="J54" i="17"/>
  <c r="J46" i="17"/>
  <c r="J38" i="17"/>
  <c r="J30" i="17"/>
  <c r="J22" i="17"/>
  <c r="J14" i="17"/>
  <c r="J579" i="17"/>
  <c r="J542" i="17"/>
  <c r="J478" i="17"/>
  <c r="J446" i="17"/>
  <c r="J382" i="17"/>
  <c r="J222" i="17"/>
  <c r="J173" i="17"/>
  <c r="J125" i="17"/>
  <c r="J109" i="17"/>
  <c r="J69" i="17"/>
  <c r="J29" i="17"/>
  <c r="J374" i="17"/>
  <c r="J139" i="17"/>
  <c r="J83" i="17"/>
  <c r="J59" i="17"/>
  <c r="J577" i="17"/>
  <c r="J540" i="17"/>
  <c r="J508" i="17"/>
  <c r="J476" i="17"/>
  <c r="J444" i="17"/>
  <c r="J412" i="17"/>
  <c r="J380" i="17"/>
  <c r="J348" i="17"/>
  <c r="J316" i="17"/>
  <c r="J284" i="17"/>
  <c r="J252" i="17"/>
  <c r="J220" i="17"/>
  <c r="J188" i="17"/>
  <c r="J172" i="17"/>
  <c r="J164" i="17"/>
  <c r="J156" i="17"/>
  <c r="J148" i="17"/>
  <c r="J140" i="17"/>
  <c r="J132" i="17"/>
  <c r="J124" i="17"/>
  <c r="J116" i="17"/>
  <c r="J108" i="17"/>
  <c r="J100" i="17"/>
  <c r="J92" i="17"/>
  <c r="J84" i="17"/>
  <c r="J76" i="17"/>
  <c r="J68" i="17"/>
  <c r="J60" i="17"/>
  <c r="J52" i="17"/>
  <c r="J44" i="17"/>
  <c r="J36" i="17"/>
  <c r="J28" i="17"/>
  <c r="J20" i="17"/>
  <c r="J613" i="17"/>
  <c r="J569" i="17"/>
  <c r="J534" i="17"/>
  <c r="J502" i="17"/>
  <c r="J470" i="17"/>
  <c r="J406" i="17"/>
  <c r="J246" i="17"/>
  <c r="J214" i="17"/>
  <c r="J182" i="17"/>
  <c r="J171" i="17"/>
  <c r="J123" i="17"/>
  <c r="J115" i="17"/>
  <c r="J67" i="17"/>
  <c r="J43" i="17"/>
  <c r="J626" i="17"/>
  <c r="J623" i="17"/>
  <c r="J622" i="17"/>
  <c r="J628" i="17"/>
  <c r="G93" i="1"/>
  <c r="B629" i="17"/>
  <c r="B627" i="17"/>
  <c r="N592" i="17"/>
  <c r="N628" i="17"/>
  <c r="M628" i="17"/>
  <c r="I628" i="17"/>
  <c r="K628" i="17"/>
  <c r="L628" i="17"/>
  <c r="I613" i="17"/>
  <c r="C634" i="17"/>
  <c r="I612" i="17"/>
  <c r="I608" i="17"/>
  <c r="I604" i="17"/>
  <c r="I600" i="17"/>
  <c r="I596" i="17"/>
  <c r="I588" i="17"/>
  <c r="I580" i="17"/>
  <c r="I572" i="17"/>
  <c r="I564" i="17"/>
  <c r="I556" i="17"/>
  <c r="I548" i="17"/>
  <c r="I520" i="17"/>
  <c r="I515" i="17"/>
  <c r="I511" i="17"/>
  <c r="I507" i="17"/>
  <c r="I503" i="17"/>
  <c r="I499" i="17"/>
  <c r="I495" i="17"/>
  <c r="I491" i="17"/>
  <c r="I487" i="17"/>
  <c r="I483" i="17"/>
  <c r="I479" i="17"/>
  <c r="I475" i="17"/>
  <c r="I471" i="17"/>
  <c r="I467" i="17"/>
  <c r="I463" i="17"/>
  <c r="I459" i="17"/>
  <c r="I455" i="17"/>
  <c r="I451" i="17"/>
  <c r="I447" i="17"/>
  <c r="I443" i="17"/>
  <c r="I439" i="17"/>
  <c r="I435" i="17"/>
  <c r="I431" i="17"/>
  <c r="I427" i="17"/>
  <c r="I423" i="17"/>
  <c r="I419" i="17"/>
  <c r="I518" i="17"/>
  <c r="I514" i="17"/>
  <c r="I510" i="17"/>
  <c r="I506" i="17"/>
  <c r="I502" i="17"/>
  <c r="I498" i="17"/>
  <c r="I494" i="17"/>
  <c r="I490" i="17"/>
  <c r="I486" i="17"/>
  <c r="I482" i="17"/>
  <c r="I478" i="17"/>
  <c r="I474" i="17"/>
  <c r="I470" i="17"/>
  <c r="I466" i="17"/>
  <c r="I462" i="17"/>
  <c r="I458" i="17"/>
  <c r="I454" i="17"/>
  <c r="I450" i="17"/>
  <c r="I446" i="17"/>
  <c r="I442" i="17"/>
  <c r="I438" i="17"/>
  <c r="I434" i="17"/>
  <c r="I430" i="17"/>
  <c r="I426" i="17"/>
  <c r="I422" i="17"/>
  <c r="I418" i="17"/>
  <c r="I414" i="17"/>
  <c r="I410" i="17"/>
  <c r="I406" i="17"/>
  <c r="I402" i="17"/>
  <c r="I398" i="17"/>
  <c r="I394" i="17"/>
  <c r="I390" i="17"/>
  <c r="I386" i="17"/>
  <c r="I382" i="17"/>
  <c r="I378" i="17"/>
  <c r="I374" i="17"/>
  <c r="I370" i="17"/>
  <c r="I366" i="17"/>
  <c r="I362" i="17"/>
  <c r="I358" i="17"/>
  <c r="I354" i="17"/>
  <c r="I350" i="17"/>
  <c r="I346" i="17"/>
  <c r="I342" i="17"/>
  <c r="I338" i="17"/>
  <c r="I334" i="17"/>
  <c r="I330" i="17"/>
  <c r="I326" i="17"/>
  <c r="I322" i="17"/>
  <c r="I318" i="17"/>
  <c r="I312" i="17"/>
  <c r="I308" i="17"/>
  <c r="I304" i="17"/>
  <c r="I300" i="17"/>
  <c r="I296" i="17"/>
  <c r="I292" i="17"/>
  <c r="I288" i="17"/>
  <c r="I284" i="17"/>
  <c r="I280" i="17"/>
  <c r="I276" i="17"/>
  <c r="I272" i="17"/>
  <c r="I268" i="17"/>
  <c r="I264" i="17"/>
  <c r="I260" i="17"/>
  <c r="I256" i="17"/>
  <c r="I252" i="17"/>
  <c r="I248" i="17"/>
  <c r="I244" i="17"/>
  <c r="I240" i="17"/>
  <c r="I236" i="17"/>
  <c r="I232" i="17"/>
  <c r="I228" i="17"/>
  <c r="I224" i="17"/>
  <c r="I220" i="17"/>
  <c r="I216" i="17"/>
  <c r="I212" i="17"/>
  <c r="I208" i="17"/>
  <c r="I204" i="17"/>
  <c r="I200" i="17"/>
  <c r="I196" i="17"/>
  <c r="I192" i="17"/>
  <c r="I188" i="17"/>
  <c r="I184" i="17"/>
  <c r="I180" i="17"/>
  <c r="I176" i="17"/>
  <c r="I172" i="17"/>
  <c r="I168" i="17"/>
  <c r="I164" i="17"/>
  <c r="I160" i="17"/>
  <c r="I156" i="17"/>
  <c r="I152" i="17"/>
  <c r="I148" i="17"/>
  <c r="I144" i="17"/>
  <c r="I140" i="17"/>
  <c r="I136" i="17"/>
  <c r="I132" i="17"/>
  <c r="I128" i="17"/>
  <c r="I124" i="17"/>
  <c r="I120" i="17"/>
  <c r="I116" i="17"/>
  <c r="I112" i="17"/>
  <c r="I313" i="17"/>
  <c r="I309" i="17"/>
  <c r="I305" i="17"/>
  <c r="I301" i="17"/>
  <c r="I297" i="17"/>
  <c r="I293" i="17"/>
  <c r="I289" i="17"/>
  <c r="I285" i="17"/>
  <c r="I281" i="17"/>
  <c r="I277" i="17"/>
  <c r="I273" i="17"/>
  <c r="I269" i="17"/>
  <c r="I265" i="17"/>
  <c r="I261" i="17"/>
  <c r="I257" i="17"/>
  <c r="I253" i="17"/>
  <c r="I249" i="17"/>
  <c r="I245" i="17"/>
  <c r="I241" i="17"/>
  <c r="I237" i="17"/>
  <c r="I233" i="17"/>
  <c r="I229" i="17"/>
  <c r="I225" i="17"/>
  <c r="I221" i="17"/>
  <c r="I217" i="17"/>
  <c r="I213" i="17"/>
  <c r="I209" i="17"/>
  <c r="I205" i="17"/>
  <c r="I201" i="17"/>
  <c r="I197" i="17"/>
  <c r="I193" i="17"/>
  <c r="I189" i="17"/>
  <c r="I185" i="17"/>
  <c r="I181" i="17"/>
  <c r="I177" i="17"/>
  <c r="I173" i="17"/>
  <c r="I169" i="17"/>
  <c r="I165" i="17"/>
  <c r="I161" i="17"/>
  <c r="I157" i="17"/>
  <c r="I153" i="17"/>
  <c r="I149" i="17"/>
  <c r="I145" i="17"/>
  <c r="I141" i="17"/>
  <c r="I611" i="17"/>
  <c r="I605" i="17"/>
  <c r="I601" i="17"/>
  <c r="I597" i="17"/>
  <c r="AA624" i="17"/>
  <c r="I609" i="17"/>
  <c r="B624" i="17"/>
  <c r="I610" i="17"/>
  <c r="I606" i="17"/>
  <c r="I602" i="17"/>
  <c r="I598" i="17"/>
  <c r="I592" i="17"/>
  <c r="I584" i="17"/>
  <c r="I576" i="17"/>
  <c r="I568" i="17"/>
  <c r="I560" i="17"/>
  <c r="I552" i="17"/>
  <c r="I544" i="17"/>
  <c r="I517" i="17"/>
  <c r="I513" i="17"/>
  <c r="I509" i="17"/>
  <c r="I505" i="17"/>
  <c r="I501" i="17"/>
  <c r="I497" i="17"/>
  <c r="I493" i="17"/>
  <c r="I489" i="17"/>
  <c r="I485" i="17"/>
  <c r="I481" i="17"/>
  <c r="I477" i="17"/>
  <c r="I473" i="17"/>
  <c r="I469" i="17"/>
  <c r="I465" i="17"/>
  <c r="I461" i="17"/>
  <c r="I457" i="17"/>
  <c r="I453" i="17"/>
  <c r="I449" i="17"/>
  <c r="I445" i="17"/>
  <c r="I441" i="17"/>
  <c r="I437" i="17"/>
  <c r="I433" i="17"/>
  <c r="I429" i="17"/>
  <c r="I425" i="17"/>
  <c r="I421" i="17"/>
  <c r="I417" i="17"/>
  <c r="I516" i="17"/>
  <c r="I512" i="17"/>
  <c r="I508" i="17"/>
  <c r="I504" i="17"/>
  <c r="I500" i="17"/>
  <c r="I496" i="17"/>
  <c r="I492" i="17"/>
  <c r="I488" i="17"/>
  <c r="I484" i="17"/>
  <c r="I480" i="17"/>
  <c r="I476" i="17"/>
  <c r="I472" i="17"/>
  <c r="I468" i="17"/>
  <c r="I464" i="17"/>
  <c r="I460" i="17"/>
  <c r="I456" i="17"/>
  <c r="I452" i="17"/>
  <c r="I448" i="17"/>
  <c r="I444" i="17"/>
  <c r="I440" i="17"/>
  <c r="I436" i="17"/>
  <c r="I432" i="17"/>
  <c r="I428" i="17"/>
  <c r="I424" i="17"/>
  <c r="I420" i="17"/>
  <c r="I416" i="17"/>
  <c r="I412" i="17"/>
  <c r="I408" i="17"/>
  <c r="I404" i="17"/>
  <c r="I400" i="17"/>
  <c r="I396" i="17"/>
  <c r="I392" i="17"/>
  <c r="I388" i="17"/>
  <c r="I384" i="17"/>
  <c r="I380" i="17"/>
  <c r="I376" i="17"/>
  <c r="I372" i="17"/>
  <c r="I368" i="17"/>
  <c r="I364" i="17"/>
  <c r="I360" i="17"/>
  <c r="I356" i="17"/>
  <c r="I352" i="17"/>
  <c r="I348" i="17"/>
  <c r="I344" i="17"/>
  <c r="I340" i="17"/>
  <c r="I336" i="17"/>
  <c r="I332" i="17"/>
  <c r="I328" i="17"/>
  <c r="I324" i="17"/>
  <c r="I320" i="17"/>
  <c r="I316" i="17"/>
  <c r="I314" i="17"/>
  <c r="I310" i="17"/>
  <c r="I306" i="17"/>
  <c r="I302" i="17"/>
  <c r="I298" i="17"/>
  <c r="I294" i="17"/>
  <c r="I290" i="17"/>
  <c r="I286" i="17"/>
  <c r="I282" i="17"/>
  <c r="I278" i="17"/>
  <c r="I274" i="17"/>
  <c r="I270" i="17"/>
  <c r="I266" i="17"/>
  <c r="I262" i="17"/>
  <c r="I258" i="17"/>
  <c r="I254" i="17"/>
  <c r="I250" i="17"/>
  <c r="I246" i="17"/>
  <c r="I242" i="17"/>
  <c r="I238" i="17"/>
  <c r="I234" i="17"/>
  <c r="I230" i="17"/>
  <c r="I226" i="17"/>
  <c r="I222" i="17"/>
  <c r="I218" i="17"/>
  <c r="I214" i="17"/>
  <c r="I210" i="17"/>
  <c r="I206" i="17"/>
  <c r="I202" i="17"/>
  <c r="I198" i="17"/>
  <c r="I194" i="17"/>
  <c r="I190" i="17"/>
  <c r="I186" i="17"/>
  <c r="I182" i="17"/>
  <c r="I178" i="17"/>
  <c r="I174" i="17"/>
  <c r="I170" i="17"/>
  <c r="I166" i="17"/>
  <c r="I162" i="17"/>
  <c r="I158" i="17"/>
  <c r="I154" i="17"/>
  <c r="I150" i="17"/>
  <c r="I146" i="17"/>
  <c r="I142" i="17"/>
  <c r="I138" i="17"/>
  <c r="I134" i="17"/>
  <c r="I130" i="17"/>
  <c r="I126" i="17"/>
  <c r="I122" i="17"/>
  <c r="I118" i="17"/>
  <c r="I114" i="17"/>
  <c r="I110" i="17"/>
  <c r="I311" i="17"/>
  <c r="I307" i="17"/>
  <c r="I303" i="17"/>
  <c r="I299" i="17"/>
  <c r="I295" i="17"/>
  <c r="I291" i="17"/>
  <c r="I287" i="17"/>
  <c r="I283" i="17"/>
  <c r="I279" i="17"/>
  <c r="I275" i="17"/>
  <c r="I271" i="17"/>
  <c r="I267" i="17"/>
  <c r="I259" i="17"/>
  <c r="I251" i="17"/>
  <c r="I243" i="17"/>
  <c r="I235" i="17"/>
  <c r="I227" i="17"/>
  <c r="I219" i="17"/>
  <c r="I211" i="17"/>
  <c r="I203" i="17"/>
  <c r="I195" i="17"/>
  <c r="I187" i="17"/>
  <c r="I179" i="17"/>
  <c r="I171" i="17"/>
  <c r="I163" i="17"/>
  <c r="I155" i="17"/>
  <c r="I147" i="17"/>
  <c r="I139" i="17"/>
  <c r="I603" i="17"/>
  <c r="I595" i="17"/>
  <c r="I591" i="17"/>
  <c r="I587" i="17"/>
  <c r="I583" i="17"/>
  <c r="I579" i="17"/>
  <c r="I575" i="17"/>
  <c r="I571" i="17"/>
  <c r="I567" i="17"/>
  <c r="I563" i="17"/>
  <c r="I559" i="17"/>
  <c r="I555" i="17"/>
  <c r="I551" i="17"/>
  <c r="I547" i="17"/>
  <c r="I540" i="17"/>
  <c r="I536" i="17"/>
  <c r="I532" i="17"/>
  <c r="I528" i="17"/>
  <c r="I524" i="17"/>
  <c r="I594" i="17"/>
  <c r="I586" i="17"/>
  <c r="I578" i="17"/>
  <c r="I570" i="17"/>
  <c r="I562" i="17"/>
  <c r="I554" i="17"/>
  <c r="I546" i="17"/>
  <c r="I541" i="17"/>
  <c r="I537" i="17"/>
  <c r="I533" i="17"/>
  <c r="I529" i="17"/>
  <c r="I525" i="17"/>
  <c r="I521" i="17"/>
  <c r="I415" i="17"/>
  <c r="I411" i="17"/>
  <c r="I407" i="17"/>
  <c r="I403" i="17"/>
  <c r="I399" i="17"/>
  <c r="I395" i="17"/>
  <c r="I391" i="17"/>
  <c r="I387" i="17"/>
  <c r="I383" i="17"/>
  <c r="I379" i="17"/>
  <c r="I375" i="17"/>
  <c r="I371" i="17"/>
  <c r="I367" i="17"/>
  <c r="I363" i="17"/>
  <c r="I359" i="17"/>
  <c r="I355" i="17"/>
  <c r="I351" i="17"/>
  <c r="I347" i="17"/>
  <c r="I343" i="17"/>
  <c r="I339" i="17"/>
  <c r="I335" i="17"/>
  <c r="I331" i="17"/>
  <c r="I327" i="17"/>
  <c r="I323" i="17"/>
  <c r="I319" i="17"/>
  <c r="I315" i="17"/>
  <c r="I135" i="17"/>
  <c r="I127" i="17"/>
  <c r="I119" i="17"/>
  <c r="I111" i="17"/>
  <c r="I133" i="17"/>
  <c r="I125" i="17"/>
  <c r="I117" i="17"/>
  <c r="I13" i="17"/>
  <c r="I17" i="17"/>
  <c r="I21" i="17"/>
  <c r="I25" i="17"/>
  <c r="I29" i="17"/>
  <c r="I33" i="17"/>
  <c r="I37" i="17"/>
  <c r="I41" i="17"/>
  <c r="I45" i="17"/>
  <c r="I49" i="17"/>
  <c r="I53" i="17"/>
  <c r="I57" i="17"/>
  <c r="I61" i="17"/>
  <c r="I65" i="17"/>
  <c r="I69" i="17"/>
  <c r="I73" i="17"/>
  <c r="I77" i="17"/>
  <c r="I81" i="17"/>
  <c r="I85" i="17"/>
  <c r="I89" i="17"/>
  <c r="I93" i="17"/>
  <c r="I97" i="17"/>
  <c r="I101" i="17"/>
  <c r="I105" i="17"/>
  <c r="I109" i="17"/>
  <c r="I106" i="17"/>
  <c r="I102" i="17"/>
  <c r="I98" i="17"/>
  <c r="I94" i="17"/>
  <c r="I90" i="17"/>
  <c r="I86" i="17"/>
  <c r="I82" i="17"/>
  <c r="I78" i="17"/>
  <c r="I74" i="17"/>
  <c r="I70" i="17"/>
  <c r="I66" i="17"/>
  <c r="I62" i="17"/>
  <c r="I58" i="17"/>
  <c r="I54" i="17"/>
  <c r="I50" i="17"/>
  <c r="I46" i="17"/>
  <c r="I42" i="17"/>
  <c r="I38" i="17"/>
  <c r="I34" i="17"/>
  <c r="I30" i="17"/>
  <c r="I26" i="17"/>
  <c r="I22" i="17"/>
  <c r="I18" i="17"/>
  <c r="I14" i="17"/>
  <c r="I622" i="17"/>
  <c r="I623" i="17"/>
  <c r="I263" i="17"/>
  <c r="I255" i="17"/>
  <c r="I247" i="17"/>
  <c r="I239" i="17"/>
  <c r="I231" i="17"/>
  <c r="I223" i="17"/>
  <c r="I215" i="17"/>
  <c r="I207" i="17"/>
  <c r="I199" i="17"/>
  <c r="I191" i="17"/>
  <c r="I183" i="17"/>
  <c r="I175" i="17"/>
  <c r="I167" i="17"/>
  <c r="I159" i="17"/>
  <c r="I151" i="17"/>
  <c r="I143" i="17"/>
  <c r="I607" i="17"/>
  <c r="I599" i="17"/>
  <c r="I593" i="17"/>
  <c r="I589" i="17"/>
  <c r="I585" i="17"/>
  <c r="I581" i="17"/>
  <c r="I577" i="17"/>
  <c r="I573" i="17"/>
  <c r="I569" i="17"/>
  <c r="I565" i="17"/>
  <c r="I561" i="17"/>
  <c r="I557" i="17"/>
  <c r="I553" i="17"/>
  <c r="I549" i="17"/>
  <c r="I545" i="17"/>
  <c r="I542" i="17"/>
  <c r="I538" i="17"/>
  <c r="I534" i="17"/>
  <c r="I530" i="17"/>
  <c r="I526" i="17"/>
  <c r="I522" i="17"/>
  <c r="I590" i="17"/>
  <c r="I582" i="17"/>
  <c r="I574" i="17"/>
  <c r="I566" i="17"/>
  <c r="I558" i="17"/>
  <c r="I550" i="17"/>
  <c r="I543" i="17"/>
  <c r="I539" i="17"/>
  <c r="I535" i="17"/>
  <c r="I531" i="17"/>
  <c r="I527" i="17"/>
  <c r="I523" i="17"/>
  <c r="I519" i="17"/>
  <c r="I413" i="17"/>
  <c r="I409" i="17"/>
  <c r="I405" i="17"/>
  <c r="I401" i="17"/>
  <c r="I397" i="17"/>
  <c r="I393" i="17"/>
  <c r="I385" i="17"/>
  <c r="I377" i="17"/>
  <c r="I369" i="17"/>
  <c r="I361" i="17"/>
  <c r="I353" i="17"/>
  <c r="I345" i="17"/>
  <c r="I337" i="17"/>
  <c r="I329" i="17"/>
  <c r="I321" i="17"/>
  <c r="I123" i="17"/>
  <c r="I137" i="17"/>
  <c r="I121" i="17"/>
  <c r="I15" i="17"/>
  <c r="I23" i="17"/>
  <c r="I31" i="17"/>
  <c r="I39" i="17"/>
  <c r="I47" i="17"/>
  <c r="I55" i="17"/>
  <c r="I63" i="17"/>
  <c r="I71" i="17"/>
  <c r="I79" i="17"/>
  <c r="I87" i="17"/>
  <c r="I95" i="17"/>
  <c r="I103" i="17"/>
  <c r="I108" i="17"/>
  <c r="I100" i="17"/>
  <c r="I92" i="17"/>
  <c r="I84" i="17"/>
  <c r="I76" i="17"/>
  <c r="I68" i="17"/>
  <c r="I60" i="17"/>
  <c r="I52" i="17"/>
  <c r="I44" i="17"/>
  <c r="I36" i="17"/>
  <c r="I28" i="17"/>
  <c r="I20" i="17"/>
  <c r="I626" i="17"/>
  <c r="I389" i="17"/>
  <c r="I381" i="17"/>
  <c r="I373" i="17"/>
  <c r="I365" i="17"/>
  <c r="I357" i="17"/>
  <c r="I349" i="17"/>
  <c r="I341" i="17"/>
  <c r="I333" i="17"/>
  <c r="I325" i="17"/>
  <c r="I317" i="17"/>
  <c r="I131" i="17"/>
  <c r="I115" i="17"/>
  <c r="I129" i="17"/>
  <c r="I113" i="17"/>
  <c r="I19" i="17"/>
  <c r="I27" i="17"/>
  <c r="I35" i="17"/>
  <c r="I43" i="17"/>
  <c r="I51" i="17"/>
  <c r="I59" i="17"/>
  <c r="I67" i="17"/>
  <c r="I75" i="17"/>
  <c r="I83" i="17"/>
  <c r="I91" i="17"/>
  <c r="I99" i="17"/>
  <c r="I107" i="17"/>
  <c r="I104" i="17"/>
  <c r="I96" i="17"/>
  <c r="I88" i="17"/>
  <c r="I80" i="17"/>
  <c r="I72" i="17"/>
  <c r="I64" i="17"/>
  <c r="I56" i="17"/>
  <c r="I48" i="17"/>
  <c r="I40" i="17"/>
  <c r="I32" i="17"/>
  <c r="I24" i="17"/>
  <c r="I16" i="17"/>
  <c r="L610" i="17"/>
  <c r="K379" i="17"/>
  <c r="L386" i="17"/>
  <c r="L123" i="17"/>
  <c r="AA625" i="17"/>
  <c r="L200" i="17"/>
  <c r="K207" i="17"/>
  <c r="K453" i="17"/>
  <c r="L66" i="17"/>
  <c r="K95" i="17"/>
  <c r="L264" i="17"/>
  <c r="K315" i="17"/>
  <c r="K271" i="17"/>
  <c r="L322" i="17"/>
  <c r="K532" i="17"/>
  <c r="L535" i="17"/>
  <c r="L34" i="17"/>
  <c r="K56" i="17"/>
  <c r="K63" i="17"/>
  <c r="L168" i="17"/>
  <c r="L296" i="17"/>
  <c r="L219" i="17"/>
  <c r="K347" i="17"/>
  <c r="K175" i="17"/>
  <c r="K303" i="17"/>
  <c r="K226" i="17"/>
  <c r="L354" i="17"/>
  <c r="K492" i="17"/>
  <c r="L570" i="17"/>
  <c r="L495" i="17"/>
  <c r="K573" i="17"/>
  <c r="L82" i="17"/>
  <c r="L18" i="17"/>
  <c r="K80" i="17"/>
  <c r="K48" i="17"/>
  <c r="L13" i="17"/>
  <c r="K47" i="17"/>
  <c r="L120" i="17"/>
  <c r="L184" i="17"/>
  <c r="L248" i="17"/>
  <c r="L312" i="17"/>
  <c r="L171" i="17"/>
  <c r="L235" i="17"/>
  <c r="L299" i="17"/>
  <c r="K363" i="17"/>
  <c r="K127" i="17"/>
  <c r="K191" i="17"/>
  <c r="K255" i="17"/>
  <c r="K114" i="17"/>
  <c r="K178" i="17"/>
  <c r="K242" i="17"/>
  <c r="K306" i="17"/>
  <c r="L370" i="17"/>
  <c r="K396" i="17"/>
  <c r="K421" i="17"/>
  <c r="L553" i="17"/>
  <c r="K602" i="17"/>
  <c r="L399" i="17"/>
  <c r="L424" i="17"/>
  <c r="L559" i="17"/>
  <c r="L605" i="17"/>
  <c r="L90" i="17"/>
  <c r="L58" i="17"/>
  <c r="L26" i="17"/>
  <c r="K100" i="17"/>
  <c r="K84" i="17"/>
  <c r="K68" i="17"/>
  <c r="K52" i="17"/>
  <c r="K36" i="17"/>
  <c r="K20" i="17"/>
  <c r="K87" i="17"/>
  <c r="K55" i="17"/>
  <c r="K23" i="17"/>
  <c r="K115" i="17"/>
  <c r="L144" i="17"/>
  <c r="L176" i="17"/>
  <c r="L208" i="17"/>
  <c r="L240" i="17"/>
  <c r="L272" i="17"/>
  <c r="L304" i="17"/>
  <c r="L131" i="17"/>
  <c r="L163" i="17"/>
  <c r="L195" i="17"/>
  <c r="L227" i="17"/>
  <c r="L259" i="17"/>
  <c r="L291" i="17"/>
  <c r="K323" i="17"/>
  <c r="K355" i="17"/>
  <c r="K387" i="17"/>
  <c r="K330" i="17"/>
  <c r="K151" i="17"/>
  <c r="K183" i="17"/>
  <c r="K215" i="17"/>
  <c r="K247" i="17"/>
  <c r="K279" i="17"/>
  <c r="K311" i="17"/>
  <c r="K138" i="17"/>
  <c r="K170" i="17"/>
  <c r="K202" i="17"/>
  <c r="K234" i="17"/>
  <c r="K266" i="17"/>
  <c r="K298" i="17"/>
  <c r="L330" i="17"/>
  <c r="L362" i="17"/>
  <c r="L402" i="17"/>
  <c r="K380" i="17"/>
  <c r="K444" i="17"/>
  <c r="K508" i="17"/>
  <c r="K469" i="17"/>
  <c r="L532" i="17"/>
  <c r="K552" i="17"/>
  <c r="L586" i="17"/>
  <c r="L319" i="17"/>
  <c r="L383" i="17"/>
  <c r="L447" i="17"/>
  <c r="L511" i="17"/>
  <c r="L472" i="17"/>
  <c r="K535" i="17"/>
  <c r="K558" i="17"/>
  <c r="K589" i="17"/>
  <c r="K623" i="17"/>
  <c r="L102" i="17"/>
  <c r="L86" i="17"/>
  <c r="L70" i="17"/>
  <c r="L54" i="17"/>
  <c r="L38" i="17"/>
  <c r="L22" i="17"/>
  <c r="K106" i="17"/>
  <c r="K98" i="17"/>
  <c r="K90" i="17"/>
  <c r="K82" i="17"/>
  <c r="K74" i="17"/>
  <c r="K66" i="17"/>
  <c r="K58" i="17"/>
  <c r="K50" i="17"/>
  <c r="K42" i="17"/>
  <c r="K34" i="17"/>
  <c r="K26" i="17"/>
  <c r="L17" i="17"/>
  <c r="K99" i="17"/>
  <c r="K83" i="17"/>
  <c r="K67" i="17"/>
  <c r="K51" i="17"/>
  <c r="K35" i="17"/>
  <c r="K19" i="17"/>
  <c r="L112" i="17"/>
  <c r="L116" i="17"/>
  <c r="L132" i="17"/>
  <c r="L148" i="17"/>
  <c r="L164" i="17"/>
  <c r="L180" i="17"/>
  <c r="L196" i="17"/>
  <c r="L212" i="17"/>
  <c r="L228" i="17"/>
  <c r="L244" i="17"/>
  <c r="L260" i="17"/>
  <c r="L276" i="17"/>
  <c r="L292" i="17"/>
  <c r="L308" i="17"/>
  <c r="L119" i="17"/>
  <c r="L135" i="17"/>
  <c r="L151" i="17"/>
  <c r="L167" i="17"/>
  <c r="L183" i="17"/>
  <c r="L199" i="17"/>
  <c r="L215" i="17"/>
  <c r="L231" i="17"/>
  <c r="L247" i="17"/>
  <c r="L263" i="17"/>
  <c r="L279" i="17"/>
  <c r="L295" i="17"/>
  <c r="L311" i="17"/>
  <c r="K327" i="17"/>
  <c r="K343" i="17"/>
  <c r="K359" i="17"/>
  <c r="K375" i="17"/>
  <c r="K391" i="17"/>
  <c r="L408" i="17"/>
  <c r="K123" i="17"/>
  <c r="K139" i="17"/>
  <c r="K155" i="17"/>
  <c r="K171" i="17"/>
  <c r="K187" i="17"/>
  <c r="K203" i="17"/>
  <c r="K219" i="17"/>
  <c r="K235" i="17"/>
  <c r="K251" i="17"/>
  <c r="K267" i="17"/>
  <c r="K283" i="17"/>
  <c r="K299" i="17"/>
  <c r="K110" i="17"/>
  <c r="K126" i="17"/>
  <c r="K142" i="17"/>
  <c r="K158" i="17"/>
  <c r="K174" i="17"/>
  <c r="K190" i="17"/>
  <c r="K206" i="17"/>
  <c r="K222" i="17"/>
  <c r="K238" i="17"/>
  <c r="K254" i="17"/>
  <c r="K270" i="17"/>
  <c r="K286" i="17"/>
  <c r="K302" i="17"/>
  <c r="L318" i="17"/>
  <c r="L334" i="17"/>
  <c r="L350" i="17"/>
  <c r="L366" i="17"/>
  <c r="L382" i="17"/>
  <c r="L414" i="17"/>
  <c r="K356" i="17"/>
  <c r="K388" i="17"/>
  <c r="K420" i="17"/>
  <c r="K452" i="17"/>
  <c r="K484" i="17"/>
  <c r="K516" i="17"/>
  <c r="K445" i="17"/>
  <c r="K477" i="17"/>
  <c r="K509" i="17"/>
  <c r="L540" i="17"/>
  <c r="K524" i="17"/>
  <c r="K568" i="17"/>
  <c r="L562" i="17"/>
  <c r="L594" i="17"/>
  <c r="K607" i="17"/>
  <c r="L327" i="17"/>
  <c r="L359" i="17"/>
  <c r="L391" i="17"/>
  <c r="L423" i="17"/>
  <c r="L455" i="17"/>
  <c r="L487" i="17"/>
  <c r="K520" i="17"/>
  <c r="L448" i="17"/>
  <c r="L480" i="17"/>
  <c r="L512" i="17"/>
  <c r="K543" i="17"/>
  <c r="L527" i="17"/>
  <c r="K574" i="17"/>
  <c r="K565" i="17"/>
  <c r="L597" i="17"/>
  <c r="C635" i="17"/>
  <c r="L608" i="17"/>
  <c r="L600" i="17"/>
  <c r="L611" i="17"/>
  <c r="L603" i="17"/>
  <c r="L595" i="17"/>
  <c r="K587" i="17"/>
  <c r="K579" i="17"/>
  <c r="K571" i="17"/>
  <c r="K563" i="17"/>
  <c r="K555" i="17"/>
  <c r="K547" i="17"/>
  <c r="K586" i="17"/>
  <c r="K570" i="17"/>
  <c r="K554" i="17"/>
  <c r="L541" i="17"/>
  <c r="L533" i="17"/>
  <c r="K31" i="17"/>
  <c r="K104" i="17"/>
  <c r="K130" i="17"/>
  <c r="K40" i="17"/>
  <c r="L251" i="17"/>
  <c r="K258" i="17"/>
  <c r="L456" i="17"/>
  <c r="K72" i="17"/>
  <c r="L136" i="17"/>
  <c r="L187" i="17"/>
  <c r="K143" i="17"/>
  <c r="K194" i="17"/>
  <c r="K428" i="17"/>
  <c r="L431" i="17"/>
  <c r="L98" i="17"/>
  <c r="K88" i="17"/>
  <c r="K24" i="17"/>
  <c r="K117" i="17"/>
  <c r="L232" i="17"/>
  <c r="L155" i="17"/>
  <c r="L283" i="17"/>
  <c r="L416" i="17"/>
  <c r="K239" i="17"/>
  <c r="K162" i="17"/>
  <c r="K290" i="17"/>
  <c r="K364" i="17"/>
  <c r="K517" i="17"/>
  <c r="L367" i="17"/>
  <c r="K519" i="17"/>
  <c r="K626" i="17"/>
  <c r="L50" i="17"/>
  <c r="K96" i="17"/>
  <c r="K64" i="17"/>
  <c r="K32" i="17"/>
  <c r="K79" i="17"/>
  <c r="K15" i="17"/>
  <c r="L152" i="17"/>
  <c r="L216" i="17"/>
  <c r="L280" i="17"/>
  <c r="L139" i="17"/>
  <c r="L203" i="17"/>
  <c r="L267" i="17"/>
  <c r="K331" i="17"/>
  <c r="K395" i="17"/>
  <c r="K159" i="17"/>
  <c r="K223" i="17"/>
  <c r="K287" i="17"/>
  <c r="K146" i="17"/>
  <c r="K210" i="17"/>
  <c r="K274" i="17"/>
  <c r="L338" i="17"/>
  <c r="K328" i="17"/>
  <c r="K460" i="17"/>
  <c r="K485" i="17"/>
  <c r="K584" i="17"/>
  <c r="L335" i="17"/>
  <c r="L463" i="17"/>
  <c r="L488" i="17"/>
  <c r="K590" i="17"/>
  <c r="L106" i="17"/>
  <c r="L74" i="17"/>
  <c r="L42" i="17"/>
  <c r="K108" i="17"/>
  <c r="K92" i="17"/>
  <c r="K76" i="17"/>
  <c r="K60" i="17"/>
  <c r="K44" i="17"/>
  <c r="K28" i="17"/>
  <c r="K103" i="17"/>
  <c r="K71" i="17"/>
  <c r="K39" i="17"/>
  <c r="K14" i="17"/>
  <c r="L128" i="17"/>
  <c r="L160" i="17"/>
  <c r="L192" i="17"/>
  <c r="L224" i="17"/>
  <c r="L256" i="17"/>
  <c r="L288" i="17"/>
  <c r="L115" i="17"/>
  <c r="L147" i="17"/>
  <c r="L179" i="17"/>
  <c r="L211" i="17"/>
  <c r="L243" i="17"/>
  <c r="L275" i="17"/>
  <c r="L307" i="17"/>
  <c r="K339" i="17"/>
  <c r="K371" i="17"/>
  <c r="K403" i="17"/>
  <c r="K135" i="17"/>
  <c r="K167" i="17"/>
  <c r="K199" i="17"/>
  <c r="K231" i="17"/>
  <c r="K263" i="17"/>
  <c r="K295" i="17"/>
  <c r="K122" i="17"/>
  <c r="K154" i="17"/>
  <c r="K186" i="17"/>
  <c r="K218" i="17"/>
  <c r="K250" i="17"/>
  <c r="K282" i="17"/>
  <c r="K314" i="17"/>
  <c r="L346" i="17"/>
  <c r="L378" i="17"/>
  <c r="K348" i="17"/>
  <c r="K412" i="17"/>
  <c r="K476" i="17"/>
  <c r="K437" i="17"/>
  <c r="K501" i="17"/>
  <c r="L585" i="17"/>
  <c r="L554" i="17"/>
  <c r="K599" i="17"/>
  <c r="L351" i="17"/>
  <c r="L415" i="17"/>
  <c r="L479" i="17"/>
  <c r="L440" i="17"/>
  <c r="L504" i="17"/>
  <c r="L591" i="17"/>
  <c r="K557" i="17"/>
  <c r="L602" i="17"/>
  <c r="L622" i="17"/>
  <c r="L94" i="17"/>
  <c r="L78" i="17"/>
  <c r="L62" i="17"/>
  <c r="L46" i="17"/>
  <c r="L30" i="17"/>
  <c r="L14" i="17"/>
  <c r="K102" i="17"/>
  <c r="K94" i="17"/>
  <c r="K86" i="17"/>
  <c r="K78" i="17"/>
  <c r="K70" i="17"/>
  <c r="K62" i="17"/>
  <c r="K54" i="17"/>
  <c r="K46" i="17"/>
  <c r="K38" i="17"/>
  <c r="K30" i="17"/>
  <c r="K22" i="17"/>
  <c r="K107" i="17"/>
  <c r="K91" i="17"/>
  <c r="K75" i="17"/>
  <c r="K59" i="17"/>
  <c r="K43" i="17"/>
  <c r="K27" i="17"/>
  <c r="K18" i="17"/>
  <c r="K111" i="17"/>
  <c r="L124" i="17"/>
  <c r="L140" i="17"/>
  <c r="L156" i="17"/>
  <c r="L172" i="17"/>
  <c r="L188" i="17"/>
  <c r="L204" i="17"/>
  <c r="L220" i="17"/>
  <c r="L236" i="17"/>
  <c r="L252" i="17"/>
  <c r="L268" i="17"/>
  <c r="L284" i="17"/>
  <c r="L300" i="17"/>
  <c r="L111" i="17"/>
  <c r="L127" i="17"/>
  <c r="L143" i="17"/>
  <c r="L159" i="17"/>
  <c r="L175" i="17"/>
  <c r="L191" i="17"/>
  <c r="L207" i="17"/>
  <c r="L223" i="17"/>
  <c r="L239" i="17"/>
  <c r="L255" i="17"/>
  <c r="L271" i="17"/>
  <c r="L287" i="17"/>
  <c r="L303" i="17"/>
  <c r="K319" i="17"/>
  <c r="K335" i="17"/>
  <c r="K351" i="17"/>
  <c r="K367" i="17"/>
  <c r="K383" i="17"/>
  <c r="K399" i="17"/>
  <c r="K322" i="17"/>
  <c r="K131" i="17"/>
  <c r="K147" i="17"/>
  <c r="K163" i="17"/>
  <c r="K179" i="17"/>
  <c r="K195" i="17"/>
  <c r="K211" i="17"/>
  <c r="K227" i="17"/>
  <c r="K243" i="17"/>
  <c r="K259" i="17"/>
  <c r="K275" i="17"/>
  <c r="K291" i="17"/>
  <c r="K307" i="17"/>
  <c r="K118" i="17"/>
  <c r="K134" i="17"/>
  <c r="K150" i="17"/>
  <c r="K166" i="17"/>
  <c r="K182" i="17"/>
  <c r="K198" i="17"/>
  <c r="K214" i="17"/>
  <c r="K230" i="17"/>
  <c r="K246" i="17"/>
  <c r="K262" i="17"/>
  <c r="K278" i="17"/>
  <c r="K294" i="17"/>
  <c r="K310" i="17"/>
  <c r="L326" i="17"/>
  <c r="L342" i="17"/>
  <c r="L358" i="17"/>
  <c r="L374" i="17"/>
  <c r="L394" i="17"/>
  <c r="K340" i="17"/>
  <c r="K372" i="17"/>
  <c r="K404" i="17"/>
  <c r="K436" i="17"/>
  <c r="K468" i="17"/>
  <c r="K500" i="17"/>
  <c r="K429" i="17"/>
  <c r="K461" i="17"/>
  <c r="K493" i="17"/>
  <c r="L524" i="17"/>
  <c r="L569" i="17"/>
  <c r="K540" i="17"/>
  <c r="L546" i="17"/>
  <c r="L578" i="17"/>
  <c r="K610" i="17"/>
  <c r="K413" i="17"/>
  <c r="L343" i="17"/>
  <c r="L375" i="17"/>
  <c r="L407" i="17"/>
  <c r="L439" i="17"/>
  <c r="L471" i="17"/>
  <c r="L503" i="17"/>
  <c r="L432" i="17"/>
  <c r="L464" i="17"/>
  <c r="L496" i="17"/>
  <c r="K527" i="17"/>
  <c r="L575" i="17"/>
  <c r="L543" i="17"/>
  <c r="K549" i="17"/>
  <c r="K581" i="17"/>
  <c r="L613" i="17"/>
  <c r="L612" i="17"/>
  <c r="L604" i="17"/>
  <c r="L596" i="17"/>
  <c r="L607" i="17"/>
  <c r="L599" i="17"/>
  <c r="K591" i="17"/>
  <c r="K583" i="17"/>
  <c r="K575" i="17"/>
  <c r="K567" i="17"/>
  <c r="K559" i="17"/>
  <c r="K551" i="17"/>
  <c r="K594" i="17"/>
  <c r="K578" i="17"/>
  <c r="K562" i="17"/>
  <c r="K546" i="17"/>
  <c r="L537" i="17"/>
  <c r="L529" i="17"/>
  <c r="L521" i="17"/>
  <c r="L525" i="17"/>
  <c r="L579" i="17"/>
  <c r="L563" i="17"/>
  <c r="L547" i="17"/>
  <c r="K537" i="17"/>
  <c r="K529" i="17"/>
  <c r="K521" i="17"/>
  <c r="L514" i="17"/>
  <c r="L506" i="17"/>
  <c r="L498" i="17"/>
  <c r="L490" i="17"/>
  <c r="L482" i="17"/>
  <c r="L474" i="17"/>
  <c r="L466" i="17"/>
  <c r="L458" i="17"/>
  <c r="L450" i="17"/>
  <c r="L442" i="17"/>
  <c r="L434" i="17"/>
  <c r="L426" i="17"/>
  <c r="L418" i="17"/>
  <c r="L513" i="17"/>
  <c r="L505" i="17"/>
  <c r="L497" i="17"/>
  <c r="L489" i="17"/>
  <c r="L481" i="17"/>
  <c r="L473" i="17"/>
  <c r="L465" i="17"/>
  <c r="L457" i="17"/>
  <c r="L449" i="17"/>
  <c r="L441" i="17"/>
  <c r="L433" i="17"/>
  <c r="L425" i="17"/>
  <c r="L417" i="17"/>
  <c r="L409" i="17"/>
  <c r="L401" i="17"/>
  <c r="L393" i="17"/>
  <c r="L385" i="17"/>
  <c r="L377" i="17"/>
  <c r="L369" i="17"/>
  <c r="L361" i="17"/>
  <c r="L353" i="17"/>
  <c r="L345" i="17"/>
  <c r="L337" i="17"/>
  <c r="L329" i="17"/>
  <c r="L321" i="17"/>
  <c r="K415" i="17"/>
  <c r="K407" i="17"/>
  <c r="K609" i="17"/>
  <c r="K601" i="17"/>
  <c r="K612" i="17"/>
  <c r="K604" i="17"/>
  <c r="K596" i="17"/>
  <c r="L588" i="17"/>
  <c r="L580" i="17"/>
  <c r="L572" i="17"/>
  <c r="L564" i="17"/>
  <c r="L556" i="17"/>
  <c r="L548" i="17"/>
  <c r="K588" i="17"/>
  <c r="K572" i="17"/>
  <c r="K556" i="17"/>
  <c r="K542" i="17"/>
  <c r="K534" i="17"/>
  <c r="K526" i="17"/>
  <c r="L589" i="17"/>
  <c r="L573" i="17"/>
  <c r="L557" i="17"/>
  <c r="L542" i="17"/>
  <c r="L534" i="17"/>
  <c r="L526" i="17"/>
  <c r="L518" i="17"/>
  <c r="K511" i="17"/>
  <c r="K503" i="17"/>
  <c r="K495" i="17"/>
  <c r="K487" i="17"/>
  <c r="K479" i="17"/>
  <c r="K471" i="17"/>
  <c r="K463" i="17"/>
  <c r="K455" i="17"/>
  <c r="K447" i="17"/>
  <c r="K439" i="17"/>
  <c r="K431" i="17"/>
  <c r="K423" i="17"/>
  <c r="K518" i="17"/>
  <c r="K510" i="17"/>
  <c r="K502" i="17"/>
  <c r="K494" i="17"/>
  <c r="K486" i="17"/>
  <c r="K478" i="17"/>
  <c r="K470" i="17"/>
  <c r="K462" i="17"/>
  <c r="K454" i="17"/>
  <c r="K446" i="17"/>
  <c r="K438" i="17"/>
  <c r="K430" i="17"/>
  <c r="K422" i="17"/>
  <c r="K414" i="17"/>
  <c r="K406" i="17"/>
  <c r="K398" i="17"/>
  <c r="K390" i="17"/>
  <c r="K382" i="17"/>
  <c r="K374" i="17"/>
  <c r="K366" i="17"/>
  <c r="K358" i="17"/>
  <c r="K350" i="17"/>
  <c r="K342" i="17"/>
  <c r="K332" i="17"/>
  <c r="K316" i="17"/>
  <c r="L404" i="17"/>
  <c r="L396" i="17"/>
  <c r="L388" i="17"/>
  <c r="L626" i="17"/>
  <c r="L108" i="17"/>
  <c r="L100" i="17"/>
  <c r="L92" i="17"/>
  <c r="L84" i="17"/>
  <c r="L76" i="17"/>
  <c r="L68" i="17"/>
  <c r="L60" i="17"/>
  <c r="L52" i="17"/>
  <c r="L44" i="17"/>
  <c r="L36" i="17"/>
  <c r="L28" i="17"/>
  <c r="L20" i="17"/>
  <c r="L109" i="17"/>
  <c r="L105" i="17"/>
  <c r="L101" i="17"/>
  <c r="L97" i="17"/>
  <c r="L93" i="17"/>
  <c r="L89" i="17"/>
  <c r="L85" i="17"/>
  <c r="L81" i="17"/>
  <c r="L77" i="17"/>
  <c r="L73" i="17"/>
  <c r="L69" i="17"/>
  <c r="L65" i="17"/>
  <c r="L61" i="17"/>
  <c r="L57" i="17"/>
  <c r="L53" i="17"/>
  <c r="L49" i="17"/>
  <c r="L45" i="17"/>
  <c r="L41" i="17"/>
  <c r="L37" i="17"/>
  <c r="L33" i="17"/>
  <c r="L29" i="17"/>
  <c r="L25" i="17"/>
  <c r="L21" i="17"/>
  <c r="L15" i="17"/>
  <c r="K105" i="17"/>
  <c r="K97" i="17"/>
  <c r="K89" i="17"/>
  <c r="K81" i="17"/>
  <c r="K73" i="17"/>
  <c r="K65" i="17"/>
  <c r="K57" i="17"/>
  <c r="K49" i="17"/>
  <c r="K41" i="17"/>
  <c r="K33" i="17"/>
  <c r="K25" i="17"/>
  <c r="K17" i="17"/>
  <c r="K16" i="17"/>
  <c r="L114" i="17"/>
  <c r="K113" i="17"/>
  <c r="L118" i="17"/>
  <c r="L126" i="17"/>
  <c r="L134" i="17"/>
  <c r="L142" i="17"/>
  <c r="L150" i="17"/>
  <c r="L158" i="17"/>
  <c r="L166" i="17"/>
  <c r="L174" i="17"/>
  <c r="L182" i="17"/>
  <c r="L190" i="17"/>
  <c r="L198" i="17"/>
  <c r="L206" i="17"/>
  <c r="L214" i="17"/>
  <c r="L222" i="17"/>
  <c r="L230" i="17"/>
  <c r="L238" i="17"/>
  <c r="L246" i="17"/>
  <c r="L254" i="17"/>
  <c r="L262" i="17"/>
  <c r="L270" i="17"/>
  <c r="L278" i="17"/>
  <c r="L286" i="17"/>
  <c r="L294" i="17"/>
  <c r="L302" i="17"/>
  <c r="L310" i="17"/>
  <c r="L113" i="17"/>
  <c r="L121" i="17"/>
  <c r="L129" i="17"/>
  <c r="L137" i="17"/>
  <c r="L145" i="17"/>
  <c r="L153" i="17"/>
  <c r="L161" i="17"/>
  <c r="L169" i="17"/>
  <c r="L177" i="17"/>
  <c r="L185" i="17"/>
  <c r="L193" i="17"/>
  <c r="L201" i="17"/>
  <c r="L209" i="17"/>
  <c r="L217" i="17"/>
  <c r="L225" i="17"/>
  <c r="L233" i="17"/>
  <c r="L241" i="17"/>
  <c r="L249" i="17"/>
  <c r="L257" i="17"/>
  <c r="L265" i="17"/>
  <c r="L273" i="17"/>
  <c r="L281" i="17"/>
  <c r="L289" i="17"/>
  <c r="L297" i="17"/>
  <c r="L305" i="17"/>
  <c r="L313" i="17"/>
  <c r="K321" i="17"/>
  <c r="K329" i="17"/>
  <c r="K337" i="17"/>
  <c r="K345" i="17"/>
  <c r="K353" i="17"/>
  <c r="K361" i="17"/>
  <c r="K369" i="17"/>
  <c r="K377" i="17"/>
  <c r="K385" i="17"/>
  <c r="K393" i="17"/>
  <c r="K401" i="17"/>
  <c r="L412" i="17"/>
  <c r="K326" i="17"/>
  <c r="K125" i="17"/>
  <c r="K133" i="17"/>
  <c r="K141" i="17"/>
  <c r="K149" i="17"/>
  <c r="K157" i="17"/>
  <c r="K165" i="17"/>
  <c r="K173" i="17"/>
  <c r="K181" i="17"/>
  <c r="K189" i="17"/>
  <c r="K197" i="17"/>
  <c r="K205" i="17"/>
  <c r="K213" i="17"/>
  <c r="K221" i="17"/>
  <c r="K229" i="17"/>
  <c r="K237" i="17"/>
  <c r="K245" i="17"/>
  <c r="K253" i="17"/>
  <c r="K261" i="17"/>
  <c r="K269" i="17"/>
  <c r="K277" i="17"/>
  <c r="K285" i="17"/>
  <c r="K293" i="17"/>
  <c r="K301" i="17"/>
  <c r="K309" i="17"/>
  <c r="K112" i="17"/>
  <c r="K120" i="17"/>
  <c r="K128" i="17"/>
  <c r="K136" i="17"/>
  <c r="K144" i="17"/>
  <c r="K152" i="17"/>
  <c r="K160" i="17"/>
  <c r="K168" i="17"/>
  <c r="K176" i="17"/>
  <c r="K184" i="17"/>
  <c r="K192" i="17"/>
  <c r="K200" i="17"/>
  <c r="K208" i="17"/>
  <c r="K216" i="17"/>
  <c r="K224" i="17"/>
  <c r="K232" i="17"/>
  <c r="K240" i="17"/>
  <c r="K248" i="17"/>
  <c r="K256" i="17"/>
  <c r="K264" i="17"/>
  <c r="K272" i="17"/>
  <c r="K280" i="17"/>
  <c r="K288" i="17"/>
  <c r="K296" i="17"/>
  <c r="K304" i="17"/>
  <c r="K312" i="17"/>
  <c r="L320" i="17"/>
  <c r="L328" i="17"/>
  <c r="L336" i="17"/>
  <c r="L344" i="17"/>
  <c r="L352" i="17"/>
  <c r="L360" i="17"/>
  <c r="L368" i="17"/>
  <c r="L376" i="17"/>
  <c r="L384" i="17"/>
  <c r="L398" i="17"/>
  <c r="K320" i="17"/>
  <c r="K344" i="17"/>
  <c r="K360" i="17"/>
  <c r="K376" i="17"/>
  <c r="K392" i="17"/>
  <c r="K408" i="17"/>
  <c r="K424" i="17"/>
  <c r="K440" i="17"/>
  <c r="K456" i="17"/>
  <c r="K472" i="17"/>
  <c r="K488" i="17"/>
  <c r="K504" i="17"/>
  <c r="K417" i="17"/>
  <c r="K433" i="17"/>
  <c r="K449" i="17"/>
  <c r="K465" i="17"/>
  <c r="K481" i="17"/>
  <c r="K497" i="17"/>
  <c r="K513" i="17"/>
  <c r="L528" i="17"/>
  <c r="L545" i="17"/>
  <c r="L577" i="17"/>
  <c r="K528" i="17"/>
  <c r="K544" i="17"/>
  <c r="K576" i="17"/>
  <c r="L550" i="17"/>
  <c r="L566" i="17"/>
  <c r="L582" i="17"/>
  <c r="K598" i="17"/>
  <c r="K595" i="17"/>
  <c r="K611" i="17"/>
  <c r="L315" i="17"/>
  <c r="L331" i="17"/>
  <c r="L347" i="17"/>
  <c r="L363" i="17"/>
  <c r="L379" i="17"/>
  <c r="L395" i="17"/>
  <c r="L411" i="17"/>
  <c r="L427" i="17"/>
  <c r="L443" i="17"/>
  <c r="L459" i="17"/>
  <c r="L475" i="17"/>
  <c r="L491" i="17"/>
  <c r="L507" i="17"/>
  <c r="L420" i="17"/>
  <c r="L436" i="17"/>
  <c r="L452" i="17"/>
  <c r="L468" i="17"/>
  <c r="L484" i="17"/>
  <c r="L500" i="17"/>
  <c r="L516" i="17"/>
  <c r="K531" i="17"/>
  <c r="L551" i="17"/>
  <c r="L583" i="17"/>
  <c r="L531" i="17"/>
  <c r="K550" i="17"/>
  <c r="K582" i="17"/>
  <c r="K553" i="17"/>
  <c r="K569" i="17"/>
  <c r="K585" i="17"/>
  <c r="L601" i="17"/>
  <c r="L598" i="17"/>
  <c r="B625" i="17"/>
  <c r="L587" i="17"/>
  <c r="L571" i="17"/>
  <c r="L555" i="17"/>
  <c r="K541" i="17"/>
  <c r="K533" i="17"/>
  <c r="K525" i="17"/>
  <c r="L519" i="17"/>
  <c r="L510" i="17"/>
  <c r="L502" i="17"/>
  <c r="L494" i="17"/>
  <c r="L486" i="17"/>
  <c r="L478" i="17"/>
  <c r="L470" i="17"/>
  <c r="L462" i="17"/>
  <c r="L454" i="17"/>
  <c r="L446" i="17"/>
  <c r="L438" i="17"/>
  <c r="L430" i="17"/>
  <c r="L422" i="17"/>
  <c r="L517" i="17"/>
  <c r="L509" i="17"/>
  <c r="L501" i="17"/>
  <c r="L493" i="17"/>
  <c r="L485" i="17"/>
  <c r="L477" i="17"/>
  <c r="L469" i="17"/>
  <c r="L461" i="17"/>
  <c r="L453" i="17"/>
  <c r="L445" i="17"/>
  <c r="L437" i="17"/>
  <c r="L429" i="17"/>
  <c r="L421" i="17"/>
  <c r="L413" i="17"/>
  <c r="L405" i="17"/>
  <c r="L397" i="17"/>
  <c r="L389" i="17"/>
  <c r="L381" i="17"/>
  <c r="L373" i="17"/>
  <c r="L365" i="17"/>
  <c r="L357" i="17"/>
  <c r="L349" i="17"/>
  <c r="L341" i="17"/>
  <c r="L333" i="17"/>
  <c r="L325" i="17"/>
  <c r="L317" i="17"/>
  <c r="K411" i="17"/>
  <c r="K613" i="17"/>
  <c r="K605" i="17"/>
  <c r="K597" i="17"/>
  <c r="K608" i="17"/>
  <c r="K600" i="17"/>
  <c r="L592" i="17"/>
  <c r="L584" i="17"/>
  <c r="L576" i="17"/>
  <c r="L568" i="17"/>
  <c r="L560" i="17"/>
  <c r="L552" i="17"/>
  <c r="L544" i="17"/>
  <c r="K580" i="17"/>
  <c r="K564" i="17"/>
  <c r="K548" i="17"/>
  <c r="K538" i="17"/>
  <c r="K530" i="17"/>
  <c r="K522" i="17"/>
  <c r="L581" i="17"/>
  <c r="L565" i="17"/>
  <c r="L549" i="17"/>
  <c r="L538" i="17"/>
  <c r="L530" i="17"/>
  <c r="L522" i="17"/>
  <c r="K515" i="17"/>
  <c r="K507" i="17"/>
  <c r="K499" i="17"/>
  <c r="K491" i="17"/>
  <c r="K483" i="17"/>
  <c r="K475" i="17"/>
  <c r="K467" i="17"/>
  <c r="K459" i="17"/>
  <c r="K451" i="17"/>
  <c r="K443" i="17"/>
  <c r="K435" i="17"/>
  <c r="K427" i="17"/>
  <c r="K419" i="17"/>
  <c r="K514" i="17"/>
  <c r="K506" i="17"/>
  <c r="K498" i="17"/>
  <c r="K490" i="17"/>
  <c r="K482" i="17"/>
  <c r="K474" i="17"/>
  <c r="K466" i="17"/>
  <c r="K458" i="17"/>
  <c r="K450" i="17"/>
  <c r="K442" i="17"/>
  <c r="K434" i="17"/>
  <c r="K426" i="17"/>
  <c r="K418" i="17"/>
  <c r="K410" i="17"/>
  <c r="K402" i="17"/>
  <c r="K394" i="17"/>
  <c r="K386" i="17"/>
  <c r="K378" i="17"/>
  <c r="K370" i="17"/>
  <c r="K362" i="17"/>
  <c r="K354" i="17"/>
  <c r="K346" i="17"/>
  <c r="K338" i="17"/>
  <c r="K324" i="17"/>
  <c r="L410" i="17"/>
  <c r="L400" i="17"/>
  <c r="L392" i="17"/>
  <c r="L623" i="17"/>
  <c r="K622" i="17"/>
  <c r="L104" i="17"/>
  <c r="L96" i="17"/>
  <c r="L88" i="17"/>
  <c r="L80" i="17"/>
  <c r="L72" i="17"/>
  <c r="L64" i="17"/>
  <c r="L56" i="17"/>
  <c r="L48" i="17"/>
  <c r="L40" i="17"/>
  <c r="L32" i="17"/>
  <c r="L24" i="17"/>
  <c r="L16" i="17"/>
  <c r="L107" i="17"/>
  <c r="L103" i="17"/>
  <c r="L99" i="17"/>
  <c r="L95" i="17"/>
  <c r="L91" i="17"/>
  <c r="L87" i="17"/>
  <c r="L83" i="17"/>
  <c r="L79" i="17"/>
  <c r="L75" i="17"/>
  <c r="L71" i="17"/>
  <c r="L67" i="17"/>
  <c r="L63" i="17"/>
  <c r="L59" i="17"/>
  <c r="L55" i="17"/>
  <c r="L51" i="17"/>
  <c r="L47" i="17"/>
  <c r="L43" i="17"/>
  <c r="L39" i="17"/>
  <c r="L35" i="17"/>
  <c r="L31" i="17"/>
  <c r="L27" i="17"/>
  <c r="L23" i="17"/>
  <c r="L19" i="17"/>
  <c r="K109" i="17"/>
  <c r="K101" i="17"/>
  <c r="K93" i="17"/>
  <c r="K85" i="17"/>
  <c r="K77" i="17"/>
  <c r="K69" i="17"/>
  <c r="K61" i="17"/>
  <c r="K53" i="17"/>
  <c r="K45" i="17"/>
  <c r="K37" i="17"/>
  <c r="K29" i="17"/>
  <c r="K21" i="17"/>
  <c r="K13" i="17"/>
  <c r="L110" i="17"/>
  <c r="K121" i="17"/>
  <c r="K119" i="17"/>
  <c r="L122" i="17"/>
  <c r="L130" i="17"/>
  <c r="L138" i="17"/>
  <c r="L146" i="17"/>
  <c r="L154" i="17"/>
  <c r="L162" i="17"/>
  <c r="L170" i="17"/>
  <c r="L178" i="17"/>
  <c r="L186" i="17"/>
  <c r="L194" i="17"/>
  <c r="L202" i="17"/>
  <c r="L210" i="17"/>
  <c r="L218" i="17"/>
  <c r="L226" i="17"/>
  <c r="L234" i="17"/>
  <c r="L242" i="17"/>
  <c r="L250" i="17"/>
  <c r="L258" i="17"/>
  <c r="L266" i="17"/>
  <c r="L274" i="17"/>
  <c r="L282" i="17"/>
  <c r="L290" i="17"/>
  <c r="L298" i="17"/>
  <c r="L306" i="17"/>
  <c r="L314" i="17"/>
  <c r="L117" i="17"/>
  <c r="L125" i="17"/>
  <c r="L133" i="17"/>
  <c r="L141" i="17"/>
  <c r="L149" i="17"/>
  <c r="L157" i="17"/>
  <c r="L165" i="17"/>
  <c r="L173" i="17"/>
  <c r="L181" i="17"/>
  <c r="L189" i="17"/>
  <c r="L197" i="17"/>
  <c r="L205" i="17"/>
  <c r="L213" i="17"/>
  <c r="L221" i="17"/>
  <c r="L229" i="17"/>
  <c r="L237" i="17"/>
  <c r="L245" i="17"/>
  <c r="L253" i="17"/>
  <c r="L261" i="17"/>
  <c r="L269" i="17"/>
  <c r="L277" i="17"/>
  <c r="L285" i="17"/>
  <c r="L293" i="17"/>
  <c r="L301" i="17"/>
  <c r="L309" i="17"/>
  <c r="K317" i="17"/>
  <c r="K325" i="17"/>
  <c r="K333" i="17"/>
  <c r="K341" i="17"/>
  <c r="K349" i="17"/>
  <c r="K357" i="17"/>
  <c r="K365" i="17"/>
  <c r="K373" i="17"/>
  <c r="K381" i="17"/>
  <c r="K389" i="17"/>
  <c r="K397" i="17"/>
  <c r="K405" i="17"/>
  <c r="K318" i="17"/>
  <c r="K334" i="17"/>
  <c r="K129" i="17"/>
  <c r="K137" i="17"/>
  <c r="K145" i="17"/>
  <c r="K153" i="17"/>
  <c r="K161" i="17"/>
  <c r="K169" i="17"/>
  <c r="K177" i="17"/>
  <c r="K185" i="17"/>
  <c r="K193" i="17"/>
  <c r="K201" i="17"/>
  <c r="K209" i="17"/>
  <c r="K217" i="17"/>
  <c r="K225" i="17"/>
  <c r="K233" i="17"/>
  <c r="K241" i="17"/>
  <c r="K249" i="17"/>
  <c r="K257" i="17"/>
  <c r="K265" i="17"/>
  <c r="K273" i="17"/>
  <c r="K281" i="17"/>
  <c r="K289" i="17"/>
  <c r="K297" i="17"/>
  <c r="K305" i="17"/>
  <c r="K313" i="17"/>
  <c r="K116" i="17"/>
  <c r="K124" i="17"/>
  <c r="K132" i="17"/>
  <c r="K140" i="17"/>
  <c r="K148" i="17"/>
  <c r="K156" i="17"/>
  <c r="K164" i="17"/>
  <c r="K172" i="17"/>
  <c r="K180" i="17"/>
  <c r="K188" i="17"/>
  <c r="K196" i="17"/>
  <c r="K204" i="17"/>
  <c r="K212" i="17"/>
  <c r="K220" i="17"/>
  <c r="K228" i="17"/>
  <c r="K236" i="17"/>
  <c r="K244" i="17"/>
  <c r="K252" i="17"/>
  <c r="K260" i="17"/>
  <c r="K268" i="17"/>
  <c r="K276" i="17"/>
  <c r="K284" i="17"/>
  <c r="K292" i="17"/>
  <c r="K300" i="17"/>
  <c r="K308" i="17"/>
  <c r="L316" i="17"/>
  <c r="L324" i="17"/>
  <c r="L332" i="17"/>
  <c r="L340" i="17"/>
  <c r="L348" i="17"/>
  <c r="L356" i="17"/>
  <c r="L364" i="17"/>
  <c r="L372" i="17"/>
  <c r="L380" i="17"/>
  <c r="L390" i="17"/>
  <c r="L406" i="17"/>
  <c r="K336" i="17"/>
  <c r="K352" i="17"/>
  <c r="K368" i="17"/>
  <c r="K384" i="17"/>
  <c r="K400" i="17"/>
  <c r="K416" i="17"/>
  <c r="K432" i="17"/>
  <c r="K448" i="17"/>
  <c r="K464" i="17"/>
  <c r="K480" i="17"/>
  <c r="K496" i="17"/>
  <c r="K512" i="17"/>
  <c r="K425" i="17"/>
  <c r="K441" i="17"/>
  <c r="K457" i="17"/>
  <c r="K473" i="17"/>
  <c r="K489" i="17"/>
  <c r="K505" i="17"/>
  <c r="L520" i="17"/>
  <c r="L536" i="17"/>
  <c r="L561" i="17"/>
  <c r="L593" i="17"/>
  <c r="K536" i="17"/>
  <c r="K560" i="17"/>
  <c r="K592" i="17"/>
  <c r="L558" i="17"/>
  <c r="L574" i="17"/>
  <c r="L590" i="17"/>
  <c r="K606" i="17"/>
  <c r="K603" i="17"/>
  <c r="K409" i="17"/>
  <c r="L323" i="17"/>
  <c r="L339" i="17"/>
  <c r="L355" i="17"/>
  <c r="L371" i="17"/>
  <c r="L387" i="17"/>
  <c r="L403" i="17"/>
  <c r="L419" i="17"/>
  <c r="L435" i="17"/>
  <c r="L451" i="17"/>
  <c r="L467" i="17"/>
  <c r="L483" i="17"/>
  <c r="L499" i="17"/>
  <c r="L515" i="17"/>
  <c r="L428" i="17"/>
  <c r="L444" i="17"/>
  <c r="L460" i="17"/>
  <c r="L476" i="17"/>
  <c r="L492" i="17"/>
  <c r="L508" i="17"/>
  <c r="K523" i="17"/>
  <c r="K539" i="17"/>
  <c r="L567" i="17"/>
  <c r="L523" i="17"/>
  <c r="L539" i="17"/>
  <c r="K566" i="17"/>
  <c r="K545" i="17"/>
  <c r="K561" i="17"/>
  <c r="K577" i="17"/>
  <c r="K593" i="17"/>
  <c r="L609" i="17"/>
  <c r="L606" i="17"/>
  <c r="M67" i="17"/>
  <c r="M76" i="17"/>
  <c r="M199" i="17"/>
  <c r="N74" i="17"/>
  <c r="M111" i="17"/>
  <c r="N36" i="17"/>
  <c r="N123" i="17"/>
  <c r="N57" i="17"/>
  <c r="N200" i="17"/>
  <c r="N251" i="17"/>
  <c r="M41" i="17"/>
  <c r="M108" i="17"/>
  <c r="M44" i="17"/>
  <c r="M85" i="17"/>
  <c r="N100" i="17"/>
  <c r="N89" i="17"/>
  <c r="N25" i="17"/>
  <c r="N136" i="17"/>
  <c r="N264" i="17"/>
  <c r="N187" i="17"/>
  <c r="N341" i="17"/>
  <c r="M315" i="17"/>
  <c r="N469" i="17"/>
  <c r="M379" i="17"/>
  <c r="N405" i="17"/>
  <c r="M495" i="17"/>
  <c r="M555" i="17"/>
  <c r="M431" i="17"/>
  <c r="M570" i="17"/>
  <c r="M251" i="17"/>
  <c r="N110" i="17"/>
  <c r="M81" i="17"/>
  <c r="N106" i="17"/>
  <c r="N42" i="17"/>
  <c r="M92" i="17"/>
  <c r="M60" i="17"/>
  <c r="M28" i="17"/>
  <c r="M175" i="17"/>
  <c r="M99" i="17"/>
  <c r="M35" i="17"/>
  <c r="N68" i="17"/>
  <c r="N105" i="17"/>
  <c r="N73" i="17"/>
  <c r="N41" i="17"/>
  <c r="M123" i="17"/>
  <c r="M189" i="17"/>
  <c r="N168" i="17"/>
  <c r="N232" i="17"/>
  <c r="N296" i="17"/>
  <c r="N155" i="17"/>
  <c r="N219" i="17"/>
  <c r="N283" i="17"/>
  <c r="M347" i="17"/>
  <c r="M411" i="17"/>
  <c r="N373" i="17"/>
  <c r="N437" i="17"/>
  <c r="N501" i="17"/>
  <c r="M463" i="17"/>
  <c r="M525" i="17"/>
  <c r="M540" i="17"/>
  <c r="N600" i="17"/>
  <c r="M137" i="17"/>
  <c r="N142" i="17"/>
  <c r="M622" i="17"/>
  <c r="M57" i="17"/>
  <c r="M25" i="17"/>
  <c r="N90" i="17"/>
  <c r="N58" i="17"/>
  <c r="N26" i="17"/>
  <c r="M100" i="17"/>
  <c r="M84" i="17"/>
  <c r="M68" i="17"/>
  <c r="M52" i="17"/>
  <c r="M36" i="17"/>
  <c r="M20" i="17"/>
  <c r="M143" i="17"/>
  <c r="N626" i="17"/>
  <c r="M626" i="17"/>
  <c r="M83" i="17"/>
  <c r="M51" i="17"/>
  <c r="M19" i="17"/>
  <c r="N84" i="17"/>
  <c r="N52" i="17"/>
  <c r="N20" i="17"/>
  <c r="N97" i="17"/>
  <c r="N81" i="17"/>
  <c r="N65" i="17"/>
  <c r="N49" i="17"/>
  <c r="N33" i="17"/>
  <c r="N17" i="17"/>
  <c r="M155" i="17"/>
  <c r="M157" i="17"/>
  <c r="N120" i="17"/>
  <c r="N152" i="17"/>
  <c r="N184" i="17"/>
  <c r="N216" i="17"/>
  <c r="N248" i="17"/>
  <c r="N280" i="17"/>
  <c r="N312" i="17"/>
  <c r="N139" i="17"/>
  <c r="N171" i="17"/>
  <c r="N203" i="17"/>
  <c r="N235" i="17"/>
  <c r="N267" i="17"/>
  <c r="N299" i="17"/>
  <c r="M331" i="17"/>
  <c r="M363" i="17"/>
  <c r="M395" i="17"/>
  <c r="N325" i="17"/>
  <c r="N357" i="17"/>
  <c r="N389" i="17"/>
  <c r="N421" i="17"/>
  <c r="N453" i="17"/>
  <c r="N485" i="17"/>
  <c r="N517" i="17"/>
  <c r="M447" i="17"/>
  <c r="M479" i="17"/>
  <c r="M511" i="17"/>
  <c r="M541" i="17"/>
  <c r="M524" i="17"/>
  <c r="N569" i="17"/>
  <c r="M587" i="17"/>
  <c r="M219" i="17"/>
  <c r="M195" i="17"/>
  <c r="M169" i="17"/>
  <c r="N126" i="17"/>
  <c r="N158" i="17"/>
  <c r="N174" i="17"/>
  <c r="N190" i="17"/>
  <c r="N206" i="17"/>
  <c r="N222" i="17"/>
  <c r="N238" i="17"/>
  <c r="N254" i="17"/>
  <c r="N270" i="17"/>
  <c r="N286" i="17"/>
  <c r="N302" i="17"/>
  <c r="N113" i="17"/>
  <c r="N129" i="17"/>
  <c r="M97" i="17"/>
  <c r="M65" i="17"/>
  <c r="M49" i="17"/>
  <c r="M33" i="17"/>
  <c r="M17" i="17"/>
  <c r="N98" i="17"/>
  <c r="N82" i="17"/>
  <c r="N66" i="17"/>
  <c r="N50" i="17"/>
  <c r="N34" i="17"/>
  <c r="N18" i="17"/>
  <c r="M104" i="17"/>
  <c r="M96" i="17"/>
  <c r="M88" i="17"/>
  <c r="M80" i="17"/>
  <c r="M72" i="17"/>
  <c r="M64" i="17"/>
  <c r="M56" i="17"/>
  <c r="M48" i="17"/>
  <c r="M40" i="17"/>
  <c r="M32" i="17"/>
  <c r="M24" i="17"/>
  <c r="M16" i="17"/>
  <c r="M127" i="17"/>
  <c r="M159" i="17"/>
  <c r="M117" i="17"/>
  <c r="M101" i="17"/>
  <c r="M69" i="17"/>
  <c r="M107" i="17"/>
  <c r="M91" i="17"/>
  <c r="M75" i="17"/>
  <c r="M59" i="17"/>
  <c r="M43" i="17"/>
  <c r="M27" i="17"/>
  <c r="N108" i="17"/>
  <c r="N92" i="17"/>
  <c r="N76" i="17"/>
  <c r="N60" i="17"/>
  <c r="N44" i="17"/>
  <c r="N28" i="17"/>
  <c r="N109" i="17"/>
  <c r="N101" i="17"/>
  <c r="N93" i="17"/>
  <c r="N85" i="17"/>
  <c r="N77" i="17"/>
  <c r="N69" i="17"/>
  <c r="N61" i="17"/>
  <c r="N53" i="17"/>
  <c r="N45" i="17"/>
  <c r="N37" i="17"/>
  <c r="N29" i="17"/>
  <c r="N21" i="17"/>
  <c r="N13" i="17"/>
  <c r="M139" i="17"/>
  <c r="M171" i="17"/>
  <c r="M141" i="17"/>
  <c r="M173" i="17"/>
  <c r="N112" i="17"/>
  <c r="N128" i="17"/>
  <c r="N144" i="17"/>
  <c r="N160" i="17"/>
  <c r="N176" i="17"/>
  <c r="N192" i="17"/>
  <c r="N208" i="17"/>
  <c r="N224" i="17"/>
  <c r="N240" i="17"/>
  <c r="N256" i="17"/>
  <c r="N272" i="17"/>
  <c r="N288" i="17"/>
  <c r="N304" i="17"/>
  <c r="N115" i="17"/>
  <c r="N131" i="17"/>
  <c r="N147" i="17"/>
  <c r="N163" i="17"/>
  <c r="N179" i="17"/>
  <c r="N195" i="17"/>
  <c r="N211" i="17"/>
  <c r="N227" i="17"/>
  <c r="N243" i="17"/>
  <c r="N259" i="17"/>
  <c r="N275" i="17"/>
  <c r="N291" i="17"/>
  <c r="N307" i="17"/>
  <c r="M323" i="17"/>
  <c r="M339" i="17"/>
  <c r="M355" i="17"/>
  <c r="M371" i="17"/>
  <c r="M387" i="17"/>
  <c r="M403" i="17"/>
  <c r="N317" i="17"/>
  <c r="N333" i="17"/>
  <c r="N349" i="17"/>
  <c r="N365" i="17"/>
  <c r="N381" i="17"/>
  <c r="N397" i="17"/>
  <c r="N413" i="17"/>
  <c r="N429" i="17"/>
  <c r="N445" i="17"/>
  <c r="N461" i="17"/>
  <c r="N477" i="17"/>
  <c r="N493" i="17"/>
  <c r="N509" i="17"/>
  <c r="M423" i="17"/>
  <c r="M439" i="17"/>
  <c r="M455" i="17"/>
  <c r="M471" i="17"/>
  <c r="M487" i="17"/>
  <c r="M503" i="17"/>
  <c r="M520" i="17"/>
  <c r="M533" i="17"/>
  <c r="M554" i="17"/>
  <c r="M586" i="17"/>
  <c r="M532" i="17"/>
  <c r="N553" i="17"/>
  <c r="N585" i="17"/>
  <c r="M571" i="17"/>
  <c r="N603" i="17"/>
  <c r="M203" i="17"/>
  <c r="M235" i="17"/>
  <c r="M179" i="17"/>
  <c r="M121" i="17"/>
  <c r="M153" i="17"/>
  <c r="M185" i="17"/>
  <c r="N118" i="17"/>
  <c r="N134" i="17"/>
  <c r="N150" i="17"/>
  <c r="N166" i="17"/>
  <c r="N182" i="17"/>
  <c r="N198" i="17"/>
  <c r="N214" i="17"/>
  <c r="N230" i="17"/>
  <c r="N246" i="17"/>
  <c r="N262" i="17"/>
  <c r="N278" i="17"/>
  <c r="N294" i="17"/>
  <c r="N310" i="17"/>
  <c r="N121" i="17"/>
  <c r="N137" i="17"/>
  <c r="N145" i="17"/>
  <c r="N153" i="17"/>
  <c r="N161" i="17"/>
  <c r="N169" i="17"/>
  <c r="N177" i="17"/>
  <c r="N185" i="17"/>
  <c r="N193" i="17"/>
  <c r="N201" i="17"/>
  <c r="N209" i="17"/>
  <c r="N217" i="17"/>
  <c r="N225" i="17"/>
  <c r="N233" i="17"/>
  <c r="N241" i="17"/>
  <c r="N249" i="17"/>
  <c r="N257" i="17"/>
  <c r="N265" i="17"/>
  <c r="N273" i="17"/>
  <c r="N281" i="17"/>
  <c r="N289" i="17"/>
  <c r="N297" i="17"/>
  <c r="N305" i="17"/>
  <c r="N313" i="17"/>
  <c r="M321" i="17"/>
  <c r="M329" i="17"/>
  <c r="M345" i="17"/>
  <c r="M361" i="17"/>
  <c r="M377" i="17"/>
  <c r="M393" i="17"/>
  <c r="M409" i="17"/>
  <c r="N323" i="17"/>
  <c r="N339" i="17"/>
  <c r="N355" i="17"/>
  <c r="N371" i="17"/>
  <c r="N387" i="17"/>
  <c r="N403" i="17"/>
  <c r="N419" i="17"/>
  <c r="N435" i="17"/>
  <c r="N451" i="17"/>
  <c r="N467" i="17"/>
  <c r="N483" i="17"/>
  <c r="N499" i="17"/>
  <c r="N515" i="17"/>
  <c r="M429" i="17"/>
  <c r="M445" i="17"/>
  <c r="M461" i="17"/>
  <c r="M477" i="17"/>
  <c r="M493" i="17"/>
  <c r="M509" i="17"/>
  <c r="M523" i="17"/>
  <c r="M539" i="17"/>
  <c r="M566" i="17"/>
  <c r="M522" i="17"/>
  <c r="M538" i="17"/>
  <c r="N565" i="17"/>
  <c r="M551" i="17"/>
  <c r="M583" i="17"/>
  <c r="N596" i="17"/>
  <c r="M215" i="17"/>
  <c r="M247" i="17"/>
  <c r="M271" i="17"/>
  <c r="M287" i="17"/>
  <c r="M303" i="17"/>
  <c r="M114" i="17"/>
  <c r="M130" i="17"/>
  <c r="M146" i="17"/>
  <c r="M162" i="17"/>
  <c r="M178" i="17"/>
  <c r="M194" i="17"/>
  <c r="M210" i="17"/>
  <c r="M226" i="17"/>
  <c r="M242" i="17"/>
  <c r="M258" i="17"/>
  <c r="M274" i="17"/>
  <c r="M290" i="17"/>
  <c r="M306" i="17"/>
  <c r="N322" i="17"/>
  <c r="N338" i="17"/>
  <c r="N354" i="17"/>
  <c r="N370" i="17"/>
  <c r="N386" i="17"/>
  <c r="N402" i="17"/>
  <c r="M316" i="17"/>
  <c r="M332" i="17"/>
  <c r="M348" i="17"/>
  <c r="M364" i="17"/>
  <c r="M380" i="17"/>
  <c r="M396" i="17"/>
  <c r="M412" i="17"/>
  <c r="M428" i="17"/>
  <c r="M444" i="17"/>
  <c r="M460" i="17"/>
  <c r="M476" i="17"/>
  <c r="M492" i="17"/>
  <c r="M508" i="17"/>
  <c r="N422" i="17"/>
  <c r="N438" i="17"/>
  <c r="N454" i="17"/>
  <c r="N470" i="17"/>
  <c r="N486" i="17"/>
  <c r="N502" i="17"/>
  <c r="M518" i="17"/>
  <c r="N532" i="17"/>
  <c r="M552" i="17"/>
  <c r="M584" i="17"/>
  <c r="N531" i="17"/>
  <c r="N551" i="17"/>
  <c r="N583" i="17"/>
  <c r="N554" i="17"/>
  <c r="N570" i="17"/>
  <c r="N586" i="17"/>
  <c r="M602" i="17"/>
  <c r="M599" i="17"/>
  <c r="N589" i="17"/>
  <c r="M557" i="17"/>
  <c r="M573" i="17"/>
  <c r="M589" i="17"/>
  <c r="N605" i="17"/>
  <c r="N602" i="17"/>
  <c r="M205" i="17"/>
  <c r="M221" i="17"/>
  <c r="M237" i="17"/>
  <c r="M253" i="17"/>
  <c r="M269" i="17"/>
  <c r="M285" i="17"/>
  <c r="M301" i="17"/>
  <c r="M112" i="17"/>
  <c r="M128" i="17"/>
  <c r="M144" i="17"/>
  <c r="M168" i="17"/>
  <c r="M200" i="17"/>
  <c r="M232" i="17"/>
  <c r="M264" i="17"/>
  <c r="M296" i="17"/>
  <c r="N328" i="17"/>
  <c r="N360" i="17"/>
  <c r="N392" i="17"/>
  <c r="M322" i="17"/>
  <c r="M354" i="17"/>
  <c r="M386" i="17"/>
  <c r="M418" i="17"/>
  <c r="M450" i="17"/>
  <c r="M482" i="17"/>
  <c r="M514" i="17"/>
  <c r="N444" i="17"/>
  <c r="N476" i="17"/>
  <c r="N508" i="17"/>
  <c r="N538" i="17"/>
  <c r="N521" i="17"/>
  <c r="N563" i="17"/>
  <c r="N560" i="17"/>
  <c r="M613" i="17"/>
  <c r="M597" i="17"/>
  <c r="M600" i="17"/>
  <c r="N584" i="17"/>
  <c r="N568" i="17"/>
  <c r="N552" i="17"/>
  <c r="N579" i="17"/>
  <c r="N547" i="17"/>
  <c r="N529" i="17"/>
  <c r="M580" i="17"/>
  <c r="M548" i="17"/>
  <c r="N530" i="17"/>
  <c r="N516" i="17"/>
  <c r="N500" i="17"/>
  <c r="N484" i="17"/>
  <c r="N468" i="17"/>
  <c r="N452" i="17"/>
  <c r="N436" i="17"/>
  <c r="N420" i="17"/>
  <c r="M506" i="17"/>
  <c r="M490" i="17"/>
  <c r="M474" i="17"/>
  <c r="M458" i="17"/>
  <c r="M442" i="17"/>
  <c r="M426" i="17"/>
  <c r="M410" i="17"/>
  <c r="M394" i="17"/>
  <c r="M378" i="17"/>
  <c r="M362" i="17"/>
  <c r="M346" i="17"/>
  <c r="M330" i="17"/>
  <c r="N416" i="17"/>
  <c r="N400" i="17"/>
  <c r="N384" i="17"/>
  <c r="N368" i="17"/>
  <c r="N352" i="17"/>
  <c r="N336" i="17"/>
  <c r="N320" i="17"/>
  <c r="M304" i="17"/>
  <c r="M288" i="17"/>
  <c r="M272" i="17"/>
  <c r="M256" i="17"/>
  <c r="M240" i="17"/>
  <c r="M224" i="17"/>
  <c r="M208" i="17"/>
  <c r="M192" i="17"/>
  <c r="M176" i="17"/>
  <c r="M160" i="17"/>
  <c r="M148" i="17"/>
  <c r="M140" i="17"/>
  <c r="M132" i="17"/>
  <c r="M124" i="17"/>
  <c r="M116" i="17"/>
  <c r="M313" i="17"/>
  <c r="M305" i="17"/>
  <c r="M297" i="17"/>
  <c r="M289" i="17"/>
  <c r="M281" i="17"/>
  <c r="M273" i="17"/>
  <c r="M265" i="17"/>
  <c r="M257" i="17"/>
  <c r="M249" i="17"/>
  <c r="M241" i="17"/>
  <c r="M233" i="17"/>
  <c r="M225" i="17"/>
  <c r="M217" i="17"/>
  <c r="M209" i="17"/>
  <c r="M201" i="17"/>
  <c r="N606" i="17"/>
  <c r="N598" i="17"/>
  <c r="N609" i="17"/>
  <c r="N601" i="17"/>
  <c r="M593" i="17"/>
  <c r="M585" i="17"/>
  <c r="M577" i="17"/>
  <c r="M569" i="17"/>
  <c r="M561" i="17"/>
  <c r="M553" i="17"/>
  <c r="M545" i="17"/>
  <c r="M611" i="17"/>
  <c r="M603" i="17"/>
  <c r="M595" i="17"/>
  <c r="M606" i="17"/>
  <c r="M598" i="17"/>
  <c r="N590" i="17"/>
  <c r="N582" i="17"/>
  <c r="N574" i="17"/>
  <c r="N566" i="17"/>
  <c r="N558" i="17"/>
  <c r="N550" i="17"/>
  <c r="N591" i="17"/>
  <c r="N575" i="17"/>
  <c r="N559" i="17"/>
  <c r="N543" i="17"/>
  <c r="N535" i="17"/>
  <c r="N527" i="17"/>
  <c r="M592" i="17"/>
  <c r="M576" i="17"/>
  <c r="M560" i="17"/>
  <c r="M544" i="17"/>
  <c r="N536" i="17"/>
  <c r="N528" i="17"/>
  <c r="N520" i="17"/>
  <c r="N514" i="17"/>
  <c r="N506" i="17"/>
  <c r="N498" i="17"/>
  <c r="N490" i="17"/>
  <c r="N482" i="17"/>
  <c r="N474" i="17"/>
  <c r="N466" i="17"/>
  <c r="N458" i="17"/>
  <c r="N450" i="17"/>
  <c r="N442" i="17"/>
  <c r="N434" i="17"/>
  <c r="N426" i="17"/>
  <c r="N418" i="17"/>
  <c r="M512" i="17"/>
  <c r="M504" i="17"/>
  <c r="M496" i="17"/>
  <c r="M488" i="17"/>
  <c r="M480" i="17"/>
  <c r="M472" i="17"/>
  <c r="M464" i="17"/>
  <c r="M456" i="17"/>
  <c r="M448" i="17"/>
  <c r="M440" i="17"/>
  <c r="M432" i="17"/>
  <c r="M424" i="17"/>
  <c r="M416" i="17"/>
  <c r="M408" i="17"/>
  <c r="M400" i="17"/>
  <c r="M392" i="17"/>
  <c r="M384" i="17"/>
  <c r="M376" i="17"/>
  <c r="M368" i="17"/>
  <c r="M360" i="17"/>
  <c r="M352" i="17"/>
  <c r="M344" i="17"/>
  <c r="M336" i="17"/>
  <c r="M328" i="17"/>
  <c r="M320" i="17"/>
  <c r="N414" i="17"/>
  <c r="N406" i="17"/>
  <c r="N398" i="17"/>
  <c r="N390" i="17"/>
  <c r="N382" i="17"/>
  <c r="N374" i="17"/>
  <c r="N366" i="17"/>
  <c r="N358" i="17"/>
  <c r="N350" i="17"/>
  <c r="N342" i="17"/>
  <c r="N334" i="17"/>
  <c r="N326" i="17"/>
  <c r="N318" i="17"/>
  <c r="M310" i="17"/>
  <c r="M302" i="17"/>
  <c r="M294" i="17"/>
  <c r="M286" i="17"/>
  <c r="M278" i="17"/>
  <c r="M270" i="17"/>
  <c r="M262" i="17"/>
  <c r="M254" i="17"/>
  <c r="M246" i="17"/>
  <c r="M238" i="17"/>
  <c r="M230" i="17"/>
  <c r="M222" i="17"/>
  <c r="M214" i="17"/>
  <c r="M206" i="17"/>
  <c r="M198" i="17"/>
  <c r="M190" i="17"/>
  <c r="M182" i="17"/>
  <c r="M174" i="17"/>
  <c r="M166" i="17"/>
  <c r="M158" i="17"/>
  <c r="M150" i="17"/>
  <c r="M142" i="17"/>
  <c r="M134" i="17"/>
  <c r="M126" i="17"/>
  <c r="M118" i="17"/>
  <c r="M110" i="17"/>
  <c r="M307" i="17"/>
  <c r="M299" i="17"/>
  <c r="M291" i="17"/>
  <c r="M283" i="17"/>
  <c r="M275" i="17"/>
  <c r="M267" i="17"/>
  <c r="M255" i="17"/>
  <c r="M239" i="17"/>
  <c r="M223" i="17"/>
  <c r="M207" i="17"/>
  <c r="N604" i="17"/>
  <c r="N607" i="17"/>
  <c r="M591" i="17"/>
  <c r="M575" i="17"/>
  <c r="M559" i="17"/>
  <c r="N593" i="17"/>
  <c r="N573" i="17"/>
  <c r="N557" i="17"/>
  <c r="M542" i="17"/>
  <c r="M534" i="17"/>
  <c r="M526" i="17"/>
  <c r="M590" i="17"/>
  <c r="M574" i="17"/>
  <c r="M558" i="17"/>
  <c r="M543" i="17"/>
  <c r="M535" i="17"/>
  <c r="M527" i="17"/>
  <c r="M519" i="17"/>
  <c r="M513" i="17"/>
  <c r="M505" i="17"/>
  <c r="M497" i="17"/>
  <c r="M489" i="17"/>
  <c r="M481" i="17"/>
  <c r="M473" i="17"/>
  <c r="M465" i="17"/>
  <c r="M457" i="17"/>
  <c r="M449" i="17"/>
  <c r="M441" i="17"/>
  <c r="M433" i="17"/>
  <c r="M425" i="17"/>
  <c r="M417" i="17"/>
  <c r="N511" i="17"/>
  <c r="N503" i="17"/>
  <c r="N495" i="17"/>
  <c r="N487" i="17"/>
  <c r="N479" i="17"/>
  <c r="N471" i="17"/>
  <c r="N463" i="17"/>
  <c r="N455" i="17"/>
  <c r="N447" i="17"/>
  <c r="N439" i="17"/>
  <c r="N431" i="17"/>
  <c r="N423" i="17"/>
  <c r="N415" i="17"/>
  <c r="N407" i="17"/>
  <c r="N399" i="17"/>
  <c r="N391" i="17"/>
  <c r="N383" i="17"/>
  <c r="N375" i="17"/>
  <c r="N367" i="17"/>
  <c r="N359" i="17"/>
  <c r="N351" i="17"/>
  <c r="N343" i="17"/>
  <c r="N335" i="17"/>
  <c r="N327" i="17"/>
  <c r="N319" i="17"/>
  <c r="M413" i="17"/>
  <c r="M405" i="17"/>
  <c r="M397" i="17"/>
  <c r="M389" i="17"/>
  <c r="M381" i="17"/>
  <c r="M373" i="17"/>
  <c r="M365" i="17"/>
  <c r="M357" i="17"/>
  <c r="M349" i="17"/>
  <c r="M341" i="17"/>
  <c r="M333" i="17"/>
  <c r="N623" i="17"/>
  <c r="M105" i="17"/>
  <c r="M89" i="17"/>
  <c r="M73" i="17"/>
  <c r="M61" i="17"/>
  <c r="M53" i="17"/>
  <c r="M45" i="17"/>
  <c r="M37" i="17"/>
  <c r="M29" i="17"/>
  <c r="M21" i="17"/>
  <c r="M13" i="17"/>
  <c r="N102" i="17"/>
  <c r="N94" i="17"/>
  <c r="N86" i="17"/>
  <c r="N78" i="17"/>
  <c r="N70" i="17"/>
  <c r="N62" i="17"/>
  <c r="N54" i="17"/>
  <c r="N46" i="17"/>
  <c r="N38" i="17"/>
  <c r="N30" i="17"/>
  <c r="N22" i="17"/>
  <c r="N14" i="17"/>
  <c r="M106" i="17"/>
  <c r="M102" i="17"/>
  <c r="M98" i="17"/>
  <c r="M94" i="17"/>
  <c r="M90" i="17"/>
  <c r="M86" i="17"/>
  <c r="M82" i="17"/>
  <c r="M78" i="17"/>
  <c r="M74" i="17"/>
  <c r="M70" i="17"/>
  <c r="M66" i="17"/>
  <c r="M62" i="17"/>
  <c r="M58" i="17"/>
  <c r="M54" i="17"/>
  <c r="M50" i="17"/>
  <c r="M46" i="17"/>
  <c r="M42" i="17"/>
  <c r="M38" i="17"/>
  <c r="M34" i="17"/>
  <c r="M30" i="17"/>
  <c r="M26" i="17"/>
  <c r="M22" i="17"/>
  <c r="M18" i="17"/>
  <c r="M14" i="17"/>
  <c r="M119" i="17"/>
  <c r="M135" i="17"/>
  <c r="M151" i="17"/>
  <c r="M167" i="17"/>
  <c r="M191" i="17"/>
  <c r="M133" i="17"/>
  <c r="M109" i="17"/>
  <c r="M93" i="17"/>
  <c r="M77" i="17"/>
  <c r="M623" i="17"/>
  <c r="N622" i="17"/>
  <c r="M103" i="17"/>
  <c r="M95" i="17"/>
  <c r="M87" i="17"/>
  <c r="M79" i="17"/>
  <c r="M71" i="17"/>
  <c r="M63" i="17"/>
  <c r="M55" i="17"/>
  <c r="M47" i="17"/>
  <c r="M39" i="17"/>
  <c r="M31" i="17"/>
  <c r="M23" i="17"/>
  <c r="M15" i="17"/>
  <c r="N104" i="17"/>
  <c r="N96" i="17"/>
  <c r="N88" i="17"/>
  <c r="N80" i="17"/>
  <c r="N72" i="17"/>
  <c r="N64" i="17"/>
  <c r="N56" i="17"/>
  <c r="N48" i="17"/>
  <c r="N40" i="17"/>
  <c r="N32" i="17"/>
  <c r="N24" i="17"/>
  <c r="N16" i="17"/>
  <c r="N107" i="17"/>
  <c r="N103" i="17"/>
  <c r="N99" i="17"/>
  <c r="N95" i="17"/>
  <c r="N91" i="17"/>
  <c r="N87" i="17"/>
  <c r="N83" i="17"/>
  <c r="N79" i="17"/>
  <c r="N75" i="17"/>
  <c r="N71" i="17"/>
  <c r="N67" i="17"/>
  <c r="N63" i="17"/>
  <c r="N59" i="17"/>
  <c r="N55" i="17"/>
  <c r="N51" i="17"/>
  <c r="N47" i="17"/>
  <c r="N43" i="17"/>
  <c r="N39" i="17"/>
  <c r="N35" i="17"/>
  <c r="N31" i="17"/>
  <c r="N27" i="17"/>
  <c r="N23" i="17"/>
  <c r="N19" i="17"/>
  <c r="N15" i="17"/>
  <c r="M115" i="17"/>
  <c r="M131" i="17"/>
  <c r="M147" i="17"/>
  <c r="M163" i="17"/>
  <c r="M183" i="17"/>
  <c r="M125" i="17"/>
  <c r="M149" i="17"/>
  <c r="M165" i="17"/>
  <c r="M181" i="17"/>
  <c r="M197" i="17"/>
  <c r="N116" i="17"/>
  <c r="N124" i="17"/>
  <c r="N132" i="17"/>
  <c r="N140" i="17"/>
  <c r="N148" i="17"/>
  <c r="N156" i="17"/>
  <c r="N164" i="17"/>
  <c r="N172" i="17"/>
  <c r="N180" i="17"/>
  <c r="N188" i="17"/>
  <c r="N196" i="17"/>
  <c r="N204" i="17"/>
  <c r="N212" i="17"/>
  <c r="N220" i="17"/>
  <c r="N228" i="17"/>
  <c r="N236" i="17"/>
  <c r="N244" i="17"/>
  <c r="N252" i="17"/>
  <c r="N260" i="17"/>
  <c r="N268" i="17"/>
  <c r="N276" i="17"/>
  <c r="N284" i="17"/>
  <c r="N292" i="17"/>
  <c r="N300" i="17"/>
  <c r="N308" i="17"/>
  <c r="N111" i="17"/>
  <c r="N119" i="17"/>
  <c r="N127" i="17"/>
  <c r="N135" i="17"/>
  <c r="N143" i="17"/>
  <c r="N151" i="17"/>
  <c r="N159" i="17"/>
  <c r="N167" i="17"/>
  <c r="N175" i="17"/>
  <c r="N183" i="17"/>
  <c r="N191" i="17"/>
  <c r="N199" i="17"/>
  <c r="N207" i="17"/>
  <c r="N215" i="17"/>
  <c r="N223" i="17"/>
  <c r="N231" i="17"/>
  <c r="N239" i="17"/>
  <c r="N247" i="17"/>
  <c r="N255" i="17"/>
  <c r="N263" i="17"/>
  <c r="N271" i="17"/>
  <c r="N279" i="17"/>
  <c r="N287" i="17"/>
  <c r="N295" i="17"/>
  <c r="N303" i="17"/>
  <c r="N311" i="17"/>
  <c r="M319" i="17"/>
  <c r="M327" i="17"/>
  <c r="M335" i="17"/>
  <c r="M343" i="17"/>
  <c r="M351" i="17"/>
  <c r="M359" i="17"/>
  <c r="M367" i="17"/>
  <c r="M375" i="17"/>
  <c r="M383" i="17"/>
  <c r="M391" i="17"/>
  <c r="M399" i="17"/>
  <c r="M407" i="17"/>
  <c r="M415" i="17"/>
  <c r="N321" i="17"/>
  <c r="N329" i="17"/>
  <c r="N337" i="17"/>
  <c r="N345" i="17"/>
  <c r="N353" i="17"/>
  <c r="N361" i="17"/>
  <c r="N369" i="17"/>
  <c r="N377" i="17"/>
  <c r="N385" i="17"/>
  <c r="N393" i="17"/>
  <c r="N401" i="17"/>
  <c r="N409" i="17"/>
  <c r="N417" i="17"/>
  <c r="N425" i="17"/>
  <c r="N433" i="17"/>
  <c r="N441" i="17"/>
  <c r="N449" i="17"/>
  <c r="N457" i="17"/>
  <c r="N465" i="17"/>
  <c r="N473" i="17"/>
  <c r="N481" i="17"/>
  <c r="N489" i="17"/>
  <c r="N497" i="17"/>
  <c r="N505" i="17"/>
  <c r="N513" i="17"/>
  <c r="M419" i="17"/>
  <c r="M427" i="17"/>
  <c r="M435" i="17"/>
  <c r="M443" i="17"/>
  <c r="M451" i="17"/>
  <c r="M459" i="17"/>
  <c r="M467" i="17"/>
  <c r="M475" i="17"/>
  <c r="M483" i="17"/>
  <c r="M491" i="17"/>
  <c r="M499" i="17"/>
  <c r="M507" i="17"/>
  <c r="M515" i="17"/>
  <c r="M521" i="17"/>
  <c r="M529" i="17"/>
  <c r="M537" i="17"/>
  <c r="M546" i="17"/>
  <c r="M562" i="17"/>
  <c r="M578" i="17"/>
  <c r="M594" i="17"/>
  <c r="M528" i="17"/>
  <c r="M536" i="17"/>
  <c r="N545" i="17"/>
  <c r="N561" i="17"/>
  <c r="N577" i="17"/>
  <c r="M547" i="17"/>
  <c r="M563" i="17"/>
  <c r="M579" i="17"/>
  <c r="N595" i="17"/>
  <c r="N611" i="17"/>
  <c r="N608" i="17"/>
  <c r="M211" i="17"/>
  <c r="M227" i="17"/>
  <c r="M243" i="17"/>
  <c r="M259" i="17"/>
  <c r="M187" i="17"/>
  <c r="M113" i="17"/>
  <c r="M129" i="17"/>
  <c r="M145" i="17"/>
  <c r="M161" i="17"/>
  <c r="M177" i="17"/>
  <c r="M193" i="17"/>
  <c r="N114" i="17"/>
  <c r="N122" i="17"/>
  <c r="N130" i="17"/>
  <c r="N138" i="17"/>
  <c r="N146" i="17"/>
  <c r="N154" i="17"/>
  <c r="N162" i="17"/>
  <c r="N170" i="17"/>
  <c r="N178" i="17"/>
  <c r="N186" i="17"/>
  <c r="N194" i="17"/>
  <c r="N202" i="17"/>
  <c r="N210" i="17"/>
  <c r="N218" i="17"/>
  <c r="N226" i="17"/>
  <c r="N234" i="17"/>
  <c r="N242" i="17"/>
  <c r="N250" i="17"/>
  <c r="N258" i="17"/>
  <c r="N266" i="17"/>
  <c r="N274" i="17"/>
  <c r="N282" i="17"/>
  <c r="N290" i="17"/>
  <c r="N298" i="17"/>
  <c r="N306" i="17"/>
  <c r="N314" i="17"/>
  <c r="N117" i="17"/>
  <c r="N125" i="17"/>
  <c r="N133" i="17"/>
  <c r="N141" i="17"/>
  <c r="N149" i="17"/>
  <c r="N157" i="17"/>
  <c r="N165" i="17"/>
  <c r="N173" i="17"/>
  <c r="N181" i="17"/>
  <c r="N189" i="17"/>
  <c r="N197" i="17"/>
  <c r="N205" i="17"/>
  <c r="N213" i="17"/>
  <c r="N221" i="17"/>
  <c r="N229" i="17"/>
  <c r="N237" i="17"/>
  <c r="N245" i="17"/>
  <c r="N253" i="17"/>
  <c r="N261" i="17"/>
  <c r="N269" i="17"/>
  <c r="N277" i="17"/>
  <c r="N285" i="17"/>
  <c r="N293" i="17"/>
  <c r="N301" i="17"/>
  <c r="N309" i="17"/>
  <c r="M317" i="17"/>
  <c r="M325" i="17"/>
  <c r="M337" i="17"/>
  <c r="M353" i="17"/>
  <c r="M369" i="17"/>
  <c r="M385" i="17"/>
  <c r="M401" i="17"/>
  <c r="N315" i="17"/>
  <c r="N331" i="17"/>
  <c r="N347" i="17"/>
  <c r="N363" i="17"/>
  <c r="N379" i="17"/>
  <c r="N395" i="17"/>
  <c r="N411" i="17"/>
  <c r="N427" i="17"/>
  <c r="N443" i="17"/>
  <c r="N459" i="17"/>
  <c r="N475" i="17"/>
  <c r="N491" i="17"/>
  <c r="N507" i="17"/>
  <c r="M421" i="17"/>
  <c r="M437" i="17"/>
  <c r="M453" i="17"/>
  <c r="M469" i="17"/>
  <c r="M485" i="17"/>
  <c r="M501" i="17"/>
  <c r="M517" i="17"/>
  <c r="M531" i="17"/>
  <c r="M550" i="17"/>
  <c r="M582" i="17"/>
  <c r="M530" i="17"/>
  <c r="N549" i="17"/>
  <c r="N581" i="17"/>
  <c r="M567" i="17"/>
  <c r="N599" i="17"/>
  <c r="N612" i="17"/>
  <c r="M231" i="17"/>
  <c r="M263" i="17"/>
  <c r="M279" i="17"/>
  <c r="M295" i="17"/>
  <c r="M311" i="17"/>
  <c r="M122" i="17"/>
  <c r="M138" i="17"/>
  <c r="M154" i="17"/>
  <c r="M170" i="17"/>
  <c r="M186" i="17"/>
  <c r="M202" i="17"/>
  <c r="M218" i="17"/>
  <c r="M234" i="17"/>
  <c r="M250" i="17"/>
  <c r="M266" i="17"/>
  <c r="M282" i="17"/>
  <c r="M298" i="17"/>
  <c r="M314" i="17"/>
  <c r="N330" i="17"/>
  <c r="N346" i="17"/>
  <c r="N362" i="17"/>
  <c r="N378" i="17"/>
  <c r="N394" i="17"/>
  <c r="N410" i="17"/>
  <c r="M324" i="17"/>
  <c r="M340" i="17"/>
  <c r="M356" i="17"/>
  <c r="M372" i="17"/>
  <c r="M388" i="17"/>
  <c r="M404" i="17"/>
  <c r="M420" i="17"/>
  <c r="M436" i="17"/>
  <c r="M452" i="17"/>
  <c r="M468" i="17"/>
  <c r="M484" i="17"/>
  <c r="M500" i="17"/>
  <c r="M516" i="17"/>
  <c r="N430" i="17"/>
  <c r="N446" i="17"/>
  <c r="N462" i="17"/>
  <c r="N478" i="17"/>
  <c r="N494" i="17"/>
  <c r="N510" i="17"/>
  <c r="N524" i="17"/>
  <c r="N540" i="17"/>
  <c r="M568" i="17"/>
  <c r="N523" i="17"/>
  <c r="N539" i="17"/>
  <c r="N567" i="17"/>
  <c r="N546" i="17"/>
  <c r="N562" i="17"/>
  <c r="N578" i="17"/>
  <c r="N594" i="17"/>
  <c r="M610" i="17"/>
  <c r="M607" i="17"/>
  <c r="M549" i="17"/>
  <c r="M565" i="17"/>
  <c r="M581" i="17"/>
  <c r="N597" i="17"/>
  <c r="N613" i="17"/>
  <c r="N610" i="17"/>
  <c r="M213" i="17"/>
  <c r="M229" i="17"/>
  <c r="M245" i="17"/>
  <c r="M261" i="17"/>
  <c r="M277" i="17"/>
  <c r="M293" i="17"/>
  <c r="M309" i="17"/>
  <c r="M120" i="17"/>
  <c r="M136" i="17"/>
  <c r="M152" i="17"/>
  <c r="M184" i="17"/>
  <c r="M216" i="17"/>
  <c r="M248" i="17"/>
  <c r="M280" i="17"/>
  <c r="M312" i="17"/>
  <c r="N344" i="17"/>
  <c r="N376" i="17"/>
  <c r="N408" i="17"/>
  <c r="M338" i="17"/>
  <c r="M370" i="17"/>
  <c r="M402" i="17"/>
  <c r="M434" i="17"/>
  <c r="M466" i="17"/>
  <c r="M498" i="17"/>
  <c r="N428" i="17"/>
  <c r="N460" i="17"/>
  <c r="N492" i="17"/>
  <c r="N522" i="17"/>
  <c r="M564" i="17"/>
  <c r="N537" i="17"/>
  <c r="N544" i="17"/>
  <c r="N576" i="17"/>
  <c r="M608" i="17"/>
  <c r="M605" i="17"/>
  <c r="M156" i="17"/>
  <c r="M164" i="17"/>
  <c r="M172" i="17"/>
  <c r="M180" i="17"/>
  <c r="M188" i="17"/>
  <c r="M196" i="17"/>
  <c r="M204" i="17"/>
  <c r="M212" i="17"/>
  <c r="M220" i="17"/>
  <c r="M228" i="17"/>
  <c r="M236" i="17"/>
  <c r="M244" i="17"/>
  <c r="M252" i="17"/>
  <c r="M260" i="17"/>
  <c r="M268" i="17"/>
  <c r="M276" i="17"/>
  <c r="M284" i="17"/>
  <c r="M292" i="17"/>
  <c r="M300" i="17"/>
  <c r="M308" i="17"/>
  <c r="N316" i="17"/>
  <c r="N324" i="17"/>
  <c r="N332" i="17"/>
  <c r="N340" i="17"/>
  <c r="N348" i="17"/>
  <c r="N356" i="17"/>
  <c r="N364" i="17"/>
  <c r="N372" i="17"/>
  <c r="N380" i="17"/>
  <c r="N388" i="17"/>
  <c r="N396" i="17"/>
  <c r="N404" i="17"/>
  <c r="N412" i="17"/>
  <c r="M318" i="17"/>
  <c r="M326" i="17"/>
  <c r="M334" i="17"/>
  <c r="M342" i="17"/>
  <c r="M350" i="17"/>
  <c r="M358" i="17"/>
  <c r="M366" i="17"/>
  <c r="M374" i="17"/>
  <c r="M382" i="17"/>
  <c r="M390" i="17"/>
  <c r="M398" i="17"/>
  <c r="M406" i="17"/>
  <c r="M414" i="17"/>
  <c r="M422" i="17"/>
  <c r="M430" i="17"/>
  <c r="M438" i="17"/>
  <c r="M446" i="17"/>
  <c r="M454" i="17"/>
  <c r="M462" i="17"/>
  <c r="M470" i="17"/>
  <c r="M478" i="17"/>
  <c r="M486" i="17"/>
  <c r="M494" i="17"/>
  <c r="M502" i="17"/>
  <c r="M510" i="17"/>
  <c r="N519" i="17"/>
  <c r="N424" i="17"/>
  <c r="N432" i="17"/>
  <c r="N440" i="17"/>
  <c r="N448" i="17"/>
  <c r="N456" i="17"/>
  <c r="N464" i="17"/>
  <c r="N472" i="17"/>
  <c r="N480" i="17"/>
  <c r="N488" i="17"/>
  <c r="N496" i="17"/>
  <c r="N504" i="17"/>
  <c r="N512" i="17"/>
  <c r="N518" i="17"/>
  <c r="N526" i="17"/>
  <c r="N534" i="17"/>
  <c r="N542" i="17"/>
  <c r="M556" i="17"/>
  <c r="M572" i="17"/>
  <c r="M588" i="17"/>
  <c r="N525" i="17"/>
  <c r="N533" i="17"/>
  <c r="N541" i="17"/>
  <c r="N555" i="17"/>
  <c r="N571" i="17"/>
  <c r="N587" i="17"/>
  <c r="N548" i="17"/>
  <c r="N556" i="17"/>
  <c r="N564" i="17"/>
  <c r="N572" i="17"/>
  <c r="N580" i="17"/>
  <c r="N588" i="17"/>
  <c r="M596" i="17"/>
  <c r="M604" i="17"/>
  <c r="M612" i="17"/>
  <c r="M601" i="17"/>
  <c r="M609" i="17"/>
  <c r="AE73" i="28" l="1"/>
  <c r="AD73" i="28"/>
  <c r="AE189" i="28"/>
  <c r="AD189" i="28"/>
  <c r="AD261" i="28"/>
  <c r="AE261" i="28"/>
  <c r="AD86" i="28"/>
  <c r="AE86" i="28"/>
  <c r="AD177" i="28"/>
  <c r="AE177" i="28"/>
  <c r="AD143" i="28"/>
  <c r="AE143" i="28"/>
  <c r="AD339" i="28"/>
  <c r="AE339" i="28"/>
  <c r="AE316" i="28"/>
  <c r="AD316" i="28"/>
  <c r="AE578" i="28"/>
  <c r="AD578" i="28"/>
  <c r="AE506" i="28"/>
  <c r="AD506" i="28"/>
  <c r="AD553" i="28"/>
  <c r="AE553" i="28"/>
  <c r="AD517" i="28"/>
  <c r="AE517" i="28"/>
  <c r="AE507" i="28"/>
  <c r="AD507" i="28"/>
  <c r="AB20" i="28"/>
  <c r="AA20" i="28"/>
  <c r="AA45" i="28"/>
  <c r="AB45" i="28"/>
  <c r="AF25" i="28"/>
  <c r="AB25" i="28"/>
  <c r="AA25" i="28"/>
  <c r="AB254" i="28"/>
  <c r="AA254" i="28"/>
  <c r="AB372" i="28"/>
  <c r="AA372" i="28"/>
  <c r="AB286" i="28"/>
  <c r="AA286" i="28"/>
  <c r="AB205" i="28"/>
  <c r="AA205" i="28"/>
  <c r="AA271" i="28"/>
  <c r="AB271" i="28"/>
  <c r="AA298" i="28"/>
  <c r="AB298" i="28"/>
  <c r="AB360" i="28"/>
  <c r="AA360" i="28"/>
  <c r="AB476" i="28"/>
  <c r="AA476" i="28"/>
  <c r="AB504" i="28"/>
  <c r="AA504" i="28"/>
  <c r="AB550" i="28"/>
  <c r="AA550" i="28"/>
  <c r="AF623" i="28"/>
  <c r="X623" i="28"/>
  <c r="Y623" i="28"/>
  <c r="X32" i="28"/>
  <c r="Y32" i="28"/>
  <c r="AF32" i="28"/>
  <c r="Y94" i="28"/>
  <c r="X94" i="28"/>
  <c r="AF94" i="28"/>
  <c r="X169" i="28"/>
  <c r="Y169" i="28"/>
  <c r="Y111" i="28"/>
  <c r="AF111" i="28"/>
  <c r="X111" i="28"/>
  <c r="Y194" i="28"/>
  <c r="X194" i="28"/>
  <c r="AF194" i="28"/>
  <c r="Y112" i="28"/>
  <c r="AF112" i="28"/>
  <c r="X112" i="28"/>
  <c r="Y380" i="28"/>
  <c r="AF380" i="28"/>
  <c r="X380" i="28"/>
  <c r="Y472" i="28"/>
  <c r="AF472" i="28"/>
  <c r="X472" i="28"/>
  <c r="X299" i="28"/>
  <c r="Y299" i="28"/>
  <c r="AF299" i="28"/>
  <c r="Y447" i="28"/>
  <c r="X447" i="28"/>
  <c r="AF447" i="28"/>
  <c r="Y594" i="28"/>
  <c r="AF594" i="28"/>
  <c r="X594" i="28"/>
  <c r="Y566" i="28"/>
  <c r="X566" i="28"/>
  <c r="AF566" i="28"/>
  <c r="AF610" i="28"/>
  <c r="X610" i="28"/>
  <c r="Y610" i="28"/>
  <c r="AE20" i="28"/>
  <c r="AD20" i="28"/>
  <c r="AE253" i="28"/>
  <c r="AD253" i="28"/>
  <c r="AD321" i="28"/>
  <c r="AE321" i="28"/>
  <c r="AE94" i="28"/>
  <c r="AD94" i="28"/>
  <c r="AE185" i="28"/>
  <c r="AD185" i="28"/>
  <c r="AE151" i="28"/>
  <c r="AD151" i="28"/>
  <c r="AE265" i="28"/>
  <c r="AD265" i="28"/>
  <c r="AD575" i="28"/>
  <c r="AE575" i="28"/>
  <c r="AE266" i="28"/>
  <c r="AD266" i="28"/>
  <c r="AE538" i="28"/>
  <c r="AD538" i="28"/>
  <c r="AE497" i="28"/>
  <c r="AD497" i="28"/>
  <c r="AE525" i="28"/>
  <c r="AD525" i="28"/>
  <c r="AE579" i="28"/>
  <c r="AD579" i="28"/>
  <c r="AB96" i="28"/>
  <c r="AA96" i="28"/>
  <c r="AB53" i="28"/>
  <c r="AA53" i="28"/>
  <c r="AB80" i="28"/>
  <c r="AA80" i="28"/>
  <c r="AB198" i="28"/>
  <c r="AA198" i="28"/>
  <c r="AA140" i="28"/>
  <c r="AB140" i="28"/>
  <c r="AA292" i="28"/>
  <c r="AB292" i="28"/>
  <c r="AB213" i="28"/>
  <c r="AA213" i="28"/>
  <c r="AB434" i="28"/>
  <c r="AA434" i="28"/>
  <c r="AB306" i="28"/>
  <c r="AA306" i="28"/>
  <c r="AA304" i="28"/>
  <c r="AB304" i="28"/>
  <c r="AB315" i="28"/>
  <c r="AA315" i="28"/>
  <c r="AA455" i="28"/>
  <c r="AB455" i="28"/>
  <c r="AB512" i="28"/>
  <c r="AA512" i="28"/>
  <c r="AB531" i="28"/>
  <c r="AA531" i="28"/>
  <c r="AB449" i="28"/>
  <c r="AA449" i="28"/>
  <c r="Y82" i="28"/>
  <c r="AF82" i="28"/>
  <c r="X82" i="28"/>
  <c r="Y91" i="28"/>
  <c r="AF91" i="28"/>
  <c r="X91" i="28"/>
  <c r="Y211" i="28"/>
  <c r="AF211" i="28"/>
  <c r="X211" i="28"/>
  <c r="X60" i="28"/>
  <c r="AF60" i="28"/>
  <c r="Y60" i="28"/>
  <c r="X113" i="28"/>
  <c r="Y113" i="28"/>
  <c r="AF113" i="28"/>
  <c r="AF84" i="28"/>
  <c r="X84" i="28"/>
  <c r="Y84" i="28"/>
  <c r="Y202" i="28"/>
  <c r="X202" i="28"/>
  <c r="AF202" i="28"/>
  <c r="Y165" i="28"/>
  <c r="X165" i="28"/>
  <c r="AF165" i="28"/>
  <c r="Y184" i="28"/>
  <c r="AF184" i="28"/>
  <c r="X184" i="28"/>
  <c r="Y424" i="28"/>
  <c r="AF424" i="28"/>
  <c r="X424" i="28"/>
  <c r="X525" i="28"/>
  <c r="Y525" i="28"/>
  <c r="AF525" i="28"/>
  <c r="Y296" i="28"/>
  <c r="AF296" i="28"/>
  <c r="X296" i="28"/>
  <c r="Y307" i="28"/>
  <c r="AF307" i="28"/>
  <c r="X307" i="28"/>
  <c r="Y366" i="28"/>
  <c r="AF366" i="28"/>
  <c r="X366" i="28"/>
  <c r="Y519" i="28"/>
  <c r="AF519" i="28"/>
  <c r="X519" i="28"/>
  <c r="X538" i="28"/>
  <c r="AF538" i="28"/>
  <c r="Y538" i="28"/>
  <c r="Y446" i="28"/>
  <c r="AF446" i="28"/>
  <c r="X446" i="28"/>
  <c r="Y529" i="28"/>
  <c r="AF529" i="28"/>
  <c r="X529" i="28"/>
  <c r="Y492" i="28"/>
  <c r="X492" i="28"/>
  <c r="AF492" i="28"/>
  <c r="X13" i="17"/>
  <c r="Y13" i="17" s="1"/>
  <c r="AE628" i="28"/>
  <c r="AD628" i="28"/>
  <c r="AD625" i="28"/>
  <c r="AE625" i="28"/>
  <c r="AE221" i="28"/>
  <c r="AD221" i="28"/>
  <c r="AD28" i="28"/>
  <c r="AE28" i="28"/>
  <c r="AE245" i="28"/>
  <c r="AD245" i="28"/>
  <c r="AE63" i="28"/>
  <c r="AD63" i="28"/>
  <c r="AD34" i="28"/>
  <c r="AE34" i="28"/>
  <c r="AD112" i="28"/>
  <c r="AE112" i="28"/>
  <c r="AD53" i="28"/>
  <c r="AE53" i="28"/>
  <c r="AD16" i="28"/>
  <c r="AE16" i="28"/>
  <c r="AD93" i="28"/>
  <c r="AE93" i="28"/>
  <c r="AD43" i="28"/>
  <c r="AE43" i="28"/>
  <c r="AE586" i="28"/>
  <c r="AD586" i="28"/>
  <c r="AE70" i="28"/>
  <c r="AD70" i="28"/>
  <c r="AE120" i="28"/>
  <c r="AD120" i="28"/>
  <c r="AD184" i="28"/>
  <c r="AE184" i="28"/>
  <c r="AE248" i="28"/>
  <c r="AD248" i="28"/>
  <c r="AD75" i="28"/>
  <c r="AE75" i="28"/>
  <c r="AE139" i="28"/>
  <c r="AD139" i="28"/>
  <c r="AD203" i="28"/>
  <c r="AE203" i="28"/>
  <c r="AD283" i="28"/>
  <c r="AE283" i="28"/>
  <c r="AE102" i="28"/>
  <c r="AD102" i="28"/>
  <c r="AE166" i="28"/>
  <c r="AD166" i="28"/>
  <c r="AF230" i="28"/>
  <c r="AD230" i="28"/>
  <c r="AE230" i="28"/>
  <c r="AE393" i="28"/>
  <c r="AD393" i="28"/>
  <c r="AE129" i="28"/>
  <c r="AD129" i="28"/>
  <c r="AE193" i="28"/>
  <c r="AD193" i="28"/>
  <c r="AD257" i="28"/>
  <c r="AE257" i="28"/>
  <c r="AE132" i="28"/>
  <c r="AD132" i="28"/>
  <c r="AE196" i="28"/>
  <c r="AD196" i="28"/>
  <c r="AE260" i="28"/>
  <c r="AD260" i="28"/>
  <c r="AE95" i="28"/>
  <c r="AD95" i="28"/>
  <c r="AE159" i="28"/>
  <c r="AD159" i="28"/>
  <c r="AD223" i="28"/>
  <c r="AE223" i="28"/>
  <c r="AD82" i="28"/>
  <c r="AE82" i="28"/>
  <c r="AD146" i="28"/>
  <c r="AE146" i="28"/>
  <c r="AE210" i="28"/>
  <c r="AD210" i="28"/>
  <c r="AE294" i="28"/>
  <c r="AD294" i="28"/>
  <c r="AE355" i="28"/>
  <c r="AD355" i="28"/>
  <c r="AD498" i="28"/>
  <c r="AE498" i="28"/>
  <c r="AE350" i="28"/>
  <c r="AD350" i="28"/>
  <c r="AD424" i="28"/>
  <c r="AE424" i="28"/>
  <c r="AD268" i="28"/>
  <c r="AE268" i="28"/>
  <c r="AD332" i="28"/>
  <c r="AE332" i="28"/>
  <c r="AD396" i="28"/>
  <c r="AE396" i="28"/>
  <c r="AE599" i="28"/>
  <c r="AD599" i="28"/>
  <c r="AD319" i="28"/>
  <c r="AE319" i="28"/>
  <c r="AE383" i="28"/>
  <c r="AD383" i="28"/>
  <c r="AD428" i="28"/>
  <c r="AE428" i="28"/>
  <c r="AE274" i="28"/>
  <c r="AD274" i="28"/>
  <c r="AD338" i="28"/>
  <c r="AE338" i="28"/>
  <c r="AE402" i="28"/>
  <c r="AD402" i="28"/>
  <c r="AE605" i="28"/>
  <c r="AD605" i="28"/>
  <c r="AE325" i="28"/>
  <c r="AD325" i="28"/>
  <c r="AE389" i="28"/>
  <c r="AD389" i="28"/>
  <c r="AE570" i="28"/>
  <c r="AD570" i="28"/>
  <c r="AD320" i="28"/>
  <c r="AE320" i="28"/>
  <c r="AD384" i="28"/>
  <c r="AE384" i="28"/>
  <c r="AE423" i="28"/>
  <c r="AD423" i="28"/>
  <c r="AE441" i="28"/>
  <c r="AD441" i="28"/>
  <c r="AE505" i="28"/>
  <c r="AD505" i="28"/>
  <c r="AE569" i="28"/>
  <c r="AD569" i="28"/>
  <c r="AE468" i="28"/>
  <c r="AD468" i="28"/>
  <c r="AE532" i="28"/>
  <c r="AD532" i="28"/>
  <c r="AD596" i="28"/>
  <c r="AE596" i="28"/>
  <c r="AE469" i="28"/>
  <c r="AD469" i="28"/>
  <c r="AE533" i="28"/>
  <c r="AD533" i="28"/>
  <c r="AD597" i="28"/>
  <c r="AE597" i="28"/>
  <c r="AE496" i="28"/>
  <c r="AD496" i="28"/>
  <c r="AE560" i="28"/>
  <c r="AD560" i="28"/>
  <c r="AD459" i="28"/>
  <c r="AE459" i="28"/>
  <c r="AE523" i="28"/>
  <c r="AD523" i="28"/>
  <c r="AE587" i="28"/>
  <c r="AD587" i="28"/>
  <c r="AE486" i="28"/>
  <c r="AD486" i="28"/>
  <c r="AD550" i="28"/>
  <c r="AE550" i="28"/>
  <c r="AD604" i="28"/>
  <c r="AE604" i="28"/>
  <c r="AD601" i="28"/>
  <c r="AE601" i="28"/>
  <c r="AB625" i="28"/>
  <c r="AA625" i="28"/>
  <c r="AB44" i="28"/>
  <c r="AA44" i="28"/>
  <c r="AB23" i="28"/>
  <c r="AA23" i="28"/>
  <c r="AA111" i="28"/>
  <c r="AB111" i="28"/>
  <c r="AA50" i="28"/>
  <c r="AB50" i="28"/>
  <c r="AB184" i="28"/>
  <c r="AA184" i="28"/>
  <c r="AA61" i="28"/>
  <c r="AB61" i="28"/>
  <c r="AA40" i="28"/>
  <c r="AB40" i="28"/>
  <c r="AB431" i="28"/>
  <c r="AA431" i="28"/>
  <c r="AB75" i="28"/>
  <c r="AA75" i="28"/>
  <c r="AB22" i="28"/>
  <c r="AA22" i="28"/>
  <c r="AB87" i="28"/>
  <c r="AA87" i="28"/>
  <c r="AA41" i="28"/>
  <c r="AB41" i="28"/>
  <c r="AB176" i="28"/>
  <c r="AA176" i="28"/>
  <c r="AA171" i="28"/>
  <c r="AB171" i="28"/>
  <c r="AB235" i="28"/>
  <c r="AA235" i="28"/>
  <c r="AB78" i="28"/>
  <c r="AA78" i="28"/>
  <c r="AB142" i="28"/>
  <c r="AA142" i="28"/>
  <c r="AB206" i="28"/>
  <c r="AA206" i="28"/>
  <c r="AB268" i="28"/>
  <c r="AA268" i="28"/>
  <c r="AA113" i="28"/>
  <c r="AB113" i="28"/>
  <c r="AF177" i="28"/>
  <c r="AA177" i="28"/>
  <c r="AB177" i="28"/>
  <c r="AF241" i="28"/>
  <c r="AB241" i="28"/>
  <c r="AA241" i="28"/>
  <c r="AB84" i="28"/>
  <c r="AA84" i="28"/>
  <c r="AB148" i="28"/>
  <c r="AA148" i="28"/>
  <c r="AA212" i="28"/>
  <c r="AB212" i="28"/>
  <c r="AB284" i="28"/>
  <c r="AA284" i="28"/>
  <c r="AA151" i="28"/>
  <c r="AB151" i="28"/>
  <c r="AA215" i="28"/>
  <c r="AB215" i="28"/>
  <c r="AB356" i="28"/>
  <c r="AA356" i="28"/>
  <c r="AB130" i="28"/>
  <c r="AA130" i="28"/>
  <c r="AA194" i="28"/>
  <c r="AB194" i="28"/>
  <c r="AB258" i="28"/>
  <c r="AA258" i="28"/>
  <c r="AB93" i="28"/>
  <c r="AA93" i="28"/>
  <c r="AB157" i="28"/>
  <c r="AA157" i="28"/>
  <c r="AB221" i="28"/>
  <c r="AA221" i="28"/>
  <c r="AB308" i="28"/>
  <c r="AA308" i="28"/>
  <c r="AA358" i="28"/>
  <c r="AB358" i="28"/>
  <c r="AB430" i="28"/>
  <c r="AA430" i="28"/>
  <c r="AA329" i="28"/>
  <c r="AB329" i="28"/>
  <c r="AB393" i="28"/>
  <c r="AA393" i="28"/>
  <c r="AA458" i="28"/>
  <c r="AB458" i="28"/>
  <c r="AB287" i="28"/>
  <c r="AA287" i="28"/>
  <c r="AB351" i="28"/>
  <c r="AA351" i="28"/>
  <c r="AA419" i="28"/>
  <c r="AB419" i="28"/>
  <c r="AB546" i="28"/>
  <c r="AA546" i="28"/>
  <c r="AB314" i="28"/>
  <c r="AA314" i="28"/>
  <c r="AB378" i="28"/>
  <c r="AA378" i="28"/>
  <c r="AB525" i="28"/>
  <c r="AA525" i="28"/>
  <c r="AB309" i="28"/>
  <c r="AA309" i="28"/>
  <c r="AB373" i="28"/>
  <c r="AA373" i="28"/>
  <c r="AB538" i="28"/>
  <c r="AA538" i="28"/>
  <c r="AB312" i="28"/>
  <c r="AA312" i="28"/>
  <c r="AB376" i="28"/>
  <c r="AA376" i="28"/>
  <c r="AB420" i="28"/>
  <c r="AA420" i="28"/>
  <c r="AB581" i="28"/>
  <c r="AA581" i="28"/>
  <c r="AB323" i="28"/>
  <c r="AA323" i="28"/>
  <c r="AB387" i="28"/>
  <c r="AA387" i="28"/>
  <c r="AA594" i="28"/>
  <c r="AB594" i="28"/>
  <c r="AB492" i="28"/>
  <c r="AA492" i="28"/>
  <c r="AB556" i="28"/>
  <c r="AA556" i="28"/>
  <c r="AB463" i="28"/>
  <c r="AA463" i="28"/>
  <c r="AB527" i="28"/>
  <c r="AA527" i="28"/>
  <c r="AB591" i="28"/>
  <c r="AA591" i="28"/>
  <c r="AA456" i="28"/>
  <c r="AB456" i="28"/>
  <c r="AB520" i="28"/>
  <c r="AA520" i="28"/>
  <c r="AA584" i="28"/>
  <c r="AB584" i="28"/>
  <c r="AB475" i="28"/>
  <c r="AA475" i="28"/>
  <c r="AB539" i="28"/>
  <c r="AA539" i="28"/>
  <c r="AB438" i="28"/>
  <c r="AA438" i="28"/>
  <c r="AB502" i="28"/>
  <c r="AA502" i="28"/>
  <c r="AB566" i="28"/>
  <c r="AA566" i="28"/>
  <c r="AB457" i="28"/>
  <c r="AA457" i="28"/>
  <c r="AA521" i="28"/>
  <c r="AB521" i="28"/>
  <c r="AA585" i="28"/>
  <c r="AB585" i="28"/>
  <c r="AB601" i="28"/>
  <c r="AA601" i="28"/>
  <c r="Y629" i="28"/>
  <c r="X629" i="28"/>
  <c r="AF629" i="28"/>
  <c r="Y179" i="28"/>
  <c r="AF179" i="28"/>
  <c r="X179" i="28"/>
  <c r="Y343" i="28"/>
  <c r="X343" i="28"/>
  <c r="AF343" i="28"/>
  <c r="Y66" i="28"/>
  <c r="X66" i="28"/>
  <c r="AF66" i="28"/>
  <c r="Y21" i="28"/>
  <c r="X21" i="28"/>
  <c r="AF21" i="28"/>
  <c r="X98" i="28"/>
  <c r="Y98" i="28"/>
  <c r="AF98" i="28"/>
  <c r="Y48" i="28"/>
  <c r="AF48" i="28"/>
  <c r="X48" i="28"/>
  <c r="Y251" i="28"/>
  <c r="X251" i="28"/>
  <c r="AF251" i="28"/>
  <c r="Y59" i="28"/>
  <c r="AF59" i="28"/>
  <c r="X59" i="28"/>
  <c r="Y295" i="28"/>
  <c r="AF295" i="28"/>
  <c r="X295" i="28"/>
  <c r="Y70" i="28"/>
  <c r="X70" i="28"/>
  <c r="AF70" i="28"/>
  <c r="Y41" i="28"/>
  <c r="X41" i="28"/>
  <c r="AF41" i="28"/>
  <c r="Y195" i="28"/>
  <c r="X195" i="28"/>
  <c r="AF195" i="28"/>
  <c r="AF68" i="28"/>
  <c r="Y68" i="28"/>
  <c r="X68" i="28"/>
  <c r="AF158" i="28"/>
  <c r="X158" i="28"/>
  <c r="Y158" i="28"/>
  <c r="X222" i="28"/>
  <c r="Y222" i="28"/>
  <c r="Y303" i="28"/>
  <c r="AF303" i="28"/>
  <c r="X303" i="28"/>
  <c r="Y121" i="28"/>
  <c r="AF121" i="28"/>
  <c r="X121" i="28"/>
  <c r="X185" i="28"/>
  <c r="Y185" i="28"/>
  <c r="AF185" i="28"/>
  <c r="X249" i="28"/>
  <c r="Y249" i="28"/>
  <c r="AF249" i="28"/>
  <c r="X92" i="28"/>
  <c r="AF92" i="28"/>
  <c r="Y92" i="28"/>
  <c r="Y156" i="28"/>
  <c r="X156" i="28"/>
  <c r="AF156" i="28"/>
  <c r="Y220" i="28"/>
  <c r="X220" i="28"/>
  <c r="AF220" i="28"/>
  <c r="Y351" i="28"/>
  <c r="X351" i="28"/>
  <c r="AF351" i="28"/>
  <c r="Y127" i="28"/>
  <c r="AF127" i="28"/>
  <c r="X127" i="28"/>
  <c r="Y191" i="28"/>
  <c r="AF191" i="28"/>
  <c r="X191" i="28"/>
  <c r="AF255" i="28"/>
  <c r="Y255" i="28"/>
  <c r="X255" i="28"/>
  <c r="Y146" i="28"/>
  <c r="X146" i="28"/>
  <c r="AF146" i="28"/>
  <c r="AF210" i="28"/>
  <c r="Y210" i="28"/>
  <c r="X210" i="28"/>
  <c r="Y271" i="28"/>
  <c r="AF271" i="28"/>
  <c r="X271" i="28"/>
  <c r="X109" i="28"/>
  <c r="Y109" i="28"/>
  <c r="AF109" i="28"/>
  <c r="X173" i="28"/>
  <c r="AF173" i="28"/>
  <c r="Y173" i="28"/>
  <c r="Y237" i="28"/>
  <c r="AF237" i="28"/>
  <c r="X237" i="28"/>
  <c r="Y425" i="28"/>
  <c r="AF425" i="28"/>
  <c r="X425" i="28"/>
  <c r="Y128" i="28"/>
  <c r="X128" i="28"/>
  <c r="AF128" i="28"/>
  <c r="Y192" i="28"/>
  <c r="AF192" i="28"/>
  <c r="X192" i="28"/>
  <c r="Y256" i="28"/>
  <c r="AF256" i="28"/>
  <c r="X256" i="28"/>
  <c r="AF329" i="28"/>
  <c r="Y329" i="28"/>
  <c r="X329" i="28"/>
  <c r="AF393" i="28"/>
  <c r="X393" i="28"/>
  <c r="Y393" i="28"/>
  <c r="AF434" i="28"/>
  <c r="X434" i="28"/>
  <c r="Y434" i="28"/>
  <c r="X332" i="28"/>
  <c r="Y332" i="28"/>
  <c r="AF332" i="28"/>
  <c r="Y396" i="28"/>
  <c r="AF396" i="28"/>
  <c r="X396" i="28"/>
  <c r="Y266" i="28"/>
  <c r="X266" i="28"/>
  <c r="AF266" i="28"/>
  <c r="Y330" i="28"/>
  <c r="X330" i="28"/>
  <c r="AF330" i="28"/>
  <c r="AF394" i="28"/>
  <c r="Y394" i="28"/>
  <c r="X394" i="28"/>
  <c r="Y557" i="28"/>
  <c r="AF557" i="28"/>
  <c r="X557" i="28"/>
  <c r="Y317" i="28"/>
  <c r="X317" i="28"/>
  <c r="AF317" i="28"/>
  <c r="AF381" i="28"/>
  <c r="Y381" i="28"/>
  <c r="X381" i="28"/>
  <c r="Y536" i="28"/>
  <c r="AF536" i="28"/>
  <c r="X536" i="28"/>
  <c r="Y304" i="28"/>
  <c r="AF304" i="28"/>
  <c r="X304" i="28"/>
  <c r="X368" i="28"/>
  <c r="Y368" i="28"/>
  <c r="AF368" i="28"/>
  <c r="AF420" i="28"/>
  <c r="Y420" i="28"/>
  <c r="X420" i="28"/>
  <c r="Y549" i="28"/>
  <c r="AF549" i="28"/>
  <c r="X549" i="28"/>
  <c r="Y315" i="28"/>
  <c r="X315" i="28"/>
  <c r="AF315" i="28"/>
  <c r="Y379" i="28"/>
  <c r="X379" i="28"/>
  <c r="AF379" i="28"/>
  <c r="Y560" i="28"/>
  <c r="X560" i="28"/>
  <c r="AF560" i="28"/>
  <c r="Y310" i="28"/>
  <c r="X310" i="28"/>
  <c r="AF310" i="28"/>
  <c r="Y374" i="28"/>
  <c r="AF374" i="28"/>
  <c r="X374" i="28"/>
  <c r="Y477" i="28"/>
  <c r="AF477" i="28"/>
  <c r="X477" i="28"/>
  <c r="Y463" i="28"/>
  <c r="X463" i="28"/>
  <c r="AF463" i="28"/>
  <c r="X527" i="28"/>
  <c r="AF527" i="28"/>
  <c r="Y527" i="28"/>
  <c r="Y591" i="28"/>
  <c r="X591" i="28"/>
  <c r="AF591" i="28"/>
  <c r="Y482" i="28"/>
  <c r="X482" i="28"/>
  <c r="AF482" i="28"/>
  <c r="Y546" i="28"/>
  <c r="X546" i="28"/>
  <c r="AF546" i="28"/>
  <c r="Y419" i="28"/>
  <c r="X419" i="28"/>
  <c r="AF419" i="28"/>
  <c r="Y483" i="28"/>
  <c r="AF483" i="28"/>
  <c r="X483" i="28"/>
  <c r="Y547" i="28"/>
  <c r="X547" i="28"/>
  <c r="AF547" i="28"/>
  <c r="AF454" i="28"/>
  <c r="X454" i="28"/>
  <c r="Y454" i="28"/>
  <c r="AF518" i="28"/>
  <c r="Y518" i="28"/>
  <c r="X518" i="28"/>
  <c r="Y582" i="28"/>
  <c r="X582" i="28"/>
  <c r="AF582" i="28"/>
  <c r="Y473" i="28"/>
  <c r="AF473" i="28"/>
  <c r="X473" i="28"/>
  <c r="Y537" i="28"/>
  <c r="AF537" i="28"/>
  <c r="X537" i="28"/>
  <c r="Y611" i="28"/>
  <c r="X611" i="28"/>
  <c r="AF611" i="28"/>
  <c r="X500" i="28"/>
  <c r="AF500" i="28"/>
  <c r="Y500" i="28"/>
  <c r="AF564" i="28"/>
  <c r="X564" i="28"/>
  <c r="Y564" i="28"/>
  <c r="AF613" i="28"/>
  <c r="X613" i="28"/>
  <c r="Y613" i="28"/>
  <c r="AE88" i="28"/>
  <c r="AD88" i="28"/>
  <c r="AD37" i="28"/>
  <c r="AE37" i="28"/>
  <c r="AE168" i="28"/>
  <c r="AD168" i="28"/>
  <c r="AE251" i="28"/>
  <c r="AD251" i="28"/>
  <c r="AE113" i="28"/>
  <c r="AD113" i="28"/>
  <c r="AE79" i="28"/>
  <c r="AD79" i="28"/>
  <c r="AD258" i="28"/>
  <c r="AE258" i="28"/>
  <c r="AD380" i="28"/>
  <c r="AE380" i="28"/>
  <c r="AE422" i="28"/>
  <c r="AD422" i="28"/>
  <c r="AE373" i="28"/>
  <c r="AD373" i="28"/>
  <c r="AE489" i="28"/>
  <c r="AD489" i="28"/>
  <c r="AE581" i="28"/>
  <c r="AD581" i="28"/>
  <c r="AE571" i="28"/>
  <c r="AD571" i="28"/>
  <c r="AA627" i="28"/>
  <c r="AB627" i="28"/>
  <c r="AB24" i="28"/>
  <c r="AA24" i="28"/>
  <c r="AB88" i="28"/>
  <c r="AA88" i="28"/>
  <c r="AA126" i="28"/>
  <c r="AB126" i="28"/>
  <c r="AA132" i="28"/>
  <c r="AB132" i="28"/>
  <c r="AA114" i="28"/>
  <c r="AB114" i="28"/>
  <c r="AF273" i="28"/>
  <c r="AB273" i="28"/>
  <c r="AA273" i="28"/>
  <c r="AB421" i="28"/>
  <c r="AA421" i="28"/>
  <c r="AB362" i="28"/>
  <c r="AA362" i="28"/>
  <c r="AB296" i="28"/>
  <c r="AA296" i="28"/>
  <c r="AB530" i="28"/>
  <c r="AA530" i="28"/>
  <c r="AB440" i="28"/>
  <c r="AA440" i="28"/>
  <c r="AA486" i="28"/>
  <c r="AB486" i="28"/>
  <c r="AA611" i="28"/>
  <c r="AB611" i="28"/>
  <c r="AF69" i="28"/>
  <c r="Y69" i="28"/>
  <c r="X69" i="28"/>
  <c r="Y25" i="28"/>
  <c r="X25" i="28"/>
  <c r="X105" i="28"/>
  <c r="Y105" i="28"/>
  <c r="AF105" i="28"/>
  <c r="Y284" i="28"/>
  <c r="AF284" i="28"/>
  <c r="X284" i="28"/>
  <c r="Y258" i="28"/>
  <c r="X258" i="28"/>
  <c r="AF258" i="28"/>
  <c r="Y176" i="28"/>
  <c r="AF176" i="28"/>
  <c r="X176" i="28"/>
  <c r="Y565" i="28"/>
  <c r="AF565" i="28"/>
  <c r="X565" i="28"/>
  <c r="X365" i="28"/>
  <c r="Y365" i="28"/>
  <c r="AF365" i="28"/>
  <c r="Y485" i="28"/>
  <c r="AF485" i="28"/>
  <c r="X485" i="28"/>
  <c r="Y437" i="28"/>
  <c r="AF437" i="28"/>
  <c r="X437" i="28"/>
  <c r="Y467" i="28"/>
  <c r="AF467" i="28"/>
  <c r="X467" i="28"/>
  <c r="X502" i="28"/>
  <c r="AF502" i="28"/>
  <c r="Y502" i="28"/>
  <c r="X585" i="28"/>
  <c r="Y585" i="28"/>
  <c r="AF585" i="28"/>
  <c r="AD41" i="28"/>
  <c r="AE41" i="28"/>
  <c r="AD45" i="28"/>
  <c r="AE45" i="28"/>
  <c r="AD176" i="28"/>
  <c r="AE176" i="28"/>
  <c r="AD259" i="28"/>
  <c r="AE259" i="28"/>
  <c r="AD121" i="28"/>
  <c r="AE121" i="28"/>
  <c r="AE87" i="28"/>
  <c r="AD87" i="28"/>
  <c r="AD347" i="28"/>
  <c r="AE347" i="28"/>
  <c r="AE324" i="28"/>
  <c r="AD324" i="28"/>
  <c r="AE425" i="28"/>
  <c r="AD425" i="28"/>
  <c r="AE381" i="28"/>
  <c r="AD381" i="28"/>
  <c r="AE433" i="28"/>
  <c r="AD433" i="28"/>
  <c r="AE461" i="28"/>
  <c r="AD461" i="28"/>
  <c r="AD515" i="28"/>
  <c r="AE515" i="28"/>
  <c r="AA629" i="28"/>
  <c r="AB629" i="28"/>
  <c r="AA42" i="28"/>
  <c r="AB42" i="28"/>
  <c r="AB33" i="28"/>
  <c r="AA33" i="28"/>
  <c r="AA134" i="28"/>
  <c r="AB134" i="28"/>
  <c r="AB533" i="28"/>
  <c r="AA533" i="28"/>
  <c r="AB207" i="28"/>
  <c r="AA207" i="28"/>
  <c r="AB149" i="28"/>
  <c r="AA149" i="28"/>
  <c r="AB385" i="28"/>
  <c r="AA385" i="28"/>
  <c r="AA514" i="28"/>
  <c r="AB514" i="28"/>
  <c r="AB506" i="28"/>
  <c r="AA506" i="28"/>
  <c r="AB379" i="28"/>
  <c r="AA379" i="28"/>
  <c r="AA519" i="28"/>
  <c r="AB519" i="28"/>
  <c r="AB576" i="28"/>
  <c r="AA576" i="28"/>
  <c r="AB494" i="28"/>
  <c r="AA494" i="28"/>
  <c r="AB577" i="28"/>
  <c r="AA577" i="28"/>
  <c r="Y58" i="28"/>
  <c r="AF58" i="28"/>
  <c r="X58" i="28"/>
  <c r="Y40" i="28"/>
  <c r="AF40" i="28"/>
  <c r="X40" i="28"/>
  <c r="Y62" i="28"/>
  <c r="X62" i="28"/>
  <c r="AF62" i="28"/>
  <c r="Y150" i="28"/>
  <c r="AF150" i="28"/>
  <c r="X150" i="28"/>
  <c r="X177" i="28"/>
  <c r="Y177" i="28"/>
  <c r="Y212" i="28"/>
  <c r="AF212" i="28"/>
  <c r="X212" i="28"/>
  <c r="Y138" i="28"/>
  <c r="X138" i="28"/>
  <c r="AF138" i="28"/>
  <c r="AF229" i="28"/>
  <c r="Y229" i="28"/>
  <c r="X229" i="28"/>
  <c r="Y248" i="28"/>
  <c r="X248" i="28"/>
  <c r="AF248" i="28"/>
  <c r="AF324" i="28"/>
  <c r="X324" i="28"/>
  <c r="Y324" i="28"/>
  <c r="Y386" i="28"/>
  <c r="X386" i="28"/>
  <c r="AF386" i="28"/>
  <c r="AF504" i="28"/>
  <c r="Y504" i="28"/>
  <c r="X504" i="28"/>
  <c r="Y517" i="28"/>
  <c r="X517" i="28"/>
  <c r="AF517" i="28"/>
  <c r="Y302" i="28"/>
  <c r="X302" i="28"/>
  <c r="AF302" i="28"/>
  <c r="X455" i="28"/>
  <c r="Y455" i="28"/>
  <c r="AF455" i="28"/>
  <c r="Y411" i="28"/>
  <c r="X411" i="28"/>
  <c r="AF411" i="28"/>
  <c r="AF510" i="28"/>
  <c r="X510" i="28"/>
  <c r="Y510" i="28"/>
  <c r="X465" i="28"/>
  <c r="AF465" i="28"/>
  <c r="Y465" i="28"/>
  <c r="Y605" i="28"/>
  <c r="X605" i="28"/>
  <c r="AF605" i="28"/>
  <c r="AE622" i="28"/>
  <c r="AD622" i="28"/>
  <c r="AD33" i="28"/>
  <c r="AE33" i="28"/>
  <c r="AE65" i="28"/>
  <c r="AD65" i="28"/>
  <c r="AE36" i="28"/>
  <c r="AD36" i="28"/>
  <c r="AE273" i="28"/>
  <c r="AD273" i="28"/>
  <c r="AD71" i="28"/>
  <c r="AE71" i="28"/>
  <c r="AE42" i="28"/>
  <c r="AD42" i="28"/>
  <c r="AE165" i="28"/>
  <c r="AD165" i="28"/>
  <c r="AE61" i="28"/>
  <c r="AD61" i="28"/>
  <c r="AE24" i="28"/>
  <c r="AD24" i="28"/>
  <c r="AD100" i="28"/>
  <c r="AE100" i="28"/>
  <c r="AE51" i="28"/>
  <c r="AD51" i="28"/>
  <c r="AE14" i="28"/>
  <c r="AD14" i="28"/>
  <c r="AE80" i="28"/>
  <c r="AD80" i="28"/>
  <c r="AE128" i="28"/>
  <c r="AD128" i="28"/>
  <c r="AD192" i="28"/>
  <c r="AE192" i="28"/>
  <c r="AD256" i="28"/>
  <c r="AE256" i="28"/>
  <c r="AD83" i="28"/>
  <c r="AE83" i="28"/>
  <c r="AD147" i="28"/>
  <c r="AE147" i="28"/>
  <c r="AE211" i="28"/>
  <c r="AD211" i="28"/>
  <c r="AE289" i="28"/>
  <c r="AD289" i="28"/>
  <c r="AE110" i="28"/>
  <c r="AD110" i="28"/>
  <c r="AF174" i="28"/>
  <c r="AE174" i="28"/>
  <c r="AD174" i="28"/>
  <c r="AF238" i="28"/>
  <c r="AE238" i="28"/>
  <c r="AD238" i="28"/>
  <c r="AE415" i="28"/>
  <c r="AD415" i="28"/>
  <c r="AE137" i="28"/>
  <c r="AD137" i="28"/>
  <c r="AE201" i="28"/>
  <c r="AD201" i="28"/>
  <c r="AE270" i="28"/>
  <c r="AD270" i="28"/>
  <c r="AE140" i="28"/>
  <c r="AD140" i="28"/>
  <c r="AE204" i="28"/>
  <c r="AD204" i="28"/>
  <c r="AE278" i="28"/>
  <c r="AD278" i="28"/>
  <c r="AD103" i="28"/>
  <c r="AE103" i="28"/>
  <c r="AE167" i="28"/>
  <c r="AD167" i="28"/>
  <c r="AD231" i="28"/>
  <c r="AE231" i="28"/>
  <c r="AE90" i="28"/>
  <c r="AD90" i="28"/>
  <c r="AE154" i="28"/>
  <c r="AD154" i="28"/>
  <c r="AE218" i="28"/>
  <c r="AD218" i="28"/>
  <c r="AE361" i="28"/>
  <c r="AD361" i="28"/>
  <c r="AE363" i="28"/>
  <c r="AD363" i="28"/>
  <c r="AE530" i="28"/>
  <c r="AD530" i="28"/>
  <c r="AE358" i="28"/>
  <c r="AD358" i="28"/>
  <c r="AD427" i="28"/>
  <c r="AE427" i="28"/>
  <c r="AE276" i="28"/>
  <c r="AD276" i="28"/>
  <c r="AD340" i="28"/>
  <c r="AE340" i="28"/>
  <c r="AD404" i="28"/>
  <c r="AE404" i="28"/>
  <c r="AE263" i="28"/>
  <c r="AD263" i="28"/>
  <c r="AD327" i="28"/>
  <c r="AE327" i="28"/>
  <c r="AE391" i="28"/>
  <c r="AD391" i="28"/>
  <c r="AE435" i="28"/>
  <c r="AD435" i="28"/>
  <c r="AD282" i="28"/>
  <c r="AE282" i="28"/>
  <c r="AE346" i="28"/>
  <c r="AD346" i="28"/>
  <c r="AE410" i="28"/>
  <c r="AD410" i="28"/>
  <c r="AE269" i="28"/>
  <c r="AD269" i="28"/>
  <c r="AE333" i="28"/>
  <c r="AD333" i="28"/>
  <c r="AE397" i="28"/>
  <c r="AD397" i="28"/>
  <c r="AE264" i="28"/>
  <c r="AD264" i="28"/>
  <c r="AD328" i="28"/>
  <c r="AE328" i="28"/>
  <c r="AE392" i="28"/>
  <c r="AD392" i="28"/>
  <c r="AE426" i="28"/>
  <c r="AD426" i="28"/>
  <c r="AE449" i="28"/>
  <c r="AD449" i="28"/>
  <c r="AE513" i="28"/>
  <c r="AD513" i="28"/>
  <c r="AE577" i="28"/>
  <c r="AD577" i="28"/>
  <c r="AE476" i="28"/>
  <c r="AD476" i="28"/>
  <c r="AE540" i="28"/>
  <c r="AD540" i="28"/>
  <c r="AE413" i="28"/>
  <c r="AD413" i="28"/>
  <c r="AE477" i="28"/>
  <c r="AD477" i="28"/>
  <c r="AD541" i="28"/>
  <c r="AE541" i="28"/>
  <c r="AE440" i="28"/>
  <c r="AD440" i="28"/>
  <c r="AE504" i="28"/>
  <c r="AD504" i="28"/>
  <c r="AE568" i="28"/>
  <c r="AD568" i="28"/>
  <c r="AE467" i="28"/>
  <c r="AD467" i="28"/>
  <c r="AE531" i="28"/>
  <c r="AD531" i="28"/>
  <c r="AE595" i="28"/>
  <c r="AD595" i="28"/>
  <c r="AE494" i="28"/>
  <c r="AD494" i="28"/>
  <c r="AD558" i="28"/>
  <c r="AE558" i="28"/>
  <c r="AE612" i="28"/>
  <c r="AD612" i="28"/>
  <c r="AE609" i="28"/>
  <c r="AD609" i="28"/>
  <c r="AB626" i="28"/>
  <c r="AA626" i="28"/>
  <c r="AA103" i="28"/>
  <c r="AB103" i="28"/>
  <c r="AB31" i="28"/>
  <c r="AA31" i="28"/>
  <c r="AB160" i="28"/>
  <c r="AA160" i="28"/>
  <c r="AA58" i="28"/>
  <c r="AB58" i="28"/>
  <c r="AA248" i="28"/>
  <c r="AB248" i="28"/>
  <c r="AA69" i="28"/>
  <c r="AB69" i="28"/>
  <c r="AA48" i="28"/>
  <c r="AB48" i="28"/>
  <c r="AB19" i="28"/>
  <c r="AA19" i="28"/>
  <c r="AB79" i="28"/>
  <c r="AA79" i="28"/>
  <c r="AA30" i="28"/>
  <c r="AB30" i="28"/>
  <c r="AB115" i="28"/>
  <c r="AA115" i="28"/>
  <c r="AB49" i="28"/>
  <c r="AA49" i="28"/>
  <c r="AB240" i="28"/>
  <c r="AA240" i="28"/>
  <c r="AA179" i="28"/>
  <c r="AB179" i="28"/>
  <c r="AB243" i="28"/>
  <c r="AA243" i="28"/>
  <c r="AB86" i="28"/>
  <c r="AA86" i="28"/>
  <c r="AA150" i="28"/>
  <c r="AB150" i="28"/>
  <c r="AB214" i="28"/>
  <c r="AA214" i="28"/>
  <c r="AB297" i="28"/>
  <c r="AA297" i="28"/>
  <c r="AB121" i="28"/>
  <c r="AA121" i="28"/>
  <c r="AB185" i="28"/>
  <c r="AA185" i="28"/>
  <c r="AB249" i="28"/>
  <c r="AA249" i="28"/>
  <c r="AB92" i="28"/>
  <c r="AA92" i="28"/>
  <c r="AB156" i="28"/>
  <c r="AA156" i="28"/>
  <c r="AB220" i="28"/>
  <c r="AA220" i="28"/>
  <c r="AB313" i="28"/>
  <c r="AA313" i="28"/>
  <c r="AB159" i="28"/>
  <c r="AA159" i="28"/>
  <c r="AA223" i="28"/>
  <c r="AB223" i="28"/>
  <c r="AB469" i="28"/>
  <c r="AA469" i="28"/>
  <c r="AB138" i="28"/>
  <c r="AA138" i="28"/>
  <c r="AB202" i="28"/>
  <c r="AA202" i="28"/>
  <c r="AF265" i="28"/>
  <c r="AB265" i="28"/>
  <c r="AA265" i="28"/>
  <c r="AB101" i="28"/>
  <c r="AA101" i="28"/>
  <c r="AB165" i="28"/>
  <c r="AA165" i="28"/>
  <c r="AB229" i="28"/>
  <c r="AA229" i="28"/>
  <c r="AB340" i="28"/>
  <c r="AA340" i="28"/>
  <c r="AA366" i="28"/>
  <c r="AB366" i="28"/>
  <c r="AA437" i="28"/>
  <c r="AB437" i="28"/>
  <c r="AB337" i="28"/>
  <c r="AA337" i="28"/>
  <c r="AB401" i="28"/>
  <c r="AA401" i="28"/>
  <c r="AB490" i="28"/>
  <c r="AA490" i="28"/>
  <c r="AB295" i="28"/>
  <c r="AA295" i="28"/>
  <c r="AA359" i="28"/>
  <c r="AB359" i="28"/>
  <c r="AB422" i="28"/>
  <c r="AA422" i="28"/>
  <c r="AB578" i="28"/>
  <c r="AA578" i="28"/>
  <c r="AB322" i="28"/>
  <c r="AA322" i="28"/>
  <c r="AB386" i="28"/>
  <c r="AA386" i="28"/>
  <c r="AB557" i="28"/>
  <c r="AA557" i="28"/>
  <c r="AA317" i="28"/>
  <c r="AB317" i="28"/>
  <c r="AB381" i="28"/>
  <c r="AA381" i="28"/>
  <c r="AA570" i="28"/>
  <c r="AB570" i="28"/>
  <c r="AA320" i="28"/>
  <c r="AB320" i="28"/>
  <c r="AA384" i="28"/>
  <c r="AB384" i="28"/>
  <c r="AA423" i="28"/>
  <c r="AB423" i="28"/>
  <c r="AA267" i="28"/>
  <c r="AB267" i="28"/>
  <c r="AA331" i="28"/>
  <c r="AB331" i="28"/>
  <c r="AB395" i="28"/>
  <c r="AA395" i="28"/>
  <c r="AB436" i="28"/>
  <c r="AA436" i="28"/>
  <c r="AA500" i="28"/>
  <c r="AB500" i="28"/>
  <c r="AB564" i="28"/>
  <c r="AA564" i="28"/>
  <c r="AA471" i="28"/>
  <c r="AB471" i="28"/>
  <c r="AB535" i="28"/>
  <c r="AA535" i="28"/>
  <c r="AB599" i="28"/>
  <c r="AA599" i="28"/>
  <c r="AB464" i="28"/>
  <c r="AA464" i="28"/>
  <c r="AB528" i="28"/>
  <c r="AA528" i="28"/>
  <c r="AA592" i="28"/>
  <c r="AB592" i="28"/>
  <c r="AA483" i="28"/>
  <c r="AB483" i="28"/>
  <c r="AA547" i="28"/>
  <c r="AB547" i="28"/>
  <c r="AB446" i="28"/>
  <c r="AA446" i="28"/>
  <c r="AB510" i="28"/>
  <c r="AA510" i="28"/>
  <c r="AB574" i="28"/>
  <c r="AA574" i="28"/>
  <c r="AB465" i="28"/>
  <c r="AA465" i="28"/>
  <c r="AB529" i="28"/>
  <c r="AA529" i="28"/>
  <c r="AB593" i="28"/>
  <c r="AA593" i="28"/>
  <c r="AB609" i="28"/>
  <c r="AA609" i="28"/>
  <c r="X627" i="28"/>
  <c r="AF627" i="28"/>
  <c r="Y627" i="28"/>
  <c r="AF39" i="28"/>
  <c r="Y39" i="28"/>
  <c r="X39" i="28"/>
  <c r="AF31" i="28"/>
  <c r="X31" i="28"/>
  <c r="Y31" i="28"/>
  <c r="Y74" i="28"/>
  <c r="AF74" i="28"/>
  <c r="X74" i="28"/>
  <c r="Y29" i="28"/>
  <c r="AF29" i="28"/>
  <c r="X29" i="28"/>
  <c r="Y163" i="28"/>
  <c r="X163" i="28"/>
  <c r="AF163" i="28"/>
  <c r="Y56" i="28"/>
  <c r="AF56" i="28"/>
  <c r="X56" i="28"/>
  <c r="AF289" i="28"/>
  <c r="Y289" i="28"/>
  <c r="X289" i="28"/>
  <c r="Y67" i="28"/>
  <c r="X67" i="28"/>
  <c r="AF67" i="28"/>
  <c r="Y14" i="28"/>
  <c r="AF14" i="28"/>
  <c r="X14" i="28"/>
  <c r="Y86" i="28"/>
  <c r="X86" i="28"/>
  <c r="AF86" i="28"/>
  <c r="Y49" i="28"/>
  <c r="AF49" i="28"/>
  <c r="X49" i="28"/>
  <c r="Y259" i="28"/>
  <c r="X259" i="28"/>
  <c r="AF259" i="28"/>
  <c r="Y102" i="28"/>
  <c r="AF102" i="28"/>
  <c r="X102" i="28"/>
  <c r="X166" i="28"/>
  <c r="AF166" i="28"/>
  <c r="Y166" i="28"/>
  <c r="X230" i="28"/>
  <c r="Y230" i="28"/>
  <c r="AF367" i="28"/>
  <c r="Y367" i="28"/>
  <c r="X367" i="28"/>
  <c r="AF129" i="28"/>
  <c r="X129" i="28"/>
  <c r="Y129" i="28"/>
  <c r="Y193" i="28"/>
  <c r="X193" i="28"/>
  <c r="AF193" i="28"/>
  <c r="Y257" i="28"/>
  <c r="X257" i="28"/>
  <c r="AF257" i="28"/>
  <c r="Y100" i="28"/>
  <c r="X100" i="28"/>
  <c r="AF100" i="28"/>
  <c r="X164" i="28"/>
  <c r="Y164" i="28"/>
  <c r="AF164" i="28"/>
  <c r="Y228" i="28"/>
  <c r="AF228" i="28"/>
  <c r="X228" i="28"/>
  <c r="Y448" i="28"/>
  <c r="X448" i="28"/>
  <c r="AF448" i="28"/>
  <c r="Y135" i="28"/>
  <c r="AF135" i="28"/>
  <c r="X135" i="28"/>
  <c r="Y199" i="28"/>
  <c r="AF199" i="28"/>
  <c r="X199" i="28"/>
  <c r="Y263" i="28"/>
  <c r="AF263" i="28"/>
  <c r="X263" i="28"/>
  <c r="Y154" i="28"/>
  <c r="X154" i="28"/>
  <c r="AF154" i="28"/>
  <c r="Y218" i="28"/>
  <c r="X218" i="28"/>
  <c r="AF218" i="28"/>
  <c r="AF300" i="28"/>
  <c r="X300" i="28"/>
  <c r="Y300" i="28"/>
  <c r="Y117" i="28"/>
  <c r="X117" i="28"/>
  <c r="AF117" i="28"/>
  <c r="Y181" i="28"/>
  <c r="X181" i="28"/>
  <c r="AF181" i="28"/>
  <c r="AF245" i="28"/>
  <c r="Y245" i="28"/>
  <c r="X245" i="28"/>
  <c r="X480" i="28"/>
  <c r="Y480" i="28"/>
  <c r="AF480" i="28"/>
  <c r="Y136" i="28"/>
  <c r="X136" i="28"/>
  <c r="AF136" i="28"/>
  <c r="X200" i="28"/>
  <c r="Y200" i="28"/>
  <c r="AF200" i="28"/>
  <c r="AF281" i="28"/>
  <c r="X281" i="28"/>
  <c r="Y281" i="28"/>
  <c r="AF337" i="28"/>
  <c r="Y337" i="28"/>
  <c r="X337" i="28"/>
  <c r="Y401" i="28"/>
  <c r="X401" i="28"/>
  <c r="AF401" i="28"/>
  <c r="X456" i="28"/>
  <c r="Y456" i="28"/>
  <c r="AF456" i="28"/>
  <c r="X340" i="28"/>
  <c r="Y340" i="28"/>
  <c r="AF340" i="28"/>
  <c r="AF404" i="28"/>
  <c r="Y404" i="28"/>
  <c r="X404" i="28"/>
  <c r="AF274" i="28"/>
  <c r="Y274" i="28"/>
  <c r="X274" i="28"/>
  <c r="Y338" i="28"/>
  <c r="AF338" i="28"/>
  <c r="X338" i="28"/>
  <c r="AF402" i="28"/>
  <c r="X402" i="28"/>
  <c r="Y402" i="28"/>
  <c r="Y589" i="28"/>
  <c r="AF589" i="28"/>
  <c r="X589" i="28"/>
  <c r="Y325" i="28"/>
  <c r="X325" i="28"/>
  <c r="AF325" i="28"/>
  <c r="X389" i="28"/>
  <c r="Y389" i="28"/>
  <c r="AF389" i="28"/>
  <c r="Y568" i="28"/>
  <c r="AF568" i="28"/>
  <c r="X568" i="28"/>
  <c r="Y312" i="28"/>
  <c r="X312" i="28"/>
  <c r="AF312" i="28"/>
  <c r="Y376" i="28"/>
  <c r="AF376" i="28"/>
  <c r="X376" i="28"/>
  <c r="Y423" i="28"/>
  <c r="AF423" i="28"/>
  <c r="X423" i="28"/>
  <c r="Y581" i="28"/>
  <c r="X581" i="28"/>
  <c r="AF581" i="28"/>
  <c r="Y323" i="28"/>
  <c r="X323" i="28"/>
  <c r="AF323" i="28"/>
  <c r="Y387" i="28"/>
  <c r="X387" i="28"/>
  <c r="AF387" i="28"/>
  <c r="Y592" i="28"/>
  <c r="X592" i="28"/>
  <c r="AF592" i="28"/>
  <c r="X318" i="28"/>
  <c r="Y318" i="28"/>
  <c r="AF318" i="28"/>
  <c r="AF382" i="28"/>
  <c r="Y382" i="28"/>
  <c r="X382" i="28"/>
  <c r="Y509" i="28"/>
  <c r="X509" i="28"/>
  <c r="AF509" i="28"/>
  <c r="Y471" i="28"/>
  <c r="AF471" i="28"/>
  <c r="X471" i="28"/>
  <c r="Y535" i="28"/>
  <c r="AF535" i="28"/>
  <c r="X535" i="28"/>
  <c r="AF599" i="28"/>
  <c r="X599" i="28"/>
  <c r="Y599" i="28"/>
  <c r="AF490" i="28"/>
  <c r="Y490" i="28"/>
  <c r="X490" i="28"/>
  <c r="Y554" i="28"/>
  <c r="AF554" i="28"/>
  <c r="X554" i="28"/>
  <c r="Y427" i="28"/>
  <c r="AF427" i="28"/>
  <c r="X427" i="28"/>
  <c r="Y491" i="28"/>
  <c r="AF491" i="28"/>
  <c r="X491" i="28"/>
  <c r="Y555" i="28"/>
  <c r="AF555" i="28"/>
  <c r="X555" i="28"/>
  <c r="X462" i="28"/>
  <c r="Y462" i="28"/>
  <c r="AF462" i="28"/>
  <c r="Y526" i="28"/>
  <c r="AF526" i="28"/>
  <c r="X526" i="28"/>
  <c r="Y590" i="28"/>
  <c r="AF590" i="28"/>
  <c r="X590" i="28"/>
  <c r="Y481" i="28"/>
  <c r="X481" i="28"/>
  <c r="AF481" i="28"/>
  <c r="Y545" i="28"/>
  <c r="AF545" i="28"/>
  <c r="X545" i="28"/>
  <c r="AF444" i="28"/>
  <c r="Y444" i="28"/>
  <c r="X444" i="28"/>
  <c r="AF508" i="28"/>
  <c r="Y508" i="28"/>
  <c r="X508" i="28"/>
  <c r="Y572" i="28"/>
  <c r="AF572" i="28"/>
  <c r="X572" i="28"/>
  <c r="X606" i="28"/>
  <c r="Y606" i="28"/>
  <c r="AF606" i="28"/>
  <c r="AE626" i="28"/>
  <c r="AD626" i="28"/>
  <c r="AE77" i="28"/>
  <c r="AD77" i="28"/>
  <c r="AF54" i="28"/>
  <c r="AE54" i="28"/>
  <c r="AD54" i="28"/>
  <c r="AE187" i="28"/>
  <c r="AD187" i="28"/>
  <c r="AD297" i="28"/>
  <c r="AE297" i="28"/>
  <c r="AE244" i="28"/>
  <c r="AD244" i="28"/>
  <c r="AE194" i="28"/>
  <c r="AD194" i="28"/>
  <c r="AE543" i="28"/>
  <c r="AD543" i="28"/>
  <c r="AD367" i="28"/>
  <c r="AE367" i="28"/>
  <c r="AE309" i="28"/>
  <c r="AD309" i="28"/>
  <c r="AE583" i="28"/>
  <c r="AD583" i="28"/>
  <c r="AE453" i="28"/>
  <c r="AD453" i="28"/>
  <c r="AE443" i="28"/>
  <c r="AD443" i="28"/>
  <c r="AD611" i="28"/>
  <c r="AE611" i="28"/>
  <c r="AA112" i="28"/>
  <c r="AB112" i="28"/>
  <c r="AB501" i="28"/>
  <c r="AA501" i="28"/>
  <c r="AB388" i="28"/>
  <c r="AA388" i="28"/>
  <c r="AB225" i="28"/>
  <c r="AA225" i="28"/>
  <c r="AA199" i="28"/>
  <c r="AB199" i="28"/>
  <c r="AB141" i="28"/>
  <c r="AA141" i="28"/>
  <c r="AB573" i="28"/>
  <c r="AA573" i="28"/>
  <c r="AB482" i="28"/>
  <c r="AA482" i="28"/>
  <c r="AA474" i="28"/>
  <c r="AB474" i="28"/>
  <c r="AB371" i="28"/>
  <c r="AA371" i="28"/>
  <c r="AB575" i="28"/>
  <c r="AA575" i="28"/>
  <c r="AB523" i="28"/>
  <c r="AA523" i="28"/>
  <c r="AB569" i="28"/>
  <c r="AA569" i="28"/>
  <c r="Y139" i="28"/>
  <c r="X139" i="28"/>
  <c r="AF139" i="28"/>
  <c r="Y54" i="28"/>
  <c r="X54" i="28"/>
  <c r="Y268" i="28"/>
  <c r="AF268" i="28"/>
  <c r="X268" i="28"/>
  <c r="Y140" i="28"/>
  <c r="AF140" i="28"/>
  <c r="X140" i="28"/>
  <c r="Y130" i="28"/>
  <c r="X130" i="28"/>
  <c r="AF130" i="28"/>
  <c r="AF308" i="28"/>
  <c r="X308" i="28"/>
  <c r="Y308" i="28"/>
  <c r="Y421" i="28"/>
  <c r="X421" i="28"/>
  <c r="AF421" i="28"/>
  <c r="Y378" i="28"/>
  <c r="X378" i="28"/>
  <c r="AF378" i="28"/>
  <c r="Y288" i="28"/>
  <c r="AF288" i="28"/>
  <c r="X288" i="28"/>
  <c r="AF496" i="28"/>
  <c r="X496" i="28"/>
  <c r="Y496" i="28"/>
  <c r="Y530" i="28"/>
  <c r="X530" i="28"/>
  <c r="AF530" i="28"/>
  <c r="AF521" i="28"/>
  <c r="X521" i="28"/>
  <c r="Y521" i="28"/>
  <c r="AD55" i="28"/>
  <c r="AE55" i="28"/>
  <c r="AE35" i="28"/>
  <c r="AD35" i="28"/>
  <c r="AE240" i="28"/>
  <c r="AD240" i="28"/>
  <c r="AE158" i="28"/>
  <c r="AD158" i="28"/>
  <c r="AE124" i="28"/>
  <c r="AD124" i="28"/>
  <c r="AE215" i="28"/>
  <c r="AD215" i="28"/>
  <c r="AE466" i="28"/>
  <c r="AD466" i="28"/>
  <c r="AE567" i="28"/>
  <c r="AD567" i="28"/>
  <c r="AD330" i="28"/>
  <c r="AE330" i="28"/>
  <c r="AD312" i="28"/>
  <c r="AE312" i="28"/>
  <c r="AE460" i="28"/>
  <c r="AD460" i="28"/>
  <c r="AD589" i="28"/>
  <c r="AE589" i="28"/>
  <c r="AE478" i="28"/>
  <c r="AD478" i="28"/>
  <c r="AA15" i="28"/>
  <c r="AB15" i="28"/>
  <c r="AB67" i="28"/>
  <c r="AA67" i="28"/>
  <c r="AB227" i="28"/>
  <c r="AA227" i="28"/>
  <c r="AA105" i="28"/>
  <c r="AB105" i="28"/>
  <c r="AB278" i="28"/>
  <c r="AA278" i="28"/>
  <c r="AA250" i="28"/>
  <c r="AB250" i="28"/>
  <c r="AA350" i="28"/>
  <c r="AB350" i="28"/>
  <c r="AA343" i="28"/>
  <c r="AB343" i="28"/>
  <c r="AB301" i="28"/>
  <c r="AA301" i="28"/>
  <c r="AB417" i="28"/>
  <c r="AA417" i="28"/>
  <c r="AB548" i="28"/>
  <c r="AA548" i="28"/>
  <c r="AB448" i="28"/>
  <c r="AA448" i="28"/>
  <c r="AB595" i="28"/>
  <c r="AA595" i="28"/>
  <c r="AB513" i="28"/>
  <c r="AA513" i="28"/>
  <c r="Y71" i="28"/>
  <c r="AF71" i="28"/>
  <c r="X71" i="28"/>
  <c r="Y187" i="28"/>
  <c r="X187" i="28"/>
  <c r="AF187" i="28"/>
  <c r="Y33" i="28"/>
  <c r="X33" i="28"/>
  <c r="AF33" i="28"/>
  <c r="X214" i="28"/>
  <c r="Y214" i="28"/>
  <c r="Y241" i="28"/>
  <c r="X241" i="28"/>
  <c r="Y119" i="28"/>
  <c r="AF119" i="28"/>
  <c r="X119" i="28"/>
  <c r="Y265" i="28"/>
  <c r="X265" i="28"/>
  <c r="Y359" i="28"/>
  <c r="X359" i="28"/>
  <c r="AF359" i="28"/>
  <c r="Y321" i="28"/>
  <c r="AF321" i="28"/>
  <c r="X321" i="28"/>
  <c r="Y388" i="28"/>
  <c r="AF388" i="28"/>
  <c r="X388" i="28"/>
  <c r="Y322" i="28"/>
  <c r="AF322" i="28"/>
  <c r="X322" i="28"/>
  <c r="Y373" i="28"/>
  <c r="X373" i="28"/>
  <c r="AF373" i="28"/>
  <c r="Y417" i="28"/>
  <c r="X417" i="28"/>
  <c r="AF417" i="28"/>
  <c r="AF528" i="28"/>
  <c r="Y528" i="28"/>
  <c r="X528" i="28"/>
  <c r="AF583" i="28"/>
  <c r="X583" i="28"/>
  <c r="Y583" i="28"/>
  <c r="Y475" i="28"/>
  <c r="AF475" i="28"/>
  <c r="X475" i="28"/>
  <c r="Y593" i="28"/>
  <c r="X593" i="28"/>
  <c r="AF593" i="28"/>
  <c r="AD623" i="28"/>
  <c r="AE623" i="28"/>
  <c r="AE76" i="28"/>
  <c r="AD76" i="28"/>
  <c r="AD25" i="28"/>
  <c r="AE25" i="28"/>
  <c r="AE44" i="28"/>
  <c r="AD44" i="28"/>
  <c r="AE15" i="28"/>
  <c r="AD15" i="28"/>
  <c r="AD104" i="28"/>
  <c r="AE104" i="28"/>
  <c r="AE50" i="28"/>
  <c r="AD50" i="28"/>
  <c r="AE229" i="28"/>
  <c r="AD229" i="28"/>
  <c r="AE69" i="28"/>
  <c r="AD69" i="28"/>
  <c r="AE32" i="28"/>
  <c r="AD32" i="28"/>
  <c r="AE149" i="28"/>
  <c r="AD149" i="28"/>
  <c r="AE59" i="28"/>
  <c r="AD59" i="28"/>
  <c r="AE22" i="28"/>
  <c r="AD22" i="28"/>
  <c r="AD109" i="28"/>
  <c r="AE109" i="28"/>
  <c r="AD136" i="28"/>
  <c r="AE136" i="28"/>
  <c r="AE200" i="28"/>
  <c r="AD200" i="28"/>
  <c r="AD275" i="28"/>
  <c r="AE275" i="28"/>
  <c r="AE91" i="28"/>
  <c r="AD91" i="28"/>
  <c r="AE155" i="28"/>
  <c r="AD155" i="28"/>
  <c r="AE219" i="28"/>
  <c r="AD219" i="28"/>
  <c r="AE369" i="28"/>
  <c r="AD369" i="28"/>
  <c r="AF118" i="28"/>
  <c r="AD118" i="28"/>
  <c r="AE118" i="28"/>
  <c r="AD182" i="28"/>
  <c r="AE182" i="28"/>
  <c r="AD246" i="28"/>
  <c r="AE246" i="28"/>
  <c r="AE81" i="28"/>
  <c r="AD81" i="28"/>
  <c r="AD145" i="28"/>
  <c r="AE145" i="28"/>
  <c r="AE209" i="28"/>
  <c r="AD209" i="28"/>
  <c r="AD299" i="28"/>
  <c r="AE299" i="28"/>
  <c r="AD148" i="28"/>
  <c r="AE148" i="28"/>
  <c r="AE212" i="28"/>
  <c r="AD212" i="28"/>
  <c r="AD307" i="28"/>
  <c r="AE307" i="28"/>
  <c r="AE111" i="28"/>
  <c r="AD111" i="28"/>
  <c r="AD175" i="28"/>
  <c r="AE175" i="28"/>
  <c r="AE239" i="28"/>
  <c r="AD239" i="28"/>
  <c r="AE98" i="28"/>
  <c r="AD98" i="28"/>
  <c r="AE162" i="28"/>
  <c r="AD162" i="28"/>
  <c r="AE226" i="28"/>
  <c r="AD226" i="28"/>
  <c r="AD490" i="28"/>
  <c r="AE490" i="28"/>
  <c r="AD371" i="28"/>
  <c r="AE371" i="28"/>
  <c r="AE562" i="28"/>
  <c r="AD562" i="28"/>
  <c r="AE366" i="28"/>
  <c r="AD366" i="28"/>
  <c r="AE430" i="28"/>
  <c r="AD430" i="28"/>
  <c r="AE284" i="28"/>
  <c r="AD284" i="28"/>
  <c r="AD348" i="28"/>
  <c r="AE348" i="28"/>
  <c r="AE431" i="28"/>
  <c r="AD431" i="28"/>
  <c r="AD271" i="28"/>
  <c r="AE271" i="28"/>
  <c r="AD335" i="28"/>
  <c r="AE335" i="28"/>
  <c r="AD399" i="28"/>
  <c r="AE399" i="28"/>
  <c r="AD450" i="28"/>
  <c r="AE450" i="28"/>
  <c r="AE290" i="28"/>
  <c r="AD290" i="28"/>
  <c r="AE354" i="28"/>
  <c r="AD354" i="28"/>
  <c r="AE432" i="28"/>
  <c r="AD432" i="28"/>
  <c r="AE277" i="28"/>
  <c r="AD277" i="28"/>
  <c r="AD341" i="28"/>
  <c r="AE341" i="28"/>
  <c r="AE405" i="28"/>
  <c r="AD405" i="28"/>
  <c r="AE272" i="28"/>
  <c r="AD272" i="28"/>
  <c r="AD336" i="28"/>
  <c r="AE336" i="28"/>
  <c r="AE400" i="28"/>
  <c r="AD400" i="28"/>
  <c r="AE455" i="28"/>
  <c r="AD455" i="28"/>
  <c r="AE457" i="28"/>
  <c r="AD457" i="28"/>
  <c r="AD521" i="28"/>
  <c r="AE521" i="28"/>
  <c r="AE585" i="28"/>
  <c r="AD585" i="28"/>
  <c r="AE484" i="28"/>
  <c r="AD484" i="28"/>
  <c r="AD548" i="28"/>
  <c r="AE548" i="28"/>
  <c r="AE421" i="28"/>
  <c r="AD421" i="28"/>
  <c r="AE485" i="28"/>
  <c r="AD485" i="28"/>
  <c r="AD549" i="28"/>
  <c r="AE549" i="28"/>
  <c r="AE448" i="28"/>
  <c r="AD448" i="28"/>
  <c r="AD512" i="28"/>
  <c r="AE512" i="28"/>
  <c r="AE576" i="28"/>
  <c r="AD576" i="28"/>
  <c r="AE475" i="28"/>
  <c r="AD475" i="28"/>
  <c r="AE539" i="28"/>
  <c r="AD539" i="28"/>
  <c r="AD438" i="28"/>
  <c r="AE438" i="28"/>
  <c r="AE502" i="28"/>
  <c r="AD502" i="28"/>
  <c r="AE566" i="28"/>
  <c r="AD566" i="28"/>
  <c r="AD607" i="28"/>
  <c r="AE607" i="28"/>
  <c r="AB628" i="28"/>
  <c r="AA628" i="28"/>
  <c r="AA624" i="28"/>
  <c r="AB624" i="28"/>
  <c r="AB68" i="28"/>
  <c r="AA68" i="28"/>
  <c r="AB39" i="28"/>
  <c r="AA39" i="28"/>
  <c r="AB224" i="28"/>
  <c r="AA224" i="28"/>
  <c r="AB66" i="28"/>
  <c r="AA66" i="28"/>
  <c r="AB281" i="28"/>
  <c r="AA281" i="28"/>
  <c r="AB91" i="28"/>
  <c r="AA91" i="28"/>
  <c r="AB56" i="28"/>
  <c r="AA56" i="28"/>
  <c r="AB27" i="28"/>
  <c r="AA27" i="28"/>
  <c r="AB107" i="28"/>
  <c r="AA107" i="28"/>
  <c r="AB38" i="28"/>
  <c r="AA38" i="28"/>
  <c r="AB152" i="28"/>
  <c r="AA152" i="28"/>
  <c r="AB57" i="28"/>
  <c r="AA57" i="28"/>
  <c r="AB123" i="28"/>
  <c r="AA123" i="28"/>
  <c r="AB187" i="28"/>
  <c r="AA187" i="28"/>
  <c r="AB251" i="28"/>
  <c r="AA251" i="28"/>
  <c r="AA94" i="28"/>
  <c r="AB94" i="28"/>
  <c r="AA158" i="28"/>
  <c r="AB158" i="28"/>
  <c r="AA222" i="28"/>
  <c r="AB222" i="28"/>
  <c r="AA348" i="28"/>
  <c r="AB348" i="28"/>
  <c r="AB129" i="28"/>
  <c r="AA129" i="28"/>
  <c r="AA193" i="28"/>
  <c r="AB193" i="28"/>
  <c r="AB257" i="28"/>
  <c r="AA257" i="28"/>
  <c r="AB100" i="28"/>
  <c r="AA100" i="28"/>
  <c r="AB164" i="28"/>
  <c r="AA164" i="28"/>
  <c r="AB228" i="28"/>
  <c r="AA228" i="28"/>
  <c r="AB332" i="28"/>
  <c r="AA332" i="28"/>
  <c r="AA167" i="28"/>
  <c r="AB167" i="28"/>
  <c r="AA231" i="28"/>
  <c r="AB231" i="28"/>
  <c r="AB82" i="28"/>
  <c r="AA82" i="28"/>
  <c r="AB146" i="28"/>
  <c r="AA146" i="28"/>
  <c r="AB210" i="28"/>
  <c r="AA210" i="28"/>
  <c r="AB294" i="28"/>
  <c r="AA294" i="28"/>
  <c r="AA109" i="28"/>
  <c r="AB109" i="28"/>
  <c r="AB173" i="28"/>
  <c r="AA173" i="28"/>
  <c r="AB237" i="28"/>
  <c r="AA237" i="28"/>
  <c r="AB404" i="28"/>
  <c r="AA404" i="28"/>
  <c r="AB374" i="28"/>
  <c r="AA374" i="28"/>
  <c r="AA445" i="28"/>
  <c r="AB445" i="28"/>
  <c r="AA345" i="28"/>
  <c r="AB345" i="28"/>
  <c r="AB409" i="28"/>
  <c r="AA409" i="28"/>
  <c r="AB522" i="28"/>
  <c r="AA522" i="28"/>
  <c r="AB303" i="28"/>
  <c r="AA303" i="28"/>
  <c r="AB367" i="28"/>
  <c r="AA367" i="28"/>
  <c r="AA425" i="28"/>
  <c r="AB425" i="28"/>
  <c r="AB266" i="28"/>
  <c r="AA266" i="28"/>
  <c r="AB330" i="28"/>
  <c r="AA330" i="28"/>
  <c r="AA394" i="28"/>
  <c r="AB394" i="28"/>
  <c r="AB589" i="28"/>
  <c r="AA589" i="28"/>
  <c r="AA325" i="28"/>
  <c r="AB325" i="28"/>
  <c r="AB389" i="28"/>
  <c r="AA389" i="28"/>
  <c r="AB264" i="28"/>
  <c r="AA264" i="28"/>
  <c r="AA328" i="28"/>
  <c r="AB328" i="28"/>
  <c r="AB392" i="28"/>
  <c r="AA392" i="28"/>
  <c r="AB426" i="28"/>
  <c r="AA426" i="28"/>
  <c r="AB275" i="28"/>
  <c r="AA275" i="28"/>
  <c r="AB339" i="28"/>
  <c r="AA339" i="28"/>
  <c r="AA403" i="28"/>
  <c r="AB403" i="28"/>
  <c r="AA444" i="28"/>
  <c r="AB444" i="28"/>
  <c r="AB508" i="28"/>
  <c r="AA508" i="28"/>
  <c r="AB572" i="28"/>
  <c r="AA572" i="28"/>
  <c r="AA479" i="28"/>
  <c r="AB479" i="28"/>
  <c r="AB543" i="28"/>
  <c r="AA543" i="28"/>
  <c r="AB605" i="28"/>
  <c r="AA605" i="28"/>
  <c r="AB472" i="28"/>
  <c r="AA472" i="28"/>
  <c r="AA536" i="28"/>
  <c r="AB536" i="28"/>
  <c r="AB600" i="28"/>
  <c r="AA600" i="28"/>
  <c r="AB491" i="28"/>
  <c r="AA491" i="28"/>
  <c r="AB555" i="28"/>
  <c r="AA555" i="28"/>
  <c r="AB454" i="28"/>
  <c r="AA454" i="28"/>
  <c r="AB518" i="28"/>
  <c r="AA518" i="28"/>
  <c r="AA582" i="28"/>
  <c r="AB582" i="28"/>
  <c r="AB473" i="28"/>
  <c r="AA473" i="28"/>
  <c r="AB537" i="28"/>
  <c r="AA537" i="28"/>
  <c r="AA613" i="28"/>
  <c r="AB613" i="28"/>
  <c r="AA604" i="28"/>
  <c r="AB604" i="28"/>
  <c r="AF625" i="28"/>
  <c r="X625" i="28"/>
  <c r="Y625" i="28"/>
  <c r="Y63" i="28"/>
  <c r="AF63" i="28"/>
  <c r="X63" i="28"/>
  <c r="Y18" i="28"/>
  <c r="AF18" i="28"/>
  <c r="X18" i="28"/>
  <c r="AF77" i="28"/>
  <c r="Y77" i="28"/>
  <c r="X77" i="28"/>
  <c r="X37" i="28"/>
  <c r="Y37" i="28"/>
  <c r="AF37" i="28"/>
  <c r="Y227" i="28"/>
  <c r="X227" i="28"/>
  <c r="AF227" i="28"/>
  <c r="Y64" i="28"/>
  <c r="AF64" i="28"/>
  <c r="X64" i="28"/>
  <c r="X407" i="28"/>
  <c r="Y407" i="28"/>
  <c r="AF407" i="28"/>
  <c r="Y75" i="28"/>
  <c r="AF75" i="28"/>
  <c r="X75" i="28"/>
  <c r="Y22" i="28"/>
  <c r="X22" i="28"/>
  <c r="AF22" i="28"/>
  <c r="Y115" i="28"/>
  <c r="X115" i="28"/>
  <c r="AF115" i="28"/>
  <c r="Y57" i="28"/>
  <c r="AF57" i="28"/>
  <c r="X57" i="28"/>
  <c r="Y20" i="28"/>
  <c r="X20" i="28"/>
  <c r="AF20" i="28"/>
  <c r="Y155" i="28"/>
  <c r="X155" i="28"/>
  <c r="AF155" i="28"/>
  <c r="X174" i="28"/>
  <c r="Y174" i="28"/>
  <c r="X238" i="28"/>
  <c r="Y238" i="28"/>
  <c r="Y512" i="28"/>
  <c r="AF512" i="28"/>
  <c r="X512" i="28"/>
  <c r="AF137" i="28"/>
  <c r="Y137" i="28"/>
  <c r="X137" i="28"/>
  <c r="Y201" i="28"/>
  <c r="AF201" i="28"/>
  <c r="X201" i="28"/>
  <c r="Y276" i="28"/>
  <c r="X276" i="28"/>
  <c r="AF276" i="28"/>
  <c r="X108" i="28"/>
  <c r="Y108" i="28"/>
  <c r="AF108" i="28"/>
  <c r="Y172" i="28"/>
  <c r="X172" i="28"/>
  <c r="AF172" i="28"/>
  <c r="Y236" i="28"/>
  <c r="X236" i="28"/>
  <c r="AF236" i="28"/>
  <c r="AF79" i="28"/>
  <c r="Y79" i="28"/>
  <c r="X79" i="28"/>
  <c r="Y143" i="28"/>
  <c r="AF143" i="28"/>
  <c r="X143" i="28"/>
  <c r="Y207" i="28"/>
  <c r="AF207" i="28"/>
  <c r="X207" i="28"/>
  <c r="Y292" i="28"/>
  <c r="AF292" i="28"/>
  <c r="X292" i="28"/>
  <c r="X162" i="28"/>
  <c r="AF162" i="28"/>
  <c r="Y162" i="28"/>
  <c r="X226" i="28"/>
  <c r="AF226" i="28"/>
  <c r="Y226" i="28"/>
  <c r="Y335" i="28"/>
  <c r="X335" i="28"/>
  <c r="AF335" i="28"/>
  <c r="Y125" i="28"/>
  <c r="X125" i="28"/>
  <c r="AF125" i="28"/>
  <c r="X189" i="28"/>
  <c r="AF189" i="28"/>
  <c r="Y189" i="28"/>
  <c r="Y253" i="28"/>
  <c r="X253" i="28"/>
  <c r="AF253" i="28"/>
  <c r="Y80" i="28"/>
  <c r="AF80" i="28"/>
  <c r="X80" i="28"/>
  <c r="Y144" i="28"/>
  <c r="AF144" i="28"/>
  <c r="X144" i="28"/>
  <c r="Y208" i="28"/>
  <c r="X208" i="28"/>
  <c r="AF208" i="28"/>
  <c r="Y287" i="28"/>
  <c r="X287" i="28"/>
  <c r="AF287" i="28"/>
  <c r="X345" i="28"/>
  <c r="Y345" i="28"/>
  <c r="AF345" i="28"/>
  <c r="Y409" i="28"/>
  <c r="X409" i="28"/>
  <c r="AF409" i="28"/>
  <c r="X488" i="28"/>
  <c r="Y488" i="28"/>
  <c r="AF488" i="28"/>
  <c r="AF348" i="28"/>
  <c r="X348" i="28"/>
  <c r="Y348" i="28"/>
  <c r="Y438" i="28"/>
  <c r="AF438" i="28"/>
  <c r="X438" i="28"/>
  <c r="AF282" i="28"/>
  <c r="Y282" i="28"/>
  <c r="X282" i="28"/>
  <c r="AF346" i="28"/>
  <c r="Y346" i="28"/>
  <c r="X346" i="28"/>
  <c r="Y410" i="28"/>
  <c r="AF410" i="28"/>
  <c r="X410" i="28"/>
  <c r="Y269" i="28"/>
  <c r="AF269" i="28"/>
  <c r="X269" i="28"/>
  <c r="Y333" i="28"/>
  <c r="X333" i="28"/>
  <c r="AF333" i="28"/>
  <c r="Y397" i="28"/>
  <c r="X397" i="28"/>
  <c r="AF397" i="28"/>
  <c r="Y600" i="28"/>
  <c r="AF600" i="28"/>
  <c r="X600" i="28"/>
  <c r="X320" i="28"/>
  <c r="AF320" i="28"/>
  <c r="Y320" i="28"/>
  <c r="Y384" i="28"/>
  <c r="AF384" i="28"/>
  <c r="X384" i="28"/>
  <c r="X426" i="28"/>
  <c r="Y426" i="28"/>
  <c r="AF426" i="28"/>
  <c r="Y267" i="28"/>
  <c r="X267" i="28"/>
  <c r="AF267" i="28"/>
  <c r="AF331" i="28"/>
  <c r="X331" i="28"/>
  <c r="Y331" i="28"/>
  <c r="AF395" i="28"/>
  <c r="Y395" i="28"/>
  <c r="X395" i="28"/>
  <c r="Y608" i="28"/>
  <c r="X608" i="28"/>
  <c r="AF608" i="28"/>
  <c r="Y326" i="28"/>
  <c r="X326" i="28"/>
  <c r="AF326" i="28"/>
  <c r="Y390" i="28"/>
  <c r="AF390" i="28"/>
  <c r="X390" i="28"/>
  <c r="Y541" i="28"/>
  <c r="X541" i="28"/>
  <c r="AF541" i="28"/>
  <c r="AF479" i="28"/>
  <c r="X479" i="28"/>
  <c r="Y479" i="28"/>
  <c r="X543" i="28"/>
  <c r="Y543" i="28"/>
  <c r="AF543" i="28"/>
  <c r="Y603" i="28"/>
  <c r="AF603" i="28"/>
  <c r="X603" i="28"/>
  <c r="Y498" i="28"/>
  <c r="AF498" i="28"/>
  <c r="X498" i="28"/>
  <c r="Y562" i="28"/>
  <c r="AF562" i="28"/>
  <c r="X562" i="28"/>
  <c r="Y435" i="28"/>
  <c r="X435" i="28"/>
  <c r="AF435" i="28"/>
  <c r="Y499" i="28"/>
  <c r="AF499" i="28"/>
  <c r="X499" i="28"/>
  <c r="Y563" i="28"/>
  <c r="AF563" i="28"/>
  <c r="X563" i="28"/>
  <c r="AF470" i="28"/>
  <c r="Y470" i="28"/>
  <c r="X470" i="28"/>
  <c r="Y534" i="28"/>
  <c r="X534" i="28"/>
  <c r="AF534" i="28"/>
  <c r="Y598" i="28"/>
  <c r="AF598" i="28"/>
  <c r="X598" i="28"/>
  <c r="Y489" i="28"/>
  <c r="AF489" i="28"/>
  <c r="X489" i="28"/>
  <c r="Y553" i="28"/>
  <c r="AF553" i="28"/>
  <c r="X553" i="28"/>
  <c r="Y452" i="28"/>
  <c r="AF452" i="28"/>
  <c r="X452" i="28"/>
  <c r="Y516" i="28"/>
  <c r="X516" i="28"/>
  <c r="AF516" i="28"/>
  <c r="Y580" i="28"/>
  <c r="X580" i="28"/>
  <c r="AF580" i="28"/>
  <c r="Y609" i="28"/>
  <c r="X609" i="28"/>
  <c r="AF609" i="28"/>
  <c r="AE47" i="28"/>
  <c r="AD47" i="28"/>
  <c r="AE27" i="28"/>
  <c r="AD27" i="28"/>
  <c r="AD409" i="28"/>
  <c r="AE409" i="28"/>
  <c r="AF214" i="28"/>
  <c r="AE214" i="28"/>
  <c r="AD214" i="28"/>
  <c r="AD180" i="28"/>
  <c r="AE180" i="28"/>
  <c r="AE337" i="28"/>
  <c r="AD337" i="28"/>
  <c r="AE334" i="28"/>
  <c r="AD334" i="28"/>
  <c r="AD303" i="28"/>
  <c r="AE303" i="28"/>
  <c r="AD559" i="28"/>
  <c r="AE559" i="28"/>
  <c r="AE368" i="28"/>
  <c r="AD368" i="28"/>
  <c r="AE452" i="28"/>
  <c r="AD452" i="28"/>
  <c r="AD480" i="28"/>
  <c r="AE480" i="28"/>
  <c r="AE534" i="28"/>
  <c r="AD534" i="28"/>
  <c r="AB71" i="28"/>
  <c r="AA71" i="28"/>
  <c r="AB168" i="28"/>
  <c r="AA168" i="28"/>
  <c r="AB155" i="28"/>
  <c r="AA155" i="28"/>
  <c r="AF97" i="28"/>
  <c r="AB97" i="28"/>
  <c r="AA97" i="28"/>
  <c r="AB135" i="28"/>
  <c r="AA135" i="28"/>
  <c r="AA178" i="28"/>
  <c r="AB178" i="28"/>
  <c r="AA342" i="28"/>
  <c r="AB342" i="28"/>
  <c r="AA399" i="28"/>
  <c r="AB399" i="28"/>
  <c r="AB293" i="28"/>
  <c r="AA293" i="28"/>
  <c r="AB307" i="28"/>
  <c r="AA307" i="28"/>
  <c r="AB447" i="28"/>
  <c r="AA447" i="28"/>
  <c r="AB459" i="28"/>
  <c r="AA459" i="28"/>
  <c r="AB505" i="28"/>
  <c r="AA505" i="28"/>
  <c r="Y50" i="28"/>
  <c r="AF50" i="28"/>
  <c r="X50" i="28"/>
  <c r="Y43" i="28"/>
  <c r="AF43" i="28"/>
  <c r="X43" i="28"/>
  <c r="Y142" i="28"/>
  <c r="X142" i="28"/>
  <c r="AF142" i="28"/>
  <c r="Y391" i="28"/>
  <c r="AF391" i="28"/>
  <c r="X391" i="28"/>
  <c r="Y239" i="28"/>
  <c r="X239" i="28"/>
  <c r="AF239" i="28"/>
  <c r="Y221" i="28"/>
  <c r="AF221" i="28"/>
  <c r="X221" i="28"/>
  <c r="Y377" i="28"/>
  <c r="AF377" i="28"/>
  <c r="X377" i="28"/>
  <c r="Y301" i="28"/>
  <c r="X301" i="28"/>
  <c r="AF301" i="28"/>
  <c r="Y414" i="28"/>
  <c r="X414" i="28"/>
  <c r="AF414" i="28"/>
  <c r="Y294" i="28"/>
  <c r="X294" i="28"/>
  <c r="AF294" i="28"/>
  <c r="Y466" i="28"/>
  <c r="AF466" i="28"/>
  <c r="X466" i="28"/>
  <c r="Y531" i="28"/>
  <c r="X531" i="28"/>
  <c r="AF531" i="28"/>
  <c r="Y484" i="28"/>
  <c r="X484" i="28"/>
  <c r="AF484" i="28"/>
  <c r="AE84" i="28"/>
  <c r="AD84" i="28"/>
  <c r="AE237" i="28"/>
  <c r="AD237" i="28"/>
  <c r="AE434" i="28"/>
  <c r="AD434" i="28"/>
  <c r="AD329" i="28"/>
  <c r="AE329" i="28"/>
  <c r="AD188" i="28"/>
  <c r="AE188" i="28"/>
  <c r="AE138" i="28"/>
  <c r="AD138" i="28"/>
  <c r="AD406" i="28"/>
  <c r="AE406" i="28"/>
  <c r="AE311" i="28"/>
  <c r="AD311" i="28"/>
  <c r="AE591" i="28"/>
  <c r="AD591" i="28"/>
  <c r="AD376" i="28"/>
  <c r="AE376" i="28"/>
  <c r="AE524" i="28"/>
  <c r="AD524" i="28"/>
  <c r="AE552" i="28"/>
  <c r="AD552" i="28"/>
  <c r="AE542" i="28"/>
  <c r="AD542" i="28"/>
  <c r="AA104" i="28"/>
  <c r="AB104" i="28"/>
  <c r="AB232" i="28"/>
  <c r="AA232" i="28"/>
  <c r="AB95" i="28"/>
  <c r="AA95" i="28"/>
  <c r="AB262" i="28"/>
  <c r="AA262" i="28"/>
  <c r="AA204" i="28"/>
  <c r="AB204" i="28"/>
  <c r="AB186" i="28"/>
  <c r="AA186" i="28"/>
  <c r="AB302" i="28"/>
  <c r="AA302" i="28"/>
  <c r="AB279" i="28"/>
  <c r="AA279" i="28"/>
  <c r="AB493" i="28"/>
  <c r="AA493" i="28"/>
  <c r="AB368" i="28"/>
  <c r="AA368" i="28"/>
  <c r="AA484" i="28"/>
  <c r="AB484" i="28"/>
  <c r="AA583" i="28"/>
  <c r="AB583" i="28"/>
  <c r="AB467" i="28"/>
  <c r="AA467" i="28"/>
  <c r="AB558" i="28"/>
  <c r="AA558" i="28"/>
  <c r="AA606" i="28"/>
  <c r="AB606" i="28"/>
  <c r="AF617" i="28"/>
  <c r="X617" i="28"/>
  <c r="Y617" i="28"/>
  <c r="Y203" i="28"/>
  <c r="AF203" i="28"/>
  <c r="X203" i="28"/>
  <c r="AF51" i="28"/>
  <c r="X51" i="28"/>
  <c r="Y51" i="28"/>
  <c r="Y131" i="28"/>
  <c r="X131" i="28"/>
  <c r="AF131" i="28"/>
  <c r="Y297" i="28"/>
  <c r="AF297" i="28"/>
  <c r="X297" i="28"/>
  <c r="Y148" i="28"/>
  <c r="X148" i="28"/>
  <c r="AF148" i="28"/>
  <c r="X247" i="28"/>
  <c r="Y247" i="28"/>
  <c r="AF247" i="28"/>
  <c r="Y101" i="28"/>
  <c r="X101" i="28"/>
  <c r="AF101" i="28"/>
  <c r="Y120" i="28"/>
  <c r="X120" i="28"/>
  <c r="AF120" i="28"/>
  <c r="Y385" i="28"/>
  <c r="X385" i="28"/>
  <c r="AF385" i="28"/>
  <c r="X597" i="28"/>
  <c r="Y597" i="28"/>
  <c r="AF597" i="28"/>
  <c r="Y309" i="28"/>
  <c r="X309" i="28"/>
  <c r="AF309" i="28"/>
  <c r="Y360" i="28"/>
  <c r="AF360" i="28"/>
  <c r="X360" i="28"/>
  <c r="X371" i="28"/>
  <c r="Y371" i="28"/>
  <c r="AF371" i="28"/>
  <c r="Y445" i="28"/>
  <c r="X445" i="28"/>
  <c r="AF445" i="28"/>
  <c r="Y474" i="28"/>
  <c r="X474" i="28"/>
  <c r="AF474" i="28"/>
  <c r="Y539" i="28"/>
  <c r="X539" i="28"/>
  <c r="AF539" i="28"/>
  <c r="Y574" i="28"/>
  <c r="AF574" i="28"/>
  <c r="X574" i="28"/>
  <c r="Y556" i="28"/>
  <c r="AF556" i="28"/>
  <c r="X556" i="28"/>
  <c r="AD617" i="28"/>
  <c r="AE617" i="28"/>
  <c r="AE157" i="28"/>
  <c r="AD157" i="28"/>
  <c r="AD267" i="28"/>
  <c r="AE267" i="28"/>
  <c r="AD52" i="28"/>
  <c r="AE52" i="28"/>
  <c r="AE23" i="28"/>
  <c r="AD23" i="28"/>
  <c r="AD141" i="28"/>
  <c r="AE141" i="28"/>
  <c r="AE58" i="28"/>
  <c r="AD58" i="28"/>
  <c r="AE13" i="28"/>
  <c r="AD13" i="28"/>
  <c r="AD85" i="28"/>
  <c r="AE85" i="28"/>
  <c r="AD40" i="28"/>
  <c r="AE40" i="28"/>
  <c r="AD213" i="28"/>
  <c r="AE213" i="28"/>
  <c r="AE67" i="28"/>
  <c r="AD67" i="28"/>
  <c r="AE30" i="28"/>
  <c r="AD30" i="28"/>
  <c r="AD116" i="28"/>
  <c r="AE116" i="28"/>
  <c r="AD144" i="28"/>
  <c r="AE144" i="28"/>
  <c r="AE208" i="28"/>
  <c r="AD208" i="28"/>
  <c r="AE281" i="28"/>
  <c r="AD281" i="28"/>
  <c r="AD99" i="28"/>
  <c r="AE99" i="28"/>
  <c r="AD163" i="28"/>
  <c r="AE163" i="28"/>
  <c r="AE227" i="28"/>
  <c r="AD227" i="28"/>
  <c r="AE412" i="28"/>
  <c r="AD412" i="28"/>
  <c r="AD126" i="28"/>
  <c r="AE126" i="28"/>
  <c r="AF190" i="28"/>
  <c r="AD190" i="28"/>
  <c r="AE190" i="28"/>
  <c r="AE254" i="28"/>
  <c r="AD254" i="28"/>
  <c r="AD89" i="28"/>
  <c r="AE89" i="28"/>
  <c r="AE153" i="28"/>
  <c r="AD153" i="28"/>
  <c r="AD217" i="28"/>
  <c r="AE217" i="28"/>
  <c r="AE305" i="28"/>
  <c r="AD305" i="28"/>
  <c r="AD156" i="28"/>
  <c r="AE156" i="28"/>
  <c r="AE220" i="28"/>
  <c r="AD220" i="28"/>
  <c r="AE313" i="28"/>
  <c r="AD313" i="28"/>
  <c r="AD119" i="28"/>
  <c r="AE119" i="28"/>
  <c r="AD183" i="28"/>
  <c r="AE183" i="28"/>
  <c r="AE247" i="28"/>
  <c r="AD247" i="28"/>
  <c r="AD106" i="28"/>
  <c r="AE106" i="28"/>
  <c r="AD170" i="28"/>
  <c r="AE170" i="28"/>
  <c r="AE234" i="28"/>
  <c r="AD234" i="28"/>
  <c r="AE315" i="28"/>
  <c r="AD315" i="28"/>
  <c r="AD379" i="28"/>
  <c r="AE379" i="28"/>
  <c r="AE594" i="28"/>
  <c r="AD594" i="28"/>
  <c r="AE374" i="28"/>
  <c r="AD374" i="28"/>
  <c r="AD447" i="28"/>
  <c r="AE447" i="28"/>
  <c r="AD292" i="28"/>
  <c r="AE292" i="28"/>
  <c r="AE356" i="28"/>
  <c r="AD356" i="28"/>
  <c r="AE439" i="28"/>
  <c r="AD439" i="28"/>
  <c r="AD279" i="28"/>
  <c r="AE279" i="28"/>
  <c r="AD343" i="28"/>
  <c r="AE343" i="28"/>
  <c r="AE407" i="28"/>
  <c r="AD407" i="28"/>
  <c r="AE482" i="28"/>
  <c r="AD482" i="28"/>
  <c r="AD298" i="28"/>
  <c r="AE298" i="28"/>
  <c r="AE362" i="28"/>
  <c r="AD362" i="28"/>
  <c r="AE463" i="28"/>
  <c r="AD463" i="28"/>
  <c r="AD285" i="28"/>
  <c r="AE285" i="28"/>
  <c r="AE349" i="28"/>
  <c r="AD349" i="28"/>
  <c r="AE436" i="28"/>
  <c r="AD436" i="28"/>
  <c r="AE280" i="28"/>
  <c r="AD280" i="28"/>
  <c r="AD344" i="28"/>
  <c r="AE344" i="28"/>
  <c r="AE408" i="28"/>
  <c r="AD408" i="28"/>
  <c r="AE487" i="28"/>
  <c r="AD487" i="28"/>
  <c r="AE465" i="28"/>
  <c r="AD465" i="28"/>
  <c r="AE529" i="28"/>
  <c r="AD529" i="28"/>
  <c r="AE593" i="28"/>
  <c r="AD593" i="28"/>
  <c r="AD492" i="28"/>
  <c r="AE492" i="28"/>
  <c r="AE556" i="28"/>
  <c r="AD556" i="28"/>
  <c r="AE429" i="28"/>
  <c r="AD429" i="28"/>
  <c r="AD493" i="28"/>
  <c r="AE493" i="28"/>
  <c r="AE557" i="28"/>
  <c r="AD557" i="28"/>
  <c r="AD456" i="28"/>
  <c r="AE456" i="28"/>
  <c r="AD520" i="28"/>
  <c r="AE520" i="28"/>
  <c r="AE584" i="28"/>
  <c r="AD584" i="28"/>
  <c r="AE483" i="28"/>
  <c r="AD483" i="28"/>
  <c r="AE547" i="28"/>
  <c r="AD547" i="28"/>
  <c r="AD446" i="28"/>
  <c r="AE446" i="28"/>
  <c r="AE510" i="28"/>
  <c r="AD510" i="28"/>
  <c r="AE574" i="28"/>
  <c r="AD574" i="28"/>
  <c r="AE600" i="28"/>
  <c r="AD600" i="28"/>
  <c r="AA622" i="28"/>
  <c r="AB622" i="28"/>
  <c r="AA36" i="28"/>
  <c r="AB36" i="28"/>
  <c r="AB28" i="28"/>
  <c r="AA28" i="28"/>
  <c r="AB47" i="28"/>
  <c r="AA47" i="28"/>
  <c r="AB364" i="28"/>
  <c r="AA364" i="28"/>
  <c r="AB74" i="28"/>
  <c r="AA74" i="28"/>
  <c r="AA21" i="28"/>
  <c r="AB21" i="28"/>
  <c r="AB144" i="28"/>
  <c r="AA144" i="28"/>
  <c r="AB64" i="28"/>
  <c r="AA64" i="28"/>
  <c r="AA35" i="28"/>
  <c r="AB35" i="28"/>
  <c r="AA128" i="28"/>
  <c r="AB128" i="28"/>
  <c r="AB46" i="28"/>
  <c r="AA46" i="28"/>
  <c r="AB216" i="28"/>
  <c r="AA216" i="28"/>
  <c r="AB65" i="28"/>
  <c r="AA65" i="28"/>
  <c r="AB131" i="28"/>
  <c r="AA131" i="28"/>
  <c r="AB195" i="28"/>
  <c r="AA195" i="28"/>
  <c r="AB259" i="28"/>
  <c r="AA259" i="28"/>
  <c r="AB102" i="28"/>
  <c r="AA102" i="28"/>
  <c r="AB166" i="28"/>
  <c r="AA166" i="28"/>
  <c r="AA230" i="28"/>
  <c r="AB230" i="28"/>
  <c r="AA439" i="28"/>
  <c r="AB439" i="28"/>
  <c r="AB137" i="28"/>
  <c r="AA137" i="28"/>
  <c r="AB201" i="28"/>
  <c r="AA201" i="28"/>
  <c r="AA270" i="28"/>
  <c r="AB270" i="28"/>
  <c r="AB108" i="28"/>
  <c r="AA108" i="28"/>
  <c r="AB172" i="28"/>
  <c r="AA172" i="28"/>
  <c r="AB236" i="28"/>
  <c r="AA236" i="28"/>
  <c r="AB396" i="28"/>
  <c r="AA396" i="28"/>
  <c r="AA175" i="28"/>
  <c r="AB175" i="28"/>
  <c r="AA239" i="28"/>
  <c r="AB239" i="28"/>
  <c r="AA90" i="28"/>
  <c r="AB90" i="28"/>
  <c r="AB154" i="28"/>
  <c r="AA154" i="28"/>
  <c r="AA218" i="28"/>
  <c r="AB218" i="28"/>
  <c r="AA300" i="28"/>
  <c r="AB300" i="28"/>
  <c r="AA117" i="28"/>
  <c r="AB117" i="28"/>
  <c r="AA181" i="28"/>
  <c r="AB181" i="28"/>
  <c r="AA245" i="28"/>
  <c r="AB245" i="28"/>
  <c r="AA318" i="28"/>
  <c r="AB318" i="28"/>
  <c r="AB382" i="28"/>
  <c r="AA382" i="28"/>
  <c r="AB477" i="28"/>
  <c r="AA477" i="28"/>
  <c r="AA353" i="28"/>
  <c r="AB353" i="28"/>
  <c r="AB412" i="28"/>
  <c r="AA412" i="28"/>
  <c r="AB554" i="28"/>
  <c r="AA554" i="28"/>
  <c r="AB311" i="28"/>
  <c r="AA311" i="28"/>
  <c r="AB375" i="28"/>
  <c r="AA375" i="28"/>
  <c r="AB428" i="28"/>
  <c r="AA428" i="28"/>
  <c r="AA274" i="28"/>
  <c r="AB274" i="28"/>
  <c r="AA338" i="28"/>
  <c r="AB338" i="28"/>
  <c r="AB402" i="28"/>
  <c r="AA402" i="28"/>
  <c r="AA269" i="28"/>
  <c r="AB269" i="28"/>
  <c r="AB333" i="28"/>
  <c r="AA333" i="28"/>
  <c r="AA397" i="28"/>
  <c r="AB397" i="28"/>
  <c r="AB272" i="28"/>
  <c r="AA272" i="28"/>
  <c r="AB336" i="28"/>
  <c r="AA336" i="28"/>
  <c r="AA400" i="28"/>
  <c r="AB400" i="28"/>
  <c r="AA429" i="28"/>
  <c r="AB429" i="28"/>
  <c r="AB283" i="28"/>
  <c r="AA283" i="28"/>
  <c r="AB347" i="28"/>
  <c r="AA347" i="28"/>
  <c r="AB433" i="28"/>
  <c r="AA433" i="28"/>
  <c r="AB452" i="28"/>
  <c r="AA452" i="28"/>
  <c r="AA516" i="28"/>
  <c r="AB516" i="28"/>
  <c r="AA580" i="28"/>
  <c r="AB580" i="28"/>
  <c r="AB487" i="28"/>
  <c r="AA487" i="28"/>
  <c r="AB551" i="28"/>
  <c r="AA551" i="28"/>
  <c r="AB416" i="28"/>
  <c r="AA416" i="28"/>
  <c r="AB480" i="28"/>
  <c r="AA480" i="28"/>
  <c r="AB544" i="28"/>
  <c r="AA544" i="28"/>
  <c r="AB608" i="28"/>
  <c r="AA608" i="28"/>
  <c r="AA499" i="28"/>
  <c r="AB499" i="28"/>
  <c r="AB563" i="28"/>
  <c r="AA563" i="28"/>
  <c r="AB462" i="28"/>
  <c r="AA462" i="28"/>
  <c r="AA526" i="28"/>
  <c r="AB526" i="28"/>
  <c r="AB590" i="28"/>
  <c r="AA590" i="28"/>
  <c r="AA481" i="28"/>
  <c r="AB481" i="28"/>
  <c r="AB545" i="28"/>
  <c r="AA545" i="28"/>
  <c r="AB607" i="28"/>
  <c r="AA607" i="28"/>
  <c r="AB612" i="28"/>
  <c r="AA612" i="28"/>
  <c r="Y624" i="28"/>
  <c r="AF624" i="28"/>
  <c r="X624" i="28"/>
  <c r="Y23" i="28"/>
  <c r="X23" i="28"/>
  <c r="AF23" i="28"/>
  <c r="Y26" i="28"/>
  <c r="AF26" i="28"/>
  <c r="X26" i="28"/>
  <c r="Y83" i="28"/>
  <c r="X83" i="28"/>
  <c r="AF83" i="28"/>
  <c r="Y45" i="28"/>
  <c r="X45" i="28"/>
  <c r="AF45" i="28"/>
  <c r="Y13" i="28"/>
  <c r="X13" i="28"/>
  <c r="AF13" i="28"/>
  <c r="Y72" i="28"/>
  <c r="AF72" i="28"/>
  <c r="X72" i="28"/>
  <c r="Y19" i="28"/>
  <c r="X19" i="28"/>
  <c r="AF19" i="28"/>
  <c r="Y78" i="28"/>
  <c r="X78" i="28"/>
  <c r="AF78" i="28"/>
  <c r="Y30" i="28"/>
  <c r="AF30" i="28"/>
  <c r="X30" i="28"/>
  <c r="Y171" i="28"/>
  <c r="AF171" i="28"/>
  <c r="X171" i="28"/>
  <c r="AF65" i="28"/>
  <c r="X65" i="28"/>
  <c r="Y65" i="28"/>
  <c r="Y28" i="28"/>
  <c r="X28" i="28"/>
  <c r="AF28" i="28"/>
  <c r="Y219" i="28"/>
  <c r="X219" i="28"/>
  <c r="AF219" i="28"/>
  <c r="AF182" i="28"/>
  <c r="X182" i="28"/>
  <c r="Y182" i="28"/>
  <c r="X246" i="28"/>
  <c r="Y246" i="28"/>
  <c r="AF246" i="28"/>
  <c r="AF81" i="28"/>
  <c r="Y81" i="28"/>
  <c r="X81" i="28"/>
  <c r="Y145" i="28"/>
  <c r="X145" i="28"/>
  <c r="AF145" i="28"/>
  <c r="Y209" i="28"/>
  <c r="X209" i="28"/>
  <c r="AF209" i="28"/>
  <c r="Y305" i="28"/>
  <c r="AF305" i="28"/>
  <c r="X305" i="28"/>
  <c r="Y116" i="28"/>
  <c r="X116" i="28"/>
  <c r="AF116" i="28"/>
  <c r="Y180" i="28"/>
  <c r="X180" i="28"/>
  <c r="AF180" i="28"/>
  <c r="Y244" i="28"/>
  <c r="X244" i="28"/>
  <c r="AF244" i="28"/>
  <c r="AF87" i="28"/>
  <c r="Y87" i="28"/>
  <c r="X87" i="28"/>
  <c r="Y151" i="28"/>
  <c r="AF151" i="28"/>
  <c r="X151" i="28"/>
  <c r="AF215" i="28"/>
  <c r="X215" i="28"/>
  <c r="Y215" i="28"/>
  <c r="Y375" i="28"/>
  <c r="X375" i="28"/>
  <c r="AF375" i="28"/>
  <c r="X170" i="28"/>
  <c r="Y170" i="28"/>
  <c r="AF170" i="28"/>
  <c r="X234" i="28"/>
  <c r="AF234" i="28"/>
  <c r="Y234" i="28"/>
  <c r="X399" i="28"/>
  <c r="Y399" i="28"/>
  <c r="AF399" i="28"/>
  <c r="Y133" i="28"/>
  <c r="X133" i="28"/>
  <c r="AF133" i="28"/>
  <c r="AF197" i="28"/>
  <c r="Y197" i="28"/>
  <c r="X197" i="28"/>
  <c r="Y261" i="28"/>
  <c r="AF261" i="28"/>
  <c r="X261" i="28"/>
  <c r="Y88" i="28"/>
  <c r="X88" i="28"/>
  <c r="AF88" i="28"/>
  <c r="Y152" i="28"/>
  <c r="AF152" i="28"/>
  <c r="X152" i="28"/>
  <c r="Y216" i="28"/>
  <c r="X216" i="28"/>
  <c r="AF216" i="28"/>
  <c r="Y319" i="28"/>
  <c r="X319" i="28"/>
  <c r="AF319" i="28"/>
  <c r="Y353" i="28"/>
  <c r="AF353" i="28"/>
  <c r="X353" i="28"/>
  <c r="X412" i="28"/>
  <c r="AF412" i="28"/>
  <c r="Y412" i="28"/>
  <c r="Y520" i="28"/>
  <c r="X520" i="28"/>
  <c r="AF520" i="28"/>
  <c r="AF356" i="28"/>
  <c r="X356" i="28"/>
  <c r="Y356" i="28"/>
  <c r="Y469" i="28"/>
  <c r="X469" i="28"/>
  <c r="AF469" i="28"/>
  <c r="Y290" i="28"/>
  <c r="X290" i="28"/>
  <c r="AF290" i="28"/>
  <c r="Y354" i="28"/>
  <c r="X354" i="28"/>
  <c r="AF354" i="28"/>
  <c r="Y413" i="28"/>
  <c r="AF413" i="28"/>
  <c r="X413" i="28"/>
  <c r="Y277" i="28"/>
  <c r="AF277" i="28"/>
  <c r="X277" i="28"/>
  <c r="X341" i="28"/>
  <c r="Y341" i="28"/>
  <c r="AF341" i="28"/>
  <c r="Y405" i="28"/>
  <c r="X405" i="28"/>
  <c r="AF405" i="28"/>
  <c r="Y264" i="28"/>
  <c r="AF264" i="28"/>
  <c r="X264" i="28"/>
  <c r="X328" i="28"/>
  <c r="AF328" i="28"/>
  <c r="Y328" i="28"/>
  <c r="Y392" i="28"/>
  <c r="X392" i="28"/>
  <c r="AF392" i="28"/>
  <c r="Y429" i="28"/>
  <c r="AF429" i="28"/>
  <c r="X429" i="28"/>
  <c r="AF275" i="28"/>
  <c r="Y275" i="28"/>
  <c r="X275" i="28"/>
  <c r="Y339" i="28"/>
  <c r="X339" i="28"/>
  <c r="AF339" i="28"/>
  <c r="Y403" i="28"/>
  <c r="AF403" i="28"/>
  <c r="X403" i="28"/>
  <c r="AF270" i="28"/>
  <c r="Y270" i="28"/>
  <c r="X270" i="28"/>
  <c r="Y334" i="28"/>
  <c r="X334" i="28"/>
  <c r="AF334" i="28"/>
  <c r="X398" i="28"/>
  <c r="Y398" i="28"/>
  <c r="AF398" i="28"/>
  <c r="AF573" i="28"/>
  <c r="X573" i="28"/>
  <c r="Y573" i="28"/>
  <c r="Y487" i="28"/>
  <c r="AF487" i="28"/>
  <c r="X487" i="28"/>
  <c r="Y551" i="28"/>
  <c r="X551" i="28"/>
  <c r="AF551" i="28"/>
  <c r="Y442" i="28"/>
  <c r="X442" i="28"/>
  <c r="AF442" i="28"/>
  <c r="Y506" i="28"/>
  <c r="AF506" i="28"/>
  <c r="X506" i="28"/>
  <c r="X570" i="28"/>
  <c r="Y570" i="28"/>
  <c r="AF570" i="28"/>
  <c r="Y443" i="28"/>
  <c r="X443" i="28"/>
  <c r="AF443" i="28"/>
  <c r="X507" i="28"/>
  <c r="Y507" i="28"/>
  <c r="AF507" i="28"/>
  <c r="AF571" i="28"/>
  <c r="X571" i="28"/>
  <c r="Y571" i="28"/>
  <c r="Y478" i="28"/>
  <c r="X478" i="28"/>
  <c r="AF478" i="28"/>
  <c r="Y542" i="28"/>
  <c r="AF542" i="28"/>
  <c r="X542" i="28"/>
  <c r="X601" i="28"/>
  <c r="Y601" i="28"/>
  <c r="AF601" i="28"/>
  <c r="AF497" i="28"/>
  <c r="X497" i="28"/>
  <c r="Y497" i="28"/>
  <c r="Y561" i="28"/>
  <c r="AF561" i="28"/>
  <c r="X561" i="28"/>
  <c r="AF460" i="28"/>
  <c r="Y460" i="28"/>
  <c r="X460" i="28"/>
  <c r="X524" i="28"/>
  <c r="Y524" i="28"/>
  <c r="AF524" i="28"/>
  <c r="Y588" i="28"/>
  <c r="X588" i="28"/>
  <c r="AF588" i="28"/>
  <c r="Y604" i="28"/>
  <c r="X604" i="28"/>
  <c r="AF604" i="28"/>
  <c r="AE96" i="28"/>
  <c r="AD96" i="28"/>
  <c r="AE173" i="28"/>
  <c r="AD173" i="28"/>
  <c r="AD123" i="28"/>
  <c r="AE123" i="28"/>
  <c r="AE241" i="28"/>
  <c r="AD241" i="28"/>
  <c r="AE207" i="28"/>
  <c r="AD207" i="28"/>
  <c r="AE398" i="28"/>
  <c r="AD398" i="28"/>
  <c r="AE322" i="28"/>
  <c r="AD322" i="28"/>
  <c r="AE304" i="28"/>
  <c r="AD304" i="28"/>
  <c r="AE580" i="28"/>
  <c r="AD580" i="28"/>
  <c r="AE470" i="28"/>
  <c r="AD470" i="28"/>
  <c r="AA13" i="28"/>
  <c r="AB13" i="28"/>
  <c r="AB70" i="28"/>
  <c r="AA70" i="28"/>
  <c r="AA190" i="28"/>
  <c r="AB190" i="28"/>
  <c r="AB196" i="28"/>
  <c r="AA196" i="28"/>
  <c r="AB565" i="28"/>
  <c r="AA565" i="28"/>
  <c r="AB377" i="28"/>
  <c r="AA377" i="28"/>
  <c r="AB461" i="28"/>
  <c r="AA461" i="28"/>
  <c r="AB414" i="28"/>
  <c r="AA414" i="28"/>
  <c r="AA511" i="28"/>
  <c r="AB511" i="28"/>
  <c r="AB587" i="28"/>
  <c r="AA587" i="28"/>
  <c r="Y15" i="28"/>
  <c r="AF15" i="28"/>
  <c r="X15" i="28"/>
  <c r="AF147" i="28"/>
  <c r="X147" i="28"/>
  <c r="Y147" i="28"/>
  <c r="Y206" i="28"/>
  <c r="X206" i="28"/>
  <c r="AF206" i="28"/>
  <c r="Y204" i="28"/>
  <c r="AF204" i="28"/>
  <c r="X204" i="28"/>
  <c r="X157" i="28"/>
  <c r="AF157" i="28"/>
  <c r="Y157" i="28"/>
  <c r="Y576" i="28"/>
  <c r="AF576" i="28"/>
  <c r="X576" i="28"/>
  <c r="Y314" i="28"/>
  <c r="X314" i="28"/>
  <c r="AF314" i="28"/>
  <c r="AF363" i="28"/>
  <c r="X363" i="28"/>
  <c r="Y363" i="28"/>
  <c r="Y511" i="28"/>
  <c r="AF511" i="28"/>
  <c r="X511" i="28"/>
  <c r="X457" i="28"/>
  <c r="Y457" i="28"/>
  <c r="AF457" i="28"/>
  <c r="AE181" i="28"/>
  <c r="AD181" i="28"/>
  <c r="AD72" i="28"/>
  <c r="AE72" i="28"/>
  <c r="AD195" i="28"/>
  <c r="AE195" i="28"/>
  <c r="AD249" i="28"/>
  <c r="AE249" i="28"/>
  <c r="AE401" i="28"/>
  <c r="AD401" i="28"/>
  <c r="AE388" i="28"/>
  <c r="AD388" i="28"/>
  <c r="AD394" i="28"/>
  <c r="AE394" i="28"/>
  <c r="AD561" i="28"/>
  <c r="AE561" i="28"/>
  <c r="AE488" i="28"/>
  <c r="AD488" i="28"/>
  <c r="AE602" i="28"/>
  <c r="AD602" i="28"/>
  <c r="AB32" i="28"/>
  <c r="AA32" i="28"/>
  <c r="AB163" i="28"/>
  <c r="AA163" i="28"/>
  <c r="AF169" i="28"/>
  <c r="AA169" i="28"/>
  <c r="AB169" i="28"/>
  <c r="AA122" i="28"/>
  <c r="AB122" i="28"/>
  <c r="AA427" i="28"/>
  <c r="AB427" i="28"/>
  <c r="AB370" i="28"/>
  <c r="AA370" i="28"/>
  <c r="AA549" i="28"/>
  <c r="AB549" i="28"/>
  <c r="Y313" i="28"/>
  <c r="AF313" i="28"/>
  <c r="X313" i="28"/>
  <c r="AE627" i="28"/>
  <c r="AD627" i="28"/>
  <c r="AD49" i="28"/>
  <c r="AE49" i="28"/>
  <c r="AD60" i="28"/>
  <c r="AE60" i="28"/>
  <c r="AE31" i="28"/>
  <c r="AD31" i="28"/>
  <c r="AE205" i="28"/>
  <c r="AD205" i="28"/>
  <c r="AE66" i="28"/>
  <c r="AD66" i="28"/>
  <c r="AD21" i="28"/>
  <c r="AE21" i="28"/>
  <c r="AE48" i="28"/>
  <c r="AD48" i="28"/>
  <c r="AD302" i="28"/>
  <c r="AE302" i="28"/>
  <c r="AD101" i="28"/>
  <c r="AE101" i="28"/>
  <c r="AE38" i="28"/>
  <c r="AD38" i="28"/>
  <c r="AE133" i="28"/>
  <c r="AD133" i="28"/>
  <c r="AE152" i="28"/>
  <c r="AD152" i="28"/>
  <c r="AD216" i="28"/>
  <c r="AE216" i="28"/>
  <c r="AE310" i="28"/>
  <c r="AD310" i="28"/>
  <c r="AE107" i="28"/>
  <c r="AD107" i="28"/>
  <c r="AD171" i="28"/>
  <c r="AE171" i="28"/>
  <c r="AE235" i="28"/>
  <c r="AD235" i="28"/>
  <c r="AE522" i="28"/>
  <c r="AD522" i="28"/>
  <c r="AE134" i="28"/>
  <c r="AD134" i="28"/>
  <c r="AE198" i="28"/>
  <c r="AD198" i="28"/>
  <c r="AD262" i="28"/>
  <c r="AE262" i="28"/>
  <c r="AD97" i="28"/>
  <c r="AE97" i="28"/>
  <c r="AE161" i="28"/>
  <c r="AD161" i="28"/>
  <c r="AE225" i="28"/>
  <c r="AD225" i="28"/>
  <c r="AE353" i="28"/>
  <c r="AD353" i="28"/>
  <c r="AE164" i="28"/>
  <c r="AD164" i="28"/>
  <c r="AE228" i="28"/>
  <c r="AD228" i="28"/>
  <c r="AE377" i="28"/>
  <c r="AD377" i="28"/>
  <c r="AE127" i="28"/>
  <c r="AD127" i="28"/>
  <c r="AE191" i="28"/>
  <c r="AD191" i="28"/>
  <c r="AE255" i="28"/>
  <c r="AD255" i="28"/>
  <c r="AE114" i="28"/>
  <c r="AD114" i="28"/>
  <c r="AE178" i="28"/>
  <c r="AD178" i="28"/>
  <c r="AE242" i="28"/>
  <c r="AD242" i="28"/>
  <c r="AD323" i="28"/>
  <c r="AE323" i="28"/>
  <c r="AD387" i="28"/>
  <c r="AE387" i="28"/>
  <c r="AE318" i="28"/>
  <c r="AD318" i="28"/>
  <c r="AE382" i="28"/>
  <c r="AD382" i="28"/>
  <c r="AD479" i="28"/>
  <c r="AE479" i="28"/>
  <c r="AE300" i="28"/>
  <c r="AD300" i="28"/>
  <c r="AE364" i="28"/>
  <c r="AD364" i="28"/>
  <c r="AD471" i="28"/>
  <c r="AE471" i="28"/>
  <c r="AE287" i="28"/>
  <c r="AD287" i="28"/>
  <c r="AD351" i="28"/>
  <c r="AE351" i="28"/>
  <c r="AD416" i="28"/>
  <c r="AE416" i="28"/>
  <c r="AE514" i="28"/>
  <c r="AD514" i="28"/>
  <c r="AE306" i="28"/>
  <c r="AD306" i="28"/>
  <c r="AD370" i="28"/>
  <c r="AE370" i="28"/>
  <c r="AE495" i="28"/>
  <c r="AD495" i="28"/>
  <c r="AD293" i="28"/>
  <c r="AE293" i="28"/>
  <c r="AD357" i="28"/>
  <c r="AE357" i="28"/>
  <c r="AE442" i="28"/>
  <c r="AD442" i="28"/>
  <c r="AD288" i="28"/>
  <c r="AE288" i="28"/>
  <c r="AE352" i="28"/>
  <c r="AD352" i="28"/>
  <c r="AE411" i="28"/>
  <c r="AD411" i="28"/>
  <c r="AE519" i="28"/>
  <c r="AD519" i="28"/>
  <c r="AE473" i="28"/>
  <c r="AD473" i="28"/>
  <c r="AE537" i="28"/>
  <c r="AD537" i="28"/>
  <c r="AD613" i="28"/>
  <c r="AE613" i="28"/>
  <c r="AD500" i="28"/>
  <c r="AE500" i="28"/>
  <c r="AE564" i="28"/>
  <c r="AD564" i="28"/>
  <c r="AE437" i="28"/>
  <c r="AD437" i="28"/>
  <c r="AE501" i="28"/>
  <c r="AD501" i="28"/>
  <c r="AE565" i="28"/>
  <c r="AD565" i="28"/>
  <c r="AE464" i="28"/>
  <c r="AD464" i="28"/>
  <c r="AE528" i="28"/>
  <c r="AD528" i="28"/>
  <c r="AD592" i="28"/>
  <c r="AE592" i="28"/>
  <c r="AD491" i="28"/>
  <c r="AE491" i="28"/>
  <c r="AE555" i="28"/>
  <c r="AD555" i="28"/>
  <c r="AE454" i="28"/>
  <c r="AD454" i="28"/>
  <c r="AE518" i="28"/>
  <c r="AD518" i="28"/>
  <c r="AE582" i="28"/>
  <c r="AD582" i="28"/>
  <c r="AE608" i="28"/>
  <c r="AD608" i="28"/>
  <c r="AB623" i="28"/>
  <c r="AA623" i="28"/>
  <c r="AB60" i="28"/>
  <c r="AA60" i="28"/>
  <c r="AB52" i="28"/>
  <c r="AA52" i="28"/>
  <c r="AB55" i="28"/>
  <c r="AA55" i="28"/>
  <c r="AA18" i="28"/>
  <c r="AB18" i="28"/>
  <c r="AA77" i="28"/>
  <c r="AB77" i="28"/>
  <c r="AB29" i="28"/>
  <c r="AA29" i="28"/>
  <c r="AA208" i="28"/>
  <c r="AB208" i="28"/>
  <c r="AB72" i="28"/>
  <c r="AA72" i="28"/>
  <c r="AB43" i="28"/>
  <c r="AA43" i="28"/>
  <c r="AA192" i="28"/>
  <c r="AB192" i="28"/>
  <c r="AB54" i="28"/>
  <c r="AA54" i="28"/>
  <c r="AB310" i="28"/>
  <c r="AA310" i="28"/>
  <c r="AB73" i="28"/>
  <c r="AA73" i="28"/>
  <c r="AB139" i="28"/>
  <c r="AA139" i="28"/>
  <c r="AB203" i="28"/>
  <c r="AA203" i="28"/>
  <c r="AB289" i="28"/>
  <c r="AA289" i="28"/>
  <c r="AB110" i="28"/>
  <c r="AA110" i="28"/>
  <c r="AA174" i="28"/>
  <c r="AB174" i="28"/>
  <c r="AB238" i="28"/>
  <c r="AA238" i="28"/>
  <c r="AB81" i="28"/>
  <c r="AA81" i="28"/>
  <c r="AB145" i="28"/>
  <c r="AA145" i="28"/>
  <c r="AB209" i="28"/>
  <c r="AA209" i="28"/>
  <c r="AB276" i="28"/>
  <c r="AA276" i="28"/>
  <c r="AB116" i="28"/>
  <c r="AA116" i="28"/>
  <c r="AB180" i="28"/>
  <c r="AA180" i="28"/>
  <c r="AB244" i="28"/>
  <c r="AA244" i="28"/>
  <c r="AA119" i="28"/>
  <c r="AB119" i="28"/>
  <c r="AA183" i="28"/>
  <c r="AB183" i="28"/>
  <c r="AA247" i="28"/>
  <c r="AB247" i="28"/>
  <c r="AA98" i="28"/>
  <c r="AB98" i="28"/>
  <c r="AA162" i="28"/>
  <c r="AB162" i="28"/>
  <c r="AB226" i="28"/>
  <c r="AA226" i="28"/>
  <c r="AB316" i="28"/>
  <c r="AA316" i="28"/>
  <c r="AA125" i="28"/>
  <c r="AB125" i="28"/>
  <c r="AB189" i="28"/>
  <c r="AA189" i="28"/>
  <c r="AB253" i="28"/>
  <c r="AA253" i="28"/>
  <c r="AB326" i="28"/>
  <c r="AA326" i="28"/>
  <c r="AB390" i="28"/>
  <c r="AA390" i="28"/>
  <c r="AB509" i="28"/>
  <c r="AA509" i="28"/>
  <c r="AB361" i="28"/>
  <c r="AA361" i="28"/>
  <c r="AB415" i="28"/>
  <c r="AA415" i="28"/>
  <c r="AB586" i="28"/>
  <c r="AA586" i="28"/>
  <c r="AB319" i="28"/>
  <c r="AA319" i="28"/>
  <c r="AA383" i="28"/>
  <c r="AB383" i="28"/>
  <c r="AB435" i="28"/>
  <c r="AA435" i="28"/>
  <c r="AA282" i="28"/>
  <c r="AB282" i="28"/>
  <c r="AB346" i="28"/>
  <c r="AA346" i="28"/>
  <c r="AB410" i="28"/>
  <c r="AA410" i="28"/>
  <c r="AB277" i="28"/>
  <c r="AA277" i="28"/>
  <c r="AB341" i="28"/>
  <c r="AA341" i="28"/>
  <c r="AB405" i="28"/>
  <c r="AA405" i="28"/>
  <c r="AB280" i="28"/>
  <c r="AA280" i="28"/>
  <c r="AB344" i="28"/>
  <c r="AA344" i="28"/>
  <c r="AB408" i="28"/>
  <c r="AA408" i="28"/>
  <c r="AB453" i="28"/>
  <c r="AA453" i="28"/>
  <c r="AA291" i="28"/>
  <c r="AB291" i="28"/>
  <c r="AB355" i="28"/>
  <c r="AA355" i="28"/>
  <c r="AB466" i="28"/>
  <c r="AA466" i="28"/>
  <c r="AB460" i="28"/>
  <c r="AA460" i="28"/>
  <c r="AB524" i="28"/>
  <c r="AA524" i="28"/>
  <c r="AA588" i="28"/>
  <c r="AB588" i="28"/>
  <c r="AB495" i="28"/>
  <c r="AA495" i="28"/>
  <c r="AB559" i="28"/>
  <c r="AA559" i="28"/>
  <c r="AA424" i="28"/>
  <c r="AB424" i="28"/>
  <c r="AB488" i="28"/>
  <c r="AA488" i="28"/>
  <c r="AB552" i="28"/>
  <c r="AA552" i="28"/>
  <c r="AB443" i="28"/>
  <c r="AA443" i="28"/>
  <c r="AB507" i="28"/>
  <c r="AA507" i="28"/>
  <c r="AA571" i="28"/>
  <c r="AB571" i="28"/>
  <c r="AB470" i="28"/>
  <c r="AA470" i="28"/>
  <c r="AB534" i="28"/>
  <c r="AA534" i="28"/>
  <c r="AB598" i="28"/>
  <c r="AA598" i="28"/>
  <c r="AA489" i="28"/>
  <c r="AB489" i="28"/>
  <c r="AB553" i="28"/>
  <c r="AA553" i="28"/>
  <c r="AB610" i="28"/>
  <c r="AA610" i="28"/>
  <c r="AF628" i="28"/>
  <c r="Y628" i="28"/>
  <c r="X628" i="28"/>
  <c r="X626" i="28"/>
  <c r="AF626" i="28"/>
  <c r="Y626" i="28"/>
  <c r="Y243" i="28"/>
  <c r="AF243" i="28"/>
  <c r="X243" i="28"/>
  <c r="X34" i="28"/>
  <c r="Y34" i="28"/>
  <c r="AF34" i="28"/>
  <c r="Y90" i="28"/>
  <c r="AF90" i="28"/>
  <c r="X90" i="28"/>
  <c r="Y53" i="28"/>
  <c r="X53" i="28"/>
  <c r="AF53" i="28"/>
  <c r="Y16" i="28"/>
  <c r="X16" i="28"/>
  <c r="AF16" i="28"/>
  <c r="X99" i="28"/>
  <c r="Y99" i="28"/>
  <c r="AF99" i="28"/>
  <c r="AF27" i="28"/>
  <c r="Y27" i="28"/>
  <c r="X27" i="28"/>
  <c r="X107" i="28"/>
  <c r="Y107" i="28"/>
  <c r="AF107" i="28"/>
  <c r="Y38" i="28"/>
  <c r="X38" i="28"/>
  <c r="AF38" i="28"/>
  <c r="Y235" i="28"/>
  <c r="AF235" i="28"/>
  <c r="X235" i="28"/>
  <c r="X73" i="28"/>
  <c r="Y73" i="28"/>
  <c r="AF73" i="28"/>
  <c r="Y36" i="28"/>
  <c r="X36" i="28"/>
  <c r="AF36" i="28"/>
  <c r="Y126" i="28"/>
  <c r="AF126" i="28"/>
  <c r="X126" i="28"/>
  <c r="Y190" i="28"/>
  <c r="X190" i="28"/>
  <c r="Y254" i="28"/>
  <c r="AF254" i="28"/>
  <c r="X254" i="28"/>
  <c r="AF89" i="28"/>
  <c r="Y89" i="28"/>
  <c r="X89" i="28"/>
  <c r="X153" i="28"/>
  <c r="Y153" i="28"/>
  <c r="Y217" i="28"/>
  <c r="AF217" i="28"/>
  <c r="X217" i="28"/>
  <c r="Y311" i="28"/>
  <c r="AF311" i="28"/>
  <c r="X311" i="28"/>
  <c r="AF124" i="28"/>
  <c r="Y124" i="28"/>
  <c r="X124" i="28"/>
  <c r="Y188" i="28"/>
  <c r="AF188" i="28"/>
  <c r="X188" i="28"/>
  <c r="Y252" i="28"/>
  <c r="AF252" i="28"/>
  <c r="X252" i="28"/>
  <c r="AF95" i="28"/>
  <c r="Y95" i="28"/>
  <c r="X95" i="28"/>
  <c r="Y159" i="28"/>
  <c r="AF159" i="28"/>
  <c r="X159" i="28"/>
  <c r="Y223" i="28"/>
  <c r="X223" i="28"/>
  <c r="AF223" i="28"/>
  <c r="Y544" i="28"/>
  <c r="X544" i="28"/>
  <c r="AF544" i="28"/>
  <c r="Y178" i="28"/>
  <c r="AF178" i="28"/>
  <c r="X178" i="28"/>
  <c r="Y242" i="28"/>
  <c r="X242" i="28"/>
  <c r="AF242" i="28"/>
  <c r="X422" i="28"/>
  <c r="Y422" i="28"/>
  <c r="AF422" i="28"/>
  <c r="Y141" i="28"/>
  <c r="X141" i="28"/>
  <c r="AF141" i="28"/>
  <c r="X205" i="28"/>
  <c r="AF205" i="28"/>
  <c r="Y205" i="28"/>
  <c r="X273" i="28"/>
  <c r="Y273" i="28"/>
  <c r="Y96" i="28"/>
  <c r="AF96" i="28"/>
  <c r="X96" i="28"/>
  <c r="Y160" i="28"/>
  <c r="AF160" i="28"/>
  <c r="X160" i="28"/>
  <c r="Y224" i="28"/>
  <c r="X224" i="28"/>
  <c r="AF224" i="28"/>
  <c r="Y383" i="28"/>
  <c r="AF383" i="28"/>
  <c r="X383" i="28"/>
  <c r="Y361" i="28"/>
  <c r="X361" i="28"/>
  <c r="AF361" i="28"/>
  <c r="X415" i="28"/>
  <c r="Y415" i="28"/>
  <c r="AF415" i="28"/>
  <c r="Y552" i="28"/>
  <c r="X552" i="28"/>
  <c r="AF552" i="28"/>
  <c r="AF364" i="28"/>
  <c r="Y364" i="28"/>
  <c r="X364" i="28"/>
  <c r="Y501" i="28"/>
  <c r="X501" i="28"/>
  <c r="AF501" i="28"/>
  <c r="AF298" i="28"/>
  <c r="X298" i="28"/>
  <c r="Y298" i="28"/>
  <c r="Y362" i="28"/>
  <c r="X362" i="28"/>
  <c r="AF362" i="28"/>
  <c r="Y416" i="28"/>
  <c r="X416" i="28"/>
  <c r="AF416" i="28"/>
  <c r="Y285" i="28"/>
  <c r="AF285" i="28"/>
  <c r="X285" i="28"/>
  <c r="Y349" i="28"/>
  <c r="X349" i="28"/>
  <c r="AF349" i="28"/>
  <c r="Y432" i="28"/>
  <c r="X432" i="28"/>
  <c r="AF432" i="28"/>
  <c r="Y272" i="28"/>
  <c r="X272" i="28"/>
  <c r="AF272" i="28"/>
  <c r="X336" i="28"/>
  <c r="Y336" i="28"/>
  <c r="AF336" i="28"/>
  <c r="Y400" i="28"/>
  <c r="X400" i="28"/>
  <c r="AF400" i="28"/>
  <c r="AF436" i="28"/>
  <c r="Y436" i="28"/>
  <c r="X436" i="28"/>
  <c r="AF283" i="28"/>
  <c r="Y283" i="28"/>
  <c r="X283" i="28"/>
  <c r="Y347" i="28"/>
  <c r="X347" i="28"/>
  <c r="AF347" i="28"/>
  <c r="Y433" i="28"/>
  <c r="AF433" i="28"/>
  <c r="X433" i="28"/>
  <c r="X278" i="28"/>
  <c r="Y278" i="28"/>
  <c r="AF278" i="28"/>
  <c r="X342" i="28"/>
  <c r="AF342" i="28"/>
  <c r="Y342" i="28"/>
  <c r="Y406" i="28"/>
  <c r="AF406" i="28"/>
  <c r="X406" i="28"/>
  <c r="Y431" i="28"/>
  <c r="X431" i="28"/>
  <c r="AF431" i="28"/>
  <c r="Y495" i="28"/>
  <c r="X495" i="28"/>
  <c r="AF495" i="28"/>
  <c r="Y559" i="28"/>
  <c r="AF559" i="28"/>
  <c r="X559" i="28"/>
  <c r="Y450" i="28"/>
  <c r="X450" i="28"/>
  <c r="AF450" i="28"/>
  <c r="Y514" i="28"/>
  <c r="X514" i="28"/>
  <c r="AF514" i="28"/>
  <c r="Y578" i="28"/>
  <c r="X578" i="28"/>
  <c r="AF578" i="28"/>
  <c r="Y451" i="28"/>
  <c r="X451" i="28"/>
  <c r="AF451" i="28"/>
  <c r="X515" i="28"/>
  <c r="Y515" i="28"/>
  <c r="AF515" i="28"/>
  <c r="AF579" i="28"/>
  <c r="X579" i="28"/>
  <c r="Y579" i="28"/>
  <c r="Y486" i="28"/>
  <c r="X486" i="28"/>
  <c r="AF486" i="28"/>
  <c r="Y550" i="28"/>
  <c r="AF550" i="28"/>
  <c r="X550" i="28"/>
  <c r="Y441" i="28"/>
  <c r="AF441" i="28"/>
  <c r="X441" i="28"/>
  <c r="X505" i="28"/>
  <c r="Y505" i="28"/>
  <c r="AF505" i="28"/>
  <c r="AF569" i="28"/>
  <c r="X569" i="28"/>
  <c r="Y569" i="28"/>
  <c r="Y468" i="28"/>
  <c r="AF468" i="28"/>
  <c r="X468" i="28"/>
  <c r="X532" i="28"/>
  <c r="Y532" i="28"/>
  <c r="AF532" i="28"/>
  <c r="AF596" i="28"/>
  <c r="X596" i="28"/>
  <c r="Y596" i="28"/>
  <c r="Y612" i="28"/>
  <c r="X612" i="28"/>
  <c r="AF612" i="28"/>
  <c r="AE18" i="28"/>
  <c r="AD18" i="28"/>
  <c r="AD64" i="28"/>
  <c r="AE64" i="28"/>
  <c r="AD232" i="28"/>
  <c r="AE232" i="28"/>
  <c r="AE150" i="28"/>
  <c r="AD150" i="28"/>
  <c r="AE458" i="28"/>
  <c r="AD458" i="28"/>
  <c r="AE130" i="28"/>
  <c r="AD130" i="28"/>
  <c r="AD403" i="28"/>
  <c r="AE403" i="28"/>
  <c r="AE535" i="28"/>
  <c r="AD535" i="28"/>
  <c r="AE386" i="28"/>
  <c r="AD386" i="28"/>
  <c r="AE417" i="28"/>
  <c r="AD417" i="28"/>
  <c r="AE516" i="28"/>
  <c r="AD516" i="28"/>
  <c r="AE544" i="28"/>
  <c r="AD544" i="28"/>
  <c r="AE598" i="28"/>
  <c r="AD598" i="28"/>
  <c r="AA34" i="28"/>
  <c r="AB34" i="28"/>
  <c r="AB59" i="28"/>
  <c r="AA59" i="28"/>
  <c r="AB219" i="28"/>
  <c r="AA219" i="28"/>
  <c r="AF161" i="28"/>
  <c r="AB161" i="28"/>
  <c r="AA161" i="28"/>
  <c r="AB260" i="28"/>
  <c r="AA260" i="28"/>
  <c r="AB242" i="28"/>
  <c r="AA242" i="28"/>
  <c r="AB406" i="28"/>
  <c r="AA406" i="28"/>
  <c r="AA335" i="28"/>
  <c r="AB335" i="28"/>
  <c r="AB357" i="28"/>
  <c r="AA357" i="28"/>
  <c r="AA517" i="28"/>
  <c r="AB517" i="28"/>
  <c r="AB540" i="28"/>
  <c r="AA540" i="28"/>
  <c r="AA568" i="28"/>
  <c r="AB568" i="28"/>
  <c r="AB441" i="28"/>
  <c r="AA441" i="28"/>
  <c r="Y110" i="28"/>
  <c r="AF110" i="28"/>
  <c r="X110" i="28"/>
  <c r="Y123" i="28"/>
  <c r="X123" i="28"/>
  <c r="AF123" i="28"/>
  <c r="Y52" i="28"/>
  <c r="X52" i="28"/>
  <c r="AF52" i="28"/>
  <c r="Y233" i="28"/>
  <c r="AF233" i="28"/>
  <c r="X233" i="28"/>
  <c r="Y175" i="28"/>
  <c r="AF175" i="28"/>
  <c r="X175" i="28"/>
  <c r="AF93" i="28"/>
  <c r="Y93" i="28"/>
  <c r="X93" i="28"/>
  <c r="Y240" i="28"/>
  <c r="X240" i="28"/>
  <c r="AF240" i="28"/>
  <c r="AF316" i="28"/>
  <c r="X316" i="28"/>
  <c r="Y316" i="28"/>
  <c r="Y493" i="28"/>
  <c r="AF493" i="28"/>
  <c r="X493" i="28"/>
  <c r="X352" i="28"/>
  <c r="AF352" i="28"/>
  <c r="Y352" i="28"/>
  <c r="Y358" i="28"/>
  <c r="AF358" i="28"/>
  <c r="X358" i="28"/>
  <c r="Y575" i="28"/>
  <c r="X575" i="28"/>
  <c r="AF575" i="28"/>
  <c r="Y595" i="28"/>
  <c r="X595" i="28"/>
  <c r="AF595" i="28"/>
  <c r="AF548" i="28"/>
  <c r="X548" i="28"/>
  <c r="Y548" i="28"/>
  <c r="AD624" i="28"/>
  <c r="AE624" i="28"/>
  <c r="AE26" i="28"/>
  <c r="AD26" i="28"/>
  <c r="AE62" i="28"/>
  <c r="AD62" i="28"/>
  <c r="AE131" i="28"/>
  <c r="AD131" i="28"/>
  <c r="AF222" i="28"/>
  <c r="AE222" i="28"/>
  <c r="AD222" i="28"/>
  <c r="AE252" i="28"/>
  <c r="AD252" i="28"/>
  <c r="AD202" i="28"/>
  <c r="AE202" i="28"/>
  <c r="AE342" i="28"/>
  <c r="AD342" i="28"/>
  <c r="AE375" i="28"/>
  <c r="AD375" i="28"/>
  <c r="AD317" i="28"/>
  <c r="AE317" i="28"/>
  <c r="AD420" i="28"/>
  <c r="AE420" i="28"/>
  <c r="AE588" i="28"/>
  <c r="AD588" i="28"/>
  <c r="AE451" i="28"/>
  <c r="AD451" i="28"/>
  <c r="AD606" i="28"/>
  <c r="AE606" i="28"/>
  <c r="AA120" i="28"/>
  <c r="AB120" i="28"/>
  <c r="AB14" i="28"/>
  <c r="AA14" i="28"/>
  <c r="AB597" i="28"/>
  <c r="AA597" i="28"/>
  <c r="AB233" i="28"/>
  <c r="AA233" i="28"/>
  <c r="AB143" i="28"/>
  <c r="AA143" i="28"/>
  <c r="AB85" i="28"/>
  <c r="AA85" i="28"/>
  <c r="AA321" i="28"/>
  <c r="AB321" i="28"/>
  <c r="AB407" i="28"/>
  <c r="AA407" i="28"/>
  <c r="AB365" i="28"/>
  <c r="AA365" i="28"/>
  <c r="AB562" i="28"/>
  <c r="AA562" i="28"/>
  <c r="Y183" i="28"/>
  <c r="AF183" i="28"/>
  <c r="X183" i="28"/>
  <c r="AE57" i="28"/>
  <c r="AD57" i="28"/>
  <c r="AE92" i="28"/>
  <c r="AD92" i="28"/>
  <c r="X14" i="17"/>
  <c r="Y14" i="17" s="1"/>
  <c r="AE629" i="28"/>
  <c r="AD629" i="28"/>
  <c r="AE17" i="28"/>
  <c r="AD17" i="28"/>
  <c r="AE117" i="28"/>
  <c r="AD117" i="28"/>
  <c r="AD68" i="28"/>
  <c r="AE68" i="28"/>
  <c r="AE39" i="28"/>
  <c r="AD39" i="28"/>
  <c r="AE385" i="28"/>
  <c r="AD385" i="28"/>
  <c r="AE74" i="28"/>
  <c r="AD74" i="28"/>
  <c r="AE29" i="28"/>
  <c r="AD29" i="28"/>
  <c r="AD125" i="28"/>
  <c r="AE125" i="28"/>
  <c r="AE56" i="28"/>
  <c r="AD56" i="28"/>
  <c r="AD19" i="28"/>
  <c r="AE19" i="28"/>
  <c r="AD108" i="28"/>
  <c r="AE108" i="28"/>
  <c r="AD46" i="28"/>
  <c r="AE46" i="28"/>
  <c r="AE197" i="28"/>
  <c r="AD197" i="28"/>
  <c r="AE160" i="28"/>
  <c r="AD160" i="28"/>
  <c r="AD224" i="28"/>
  <c r="AE224" i="28"/>
  <c r="AE345" i="28"/>
  <c r="AD345" i="28"/>
  <c r="AD115" i="28"/>
  <c r="AE115" i="28"/>
  <c r="AD179" i="28"/>
  <c r="AE179" i="28"/>
  <c r="AE243" i="28"/>
  <c r="AD243" i="28"/>
  <c r="AD78" i="28"/>
  <c r="AE78" i="28"/>
  <c r="AE142" i="28"/>
  <c r="AD142" i="28"/>
  <c r="AE206" i="28"/>
  <c r="AD206" i="28"/>
  <c r="AE291" i="28"/>
  <c r="AD291" i="28"/>
  <c r="AE105" i="28"/>
  <c r="AD105" i="28"/>
  <c r="AD169" i="28"/>
  <c r="AE169" i="28"/>
  <c r="AD233" i="28"/>
  <c r="AE233" i="28"/>
  <c r="AE418" i="28"/>
  <c r="AD418" i="28"/>
  <c r="AE172" i="28"/>
  <c r="AD172" i="28"/>
  <c r="AE236" i="28"/>
  <c r="AD236" i="28"/>
  <c r="AE554" i="28"/>
  <c r="AD554" i="28"/>
  <c r="AD135" i="28"/>
  <c r="AE135" i="28"/>
  <c r="AE199" i="28"/>
  <c r="AD199" i="28"/>
  <c r="AE286" i="28"/>
  <c r="AD286" i="28"/>
  <c r="AE122" i="28"/>
  <c r="AD122" i="28"/>
  <c r="AE186" i="28"/>
  <c r="AD186" i="28"/>
  <c r="AD250" i="28"/>
  <c r="AE250" i="28"/>
  <c r="AE331" i="28"/>
  <c r="AD331" i="28"/>
  <c r="AD395" i="28"/>
  <c r="AE395" i="28"/>
  <c r="AD326" i="28"/>
  <c r="AE326" i="28"/>
  <c r="AE390" i="28"/>
  <c r="AD390" i="28"/>
  <c r="AE511" i="28"/>
  <c r="AD511" i="28"/>
  <c r="AE308" i="28"/>
  <c r="AD308" i="28"/>
  <c r="AE372" i="28"/>
  <c r="AD372" i="28"/>
  <c r="AE503" i="28"/>
  <c r="AD503" i="28"/>
  <c r="AE295" i="28"/>
  <c r="AD295" i="28"/>
  <c r="AD359" i="28"/>
  <c r="AE359" i="28"/>
  <c r="AE419" i="28"/>
  <c r="AD419" i="28"/>
  <c r="AE546" i="28"/>
  <c r="AD546" i="28"/>
  <c r="AE314" i="28"/>
  <c r="AD314" i="28"/>
  <c r="AD378" i="28"/>
  <c r="AE378" i="28"/>
  <c r="AE527" i="28"/>
  <c r="AD527" i="28"/>
  <c r="AE301" i="28"/>
  <c r="AD301" i="28"/>
  <c r="AE365" i="28"/>
  <c r="AD365" i="28"/>
  <c r="AD474" i="28"/>
  <c r="AE474" i="28"/>
  <c r="AE296" i="28"/>
  <c r="AD296" i="28"/>
  <c r="AE360" i="28"/>
  <c r="AD360" i="28"/>
  <c r="AD414" i="28"/>
  <c r="AE414" i="28"/>
  <c r="AE551" i="28"/>
  <c r="AD551" i="28"/>
  <c r="AD481" i="28"/>
  <c r="AE481" i="28"/>
  <c r="AD545" i="28"/>
  <c r="AE545" i="28"/>
  <c r="AE444" i="28"/>
  <c r="AD444" i="28"/>
  <c r="AE508" i="28"/>
  <c r="AD508" i="28"/>
  <c r="AE572" i="28"/>
  <c r="AD572" i="28"/>
  <c r="AE445" i="28"/>
  <c r="AD445" i="28"/>
  <c r="AE509" i="28"/>
  <c r="AD509" i="28"/>
  <c r="AE573" i="28"/>
  <c r="AD573" i="28"/>
  <c r="AD472" i="28"/>
  <c r="AE472" i="28"/>
  <c r="AE536" i="28"/>
  <c r="AD536" i="28"/>
  <c r="AD610" i="28"/>
  <c r="AE610" i="28"/>
  <c r="AE499" i="28"/>
  <c r="AD499" i="28"/>
  <c r="AE563" i="28"/>
  <c r="AD563" i="28"/>
  <c r="AD462" i="28"/>
  <c r="AE462" i="28"/>
  <c r="AE526" i="28"/>
  <c r="AD526" i="28"/>
  <c r="AE590" i="28"/>
  <c r="AD590" i="28"/>
  <c r="AD603" i="28"/>
  <c r="AE603" i="28"/>
  <c r="AA617" i="28"/>
  <c r="AB617" i="28"/>
  <c r="AB200" i="28"/>
  <c r="AA200" i="28"/>
  <c r="AB136" i="28"/>
  <c r="AA136" i="28"/>
  <c r="AB63" i="28"/>
  <c r="AA63" i="28"/>
  <c r="AB26" i="28"/>
  <c r="AA26" i="28"/>
  <c r="AB83" i="28"/>
  <c r="AA83" i="28"/>
  <c r="AA37" i="28"/>
  <c r="AB37" i="28"/>
  <c r="AB16" i="28"/>
  <c r="AA16" i="28"/>
  <c r="AB99" i="28"/>
  <c r="AA99" i="28"/>
  <c r="AB51" i="28"/>
  <c r="AA51" i="28"/>
  <c r="AB256" i="28"/>
  <c r="AA256" i="28"/>
  <c r="AB62" i="28"/>
  <c r="AA62" i="28"/>
  <c r="AB17" i="28"/>
  <c r="AA17" i="28"/>
  <c r="AB76" i="28"/>
  <c r="AA76" i="28"/>
  <c r="AB147" i="28"/>
  <c r="AA147" i="28"/>
  <c r="AB211" i="28"/>
  <c r="AA211" i="28"/>
  <c r="AB324" i="28"/>
  <c r="AA324" i="28"/>
  <c r="AA118" i="28"/>
  <c r="AB118" i="28"/>
  <c r="AB182" i="28"/>
  <c r="AA182" i="28"/>
  <c r="AA246" i="28"/>
  <c r="AB246" i="28"/>
  <c r="AB89" i="28"/>
  <c r="AA89" i="28"/>
  <c r="AF153" i="28"/>
  <c r="AB153" i="28"/>
  <c r="AA153" i="28"/>
  <c r="AA217" i="28"/>
  <c r="AB217" i="28"/>
  <c r="AA305" i="28"/>
  <c r="AB305" i="28"/>
  <c r="AB124" i="28"/>
  <c r="AA124" i="28"/>
  <c r="AB188" i="28"/>
  <c r="AA188" i="28"/>
  <c r="AB252" i="28"/>
  <c r="AA252" i="28"/>
  <c r="AA127" i="28"/>
  <c r="AB127" i="28"/>
  <c r="AA191" i="28"/>
  <c r="AB191" i="28"/>
  <c r="AB255" i="28"/>
  <c r="AA255" i="28"/>
  <c r="AB106" i="28"/>
  <c r="AA106" i="28"/>
  <c r="AA170" i="28"/>
  <c r="AB170" i="28"/>
  <c r="AB234" i="28"/>
  <c r="AA234" i="28"/>
  <c r="AB380" i="28"/>
  <c r="AA380" i="28"/>
  <c r="AB133" i="28"/>
  <c r="AA133" i="28"/>
  <c r="AB197" i="28"/>
  <c r="AA197" i="28"/>
  <c r="AB261" i="28"/>
  <c r="AA261" i="28"/>
  <c r="AB334" i="28"/>
  <c r="AA334" i="28"/>
  <c r="AB398" i="28"/>
  <c r="AA398" i="28"/>
  <c r="AA541" i="28"/>
  <c r="AB541" i="28"/>
  <c r="AB369" i="28"/>
  <c r="AA369" i="28"/>
  <c r="AA418" i="28"/>
  <c r="AB418" i="28"/>
  <c r="AB263" i="28"/>
  <c r="AA263" i="28"/>
  <c r="AA327" i="28"/>
  <c r="AB327" i="28"/>
  <c r="AB391" i="28"/>
  <c r="AA391" i="28"/>
  <c r="AB450" i="28"/>
  <c r="AA450" i="28"/>
  <c r="AB290" i="28"/>
  <c r="AA290" i="28"/>
  <c r="AB354" i="28"/>
  <c r="AA354" i="28"/>
  <c r="AB413" i="28"/>
  <c r="AA413" i="28"/>
  <c r="AB285" i="28"/>
  <c r="AA285" i="28"/>
  <c r="AB349" i="28"/>
  <c r="AA349" i="28"/>
  <c r="AB442" i="28"/>
  <c r="AA442" i="28"/>
  <c r="AA288" i="28"/>
  <c r="AB288" i="28"/>
  <c r="AB352" i="28"/>
  <c r="AA352" i="28"/>
  <c r="AB411" i="28"/>
  <c r="AA411" i="28"/>
  <c r="AB485" i="28"/>
  <c r="AA485" i="28"/>
  <c r="AA299" i="28"/>
  <c r="AB299" i="28"/>
  <c r="AB363" i="28"/>
  <c r="AA363" i="28"/>
  <c r="AB498" i="28"/>
  <c r="AA498" i="28"/>
  <c r="AB468" i="28"/>
  <c r="AA468" i="28"/>
  <c r="AB532" i="28"/>
  <c r="AA532" i="28"/>
  <c r="AA596" i="28"/>
  <c r="AB596" i="28"/>
  <c r="AA503" i="28"/>
  <c r="AB503" i="28"/>
  <c r="AB567" i="28"/>
  <c r="AA567" i="28"/>
  <c r="AB432" i="28"/>
  <c r="AA432" i="28"/>
  <c r="AA496" i="28"/>
  <c r="AB496" i="28"/>
  <c r="AB560" i="28"/>
  <c r="AA560" i="28"/>
  <c r="AB451" i="28"/>
  <c r="AA451" i="28"/>
  <c r="AB515" i="28"/>
  <c r="AA515" i="28"/>
  <c r="AB579" i="28"/>
  <c r="AA579" i="28"/>
  <c r="AA478" i="28"/>
  <c r="AB478" i="28"/>
  <c r="AA542" i="28"/>
  <c r="AB542" i="28"/>
  <c r="AA602" i="28"/>
  <c r="AB602" i="28"/>
  <c r="AA497" i="28"/>
  <c r="AB497" i="28"/>
  <c r="AB561" i="28"/>
  <c r="AA561" i="28"/>
  <c r="AB603" i="28"/>
  <c r="AA603" i="28"/>
  <c r="Y622" i="28"/>
  <c r="X622" i="28"/>
  <c r="AF622" i="28"/>
  <c r="Y55" i="28"/>
  <c r="AF55" i="28"/>
  <c r="X55" i="28"/>
  <c r="AF47" i="28"/>
  <c r="X47" i="28"/>
  <c r="Y47" i="28"/>
  <c r="X42" i="28"/>
  <c r="Y42" i="28"/>
  <c r="AF42" i="28"/>
  <c r="Y118" i="28"/>
  <c r="X118" i="28"/>
  <c r="AF61" i="28"/>
  <c r="Y61" i="28"/>
  <c r="X61" i="28"/>
  <c r="Y24" i="28"/>
  <c r="AF24" i="28"/>
  <c r="X24" i="28"/>
  <c r="X106" i="28"/>
  <c r="Y106" i="28"/>
  <c r="AF106" i="28"/>
  <c r="AF35" i="28"/>
  <c r="X35" i="28"/>
  <c r="Y35" i="28"/>
  <c r="X114" i="28"/>
  <c r="Y114" i="28"/>
  <c r="AF114" i="28"/>
  <c r="Y46" i="28"/>
  <c r="X46" i="28"/>
  <c r="AF46" i="28"/>
  <c r="Y17" i="28"/>
  <c r="AF17" i="28"/>
  <c r="X17" i="28"/>
  <c r="Y76" i="28"/>
  <c r="X76" i="28"/>
  <c r="AF76" i="28"/>
  <c r="X44" i="28"/>
  <c r="Y44" i="28"/>
  <c r="AF44" i="28"/>
  <c r="Y134" i="28"/>
  <c r="AF134" i="28"/>
  <c r="X134" i="28"/>
  <c r="Y198" i="28"/>
  <c r="X198" i="28"/>
  <c r="AF198" i="28"/>
  <c r="Y262" i="28"/>
  <c r="AF262" i="28"/>
  <c r="X262" i="28"/>
  <c r="Y97" i="28"/>
  <c r="X97" i="28"/>
  <c r="X161" i="28"/>
  <c r="Y161" i="28"/>
  <c r="Y225" i="28"/>
  <c r="AF225" i="28"/>
  <c r="X225" i="28"/>
  <c r="Y327" i="28"/>
  <c r="X327" i="28"/>
  <c r="AF327" i="28"/>
  <c r="Y132" i="28"/>
  <c r="X132" i="28"/>
  <c r="AF132" i="28"/>
  <c r="Y196" i="28"/>
  <c r="AF196" i="28"/>
  <c r="X196" i="28"/>
  <c r="Y260" i="28"/>
  <c r="AF260" i="28"/>
  <c r="X260" i="28"/>
  <c r="Y103" i="28"/>
  <c r="AF103" i="28"/>
  <c r="X103" i="28"/>
  <c r="Y167" i="28"/>
  <c r="X167" i="28"/>
  <c r="AF167" i="28"/>
  <c r="Y231" i="28"/>
  <c r="AF231" i="28"/>
  <c r="X231" i="28"/>
  <c r="Y122" i="28"/>
  <c r="X122" i="28"/>
  <c r="AF122" i="28"/>
  <c r="Y186" i="28"/>
  <c r="AF186" i="28"/>
  <c r="X186" i="28"/>
  <c r="Y250" i="28"/>
  <c r="X250" i="28"/>
  <c r="AF250" i="28"/>
  <c r="Y85" i="28"/>
  <c r="X85" i="28"/>
  <c r="AF85" i="28"/>
  <c r="X149" i="28"/>
  <c r="Y149" i="28"/>
  <c r="AF149" i="28"/>
  <c r="Y213" i="28"/>
  <c r="X213" i="28"/>
  <c r="AF213" i="28"/>
  <c r="Y279" i="28"/>
  <c r="AF279" i="28"/>
  <c r="X279" i="28"/>
  <c r="Y104" i="28"/>
  <c r="AF104" i="28"/>
  <c r="X104" i="28"/>
  <c r="Y168" i="28"/>
  <c r="AF168" i="28"/>
  <c r="X168" i="28"/>
  <c r="Y232" i="28"/>
  <c r="X232" i="28"/>
  <c r="AF232" i="28"/>
  <c r="AF428" i="28"/>
  <c r="X428" i="28"/>
  <c r="Y428" i="28"/>
  <c r="Y369" i="28"/>
  <c r="AF369" i="28"/>
  <c r="X369" i="28"/>
  <c r="Y418" i="28"/>
  <c r="AF418" i="28"/>
  <c r="X418" i="28"/>
  <c r="AF584" i="28"/>
  <c r="X584" i="28"/>
  <c r="Y584" i="28"/>
  <c r="X372" i="28"/>
  <c r="AF372" i="28"/>
  <c r="Y372" i="28"/>
  <c r="Y533" i="28"/>
  <c r="X533" i="28"/>
  <c r="AF533" i="28"/>
  <c r="Y306" i="28"/>
  <c r="X306" i="28"/>
  <c r="AF306" i="28"/>
  <c r="Y370" i="28"/>
  <c r="X370" i="28"/>
  <c r="AF370" i="28"/>
  <c r="Y461" i="28"/>
  <c r="AF461" i="28"/>
  <c r="X461" i="28"/>
  <c r="Y293" i="28"/>
  <c r="X293" i="28"/>
  <c r="AF293" i="28"/>
  <c r="X357" i="28"/>
  <c r="Y357" i="28"/>
  <c r="AF357" i="28"/>
  <c r="Y440" i="28"/>
  <c r="X440" i="28"/>
  <c r="AF440" i="28"/>
  <c r="Y280" i="28"/>
  <c r="AF280" i="28"/>
  <c r="X280" i="28"/>
  <c r="AF344" i="28"/>
  <c r="X344" i="28"/>
  <c r="Y344" i="28"/>
  <c r="Y408" i="28"/>
  <c r="X408" i="28"/>
  <c r="AF408" i="28"/>
  <c r="Y453" i="28"/>
  <c r="X453" i="28"/>
  <c r="AF453" i="28"/>
  <c r="AF291" i="28"/>
  <c r="X291" i="28"/>
  <c r="Y291" i="28"/>
  <c r="Y355" i="28"/>
  <c r="X355" i="28"/>
  <c r="AF355" i="28"/>
  <c r="Y464" i="28"/>
  <c r="AF464" i="28"/>
  <c r="X464" i="28"/>
  <c r="Y286" i="28"/>
  <c r="AF286" i="28"/>
  <c r="X286" i="28"/>
  <c r="AF350" i="28"/>
  <c r="Y350" i="28"/>
  <c r="X350" i="28"/>
  <c r="Y430" i="28"/>
  <c r="AF430" i="28"/>
  <c r="X430" i="28"/>
  <c r="Y439" i="28"/>
  <c r="X439" i="28"/>
  <c r="AF439" i="28"/>
  <c r="Y503" i="28"/>
  <c r="X503" i="28"/>
  <c r="AF503" i="28"/>
  <c r="AF567" i="28"/>
  <c r="X567" i="28"/>
  <c r="Y567" i="28"/>
  <c r="Y458" i="28"/>
  <c r="AF458" i="28"/>
  <c r="X458" i="28"/>
  <c r="Y522" i="28"/>
  <c r="AF522" i="28"/>
  <c r="X522" i="28"/>
  <c r="Y586" i="28"/>
  <c r="X586" i="28"/>
  <c r="AF586" i="28"/>
  <c r="Y459" i="28"/>
  <c r="X459" i="28"/>
  <c r="AF459" i="28"/>
  <c r="Y523" i="28"/>
  <c r="X523" i="28"/>
  <c r="AF523" i="28"/>
  <c r="AF587" i="28"/>
  <c r="X587" i="28"/>
  <c r="Y587" i="28"/>
  <c r="Y494" i="28"/>
  <c r="AF494" i="28"/>
  <c r="X494" i="28"/>
  <c r="Y558" i="28"/>
  <c r="AF558" i="28"/>
  <c r="X558" i="28"/>
  <c r="Y449" i="28"/>
  <c r="AF449" i="28"/>
  <c r="X449" i="28"/>
  <c r="Y513" i="28"/>
  <c r="X513" i="28"/>
  <c r="AF513" i="28"/>
  <c r="Y577" i="28"/>
  <c r="X577" i="28"/>
  <c r="AF577" i="28"/>
  <c r="AF476" i="28"/>
  <c r="X476" i="28"/>
  <c r="Y476" i="28"/>
  <c r="AF540" i="28"/>
  <c r="X540" i="28"/>
  <c r="Y540" i="28"/>
  <c r="Y602" i="28"/>
  <c r="X602" i="28"/>
  <c r="AF602" i="28"/>
  <c r="Y607" i="28"/>
  <c r="X607" i="28"/>
  <c r="AF607" i="28"/>
  <c r="AC13" i="17"/>
  <c r="AB13" i="17"/>
  <c r="AC100" i="17"/>
  <c r="AC219" i="17"/>
  <c r="X606" i="17"/>
  <c r="Y606" i="17" s="1"/>
  <c r="X593" i="17"/>
  <c r="Y593" i="17" s="1"/>
  <c r="X43" i="17"/>
  <c r="Y43" i="17" s="1"/>
  <c r="X75" i="17"/>
  <c r="Y75" i="17" s="1"/>
  <c r="X107" i="17"/>
  <c r="Y107" i="17" s="1"/>
  <c r="X72" i="17"/>
  <c r="Y72" i="17" s="1"/>
  <c r="X400" i="17"/>
  <c r="Y400" i="17" s="1"/>
  <c r="X530" i="17"/>
  <c r="Y530" i="17" s="1"/>
  <c r="X584" i="17"/>
  <c r="Y584" i="17" s="1"/>
  <c r="X470" i="17"/>
  <c r="Y470" i="17" s="1"/>
  <c r="X21" i="17"/>
  <c r="Y21" i="17" s="1"/>
  <c r="X53" i="17"/>
  <c r="Y53" i="17" s="1"/>
  <c r="X85" i="17"/>
  <c r="Y85" i="17" s="1"/>
  <c r="X28" i="17"/>
  <c r="Y28" i="17" s="1"/>
  <c r="X92" i="17"/>
  <c r="Y92" i="17" s="1"/>
  <c r="X444" i="17"/>
  <c r="Y444" i="17" s="1"/>
  <c r="X380" i="17"/>
  <c r="Y380" i="17" s="1"/>
  <c r="X316" i="17"/>
  <c r="Y316" i="17" s="1"/>
  <c r="X317" i="17"/>
  <c r="Y317" i="17" s="1"/>
  <c r="X445" i="17"/>
  <c r="Y445" i="17" s="1"/>
  <c r="X507" i="17"/>
  <c r="Y507" i="17" s="1"/>
  <c r="X379" i="17"/>
  <c r="Y379" i="17" s="1"/>
  <c r="X289" i="17"/>
  <c r="Y289" i="17" s="1"/>
  <c r="X225" i="17"/>
  <c r="Y225" i="17" s="1"/>
  <c r="X161" i="17"/>
  <c r="Y161" i="17" s="1"/>
  <c r="X238" i="17"/>
  <c r="Y238" i="17" s="1"/>
  <c r="X426" i="17"/>
  <c r="Y426" i="17" s="1"/>
  <c r="X243" i="17"/>
  <c r="Y243" i="17" s="1"/>
  <c r="X192" i="17"/>
  <c r="Y192" i="17" s="1"/>
  <c r="X337" i="17"/>
  <c r="Y337" i="17" s="1"/>
  <c r="X401" i="17"/>
  <c r="Y401" i="17" s="1"/>
  <c r="X465" i="17"/>
  <c r="Y465" i="17" s="1"/>
  <c r="X490" i="17"/>
  <c r="Y490" i="17" s="1"/>
  <c r="X439" i="17"/>
  <c r="Y439" i="17" s="1"/>
  <c r="X191" i="17"/>
  <c r="Y191" i="17" s="1"/>
  <c r="X268" i="17"/>
  <c r="Y268" i="17" s="1"/>
  <c r="X140" i="17"/>
  <c r="Y140" i="17" s="1"/>
  <c r="X62" i="17"/>
  <c r="Y62" i="17" s="1"/>
  <c r="X440" i="17"/>
  <c r="Y440" i="17" s="1"/>
  <c r="X338" i="17"/>
  <c r="Y338" i="17" s="1"/>
  <c r="X391" i="17"/>
  <c r="Y391" i="17" s="1"/>
  <c r="X540" i="17"/>
  <c r="Y540" i="17" s="1"/>
  <c r="X17" i="17"/>
  <c r="Y17" i="17" s="1"/>
  <c r="X86" i="17"/>
  <c r="Y86" i="17" s="1"/>
  <c r="X195" i="17"/>
  <c r="Y195" i="17" s="1"/>
  <c r="X144" i="17"/>
  <c r="Y144" i="17" s="1"/>
  <c r="X424" i="17"/>
  <c r="Y424" i="17" s="1"/>
  <c r="X235" i="17"/>
  <c r="Y235" i="17" s="1"/>
  <c r="X354" i="17"/>
  <c r="Y354" i="17" s="1"/>
  <c r="X264" i="17"/>
  <c r="Y264" i="17" s="1"/>
  <c r="X386" i="17"/>
  <c r="Y386" i="17" s="1"/>
  <c r="H627" i="17"/>
  <c r="J627" i="17"/>
  <c r="V627" i="17"/>
  <c r="V624" i="17"/>
  <c r="J624" i="17"/>
  <c r="V625" i="17"/>
  <c r="J625" i="17"/>
  <c r="X245" i="17"/>
  <c r="Y245" i="17" s="1"/>
  <c r="X117" i="17"/>
  <c r="Y117" i="17" s="1"/>
  <c r="X194" i="17"/>
  <c r="Y194" i="17" s="1"/>
  <c r="X563" i="17"/>
  <c r="Y563" i="17" s="1"/>
  <c r="X326" i="17"/>
  <c r="Y326" i="17" s="1"/>
  <c r="X611" i="17"/>
  <c r="Y611" i="17" s="1"/>
  <c r="X309" i="17"/>
  <c r="Y309" i="17" s="1"/>
  <c r="X181" i="17"/>
  <c r="Y181" i="17" s="1"/>
  <c r="X258" i="17"/>
  <c r="Y258" i="17" s="1"/>
  <c r="X130" i="17"/>
  <c r="Y130" i="17" s="1"/>
  <c r="X360" i="17"/>
  <c r="Y360" i="17" s="1"/>
  <c r="X592" i="17"/>
  <c r="Y592" i="17" s="1"/>
  <c r="X492" i="17"/>
  <c r="Y492" i="17" s="1"/>
  <c r="X31" i="17"/>
  <c r="Y31" i="17" s="1"/>
  <c r="X63" i="17"/>
  <c r="Y63" i="17" s="1"/>
  <c r="X95" i="17"/>
  <c r="Y95" i="17" s="1"/>
  <c r="X48" i="17"/>
  <c r="Y48" i="17" s="1"/>
  <c r="X560" i="17"/>
  <c r="Y560" i="17" s="1"/>
  <c r="X357" i="17"/>
  <c r="Y357" i="17" s="1"/>
  <c r="X485" i="17"/>
  <c r="Y485" i="17" s="1"/>
  <c r="X531" i="17"/>
  <c r="Y531" i="17" s="1"/>
  <c r="X262" i="17"/>
  <c r="Y262" i="17" s="1"/>
  <c r="X134" i="17"/>
  <c r="Y134" i="17" s="1"/>
  <c r="X41" i="17"/>
  <c r="Y41" i="17" s="1"/>
  <c r="X110" i="17"/>
  <c r="Y110" i="17" s="1"/>
  <c r="X313" i="17"/>
  <c r="Y313" i="17" s="1"/>
  <c r="X249" i="17"/>
  <c r="Y249" i="17" s="1"/>
  <c r="X68" i="17"/>
  <c r="Y68" i="17" s="1"/>
  <c r="X599" i="17"/>
  <c r="Y599" i="17" s="1"/>
  <c r="X232" i="17"/>
  <c r="Y232" i="17" s="1"/>
  <c r="X167" i="17"/>
  <c r="Y167" i="17" s="1"/>
  <c r="X609" i="17"/>
  <c r="Y609" i="17" s="1"/>
  <c r="X567" i="17"/>
  <c r="Y567" i="17" s="1"/>
  <c r="X428" i="17"/>
  <c r="Y428" i="17" s="1"/>
  <c r="X403" i="17"/>
  <c r="Y403" i="17" s="1"/>
  <c r="X561" i="17"/>
  <c r="Y561" i="17" s="1"/>
  <c r="X372" i="17"/>
  <c r="Y372" i="17" s="1"/>
  <c r="X301" i="17"/>
  <c r="Y301" i="17" s="1"/>
  <c r="X237" i="17"/>
  <c r="Y237" i="17" s="1"/>
  <c r="X173" i="17"/>
  <c r="Y173" i="17" s="1"/>
  <c r="X314" i="17"/>
  <c r="Y314" i="17" s="1"/>
  <c r="X250" i="17"/>
  <c r="Y250" i="17" s="1"/>
  <c r="X186" i="17"/>
  <c r="Y186" i="17" s="1"/>
  <c r="X122" i="17"/>
  <c r="Y122" i="17" s="1"/>
  <c r="X47" i="17"/>
  <c r="Y47" i="17" s="1"/>
  <c r="X79" i="17"/>
  <c r="Y79" i="17" s="1"/>
  <c r="X16" i="17"/>
  <c r="Y16" i="17" s="1"/>
  <c r="X80" i="17"/>
  <c r="Y80" i="17" s="1"/>
  <c r="X410" i="17"/>
  <c r="Y410" i="17" s="1"/>
  <c r="X538" i="17"/>
  <c r="Y538" i="17" s="1"/>
  <c r="X325" i="17"/>
  <c r="Y325" i="17" s="1"/>
  <c r="X389" i="17"/>
  <c r="Y389" i="17" s="1"/>
  <c r="X453" i="17"/>
  <c r="Y453" i="17" s="1"/>
  <c r="X517" i="17"/>
  <c r="Y517" i="17" s="1"/>
  <c r="X478" i="17"/>
  <c r="Y478" i="17" s="1"/>
  <c r="X516" i="17"/>
  <c r="Y516" i="17" s="1"/>
  <c r="X491" i="17"/>
  <c r="Y491" i="17" s="1"/>
  <c r="X363" i="17"/>
  <c r="Y363" i="17" s="1"/>
  <c r="X566" i="17"/>
  <c r="Y566" i="17" s="1"/>
  <c r="X352" i="17"/>
  <c r="Y352" i="17" s="1"/>
  <c r="X412" i="17"/>
  <c r="Y412" i="17" s="1"/>
  <c r="X281" i="17"/>
  <c r="Y281" i="17" s="1"/>
  <c r="X217" i="17"/>
  <c r="Y217" i="17" s="1"/>
  <c r="X153" i="17"/>
  <c r="Y153" i="17" s="1"/>
  <c r="X294" i="17"/>
  <c r="Y294" i="17" s="1"/>
  <c r="X230" i="17"/>
  <c r="Y230" i="17" s="1"/>
  <c r="X166" i="17"/>
  <c r="Y166" i="17" s="1"/>
  <c r="X114" i="17"/>
  <c r="Y114" i="17" s="1"/>
  <c r="X25" i="17"/>
  <c r="Y25" i="17" s="1"/>
  <c r="X57" i="17"/>
  <c r="Y57" i="17" s="1"/>
  <c r="X89" i="17"/>
  <c r="Y89" i="17" s="1"/>
  <c r="X36" i="17"/>
  <c r="Y36" i="17" s="1"/>
  <c r="X100" i="17"/>
  <c r="Y100" i="17" s="1"/>
  <c r="X573" i="17"/>
  <c r="Y573" i="17" s="1"/>
  <c r="X548" i="17"/>
  <c r="Y548" i="17" s="1"/>
  <c r="X345" i="17"/>
  <c r="Y345" i="17" s="1"/>
  <c r="X409" i="17"/>
  <c r="Y409" i="17" s="1"/>
  <c r="X473" i="17"/>
  <c r="Y473" i="17" s="1"/>
  <c r="X434" i="17"/>
  <c r="Y434" i="17" s="1"/>
  <c r="X498" i="17"/>
  <c r="Y498" i="17" s="1"/>
  <c r="X579" i="17"/>
  <c r="Y579" i="17" s="1"/>
  <c r="X607" i="17"/>
  <c r="Y607" i="17" s="1"/>
  <c r="X575" i="17"/>
  <c r="Y575" i="17" s="1"/>
  <c r="X407" i="17"/>
  <c r="Y407" i="17" s="1"/>
  <c r="X569" i="17"/>
  <c r="Y569" i="17" s="1"/>
  <c r="X303" i="17"/>
  <c r="Y303" i="17" s="1"/>
  <c r="X175" i="17"/>
  <c r="Y175" i="17" s="1"/>
  <c r="X252" i="17"/>
  <c r="Y252" i="17" s="1"/>
  <c r="X124" i="17"/>
  <c r="Y124" i="17" s="1"/>
  <c r="X78" i="17"/>
  <c r="Y78" i="17" s="1"/>
  <c r="X479" i="17"/>
  <c r="Y479" i="17" s="1"/>
  <c r="X211" i="17"/>
  <c r="Y211" i="17" s="1"/>
  <c r="X160" i="17"/>
  <c r="Y160" i="17" s="1"/>
  <c r="X488" i="17"/>
  <c r="Y488" i="17" s="1"/>
  <c r="X267" i="17"/>
  <c r="Y267" i="17" s="1"/>
  <c r="X187" i="17"/>
  <c r="Y187" i="17" s="1"/>
  <c r="X600" i="17"/>
  <c r="Y600" i="17" s="1"/>
  <c r="X512" i="17"/>
  <c r="Y512" i="17" s="1"/>
  <c r="X359" i="17"/>
  <c r="Y359" i="17" s="1"/>
  <c r="X408" i="17"/>
  <c r="Y408" i="17" s="1"/>
  <c r="X279" i="17"/>
  <c r="Y279" i="17" s="1"/>
  <c r="X151" i="17"/>
  <c r="Y151" i="17" s="1"/>
  <c r="X228" i="17"/>
  <c r="Y228" i="17" s="1"/>
  <c r="X112" i="17"/>
  <c r="Y112" i="17" s="1"/>
  <c r="X102" i="17"/>
  <c r="Y102" i="17" s="1"/>
  <c r="X383" i="17"/>
  <c r="Y383" i="17" s="1"/>
  <c r="X163" i="17"/>
  <c r="Y163" i="17" s="1"/>
  <c r="X399" i="17"/>
  <c r="Y399" i="17" s="1"/>
  <c r="X171" i="17"/>
  <c r="Y171" i="17" s="1"/>
  <c r="X523" i="17"/>
  <c r="Y523" i="17" s="1"/>
  <c r="X582" i="17"/>
  <c r="Y582" i="17" s="1"/>
  <c r="X302" i="17"/>
  <c r="Y302" i="17" s="1"/>
  <c r="X557" i="17"/>
  <c r="Y557" i="17" s="1"/>
  <c r="X244" i="17"/>
  <c r="Y244" i="17" s="1"/>
  <c r="X515" i="17"/>
  <c r="Y515" i="17" s="1"/>
  <c r="X387" i="17"/>
  <c r="Y387" i="17" s="1"/>
  <c r="X590" i="17"/>
  <c r="Y590" i="17" s="1"/>
  <c r="X536" i="17"/>
  <c r="Y536" i="17" s="1"/>
  <c r="X364" i="17"/>
  <c r="Y364" i="17" s="1"/>
  <c r="X293" i="17"/>
  <c r="Y293" i="17" s="1"/>
  <c r="X229" i="17"/>
  <c r="Y229" i="17" s="1"/>
  <c r="X165" i="17"/>
  <c r="Y165" i="17" s="1"/>
  <c r="X306" i="17"/>
  <c r="Y306" i="17" s="1"/>
  <c r="X242" i="17"/>
  <c r="Y242" i="17" s="1"/>
  <c r="X178" i="17"/>
  <c r="Y178" i="17" s="1"/>
  <c r="X19" i="17"/>
  <c r="Y19" i="17" s="1"/>
  <c r="X51" i="17"/>
  <c r="Y51" i="17" s="1"/>
  <c r="X83" i="17"/>
  <c r="Y83" i="17" s="1"/>
  <c r="X24" i="17"/>
  <c r="Y24" i="17" s="1"/>
  <c r="X88" i="17"/>
  <c r="Y88" i="17" s="1"/>
  <c r="X549" i="17"/>
  <c r="Y549" i="17" s="1"/>
  <c r="X333" i="17"/>
  <c r="Y333" i="17" s="1"/>
  <c r="X397" i="17"/>
  <c r="Y397" i="17" s="1"/>
  <c r="X461" i="17"/>
  <c r="Y461" i="17" s="1"/>
  <c r="X422" i="17"/>
  <c r="Y422" i="17" s="1"/>
  <c r="X486" i="17"/>
  <c r="Y486" i="17" s="1"/>
  <c r="X555" i="17"/>
  <c r="Y555" i="17" s="1"/>
  <c r="X500" i="17"/>
  <c r="Y500" i="17" s="1"/>
  <c r="X475" i="17"/>
  <c r="Y475" i="17" s="1"/>
  <c r="X347" i="17"/>
  <c r="Y347" i="17" s="1"/>
  <c r="X550" i="17"/>
  <c r="Y550" i="17" s="1"/>
  <c r="X344" i="17"/>
  <c r="Y344" i="17" s="1"/>
  <c r="X273" i="17"/>
  <c r="Y273" i="17" s="1"/>
  <c r="X209" i="17"/>
  <c r="Y209" i="17" s="1"/>
  <c r="X145" i="17"/>
  <c r="Y145" i="17" s="1"/>
  <c r="X286" i="17"/>
  <c r="Y286" i="17" s="1"/>
  <c r="X222" i="17"/>
  <c r="Y222" i="17" s="1"/>
  <c r="X158" i="17"/>
  <c r="Y158" i="17" s="1"/>
  <c r="X29" i="17"/>
  <c r="Y29" i="17" s="1"/>
  <c r="X61" i="17"/>
  <c r="Y61" i="17" s="1"/>
  <c r="X93" i="17"/>
  <c r="Y93" i="17" s="1"/>
  <c r="X44" i="17"/>
  <c r="Y44" i="17" s="1"/>
  <c r="X108" i="17"/>
  <c r="Y108" i="17" s="1"/>
  <c r="X589" i="17"/>
  <c r="Y589" i="17" s="1"/>
  <c r="X556" i="17"/>
  <c r="Y556" i="17" s="1"/>
  <c r="X353" i="17"/>
  <c r="Y353" i="17" s="1"/>
  <c r="X417" i="17"/>
  <c r="Y417" i="17" s="1"/>
  <c r="X481" i="17"/>
  <c r="Y481" i="17" s="1"/>
  <c r="X442" i="17"/>
  <c r="Y442" i="17" s="1"/>
  <c r="X506" i="17"/>
  <c r="Y506" i="17" s="1"/>
  <c r="X525" i="17"/>
  <c r="Y525" i="17" s="1"/>
  <c r="X596" i="17"/>
  <c r="Y596" i="17" s="1"/>
  <c r="X375" i="17"/>
  <c r="Y375" i="17" s="1"/>
  <c r="X524" i="17"/>
  <c r="Y524" i="17" s="1"/>
  <c r="X287" i="17"/>
  <c r="Y287" i="17" s="1"/>
  <c r="X159" i="17"/>
  <c r="Y159" i="17" s="1"/>
  <c r="X236" i="17"/>
  <c r="Y236" i="17" s="1"/>
  <c r="X94" i="17"/>
  <c r="Y94" i="17" s="1"/>
  <c r="X415" i="17"/>
  <c r="Y415" i="17" s="1"/>
  <c r="X179" i="17"/>
  <c r="Y179" i="17" s="1"/>
  <c r="X128" i="17"/>
  <c r="Y128" i="17" s="1"/>
  <c r="X463" i="17"/>
  <c r="Y463" i="17" s="1"/>
  <c r="X203" i="17"/>
  <c r="Y203" i="17" s="1"/>
  <c r="X136" i="17"/>
  <c r="Y136" i="17" s="1"/>
  <c r="X608" i="17"/>
  <c r="Y608" i="17" s="1"/>
  <c r="X480" i="17"/>
  <c r="Y480" i="17" s="1"/>
  <c r="X327" i="17"/>
  <c r="Y327" i="17" s="1"/>
  <c r="X414" i="17"/>
  <c r="Y414" i="17" s="1"/>
  <c r="X263" i="17"/>
  <c r="Y263" i="17" s="1"/>
  <c r="X135" i="17"/>
  <c r="Y135" i="17" s="1"/>
  <c r="X212" i="17"/>
  <c r="Y212" i="17" s="1"/>
  <c r="X319" i="17"/>
  <c r="Y319" i="17" s="1"/>
  <c r="X402" i="17"/>
  <c r="Y402" i="17" s="1"/>
  <c r="X131" i="17"/>
  <c r="Y131" i="17" s="1"/>
  <c r="X312" i="17"/>
  <c r="Y312" i="17" s="1"/>
  <c r="X18" i="17"/>
  <c r="Y18" i="17" s="1"/>
  <c r="X34" i="17"/>
  <c r="Y34" i="17" s="1"/>
  <c r="X66" i="17"/>
  <c r="Y66" i="17" s="1"/>
  <c r="X610" i="17"/>
  <c r="Y610" i="17" s="1"/>
  <c r="X509" i="17"/>
  <c r="Y509" i="17" s="1"/>
  <c r="X174" i="17"/>
  <c r="Y174" i="17" s="1"/>
  <c r="X543" i="17"/>
  <c r="Y543" i="17" s="1"/>
  <c r="X499" i="17"/>
  <c r="Y499" i="17" s="1"/>
  <c r="X371" i="17"/>
  <c r="Y371" i="17" s="1"/>
  <c r="X574" i="17"/>
  <c r="Y574" i="17" s="1"/>
  <c r="X520" i="17"/>
  <c r="Y520" i="17" s="1"/>
  <c r="X356" i="17"/>
  <c r="Y356" i="17" s="1"/>
  <c r="X285" i="17"/>
  <c r="Y285" i="17" s="1"/>
  <c r="X221" i="17"/>
  <c r="Y221" i="17" s="1"/>
  <c r="X157" i="17"/>
  <c r="Y157" i="17" s="1"/>
  <c r="X298" i="17"/>
  <c r="Y298" i="17" s="1"/>
  <c r="X234" i="17"/>
  <c r="Y234" i="17" s="1"/>
  <c r="X170" i="17"/>
  <c r="Y170" i="17" s="1"/>
  <c r="X23" i="17"/>
  <c r="Y23" i="17" s="1"/>
  <c r="X55" i="17"/>
  <c r="Y55" i="17" s="1"/>
  <c r="X87" i="17"/>
  <c r="Y87" i="17" s="1"/>
  <c r="X32" i="17"/>
  <c r="Y32" i="17" s="1"/>
  <c r="X96" i="17"/>
  <c r="Y96" i="17" s="1"/>
  <c r="X565" i="17"/>
  <c r="Y565" i="17" s="1"/>
  <c r="X544" i="17"/>
  <c r="Y544" i="17" s="1"/>
  <c r="X341" i="17"/>
  <c r="Y341" i="17" s="1"/>
  <c r="X405" i="17"/>
  <c r="Y405" i="17" s="1"/>
  <c r="X469" i="17"/>
  <c r="Y469" i="17" s="1"/>
  <c r="X430" i="17"/>
  <c r="Y430" i="17" s="1"/>
  <c r="X494" i="17"/>
  <c r="Y494" i="17" s="1"/>
  <c r="X571" i="17"/>
  <c r="Y571" i="17" s="1"/>
  <c r="X484" i="17"/>
  <c r="Y484" i="17" s="1"/>
  <c r="X459" i="17"/>
  <c r="Y459" i="17" s="1"/>
  <c r="X331" i="17"/>
  <c r="Y331" i="17" s="1"/>
  <c r="X336" i="17"/>
  <c r="Y336" i="17" s="1"/>
  <c r="X265" i="17"/>
  <c r="Y265" i="17" s="1"/>
  <c r="X201" i="17"/>
  <c r="Y201" i="17" s="1"/>
  <c r="X137" i="17"/>
  <c r="Y137" i="17" s="1"/>
  <c r="X278" i="17"/>
  <c r="Y278" i="17" s="1"/>
  <c r="X214" i="17"/>
  <c r="Y214" i="17" s="1"/>
  <c r="X150" i="17"/>
  <c r="Y150" i="17" s="1"/>
  <c r="X33" i="17"/>
  <c r="Y33" i="17" s="1"/>
  <c r="X65" i="17"/>
  <c r="Y65" i="17" s="1"/>
  <c r="X97" i="17"/>
  <c r="Y97" i="17" s="1"/>
  <c r="X52" i="17"/>
  <c r="Y52" i="17" s="1"/>
  <c r="X564" i="17"/>
  <c r="Y564" i="17" s="1"/>
  <c r="X361" i="17"/>
  <c r="Y361" i="17" s="1"/>
  <c r="X425" i="17"/>
  <c r="Y425" i="17" s="1"/>
  <c r="X489" i="17"/>
  <c r="Y489" i="17" s="1"/>
  <c r="X450" i="17"/>
  <c r="Y450" i="17" s="1"/>
  <c r="X514" i="17"/>
  <c r="Y514" i="17" s="1"/>
  <c r="X521" i="17"/>
  <c r="Y521" i="17" s="1"/>
  <c r="X604" i="17"/>
  <c r="Y604" i="17" s="1"/>
  <c r="X496" i="17"/>
  <c r="Y496" i="17" s="1"/>
  <c r="X343" i="17"/>
  <c r="Y343" i="17" s="1"/>
  <c r="X271" i="17"/>
  <c r="Y271" i="17" s="1"/>
  <c r="X143" i="17"/>
  <c r="Y143" i="17" s="1"/>
  <c r="X220" i="17"/>
  <c r="Y220" i="17" s="1"/>
  <c r="X351" i="17"/>
  <c r="Y351" i="17" s="1"/>
  <c r="X147" i="17"/>
  <c r="Y147" i="17" s="1"/>
  <c r="X335" i="17"/>
  <c r="Y335" i="17" s="1"/>
  <c r="X139" i="17"/>
  <c r="Y139" i="17" s="1"/>
  <c r="X533" i="17"/>
  <c r="Y533" i="17" s="1"/>
  <c r="X448" i="17"/>
  <c r="Y448" i="17" s="1"/>
  <c r="X382" i="17"/>
  <c r="Y382" i="17" s="1"/>
  <c r="X247" i="17"/>
  <c r="Y247" i="17" s="1"/>
  <c r="X119" i="17"/>
  <c r="Y119" i="17" s="1"/>
  <c r="X196" i="17"/>
  <c r="Y196" i="17" s="1"/>
  <c r="X586" i="17"/>
  <c r="Y586" i="17" s="1"/>
  <c r="X362" i="17"/>
  <c r="Y362" i="17" s="1"/>
  <c r="X304" i="17"/>
  <c r="Y304" i="17" s="1"/>
  <c r="X26" i="17"/>
  <c r="Y26" i="17" s="1"/>
  <c r="X553" i="17"/>
  <c r="Y553" i="17" s="1"/>
  <c r="X248" i="17"/>
  <c r="Y248" i="17" s="1"/>
  <c r="X82" i="17"/>
  <c r="Y82" i="17" s="1"/>
  <c r="X535" i="17"/>
  <c r="Y535" i="17" s="1"/>
  <c r="X528" i="17"/>
  <c r="Y528" i="17" s="1"/>
  <c r="X295" i="17"/>
  <c r="Y295" i="17" s="1"/>
  <c r="X116" i="17"/>
  <c r="Y116" i="17" s="1"/>
  <c r="X508" i="17"/>
  <c r="Y508" i="17" s="1"/>
  <c r="X483" i="17"/>
  <c r="Y483" i="17" s="1"/>
  <c r="X355" i="17"/>
  <c r="Y355" i="17" s="1"/>
  <c r="X558" i="17"/>
  <c r="Y558" i="17" s="1"/>
  <c r="X348" i="17"/>
  <c r="Y348" i="17" s="1"/>
  <c r="X277" i="17"/>
  <c r="Y277" i="17" s="1"/>
  <c r="X213" i="17"/>
  <c r="Y213" i="17" s="1"/>
  <c r="X149" i="17"/>
  <c r="Y149" i="17" s="1"/>
  <c r="X290" i="17"/>
  <c r="Y290" i="17" s="1"/>
  <c r="X226" i="17"/>
  <c r="Y226" i="17" s="1"/>
  <c r="X162" i="17"/>
  <c r="Y162" i="17" s="1"/>
  <c r="X27" i="17"/>
  <c r="Y27" i="17" s="1"/>
  <c r="X59" i="17"/>
  <c r="Y59" i="17" s="1"/>
  <c r="X91" i="17"/>
  <c r="Y91" i="17" s="1"/>
  <c r="X40" i="17"/>
  <c r="Y40" i="17" s="1"/>
  <c r="X104" i="17"/>
  <c r="Y104" i="17" s="1"/>
  <c r="X581" i="17"/>
  <c r="Y581" i="17" s="1"/>
  <c r="X552" i="17"/>
  <c r="Y552" i="17" s="1"/>
  <c r="X349" i="17"/>
  <c r="Y349" i="17" s="1"/>
  <c r="X413" i="17"/>
  <c r="Y413" i="17" s="1"/>
  <c r="X477" i="17"/>
  <c r="Y477" i="17" s="1"/>
  <c r="X438" i="17"/>
  <c r="Y438" i="17" s="1"/>
  <c r="X502" i="17"/>
  <c r="Y502" i="17" s="1"/>
  <c r="X587" i="17"/>
  <c r="Y587" i="17" s="1"/>
  <c r="X468" i="17"/>
  <c r="Y468" i="17" s="1"/>
  <c r="X443" i="17"/>
  <c r="Y443" i="17" s="1"/>
  <c r="X315" i="17"/>
  <c r="Y315" i="17" s="1"/>
  <c r="X398" i="17"/>
  <c r="Y398" i="17" s="1"/>
  <c r="X328" i="17"/>
  <c r="Y328" i="17" s="1"/>
  <c r="X257" i="17"/>
  <c r="Y257" i="17" s="1"/>
  <c r="X193" i="17"/>
  <c r="Y193" i="17" s="1"/>
  <c r="X129" i="17"/>
  <c r="Y129" i="17" s="1"/>
  <c r="X270" i="17"/>
  <c r="Y270" i="17" s="1"/>
  <c r="X206" i="17"/>
  <c r="Y206" i="17" s="1"/>
  <c r="X142" i="17"/>
  <c r="Y142" i="17" s="1"/>
  <c r="X37" i="17"/>
  <c r="Y37" i="17" s="1"/>
  <c r="X69" i="17"/>
  <c r="Y69" i="17" s="1"/>
  <c r="X101" i="17"/>
  <c r="Y101" i="17" s="1"/>
  <c r="X60" i="17"/>
  <c r="Y60" i="17" s="1"/>
  <c r="X388" i="17"/>
  <c r="Y388" i="17" s="1"/>
  <c r="X518" i="17"/>
  <c r="Y518" i="17" s="1"/>
  <c r="X572" i="17"/>
  <c r="Y572" i="17" s="1"/>
  <c r="X369" i="17"/>
  <c r="Y369" i="17" s="1"/>
  <c r="X433" i="17"/>
  <c r="Y433" i="17" s="1"/>
  <c r="X497" i="17"/>
  <c r="Y497" i="17" s="1"/>
  <c r="X458" i="17"/>
  <c r="Y458" i="17" s="1"/>
  <c r="X529" i="17"/>
  <c r="Y529" i="17" s="1"/>
  <c r="X612" i="17"/>
  <c r="Y612" i="17" s="1"/>
  <c r="X464" i="17"/>
  <c r="Y464" i="17" s="1"/>
  <c r="X394" i="17"/>
  <c r="Y394" i="17" s="1"/>
  <c r="X255" i="17"/>
  <c r="Y255" i="17" s="1"/>
  <c r="X127" i="17"/>
  <c r="Y127" i="17" s="1"/>
  <c r="X204" i="17"/>
  <c r="Y204" i="17" s="1"/>
  <c r="X602" i="17"/>
  <c r="Y602" i="17" s="1"/>
  <c r="X378" i="17"/>
  <c r="Y378" i="17" s="1"/>
  <c r="X115" i="17"/>
  <c r="Y115" i="17" s="1"/>
  <c r="X280" i="17"/>
  <c r="Y280" i="17" s="1"/>
  <c r="X50" i="17"/>
  <c r="Y50" i="17" s="1"/>
  <c r="X98" i="17"/>
  <c r="Y98" i="17" s="1"/>
  <c r="X456" i="17"/>
  <c r="Y456" i="17" s="1"/>
  <c r="X541" i="17"/>
  <c r="Y541" i="17" s="1"/>
  <c r="X597" i="17"/>
  <c r="Y597" i="17" s="1"/>
  <c r="X594" i="17"/>
  <c r="Y594" i="17" s="1"/>
  <c r="X366" i="17"/>
  <c r="Y366" i="17" s="1"/>
  <c r="X231" i="17"/>
  <c r="Y231" i="17" s="1"/>
  <c r="X308" i="17"/>
  <c r="Y308" i="17" s="1"/>
  <c r="X180" i="17"/>
  <c r="Y180" i="17" s="1"/>
  <c r="X22" i="17"/>
  <c r="Y22" i="17" s="1"/>
  <c r="X330" i="17"/>
  <c r="Y330" i="17" s="1"/>
  <c r="X272" i="17"/>
  <c r="Y272" i="17" s="1"/>
  <c r="X58" i="17"/>
  <c r="Y58" i="17" s="1"/>
  <c r="X184" i="17"/>
  <c r="Y184" i="17" s="1"/>
  <c r="X447" i="17"/>
  <c r="Y447" i="17" s="1"/>
  <c r="X339" i="17"/>
  <c r="Y339" i="17" s="1"/>
  <c r="X205" i="17"/>
  <c r="Y205" i="17" s="1"/>
  <c r="X141" i="17"/>
  <c r="Y141" i="17" s="1"/>
  <c r="X282" i="17"/>
  <c r="Y282" i="17" s="1"/>
  <c r="X218" i="17"/>
  <c r="Y218" i="17" s="1"/>
  <c r="X154" i="17"/>
  <c r="Y154" i="17" s="1"/>
  <c r="X421" i="17"/>
  <c r="Y421" i="17" s="1"/>
  <c r="X446" i="17"/>
  <c r="Y446" i="17" s="1"/>
  <c r="X510" i="17"/>
  <c r="Y510" i="17" s="1"/>
  <c r="X452" i="17"/>
  <c r="Y452" i="17" s="1"/>
  <c r="X427" i="17"/>
  <c r="Y427" i="17" s="1"/>
  <c r="X384" i="17"/>
  <c r="Y384" i="17" s="1"/>
  <c r="X320" i="17"/>
  <c r="Y320" i="17" s="1"/>
  <c r="X185" i="17"/>
  <c r="Y185" i="17" s="1"/>
  <c r="X121" i="17"/>
  <c r="Y121" i="17" s="1"/>
  <c r="X198" i="17"/>
  <c r="Y198" i="17" s="1"/>
  <c r="X73" i="17"/>
  <c r="Y73" i="17" s="1"/>
  <c r="X105" i="17"/>
  <c r="Y105" i="17" s="1"/>
  <c r="X396" i="17"/>
  <c r="Y396" i="17" s="1"/>
  <c r="X526" i="17"/>
  <c r="Y526" i="17" s="1"/>
  <c r="X580" i="17"/>
  <c r="Y580" i="17" s="1"/>
  <c r="X377" i="17"/>
  <c r="Y377" i="17" s="1"/>
  <c r="X441" i="17"/>
  <c r="Y441" i="17" s="1"/>
  <c r="X505" i="17"/>
  <c r="Y505" i="17" s="1"/>
  <c r="X466" i="17"/>
  <c r="Y466" i="17" s="1"/>
  <c r="X537" i="17"/>
  <c r="Y537" i="17" s="1"/>
  <c r="X613" i="17"/>
  <c r="Y613" i="17" s="1"/>
  <c r="X432" i="17"/>
  <c r="Y432" i="17" s="1"/>
  <c r="X374" i="17"/>
  <c r="Y374" i="17" s="1"/>
  <c r="X239" i="17"/>
  <c r="Y239" i="17" s="1"/>
  <c r="X111" i="17"/>
  <c r="Y111" i="17" s="1"/>
  <c r="X188" i="17"/>
  <c r="Y188" i="17" s="1"/>
  <c r="X554" i="17"/>
  <c r="Y554" i="17" s="1"/>
  <c r="X346" i="17"/>
  <c r="Y346" i="17" s="1"/>
  <c r="X288" i="17"/>
  <c r="Y288" i="17" s="1"/>
  <c r="X42" i="17"/>
  <c r="Y42" i="17" s="1"/>
  <c r="X216" i="17"/>
  <c r="Y216" i="17" s="1"/>
  <c r="X416" i="17"/>
  <c r="Y416" i="17" s="1"/>
  <c r="X431" i="17"/>
  <c r="Y431" i="17" s="1"/>
  <c r="X487" i="17"/>
  <c r="Y487" i="17" s="1"/>
  <c r="X562" i="17"/>
  <c r="Y562" i="17" s="1"/>
  <c r="X350" i="17"/>
  <c r="Y350" i="17" s="1"/>
  <c r="X215" i="17"/>
  <c r="Y215" i="17" s="1"/>
  <c r="X292" i="17"/>
  <c r="Y292" i="17" s="1"/>
  <c r="X164" i="17"/>
  <c r="Y164" i="17" s="1"/>
  <c r="X38" i="17"/>
  <c r="Y38" i="17" s="1"/>
  <c r="X532" i="17"/>
  <c r="Y532" i="17" s="1"/>
  <c r="X291" i="17"/>
  <c r="Y291" i="17" s="1"/>
  <c r="X240" i="17"/>
  <c r="Y240" i="17" s="1"/>
  <c r="X90" i="17"/>
  <c r="Y90" i="17" s="1"/>
  <c r="X120" i="17"/>
  <c r="Y120" i="17" s="1"/>
  <c r="X495" i="17"/>
  <c r="Y495" i="17" s="1"/>
  <c r="X219" i="17"/>
  <c r="Y219" i="17" s="1"/>
  <c r="X322" i="17"/>
  <c r="Y322" i="17" s="1"/>
  <c r="X200" i="17"/>
  <c r="Y200" i="17" s="1"/>
  <c r="X381" i="17"/>
  <c r="Y381" i="17" s="1"/>
  <c r="X340" i="17"/>
  <c r="Y340" i="17" s="1"/>
  <c r="X269" i="17"/>
  <c r="Y269" i="17" s="1"/>
  <c r="X476" i="17"/>
  <c r="Y476" i="17" s="1"/>
  <c r="X451" i="17"/>
  <c r="Y451" i="17" s="1"/>
  <c r="X323" i="17"/>
  <c r="Y323" i="17" s="1"/>
  <c r="X406" i="17"/>
  <c r="Y406" i="17" s="1"/>
  <c r="X332" i="17"/>
  <c r="Y332" i="17" s="1"/>
  <c r="X261" i="17"/>
  <c r="Y261" i="17" s="1"/>
  <c r="X197" i="17"/>
  <c r="Y197" i="17" s="1"/>
  <c r="X133" i="17"/>
  <c r="Y133" i="17" s="1"/>
  <c r="X274" i="17"/>
  <c r="Y274" i="17" s="1"/>
  <c r="X210" i="17"/>
  <c r="Y210" i="17" s="1"/>
  <c r="X146" i="17"/>
  <c r="Y146" i="17" s="1"/>
  <c r="X35" i="17"/>
  <c r="Y35" i="17" s="1"/>
  <c r="X67" i="17"/>
  <c r="Y67" i="17" s="1"/>
  <c r="X99" i="17"/>
  <c r="Y99" i="17" s="1"/>
  <c r="X56" i="17"/>
  <c r="Y56" i="17" s="1"/>
  <c r="X568" i="17"/>
  <c r="Y568" i="17" s="1"/>
  <c r="X365" i="17"/>
  <c r="Y365" i="17" s="1"/>
  <c r="X429" i="17"/>
  <c r="Y429" i="17" s="1"/>
  <c r="X493" i="17"/>
  <c r="Y493" i="17" s="1"/>
  <c r="X454" i="17"/>
  <c r="Y454" i="17" s="1"/>
  <c r="X519" i="17"/>
  <c r="Y519" i="17" s="1"/>
  <c r="X598" i="17"/>
  <c r="Y598" i="17" s="1"/>
  <c r="X583" i="17"/>
  <c r="Y583" i="17" s="1"/>
  <c r="X436" i="17"/>
  <c r="Y436" i="17" s="1"/>
  <c r="X411" i="17"/>
  <c r="Y411" i="17" s="1"/>
  <c r="X577" i="17"/>
  <c r="Y577" i="17" s="1"/>
  <c r="X376" i="17"/>
  <c r="Y376" i="17" s="1"/>
  <c r="X305" i="17"/>
  <c r="Y305" i="17" s="1"/>
  <c r="X241" i="17"/>
  <c r="Y241" i="17" s="1"/>
  <c r="X177" i="17"/>
  <c r="Y177" i="17" s="1"/>
  <c r="X113" i="17"/>
  <c r="Y113" i="17" s="1"/>
  <c r="X254" i="17"/>
  <c r="Y254" i="17" s="1"/>
  <c r="X190" i="17"/>
  <c r="Y190" i="17" s="1"/>
  <c r="X126" i="17"/>
  <c r="Y126" i="17" s="1"/>
  <c r="X45" i="17"/>
  <c r="Y45" i="17" s="1"/>
  <c r="X77" i="17"/>
  <c r="Y77" i="17" s="1"/>
  <c r="X109" i="17"/>
  <c r="Y109" i="17" s="1"/>
  <c r="X76" i="17"/>
  <c r="Y76" i="17" s="1"/>
  <c r="X404" i="17"/>
  <c r="Y404" i="17" s="1"/>
  <c r="X534" i="17"/>
  <c r="Y534" i="17" s="1"/>
  <c r="X588" i="17"/>
  <c r="Y588" i="17" s="1"/>
  <c r="X321" i="17"/>
  <c r="Y321" i="17" s="1"/>
  <c r="X385" i="17"/>
  <c r="Y385" i="17" s="1"/>
  <c r="X449" i="17"/>
  <c r="Y449" i="17" s="1"/>
  <c r="X513" i="17"/>
  <c r="Y513" i="17" s="1"/>
  <c r="X474" i="17"/>
  <c r="Y474" i="17" s="1"/>
  <c r="X503" i="17"/>
  <c r="Y503" i="17" s="1"/>
  <c r="X578" i="17"/>
  <c r="Y578" i="17" s="1"/>
  <c r="X358" i="17"/>
  <c r="Y358" i="17" s="1"/>
  <c r="X223" i="17"/>
  <c r="Y223" i="17" s="1"/>
  <c r="X300" i="17"/>
  <c r="Y300" i="17" s="1"/>
  <c r="X172" i="17"/>
  <c r="Y172" i="17" s="1"/>
  <c r="X30" i="17"/>
  <c r="Y30" i="17" s="1"/>
  <c r="X591" i="17"/>
  <c r="Y591" i="17" s="1"/>
  <c r="X585" i="17"/>
  <c r="Y585" i="17" s="1"/>
  <c r="X307" i="17"/>
  <c r="Y307" i="17" s="1"/>
  <c r="X256" i="17"/>
  <c r="Y256" i="17" s="1"/>
  <c r="X74" i="17"/>
  <c r="Y74" i="17" s="1"/>
  <c r="X152" i="17"/>
  <c r="Y152" i="17" s="1"/>
  <c r="X283" i="17"/>
  <c r="Y283" i="17" s="1"/>
  <c r="X251" i="17"/>
  <c r="Y251" i="17" s="1"/>
  <c r="X595" i="17"/>
  <c r="Y595" i="17" s="1"/>
  <c r="X455" i="17"/>
  <c r="Y455" i="17" s="1"/>
  <c r="X334" i="17"/>
  <c r="Y334" i="17" s="1"/>
  <c r="X199" i="17"/>
  <c r="Y199" i="17" s="1"/>
  <c r="X276" i="17"/>
  <c r="Y276" i="17" s="1"/>
  <c r="X148" i="17"/>
  <c r="Y148" i="17" s="1"/>
  <c r="X54" i="17"/>
  <c r="Y54" i="17" s="1"/>
  <c r="X472" i="17"/>
  <c r="Y472" i="17" s="1"/>
  <c r="X259" i="17"/>
  <c r="Y259" i="17" s="1"/>
  <c r="X208" i="17"/>
  <c r="Y208" i="17" s="1"/>
  <c r="X605" i="17"/>
  <c r="Y605" i="17" s="1"/>
  <c r="X370" i="17"/>
  <c r="Y370" i="17" s="1"/>
  <c r="X570" i="17"/>
  <c r="Y570" i="17" s="1"/>
  <c r="X296" i="17"/>
  <c r="Y296" i="17" s="1"/>
  <c r="X419" i="17"/>
  <c r="Y419" i="17" s="1"/>
  <c r="X467" i="17"/>
  <c r="Y467" i="17" s="1"/>
  <c r="X539" i="17"/>
  <c r="Y539" i="17" s="1"/>
  <c r="X460" i="17"/>
  <c r="Y460" i="17" s="1"/>
  <c r="X435" i="17"/>
  <c r="Y435" i="17" s="1"/>
  <c r="X390" i="17"/>
  <c r="Y390" i="17" s="1"/>
  <c r="X324" i="17"/>
  <c r="Y324" i="17" s="1"/>
  <c r="X253" i="17"/>
  <c r="Y253" i="17" s="1"/>
  <c r="X189" i="17"/>
  <c r="Y189" i="17" s="1"/>
  <c r="X125" i="17"/>
  <c r="Y125" i="17" s="1"/>
  <c r="X266" i="17"/>
  <c r="Y266" i="17" s="1"/>
  <c r="X202" i="17"/>
  <c r="Y202" i="17" s="1"/>
  <c r="X138" i="17"/>
  <c r="Y138" i="17" s="1"/>
  <c r="X39" i="17"/>
  <c r="Y39" i="17" s="1"/>
  <c r="X71" i="17"/>
  <c r="Y71" i="17" s="1"/>
  <c r="X103" i="17"/>
  <c r="Y103" i="17" s="1"/>
  <c r="X64" i="17"/>
  <c r="Y64" i="17" s="1"/>
  <c r="X392" i="17"/>
  <c r="Y392" i="17" s="1"/>
  <c r="X522" i="17"/>
  <c r="Y522" i="17" s="1"/>
  <c r="X576" i="17"/>
  <c r="Y576" i="17" s="1"/>
  <c r="X373" i="17"/>
  <c r="Y373" i="17" s="1"/>
  <c r="X437" i="17"/>
  <c r="Y437" i="17" s="1"/>
  <c r="X501" i="17"/>
  <c r="Y501" i="17" s="1"/>
  <c r="X462" i="17"/>
  <c r="Y462" i="17" s="1"/>
  <c r="X601" i="17"/>
  <c r="Y601" i="17" s="1"/>
  <c r="X551" i="17"/>
  <c r="Y551" i="17" s="1"/>
  <c r="X420" i="17"/>
  <c r="Y420" i="17" s="1"/>
  <c r="X395" i="17"/>
  <c r="Y395" i="17" s="1"/>
  <c r="X545" i="17"/>
  <c r="Y545" i="17" s="1"/>
  <c r="X368" i="17"/>
  <c r="Y368" i="17" s="1"/>
  <c r="X297" i="17"/>
  <c r="Y297" i="17" s="1"/>
  <c r="X233" i="17"/>
  <c r="Y233" i="17" s="1"/>
  <c r="X169" i="17"/>
  <c r="Y169" i="17" s="1"/>
  <c r="X310" i="17"/>
  <c r="Y310" i="17" s="1"/>
  <c r="X246" i="17"/>
  <c r="Y246" i="17" s="1"/>
  <c r="X182" i="17"/>
  <c r="Y182" i="17" s="1"/>
  <c r="X118" i="17"/>
  <c r="Y118" i="17" s="1"/>
  <c r="X15" i="17"/>
  <c r="Y15" i="17" s="1"/>
  <c r="X49" i="17"/>
  <c r="Y49" i="17" s="1"/>
  <c r="X81" i="17"/>
  <c r="Y81" i="17" s="1"/>
  <c r="X20" i="17"/>
  <c r="Y20" i="17" s="1"/>
  <c r="X84" i="17"/>
  <c r="Y84" i="17" s="1"/>
  <c r="X542" i="17"/>
  <c r="Y542" i="17" s="1"/>
  <c r="X329" i="17"/>
  <c r="Y329" i="17" s="1"/>
  <c r="X393" i="17"/>
  <c r="Y393" i="17" s="1"/>
  <c r="X457" i="17"/>
  <c r="Y457" i="17" s="1"/>
  <c r="X418" i="17"/>
  <c r="Y418" i="17" s="1"/>
  <c r="X482" i="17"/>
  <c r="Y482" i="17" s="1"/>
  <c r="X547" i="17"/>
  <c r="Y547" i="17" s="1"/>
  <c r="X471" i="17"/>
  <c r="Y471" i="17" s="1"/>
  <c r="X546" i="17"/>
  <c r="Y546" i="17" s="1"/>
  <c r="X342" i="17"/>
  <c r="Y342" i="17" s="1"/>
  <c r="X207" i="17"/>
  <c r="Y207" i="17" s="1"/>
  <c r="X284" i="17"/>
  <c r="Y284" i="17" s="1"/>
  <c r="X156" i="17"/>
  <c r="Y156" i="17" s="1"/>
  <c r="X46" i="17"/>
  <c r="Y46" i="17" s="1"/>
  <c r="X504" i="17"/>
  <c r="Y504" i="17" s="1"/>
  <c r="X275" i="17"/>
  <c r="Y275" i="17" s="1"/>
  <c r="X224" i="17"/>
  <c r="Y224" i="17" s="1"/>
  <c r="X106" i="17"/>
  <c r="Y106" i="17" s="1"/>
  <c r="X367" i="17"/>
  <c r="Y367" i="17" s="1"/>
  <c r="X155" i="17"/>
  <c r="Y155" i="17" s="1"/>
  <c r="X603" i="17"/>
  <c r="Y603" i="17" s="1"/>
  <c r="X527" i="17"/>
  <c r="Y527" i="17" s="1"/>
  <c r="X423" i="17"/>
  <c r="Y423" i="17" s="1"/>
  <c r="X318" i="17"/>
  <c r="Y318" i="17" s="1"/>
  <c r="X311" i="17"/>
  <c r="Y311" i="17" s="1"/>
  <c r="X183" i="17"/>
  <c r="Y183" i="17" s="1"/>
  <c r="X260" i="17"/>
  <c r="Y260" i="17" s="1"/>
  <c r="X132" i="17"/>
  <c r="Y132" i="17" s="1"/>
  <c r="X70" i="17"/>
  <c r="Y70" i="17" s="1"/>
  <c r="X511" i="17"/>
  <c r="Y511" i="17" s="1"/>
  <c r="X227" i="17"/>
  <c r="Y227" i="17" s="1"/>
  <c r="X176" i="17"/>
  <c r="Y176" i="17" s="1"/>
  <c r="X559" i="17"/>
  <c r="Y559" i="17" s="1"/>
  <c r="X299" i="17"/>
  <c r="Y299" i="17" s="1"/>
  <c r="X168" i="17"/>
  <c r="Y168" i="17" s="1"/>
  <c r="X123" i="17"/>
  <c r="Y123" i="17" s="1"/>
  <c r="AC58" i="17"/>
  <c r="AB365" i="17"/>
  <c r="AB339" i="17"/>
  <c r="AC160" i="17"/>
  <c r="F627" i="17"/>
  <c r="AB305" i="17"/>
  <c r="E627" i="17"/>
  <c r="N627" i="17"/>
  <c r="M627" i="17"/>
  <c r="D627" i="17"/>
  <c r="L627" i="17"/>
  <c r="K627" i="17"/>
  <c r="I627" i="17"/>
  <c r="U627" i="17"/>
  <c r="C627" i="17"/>
  <c r="G627" i="17"/>
  <c r="H624" i="17"/>
  <c r="G624" i="17"/>
  <c r="X628" i="17"/>
  <c r="Y628" i="17" s="1"/>
  <c r="M625" i="17"/>
  <c r="H625" i="17"/>
  <c r="G625" i="17"/>
  <c r="W628" i="17"/>
  <c r="D637" i="17" s="1"/>
  <c r="W577" i="17"/>
  <c r="W545" i="17"/>
  <c r="W523" i="17"/>
  <c r="W409" i="17"/>
  <c r="W606" i="17"/>
  <c r="W592" i="17"/>
  <c r="W536" i="17"/>
  <c r="W489" i="17"/>
  <c r="W457" i="17"/>
  <c r="W425" i="17"/>
  <c r="W496" i="17"/>
  <c r="W464" i="17"/>
  <c r="W432" i="17"/>
  <c r="W400" i="17"/>
  <c r="W368" i="17"/>
  <c r="W336" i="17"/>
  <c r="W308" i="17"/>
  <c r="W292" i="17"/>
  <c r="W276" i="17"/>
  <c r="W260" i="17"/>
  <c r="W244" i="17"/>
  <c r="W228" i="17"/>
  <c r="W212" i="17"/>
  <c r="W196" i="17"/>
  <c r="W180" i="17"/>
  <c r="W164" i="17"/>
  <c r="W148" i="17"/>
  <c r="W132" i="17"/>
  <c r="W116" i="17"/>
  <c r="W305" i="17"/>
  <c r="W289" i="17"/>
  <c r="W273" i="17"/>
  <c r="W257" i="17"/>
  <c r="W241" i="17"/>
  <c r="W225" i="17"/>
  <c r="W209" i="17"/>
  <c r="W193" i="17"/>
  <c r="W177" i="17"/>
  <c r="W161" i="17"/>
  <c r="W145" i="17"/>
  <c r="W129" i="17"/>
  <c r="W318" i="17"/>
  <c r="W397" i="17"/>
  <c r="W381" i="17"/>
  <c r="W365" i="17"/>
  <c r="W349" i="17"/>
  <c r="W333" i="17"/>
  <c r="W317" i="17"/>
  <c r="W121" i="17"/>
  <c r="W13" i="17"/>
  <c r="W29" i="17"/>
  <c r="W45" i="17"/>
  <c r="W61" i="17"/>
  <c r="W77" i="17"/>
  <c r="W93" i="17"/>
  <c r="W109" i="17"/>
  <c r="W622" i="17"/>
  <c r="D632" i="17" s="1"/>
  <c r="W338" i="17"/>
  <c r="W354" i="17"/>
  <c r="W370" i="17"/>
  <c r="W386" i="17"/>
  <c r="W402" i="17"/>
  <c r="W418" i="17"/>
  <c r="W434" i="17"/>
  <c r="W450" i="17"/>
  <c r="W466" i="17"/>
  <c r="W482" i="17"/>
  <c r="W498" i="17"/>
  <c r="W514" i="17"/>
  <c r="W427" i="17"/>
  <c r="W443" i="17"/>
  <c r="W459" i="17"/>
  <c r="W475" i="17"/>
  <c r="W491" i="17"/>
  <c r="W507" i="17"/>
  <c r="W522" i="17"/>
  <c r="W538" i="17"/>
  <c r="W564" i="17"/>
  <c r="W608" i="17"/>
  <c r="W605" i="17"/>
  <c r="W411" i="17"/>
  <c r="W525" i="17"/>
  <c r="W541" i="17"/>
  <c r="W569" i="17"/>
  <c r="W582" i="17"/>
  <c r="W611" i="17"/>
  <c r="W598" i="17"/>
  <c r="W576" i="17"/>
  <c r="W528" i="17"/>
  <c r="W513" i="17"/>
  <c r="W481" i="17"/>
  <c r="W449" i="17"/>
  <c r="W417" i="17"/>
  <c r="W488" i="17"/>
  <c r="W456" i="17"/>
  <c r="W424" i="17"/>
  <c r="W392" i="17"/>
  <c r="W360" i="17"/>
  <c r="W320" i="17"/>
  <c r="W304" i="17"/>
  <c r="W288" i="17"/>
  <c r="W272" i="17"/>
  <c r="W256" i="17"/>
  <c r="W240" i="17"/>
  <c r="W224" i="17"/>
  <c r="W208" i="17"/>
  <c r="W192" i="17"/>
  <c r="W176" i="17"/>
  <c r="W160" i="17"/>
  <c r="W144" i="17"/>
  <c r="W128" i="17"/>
  <c r="W112" i="17"/>
  <c r="W301" i="17"/>
  <c r="W285" i="17"/>
  <c r="W269" i="17"/>
  <c r="W253" i="17"/>
  <c r="W237" i="17"/>
  <c r="W221" i="17"/>
  <c r="W205" i="17"/>
  <c r="W189" i="17"/>
  <c r="W173" i="17"/>
  <c r="W157" i="17"/>
  <c r="W141" i="17"/>
  <c r="W125" i="17"/>
  <c r="W393" i="17"/>
  <c r="W377" i="17"/>
  <c r="W361" i="17"/>
  <c r="W345" i="17"/>
  <c r="W329" i="17"/>
  <c r="W17" i="17"/>
  <c r="W33" i="17"/>
  <c r="W49" i="17"/>
  <c r="W65" i="17"/>
  <c r="W81" i="17"/>
  <c r="W97" i="17"/>
  <c r="X626" i="17"/>
  <c r="Y626" i="17" s="1"/>
  <c r="W316" i="17"/>
  <c r="W342" i="17"/>
  <c r="W358" i="17"/>
  <c r="W374" i="17"/>
  <c r="W390" i="17"/>
  <c r="W406" i="17"/>
  <c r="W422" i="17"/>
  <c r="W438" i="17"/>
  <c r="W454" i="17"/>
  <c r="W470" i="17"/>
  <c r="W486" i="17"/>
  <c r="W502" i="17"/>
  <c r="W518" i="17"/>
  <c r="W431" i="17"/>
  <c r="W447" i="17"/>
  <c r="W463" i="17"/>
  <c r="W479" i="17"/>
  <c r="W495" i="17"/>
  <c r="W511" i="17"/>
  <c r="W526" i="17"/>
  <c r="W542" i="17"/>
  <c r="W572" i="17"/>
  <c r="W596" i="17"/>
  <c r="W612" i="17"/>
  <c r="W609" i="17"/>
  <c r="W415" i="17"/>
  <c r="W529" i="17"/>
  <c r="W562" i="17"/>
  <c r="W594" i="17"/>
  <c r="W559" i="17"/>
  <c r="W575" i="17"/>
  <c r="W591" i="17"/>
  <c r="W549" i="17"/>
  <c r="W610" i="17"/>
  <c r="W493" i="17"/>
  <c r="W429" i="17"/>
  <c r="W468" i="17"/>
  <c r="W404" i="17"/>
  <c r="W340" i="17"/>
  <c r="W310" i="17"/>
  <c r="W278" i="17"/>
  <c r="W246" i="17"/>
  <c r="W214" i="17"/>
  <c r="W182" i="17"/>
  <c r="W150" i="17"/>
  <c r="W118" i="17"/>
  <c r="W291" i="17"/>
  <c r="W259" i="17"/>
  <c r="W227" i="17"/>
  <c r="W195" i="17"/>
  <c r="W163" i="17"/>
  <c r="W131" i="17"/>
  <c r="W399" i="17"/>
  <c r="W367" i="17"/>
  <c r="W335" i="17"/>
  <c r="W18" i="17"/>
  <c r="W43" i="17"/>
  <c r="W75" i="17"/>
  <c r="W107" i="17"/>
  <c r="W30" i="17"/>
  <c r="W46" i="17"/>
  <c r="W62" i="17"/>
  <c r="W78" i="17"/>
  <c r="W94" i="17"/>
  <c r="X622" i="17"/>
  <c r="Y622" i="17" s="1"/>
  <c r="W557" i="17"/>
  <c r="W501" i="17"/>
  <c r="W476" i="17"/>
  <c r="W348" i="17"/>
  <c r="W282" i="17"/>
  <c r="W218" i="17"/>
  <c r="W154" i="17"/>
  <c r="W295" i="17"/>
  <c r="W231" i="17"/>
  <c r="W167" i="17"/>
  <c r="W403" i="17"/>
  <c r="W339" i="17"/>
  <c r="W14" i="17"/>
  <c r="W71" i="17"/>
  <c r="W28" i="17"/>
  <c r="W60" i="17"/>
  <c r="W92" i="17"/>
  <c r="W485" i="17"/>
  <c r="W328" i="17"/>
  <c r="W274" i="17"/>
  <c r="W146" i="17"/>
  <c r="W223" i="17"/>
  <c r="W395" i="17"/>
  <c r="W15" i="17"/>
  <c r="W32" i="17"/>
  <c r="W96" i="17"/>
  <c r="W626" i="17"/>
  <c r="D636" i="17" s="1"/>
  <c r="W364" i="17"/>
  <c r="W162" i="17"/>
  <c r="W117" i="17"/>
  <c r="W88" i="17"/>
  <c r="W194" i="17"/>
  <c r="W72" i="17"/>
  <c r="W258" i="17"/>
  <c r="W40" i="17"/>
  <c r="W104" i="17"/>
  <c r="W554" i="17"/>
  <c r="W586" i="17"/>
  <c r="W555" i="17"/>
  <c r="W571" i="17"/>
  <c r="W587" i="17"/>
  <c r="W565" i="17"/>
  <c r="W607" i="17"/>
  <c r="W524" i="17"/>
  <c r="W509" i="17"/>
  <c r="W445" i="17"/>
  <c r="W484" i="17"/>
  <c r="W420" i="17"/>
  <c r="W356" i="17"/>
  <c r="W286" i="17"/>
  <c r="W254" i="17"/>
  <c r="W222" i="17"/>
  <c r="W190" i="17"/>
  <c r="W158" i="17"/>
  <c r="W126" i="17"/>
  <c r="W299" i="17"/>
  <c r="W267" i="17"/>
  <c r="W235" i="17"/>
  <c r="W203" i="17"/>
  <c r="W171" i="17"/>
  <c r="W139" i="17"/>
  <c r="W375" i="17"/>
  <c r="W343" i="17"/>
  <c r="W35" i="17"/>
  <c r="W67" i="17"/>
  <c r="W99" i="17"/>
  <c r="W26" i="17"/>
  <c r="W42" i="17"/>
  <c r="W58" i="17"/>
  <c r="W74" i="17"/>
  <c r="W90" i="17"/>
  <c r="W106" i="17"/>
  <c r="W589" i="17"/>
  <c r="W535" i="17"/>
  <c r="W508" i="17"/>
  <c r="W380" i="17"/>
  <c r="W298" i="17"/>
  <c r="W234" i="17"/>
  <c r="W170" i="17"/>
  <c r="W311" i="17"/>
  <c r="W247" i="17"/>
  <c r="W183" i="17"/>
  <c r="W330" i="17"/>
  <c r="W355" i="17"/>
  <c r="W115" i="17"/>
  <c r="W55" i="17"/>
  <c r="W20" i="17"/>
  <c r="W52" i="17"/>
  <c r="W84" i="17"/>
  <c r="W396" i="17"/>
  <c r="W306" i="17"/>
  <c r="W178" i="17"/>
  <c r="W255" i="17"/>
  <c r="W127" i="17"/>
  <c r="W80" i="17"/>
  <c r="W492" i="17"/>
  <c r="W226" i="17"/>
  <c r="W175" i="17"/>
  <c r="W56" i="17"/>
  <c r="W315" i="17"/>
  <c r="W95" i="17"/>
  <c r="W453" i="17"/>
  <c r="W379" i="17"/>
  <c r="W593" i="17"/>
  <c r="W561" i="17"/>
  <c r="W566" i="17"/>
  <c r="W539" i="17"/>
  <c r="W603" i="17"/>
  <c r="W560" i="17"/>
  <c r="W505" i="17"/>
  <c r="W473" i="17"/>
  <c r="W441" i="17"/>
  <c r="W512" i="17"/>
  <c r="W480" i="17"/>
  <c r="W448" i="17"/>
  <c r="W416" i="17"/>
  <c r="W384" i="17"/>
  <c r="W352" i="17"/>
  <c r="W300" i="17"/>
  <c r="W284" i="17"/>
  <c r="W268" i="17"/>
  <c r="W252" i="17"/>
  <c r="W236" i="17"/>
  <c r="W220" i="17"/>
  <c r="W204" i="17"/>
  <c r="W188" i="17"/>
  <c r="W172" i="17"/>
  <c r="W156" i="17"/>
  <c r="W140" i="17"/>
  <c r="W124" i="17"/>
  <c r="W313" i="17"/>
  <c r="W297" i="17"/>
  <c r="W281" i="17"/>
  <c r="W265" i="17"/>
  <c r="W249" i="17"/>
  <c r="W233" i="17"/>
  <c r="W217" i="17"/>
  <c r="W201" i="17"/>
  <c r="W185" i="17"/>
  <c r="W169" i="17"/>
  <c r="W153" i="17"/>
  <c r="W137" i="17"/>
  <c r="W334" i="17"/>
  <c r="W405" i="17"/>
  <c r="W389" i="17"/>
  <c r="W373" i="17"/>
  <c r="W357" i="17"/>
  <c r="W341" i="17"/>
  <c r="W325" i="17"/>
  <c r="W119" i="17"/>
  <c r="W21" i="17"/>
  <c r="W37" i="17"/>
  <c r="W53" i="17"/>
  <c r="W69" i="17"/>
  <c r="W85" i="17"/>
  <c r="W101" i="17"/>
  <c r="X623" i="17"/>
  <c r="Y623" i="17" s="1"/>
  <c r="W324" i="17"/>
  <c r="W346" i="17"/>
  <c r="W362" i="17"/>
  <c r="W378" i="17"/>
  <c r="W394" i="17"/>
  <c r="W410" i="17"/>
  <c r="W426" i="17"/>
  <c r="W442" i="17"/>
  <c r="W458" i="17"/>
  <c r="W474" i="17"/>
  <c r="W490" i="17"/>
  <c r="W506" i="17"/>
  <c r="W419" i="17"/>
  <c r="W435" i="17"/>
  <c r="W451" i="17"/>
  <c r="W467" i="17"/>
  <c r="W483" i="17"/>
  <c r="W499" i="17"/>
  <c r="W515" i="17"/>
  <c r="W530" i="17"/>
  <c r="W548" i="17"/>
  <c r="W580" i="17"/>
  <c r="W600" i="17"/>
  <c r="W597" i="17"/>
  <c r="W613" i="17"/>
  <c r="W533" i="17"/>
  <c r="W585" i="17"/>
  <c r="W553" i="17"/>
  <c r="W550" i="17"/>
  <c r="W531" i="17"/>
  <c r="W595" i="17"/>
  <c r="W544" i="17"/>
  <c r="W497" i="17"/>
  <c r="W465" i="17"/>
  <c r="W433" i="17"/>
  <c r="W504" i="17"/>
  <c r="W472" i="17"/>
  <c r="W440" i="17"/>
  <c r="W408" i="17"/>
  <c r="W376" i="17"/>
  <c r="W344" i="17"/>
  <c r="W312" i="17"/>
  <c r="W296" i="17"/>
  <c r="W280" i="17"/>
  <c r="W264" i="17"/>
  <c r="W248" i="17"/>
  <c r="W232" i="17"/>
  <c r="W216" i="17"/>
  <c r="W200" i="17"/>
  <c r="W184" i="17"/>
  <c r="W168" i="17"/>
  <c r="W152" i="17"/>
  <c r="W136" i="17"/>
  <c r="W120" i="17"/>
  <c r="W309" i="17"/>
  <c r="W293" i="17"/>
  <c r="W277" i="17"/>
  <c r="W261" i="17"/>
  <c r="W245" i="17"/>
  <c r="W229" i="17"/>
  <c r="W213" i="17"/>
  <c r="W197" i="17"/>
  <c r="W181" i="17"/>
  <c r="W165" i="17"/>
  <c r="W149" i="17"/>
  <c r="W133" i="17"/>
  <c r="W326" i="17"/>
  <c r="W401" i="17"/>
  <c r="W385" i="17"/>
  <c r="W369" i="17"/>
  <c r="W353" i="17"/>
  <c r="W337" i="17"/>
  <c r="W321" i="17"/>
  <c r="W113" i="17"/>
  <c r="W16" i="17"/>
  <c r="W25" i="17"/>
  <c r="W41" i="17"/>
  <c r="W57" i="17"/>
  <c r="W73" i="17"/>
  <c r="W89" i="17"/>
  <c r="W105" i="17"/>
  <c r="W332" i="17"/>
  <c r="W350" i="17"/>
  <c r="W366" i="17"/>
  <c r="W382" i="17"/>
  <c r="W398" i="17"/>
  <c r="W414" i="17"/>
  <c r="W430" i="17"/>
  <c r="W446" i="17"/>
  <c r="W462" i="17"/>
  <c r="W478" i="17"/>
  <c r="W494" i="17"/>
  <c r="W510" i="17"/>
  <c r="W423" i="17"/>
  <c r="W439" i="17"/>
  <c r="W455" i="17"/>
  <c r="W471" i="17"/>
  <c r="W487" i="17"/>
  <c r="W503" i="17"/>
  <c r="W534" i="17"/>
  <c r="W556" i="17"/>
  <c r="W588" i="17"/>
  <c r="W604" i="17"/>
  <c r="W601" i="17"/>
  <c r="W407" i="17"/>
  <c r="W521" i="17"/>
  <c r="W537" i="17"/>
  <c r="W546" i="17"/>
  <c r="W578" i="17"/>
  <c r="W551" i="17"/>
  <c r="W567" i="17"/>
  <c r="W583" i="17"/>
  <c r="W581" i="17"/>
  <c r="W527" i="17"/>
  <c r="W413" i="17"/>
  <c r="W540" i="17"/>
  <c r="W461" i="17"/>
  <c r="W500" i="17"/>
  <c r="W436" i="17"/>
  <c r="W372" i="17"/>
  <c r="W294" i="17"/>
  <c r="W262" i="17"/>
  <c r="W230" i="17"/>
  <c r="W198" i="17"/>
  <c r="W166" i="17"/>
  <c r="W134" i="17"/>
  <c r="W307" i="17"/>
  <c r="W275" i="17"/>
  <c r="W243" i="17"/>
  <c r="W211" i="17"/>
  <c r="W179" i="17"/>
  <c r="W147" i="17"/>
  <c r="W322" i="17"/>
  <c r="W383" i="17"/>
  <c r="W351" i="17"/>
  <c r="W319" i="17"/>
  <c r="W111" i="17"/>
  <c r="W27" i="17"/>
  <c r="W59" i="17"/>
  <c r="W91" i="17"/>
  <c r="W22" i="17"/>
  <c r="W38" i="17"/>
  <c r="W54" i="17"/>
  <c r="W70" i="17"/>
  <c r="W86" i="17"/>
  <c r="W102" i="17"/>
  <c r="W599" i="17"/>
  <c r="W437" i="17"/>
  <c r="W412" i="17"/>
  <c r="W314" i="17"/>
  <c r="W250" i="17"/>
  <c r="W186" i="17"/>
  <c r="W122" i="17"/>
  <c r="W263" i="17"/>
  <c r="W199" i="17"/>
  <c r="W135" i="17"/>
  <c r="W371" i="17"/>
  <c r="W39" i="17"/>
  <c r="W103" i="17"/>
  <c r="W44" i="17"/>
  <c r="W76" i="17"/>
  <c r="W108" i="17"/>
  <c r="W590" i="17"/>
  <c r="W584" i="17"/>
  <c r="W460" i="17"/>
  <c r="W210" i="17"/>
  <c r="W287" i="17"/>
  <c r="W159" i="17"/>
  <c r="W331" i="17"/>
  <c r="W79" i="17"/>
  <c r="W64" i="17"/>
  <c r="W519" i="17"/>
  <c r="W517" i="17"/>
  <c r="W290" i="17"/>
  <c r="W239" i="17"/>
  <c r="W24" i="17"/>
  <c r="W428" i="17"/>
  <c r="W143" i="17"/>
  <c r="W130" i="17"/>
  <c r="W31" i="17"/>
  <c r="W570" i="17"/>
  <c r="W547" i="17"/>
  <c r="W563" i="17"/>
  <c r="W579" i="17"/>
  <c r="W574" i="17"/>
  <c r="W543" i="17"/>
  <c r="W520" i="17"/>
  <c r="W568" i="17"/>
  <c r="W477" i="17"/>
  <c r="W516" i="17"/>
  <c r="W452" i="17"/>
  <c r="W388" i="17"/>
  <c r="W302" i="17"/>
  <c r="W270" i="17"/>
  <c r="W238" i="17"/>
  <c r="W206" i="17"/>
  <c r="W174" i="17"/>
  <c r="W142" i="17"/>
  <c r="W110" i="17"/>
  <c r="W283" i="17"/>
  <c r="W251" i="17"/>
  <c r="W219" i="17"/>
  <c r="W187" i="17"/>
  <c r="W155" i="17"/>
  <c r="W123" i="17"/>
  <c r="W391" i="17"/>
  <c r="W359" i="17"/>
  <c r="W327" i="17"/>
  <c r="W19" i="17"/>
  <c r="W51" i="17"/>
  <c r="W83" i="17"/>
  <c r="W34" i="17"/>
  <c r="W50" i="17"/>
  <c r="W66" i="17"/>
  <c r="W82" i="17"/>
  <c r="W98" i="17"/>
  <c r="W623" i="17"/>
  <c r="D633" i="17" s="1"/>
  <c r="W558" i="17"/>
  <c r="W552" i="17"/>
  <c r="W469" i="17"/>
  <c r="W444" i="17"/>
  <c r="W266" i="17"/>
  <c r="W202" i="17"/>
  <c r="W138" i="17"/>
  <c r="W279" i="17"/>
  <c r="W215" i="17"/>
  <c r="W151" i="17"/>
  <c r="W387" i="17"/>
  <c r="W323" i="17"/>
  <c r="W23" i="17"/>
  <c r="W87" i="17"/>
  <c r="W36" i="17"/>
  <c r="W68" i="17"/>
  <c r="W100" i="17"/>
  <c r="W602" i="17"/>
  <c r="W421" i="17"/>
  <c r="W242" i="17"/>
  <c r="W114" i="17"/>
  <c r="W191" i="17"/>
  <c r="W363" i="17"/>
  <c r="W47" i="17"/>
  <c r="W48" i="17"/>
  <c r="W573" i="17"/>
  <c r="W303" i="17"/>
  <c r="W347" i="17"/>
  <c r="W63" i="17"/>
  <c r="W532" i="17"/>
  <c r="W271" i="17"/>
  <c r="W207" i="17"/>
  <c r="AB583" i="17"/>
  <c r="AB430" i="17"/>
  <c r="AB190" i="17"/>
  <c r="AC240" i="17"/>
  <c r="AB315" i="17"/>
  <c r="AB194" i="17"/>
  <c r="AB195" i="17"/>
  <c r="AB463" i="17"/>
  <c r="AC187" i="17"/>
  <c r="AB559" i="17"/>
  <c r="AB368" i="17"/>
  <c r="AC559" i="17"/>
  <c r="AC574" i="17"/>
  <c r="AB208" i="17"/>
  <c r="AC579" i="17"/>
  <c r="AC530" i="17"/>
  <c r="AC177" i="17"/>
  <c r="AB251" i="17"/>
  <c r="AC426" i="17"/>
  <c r="AC490" i="17"/>
  <c r="AB561" i="17"/>
  <c r="AB322" i="17"/>
  <c r="AB566" i="17"/>
  <c r="AC421" i="17"/>
  <c r="AB495" i="17"/>
  <c r="AB557" i="17"/>
  <c r="AB626" i="17"/>
  <c r="AC155" i="17"/>
  <c r="AB258" i="17"/>
  <c r="AC318" i="17"/>
  <c r="AB130" i="17"/>
  <c r="AC551" i="17"/>
  <c r="AB241" i="17"/>
  <c r="AC469" i="17"/>
  <c r="AB81" i="17"/>
  <c r="AB511" i="17"/>
  <c r="AB162" i="17"/>
  <c r="AB555" i="17"/>
  <c r="AB524" i="17"/>
  <c r="AC382" i="17"/>
  <c r="AB254" i="17"/>
  <c r="AB126" i="17"/>
  <c r="AB35" i="17"/>
  <c r="AB589" i="17"/>
  <c r="AC291" i="17"/>
  <c r="AC163" i="17"/>
  <c r="AB127" i="17"/>
  <c r="AB226" i="17"/>
  <c r="AC322" i="17"/>
  <c r="AC305" i="17"/>
  <c r="AC203" i="17"/>
  <c r="AC333" i="17"/>
  <c r="AC381" i="17"/>
  <c r="AC502" i="17"/>
  <c r="AB471" i="17"/>
  <c r="AC533" i="17"/>
  <c r="AC335" i="17"/>
  <c r="AC351" i="17"/>
  <c r="AC367" i="17"/>
  <c r="AC383" i="17"/>
  <c r="AC399" i="17"/>
  <c r="AC431" i="17"/>
  <c r="AC586" i="17"/>
  <c r="AC554" i="17"/>
  <c r="AC532" i="17"/>
  <c r="AB508" i="17"/>
  <c r="AB476" i="17"/>
  <c r="AB380" i="17"/>
  <c r="AB348" i="17"/>
  <c r="AB509" i="17"/>
  <c r="AB445" i="17"/>
  <c r="AC553" i="17"/>
  <c r="AB56" i="17"/>
  <c r="AB611" i="17"/>
  <c r="AB316" i="17"/>
  <c r="AC606" i="17"/>
  <c r="AC444" i="17"/>
  <c r="AC483" i="17"/>
  <c r="AC558" i="17"/>
  <c r="AB480" i="17"/>
  <c r="AB416" i="17"/>
  <c r="AB352" i="17"/>
  <c r="AC406" i="17"/>
  <c r="AB362" i="17"/>
  <c r="AB426" i="17"/>
  <c r="AB458" i="17"/>
  <c r="AB490" i="17"/>
  <c r="AB548" i="17"/>
  <c r="AC568" i="17"/>
  <c r="AC438" i="17"/>
  <c r="AC470" i="17"/>
  <c r="AC500" i="17"/>
  <c r="AC241" i="17"/>
  <c r="AC474" i="17"/>
  <c r="AC563" i="17"/>
  <c r="AC529" i="17"/>
  <c r="AB551" i="17"/>
  <c r="AC503" i="17"/>
  <c r="AC358" i="17"/>
  <c r="AB294" i="17"/>
  <c r="AB230" i="17"/>
  <c r="AB166" i="17"/>
  <c r="AB307" i="17"/>
  <c r="AC602" i="17"/>
  <c r="AC591" i="17"/>
  <c r="AB331" i="17"/>
  <c r="AB64" i="17"/>
  <c r="AB290" i="17"/>
  <c r="AC283" i="17"/>
  <c r="AC136" i="17"/>
  <c r="AB574" i="17"/>
  <c r="AB520" i="17"/>
  <c r="AC391" i="17"/>
  <c r="AB215" i="17"/>
  <c r="AB100" i="17"/>
  <c r="AC605" i="17"/>
  <c r="AB48" i="17"/>
  <c r="AC354" i="17"/>
  <c r="AB303" i="17"/>
  <c r="AB271" i="17"/>
  <c r="AC81" i="17"/>
  <c r="AC150" i="17"/>
  <c r="AB523" i="17"/>
  <c r="AB522" i="17"/>
  <c r="AC565" i="17"/>
  <c r="AB255" i="17"/>
  <c r="AB17" i="17"/>
  <c r="AB203" i="17"/>
  <c r="AB432" i="17"/>
  <c r="AB496" i="17"/>
  <c r="AB417" i="17"/>
  <c r="AB513" i="17"/>
  <c r="AC520" i="17"/>
  <c r="AB330" i="17"/>
  <c r="AC592" i="17"/>
  <c r="M624" i="17"/>
  <c r="N624" i="17"/>
  <c r="AB407" i="17"/>
  <c r="AB497" i="17"/>
  <c r="AB275" i="17"/>
  <c r="AB134" i="17"/>
  <c r="AB198" i="17"/>
  <c r="AB262" i="17"/>
  <c r="AC326" i="17"/>
  <c r="AB384" i="17"/>
  <c r="AB448" i="17"/>
  <c r="AB512" i="17"/>
  <c r="AC442" i="17"/>
  <c r="AC458" i="17"/>
  <c r="AC506" i="17"/>
  <c r="AC536" i="17"/>
  <c r="AB560" i="17"/>
  <c r="AC590" i="17"/>
  <c r="AB593" i="17"/>
  <c r="AC400" i="17"/>
  <c r="AB394" i="17"/>
  <c r="AB600" i="17"/>
  <c r="AB613" i="17"/>
  <c r="AC360" i="17"/>
  <c r="AB296" i="17"/>
  <c r="AB232" i="17"/>
  <c r="AB168" i="17"/>
  <c r="AB159" i="17"/>
  <c r="AB16" i="17"/>
  <c r="AB219" i="17"/>
  <c r="AB155" i="17"/>
  <c r="AB57" i="17"/>
  <c r="AB41" i="17"/>
  <c r="AC376" i="17"/>
  <c r="AB248" i="17"/>
  <c r="AB136" i="17"/>
  <c r="AB277" i="17"/>
  <c r="AB213" i="17"/>
  <c r="AC612" i="17"/>
  <c r="AC549" i="17"/>
  <c r="AB531" i="17"/>
  <c r="AC475" i="17"/>
  <c r="AC443" i="17"/>
  <c r="AC379" i="17"/>
  <c r="AC315" i="17"/>
  <c r="AB325" i="17"/>
  <c r="AC309" i="17"/>
  <c r="AC293" i="17"/>
  <c r="AC277" i="17"/>
  <c r="AC261" i="17"/>
  <c r="AC245" i="17"/>
  <c r="AC229" i="17"/>
  <c r="AC213" i="17"/>
  <c r="AC197" i="17"/>
  <c r="AC181" i="17"/>
  <c r="AC165" i="17"/>
  <c r="AC149" i="17"/>
  <c r="AC133" i="17"/>
  <c r="AC117" i="17"/>
  <c r="AC306" i="17"/>
  <c r="AC290" i="17"/>
  <c r="AC274" i="17"/>
  <c r="AC258" i="17"/>
  <c r="AC242" i="17"/>
  <c r="AC226" i="17"/>
  <c r="AC210" i="17"/>
  <c r="AC194" i="17"/>
  <c r="AC178" i="17"/>
  <c r="AC162" i="17"/>
  <c r="AB113" i="17"/>
  <c r="AB578" i="17"/>
  <c r="AB546" i="17"/>
  <c r="AB515" i="17"/>
  <c r="AB499" i="17"/>
  <c r="AB483" i="17"/>
  <c r="AB467" i="17"/>
  <c r="AB383" i="17"/>
  <c r="AB351" i="17"/>
  <c r="AB319" i="17"/>
  <c r="AC287" i="17"/>
  <c r="AC255" i="17"/>
  <c r="AC223" i="17"/>
  <c r="AC191" i="17"/>
  <c r="AC159" i="17"/>
  <c r="AB197" i="17"/>
  <c r="AB165" i="17"/>
  <c r="AB34" i="17"/>
  <c r="AB50" i="17"/>
  <c r="AB66" i="17"/>
  <c r="AB82" i="17"/>
  <c r="AB98" i="17"/>
  <c r="AB425" i="17"/>
  <c r="AB457" i="17"/>
  <c r="AB489" i="17"/>
  <c r="AB207" i="17"/>
  <c r="AB328" i="17"/>
  <c r="AB360" i="17"/>
  <c r="AB392" i="17"/>
  <c r="AB424" i="17"/>
  <c r="AB456" i="17"/>
  <c r="AB488" i="17"/>
  <c r="AC434" i="17"/>
  <c r="AC498" i="17"/>
  <c r="AB576" i="17"/>
  <c r="AC543" i="17"/>
  <c r="AC566" i="17"/>
  <c r="AB598" i="17"/>
  <c r="AB553" i="17"/>
  <c r="AB585" i="17"/>
  <c r="AB160" i="17"/>
  <c r="AB192" i="17"/>
  <c r="AB224" i="17"/>
  <c r="AB256" i="17"/>
  <c r="AB288" i="17"/>
  <c r="AC320" i="17"/>
  <c r="AC352" i="17"/>
  <c r="AC384" i="17"/>
  <c r="AB474" i="17"/>
  <c r="AB506" i="17"/>
  <c r="AC552" i="17"/>
  <c r="AC584" i="17"/>
  <c r="AB144" i="17"/>
  <c r="AB112" i="17"/>
  <c r="AB285" i="17"/>
  <c r="AB253" i="17"/>
  <c r="AB221" i="17"/>
  <c r="AC515" i="17"/>
  <c r="AB27" i="17"/>
  <c r="AB91" i="17"/>
  <c r="AC17" i="17"/>
  <c r="AB143" i="17"/>
  <c r="AB36" i="17"/>
  <c r="AK35" i="17" s="1"/>
  <c r="AL35" i="17" s="1"/>
  <c r="AB25" i="17"/>
  <c r="AC74" i="17"/>
  <c r="AB312" i="17"/>
  <c r="AB577" i="17"/>
  <c r="AC339" i="17"/>
  <c r="AB592" i="17"/>
  <c r="AC390" i="17"/>
  <c r="AB148" i="17"/>
  <c r="AB289" i="17"/>
  <c r="AB225" i="17"/>
  <c r="AB397" i="17"/>
  <c r="AB450" i="17"/>
  <c r="AB459" i="17"/>
  <c r="AC538" i="17"/>
  <c r="AB538" i="17"/>
  <c r="AB605" i="17"/>
  <c r="AB411" i="17"/>
  <c r="AC357" i="17"/>
  <c r="AC437" i="17"/>
  <c r="AC453" i="17"/>
  <c r="AC485" i="17"/>
  <c r="AC501" i="17"/>
  <c r="AC531" i="17"/>
  <c r="AB449" i="17"/>
  <c r="AC336" i="17"/>
  <c r="AB173" i="17"/>
  <c r="AB33" i="17"/>
  <c r="AC68" i="17"/>
  <c r="AB518" i="17"/>
  <c r="AB431" i="17"/>
  <c r="AB447" i="17"/>
  <c r="AB479" i="17"/>
  <c r="AC466" i="17"/>
  <c r="AC521" i="17"/>
  <c r="AB575" i="17"/>
  <c r="AC471" i="17"/>
  <c r="AB493" i="17"/>
  <c r="AC374" i="17"/>
  <c r="AB310" i="17"/>
  <c r="AB246" i="17"/>
  <c r="AB182" i="17"/>
  <c r="AB118" i="17"/>
  <c r="AB107" i="17"/>
  <c r="AB274" i="17"/>
  <c r="AB146" i="17"/>
  <c r="AB395" i="17"/>
  <c r="AC267" i="17"/>
  <c r="AB587" i="17"/>
  <c r="AC600" i="17"/>
  <c r="AC423" i="17"/>
  <c r="AC350" i="17"/>
  <c r="AB286" i="17"/>
  <c r="AB222" i="17"/>
  <c r="AB158" i="17"/>
  <c r="AB299" i="17"/>
  <c r="AB267" i="17"/>
  <c r="AC151" i="17"/>
  <c r="AC112" i="17"/>
  <c r="AB535" i="17"/>
  <c r="AC511" i="17"/>
  <c r="AB247" i="17"/>
  <c r="AB355" i="17"/>
  <c r="AC227" i="17"/>
  <c r="AC304" i="17"/>
  <c r="AC90" i="17"/>
  <c r="AB306" i="17"/>
  <c r="AB178" i="17"/>
  <c r="AC299" i="17"/>
  <c r="AC248" i="17"/>
  <c r="AC120" i="17"/>
  <c r="AB379" i="17"/>
  <c r="AB19" i="17"/>
  <c r="AC61" i="17"/>
  <c r="AC109" i="17"/>
  <c r="AB137" i="17"/>
  <c r="AC110" i="17"/>
  <c r="AC142" i="17"/>
  <c r="AC158" i="17"/>
  <c r="AC190" i="17"/>
  <c r="AC238" i="17"/>
  <c r="AC270" i="17"/>
  <c r="AC286" i="17"/>
  <c r="AC113" i="17"/>
  <c r="AC456" i="17"/>
  <c r="AB590" i="17"/>
  <c r="AC557" i="17"/>
  <c r="AC589" i="17"/>
  <c r="AB573" i="17"/>
  <c r="AB85" i="17"/>
  <c r="AC264" i="17"/>
  <c r="AC296" i="17"/>
  <c r="AC179" i="17"/>
  <c r="AC251" i="17"/>
  <c r="AC317" i="17"/>
  <c r="AC365" i="17"/>
  <c r="AC422" i="17"/>
  <c r="AC454" i="17"/>
  <c r="AC486" i="17"/>
  <c r="AB533" i="17"/>
  <c r="AB532" i="17"/>
  <c r="AB540" i="17"/>
  <c r="AB603" i="17"/>
  <c r="AB287" i="17"/>
  <c r="AB114" i="17"/>
  <c r="AB210" i="17"/>
  <c r="AB242" i="17"/>
  <c r="AC338" i="17"/>
  <c r="AC370" i="17"/>
  <c r="AC583" i="17"/>
  <c r="AC596" i="17"/>
  <c r="AC598" i="17"/>
  <c r="AB189" i="17"/>
  <c r="AC41" i="17"/>
  <c r="AC49" i="17"/>
  <c r="AC57" i="17"/>
  <c r="AC105" i="17"/>
  <c r="AC20" i="17"/>
  <c r="AC36" i="17"/>
  <c r="AC84" i="17"/>
  <c r="AB60" i="17"/>
  <c r="AC139" i="17"/>
  <c r="AC216" i="17"/>
  <c r="AB139" i="17"/>
  <c r="AC176" i="17"/>
  <c r="AB175" i="17"/>
  <c r="AB51" i="17"/>
  <c r="AC66" i="17"/>
  <c r="AB76" i="17"/>
  <c r="AB69" i="17"/>
  <c r="AC280" i="17"/>
  <c r="AC232" i="17"/>
  <c r="AC152" i="17"/>
  <c r="AB157" i="17"/>
  <c r="AC89" i="17"/>
  <c r="AB68" i="17"/>
  <c r="AC42" i="17"/>
  <c r="AB622" i="17"/>
  <c r="AB318" i="17"/>
  <c r="AC372" i="17"/>
  <c r="AC356" i="17"/>
  <c r="AC340" i="17"/>
  <c r="AC324" i="17"/>
  <c r="AB308" i="17"/>
  <c r="AB292" i="17"/>
  <c r="AB276" i="17"/>
  <c r="AB260" i="17"/>
  <c r="AB244" i="17"/>
  <c r="AB228" i="17"/>
  <c r="AB212" i="17"/>
  <c r="AB196" i="17"/>
  <c r="AB180" i="17"/>
  <c r="AB164" i="17"/>
  <c r="AB370" i="17"/>
  <c r="AB607" i="17"/>
  <c r="AC562" i="17"/>
  <c r="AB484" i="17"/>
  <c r="AB420" i="17"/>
  <c r="AB356" i="17"/>
  <c r="AB485" i="17"/>
  <c r="AB453" i="17"/>
  <c r="AB317" i="17"/>
  <c r="AC301" i="17"/>
  <c r="AC285" i="17"/>
  <c r="AC269" i="17"/>
  <c r="AC253" i="17"/>
  <c r="AC237" i="17"/>
  <c r="AC221" i="17"/>
  <c r="AC205" i="17"/>
  <c r="AC189" i="17"/>
  <c r="AC173" i="17"/>
  <c r="AC157" i="17"/>
  <c r="AC141" i="17"/>
  <c r="AC125" i="17"/>
  <c r="AC314" i="17"/>
  <c r="AC298" i="17"/>
  <c r="AC282" i="17"/>
  <c r="AC266" i="17"/>
  <c r="AC250" i="17"/>
  <c r="AC234" i="17"/>
  <c r="AC218" i="17"/>
  <c r="AC202" i="17"/>
  <c r="AC186" i="17"/>
  <c r="AC170" i="17"/>
  <c r="AB193" i="17"/>
  <c r="AB161" i="17"/>
  <c r="AB129" i="17"/>
  <c r="AB14" i="17"/>
  <c r="AB30" i="17"/>
  <c r="AB46" i="17"/>
  <c r="AB62" i="17"/>
  <c r="AB78" i="17"/>
  <c r="AB94" i="17"/>
  <c r="AB609" i="17"/>
  <c r="AB612" i="17"/>
  <c r="AB596" i="17"/>
  <c r="AC580" i="17"/>
  <c r="AC564" i="17"/>
  <c r="AC548" i="17"/>
  <c r="AC571" i="17"/>
  <c r="AC541" i="17"/>
  <c r="AC448" i="17"/>
  <c r="AC432" i="17"/>
  <c r="AC519" i="17"/>
  <c r="AB502" i="17"/>
  <c r="AB486" i="17"/>
  <c r="AB470" i="17"/>
  <c r="AB454" i="17"/>
  <c r="AB438" i="17"/>
  <c r="AB406" i="17"/>
  <c r="AB390" i="17"/>
  <c r="AB374" i="17"/>
  <c r="AB358" i="17"/>
  <c r="AB342" i="17"/>
  <c r="AB326" i="17"/>
  <c r="AC412" i="17"/>
  <c r="AB268" i="17"/>
  <c r="AK267" i="17" s="1"/>
  <c r="AL267" i="17" s="1"/>
  <c r="AB252" i="17"/>
  <c r="AB236" i="17"/>
  <c r="AB220" i="17"/>
  <c r="AB204" i="17"/>
  <c r="AB188" i="17"/>
  <c r="AB172" i="17"/>
  <c r="AB156" i="17"/>
  <c r="AB608" i="17"/>
  <c r="AC544" i="17"/>
  <c r="AC428" i="17"/>
  <c r="AB466" i="17"/>
  <c r="AB402" i="17"/>
  <c r="AC613" i="17"/>
  <c r="AB549" i="17"/>
  <c r="AB610" i="17"/>
  <c r="AC546" i="17"/>
  <c r="AC539" i="17"/>
  <c r="AB568" i="17"/>
  <c r="AC462" i="17"/>
  <c r="AB468" i="17"/>
  <c r="AB404" i="17"/>
  <c r="AB340" i="17"/>
  <c r="AC346" i="17"/>
  <c r="AB282" i="17"/>
  <c r="AB218" i="17"/>
  <c r="AB154" i="17"/>
  <c r="AB295" i="17"/>
  <c r="AB469" i="17"/>
  <c r="AB353" i="17"/>
  <c r="AB177" i="17"/>
  <c r="AB145" i="17"/>
  <c r="AB259" i="17"/>
  <c r="AB227" i="17"/>
  <c r="AC608" i="17"/>
  <c r="AC595" i="17"/>
  <c r="AB563" i="17"/>
  <c r="AB529" i="17"/>
  <c r="AB399" i="17"/>
  <c r="AB367" i="17"/>
  <c r="AB335" i="17"/>
  <c r="AC303" i="17"/>
  <c r="AC271" i="17"/>
  <c r="AC239" i="17"/>
  <c r="AC207" i="17"/>
  <c r="AC175" i="17"/>
  <c r="AB125" i="17"/>
  <c r="AC15" i="17"/>
  <c r="AC23" i="17"/>
  <c r="AC31" i="17"/>
  <c r="AC39" i="17"/>
  <c r="AC47" i="17"/>
  <c r="AC55" i="17"/>
  <c r="AC63" i="17"/>
  <c r="AC71" i="17"/>
  <c r="AC79" i="17"/>
  <c r="AC87" i="17"/>
  <c r="AC95" i="17"/>
  <c r="AC103" i="17"/>
  <c r="AB18" i="17"/>
  <c r="AB26" i="17"/>
  <c r="AB42" i="17"/>
  <c r="AK41" i="17" s="1"/>
  <c r="AL41" i="17" s="1"/>
  <c r="AB58" i="17"/>
  <c r="AB74" i="17"/>
  <c r="AB90" i="17"/>
  <c r="AB106" i="17"/>
  <c r="AB333" i="17"/>
  <c r="AB349" i="17"/>
  <c r="AC327" i="17"/>
  <c r="AC343" i="17"/>
  <c r="AC359" i="17"/>
  <c r="AC375" i="17"/>
  <c r="AB481" i="17"/>
  <c r="AB527" i="17"/>
  <c r="AB526" i="17"/>
  <c r="AB542" i="17"/>
  <c r="AB591" i="17"/>
  <c r="AC604" i="17"/>
  <c r="AB291" i="17"/>
  <c r="AB150" i="17"/>
  <c r="AB214" i="17"/>
  <c r="AB278" i="17"/>
  <c r="AK277" i="17" s="1"/>
  <c r="AL277" i="17" s="1"/>
  <c r="AC342" i="17"/>
  <c r="AB320" i="17"/>
  <c r="AK319" i="17" s="1"/>
  <c r="AL319" i="17" s="1"/>
  <c r="AB336" i="17"/>
  <c r="AB400" i="17"/>
  <c r="AB464" i="17"/>
  <c r="AC535" i="17"/>
  <c r="AB606" i="17"/>
  <c r="AK605" i="17" s="1"/>
  <c r="AL605" i="17" s="1"/>
  <c r="AB545" i="17"/>
  <c r="AC609" i="17"/>
  <c r="AB209" i="17"/>
  <c r="AK208" i="17" s="1"/>
  <c r="AL208" i="17" s="1"/>
  <c r="AB257" i="17"/>
  <c r="AB273" i="17"/>
  <c r="AB116" i="17"/>
  <c r="AB132" i="17"/>
  <c r="AB176" i="17"/>
  <c r="AB240" i="17"/>
  <c r="AB272" i="17"/>
  <c r="AB304" i="17"/>
  <c r="AC368" i="17"/>
  <c r="AC420" i="17"/>
  <c r="AC452" i="17"/>
  <c r="AC484" i="17"/>
  <c r="AC516" i="17"/>
  <c r="AB514" i="17"/>
  <c r="AK513" i="17" s="1"/>
  <c r="AL513" i="17" s="1"/>
  <c r="AB386" i="17"/>
  <c r="AB128" i="17"/>
  <c r="AB301" i="17"/>
  <c r="AB269" i="17"/>
  <c r="AB237" i="17"/>
  <c r="AB205" i="17"/>
  <c r="AB602" i="17"/>
  <c r="AC570" i="17"/>
  <c r="AB552" i="17"/>
  <c r="AB492" i="17"/>
  <c r="AB460" i="17"/>
  <c r="AB428" i="17"/>
  <c r="AB396" i="17"/>
  <c r="AK395" i="17" s="1"/>
  <c r="AL395" i="17" s="1"/>
  <c r="AB364" i="17"/>
  <c r="AB332" i="17"/>
  <c r="AC402" i="17"/>
  <c r="AB461" i="17"/>
  <c r="AC467" i="17"/>
  <c r="AC435" i="17"/>
  <c r="AC371" i="17"/>
  <c r="AB409" i="17"/>
  <c r="AB345" i="17"/>
  <c r="AC289" i="17"/>
  <c r="AC273" i="17"/>
  <c r="AC225" i="17"/>
  <c r="AC209" i="17"/>
  <c r="AC161" i="17"/>
  <c r="AC145" i="17"/>
  <c r="AC262" i="17"/>
  <c r="AC230" i="17"/>
  <c r="AB185" i="17"/>
  <c r="AB121" i="17"/>
  <c r="AB235" i="17"/>
  <c r="AC585" i="17"/>
  <c r="AB554" i="17"/>
  <c r="AB455" i="17"/>
  <c r="AB423" i="17"/>
  <c r="AC429" i="17"/>
  <c r="AC397" i="17"/>
  <c r="AB403" i="17"/>
  <c r="AB371" i="17"/>
  <c r="AC275" i="17"/>
  <c r="AC243" i="17"/>
  <c r="AC147" i="17"/>
  <c r="AC115" i="17"/>
  <c r="AC224" i="17"/>
  <c r="AC192" i="17"/>
  <c r="AB171" i="17"/>
  <c r="AC29" i="17"/>
  <c r="AC77" i="17"/>
  <c r="AC93" i="17"/>
  <c r="AC44" i="17"/>
  <c r="AB43" i="17"/>
  <c r="AB75" i="17"/>
  <c r="AB101" i="17"/>
  <c r="AB32" i="17"/>
  <c r="AB80" i="17"/>
  <c r="AB96" i="17"/>
  <c r="AC18" i="17"/>
  <c r="AC50" i="17"/>
  <c r="AB49" i="17"/>
  <c r="AB97" i="17"/>
  <c r="AC254" i="17"/>
  <c r="AC222" i="17"/>
  <c r="AB169" i="17"/>
  <c r="AC569" i="17"/>
  <c r="AB541" i="17"/>
  <c r="AC517" i="17"/>
  <c r="AC389" i="17"/>
  <c r="AB363" i="17"/>
  <c r="AC235" i="17"/>
  <c r="AC312" i="17"/>
  <c r="AC184" i="17"/>
  <c r="AC33" i="17"/>
  <c r="AC97" i="17"/>
  <c r="AC52" i="17"/>
  <c r="AB83" i="17"/>
  <c r="AC626" i="17"/>
  <c r="AB20" i="17"/>
  <c r="AB84" i="17"/>
  <c r="AC26" i="17"/>
  <c r="AC73" i="17"/>
  <c r="AB28" i="17"/>
  <c r="AB92" i="17"/>
  <c r="AB570" i="17"/>
  <c r="AC405" i="17"/>
  <c r="AC25" i="17"/>
  <c r="AC200" i="17"/>
  <c r="AC123" i="17"/>
  <c r="AB199" i="17"/>
  <c r="AB67" i="17"/>
  <c r="AB263" i="17"/>
  <c r="AB63" i="17"/>
  <c r="AB314" i="17"/>
  <c r="AC577" i="17"/>
  <c r="AC409" i="17"/>
  <c r="AC220" i="17"/>
  <c r="AC542" i="17"/>
  <c r="AC316" i="17"/>
  <c r="AB581" i="17"/>
  <c r="AC494" i="17"/>
  <c r="AB186" i="17"/>
  <c r="AB582" i="17"/>
  <c r="AB435" i="17"/>
  <c r="AC480" i="17"/>
  <c r="AC380" i="17"/>
  <c r="AB338" i="17"/>
  <c r="AB184" i="17"/>
  <c r="AC430" i="17"/>
  <c r="AC378" i="17"/>
  <c r="AB250" i="17"/>
  <c r="AB122" i="17"/>
  <c r="AB567" i="17"/>
  <c r="AC114" i="17"/>
  <c r="AC473" i="17"/>
  <c r="AC345" i="17"/>
  <c r="AC284" i="17"/>
  <c r="AC156" i="17"/>
  <c r="AB437" i="17"/>
  <c r="AC32" i="17"/>
  <c r="AB119" i="17"/>
  <c r="AC70" i="17"/>
  <c r="AC525" i="17"/>
  <c r="AC512" i="17"/>
  <c r="AB422" i="17"/>
  <c r="AC348" i="17"/>
  <c r="AB284" i="17"/>
  <c r="AB564" i="17"/>
  <c r="AB309" i="17"/>
  <c r="AB245" i="17"/>
  <c r="AC578" i="17"/>
  <c r="AC524" i="17"/>
  <c r="AB500" i="17"/>
  <c r="AB436" i="17"/>
  <c r="AB372" i="17"/>
  <c r="AC410" i="17"/>
  <c r="AC146" i="17"/>
  <c r="AB528" i="17"/>
  <c r="AC505" i="17"/>
  <c r="AC441" i="17"/>
  <c r="AC377" i="17"/>
  <c r="AB415" i="17"/>
  <c r="AC143" i="17"/>
  <c r="AC411" i="17"/>
  <c r="AB385" i="17"/>
  <c r="AC96" i="17"/>
  <c r="AB77" i="17"/>
  <c r="AB37" i="17"/>
  <c r="AB539" i="17"/>
  <c r="AC476" i="17"/>
  <c r="AC451" i="17"/>
  <c r="AC130" i="17"/>
  <c r="AB419" i="17"/>
  <c r="AB451" i="17"/>
  <c r="AC445" i="17"/>
  <c r="AC461" i="17"/>
  <c r="AC493" i="17"/>
  <c r="AC509" i="17"/>
  <c r="AC347" i="17"/>
  <c r="AB321" i="17"/>
  <c r="AC257" i="17"/>
  <c r="AC193" i="17"/>
  <c r="AC129" i="17"/>
  <c r="AC302" i="17"/>
  <c r="AC206" i="17"/>
  <c r="AC174" i="17"/>
  <c r="AC126" i="17"/>
  <c r="AB73" i="17"/>
  <c r="AC45" i="17"/>
  <c r="AC60" i="17"/>
  <c r="AC76" i="17"/>
  <c r="AC108" i="17"/>
  <c r="AB111" i="17"/>
  <c r="AB44" i="17"/>
  <c r="AB108" i="17"/>
  <c r="AB572" i="17"/>
  <c r="AC526" i="17"/>
  <c r="AC496" i="17"/>
  <c r="AC464" i="17"/>
  <c r="AC396" i="17"/>
  <c r="AC364" i="17"/>
  <c r="AC332" i="17"/>
  <c r="AB300" i="17"/>
  <c r="AC492" i="17"/>
  <c r="AB223" i="17"/>
  <c r="AC573" i="17"/>
  <c r="AB543" i="17"/>
  <c r="AB465" i="17"/>
  <c r="AB433" i="17"/>
  <c r="AC487" i="17"/>
  <c r="AC455" i="17"/>
  <c r="AC439" i="17"/>
  <c r="AC407" i="17"/>
  <c r="AB413" i="17"/>
  <c r="AB381" i="17"/>
  <c r="AC545" i="17"/>
  <c r="AC489" i="17"/>
  <c r="AC457" i="17"/>
  <c r="AC425" i="17"/>
  <c r="AC393" i="17"/>
  <c r="AC361" i="17"/>
  <c r="AC329" i="17"/>
  <c r="AC111" i="17"/>
  <c r="AC252" i="17"/>
  <c r="AC188" i="17"/>
  <c r="AC124" i="17"/>
  <c r="AB501" i="17"/>
  <c r="AB429" i="17"/>
  <c r="AC499" i="17"/>
  <c r="AC403" i="17"/>
  <c r="AB377" i="17"/>
  <c r="AC121" i="17"/>
  <c r="AC294" i="17"/>
  <c r="AC198" i="17"/>
  <c r="AC166" i="17"/>
  <c r="AC134" i="17"/>
  <c r="AC603" i="17"/>
  <c r="AB525" i="17"/>
  <c r="AB487" i="17"/>
  <c r="AC373" i="17"/>
  <c r="AC341" i="17"/>
  <c r="AC325" i="17"/>
  <c r="AB347" i="17"/>
  <c r="AC307" i="17"/>
  <c r="AC211" i="17"/>
  <c r="AC171" i="17"/>
  <c r="AC288" i="17"/>
  <c r="AC256" i="17"/>
  <c r="AC168" i="17"/>
  <c r="AC128" i="17"/>
  <c r="AB123" i="17"/>
  <c r="AC65" i="17"/>
  <c r="AB99" i="17"/>
  <c r="AB131" i="17"/>
  <c r="AC64" i="17"/>
  <c r="AB31" i="17"/>
  <c r="AB95" i="17"/>
  <c r="AB191" i="17"/>
  <c r="AC38" i="17"/>
  <c r="AC102" i="17"/>
  <c r="AB52" i="17"/>
  <c r="AC82" i="17"/>
  <c r="AC106" i="17"/>
  <c r="AB414" i="17"/>
  <c r="AB398" i="17"/>
  <c r="AB382" i="17"/>
  <c r="AB366" i="17"/>
  <c r="AB350" i="17"/>
  <c r="AB334" i="17"/>
  <c r="AC404" i="17"/>
  <c r="AC388" i="17"/>
  <c r="AC344" i="17"/>
  <c r="AB280" i="17"/>
  <c r="AB216" i="17"/>
  <c r="AB152" i="17"/>
  <c r="AB120" i="17"/>
  <c r="AB293" i="17"/>
  <c r="AB261" i="17"/>
  <c r="AB229" i="17"/>
  <c r="AC594" i="17"/>
  <c r="AC540" i="17"/>
  <c r="AB516" i="17"/>
  <c r="AB452" i="17"/>
  <c r="AB388" i="17"/>
  <c r="AB324" i="17"/>
  <c r="AC394" i="17"/>
  <c r="AB517" i="17"/>
  <c r="AB421" i="17"/>
  <c r="AC427" i="17"/>
  <c r="AC395" i="17"/>
  <c r="AC363" i="17"/>
  <c r="AC331" i="17"/>
  <c r="AB401" i="17"/>
  <c r="AB369" i="17"/>
  <c r="AB337" i="17"/>
  <c r="AC561" i="17"/>
  <c r="AB536" i="17"/>
  <c r="AB181" i="17"/>
  <c r="AB149" i="17"/>
  <c r="AC19" i="17"/>
  <c r="AC27" i="17"/>
  <c r="AC35" i="17"/>
  <c r="AC43" i="17"/>
  <c r="AC51" i="17"/>
  <c r="AC59" i="17"/>
  <c r="AC67" i="17"/>
  <c r="AC75" i="17"/>
  <c r="AC83" i="17"/>
  <c r="AC91" i="17"/>
  <c r="AC99" i="17"/>
  <c r="AC107" i="17"/>
  <c r="AB133" i="17"/>
  <c r="AB22" i="17"/>
  <c r="AB38" i="17"/>
  <c r="AB54" i="17"/>
  <c r="AB70" i="17"/>
  <c r="AB86" i="17"/>
  <c r="AB102" i="17"/>
  <c r="AB341" i="17"/>
  <c r="AB357" i="17"/>
  <c r="AB373" i="17"/>
  <c r="AB389" i="17"/>
  <c r="AB405" i="17"/>
  <c r="AC319" i="17"/>
  <c r="AC415" i="17"/>
  <c r="AC447" i="17"/>
  <c r="AB441" i="17"/>
  <c r="AB473" i="17"/>
  <c r="AB505" i="17"/>
  <c r="AC593" i="17"/>
  <c r="AC398" i="17"/>
  <c r="AC414" i="17"/>
  <c r="AB344" i="17"/>
  <c r="AB376" i="17"/>
  <c r="AB408" i="17"/>
  <c r="AB440" i="17"/>
  <c r="AB472" i="17"/>
  <c r="AB504" i="17"/>
  <c r="AC528" i="17"/>
  <c r="AB544" i="17"/>
  <c r="AC550" i="17"/>
  <c r="AC582" i="17"/>
  <c r="AB595" i="17"/>
  <c r="AB201" i="17"/>
  <c r="AB217" i="17"/>
  <c r="AB233" i="17"/>
  <c r="AB249" i="17"/>
  <c r="AB265" i="17"/>
  <c r="AB281" i="17"/>
  <c r="AB297" i="17"/>
  <c r="AB313" i="17"/>
  <c r="AB124" i="17"/>
  <c r="AB140" i="17"/>
  <c r="AB346" i="17"/>
  <c r="AB378" i="17"/>
  <c r="AB410" i="17"/>
  <c r="AC328" i="17"/>
  <c r="AB264" i="17"/>
  <c r="AB200" i="17"/>
  <c r="AB599" i="17"/>
  <c r="AB584" i="17"/>
  <c r="AB444" i="17"/>
  <c r="AB412" i="17"/>
  <c r="AC386" i="17"/>
  <c r="AB477" i="17"/>
  <c r="AC419" i="17"/>
  <c r="AC387" i="17"/>
  <c r="AC355" i="17"/>
  <c r="AC323" i="17"/>
  <c r="AB153" i="17"/>
  <c r="AC21" i="17"/>
  <c r="AC37" i="17"/>
  <c r="AC53" i="17"/>
  <c r="AC69" i="17"/>
  <c r="AC85" i="17"/>
  <c r="AC101" i="17"/>
  <c r="AB24" i="17"/>
  <c r="AC127" i="17"/>
  <c r="AC300" i="17"/>
  <c r="AC268" i="17"/>
  <c r="AC236" i="17"/>
  <c r="AC204" i="17"/>
  <c r="AC172" i="17"/>
  <c r="AC140" i="17"/>
  <c r="AC507" i="17"/>
  <c r="AB163" i="17"/>
  <c r="AC16" i="17"/>
  <c r="AC48" i="17"/>
  <c r="AC80" i="17"/>
  <c r="AB15" i="17"/>
  <c r="AB47" i="17"/>
  <c r="AB79" i="17"/>
  <c r="AC622" i="17"/>
  <c r="AB109" i="17"/>
  <c r="AB151" i="17"/>
  <c r="AC22" i="17"/>
  <c r="AC54" i="17"/>
  <c r="AC86" i="17"/>
  <c r="AB21" i="17"/>
  <c r="AB53" i="17"/>
  <c r="AB105" i="17"/>
  <c r="AC572" i="17"/>
  <c r="AC518" i="17"/>
  <c r="AB494" i="17"/>
  <c r="AC433" i="17"/>
  <c r="AC279" i="17"/>
  <c r="AC228" i="17"/>
  <c r="I625" i="17"/>
  <c r="C625" i="17"/>
  <c r="U625" i="17"/>
  <c r="D625" i="17"/>
  <c r="F625" i="17"/>
  <c r="K625" i="17"/>
  <c r="E625" i="17"/>
  <c r="L625" i="17"/>
  <c r="I624" i="17"/>
  <c r="K624" i="17"/>
  <c r="C624" i="17"/>
  <c r="F624" i="17"/>
  <c r="L624" i="17"/>
  <c r="D624" i="17"/>
  <c r="E624" i="17"/>
  <c r="U624" i="17"/>
  <c r="AB418" i="17"/>
  <c r="AB354" i="17"/>
  <c r="AC392" i="17"/>
  <c r="AB393" i="17"/>
  <c r="AB361" i="17"/>
  <c r="AB329" i="17"/>
  <c r="AC313" i="17"/>
  <c r="AC297" i="17"/>
  <c r="AC281" i="17"/>
  <c r="AC265" i="17"/>
  <c r="AC249" i="17"/>
  <c r="AC233" i="17"/>
  <c r="AC217" i="17"/>
  <c r="AC201" i="17"/>
  <c r="AC185" i="17"/>
  <c r="AC169" i="17"/>
  <c r="AC153" i="17"/>
  <c r="AC137" i="17"/>
  <c r="AC310" i="17"/>
  <c r="AC278" i="17"/>
  <c r="AC246" i="17"/>
  <c r="AC214" i="17"/>
  <c r="AC182" i="17"/>
  <c r="AB141" i="17"/>
  <c r="AB40" i="17"/>
  <c r="AB72" i="17"/>
  <c r="AB88" i="17"/>
  <c r="AB104" i="17"/>
  <c r="N625" i="17"/>
  <c r="AB604" i="17"/>
  <c r="AC587" i="17"/>
  <c r="AB556" i="17"/>
  <c r="AC488" i="17"/>
  <c r="AC424" i="17"/>
  <c r="AB462" i="17"/>
  <c r="AC601" i="17"/>
  <c r="AB569" i="17"/>
  <c r="AC575" i="17"/>
  <c r="AC527" i="17"/>
  <c r="AC514" i="17"/>
  <c r="AC482" i="17"/>
  <c r="AC450" i="17"/>
  <c r="AC418" i="17"/>
  <c r="AC366" i="17"/>
  <c r="AC334" i="17"/>
  <c r="AB302" i="17"/>
  <c r="AB270" i="17"/>
  <c r="AB238" i="17"/>
  <c r="AB206" i="17"/>
  <c r="AB174" i="17"/>
  <c r="AB142" i="17"/>
  <c r="AB110" i="17"/>
  <c r="AB283" i="17"/>
  <c r="AB597" i="17"/>
  <c r="AC560" i="17"/>
  <c r="AC547" i="17"/>
  <c r="AB580" i="17"/>
  <c r="AC508" i="17"/>
  <c r="AC468" i="17"/>
  <c r="AC436" i="17"/>
  <c r="AB482" i="17"/>
  <c r="AB442" i="17"/>
  <c r="AC416" i="17"/>
  <c r="AB239" i="17"/>
  <c r="AC607" i="17"/>
  <c r="AB534" i="17"/>
  <c r="AB558" i="17"/>
  <c r="AK557" i="17" s="1"/>
  <c r="AL557" i="17" s="1"/>
  <c r="AB519" i="17"/>
  <c r="AC479" i="17"/>
  <c r="AC138" i="17"/>
  <c r="AC611" i="17"/>
  <c r="AB521" i="17"/>
  <c r="AC497" i="17"/>
  <c r="AC369" i="17"/>
  <c r="AB343" i="17"/>
  <c r="AC215" i="17"/>
  <c r="AC292" i="17"/>
  <c r="AC164" i="17"/>
  <c r="AB601" i="17"/>
  <c r="AC588" i="17"/>
  <c r="AC556" i="17"/>
  <c r="AC555" i="17"/>
  <c r="AB588" i="17"/>
  <c r="AC534" i="17"/>
  <c r="AC504" i="17"/>
  <c r="AC472" i="17"/>
  <c r="AC440" i="17"/>
  <c r="AB510" i="17"/>
  <c r="AB478" i="17"/>
  <c r="AB446" i="17"/>
  <c r="AC576" i="17"/>
  <c r="AC537" i="17"/>
  <c r="AC522" i="17"/>
  <c r="AC460" i="17"/>
  <c r="AB498" i="17"/>
  <c r="AB434" i="17"/>
  <c r="AC408" i="17"/>
  <c r="AC610" i="17"/>
  <c r="AC597" i="17"/>
  <c r="AB565" i="17"/>
  <c r="AC567" i="17"/>
  <c r="AC523" i="17"/>
  <c r="AC510" i="17"/>
  <c r="AC478" i="17"/>
  <c r="AC446" i="17"/>
  <c r="AC362" i="17"/>
  <c r="AC330" i="17"/>
  <c r="AB298" i="17"/>
  <c r="AB266" i="17"/>
  <c r="AK265" i="17" s="1"/>
  <c r="AL265" i="17" s="1"/>
  <c r="AB234" i="17"/>
  <c r="AB202" i="17"/>
  <c r="AB170" i="17"/>
  <c r="AB138" i="17"/>
  <c r="AB311" i="17"/>
  <c r="AB279" i="17"/>
  <c r="AB231" i="17"/>
  <c r="AC599" i="17"/>
  <c r="AC581" i="17"/>
  <c r="AB530" i="17"/>
  <c r="AB550" i="17"/>
  <c r="AC495" i="17"/>
  <c r="AC463" i="17"/>
  <c r="AB243" i="17"/>
  <c r="AB547" i="17"/>
  <c r="AB562" i="17"/>
  <c r="AB491" i="17"/>
  <c r="AB427" i="17"/>
  <c r="AC465" i="17"/>
  <c r="AC401" i="17"/>
  <c r="AC337" i="17"/>
  <c r="AB375" i="17"/>
  <c r="AC311" i="17"/>
  <c r="AC247" i="17"/>
  <c r="AC183" i="17"/>
  <c r="AC119" i="17"/>
  <c r="AC260" i="17"/>
  <c r="AC196" i="17"/>
  <c r="AC132" i="17"/>
  <c r="AB55" i="17"/>
  <c r="AC24" i="17"/>
  <c r="AB135" i="17"/>
  <c r="AC62" i="17"/>
  <c r="AC88" i="17"/>
  <c r="AB623" i="17"/>
  <c r="AB29" i="17"/>
  <c r="AB147" i="17"/>
  <c r="AC56" i="17"/>
  <c r="AB23" i="17"/>
  <c r="AB87" i="17"/>
  <c r="AC30" i="17"/>
  <c r="AC94" i="17"/>
  <c r="AB61" i="17"/>
  <c r="AC154" i="17"/>
  <c r="AC122" i="17"/>
  <c r="AB187" i="17"/>
  <c r="AK186" i="17" s="1"/>
  <c r="AL186" i="17" s="1"/>
  <c r="AB211" i="17"/>
  <c r="AB579" i="17"/>
  <c r="AB594" i="17"/>
  <c r="AB537" i="17"/>
  <c r="AB507" i="17"/>
  <c r="AB475" i="17"/>
  <c r="AB443" i="17"/>
  <c r="AC513" i="17"/>
  <c r="AC481" i="17"/>
  <c r="AC449" i="17"/>
  <c r="AC417" i="17"/>
  <c r="AC385" i="17"/>
  <c r="AC353" i="17"/>
  <c r="AC321" i="17"/>
  <c r="AB391" i="17"/>
  <c r="AB359" i="17"/>
  <c r="AB327" i="17"/>
  <c r="AC295" i="17"/>
  <c r="AC263" i="17"/>
  <c r="AC231" i="17"/>
  <c r="AC199" i="17"/>
  <c r="AC167" i="17"/>
  <c r="AC135" i="17"/>
  <c r="AC308" i="17"/>
  <c r="AC276" i="17"/>
  <c r="AC244" i="17"/>
  <c r="AC212" i="17"/>
  <c r="AC180" i="17"/>
  <c r="AC148" i="17"/>
  <c r="AC116" i="17"/>
  <c r="AC491" i="17"/>
  <c r="AC459" i="17"/>
  <c r="AC118" i="17"/>
  <c r="AB179" i="17"/>
  <c r="AB571" i="17"/>
  <c r="AB586" i="17"/>
  <c r="AB503" i="17"/>
  <c r="AB439" i="17"/>
  <c r="AC477" i="17"/>
  <c r="AC413" i="17"/>
  <c r="AC349" i="17"/>
  <c r="AB387" i="17"/>
  <c r="AB323" i="17"/>
  <c r="AC259" i="17"/>
  <c r="AC195" i="17"/>
  <c r="AC131" i="17"/>
  <c r="AC272" i="17"/>
  <c r="AC208" i="17"/>
  <c r="AC144" i="17"/>
  <c r="AC28" i="17"/>
  <c r="AC92" i="17"/>
  <c r="AB59" i="17"/>
  <c r="AB183" i="17"/>
  <c r="AB115" i="17"/>
  <c r="AC40" i="17"/>
  <c r="AC72" i="17"/>
  <c r="AC104" i="17"/>
  <c r="AB39" i="17"/>
  <c r="AB71" i="17"/>
  <c r="AB103" i="17"/>
  <c r="AK102" i="17" s="1"/>
  <c r="AB93" i="17"/>
  <c r="AB167" i="17"/>
  <c r="AC14" i="17"/>
  <c r="AC46" i="17"/>
  <c r="AC78" i="17"/>
  <c r="AB45" i="17"/>
  <c r="AB89" i="17"/>
  <c r="AB117" i="17"/>
  <c r="AC34" i="17"/>
  <c r="AC98" i="17"/>
  <c r="AB65" i="17"/>
  <c r="AC623" i="17"/>
  <c r="AL102" i="17" l="1"/>
  <c r="AG627" i="17"/>
  <c r="AF627" i="17"/>
  <c r="AF624" i="17"/>
  <c r="E634" i="17" s="1"/>
  <c r="AF625" i="17"/>
  <c r="AG625" i="17"/>
  <c r="AG624" i="17"/>
  <c r="AH260" i="28"/>
  <c r="AG260" i="28"/>
  <c r="AH441" i="28"/>
  <c r="AG441" i="28"/>
  <c r="AH38" i="28"/>
  <c r="AG38" i="28"/>
  <c r="AH328" i="28"/>
  <c r="AG328" i="28"/>
  <c r="AH452" i="28"/>
  <c r="AG452" i="28"/>
  <c r="AH345" i="28"/>
  <c r="AG345" i="28"/>
  <c r="AH100" i="28"/>
  <c r="AG100" i="28"/>
  <c r="AH330" i="28"/>
  <c r="AG330" i="28"/>
  <c r="AH184" i="28"/>
  <c r="AG184" i="28"/>
  <c r="AG82" i="28"/>
  <c r="AH82" i="28"/>
  <c r="AG112" i="28"/>
  <c r="AH112" i="28"/>
  <c r="AH494" i="28"/>
  <c r="AG494" i="28"/>
  <c r="AH459" i="28"/>
  <c r="AG459" i="28"/>
  <c r="AH186" i="28"/>
  <c r="AG186" i="28"/>
  <c r="AH167" i="28"/>
  <c r="AG167" i="28"/>
  <c r="AH134" i="28"/>
  <c r="AG134" i="28"/>
  <c r="AG24" i="28"/>
  <c r="AH24" i="28"/>
  <c r="AG622" i="28"/>
  <c r="AH622" i="28"/>
  <c r="AH595" i="28"/>
  <c r="AG595" i="28"/>
  <c r="AH578" i="28"/>
  <c r="AG578" i="28"/>
  <c r="AH278" i="28"/>
  <c r="AG278" i="28"/>
  <c r="AH432" i="28"/>
  <c r="AG432" i="28"/>
  <c r="AH552" i="28"/>
  <c r="AG552" i="28"/>
  <c r="AH160" i="28"/>
  <c r="AG160" i="28"/>
  <c r="AG205" i="28"/>
  <c r="AH205" i="28"/>
  <c r="AH242" i="28"/>
  <c r="AG242" i="28"/>
  <c r="AG99" i="28"/>
  <c r="AH99" i="28"/>
  <c r="AG243" i="28"/>
  <c r="AH243" i="28"/>
  <c r="AG604" i="28"/>
  <c r="AH604" i="28"/>
  <c r="AG478" i="28"/>
  <c r="AH478" i="28"/>
  <c r="AG506" i="28"/>
  <c r="AH506" i="28"/>
  <c r="AG403" i="28"/>
  <c r="AH403" i="28"/>
  <c r="AG354" i="28"/>
  <c r="AH354" i="28"/>
  <c r="AH412" i="28"/>
  <c r="AG412" i="28"/>
  <c r="AG216" i="28"/>
  <c r="AH216" i="28"/>
  <c r="AG170" i="28"/>
  <c r="AH170" i="28"/>
  <c r="AH215" i="28"/>
  <c r="AG215" i="28"/>
  <c r="AG72" i="28"/>
  <c r="AH72" i="28"/>
  <c r="AG83" i="28"/>
  <c r="AH83" i="28"/>
  <c r="AH556" i="28"/>
  <c r="AG556" i="28"/>
  <c r="AH474" i="28"/>
  <c r="AG474" i="28"/>
  <c r="AH101" i="28"/>
  <c r="AG101" i="28"/>
  <c r="AH484" i="28"/>
  <c r="AG484" i="28"/>
  <c r="AH239" i="28"/>
  <c r="AG239" i="28"/>
  <c r="AH580" i="28"/>
  <c r="AG580" i="28"/>
  <c r="AH598" i="28"/>
  <c r="AG598" i="28"/>
  <c r="AG603" i="28"/>
  <c r="AH603" i="28"/>
  <c r="AG541" i="28"/>
  <c r="AH541" i="28"/>
  <c r="AH269" i="28"/>
  <c r="AG269" i="28"/>
  <c r="AH348" i="28"/>
  <c r="AG348" i="28"/>
  <c r="AG20" i="28"/>
  <c r="AH20" i="28"/>
  <c r="AH37" i="28"/>
  <c r="AG37" i="28"/>
  <c r="AH388" i="28"/>
  <c r="AG388" i="28"/>
  <c r="AH71" i="28"/>
  <c r="AG71" i="28"/>
  <c r="AH496" i="28"/>
  <c r="AG496" i="28"/>
  <c r="AH139" i="28"/>
  <c r="AG139" i="28"/>
  <c r="AH526" i="28"/>
  <c r="AG526" i="28"/>
  <c r="AH535" i="28"/>
  <c r="AG535" i="28"/>
  <c r="AH312" i="28"/>
  <c r="AG312" i="28"/>
  <c r="AH480" i="28"/>
  <c r="AG480" i="28"/>
  <c r="AG14" i="28"/>
  <c r="AH14" i="28"/>
  <c r="AG248" i="28"/>
  <c r="AH248" i="28"/>
  <c r="AG58" i="28"/>
  <c r="AH58" i="28"/>
  <c r="AH176" i="28"/>
  <c r="AG176" i="28"/>
  <c r="AG105" i="28"/>
  <c r="AH105" i="28"/>
  <c r="AG273" i="28"/>
  <c r="AH273" i="28"/>
  <c r="AH611" i="28"/>
  <c r="AG611" i="28"/>
  <c r="AH419" i="28"/>
  <c r="AG419" i="28"/>
  <c r="AH310" i="28"/>
  <c r="AG310" i="28"/>
  <c r="AG332" i="28"/>
  <c r="AH332" i="28"/>
  <c r="AH393" i="28"/>
  <c r="AG393" i="28"/>
  <c r="AG192" i="28"/>
  <c r="AH192" i="28"/>
  <c r="AH59" i="28"/>
  <c r="AG59" i="28"/>
  <c r="AH98" i="28"/>
  <c r="AG98" i="28"/>
  <c r="AG230" i="28"/>
  <c r="AH230" i="28"/>
  <c r="AH492" i="28"/>
  <c r="AG492" i="28"/>
  <c r="AH366" i="28"/>
  <c r="AG366" i="28"/>
  <c r="AG525" i="28"/>
  <c r="AH525" i="28"/>
  <c r="AH594" i="28"/>
  <c r="AG594" i="28"/>
  <c r="AG25" i="28"/>
  <c r="AH25" i="28"/>
  <c r="AG540" i="28"/>
  <c r="AH540" i="28"/>
  <c r="AH418" i="28"/>
  <c r="AG418" i="28"/>
  <c r="AG431" i="28"/>
  <c r="AH431" i="28"/>
  <c r="AH254" i="28"/>
  <c r="AG254" i="28"/>
  <c r="AH576" i="28"/>
  <c r="AG576" i="28"/>
  <c r="AG275" i="28"/>
  <c r="AH275" i="28"/>
  <c r="AH301" i="28"/>
  <c r="AG301" i="28"/>
  <c r="AH512" i="28"/>
  <c r="AG512" i="28"/>
  <c r="AH218" i="28"/>
  <c r="AG218" i="28"/>
  <c r="AG249" i="28"/>
  <c r="AH249" i="28"/>
  <c r="AH355" i="28"/>
  <c r="AG355" i="28"/>
  <c r="AH280" i="28"/>
  <c r="AG280" i="28"/>
  <c r="AG293" i="28"/>
  <c r="AH293" i="28"/>
  <c r="AH372" i="28"/>
  <c r="AG372" i="28"/>
  <c r="AG279" i="28"/>
  <c r="AH279" i="28"/>
  <c r="AH85" i="28"/>
  <c r="AG85" i="28"/>
  <c r="AG17" i="28"/>
  <c r="AH17" i="28"/>
  <c r="AG153" i="28"/>
  <c r="AH153" i="28"/>
  <c r="AH316" i="28"/>
  <c r="AG316" i="28"/>
  <c r="AH175" i="28"/>
  <c r="AG175" i="28"/>
  <c r="AG123" i="28"/>
  <c r="AH123" i="28"/>
  <c r="AG596" i="28"/>
  <c r="AH596" i="28"/>
  <c r="AH579" i="28"/>
  <c r="AG579" i="28"/>
  <c r="AG416" i="28"/>
  <c r="AH416" i="28"/>
  <c r="AG298" i="28"/>
  <c r="AH298" i="28"/>
  <c r="AH223" i="28"/>
  <c r="AG223" i="28"/>
  <c r="AH95" i="28"/>
  <c r="AG95" i="28"/>
  <c r="AH73" i="28"/>
  <c r="AG73" i="28"/>
  <c r="AG169" i="28"/>
  <c r="AH169" i="28"/>
  <c r="AG497" i="28"/>
  <c r="AH497" i="28"/>
  <c r="AH443" i="28"/>
  <c r="AG443" i="28"/>
  <c r="AH487" i="28"/>
  <c r="AG487" i="28"/>
  <c r="AH334" i="28"/>
  <c r="AG334" i="28"/>
  <c r="AG429" i="28"/>
  <c r="AH429" i="28"/>
  <c r="AH305" i="28"/>
  <c r="AG305" i="28"/>
  <c r="AH182" i="28"/>
  <c r="AG182" i="28"/>
  <c r="AH78" i="28"/>
  <c r="AG78" i="28"/>
  <c r="AH51" i="28"/>
  <c r="AG51" i="28"/>
  <c r="AH294" i="28"/>
  <c r="AG294" i="28"/>
  <c r="AH563" i="28"/>
  <c r="AG563" i="28"/>
  <c r="AH608" i="28"/>
  <c r="AG608" i="28"/>
  <c r="AH331" i="28"/>
  <c r="AG331" i="28"/>
  <c r="AG384" i="28"/>
  <c r="AH384" i="28"/>
  <c r="AH397" i="28"/>
  <c r="AG397" i="28"/>
  <c r="AG488" i="28"/>
  <c r="AH488" i="28"/>
  <c r="AH144" i="28"/>
  <c r="AG144" i="28"/>
  <c r="AH292" i="28"/>
  <c r="AG292" i="28"/>
  <c r="AH201" i="28"/>
  <c r="AG201" i="28"/>
  <c r="AH22" i="28"/>
  <c r="AG22" i="28"/>
  <c r="AH373" i="28"/>
  <c r="AG373" i="28"/>
  <c r="AG33" i="28"/>
  <c r="AH33" i="28"/>
  <c r="AG140" i="28"/>
  <c r="AH140" i="28"/>
  <c r="AH481" i="28"/>
  <c r="AG481" i="28"/>
  <c r="AH491" i="28"/>
  <c r="AG491" i="28"/>
  <c r="AH387" i="28"/>
  <c r="AG387" i="28"/>
  <c r="AG325" i="28"/>
  <c r="AH325" i="28"/>
  <c r="AH402" i="28"/>
  <c r="AG402" i="28"/>
  <c r="AH401" i="28"/>
  <c r="AG401" i="28"/>
  <c r="AH281" i="28"/>
  <c r="AG281" i="28"/>
  <c r="AG117" i="28"/>
  <c r="AH117" i="28"/>
  <c r="AH199" i="28"/>
  <c r="AG199" i="28"/>
  <c r="AH166" i="28"/>
  <c r="AG166" i="28"/>
  <c r="AG56" i="28"/>
  <c r="AH56" i="28"/>
  <c r="AH39" i="28"/>
  <c r="AG39" i="28"/>
  <c r="AG302" i="28"/>
  <c r="AH302" i="28"/>
  <c r="AG504" i="28"/>
  <c r="AH504" i="28"/>
  <c r="AH62" i="28"/>
  <c r="AG62" i="28"/>
  <c r="AH467" i="28"/>
  <c r="AG467" i="28"/>
  <c r="AG365" i="28"/>
  <c r="AH365" i="28"/>
  <c r="AG613" i="28"/>
  <c r="AH613" i="28"/>
  <c r="AH582" i="28"/>
  <c r="AG582" i="28"/>
  <c r="AH454" i="28"/>
  <c r="AG454" i="28"/>
  <c r="AG591" i="28"/>
  <c r="AH591" i="28"/>
  <c r="AH315" i="28"/>
  <c r="AG315" i="28"/>
  <c r="AH420" i="28"/>
  <c r="AG420" i="28"/>
  <c r="AG536" i="28"/>
  <c r="AH536" i="28"/>
  <c r="AH237" i="28"/>
  <c r="AG237" i="28"/>
  <c r="AH127" i="28"/>
  <c r="AG127" i="28"/>
  <c r="AH156" i="28"/>
  <c r="AG156" i="28"/>
  <c r="AH303" i="28"/>
  <c r="AG303" i="28"/>
  <c r="AH70" i="28"/>
  <c r="AG70" i="28"/>
  <c r="AH343" i="28"/>
  <c r="AG343" i="28"/>
  <c r="AG177" i="28"/>
  <c r="AH177" i="28"/>
  <c r="AH165" i="28"/>
  <c r="AG165" i="28"/>
  <c r="AG84" i="28"/>
  <c r="AH84" i="28"/>
  <c r="AH211" i="28"/>
  <c r="AG211" i="28"/>
  <c r="AH472" i="28"/>
  <c r="AG472" i="28"/>
  <c r="AG194" i="28"/>
  <c r="AH194" i="28"/>
  <c r="AH94" i="28"/>
  <c r="AG94" i="28"/>
  <c r="AH623" i="28"/>
  <c r="AG623" i="28"/>
  <c r="AH464" i="28"/>
  <c r="AG464" i="28"/>
  <c r="AH327" i="28"/>
  <c r="AG327" i="28"/>
  <c r="AH93" i="28"/>
  <c r="AG93" i="28"/>
  <c r="AH27" i="28"/>
  <c r="AG27" i="28"/>
  <c r="AG470" i="28"/>
  <c r="AH470" i="28"/>
  <c r="AH335" i="28"/>
  <c r="AG335" i="28"/>
  <c r="AG118" i="28"/>
  <c r="AH118" i="28"/>
  <c r="AH554" i="28"/>
  <c r="AG554" i="28"/>
  <c r="AH485" i="28"/>
  <c r="AG485" i="28"/>
  <c r="AG158" i="28"/>
  <c r="AH158" i="28"/>
  <c r="AG602" i="28"/>
  <c r="AH602" i="28"/>
  <c r="AG476" i="28"/>
  <c r="AH476" i="28"/>
  <c r="AG449" i="28"/>
  <c r="AH449" i="28"/>
  <c r="AH458" i="28"/>
  <c r="AG458" i="28"/>
  <c r="AH439" i="28"/>
  <c r="AG439" i="28"/>
  <c r="AH350" i="28"/>
  <c r="AG350" i="28"/>
  <c r="AH408" i="28"/>
  <c r="AG408" i="28"/>
  <c r="AG306" i="28"/>
  <c r="AH306" i="28"/>
  <c r="AG369" i="28"/>
  <c r="AH369" i="28"/>
  <c r="AG122" i="28"/>
  <c r="AH122" i="28"/>
  <c r="AH196" i="28"/>
  <c r="AG196" i="28"/>
  <c r="AH262" i="28"/>
  <c r="AG262" i="28"/>
  <c r="AG44" i="28"/>
  <c r="AH44" i="28"/>
  <c r="AH183" i="28"/>
  <c r="AG183" i="28"/>
  <c r="AH352" i="28"/>
  <c r="AG352" i="28"/>
  <c r="AG240" i="28"/>
  <c r="AH240" i="28"/>
  <c r="AH532" i="28"/>
  <c r="AG532" i="28"/>
  <c r="AH569" i="28"/>
  <c r="AG569" i="28"/>
  <c r="AH550" i="28"/>
  <c r="AG550" i="28"/>
  <c r="AG515" i="28"/>
  <c r="AH515" i="28"/>
  <c r="AH559" i="28"/>
  <c r="AG559" i="28"/>
  <c r="AH336" i="28"/>
  <c r="AG336" i="28"/>
  <c r="AG501" i="28"/>
  <c r="AH501" i="28"/>
  <c r="AG383" i="28"/>
  <c r="AH383" i="28"/>
  <c r="AG141" i="28"/>
  <c r="AH141" i="28"/>
  <c r="AH124" i="28"/>
  <c r="AG124" i="28"/>
  <c r="AH107" i="28"/>
  <c r="AG107" i="28"/>
  <c r="AG90" i="28"/>
  <c r="AH90" i="28"/>
  <c r="AG457" i="28"/>
  <c r="AH457" i="28"/>
  <c r="AG363" i="28"/>
  <c r="AH363" i="28"/>
  <c r="AH157" i="28"/>
  <c r="AG157" i="28"/>
  <c r="AH601" i="28"/>
  <c r="AG601" i="28"/>
  <c r="AG442" i="28"/>
  <c r="AH442" i="28"/>
  <c r="AG339" i="28"/>
  <c r="AH339" i="28"/>
  <c r="AH264" i="28"/>
  <c r="AG264" i="28"/>
  <c r="AH261" i="28"/>
  <c r="AG261" i="28"/>
  <c r="AH399" i="28"/>
  <c r="AG399" i="28"/>
  <c r="AG151" i="28"/>
  <c r="AH151" i="28"/>
  <c r="AH180" i="28"/>
  <c r="AG180" i="28"/>
  <c r="AH219" i="28"/>
  <c r="AG219" i="28"/>
  <c r="AH65" i="28"/>
  <c r="AG65" i="28"/>
  <c r="AH13" i="28"/>
  <c r="AG13" i="28"/>
  <c r="AG624" i="28"/>
  <c r="AH624" i="28"/>
  <c r="AH190" i="28"/>
  <c r="AG190" i="28"/>
  <c r="AG360" i="28"/>
  <c r="AH360" i="28"/>
  <c r="AG385" i="28"/>
  <c r="AH385" i="28"/>
  <c r="AH297" i="28"/>
  <c r="AG297" i="28"/>
  <c r="AG43" i="28"/>
  <c r="AH43" i="28"/>
  <c r="AH553" i="28"/>
  <c r="AG553" i="28"/>
  <c r="AH534" i="28"/>
  <c r="AG534" i="28"/>
  <c r="AH562" i="28"/>
  <c r="AG562" i="28"/>
  <c r="AG543" i="28"/>
  <c r="AH543" i="28"/>
  <c r="AH267" i="28"/>
  <c r="AG267" i="28"/>
  <c r="AH282" i="28"/>
  <c r="AG282" i="28"/>
  <c r="AH287" i="28"/>
  <c r="AG287" i="28"/>
  <c r="AH189" i="28"/>
  <c r="AG189" i="28"/>
  <c r="AG108" i="28"/>
  <c r="AH108" i="28"/>
  <c r="AH63" i="28"/>
  <c r="AG63" i="28"/>
  <c r="AG593" i="28"/>
  <c r="AH593" i="28"/>
  <c r="AH583" i="28"/>
  <c r="AG583" i="28"/>
  <c r="AH521" i="28"/>
  <c r="AG521" i="28"/>
  <c r="AH288" i="28"/>
  <c r="AG288" i="28"/>
  <c r="AG606" i="28"/>
  <c r="AH606" i="28"/>
  <c r="AH508" i="28"/>
  <c r="AG508" i="28"/>
  <c r="AH462" i="28"/>
  <c r="AG462" i="28"/>
  <c r="AG382" i="28"/>
  <c r="AH382" i="28"/>
  <c r="AH404" i="28"/>
  <c r="AG404" i="28"/>
  <c r="AG200" i="28"/>
  <c r="AH200" i="28"/>
  <c r="AG154" i="28"/>
  <c r="AH154" i="28"/>
  <c r="AG228" i="28"/>
  <c r="AH228" i="28"/>
  <c r="AH257" i="28"/>
  <c r="AG257" i="28"/>
  <c r="AH129" i="28"/>
  <c r="AG129" i="28"/>
  <c r="AH49" i="28"/>
  <c r="AG49" i="28"/>
  <c r="AH67" i="28"/>
  <c r="AG67" i="28"/>
  <c r="AG74" i="28"/>
  <c r="AH74" i="28"/>
  <c r="AG238" i="28"/>
  <c r="AH238" i="28"/>
  <c r="AH605" i="28"/>
  <c r="AG605" i="28"/>
  <c r="AH510" i="28"/>
  <c r="AG510" i="28"/>
  <c r="AH386" i="28"/>
  <c r="AG386" i="28"/>
  <c r="AG212" i="28"/>
  <c r="AH212" i="28"/>
  <c r="AG585" i="28"/>
  <c r="AH585" i="28"/>
  <c r="AG258" i="28"/>
  <c r="AH258" i="28"/>
  <c r="AH547" i="28"/>
  <c r="AG547" i="28"/>
  <c r="AG368" i="28"/>
  <c r="AH368" i="28"/>
  <c r="AG557" i="28"/>
  <c r="AH557" i="28"/>
  <c r="AH266" i="28"/>
  <c r="AG266" i="28"/>
  <c r="AH128" i="28"/>
  <c r="AG128" i="28"/>
  <c r="AG271" i="28"/>
  <c r="AH271" i="28"/>
  <c r="AG185" i="28"/>
  <c r="AH185" i="28"/>
  <c r="AH68" i="28"/>
  <c r="AG68" i="28"/>
  <c r="AG251" i="28"/>
  <c r="AH251" i="28"/>
  <c r="AH538" i="28"/>
  <c r="AG538" i="28"/>
  <c r="AG113" i="28"/>
  <c r="AH113" i="28"/>
  <c r="AH447" i="28"/>
  <c r="AG447" i="28"/>
  <c r="AG503" i="28"/>
  <c r="AH503" i="28"/>
  <c r="AG232" i="28"/>
  <c r="AH232" i="28"/>
  <c r="AH358" i="28"/>
  <c r="AG358" i="28"/>
  <c r="AH364" i="28"/>
  <c r="AG364" i="28"/>
  <c r="AH133" i="28"/>
  <c r="AG133" i="28"/>
  <c r="AG346" i="28"/>
  <c r="AH346" i="28"/>
  <c r="AH18" i="28"/>
  <c r="AG18" i="28"/>
  <c r="AH581" i="28"/>
  <c r="AG581" i="28"/>
  <c r="AH324" i="28"/>
  <c r="AG324" i="28"/>
  <c r="AH629" i="28"/>
  <c r="AG629" i="28"/>
  <c r="AG577" i="28"/>
  <c r="AH577" i="28"/>
  <c r="AH586" i="28"/>
  <c r="AG586" i="28"/>
  <c r="AH440" i="28"/>
  <c r="AG440" i="28"/>
  <c r="AH168" i="28"/>
  <c r="AG168" i="28"/>
  <c r="AH213" i="28"/>
  <c r="AG213" i="28"/>
  <c r="AH225" i="28"/>
  <c r="AG225" i="28"/>
  <c r="AG46" i="28"/>
  <c r="AH46" i="28"/>
  <c r="AG35" i="28"/>
  <c r="AH35" i="28"/>
  <c r="AG575" i="28"/>
  <c r="AH575" i="28"/>
  <c r="AG161" i="28"/>
  <c r="AH161" i="28"/>
  <c r="AG505" i="28"/>
  <c r="AH505" i="28"/>
  <c r="AH514" i="28"/>
  <c r="AG514" i="28"/>
  <c r="AH406" i="28"/>
  <c r="AG406" i="28"/>
  <c r="AH283" i="28"/>
  <c r="AG283" i="28"/>
  <c r="AH349" i="28"/>
  <c r="AG349" i="28"/>
  <c r="AH415" i="28"/>
  <c r="AG415" i="28"/>
  <c r="AH96" i="28"/>
  <c r="AG96" i="28"/>
  <c r="AH252" i="28"/>
  <c r="AG252" i="28"/>
  <c r="AG16" i="28"/>
  <c r="AH16" i="28"/>
  <c r="AH626" i="28"/>
  <c r="AG626" i="28"/>
  <c r="AG314" i="28"/>
  <c r="AH314" i="28"/>
  <c r="AH588" i="28"/>
  <c r="AG588" i="28"/>
  <c r="AH460" i="28"/>
  <c r="AG460" i="28"/>
  <c r="AH392" i="28"/>
  <c r="AG392" i="28"/>
  <c r="AG277" i="28"/>
  <c r="AH277" i="28"/>
  <c r="AH290" i="28"/>
  <c r="AG290" i="28"/>
  <c r="AH356" i="28"/>
  <c r="AG356" i="28"/>
  <c r="AG353" i="28"/>
  <c r="AH353" i="28"/>
  <c r="AG375" i="28"/>
  <c r="AH375" i="28"/>
  <c r="AG209" i="28"/>
  <c r="AH209" i="28"/>
  <c r="AG81" i="28"/>
  <c r="AH81" i="28"/>
  <c r="AH574" i="28"/>
  <c r="AG574" i="28"/>
  <c r="AH445" i="28"/>
  <c r="AG445" i="28"/>
  <c r="AG247" i="28"/>
  <c r="AH247" i="28"/>
  <c r="AH203" i="28"/>
  <c r="AG203" i="28"/>
  <c r="AH531" i="28"/>
  <c r="AG531" i="28"/>
  <c r="AG377" i="28"/>
  <c r="AH377" i="28"/>
  <c r="AG97" i="28"/>
  <c r="AH97" i="28"/>
  <c r="AG516" i="28"/>
  <c r="AH516" i="28"/>
  <c r="AH410" i="28"/>
  <c r="AG410" i="28"/>
  <c r="AH226" i="28"/>
  <c r="AG226" i="28"/>
  <c r="AH79" i="28"/>
  <c r="AG79" i="28"/>
  <c r="AH64" i="28"/>
  <c r="AG64" i="28"/>
  <c r="AH321" i="28"/>
  <c r="AG321" i="28"/>
  <c r="AH119" i="28"/>
  <c r="AG119" i="28"/>
  <c r="AG530" i="28"/>
  <c r="AH530" i="28"/>
  <c r="AH490" i="28"/>
  <c r="AG490" i="28"/>
  <c r="AH471" i="28"/>
  <c r="AG471" i="28"/>
  <c r="AH318" i="28"/>
  <c r="AG318" i="28"/>
  <c r="AG423" i="28"/>
  <c r="AH423" i="28"/>
  <c r="AH338" i="28"/>
  <c r="AG338" i="28"/>
  <c r="AH340" i="28"/>
  <c r="AG340" i="28"/>
  <c r="AG163" i="28"/>
  <c r="AH163" i="28"/>
  <c r="AH627" i="28"/>
  <c r="AG627" i="28"/>
  <c r="AG411" i="28"/>
  <c r="AH411" i="28"/>
  <c r="AH546" i="28"/>
  <c r="AG546" i="28"/>
  <c r="AG477" i="28"/>
  <c r="AH477" i="28"/>
  <c r="AG560" i="28"/>
  <c r="AH560" i="28"/>
  <c r="AH329" i="28"/>
  <c r="AG329" i="28"/>
  <c r="AG351" i="28"/>
  <c r="AH351" i="28"/>
  <c r="AH195" i="28"/>
  <c r="AG195" i="28"/>
  <c r="AG21" i="28"/>
  <c r="AH21" i="28"/>
  <c r="AG307" i="28"/>
  <c r="AH307" i="28"/>
  <c r="AG610" i="28"/>
  <c r="AH610" i="28"/>
  <c r="AH607" i="28"/>
  <c r="AG607" i="28"/>
  <c r="AH344" i="28"/>
  <c r="AG344" i="28"/>
  <c r="AG217" i="28"/>
  <c r="AH217" i="28"/>
  <c r="AG206" i="28"/>
  <c r="AH206" i="28"/>
  <c r="AH341" i="28"/>
  <c r="AG341" i="28"/>
  <c r="AH617" i="28"/>
  <c r="AG617" i="28"/>
  <c r="AH143" i="28"/>
  <c r="AG143" i="28"/>
  <c r="AH545" i="28"/>
  <c r="AG545" i="28"/>
  <c r="AH29" i="28"/>
  <c r="AG29" i="28"/>
  <c r="AH473" i="28"/>
  <c r="AG473" i="28"/>
  <c r="AH146" i="28"/>
  <c r="AG146" i="28"/>
  <c r="AH587" i="28"/>
  <c r="AG587" i="28"/>
  <c r="AG286" i="28"/>
  <c r="AH286" i="28"/>
  <c r="AH250" i="28"/>
  <c r="AG250" i="28"/>
  <c r="AH103" i="28"/>
  <c r="AG103" i="28"/>
  <c r="AG132" i="28"/>
  <c r="AH132" i="28"/>
  <c r="AG198" i="28"/>
  <c r="AH198" i="28"/>
  <c r="AG106" i="28"/>
  <c r="AH106" i="28"/>
  <c r="AH61" i="28"/>
  <c r="AG61" i="28"/>
  <c r="AH47" i="28"/>
  <c r="AG47" i="28"/>
  <c r="AH222" i="28"/>
  <c r="AG222" i="28"/>
  <c r="AG233" i="28"/>
  <c r="AH233" i="28"/>
  <c r="AH612" i="28"/>
  <c r="AG612" i="28"/>
  <c r="AG486" i="28"/>
  <c r="AH486" i="28"/>
  <c r="AH495" i="28"/>
  <c r="AG495" i="28"/>
  <c r="AH433" i="28"/>
  <c r="AG433" i="28"/>
  <c r="AH362" i="28"/>
  <c r="AG362" i="28"/>
  <c r="AG224" i="28"/>
  <c r="AH224" i="28"/>
  <c r="AG178" i="28"/>
  <c r="AH178" i="28"/>
  <c r="AH311" i="28"/>
  <c r="AG311" i="28"/>
  <c r="AH126" i="28"/>
  <c r="AG126" i="28"/>
  <c r="AH34" i="28"/>
  <c r="AG34" i="28"/>
  <c r="AG147" i="28"/>
  <c r="AH147" i="28"/>
  <c r="AG570" i="28"/>
  <c r="AH570" i="28"/>
  <c r="AH405" i="28"/>
  <c r="AG405" i="28"/>
  <c r="AH520" i="28"/>
  <c r="AG520" i="28"/>
  <c r="AH152" i="28"/>
  <c r="AG152" i="28"/>
  <c r="AH246" i="28"/>
  <c r="AG246" i="28"/>
  <c r="AG171" i="28"/>
  <c r="AH171" i="28"/>
  <c r="AH19" i="28"/>
  <c r="AG19" i="28"/>
  <c r="AH26" i="28"/>
  <c r="AG26" i="28"/>
  <c r="AG309" i="28"/>
  <c r="AH309" i="28"/>
  <c r="AG131" i="28"/>
  <c r="AH131" i="28"/>
  <c r="AH414" i="28"/>
  <c r="AG414" i="28"/>
  <c r="AG391" i="28"/>
  <c r="AH391" i="28"/>
  <c r="AG499" i="28"/>
  <c r="AH499" i="28"/>
  <c r="AG390" i="28"/>
  <c r="AH390" i="28"/>
  <c r="AH320" i="28"/>
  <c r="AG320" i="28"/>
  <c r="AG333" i="28"/>
  <c r="AH333" i="28"/>
  <c r="AH438" i="28"/>
  <c r="AG438" i="28"/>
  <c r="AG409" i="28"/>
  <c r="AH409" i="28"/>
  <c r="AH80" i="28"/>
  <c r="AG80" i="28"/>
  <c r="AG125" i="28"/>
  <c r="AH125" i="28"/>
  <c r="AH207" i="28"/>
  <c r="AG207" i="28"/>
  <c r="AH236" i="28"/>
  <c r="AG236" i="28"/>
  <c r="AH57" i="28"/>
  <c r="AG57" i="28"/>
  <c r="AH187" i="28"/>
  <c r="AG187" i="28"/>
  <c r="AH378" i="28"/>
  <c r="AG378" i="28"/>
  <c r="AG308" i="28"/>
  <c r="AH308" i="28"/>
  <c r="AH268" i="28"/>
  <c r="AG268" i="28"/>
  <c r="AH427" i="28"/>
  <c r="AG427" i="28"/>
  <c r="AG323" i="28"/>
  <c r="AH323" i="28"/>
  <c r="AH568" i="28"/>
  <c r="AG568" i="28"/>
  <c r="AH135" i="28"/>
  <c r="AG135" i="28"/>
  <c r="AH164" i="28"/>
  <c r="AG164" i="28"/>
  <c r="AH102" i="28"/>
  <c r="AG102" i="28"/>
  <c r="AH86" i="28"/>
  <c r="AG86" i="28"/>
  <c r="AG517" i="28"/>
  <c r="AH517" i="28"/>
  <c r="AH437" i="28"/>
  <c r="AG437" i="28"/>
  <c r="AH564" i="28"/>
  <c r="AG564" i="28"/>
  <c r="AG537" i="28"/>
  <c r="AH537" i="28"/>
  <c r="AG173" i="28"/>
  <c r="AH173" i="28"/>
  <c r="AH255" i="28"/>
  <c r="AG255" i="28"/>
  <c r="AH529" i="28"/>
  <c r="AG529" i="28"/>
  <c r="AH424" i="28"/>
  <c r="AG424" i="28"/>
  <c r="AH202" i="28"/>
  <c r="AG202" i="28"/>
  <c r="AG91" i="28"/>
  <c r="AH91" i="28"/>
  <c r="AH566" i="28"/>
  <c r="AG566" i="28"/>
  <c r="AH380" i="28"/>
  <c r="AG380" i="28"/>
  <c r="AH32" i="28"/>
  <c r="AG32" i="28"/>
  <c r="AG453" i="28"/>
  <c r="AH453" i="28"/>
  <c r="AG42" i="28"/>
  <c r="AH42" i="28"/>
  <c r="AH285" i="28"/>
  <c r="AG285" i="28"/>
  <c r="AH628" i="28"/>
  <c r="AG628" i="28"/>
  <c r="AH30" i="28"/>
  <c r="AG30" i="28"/>
  <c r="AH597" i="28"/>
  <c r="AG597" i="28"/>
  <c r="AH479" i="28"/>
  <c r="AG479" i="28"/>
  <c r="AH172" i="28"/>
  <c r="AG172" i="28"/>
  <c r="AG274" i="28"/>
  <c r="AH274" i="28"/>
  <c r="AH150" i="28"/>
  <c r="AG150" i="28"/>
  <c r="AG463" i="28"/>
  <c r="AH463" i="28"/>
  <c r="AH446" i="28"/>
  <c r="AG446" i="28"/>
  <c r="AH558" i="28"/>
  <c r="AG558" i="28"/>
  <c r="AG523" i="28"/>
  <c r="AH523" i="28"/>
  <c r="AH461" i="28"/>
  <c r="AG461" i="28"/>
  <c r="AH533" i="28"/>
  <c r="AG533" i="28"/>
  <c r="AG584" i="28"/>
  <c r="AH584" i="28"/>
  <c r="AH76" i="28"/>
  <c r="AG76" i="28"/>
  <c r="AH493" i="28"/>
  <c r="AG493" i="28"/>
  <c r="AH110" i="28"/>
  <c r="AG110" i="28"/>
  <c r="AH451" i="28"/>
  <c r="AG451" i="28"/>
  <c r="AG272" i="28"/>
  <c r="AH272" i="28"/>
  <c r="AH422" i="28"/>
  <c r="AG422" i="28"/>
  <c r="AG159" i="28"/>
  <c r="AH159" i="28"/>
  <c r="AH89" i="28"/>
  <c r="AG89" i="28"/>
  <c r="AH235" i="28"/>
  <c r="AG235" i="28"/>
  <c r="AG313" i="28"/>
  <c r="AH313" i="28"/>
  <c r="AH204" i="28"/>
  <c r="AG204" i="28"/>
  <c r="AH561" i="28"/>
  <c r="AG561" i="28"/>
  <c r="AG571" i="28"/>
  <c r="AH571" i="28"/>
  <c r="AH551" i="28"/>
  <c r="AG551" i="28"/>
  <c r="AG573" i="28"/>
  <c r="AH573" i="28"/>
  <c r="AH319" i="28"/>
  <c r="AG319" i="28"/>
  <c r="AH116" i="28"/>
  <c r="AG116" i="28"/>
  <c r="AH28" i="28"/>
  <c r="AG28" i="28"/>
  <c r="AH45" i="28"/>
  <c r="AG45" i="28"/>
  <c r="AH539" i="28"/>
  <c r="AG539" i="28"/>
  <c r="AH120" i="28"/>
  <c r="AG120" i="28"/>
  <c r="AG50" i="28"/>
  <c r="AH50" i="28"/>
  <c r="AG609" i="28"/>
  <c r="AH609" i="28"/>
  <c r="AH489" i="28"/>
  <c r="AG489" i="28"/>
  <c r="AH498" i="28"/>
  <c r="AG498" i="28"/>
  <c r="AH426" i="28"/>
  <c r="AG426" i="28"/>
  <c r="AH208" i="28"/>
  <c r="AG208" i="28"/>
  <c r="AH276" i="28"/>
  <c r="AG276" i="28"/>
  <c r="AH137" i="28"/>
  <c r="AG137" i="28"/>
  <c r="AG155" i="28"/>
  <c r="AH155" i="28"/>
  <c r="AH75" i="28"/>
  <c r="AG75" i="28"/>
  <c r="AH227" i="28"/>
  <c r="AG227" i="28"/>
  <c r="AH77" i="28"/>
  <c r="AG77" i="28"/>
  <c r="AH528" i="28"/>
  <c r="AG528" i="28"/>
  <c r="AG322" i="28"/>
  <c r="AH322" i="28"/>
  <c r="AH359" i="28"/>
  <c r="AG359" i="28"/>
  <c r="AH130" i="28"/>
  <c r="AG130" i="28"/>
  <c r="AH54" i="28"/>
  <c r="AG54" i="28"/>
  <c r="AG444" i="28"/>
  <c r="AH444" i="28"/>
  <c r="AH590" i="28"/>
  <c r="AG590" i="28"/>
  <c r="AH509" i="28"/>
  <c r="AG509" i="28"/>
  <c r="AG589" i="28"/>
  <c r="AH589" i="28"/>
  <c r="AH136" i="28"/>
  <c r="AG136" i="28"/>
  <c r="AG245" i="28"/>
  <c r="AH245" i="28"/>
  <c r="AG193" i="28"/>
  <c r="AH193" i="28"/>
  <c r="AG367" i="28"/>
  <c r="AH367" i="28"/>
  <c r="AH265" i="28"/>
  <c r="AG265" i="28"/>
  <c r="AH174" i="28"/>
  <c r="AG174" i="28"/>
  <c r="AH229" i="28"/>
  <c r="AG229" i="28"/>
  <c r="AG40" i="28"/>
  <c r="AH40" i="28"/>
  <c r="AG565" i="28"/>
  <c r="AH565" i="28"/>
  <c r="AH527" i="28"/>
  <c r="AG527" i="28"/>
  <c r="AH549" i="28"/>
  <c r="AG549" i="28"/>
  <c r="AH381" i="28"/>
  <c r="AG381" i="28"/>
  <c r="AH434" i="28"/>
  <c r="AG434" i="28"/>
  <c r="AH256" i="28"/>
  <c r="AG256" i="28"/>
  <c r="AH92" i="28"/>
  <c r="AG92" i="28"/>
  <c r="AH295" i="28"/>
  <c r="AG295" i="28"/>
  <c r="AH179" i="28"/>
  <c r="AG179" i="28"/>
  <c r="AG519" i="28"/>
  <c r="AH519" i="28"/>
  <c r="AG299" i="28"/>
  <c r="AH299" i="28"/>
  <c r="AG111" i="28"/>
  <c r="AH111" i="28"/>
  <c r="AH522" i="28"/>
  <c r="AG522" i="28"/>
  <c r="AH370" i="28"/>
  <c r="AG370" i="28"/>
  <c r="AH548" i="28"/>
  <c r="AG548" i="28"/>
  <c r="AH400" i="28"/>
  <c r="AG400" i="28"/>
  <c r="AH244" i="28"/>
  <c r="AG244" i="28"/>
  <c r="AH466" i="28"/>
  <c r="AG466" i="28"/>
  <c r="AG600" i="28"/>
  <c r="AH600" i="28"/>
  <c r="AH407" i="28"/>
  <c r="AG407" i="28"/>
  <c r="AH421" i="28"/>
  <c r="AG421" i="28"/>
  <c r="AH289" i="28"/>
  <c r="AG289" i="28"/>
  <c r="AH69" i="28"/>
  <c r="AG69" i="28"/>
  <c r="AG513" i="28"/>
  <c r="AH513" i="28"/>
  <c r="AG567" i="28"/>
  <c r="AH567" i="28"/>
  <c r="AH430" i="28"/>
  <c r="AG430" i="28"/>
  <c r="AG291" i="28"/>
  <c r="AH291" i="28"/>
  <c r="AG357" i="28"/>
  <c r="AH357" i="28"/>
  <c r="AG428" i="28"/>
  <c r="AH428" i="28"/>
  <c r="AG104" i="28"/>
  <c r="AH104" i="28"/>
  <c r="AG149" i="28"/>
  <c r="AH149" i="28"/>
  <c r="AG231" i="28"/>
  <c r="AH231" i="28"/>
  <c r="AH114" i="28"/>
  <c r="AG114" i="28"/>
  <c r="AH55" i="28"/>
  <c r="AG55" i="28"/>
  <c r="AG52" i="28"/>
  <c r="AH52" i="28"/>
  <c r="AH468" i="28"/>
  <c r="AG468" i="28"/>
  <c r="AH450" i="28"/>
  <c r="AG450" i="28"/>
  <c r="AH342" i="28"/>
  <c r="AG342" i="28"/>
  <c r="AG347" i="28"/>
  <c r="AH347" i="28"/>
  <c r="AG436" i="28"/>
  <c r="AH436" i="28"/>
  <c r="AG361" i="28"/>
  <c r="AH361" i="28"/>
  <c r="AG544" i="28"/>
  <c r="AH544" i="28"/>
  <c r="AH188" i="28"/>
  <c r="AG188" i="28"/>
  <c r="AG36" i="28"/>
  <c r="AH36" i="28"/>
  <c r="AH53" i="28"/>
  <c r="AG53" i="28"/>
  <c r="AH511" i="28"/>
  <c r="AG511" i="28"/>
  <c r="AH15" i="28"/>
  <c r="AG15" i="28"/>
  <c r="AH524" i="28"/>
  <c r="AG524" i="28"/>
  <c r="AH542" i="28"/>
  <c r="AG542" i="28"/>
  <c r="AH507" i="28"/>
  <c r="AG507" i="28"/>
  <c r="AG398" i="28"/>
  <c r="AH398" i="28"/>
  <c r="AH270" i="28"/>
  <c r="AG270" i="28"/>
  <c r="AG413" i="28"/>
  <c r="AH413" i="28"/>
  <c r="AG469" i="28"/>
  <c r="AH469" i="28"/>
  <c r="AH88" i="28"/>
  <c r="AG88" i="28"/>
  <c r="AH197" i="28"/>
  <c r="AG197" i="28"/>
  <c r="AH234" i="28"/>
  <c r="AG234" i="28"/>
  <c r="AH87" i="28"/>
  <c r="AG87" i="28"/>
  <c r="AH145" i="28"/>
  <c r="AG145" i="28"/>
  <c r="AH23" i="28"/>
  <c r="AG23" i="28"/>
  <c r="AH371" i="28"/>
  <c r="AG371" i="28"/>
  <c r="AH148" i="28"/>
  <c r="AG148" i="28"/>
  <c r="AH221" i="28"/>
  <c r="AG221" i="28"/>
  <c r="AH142" i="28"/>
  <c r="AG142" i="28"/>
  <c r="AH214" i="28"/>
  <c r="AG214" i="28"/>
  <c r="AG435" i="28"/>
  <c r="AH435" i="28"/>
  <c r="AH326" i="28"/>
  <c r="AG326" i="28"/>
  <c r="AH395" i="28"/>
  <c r="AG395" i="28"/>
  <c r="AH253" i="28"/>
  <c r="AG253" i="28"/>
  <c r="AG162" i="28"/>
  <c r="AH162" i="28"/>
  <c r="AG115" i="28"/>
  <c r="AH115" i="28"/>
  <c r="AH625" i="28"/>
  <c r="AG625" i="28"/>
  <c r="AH475" i="28"/>
  <c r="AG475" i="28"/>
  <c r="AH417" i="28"/>
  <c r="AG417" i="28"/>
  <c r="AG572" i="28"/>
  <c r="AH572" i="28"/>
  <c r="AH555" i="28"/>
  <c r="AG555" i="28"/>
  <c r="AG599" i="28"/>
  <c r="AH599" i="28"/>
  <c r="AH592" i="28"/>
  <c r="AG592" i="28"/>
  <c r="AH376" i="28"/>
  <c r="AG376" i="28"/>
  <c r="AH389" i="28"/>
  <c r="AG389" i="28"/>
  <c r="AH456" i="28"/>
  <c r="AG456" i="28"/>
  <c r="AH337" i="28"/>
  <c r="AG337" i="28"/>
  <c r="AH181" i="28"/>
  <c r="AG181" i="28"/>
  <c r="AG300" i="28"/>
  <c r="AH300" i="28"/>
  <c r="AG263" i="28"/>
  <c r="AH263" i="28"/>
  <c r="AH448" i="28"/>
  <c r="AG448" i="28"/>
  <c r="AG259" i="28"/>
  <c r="AH259" i="28"/>
  <c r="AH31" i="28"/>
  <c r="AG31" i="28"/>
  <c r="AG465" i="28"/>
  <c r="AH465" i="28"/>
  <c r="AG455" i="28"/>
  <c r="AH455" i="28"/>
  <c r="AG138" i="28"/>
  <c r="AH138" i="28"/>
  <c r="AH502" i="28"/>
  <c r="AG502" i="28"/>
  <c r="AH284" i="28"/>
  <c r="AG284" i="28"/>
  <c r="AH500" i="28"/>
  <c r="AG500" i="28"/>
  <c r="AH518" i="28"/>
  <c r="AG518" i="28"/>
  <c r="AG483" i="28"/>
  <c r="AH483" i="28"/>
  <c r="AG482" i="28"/>
  <c r="AH482" i="28"/>
  <c r="AH374" i="28"/>
  <c r="AG374" i="28"/>
  <c r="AG379" i="28"/>
  <c r="AH379" i="28"/>
  <c r="AH304" i="28"/>
  <c r="AG304" i="28"/>
  <c r="AH317" i="28"/>
  <c r="AG317" i="28"/>
  <c r="AH394" i="28"/>
  <c r="AG394" i="28"/>
  <c r="AH396" i="28"/>
  <c r="AG396" i="28"/>
  <c r="AH425" i="28"/>
  <c r="AG425" i="28"/>
  <c r="AH109" i="28"/>
  <c r="AG109" i="28"/>
  <c r="AH210" i="28"/>
  <c r="AG210" i="28"/>
  <c r="AH191" i="28"/>
  <c r="AG191" i="28"/>
  <c r="AH220" i="28"/>
  <c r="AG220" i="28"/>
  <c r="AH121" i="28"/>
  <c r="AG121" i="28"/>
  <c r="AG41" i="28"/>
  <c r="AH41" i="28"/>
  <c r="AG48" i="28"/>
  <c r="AH48" i="28"/>
  <c r="AG66" i="28"/>
  <c r="AH66" i="28"/>
  <c r="AG241" i="28"/>
  <c r="AH241" i="28"/>
  <c r="AH296" i="28"/>
  <c r="AG296" i="28"/>
  <c r="AG60" i="28"/>
  <c r="AH60" i="28"/>
  <c r="AK275" i="17"/>
  <c r="AL275" i="17" s="1"/>
  <c r="AK130" i="17"/>
  <c r="AL130" i="17" s="1"/>
  <c r="AK524" i="17"/>
  <c r="AL524" i="17" s="1"/>
  <c r="AK322" i="17"/>
  <c r="AL322" i="17" s="1"/>
  <c r="AK310" i="17"/>
  <c r="AL310" i="17" s="1"/>
  <c r="AK538" i="17"/>
  <c r="AL538" i="17" s="1"/>
  <c r="AK450" i="17"/>
  <c r="AL450" i="17" s="1"/>
  <c r="AK520" i="17"/>
  <c r="AL520" i="17" s="1"/>
  <c r="AK596" i="17"/>
  <c r="AL596" i="17" s="1"/>
  <c r="AK356" i="17"/>
  <c r="AL356" i="17" s="1"/>
  <c r="AK486" i="17"/>
  <c r="AL486" i="17" s="1"/>
  <c r="AK66" i="17"/>
  <c r="AL66" i="17" s="1"/>
  <c r="AK540" i="17"/>
  <c r="AL540" i="17" s="1"/>
  <c r="AK46" i="17"/>
  <c r="AL46" i="17" s="1"/>
  <c r="AK464" i="17"/>
  <c r="AL464" i="17" s="1"/>
  <c r="AK587" i="17"/>
  <c r="AL587" i="17" s="1"/>
  <c r="AK190" i="17"/>
  <c r="AL190" i="17" s="1"/>
  <c r="AK185" i="17"/>
  <c r="AL185" i="17" s="1"/>
  <c r="AK210" i="17"/>
  <c r="AL210" i="17" s="1"/>
  <c r="AK64" i="17"/>
  <c r="AL64" i="17" s="1"/>
  <c r="AK411" i="17"/>
  <c r="AL411" i="17" s="1"/>
  <c r="AK114" i="17"/>
  <c r="AL114" i="17" s="1"/>
  <c r="AK417" i="17"/>
  <c r="AL417" i="17" s="1"/>
  <c r="AK365" i="17"/>
  <c r="AL365" i="17" s="1"/>
  <c r="AK585" i="17"/>
  <c r="AL585" i="17" s="1"/>
  <c r="AK386" i="17"/>
  <c r="AL386" i="17" s="1"/>
  <c r="AK134" i="17"/>
  <c r="AL134" i="17" s="1"/>
  <c r="AK568" i="17"/>
  <c r="AL568" i="17" s="1"/>
  <c r="AK561" i="17"/>
  <c r="AL561" i="17" s="1"/>
  <c r="AK502" i="17"/>
  <c r="AL502" i="17" s="1"/>
  <c r="AK407" i="17"/>
  <c r="AL407" i="17" s="1"/>
  <c r="AK228" i="17"/>
  <c r="AL228" i="17" s="1"/>
  <c r="AK593" i="17"/>
  <c r="AL593" i="17" s="1"/>
  <c r="AK85" i="17"/>
  <c r="AL85" i="17" s="1"/>
  <c r="AK60" i="17"/>
  <c r="AL60" i="17" s="1"/>
  <c r="AK368" i="17"/>
  <c r="AL368" i="17" s="1"/>
  <c r="AK497" i="17"/>
  <c r="AL497" i="17" s="1"/>
  <c r="AK476" i="17"/>
  <c r="AL476" i="17" s="1"/>
  <c r="AK148" i="17"/>
  <c r="AL148" i="17" s="1"/>
  <c r="AK100" i="17"/>
  <c r="AL100" i="17" s="1"/>
  <c r="AK355" i="17"/>
  <c r="AL355" i="17" s="1"/>
  <c r="T625" i="17"/>
  <c r="S625" i="17"/>
  <c r="R625" i="17"/>
  <c r="Q625" i="17"/>
  <c r="P625" i="17"/>
  <c r="O625" i="17"/>
  <c r="T624" i="17"/>
  <c r="S624" i="17"/>
  <c r="R624" i="17"/>
  <c r="Q624" i="17"/>
  <c r="P624" i="17"/>
  <c r="O624" i="17"/>
  <c r="R627" i="17"/>
  <c r="Q627" i="17"/>
  <c r="P627" i="17"/>
  <c r="O627" i="17"/>
  <c r="T627" i="17"/>
  <c r="S627" i="17"/>
  <c r="AK576" i="17"/>
  <c r="AL576" i="17" s="1"/>
  <c r="AK490" i="17"/>
  <c r="AL490" i="17" s="1"/>
  <c r="AK546" i="17"/>
  <c r="AL546" i="17" s="1"/>
  <c r="AK294" i="17"/>
  <c r="AL294" i="17" s="1"/>
  <c r="AK238" i="17"/>
  <c r="AL238" i="17" s="1"/>
  <c r="AK352" i="17"/>
  <c r="AL352" i="17" s="1"/>
  <c r="AK433" i="17"/>
  <c r="AL433" i="17" s="1"/>
  <c r="AK76" i="17"/>
  <c r="AL76" i="17" s="1"/>
  <c r="AK268" i="17"/>
  <c r="AL268" i="17" s="1"/>
  <c r="AK94" i="17"/>
  <c r="AL94" i="17" s="1"/>
  <c r="AK454" i="17"/>
  <c r="AL454" i="17" s="1"/>
  <c r="AK553" i="17"/>
  <c r="AL553" i="17" s="1"/>
  <c r="AK467" i="17"/>
  <c r="AL467" i="17" s="1"/>
  <c r="AK516" i="17"/>
  <c r="AL516" i="17" s="1"/>
  <c r="AK246" i="17"/>
  <c r="AL246" i="17" s="1"/>
  <c r="AK215" i="17"/>
  <c r="AL215" i="17" s="1"/>
  <c r="AK70" i="17"/>
  <c r="AL70" i="17" s="1"/>
  <c r="AK333" i="17"/>
  <c r="AL333" i="17" s="1"/>
  <c r="AK118" i="17"/>
  <c r="AL118" i="17" s="1"/>
  <c r="AK348" i="17"/>
  <c r="AL348" i="17" s="1"/>
  <c r="AK219" i="17"/>
  <c r="AL219" i="17" s="1"/>
  <c r="AK116" i="17"/>
  <c r="AL116" i="17" s="1"/>
  <c r="AK549" i="17"/>
  <c r="AL549" i="17" s="1"/>
  <c r="AK237" i="17"/>
  <c r="AL237" i="17" s="1"/>
  <c r="AK340" i="17"/>
  <c r="AL340" i="17" s="1"/>
  <c r="AK58" i="17"/>
  <c r="AL58" i="17" s="1"/>
  <c r="AK201" i="17"/>
  <c r="AL201" i="17" s="1"/>
  <c r="AK263" i="17"/>
  <c r="AL263" i="17" s="1"/>
  <c r="AK56" i="17"/>
  <c r="AL56" i="17" s="1"/>
  <c r="AK92" i="17"/>
  <c r="AL92" i="17" s="1"/>
  <c r="AK603" i="17"/>
  <c r="AL603" i="17" s="1"/>
  <c r="AK51" i="17"/>
  <c r="AL51" i="17" s="1"/>
  <c r="AK384" i="17"/>
  <c r="AL384" i="17" s="1"/>
  <c r="AK254" i="17"/>
  <c r="AL254" i="17" s="1"/>
  <c r="AK392" i="17"/>
  <c r="AL392" i="17" s="1"/>
  <c r="AK288" i="17"/>
  <c r="AL288" i="17" s="1"/>
  <c r="AK326" i="17"/>
  <c r="AL326" i="17" s="1"/>
  <c r="AK232" i="17"/>
  <c r="AL232" i="17" s="1"/>
  <c r="AK331" i="17"/>
  <c r="AL331" i="17" s="1"/>
  <c r="AK583" i="17"/>
  <c r="AL583" i="17" s="1"/>
  <c r="AK432" i="17"/>
  <c r="AL432" i="17" s="1"/>
  <c r="AK160" i="17"/>
  <c r="AL160" i="17" s="1"/>
  <c r="AK182" i="17"/>
  <c r="AL182" i="17" s="1"/>
  <c r="AK506" i="17"/>
  <c r="AL506" i="17" s="1"/>
  <c r="AK169" i="17"/>
  <c r="AL169" i="17" s="1"/>
  <c r="AK509" i="17"/>
  <c r="AL509" i="17" s="1"/>
  <c r="AK555" i="17"/>
  <c r="AL555" i="17" s="1"/>
  <c r="AK140" i="17"/>
  <c r="AL140" i="17" s="1"/>
  <c r="AK20" i="17"/>
  <c r="AL20" i="17" s="1"/>
  <c r="AK199" i="17"/>
  <c r="AL199" i="17" s="1"/>
  <c r="AK312" i="17"/>
  <c r="AL312" i="17" s="1"/>
  <c r="AK594" i="17"/>
  <c r="AL594" i="17" s="1"/>
  <c r="AK440" i="17"/>
  <c r="AL440" i="17" s="1"/>
  <c r="AK336" i="17"/>
  <c r="AL336" i="17" s="1"/>
  <c r="AK376" i="17"/>
  <c r="AL376" i="17" s="1"/>
  <c r="AK380" i="17"/>
  <c r="AL380" i="17" s="1"/>
  <c r="AK542" i="17"/>
  <c r="AL542" i="17" s="1"/>
  <c r="AK27" i="17"/>
  <c r="AL27" i="17" s="1"/>
  <c r="AK427" i="17"/>
  <c r="AL427" i="17" s="1"/>
  <c r="AK272" i="17"/>
  <c r="AL272" i="17" s="1"/>
  <c r="AK399" i="17"/>
  <c r="AL399" i="17" s="1"/>
  <c r="AK528" i="17"/>
  <c r="AL528" i="17" s="1"/>
  <c r="AK403" i="17"/>
  <c r="AL403" i="17" s="1"/>
  <c r="AK187" i="17"/>
  <c r="AL187" i="17" s="1"/>
  <c r="AK485" i="17"/>
  <c r="AL485" i="17" s="1"/>
  <c r="AK419" i="17"/>
  <c r="AL419" i="17" s="1"/>
  <c r="AK211" i="17"/>
  <c r="AL211" i="17" s="1"/>
  <c r="AK156" i="17"/>
  <c r="AL156" i="17" s="1"/>
  <c r="AK539" i="17"/>
  <c r="AL539" i="17" s="1"/>
  <c r="AK589" i="17"/>
  <c r="AL589" i="17" s="1"/>
  <c r="AK221" i="17"/>
  <c r="AL221" i="17" s="1"/>
  <c r="AK145" i="17"/>
  <c r="AL145" i="17" s="1"/>
  <c r="AK492" i="17"/>
  <c r="AL492" i="17" s="1"/>
  <c r="AK458" i="17"/>
  <c r="AL458" i="17" s="1"/>
  <c r="AK90" i="17"/>
  <c r="AL90" i="17" s="1"/>
  <c r="AK255" i="17"/>
  <c r="AL255" i="17" s="1"/>
  <c r="AK359" i="17"/>
  <c r="AL359" i="17" s="1"/>
  <c r="AK514" i="17"/>
  <c r="AL514" i="17" s="1"/>
  <c r="AK530" i="17"/>
  <c r="AL530" i="17" s="1"/>
  <c r="AK40" i="17"/>
  <c r="AL40" i="17" s="1"/>
  <c r="AK295" i="17"/>
  <c r="AL295" i="17" s="1"/>
  <c r="AK559" i="17"/>
  <c r="AL559" i="17" s="1"/>
  <c r="AK202" i="17"/>
  <c r="AL202" i="17" s="1"/>
  <c r="AK270" i="17"/>
  <c r="AL270" i="17" s="1"/>
  <c r="AK519" i="17"/>
  <c r="AL519" i="17" s="1"/>
  <c r="AK547" i="17"/>
  <c r="AL547" i="17" s="1"/>
  <c r="AK479" i="17"/>
  <c r="AL479" i="17" s="1"/>
  <c r="AK225" i="17"/>
  <c r="AL225" i="17" s="1"/>
  <c r="AK462" i="17"/>
  <c r="AL462" i="17" s="1"/>
  <c r="AK426" i="17"/>
  <c r="AL426" i="17" s="1"/>
  <c r="AK600" i="17"/>
  <c r="AL600" i="17" s="1"/>
  <c r="AK101" i="17"/>
  <c r="AL101" i="17" s="1"/>
  <c r="AK260" i="17"/>
  <c r="AL260" i="17" s="1"/>
  <c r="AK527" i="17"/>
  <c r="AL527" i="17" s="1"/>
  <c r="AK25" i="17"/>
  <c r="AL25" i="17" s="1"/>
  <c r="AK230" i="17"/>
  <c r="AL230" i="17" s="1"/>
  <c r="AK371" i="17"/>
  <c r="AL371" i="17" s="1"/>
  <c r="AK242" i="17"/>
  <c r="AL242" i="17" s="1"/>
  <c r="AK461" i="17"/>
  <c r="AL461" i="17" s="1"/>
  <c r="AK162" i="17"/>
  <c r="AL162" i="17" s="1"/>
  <c r="AK388" i="17"/>
  <c r="AL388" i="17" s="1"/>
  <c r="AK435" i="17"/>
  <c r="AL435" i="17" s="1"/>
  <c r="AK213" i="17"/>
  <c r="AL213" i="17" s="1"/>
  <c r="AK258" i="17"/>
  <c r="AL258" i="17" s="1"/>
  <c r="AK607" i="17"/>
  <c r="AL607" i="17" s="1"/>
  <c r="AK113" i="17"/>
  <c r="AL113" i="17" s="1"/>
  <c r="AK315" i="17"/>
  <c r="AL315" i="17" s="1"/>
  <c r="AK122" i="17"/>
  <c r="AL122" i="17" s="1"/>
  <c r="AK390" i="17"/>
  <c r="AL390" i="17" s="1"/>
  <c r="AK173" i="17"/>
  <c r="AL173" i="17" s="1"/>
  <c r="AK48" i="17"/>
  <c r="AL48" i="17" s="1"/>
  <c r="AK564" i="17"/>
  <c r="AL564" i="17" s="1"/>
  <c r="AK474" i="17"/>
  <c r="AL474" i="17" s="1"/>
  <c r="AK236" i="17"/>
  <c r="AL236" i="17" s="1"/>
  <c r="AK290" i="17"/>
  <c r="AL290" i="17" s="1"/>
  <c r="AK339" i="17"/>
  <c r="AL339" i="17" s="1"/>
  <c r="AK325" i="17"/>
  <c r="AL325" i="17" s="1"/>
  <c r="AK578" i="17"/>
  <c r="AL578" i="17" s="1"/>
  <c r="AK409" i="17"/>
  <c r="AL409" i="17" s="1"/>
  <c r="AK69" i="17"/>
  <c r="AL69" i="17" s="1"/>
  <c r="AK370" i="17"/>
  <c r="AL370" i="17" s="1"/>
  <c r="AK551" i="17"/>
  <c r="AL551" i="17" s="1"/>
  <c r="AK241" i="17"/>
  <c r="AL241" i="17" s="1"/>
  <c r="AK358" i="17"/>
  <c r="AL358" i="17" s="1"/>
  <c r="AK54" i="17"/>
  <c r="AL54" i="17" s="1"/>
  <c r="AK37" i="17"/>
  <c r="AL37" i="17" s="1"/>
  <c r="AK362" i="17"/>
  <c r="AL362" i="17" s="1"/>
  <c r="AK96" i="17"/>
  <c r="AL96" i="17" s="1"/>
  <c r="AK511" i="17"/>
  <c r="AL511" i="17" s="1"/>
  <c r="AK416" i="17"/>
  <c r="AL416" i="17" s="1"/>
  <c r="AK374" i="17"/>
  <c r="AL374" i="17" s="1"/>
  <c r="AK278" i="17"/>
  <c r="AL278" i="17" s="1"/>
  <c r="AK108" i="17"/>
  <c r="AL108" i="17" s="1"/>
  <c r="AK442" i="17"/>
  <c r="AL442" i="17" s="1"/>
  <c r="AK445" i="17"/>
  <c r="AL445" i="17" s="1"/>
  <c r="AK533" i="17"/>
  <c r="AL533" i="17" s="1"/>
  <c r="AK139" i="17"/>
  <c r="AL139" i="17" s="1"/>
  <c r="AK216" i="17"/>
  <c r="AL216" i="17" s="1"/>
  <c r="AK471" i="17"/>
  <c r="AL471" i="17" s="1"/>
  <c r="AK372" i="17"/>
  <c r="AL372" i="17" s="1"/>
  <c r="AK535" i="17"/>
  <c r="AL535" i="17" s="1"/>
  <c r="AK397" i="17"/>
  <c r="AL397" i="17" s="1"/>
  <c r="AK499" i="17"/>
  <c r="AL499" i="17" s="1"/>
  <c r="AK62" i="17"/>
  <c r="AL62" i="17" s="1"/>
  <c r="AK82" i="17"/>
  <c r="AL82" i="17" s="1"/>
  <c r="AK204" i="17"/>
  <c r="AL204" i="17" s="1"/>
  <c r="AK144" i="17"/>
  <c r="AL144" i="17" s="1"/>
  <c r="AK155" i="17"/>
  <c r="AL155" i="17" s="1"/>
  <c r="AK453" i="17"/>
  <c r="AL453" i="17" s="1"/>
  <c r="AK484" i="17"/>
  <c r="AL484" i="17" s="1"/>
  <c r="AK307" i="17"/>
  <c r="AL307" i="17" s="1"/>
  <c r="AK286" i="17"/>
  <c r="AL286" i="17" s="1"/>
  <c r="AK495" i="17"/>
  <c r="AL495" i="17" s="1"/>
  <c r="AK166" i="17"/>
  <c r="AL166" i="17" s="1"/>
  <c r="AK394" i="17"/>
  <c r="AL394" i="17" s="1"/>
  <c r="AK468" i="17"/>
  <c r="AL468" i="17" s="1"/>
  <c r="AK44" i="17"/>
  <c r="AL44" i="17" s="1"/>
  <c r="AK570" i="17"/>
  <c r="AL570" i="17" s="1"/>
  <c r="AK233" i="17"/>
  <c r="AL233" i="17" s="1"/>
  <c r="AK301" i="17"/>
  <c r="AL301" i="17" s="1"/>
  <c r="AK328" i="17"/>
  <c r="AL328" i="17" s="1"/>
  <c r="AK280" i="17"/>
  <c r="AL280" i="17" s="1"/>
  <c r="AK292" i="17"/>
  <c r="AL292" i="17" s="1"/>
  <c r="AK98" i="17"/>
  <c r="AL98" i="17" s="1"/>
  <c r="AK308" i="17"/>
  <c r="AL308" i="17" s="1"/>
  <c r="AK566" i="17"/>
  <c r="AL566" i="17" s="1"/>
  <c r="AK168" i="17"/>
  <c r="AL168" i="17" s="1"/>
  <c r="AK127" i="17"/>
  <c r="AL127" i="17" s="1"/>
  <c r="AK303" i="17"/>
  <c r="AL303" i="17" s="1"/>
  <c r="AK17" i="17"/>
  <c r="AL17" i="17" s="1"/>
  <c r="AK532" i="17"/>
  <c r="AL532" i="17" s="1"/>
  <c r="AK136" i="17"/>
  <c r="AL136" i="17" s="1"/>
  <c r="AK574" i="17"/>
  <c r="AL574" i="17" s="1"/>
  <c r="AK508" i="17"/>
  <c r="AL508" i="17" s="1"/>
  <c r="AK481" i="17"/>
  <c r="AL481" i="17" s="1"/>
  <c r="AK282" i="17"/>
  <c r="AL282" i="17" s="1"/>
  <c r="AK563" i="17"/>
  <c r="AL563" i="17" s="1"/>
  <c r="AK224" i="17"/>
  <c r="AL224" i="17" s="1"/>
  <c r="AK297" i="17"/>
  <c r="AL297" i="17" s="1"/>
  <c r="AK451" i="17"/>
  <c r="AL451" i="17" s="1"/>
  <c r="AK19" i="17"/>
  <c r="AL19" i="17" s="1"/>
  <c r="AK402" i="17"/>
  <c r="AL402" i="17" s="1"/>
  <c r="AK316" i="17"/>
  <c r="AL316" i="17" s="1"/>
  <c r="AK504" i="17"/>
  <c r="AL504" i="17" s="1"/>
  <c r="AK438" i="17"/>
  <c r="AL438" i="17" s="1"/>
  <c r="AK413" i="17"/>
  <c r="AL413" i="17" s="1"/>
  <c r="AK30" i="17"/>
  <c r="AL30" i="17" s="1"/>
  <c r="AK36" i="17"/>
  <c r="AL36" i="17" s="1"/>
  <c r="AK262" i="17"/>
  <c r="AL262" i="17" s="1"/>
  <c r="AK57" i="17"/>
  <c r="AL57" i="17" s="1"/>
  <c r="AK195" i="17"/>
  <c r="AL195" i="17" s="1"/>
  <c r="AK50" i="17"/>
  <c r="AL50" i="17" s="1"/>
  <c r="AK81" i="17"/>
  <c r="AL81" i="17" s="1"/>
  <c r="AK343" i="17"/>
  <c r="AL343" i="17" s="1"/>
  <c r="AK418" i="17"/>
  <c r="AL418" i="17" s="1"/>
  <c r="AK79" i="17"/>
  <c r="AL79" i="17" s="1"/>
  <c r="AK465" i="17"/>
  <c r="AL465" i="17" s="1"/>
  <c r="AK13" i="17"/>
  <c r="AK138" i="17"/>
  <c r="AL138" i="17" s="1"/>
  <c r="AK177" i="17"/>
  <c r="AL177" i="17" s="1"/>
  <c r="AK106" i="17"/>
  <c r="AL106" i="17" s="1"/>
  <c r="AK32" i="17"/>
  <c r="AL32" i="17" s="1"/>
  <c r="AK396" i="17"/>
  <c r="AL396" i="17" s="1"/>
  <c r="AK191" i="17"/>
  <c r="AL191" i="17" s="1"/>
  <c r="AK206" i="17"/>
  <c r="AL206" i="17" s="1"/>
  <c r="AK318" i="17"/>
  <c r="AL318" i="17" s="1"/>
  <c r="AK577" i="17"/>
  <c r="AL577" i="17" s="1"/>
  <c r="AK154" i="17"/>
  <c r="AL154" i="17" s="1"/>
  <c r="AK197" i="17"/>
  <c r="AL197" i="17" s="1"/>
  <c r="AK165" i="17"/>
  <c r="AL165" i="17" s="1"/>
  <c r="AK457" i="17"/>
  <c r="AL457" i="17" s="1"/>
  <c r="AK554" i="17"/>
  <c r="AL554" i="17" s="1"/>
  <c r="AK321" i="17"/>
  <c r="AL321" i="17" s="1"/>
  <c r="AK193" i="17"/>
  <c r="AL193" i="17" s="1"/>
  <c r="AK264" i="17"/>
  <c r="AL264" i="17" s="1"/>
  <c r="AK121" i="17"/>
  <c r="AL121" i="17" s="1"/>
  <c r="AK460" i="17"/>
  <c r="AL460" i="17" s="1"/>
  <c r="AK317" i="17"/>
  <c r="AL317" i="17" s="1"/>
  <c r="AK488" i="17"/>
  <c r="AL488" i="17" s="1"/>
  <c r="AK87" i="17"/>
  <c r="AL87" i="17" s="1"/>
  <c r="AK152" i="17"/>
  <c r="AL152" i="17" s="1"/>
  <c r="AK414" i="17"/>
  <c r="AL414" i="17" s="1"/>
  <c r="AK184" i="17"/>
  <c r="AL184" i="17" s="1"/>
  <c r="AK437" i="17"/>
  <c r="AL437" i="17" s="1"/>
  <c r="AK291" i="17"/>
  <c r="AL291" i="17" s="1"/>
  <c r="AK158" i="17"/>
  <c r="AL158" i="17" s="1"/>
  <c r="AK522" i="17"/>
  <c r="AL522" i="17" s="1"/>
  <c r="AK146" i="17"/>
  <c r="AL146" i="17" s="1"/>
  <c r="AK104" i="17"/>
  <c r="AL104" i="17" s="1"/>
  <c r="AK23" i="17"/>
  <c r="AL23" i="17" s="1"/>
  <c r="AK279" i="17"/>
  <c r="AL279" i="17" s="1"/>
  <c r="AK110" i="17"/>
  <c r="AL110" i="17" s="1"/>
  <c r="AK421" i="17"/>
  <c r="AL421" i="17" s="1"/>
  <c r="AK569" i="17"/>
  <c r="AL569" i="17" s="1"/>
  <c r="AK363" i="17"/>
  <c r="AL363" i="17" s="1"/>
  <c r="AK131" i="17"/>
  <c r="AL131" i="17" s="1"/>
  <c r="AK149" i="17"/>
  <c r="AL149" i="17" s="1"/>
  <c r="AK73" i="17"/>
  <c r="AL73" i="17" s="1"/>
  <c r="AK366" i="17"/>
  <c r="AL366" i="17" s="1"/>
  <c r="AK609" i="17"/>
  <c r="AL609" i="17" s="1"/>
  <c r="AK179" i="17"/>
  <c r="AL179" i="17" s="1"/>
  <c r="AK378" i="17"/>
  <c r="AL378" i="17" s="1"/>
  <c r="AK298" i="17"/>
  <c r="AL298" i="17" s="1"/>
  <c r="AK423" i="17"/>
  <c r="AL423" i="17" s="1"/>
  <c r="AK97" i="17"/>
  <c r="AL97" i="17" s="1"/>
  <c r="AK592" i="17"/>
  <c r="AL592" i="17" s="1"/>
  <c r="AK406" i="17"/>
  <c r="AL406" i="17" s="1"/>
  <c r="AK351" i="17"/>
  <c r="AL351" i="17" s="1"/>
  <c r="AK125" i="17"/>
  <c r="AL125" i="17" s="1"/>
  <c r="AK123" i="17"/>
  <c r="AL123" i="17" s="1"/>
  <c r="AK341" i="17"/>
  <c r="AL341" i="17" s="1"/>
  <c r="AK45" i="17"/>
  <c r="AL45" i="17" s="1"/>
  <c r="AK517" i="17"/>
  <c r="AL517" i="17" s="1"/>
  <c r="AK304" i="17"/>
  <c r="AL304" i="17" s="1"/>
  <c r="AK174" i="17"/>
  <c r="AL174" i="17" s="1"/>
  <c r="AK65" i="17"/>
  <c r="AL65" i="17" s="1"/>
  <c r="AK88" i="17"/>
  <c r="AL88" i="17" s="1"/>
  <c r="AK536" i="17"/>
  <c r="AL536" i="17" s="1"/>
  <c r="AK529" i="17"/>
  <c r="AL529" i="17" s="1"/>
  <c r="AK269" i="17"/>
  <c r="AL269" i="17" s="1"/>
  <c r="AK14" i="17"/>
  <c r="AL14" i="17" s="1"/>
  <c r="AK296" i="17"/>
  <c r="AL296" i="17" s="1"/>
  <c r="AK375" i="17"/>
  <c r="AL375" i="17" s="1"/>
  <c r="AK412" i="17"/>
  <c r="AL412" i="17" s="1"/>
  <c r="AK244" i="17"/>
  <c r="AL244" i="17" s="1"/>
  <c r="AK198" i="17"/>
  <c r="AL198" i="17" s="1"/>
  <c r="AK95" i="17"/>
  <c r="AL95" i="17" s="1"/>
  <c r="AK459" i="17"/>
  <c r="AL459" i="17" s="1"/>
  <c r="AK300" i="17"/>
  <c r="AL300" i="17" s="1"/>
  <c r="AK256" i="17"/>
  <c r="AL256" i="17" s="1"/>
  <c r="AK335" i="17"/>
  <c r="AL335" i="17" s="1"/>
  <c r="AK590" i="17"/>
  <c r="AL590" i="17" s="1"/>
  <c r="AK562" i="17"/>
  <c r="AL562" i="17" s="1"/>
  <c r="AK401" i="17"/>
  <c r="AL401" i="17" s="1"/>
  <c r="AK203" i="17"/>
  <c r="AL203" i="17" s="1"/>
  <c r="AK357" i="17"/>
  <c r="AL357" i="17" s="1"/>
  <c r="AK501" i="17"/>
  <c r="AL501" i="17" s="1"/>
  <c r="AK29" i="17"/>
  <c r="AL29" i="17" s="1"/>
  <c r="AK483" i="17"/>
  <c r="AL483" i="17" s="1"/>
  <c r="AK227" i="17"/>
  <c r="AL227" i="17" s="1"/>
  <c r="AK531" i="17"/>
  <c r="AL531" i="17" s="1"/>
  <c r="AK285" i="17"/>
  <c r="AL285" i="17" s="1"/>
  <c r="AK273" i="17"/>
  <c r="AL273" i="17" s="1"/>
  <c r="AK449" i="17"/>
  <c r="AL449" i="17" s="1"/>
  <c r="AK26" i="17"/>
  <c r="AL26" i="17" s="1"/>
  <c r="AK223" i="17"/>
  <c r="AL223" i="17" s="1"/>
  <c r="AK575" i="17"/>
  <c r="AL575" i="17" s="1"/>
  <c r="AK327" i="17"/>
  <c r="AL327" i="17" s="1"/>
  <c r="AK49" i="17"/>
  <c r="AL49" i="17" s="1"/>
  <c r="AK545" i="17"/>
  <c r="AL545" i="17" s="1"/>
  <c r="AK261" i="17"/>
  <c r="AL261" i="17" s="1"/>
  <c r="AK16" i="17"/>
  <c r="AL16" i="17" s="1"/>
  <c r="AK302" i="17"/>
  <c r="AL302" i="17" s="1"/>
  <c r="AK573" i="17"/>
  <c r="AL573" i="17" s="1"/>
  <c r="AK306" i="17"/>
  <c r="AL306" i="17" s="1"/>
  <c r="AK489" i="17"/>
  <c r="AL489" i="17" s="1"/>
  <c r="AK444" i="17"/>
  <c r="AL444" i="17" s="1"/>
  <c r="AK470" i="17"/>
  <c r="AL470" i="17" s="1"/>
  <c r="AK126" i="17"/>
  <c r="AL126" i="17" s="1"/>
  <c r="AK523" i="17"/>
  <c r="AL523" i="17" s="1"/>
  <c r="AK129" i="17"/>
  <c r="AL129" i="17" s="1"/>
  <c r="AK565" i="17"/>
  <c r="AL565" i="17" s="1"/>
  <c r="AK194" i="17"/>
  <c r="AL194" i="17" s="1"/>
  <c r="AK400" i="17"/>
  <c r="AL400" i="17" s="1"/>
  <c r="AK541" i="17"/>
  <c r="AL541" i="17" s="1"/>
  <c r="AK243" i="17"/>
  <c r="AL243" i="17" s="1"/>
  <c r="AK534" i="17"/>
  <c r="AL534" i="17" s="1"/>
  <c r="AK311" i="17"/>
  <c r="AL311" i="17" s="1"/>
  <c r="AK505" i="17"/>
  <c r="AL505" i="17" s="1"/>
  <c r="AK33" i="17"/>
  <c r="AL33" i="17" s="1"/>
  <c r="AK613" i="17"/>
  <c r="AL613" i="17" s="1"/>
  <c r="AK612" i="17"/>
  <c r="AL612" i="17" s="1"/>
  <c r="AK329" i="17"/>
  <c r="AL329" i="17" s="1"/>
  <c r="AK207" i="17"/>
  <c r="AL207" i="17" s="1"/>
  <c r="AK491" i="17"/>
  <c r="AL491" i="17" s="1"/>
  <c r="AK595" i="17"/>
  <c r="AL595" i="17" s="1"/>
  <c r="AK178" i="17"/>
  <c r="AL178" i="17" s="1"/>
  <c r="AK86" i="17"/>
  <c r="AL86" i="17" s="1"/>
  <c r="AK360" i="17"/>
  <c r="AL360" i="17" s="1"/>
  <c r="AK493" i="17"/>
  <c r="AL493" i="17" s="1"/>
  <c r="AK543" i="17"/>
  <c r="AL543" i="17" s="1"/>
  <c r="AK387" i="17"/>
  <c r="AL387" i="17" s="1"/>
  <c r="AK119" i="17"/>
  <c r="AL119" i="17" s="1"/>
  <c r="AK349" i="17"/>
  <c r="AL349" i="17" s="1"/>
  <c r="AK428" i="17"/>
  <c r="AL428" i="17" s="1"/>
  <c r="AK571" i="17"/>
  <c r="AL571" i="17" s="1"/>
  <c r="AK72" i="17"/>
  <c r="AL72" i="17" s="1"/>
  <c r="AK320" i="17"/>
  <c r="AL320" i="17" s="1"/>
  <c r="AK434" i="17"/>
  <c r="AL434" i="17" s="1"/>
  <c r="AK83" i="17"/>
  <c r="AL83" i="17" s="1"/>
  <c r="AK31" i="17"/>
  <c r="AL31" i="17" s="1"/>
  <c r="AK234" i="17"/>
  <c r="AL234" i="17" s="1"/>
  <c r="AK385" i="17"/>
  <c r="AL385" i="17" s="1"/>
  <c r="AK271" i="17"/>
  <c r="AL271" i="17" s="1"/>
  <c r="AK525" i="17"/>
  <c r="AL525" i="17" s="1"/>
  <c r="AK332" i="17"/>
  <c r="AL332" i="17" s="1"/>
  <c r="AK153" i="17"/>
  <c r="AL153" i="17" s="1"/>
  <c r="AK567" i="17"/>
  <c r="AL567" i="17" s="1"/>
  <c r="AK235" i="17"/>
  <c r="AL235" i="17" s="1"/>
  <c r="AK389" i="17"/>
  <c r="AL389" i="17" s="1"/>
  <c r="AK611" i="17"/>
  <c r="AL611" i="17" s="1"/>
  <c r="AK128" i="17"/>
  <c r="AL128" i="17" s="1"/>
  <c r="AK606" i="17"/>
  <c r="AL606" i="17" s="1"/>
  <c r="AK259" i="17"/>
  <c r="AL259" i="17" s="1"/>
  <c r="AK305" i="17"/>
  <c r="AL305" i="17" s="1"/>
  <c r="AK117" i="17"/>
  <c r="AL117" i="17" s="1"/>
  <c r="AK172" i="17"/>
  <c r="AL172" i="17" s="1"/>
  <c r="AK220" i="17"/>
  <c r="AL220" i="17" s="1"/>
  <c r="AK473" i="17"/>
  <c r="AL473" i="17" s="1"/>
  <c r="AK159" i="17"/>
  <c r="AL159" i="17" s="1"/>
  <c r="AK164" i="17"/>
  <c r="AL164" i="17" s="1"/>
  <c r="AK350" i="17"/>
  <c r="AL350" i="17" s="1"/>
  <c r="AK112" i="17"/>
  <c r="AL112" i="17" s="1"/>
  <c r="AK324" i="17"/>
  <c r="AL324" i="17" s="1"/>
  <c r="AK212" i="17"/>
  <c r="AL212" i="17" s="1"/>
  <c r="AK218" i="17"/>
  <c r="AL218" i="17" s="1"/>
  <c r="AK599" i="17"/>
  <c r="AL599" i="17" s="1"/>
  <c r="AK133" i="17"/>
  <c r="AL133" i="17" s="1"/>
  <c r="AK47" i="17"/>
  <c r="AL47" i="17" s="1"/>
  <c r="AK229" i="17"/>
  <c r="AL229" i="17" s="1"/>
  <c r="AK425" i="17"/>
  <c r="AL425" i="17" s="1"/>
  <c r="AK347" i="17"/>
  <c r="AL347" i="17" s="1"/>
  <c r="AK161" i="17"/>
  <c r="AL161" i="17" s="1"/>
  <c r="AK257" i="17"/>
  <c r="AL257" i="17" s="1"/>
  <c r="AK560" i="17"/>
  <c r="AL560" i="17" s="1"/>
  <c r="AK314" i="17"/>
  <c r="AL314" i="17" s="1"/>
  <c r="AK338" i="17"/>
  <c r="AL338" i="17" s="1"/>
  <c r="AK337" i="17"/>
  <c r="AL337" i="17" s="1"/>
  <c r="AK441" i="17"/>
  <c r="AL441" i="17" s="1"/>
  <c r="AK323" i="17"/>
  <c r="AL323" i="17" s="1"/>
  <c r="AK222" i="17"/>
  <c r="AL222" i="17" s="1"/>
  <c r="AK373" i="17"/>
  <c r="AL373" i="17" s="1"/>
  <c r="AK38" i="17"/>
  <c r="AL38" i="17" s="1"/>
  <c r="AK22" i="17"/>
  <c r="AL22" i="17" s="1"/>
  <c r="AK518" i="17"/>
  <c r="AL518" i="17" s="1"/>
  <c r="AK109" i="17"/>
  <c r="AL109" i="17" s="1"/>
  <c r="AK103" i="17"/>
  <c r="AL103" i="17" s="1"/>
  <c r="AK150" i="17"/>
  <c r="AL150" i="17" s="1"/>
  <c r="AK377" i="17"/>
  <c r="AL377" i="17" s="1"/>
  <c r="AK248" i="17"/>
  <c r="AL248" i="17" s="1"/>
  <c r="AK404" i="17"/>
  <c r="AL404" i="17" s="1"/>
  <c r="AK53" i="17"/>
  <c r="AL53" i="17" s="1"/>
  <c r="AK151" i="17"/>
  <c r="AL151" i="17" s="1"/>
  <c r="AK346" i="17"/>
  <c r="AL346" i="17" s="1"/>
  <c r="AK500" i="17"/>
  <c r="AL500" i="17" s="1"/>
  <c r="AK299" i="17"/>
  <c r="AL299" i="17" s="1"/>
  <c r="AK107" i="17"/>
  <c r="AL107" i="17" s="1"/>
  <c r="AK283" i="17"/>
  <c r="AL283" i="17" s="1"/>
  <c r="AK436" i="17"/>
  <c r="AL436" i="17" s="1"/>
  <c r="AK249" i="17"/>
  <c r="AL249" i="17" s="1"/>
  <c r="AK581" i="17"/>
  <c r="AL581" i="17" s="1"/>
  <c r="AK170" i="17"/>
  <c r="AL170" i="17" s="1"/>
  <c r="AK120" i="17"/>
  <c r="AL120" i="17" s="1"/>
  <c r="AK239" i="17"/>
  <c r="AL239" i="17" s="1"/>
  <c r="AK544" i="17"/>
  <c r="AL544" i="17" s="1"/>
  <c r="AK526" i="17"/>
  <c r="AL526" i="17" s="1"/>
  <c r="AK105" i="17"/>
  <c r="AL105" i="17" s="1"/>
  <c r="AK226" i="17"/>
  <c r="AL226" i="17" s="1"/>
  <c r="AK217" i="17"/>
  <c r="AL217" i="17" s="1"/>
  <c r="AK251" i="17"/>
  <c r="AL251" i="17" s="1"/>
  <c r="AK405" i="17"/>
  <c r="AL405" i="17" s="1"/>
  <c r="AK608" i="17"/>
  <c r="AL608" i="17" s="1"/>
  <c r="AK369" i="17"/>
  <c r="AL369" i="17" s="1"/>
  <c r="AK68" i="17"/>
  <c r="AL68" i="17" s="1"/>
  <c r="AK209" i="17"/>
  <c r="AL209" i="17" s="1"/>
  <c r="AK84" i="17"/>
  <c r="AL84" i="17" s="1"/>
  <c r="AK181" i="17"/>
  <c r="AL181" i="17" s="1"/>
  <c r="AK410" i="17"/>
  <c r="AL410" i="17" s="1"/>
  <c r="AK24" i="17"/>
  <c r="AL24" i="17" s="1"/>
  <c r="AK252" i="17"/>
  <c r="AL252" i="17" s="1"/>
  <c r="AK584" i="17"/>
  <c r="AL584" i="17" s="1"/>
  <c r="AK487" i="17"/>
  <c r="AL487" i="17" s="1"/>
  <c r="AK456" i="17"/>
  <c r="AL456" i="17" s="1"/>
  <c r="AK196" i="17"/>
  <c r="AL196" i="17" s="1"/>
  <c r="AK382" i="17"/>
  <c r="AL382" i="17" s="1"/>
  <c r="AK276" i="17"/>
  <c r="AL276" i="17" s="1"/>
  <c r="AK15" i="17"/>
  <c r="AL15" i="17" s="1"/>
  <c r="AK393" i="17"/>
  <c r="AL393" i="17" s="1"/>
  <c r="AK274" i="17"/>
  <c r="AL274" i="17" s="1"/>
  <c r="AK512" i="17"/>
  <c r="AL512" i="17" s="1"/>
  <c r="AK521" i="17"/>
  <c r="AL521" i="17" s="1"/>
  <c r="AK289" i="17"/>
  <c r="AL289" i="17" s="1"/>
  <c r="AK293" i="17"/>
  <c r="AL293" i="17" s="1"/>
  <c r="AK361" i="17"/>
  <c r="AL361" i="17" s="1"/>
  <c r="AK379" i="17"/>
  <c r="AL379" i="17" s="1"/>
  <c r="AK588" i="17"/>
  <c r="AL588" i="17" s="1"/>
  <c r="AK510" i="17"/>
  <c r="AL510" i="17" s="1"/>
  <c r="AK364" i="17"/>
  <c r="AL364" i="17" s="1"/>
  <c r="AK342" i="17"/>
  <c r="AL342" i="17" s="1"/>
  <c r="AK141" i="17"/>
  <c r="AL141" i="17" s="1"/>
  <c r="AK443" i="17"/>
  <c r="AL443" i="17" s="1"/>
  <c r="AK345" i="17"/>
  <c r="AL345" i="17" s="1"/>
  <c r="AK503" i="17"/>
  <c r="AL503" i="17" s="1"/>
  <c r="AK180" i="17"/>
  <c r="AL180" i="17" s="1"/>
  <c r="AK515" i="17"/>
  <c r="AL515" i="17" s="1"/>
  <c r="AK381" i="17"/>
  <c r="AL381" i="17" s="1"/>
  <c r="AK43" i="17"/>
  <c r="AL43" i="17" s="1"/>
  <c r="AK313" i="17"/>
  <c r="AL313" i="17" s="1"/>
  <c r="AK74" i="17"/>
  <c r="AL74" i="17" s="1"/>
  <c r="AK601" i="17"/>
  <c r="AL601" i="17" s="1"/>
  <c r="AK175" i="17"/>
  <c r="AL175" i="17" s="1"/>
  <c r="AK480" i="17"/>
  <c r="AL480" i="17" s="1"/>
  <c r="AK89" i="17"/>
  <c r="AL89" i="17" s="1"/>
  <c r="AK334" i="17"/>
  <c r="AL334" i="17" s="1"/>
  <c r="AK281" i="17"/>
  <c r="AL281" i="17" s="1"/>
  <c r="AK93" i="17"/>
  <c r="AL93" i="17" s="1"/>
  <c r="AK192" i="17"/>
  <c r="AL192" i="17" s="1"/>
  <c r="AK452" i="17"/>
  <c r="AL452" i="17" s="1"/>
  <c r="AK163" i="17"/>
  <c r="AL163" i="17" s="1"/>
  <c r="AK75" i="17"/>
  <c r="AL75" i="17" s="1"/>
  <c r="AK59" i="17"/>
  <c r="AL59" i="17" s="1"/>
  <c r="AK188" i="17"/>
  <c r="AL188" i="17" s="1"/>
  <c r="AK572" i="17"/>
  <c r="AL572" i="17" s="1"/>
  <c r="AK18" i="17"/>
  <c r="AL18" i="17" s="1"/>
  <c r="AK266" i="17"/>
  <c r="AL266" i="17" s="1"/>
  <c r="AK586" i="17"/>
  <c r="AL586" i="17" s="1"/>
  <c r="AK245" i="17"/>
  <c r="AL245" i="17" s="1"/>
  <c r="AK478" i="17"/>
  <c r="AL478" i="17" s="1"/>
  <c r="AK448" i="17"/>
  <c r="AL448" i="17" s="1"/>
  <c r="AK604" i="17"/>
  <c r="AL604" i="17" s="1"/>
  <c r="AK147" i="17"/>
  <c r="AL147" i="17" s="1"/>
  <c r="AK284" i="17"/>
  <c r="AL284" i="17" s="1"/>
  <c r="AK552" i="17"/>
  <c r="AL552" i="17" s="1"/>
  <c r="AK455" i="17"/>
  <c r="AL455" i="17" s="1"/>
  <c r="AK424" i="17"/>
  <c r="AL424" i="17" s="1"/>
  <c r="AK466" i="17"/>
  <c r="AL466" i="17" s="1"/>
  <c r="AK135" i="17"/>
  <c r="AL135" i="17" s="1"/>
  <c r="AK496" i="17"/>
  <c r="AL496" i="17" s="1"/>
  <c r="AK99" i="17"/>
  <c r="AL99" i="17" s="1"/>
  <c r="AK63" i="17"/>
  <c r="AL63" i="17" s="1"/>
  <c r="AK475" i="17"/>
  <c r="AL475" i="17" s="1"/>
  <c r="AK34" i="17"/>
  <c r="AL34" i="17" s="1"/>
  <c r="AK80" i="17"/>
  <c r="AL80" i="17" s="1"/>
  <c r="AK367" i="17"/>
  <c r="AL367" i="17" s="1"/>
  <c r="AK189" i="17"/>
  <c r="AL189" i="17" s="1"/>
  <c r="AK71" i="17"/>
  <c r="AL71" i="17" s="1"/>
  <c r="AK77" i="17"/>
  <c r="AL77" i="17" s="1"/>
  <c r="AK67" i="17"/>
  <c r="AL67" i="17" s="1"/>
  <c r="AK309" i="17"/>
  <c r="AL309" i="17" s="1"/>
  <c r="AK446" i="17"/>
  <c r="AL446" i="17" s="1"/>
  <c r="AK537" i="17"/>
  <c r="AL537" i="17" s="1"/>
  <c r="AK142" i="17"/>
  <c r="AL142" i="17" s="1"/>
  <c r="AK111" i="17"/>
  <c r="AL111" i="17" s="1"/>
  <c r="AK597" i="17"/>
  <c r="AL597" i="17" s="1"/>
  <c r="AK482" i="17"/>
  <c r="AL482" i="17" s="1"/>
  <c r="AK247" i="17"/>
  <c r="AL247" i="17" s="1"/>
  <c r="AK167" i="17"/>
  <c r="AL167" i="17" s="1"/>
  <c r="AK447" i="17"/>
  <c r="AL447" i="17" s="1"/>
  <c r="AK214" i="17"/>
  <c r="AL214" i="17" s="1"/>
  <c r="AK330" i="17"/>
  <c r="AL330" i="17" s="1"/>
  <c r="AK610" i="17"/>
  <c r="AL610" i="17" s="1"/>
  <c r="AK507" i="17"/>
  <c r="AL507" i="17" s="1"/>
  <c r="AK556" i="17"/>
  <c r="AL556" i="17" s="1"/>
  <c r="AK250" i="17"/>
  <c r="AL250" i="17" s="1"/>
  <c r="AK558" i="17"/>
  <c r="AL558" i="17" s="1"/>
  <c r="AK429" i="17"/>
  <c r="AL429" i="17" s="1"/>
  <c r="AK353" i="17"/>
  <c r="AL353" i="17" s="1"/>
  <c r="AK21" i="17"/>
  <c r="AL21" i="17" s="1"/>
  <c r="AK42" i="17"/>
  <c r="AL42" i="17" s="1"/>
  <c r="AK344" i="17"/>
  <c r="AL344" i="17" s="1"/>
  <c r="AK28" i="17"/>
  <c r="AL28" i="17" s="1"/>
  <c r="AK137" i="17"/>
  <c r="AL137" i="17" s="1"/>
  <c r="AK477" i="17"/>
  <c r="AL477" i="17" s="1"/>
  <c r="AK579" i="17"/>
  <c r="AL579" i="17" s="1"/>
  <c r="AK205" i="17"/>
  <c r="AL205" i="17" s="1"/>
  <c r="AK39" i="17"/>
  <c r="AL39" i="17" s="1"/>
  <c r="AK52" i="17"/>
  <c r="AL52" i="17" s="1"/>
  <c r="AK78" i="17"/>
  <c r="AL78" i="17" s="1"/>
  <c r="AK598" i="17"/>
  <c r="AL598" i="17" s="1"/>
  <c r="AK200" i="17"/>
  <c r="AL200" i="17" s="1"/>
  <c r="AK439" i="17"/>
  <c r="AL439" i="17" s="1"/>
  <c r="AK472" i="17"/>
  <c r="AL472" i="17" s="1"/>
  <c r="AK132" i="17"/>
  <c r="AL132" i="17" s="1"/>
  <c r="AK420" i="17"/>
  <c r="AL420" i="17" s="1"/>
  <c r="AK183" i="17"/>
  <c r="AL183" i="17" s="1"/>
  <c r="AK580" i="17"/>
  <c r="AL580" i="17" s="1"/>
  <c r="AK91" i="17"/>
  <c r="AL91" i="17" s="1"/>
  <c r="AK422" i="17"/>
  <c r="AL422" i="17" s="1"/>
  <c r="AK408" i="17"/>
  <c r="AL408" i="17" s="1"/>
  <c r="AK115" i="17"/>
  <c r="AL115" i="17" s="1"/>
  <c r="AK463" i="17"/>
  <c r="AL463" i="17" s="1"/>
  <c r="AK124" i="17"/>
  <c r="AL124" i="17" s="1"/>
  <c r="AK398" i="17"/>
  <c r="AL398" i="17" s="1"/>
  <c r="AK176" i="17"/>
  <c r="AL176" i="17" s="1"/>
  <c r="AK548" i="17"/>
  <c r="AL548" i="17" s="1"/>
  <c r="AK171" i="17"/>
  <c r="AL171" i="17" s="1"/>
  <c r="AK469" i="17"/>
  <c r="AL469" i="17" s="1"/>
  <c r="AK61" i="17"/>
  <c r="AL61" i="17" s="1"/>
  <c r="AK602" i="17"/>
  <c r="AL602" i="17" s="1"/>
  <c r="AK354" i="17"/>
  <c r="AL354" i="17" s="1"/>
  <c r="AK157" i="17"/>
  <c r="AL157" i="17" s="1"/>
  <c r="AK430" i="17"/>
  <c r="AL430" i="17" s="1"/>
  <c r="AK591" i="17"/>
  <c r="AL591" i="17" s="1"/>
  <c r="AK143" i="17"/>
  <c r="AL143" i="17" s="1"/>
  <c r="AK287" i="17"/>
  <c r="AL287" i="17" s="1"/>
  <c r="AK391" i="17"/>
  <c r="AL391" i="17" s="1"/>
  <c r="AK498" i="17"/>
  <c r="AL498" i="17" s="1"/>
  <c r="AK231" i="17"/>
  <c r="AL231" i="17" s="1"/>
  <c r="AK383" i="17"/>
  <c r="AL383" i="17" s="1"/>
  <c r="AK431" i="17"/>
  <c r="AL431" i="17" s="1"/>
  <c r="AK550" i="17"/>
  <c r="AL550" i="17" s="1"/>
  <c r="AK415" i="17"/>
  <c r="AL415" i="17" s="1"/>
  <c r="AK55" i="17"/>
  <c r="AL55" i="17" s="1"/>
  <c r="AK253" i="17"/>
  <c r="AL253" i="17" s="1"/>
  <c r="AK240" i="17"/>
  <c r="AL240" i="17" s="1"/>
  <c r="AK494" i="17"/>
  <c r="AL494" i="17" s="1"/>
  <c r="AK582" i="17"/>
  <c r="AL582" i="17" s="1"/>
  <c r="X627" i="17"/>
  <c r="Y627" i="17" s="1"/>
  <c r="AI468" i="17"/>
  <c r="AJ468" i="17" s="1"/>
  <c r="AI390" i="17"/>
  <c r="AJ390" i="17" s="1"/>
  <c r="AI85" i="17"/>
  <c r="AJ85" i="17" s="1"/>
  <c r="AI21" i="17"/>
  <c r="AJ21" i="17" s="1"/>
  <c r="AI292" i="17"/>
  <c r="AJ292" i="17" s="1"/>
  <c r="AI613" i="17"/>
  <c r="AJ613" i="17" s="1"/>
  <c r="AI299" i="17"/>
  <c r="AJ299" i="17" s="1"/>
  <c r="AI329" i="17"/>
  <c r="AJ329" i="17" s="1"/>
  <c r="AI17" i="17"/>
  <c r="AJ17" i="17" s="1"/>
  <c r="AI109" i="17"/>
  <c r="AJ109" i="17" s="1"/>
  <c r="AI237" i="17"/>
  <c r="AJ237" i="17" s="1"/>
  <c r="AI129" i="17"/>
  <c r="AJ129" i="17" s="1"/>
  <c r="AI584" i="17"/>
  <c r="AJ584" i="17" s="1"/>
  <c r="AI487" i="17"/>
  <c r="AJ487" i="17" s="1"/>
  <c r="AI429" i="17"/>
  <c r="AJ429" i="17" s="1"/>
  <c r="AI116" i="17"/>
  <c r="AJ116" i="17" s="1"/>
  <c r="AI257" i="17"/>
  <c r="AJ257" i="17" s="1"/>
  <c r="AI223" i="17"/>
  <c r="AJ223" i="17" s="1"/>
  <c r="AB625" i="17"/>
  <c r="AI216" i="17"/>
  <c r="AJ216" i="17" s="1"/>
  <c r="AI123" i="17"/>
  <c r="AJ123" i="17" s="1"/>
  <c r="AI226" i="17"/>
  <c r="AJ226" i="17" s="1"/>
  <c r="AI511" i="17"/>
  <c r="AJ511" i="17" s="1"/>
  <c r="AI422" i="17"/>
  <c r="AJ422" i="17" s="1"/>
  <c r="AI114" i="17"/>
  <c r="AJ114" i="17" s="1"/>
  <c r="AI315" i="17"/>
  <c r="AJ315" i="17" s="1"/>
  <c r="AI259" i="17"/>
  <c r="AJ259" i="17" s="1"/>
  <c r="AI499" i="17"/>
  <c r="AJ499" i="17" s="1"/>
  <c r="AI256" i="17"/>
  <c r="AJ256" i="17" s="1"/>
  <c r="AI437" i="17"/>
  <c r="AJ437" i="17" s="1"/>
  <c r="AI353" i="17"/>
  <c r="AJ353" i="17" s="1"/>
  <c r="AI454" i="17"/>
  <c r="AJ454" i="17" s="1"/>
  <c r="AI55" i="17"/>
  <c r="AJ55" i="17" s="1"/>
  <c r="AI405" i="17"/>
  <c r="AJ405" i="17" s="1"/>
  <c r="AI269" i="17"/>
  <c r="AJ269" i="17" s="1"/>
  <c r="AI68" i="17"/>
  <c r="AJ68" i="17" s="1"/>
  <c r="AI105" i="17"/>
  <c r="AJ105" i="17" s="1"/>
  <c r="AI32" i="17"/>
  <c r="AJ32" i="17" s="1"/>
  <c r="AI449" i="17"/>
  <c r="AJ449" i="17" s="1"/>
  <c r="AI385" i="17"/>
  <c r="AJ385" i="17" s="1"/>
  <c r="AI147" i="17"/>
  <c r="AJ147" i="17" s="1"/>
  <c r="AI488" i="17"/>
  <c r="AJ488" i="17" s="1"/>
  <c r="AI341" i="17"/>
  <c r="AJ341" i="17" s="1"/>
  <c r="AI540" i="17"/>
  <c r="AJ540" i="17" s="1"/>
  <c r="AI263" i="17"/>
  <c r="AJ263" i="17" s="1"/>
  <c r="AI507" i="17"/>
  <c r="AJ507" i="17" s="1"/>
  <c r="AI97" i="17"/>
  <c r="AJ97" i="17" s="1"/>
  <c r="AI64" i="17"/>
  <c r="AJ64" i="17" s="1"/>
  <c r="AI527" i="17"/>
  <c r="AJ527" i="17" s="1"/>
  <c r="AI555" i="17"/>
  <c r="AJ555" i="17" s="1"/>
  <c r="AI445" i="17"/>
  <c r="AJ445" i="17" s="1"/>
  <c r="AI400" i="17"/>
  <c r="AJ400" i="17" s="1"/>
  <c r="AI514" i="17"/>
  <c r="AJ514" i="17" s="1"/>
  <c r="AI333" i="17"/>
  <c r="AJ333" i="17" s="1"/>
  <c r="AI342" i="17"/>
  <c r="AJ342" i="17" s="1"/>
  <c r="AI525" i="17"/>
  <c r="AJ525" i="17" s="1"/>
  <c r="AI234" i="17"/>
  <c r="AJ234" i="17" s="1"/>
  <c r="AI253" i="17"/>
  <c r="AJ253" i="17" s="1"/>
  <c r="AI143" i="17"/>
  <c r="AJ143" i="17" s="1"/>
  <c r="AI490" i="17"/>
  <c r="AJ490" i="17" s="1"/>
  <c r="AI369" i="17"/>
  <c r="AJ369" i="17" s="1"/>
  <c r="AI419" i="17"/>
  <c r="AJ419" i="17" s="1"/>
  <c r="AI307" i="17"/>
  <c r="AJ307" i="17" s="1"/>
  <c r="AI81" i="17"/>
  <c r="AJ81" i="17" s="1"/>
  <c r="AI471" i="17"/>
  <c r="AJ471" i="17" s="1"/>
  <c r="AI537" i="17"/>
  <c r="AJ537" i="17" s="1"/>
  <c r="AI241" i="17"/>
  <c r="AJ241" i="17" s="1"/>
  <c r="AI551" i="17"/>
  <c r="AJ551" i="17" s="1"/>
  <c r="AI383" i="17"/>
  <c r="AJ383" i="17" s="1"/>
  <c r="AI331" i="17"/>
  <c r="AJ331" i="17" s="1"/>
  <c r="AI274" i="17"/>
  <c r="AJ274" i="17" s="1"/>
  <c r="AI47" i="17"/>
  <c r="AJ47" i="17" s="1"/>
  <c r="AI567" i="17"/>
  <c r="AJ567" i="17" s="1"/>
  <c r="AI413" i="17"/>
  <c r="AJ413" i="17" s="1"/>
  <c r="AI322" i="17"/>
  <c r="AJ322" i="17" s="1"/>
  <c r="AI151" i="17"/>
  <c r="AJ151" i="17" s="1"/>
  <c r="AI539" i="17"/>
  <c r="AJ539" i="17" s="1"/>
  <c r="AI170" i="17"/>
  <c r="AJ170" i="17" s="1"/>
  <c r="AI27" i="17"/>
  <c r="AJ27" i="17" s="1"/>
  <c r="AI231" i="17"/>
  <c r="AJ231" i="17" s="1"/>
  <c r="AI16" i="17"/>
  <c r="AJ16" i="17" s="1"/>
  <c r="AI175" i="17"/>
  <c r="AJ175" i="17" s="1"/>
  <c r="AI466" i="17"/>
  <c r="AJ466" i="17" s="1"/>
  <c r="AI60" i="17"/>
  <c r="AJ60" i="17" s="1"/>
  <c r="AI28" i="17"/>
  <c r="AJ28" i="17" s="1"/>
  <c r="AI304" i="17"/>
  <c r="AJ304" i="17" s="1"/>
  <c r="AI195" i="17"/>
  <c r="AJ195" i="17" s="1"/>
  <c r="X624" i="17"/>
  <c r="Y624" i="17" s="1"/>
  <c r="X625" i="17"/>
  <c r="Y625" i="17" s="1"/>
  <c r="E635" i="17"/>
  <c r="AI372" i="17"/>
  <c r="AJ372" i="17" s="1"/>
  <c r="AI280" i="17"/>
  <c r="AJ280" i="17" s="1"/>
  <c r="AI590" i="17"/>
  <c r="AJ590" i="17" s="1"/>
  <c r="AI71" i="17"/>
  <c r="AJ71" i="17" s="1"/>
  <c r="AI493" i="17"/>
  <c r="AJ493" i="17" s="1"/>
  <c r="AI319" i="17"/>
  <c r="AJ319" i="17" s="1"/>
  <c r="AI73" i="17"/>
  <c r="AJ73" i="17" s="1"/>
  <c r="AI111" i="17"/>
  <c r="AJ111" i="17" s="1"/>
  <c r="AI131" i="17"/>
  <c r="AJ131" i="17" s="1"/>
  <c r="AI427" i="17"/>
  <c r="AJ427" i="17" s="1"/>
  <c r="AI298" i="17"/>
  <c r="AJ298" i="17" s="1"/>
  <c r="W627" i="17"/>
  <c r="W624" i="17"/>
  <c r="D634" i="17" s="1"/>
  <c r="W625" i="17"/>
  <c r="D635" i="17" s="1"/>
  <c r="AI394" i="17"/>
  <c r="AJ394" i="17" s="1"/>
  <c r="AI72" i="17"/>
  <c r="AJ72" i="17" s="1"/>
  <c r="AI378" i="17"/>
  <c r="AJ378" i="17" s="1"/>
  <c r="AI246" i="17"/>
  <c r="AJ246" i="17" s="1"/>
  <c r="AI80" i="17"/>
  <c r="AJ80" i="17" s="1"/>
  <c r="AI305" i="17"/>
  <c r="AJ305" i="17" s="1"/>
  <c r="AI348" i="17"/>
  <c r="AJ348" i="17" s="1"/>
  <c r="AI411" i="17"/>
  <c r="AJ411" i="17" s="1"/>
  <c r="AI276" i="17"/>
  <c r="AJ276" i="17" s="1"/>
  <c r="AI472" i="17"/>
  <c r="AJ472" i="17" s="1"/>
  <c r="AI63" i="17"/>
  <c r="AJ63" i="17" s="1"/>
  <c r="AI477" i="17"/>
  <c r="AJ477" i="17" s="1"/>
  <c r="AI475" i="17"/>
  <c r="AJ475" i="17" s="1"/>
  <c r="AI347" i="17"/>
  <c r="AJ347" i="17" s="1"/>
  <c r="AI447" i="17"/>
  <c r="AJ447" i="17" s="1"/>
  <c r="AI513" i="17"/>
  <c r="AJ513" i="17" s="1"/>
  <c r="AI586" i="17"/>
  <c r="AJ586" i="17" s="1"/>
  <c r="AI476" i="17"/>
  <c r="AJ476" i="17" s="1"/>
  <c r="AI371" i="17"/>
  <c r="AJ371" i="17" s="1"/>
  <c r="AI431" i="17"/>
  <c r="AJ431" i="17" s="1"/>
  <c r="AI140" i="17"/>
  <c r="AJ140" i="17" s="1"/>
  <c r="AI349" i="17"/>
  <c r="AJ349" i="17" s="1"/>
  <c r="AI316" i="17"/>
  <c r="AJ316" i="17" s="1"/>
  <c r="AI232" i="17"/>
  <c r="AJ232" i="17" s="1"/>
  <c r="AI296" i="17"/>
  <c r="AJ296" i="17" s="1"/>
  <c r="AI535" i="17"/>
  <c r="AJ535" i="17" s="1"/>
  <c r="AI139" i="17"/>
  <c r="AJ139" i="17" s="1"/>
  <c r="AI439" i="17"/>
  <c r="AJ439" i="17" s="1"/>
  <c r="AI503" i="17"/>
  <c r="AJ503" i="17" s="1"/>
  <c r="AI303" i="17"/>
  <c r="AJ303" i="17" s="1"/>
  <c r="AI290" i="17"/>
  <c r="AJ290" i="17" s="1"/>
  <c r="AI301" i="17"/>
  <c r="AJ301" i="17" s="1"/>
  <c r="AI239" i="17"/>
  <c r="AJ239" i="17" s="1"/>
  <c r="AI375" i="17"/>
  <c r="AJ375" i="17" s="1"/>
  <c r="AI407" i="17"/>
  <c r="AJ407" i="17" s="1"/>
  <c r="AI587" i="17"/>
  <c r="AJ587" i="17" s="1"/>
  <c r="AI158" i="17"/>
  <c r="AJ158" i="17" s="1"/>
  <c r="AI57" i="17"/>
  <c r="AJ57" i="17" s="1"/>
  <c r="AI67" i="17"/>
  <c r="AJ67" i="17" s="1"/>
  <c r="AI344" i="17"/>
  <c r="AJ344" i="17" s="1"/>
  <c r="AI258" i="17"/>
  <c r="AJ258" i="17" s="1"/>
  <c r="AI251" i="17"/>
  <c r="AJ251" i="17" s="1"/>
  <c r="AI504" i="17"/>
  <c r="AJ504" i="17" s="1"/>
  <c r="AI566" i="17"/>
  <c r="AJ566" i="17" s="1"/>
  <c r="AI399" i="17"/>
  <c r="AJ399" i="17" s="1"/>
  <c r="AI112" i="17"/>
  <c r="AJ112" i="17" s="1"/>
  <c r="AI203" i="17"/>
  <c r="AJ203" i="17" s="1"/>
  <c r="AI465" i="17"/>
  <c r="AJ465" i="17" s="1"/>
  <c r="AI286" i="17"/>
  <c r="AJ286" i="17" s="1"/>
  <c r="AI208" i="17"/>
  <c r="AJ208" i="17" s="1"/>
  <c r="AI512" i="17"/>
  <c r="AJ512" i="17" s="1"/>
  <c r="AI412" i="17"/>
  <c r="AJ412" i="17" s="1"/>
  <c r="AI121" i="17"/>
  <c r="AJ121" i="17" s="1"/>
  <c r="AI571" i="17"/>
  <c r="AJ571" i="17" s="1"/>
  <c r="AI600" i="17"/>
  <c r="AJ600" i="17" s="1"/>
  <c r="AI15" i="17"/>
  <c r="AJ15" i="17" s="1"/>
  <c r="AI168" i="17"/>
  <c r="AJ168" i="17" s="1"/>
  <c r="AI393" i="17"/>
  <c r="AJ393" i="17" s="1"/>
  <c r="AI554" i="17"/>
  <c r="AJ554" i="17" s="1"/>
  <c r="AI458" i="17"/>
  <c r="AJ458" i="17" s="1"/>
  <c r="AI314" i="17"/>
  <c r="AJ314" i="17" s="1"/>
  <c r="AI36" i="17"/>
  <c r="AJ36" i="17" s="1"/>
  <c r="AI346" i="17"/>
  <c r="AJ346" i="17" s="1"/>
  <c r="AI592" i="17"/>
  <c r="AJ592" i="17" s="1"/>
  <c r="AI376" i="17"/>
  <c r="AJ376" i="17" s="1"/>
  <c r="AI377" i="17"/>
  <c r="AJ377" i="17" s="1"/>
  <c r="AI240" i="17"/>
  <c r="AJ240" i="17" s="1"/>
  <c r="AI330" i="17"/>
  <c r="AJ330" i="17" s="1"/>
  <c r="AI354" i="17"/>
  <c r="AJ354" i="17" s="1"/>
  <c r="AI209" i="17"/>
  <c r="AJ209" i="17" s="1"/>
  <c r="AI379" i="17"/>
  <c r="AJ379" i="17" s="1"/>
  <c r="AI167" i="17"/>
  <c r="AJ167" i="17" s="1"/>
  <c r="AI495" i="17"/>
  <c r="AJ495" i="17" s="1"/>
  <c r="AI275" i="17"/>
  <c r="AJ275" i="17" s="1"/>
  <c r="AI508" i="17"/>
  <c r="AJ508" i="17" s="1"/>
  <c r="AI560" i="17"/>
  <c r="AJ560" i="17" s="1"/>
  <c r="AI497" i="17"/>
  <c r="AJ497" i="17" s="1"/>
  <c r="AI599" i="17"/>
  <c r="AJ599" i="17" s="1"/>
  <c r="AI277" i="17"/>
  <c r="AJ277" i="17" s="1"/>
  <c r="AI443" i="17"/>
  <c r="AJ443" i="17" s="1"/>
  <c r="AI127" i="17"/>
  <c r="AJ127" i="17" s="1"/>
  <c r="AI355" i="17"/>
  <c r="AJ355" i="17" s="1"/>
  <c r="AI583" i="17"/>
  <c r="AJ583" i="17" s="1"/>
  <c r="AI594" i="17"/>
  <c r="AJ594" i="17" s="1"/>
  <c r="AI595" i="17"/>
  <c r="AJ595" i="17" s="1"/>
  <c r="AI547" i="17"/>
  <c r="AJ547" i="17" s="1"/>
  <c r="AI563" i="17"/>
  <c r="AJ563" i="17" s="1"/>
  <c r="AI320" i="17"/>
  <c r="AJ320" i="17" s="1"/>
  <c r="AI591" i="17"/>
  <c r="AJ591" i="17" s="1"/>
  <c r="AI559" i="17"/>
  <c r="AJ559" i="17" s="1"/>
  <c r="AI183" i="17"/>
  <c r="AJ183" i="17" s="1"/>
  <c r="AI593" i="17"/>
  <c r="AJ593" i="17" s="1"/>
  <c r="AI205" i="17"/>
  <c r="AJ205" i="17" s="1"/>
  <c r="AI89" i="17"/>
  <c r="AJ89" i="17" s="1"/>
  <c r="AI154" i="17"/>
  <c r="AJ154" i="17" s="1"/>
  <c r="AI338" i="17"/>
  <c r="AJ338" i="17" s="1"/>
  <c r="AI402" i="17"/>
  <c r="AJ402" i="17" s="1"/>
  <c r="AI577" i="17"/>
  <c r="AJ577" i="17" s="1"/>
  <c r="AI284" i="17"/>
  <c r="AJ284" i="17" s="1"/>
  <c r="AI602" i="17"/>
  <c r="AJ602" i="17" s="1"/>
  <c r="AI428" i="17"/>
  <c r="AJ428" i="17" s="1"/>
  <c r="AI396" i="17"/>
  <c r="AJ396" i="17" s="1"/>
  <c r="AI35" i="17"/>
  <c r="AJ35" i="17" s="1"/>
  <c r="AI573" i="17"/>
  <c r="AJ573" i="17" s="1"/>
  <c r="AI182" i="17"/>
  <c r="AJ182" i="17" s="1"/>
  <c r="AI532" i="17"/>
  <c r="AJ532" i="17" s="1"/>
  <c r="AI557" i="17"/>
  <c r="AJ557" i="17" s="1"/>
  <c r="AI550" i="17"/>
  <c r="AJ550" i="17" s="1"/>
  <c r="AI217" i="17"/>
  <c r="AJ217" i="17" s="1"/>
  <c r="AI321" i="17"/>
  <c r="AJ321" i="17" s="1"/>
  <c r="AI481" i="17"/>
  <c r="AJ481" i="17" s="1"/>
  <c r="AI332" i="17"/>
  <c r="AJ332" i="17" s="1"/>
  <c r="AI496" i="17"/>
  <c r="AJ496" i="17" s="1"/>
  <c r="AI339" i="17"/>
  <c r="AJ339" i="17" s="1"/>
  <c r="AI300" i="17"/>
  <c r="AJ300" i="17" s="1"/>
  <c r="AI77" i="17"/>
  <c r="AJ77" i="17" s="1"/>
  <c r="AI45" i="17"/>
  <c r="AJ45" i="17" s="1"/>
  <c r="AI13" i="17"/>
  <c r="AI102" i="17"/>
  <c r="AJ102" i="17" s="1"/>
  <c r="AI91" i="17"/>
  <c r="AJ91" i="17" s="1"/>
  <c r="AI178" i="17"/>
  <c r="AJ178" i="17" s="1"/>
  <c r="AI442" i="17"/>
  <c r="AJ442" i="17" s="1"/>
  <c r="AI552" i="17"/>
  <c r="AJ552" i="17" s="1"/>
  <c r="AI173" i="17"/>
  <c r="AJ173" i="17" s="1"/>
  <c r="AI574" i="17"/>
  <c r="AJ574" i="17" s="1"/>
  <c r="AI520" i="17"/>
  <c r="AJ520" i="17" s="1"/>
  <c r="AI242" i="17"/>
  <c r="AJ242" i="17" s="1"/>
  <c r="AI31" i="17"/>
  <c r="AJ31" i="17" s="1"/>
  <c r="AI367" i="17"/>
  <c r="AJ367" i="17" s="1"/>
  <c r="AI43" i="17"/>
  <c r="AJ43" i="17" s="1"/>
  <c r="AI51" i="17"/>
  <c r="AJ51" i="17" s="1"/>
  <c r="AI523" i="17"/>
  <c r="AJ523" i="17" s="1"/>
  <c r="AI79" i="17"/>
  <c r="AJ79" i="17" s="1"/>
  <c r="AI313" i="17"/>
  <c r="AJ313" i="17" s="1"/>
  <c r="AI220" i="17"/>
  <c r="AJ220" i="17" s="1"/>
  <c r="AI150" i="17"/>
  <c r="AJ150" i="17" s="1"/>
  <c r="AI408" i="17"/>
  <c r="AJ408" i="17" s="1"/>
  <c r="AI41" i="17"/>
  <c r="AJ41" i="17" s="1"/>
  <c r="AI384" i="17"/>
  <c r="AJ384" i="17" s="1"/>
  <c r="AI92" i="17"/>
  <c r="AJ92" i="17" s="1"/>
  <c r="AI106" i="17"/>
  <c r="AJ106" i="17" s="1"/>
  <c r="AI98" i="17"/>
  <c r="AJ98" i="17" s="1"/>
  <c r="AI66" i="17"/>
  <c r="AJ66" i="17" s="1"/>
  <c r="AI194" i="17"/>
  <c r="AJ194" i="17" s="1"/>
  <c r="AI366" i="17"/>
  <c r="AJ366" i="17" s="1"/>
  <c r="AI450" i="17"/>
  <c r="AJ450" i="17" s="1"/>
  <c r="AI526" i="17"/>
  <c r="AJ526" i="17" s="1"/>
  <c r="AI589" i="17"/>
  <c r="AJ589" i="17" s="1"/>
  <c r="AI565" i="17"/>
  <c r="AJ565" i="17" s="1"/>
  <c r="AI581" i="17"/>
  <c r="AJ581" i="17" s="1"/>
  <c r="AI169" i="17"/>
  <c r="AJ169" i="17" s="1"/>
  <c r="AI273" i="17"/>
  <c r="AJ273" i="17" s="1"/>
  <c r="AI548" i="17"/>
  <c r="AJ548" i="17" s="1"/>
  <c r="AI588" i="17"/>
  <c r="AJ588" i="17" s="1"/>
  <c r="AI306" i="17"/>
  <c r="AJ306" i="17" s="1"/>
  <c r="AI157" i="17"/>
  <c r="AJ157" i="17" s="1"/>
  <c r="AI189" i="17"/>
  <c r="AJ189" i="17" s="1"/>
  <c r="AI221" i="17"/>
  <c r="AJ221" i="17" s="1"/>
  <c r="AI99" i="17"/>
  <c r="AJ99" i="17" s="1"/>
  <c r="AI444" i="17"/>
  <c r="AJ444" i="17" s="1"/>
  <c r="AI128" i="17"/>
  <c r="AJ128" i="17" s="1"/>
  <c r="AI144" i="17"/>
  <c r="AJ144" i="17" s="1"/>
  <c r="AI464" i="17"/>
  <c r="AJ464" i="17" s="1"/>
  <c r="AI395" i="17"/>
  <c r="AJ395" i="17" s="1"/>
  <c r="AI491" i="17"/>
  <c r="AJ491" i="17" s="1"/>
  <c r="AI191" i="17"/>
  <c r="AJ191" i="17" s="1"/>
  <c r="AI247" i="17"/>
  <c r="AJ247" i="17" s="1"/>
  <c r="AI361" i="17"/>
  <c r="AJ361" i="17" s="1"/>
  <c r="AI417" i="17"/>
  <c r="AJ417" i="17" s="1"/>
  <c r="AI343" i="17"/>
  <c r="AJ343" i="17" s="1"/>
  <c r="AI415" i="17"/>
  <c r="AJ415" i="17" s="1"/>
  <c r="AI479" i="17"/>
  <c r="AJ479" i="17" s="1"/>
  <c r="AI248" i="17"/>
  <c r="AJ248" i="17" s="1"/>
  <c r="AI264" i="17"/>
  <c r="AJ264" i="17" s="1"/>
  <c r="AI278" i="17"/>
  <c r="AJ278" i="17" s="1"/>
  <c r="AI198" i="17"/>
  <c r="AJ198" i="17" s="1"/>
  <c r="AI219" i="17"/>
  <c r="AJ219" i="17" s="1"/>
  <c r="AI531" i="17"/>
  <c r="AJ531" i="17" s="1"/>
  <c r="AI459" i="17"/>
  <c r="AJ459" i="17" s="1"/>
  <c r="AI460" i="17"/>
  <c r="AJ460" i="17" s="1"/>
  <c r="AI272" i="17"/>
  <c r="AJ272" i="17" s="1"/>
  <c r="AI236" i="17"/>
  <c r="AJ236" i="17" s="1"/>
  <c r="AI463" i="17"/>
  <c r="AJ463" i="17" s="1"/>
  <c r="AI605" i="17"/>
  <c r="AJ605" i="17" s="1"/>
  <c r="AI104" i="17"/>
  <c r="AJ104" i="17" s="1"/>
  <c r="AI118" i="17"/>
  <c r="AJ118" i="17" s="1"/>
  <c r="AI435" i="17"/>
  <c r="AJ435" i="17" s="1"/>
  <c r="AI309" i="17"/>
  <c r="AJ309" i="17" s="1"/>
  <c r="AI312" i="17"/>
  <c r="AJ312" i="17" s="1"/>
  <c r="AI166" i="17"/>
  <c r="AJ166" i="17" s="1"/>
  <c r="AI432" i="17"/>
  <c r="AJ432" i="17" s="1"/>
  <c r="AI40" i="17"/>
  <c r="AJ40" i="17" s="1"/>
  <c r="AI126" i="17"/>
  <c r="AJ126" i="17" s="1"/>
  <c r="AI190" i="17"/>
  <c r="AJ190" i="17" s="1"/>
  <c r="AI108" i="17"/>
  <c r="AJ108" i="17" s="1"/>
  <c r="AI76" i="17"/>
  <c r="AJ76" i="17" s="1"/>
  <c r="AI162" i="17"/>
  <c r="AJ162" i="17" s="1"/>
  <c r="AI250" i="17"/>
  <c r="AJ250" i="17" s="1"/>
  <c r="AI334" i="17"/>
  <c r="AJ334" i="17" s="1"/>
  <c r="AI418" i="17"/>
  <c r="AJ418" i="17" s="1"/>
  <c r="AI536" i="17"/>
  <c r="AJ536" i="17" s="1"/>
  <c r="AI222" i="17"/>
  <c r="AJ222" i="17" s="1"/>
  <c r="AI254" i="17"/>
  <c r="AJ254" i="17" s="1"/>
  <c r="AI530" i="17"/>
  <c r="AJ530" i="17" s="1"/>
  <c r="AI230" i="17"/>
  <c r="AJ230" i="17" s="1"/>
  <c r="AI262" i="17"/>
  <c r="AJ262" i="17" s="1"/>
  <c r="AI302" i="17"/>
  <c r="AJ302" i="17" s="1"/>
  <c r="AI249" i="17"/>
  <c r="AJ249" i="17" s="1"/>
  <c r="AI281" i="17"/>
  <c r="AJ281" i="17" s="1"/>
  <c r="AI433" i="17"/>
  <c r="AJ433" i="17" s="1"/>
  <c r="AI245" i="17"/>
  <c r="AJ245" i="17" s="1"/>
  <c r="AI285" i="17"/>
  <c r="AJ285" i="17" s="1"/>
  <c r="AI576" i="17"/>
  <c r="AJ576" i="17" s="1"/>
  <c r="AI184" i="17"/>
  <c r="AJ184" i="17" s="1"/>
  <c r="AI492" i="17"/>
  <c r="AJ492" i="17" s="1"/>
  <c r="AI192" i="17"/>
  <c r="AJ192" i="17" s="1"/>
  <c r="AI364" i="17"/>
  <c r="AJ364" i="17" s="1"/>
  <c r="AI380" i="17"/>
  <c r="AJ380" i="17" s="1"/>
  <c r="AI416" i="17"/>
  <c r="AJ416" i="17" s="1"/>
  <c r="AI448" i="17"/>
  <c r="AJ448" i="17" s="1"/>
  <c r="AI311" i="17"/>
  <c r="AJ311" i="17" s="1"/>
  <c r="AI575" i="17"/>
  <c r="AJ575" i="17" s="1"/>
  <c r="AI224" i="17"/>
  <c r="AJ224" i="17" s="1"/>
  <c r="AI171" i="17"/>
  <c r="AJ171" i="17" s="1"/>
  <c r="AI336" i="17"/>
  <c r="AJ336" i="17" s="1"/>
  <c r="AI606" i="17"/>
  <c r="AJ606" i="17" s="1"/>
  <c r="AI271" i="17"/>
  <c r="AJ271" i="17" s="1"/>
  <c r="AI461" i="17"/>
  <c r="AJ461" i="17" s="1"/>
  <c r="AI601" i="17"/>
  <c r="AJ601" i="17" s="1"/>
  <c r="AI363" i="17"/>
  <c r="AJ363" i="17" s="1"/>
  <c r="AI351" i="17"/>
  <c r="AJ351" i="17" s="1"/>
  <c r="AI480" i="17"/>
  <c r="AJ480" i="17" s="1"/>
  <c r="AI100" i="17"/>
  <c r="AJ100" i="17" s="1"/>
  <c r="AI335" i="17"/>
  <c r="AJ335" i="17" s="1"/>
  <c r="AI294" i="17"/>
  <c r="AJ294" i="17" s="1"/>
  <c r="AI267" i="17"/>
  <c r="AJ267" i="17" s="1"/>
  <c r="AI365" i="17"/>
  <c r="AJ365" i="17" s="1"/>
  <c r="AI543" i="17"/>
  <c r="AJ543" i="17" s="1"/>
  <c r="AI52" i="17"/>
  <c r="AJ52" i="17" s="1"/>
  <c r="AI14" i="17"/>
  <c r="AJ14" i="17" s="1"/>
  <c r="AI436" i="17"/>
  <c r="AJ436" i="17" s="1"/>
  <c r="AI500" i="17"/>
  <c r="AJ500" i="17" s="1"/>
  <c r="AI310" i="17"/>
  <c r="AJ310" i="17" s="1"/>
  <c r="AI564" i="17"/>
  <c r="AJ564" i="17" s="1"/>
  <c r="AI604" i="17"/>
  <c r="AJ604" i="17" s="1"/>
  <c r="AI107" i="17"/>
  <c r="AJ107" i="17" s="1"/>
  <c r="AI34" i="17"/>
  <c r="AJ34" i="17" s="1"/>
  <c r="AI96" i="17"/>
  <c r="AJ96" i="17" s="1"/>
  <c r="AI110" i="17"/>
  <c r="AJ110" i="17" s="1"/>
  <c r="AI84" i="17"/>
  <c r="AJ84" i="17" s="1"/>
  <c r="AI44" i="17"/>
  <c r="AJ44" i="17" s="1"/>
  <c r="AI146" i="17"/>
  <c r="AJ146" i="17" s="1"/>
  <c r="AI122" i="17"/>
  <c r="AJ122" i="17" s="1"/>
  <c r="AI138" i="17"/>
  <c r="AJ138" i="17" s="1"/>
  <c r="AI370" i="17"/>
  <c r="AJ370" i="17" s="1"/>
  <c r="AI386" i="17"/>
  <c r="AJ386" i="17" s="1"/>
  <c r="AI519" i="17"/>
  <c r="AJ519" i="17" s="1"/>
  <c r="AI524" i="17"/>
  <c r="AJ524" i="17" s="1"/>
  <c r="AI426" i="17"/>
  <c r="AJ426" i="17" s="1"/>
  <c r="AI434" i="17"/>
  <c r="AJ434" i="17" s="1"/>
  <c r="AI561" i="17"/>
  <c r="AJ561" i="17" s="1"/>
  <c r="AI518" i="17"/>
  <c r="AJ518" i="17" s="1"/>
  <c r="AI522" i="17"/>
  <c r="AJ522" i="17" s="1"/>
  <c r="AI538" i="17"/>
  <c r="AJ538" i="17" s="1"/>
  <c r="AI214" i="17"/>
  <c r="AJ214" i="17" s="1"/>
  <c r="AI113" i="17"/>
  <c r="AJ113" i="17" s="1"/>
  <c r="AI153" i="17"/>
  <c r="AJ153" i="17" s="1"/>
  <c r="AI225" i="17"/>
  <c r="AJ225" i="17" s="1"/>
  <c r="AI289" i="17"/>
  <c r="AJ289" i="17" s="1"/>
  <c r="AI572" i="17"/>
  <c r="AJ572" i="17" s="1"/>
  <c r="AI505" i="17"/>
  <c r="AJ505" i="17" s="1"/>
  <c r="AI282" i="17"/>
  <c r="AJ282" i="17" s="1"/>
  <c r="AI197" i="17"/>
  <c r="AJ197" i="17" s="1"/>
  <c r="AI603" i="17"/>
  <c r="AJ603" i="17" s="1"/>
  <c r="AI75" i="17"/>
  <c r="AJ75" i="17" s="1"/>
  <c r="AI609" i="17"/>
  <c r="AJ609" i="17" s="1"/>
  <c r="AI252" i="17"/>
  <c r="AJ252" i="17" s="1"/>
  <c r="AI345" i="17"/>
  <c r="AJ345" i="17" s="1"/>
  <c r="AI357" i="17"/>
  <c r="AJ357" i="17" s="1"/>
  <c r="AI61" i="17"/>
  <c r="AJ61" i="17" s="1"/>
  <c r="AI53" i="17"/>
  <c r="AJ53" i="17" s="1"/>
  <c r="AI163" i="17"/>
  <c r="AJ163" i="17" s="1"/>
  <c r="AI288" i="17"/>
  <c r="AJ288" i="17" s="1"/>
  <c r="AI59" i="17"/>
  <c r="AJ59" i="17" s="1"/>
  <c r="AI283" i="17"/>
  <c r="AJ283" i="17" s="1"/>
  <c r="AI207" i="17"/>
  <c r="AJ207" i="17" s="1"/>
  <c r="AI39" i="17"/>
  <c r="AJ39" i="17" s="1"/>
  <c r="AI210" i="17"/>
  <c r="AJ210" i="17" s="1"/>
  <c r="AI186" i="17"/>
  <c r="AJ186" i="17" s="1"/>
  <c r="AI528" i="17"/>
  <c r="AJ528" i="17" s="1"/>
  <c r="AI78" i="17"/>
  <c r="AJ78" i="17" s="1"/>
  <c r="AI489" i="17"/>
  <c r="AJ489" i="17" s="1"/>
  <c r="AI33" i="17"/>
  <c r="AJ33" i="17" s="1"/>
  <c r="AI196" i="17"/>
  <c r="AJ196" i="17" s="1"/>
  <c r="AI360" i="17"/>
  <c r="AJ360" i="17" s="1"/>
  <c r="AI409" i="17"/>
  <c r="AJ409" i="17" s="1"/>
  <c r="AI509" i="17"/>
  <c r="AJ509" i="17" s="1"/>
  <c r="AI86" i="17"/>
  <c r="AJ86" i="17" s="1"/>
  <c r="AI22" i="17"/>
  <c r="AJ22" i="17" s="1"/>
  <c r="AI297" i="17"/>
  <c r="AJ297" i="17" s="1"/>
  <c r="AI179" i="17"/>
  <c r="AJ179" i="17" s="1"/>
  <c r="AI373" i="17"/>
  <c r="AJ373" i="17" s="1"/>
  <c r="AI546" i="17"/>
  <c r="AJ546" i="17" s="1"/>
  <c r="AI238" i="17"/>
  <c r="AJ238" i="17" s="1"/>
  <c r="AI562" i="17"/>
  <c r="AJ562" i="17" s="1"/>
  <c r="AI541" i="17"/>
  <c r="AJ541" i="17" s="1"/>
  <c r="AI187" i="17"/>
  <c r="AJ187" i="17" s="1"/>
  <c r="AI608" i="17"/>
  <c r="AJ608" i="17" s="1"/>
  <c r="AI325" i="17"/>
  <c r="AJ325" i="17" s="1"/>
  <c r="AI469" i="17"/>
  <c r="AJ469" i="17" s="1"/>
  <c r="AI467" i="17"/>
  <c r="AJ467" i="17" s="1"/>
  <c r="AI56" i="17"/>
  <c r="AJ56" i="17" s="1"/>
  <c r="AI174" i="17"/>
  <c r="AJ174" i="17" s="1"/>
  <c r="AI46" i="17"/>
  <c r="AJ46" i="17" s="1"/>
  <c r="AI410" i="17"/>
  <c r="AJ410" i="17" s="1"/>
  <c r="AI438" i="17"/>
  <c r="AJ438" i="17" s="1"/>
  <c r="AI446" i="17"/>
  <c r="AJ446" i="17" s="1"/>
  <c r="AI478" i="17"/>
  <c r="AJ478" i="17" s="1"/>
  <c r="AI486" i="17"/>
  <c r="AJ486" i="17" s="1"/>
  <c r="AI510" i="17"/>
  <c r="AJ510" i="17" s="1"/>
  <c r="AI553" i="17"/>
  <c r="AJ553" i="17" s="1"/>
  <c r="AI585" i="17"/>
  <c r="AJ585" i="17" s="1"/>
  <c r="AI120" i="17"/>
  <c r="AJ120" i="17" s="1"/>
  <c r="AI358" i="17"/>
  <c r="AJ358" i="17" s="1"/>
  <c r="AI406" i="17"/>
  <c r="AJ406" i="17" s="1"/>
  <c r="AI506" i="17"/>
  <c r="AJ506" i="17" s="1"/>
  <c r="AI542" i="17"/>
  <c r="AJ542" i="17" s="1"/>
  <c r="AI266" i="17"/>
  <c r="AJ266" i="17" s="1"/>
  <c r="AI233" i="17"/>
  <c r="AJ233" i="17" s="1"/>
  <c r="AI457" i="17"/>
  <c r="AJ457" i="17" s="1"/>
  <c r="AI165" i="17"/>
  <c r="AJ165" i="17" s="1"/>
  <c r="AI261" i="17"/>
  <c r="AJ261" i="17" s="1"/>
  <c r="AI172" i="17"/>
  <c r="AJ172" i="17" s="1"/>
  <c r="AI188" i="17"/>
  <c r="AJ188" i="17" s="1"/>
  <c r="AI204" i="17"/>
  <c r="AJ204" i="17" s="1"/>
  <c r="AI308" i="17"/>
  <c r="AJ308" i="17" s="1"/>
  <c r="AI87" i="17"/>
  <c r="AJ87" i="17" s="1"/>
  <c r="AI227" i="17"/>
  <c r="AJ227" i="17" s="1"/>
  <c r="AI159" i="17"/>
  <c r="AJ159" i="17" s="1"/>
  <c r="AI243" i="17"/>
  <c r="AJ243" i="17" s="1"/>
  <c r="AI65" i="17"/>
  <c r="AJ65" i="17" s="1"/>
  <c r="AI521" i="17"/>
  <c r="AJ521" i="17" s="1"/>
  <c r="AI135" i="17"/>
  <c r="AJ135" i="17" s="1"/>
  <c r="AI25" i="17"/>
  <c r="AJ25" i="17" s="1"/>
  <c r="AI83" i="17"/>
  <c r="AJ83" i="17" s="1"/>
  <c r="AI136" i="17"/>
  <c r="AJ136" i="17" s="1"/>
  <c r="AI48" i="17"/>
  <c r="AJ48" i="17" s="1"/>
  <c r="AI20" i="17"/>
  <c r="AJ20" i="17" s="1"/>
  <c r="AI134" i="17"/>
  <c r="AJ134" i="17" s="1"/>
  <c r="AI569" i="17"/>
  <c r="AJ569" i="17" s="1"/>
  <c r="AI570" i="17"/>
  <c r="AJ570" i="17" s="1"/>
  <c r="AI326" i="17"/>
  <c r="AJ326" i="17" s="1"/>
  <c r="AI350" i="17"/>
  <c r="AJ350" i="17" s="1"/>
  <c r="AI374" i="17"/>
  <c r="AJ374" i="17" s="1"/>
  <c r="AI545" i="17"/>
  <c r="AJ545" i="17" s="1"/>
  <c r="AI578" i="17"/>
  <c r="AJ578" i="17" s="1"/>
  <c r="AI534" i="17"/>
  <c r="AJ534" i="17" s="1"/>
  <c r="AI558" i="17"/>
  <c r="AJ558" i="17" s="1"/>
  <c r="AI549" i="17"/>
  <c r="AJ549" i="17" s="1"/>
  <c r="AI582" i="17"/>
  <c r="AJ582" i="17" s="1"/>
  <c r="AI177" i="17"/>
  <c r="AJ177" i="17" s="1"/>
  <c r="AI185" i="17"/>
  <c r="AJ185" i="17" s="1"/>
  <c r="AI473" i="17"/>
  <c r="AJ473" i="17" s="1"/>
  <c r="AI579" i="17"/>
  <c r="AJ579" i="17" s="1"/>
  <c r="AI117" i="17"/>
  <c r="AJ117" i="17" s="1"/>
  <c r="AI125" i="17"/>
  <c r="AJ125" i="17" s="1"/>
  <c r="AI213" i="17"/>
  <c r="AJ213" i="17" s="1"/>
  <c r="AI568" i="17"/>
  <c r="AJ568" i="17" s="1"/>
  <c r="AI501" i="17"/>
  <c r="AJ501" i="17" s="1"/>
  <c r="AI103" i="17"/>
  <c r="AJ103" i="17" s="1"/>
  <c r="AI95" i="17"/>
  <c r="AJ95" i="17" s="1"/>
  <c r="AI19" i="17"/>
  <c r="AJ19" i="17" s="1"/>
  <c r="AI49" i="17"/>
  <c r="AJ49" i="17" s="1"/>
  <c r="AI37" i="17"/>
  <c r="AJ37" i="17" s="1"/>
  <c r="AI176" i="17"/>
  <c r="AJ176" i="17" s="1"/>
  <c r="AI212" i="17"/>
  <c r="AJ212" i="17" s="1"/>
  <c r="AI199" i="17"/>
  <c r="AJ199" i="17" s="1"/>
  <c r="AI295" i="17"/>
  <c r="AJ295" i="17" s="1"/>
  <c r="AI423" i="17"/>
  <c r="AJ423" i="17" s="1"/>
  <c r="AI115" i="17"/>
  <c r="AJ115" i="17" s="1"/>
  <c r="AI155" i="17"/>
  <c r="AJ155" i="17" s="1"/>
  <c r="AI381" i="17"/>
  <c r="AJ381" i="17" s="1"/>
  <c r="AI206" i="17"/>
  <c r="AJ206" i="17" s="1"/>
  <c r="AI533" i="17"/>
  <c r="AJ533" i="17" s="1"/>
  <c r="AI359" i="17"/>
  <c r="AJ359" i="17" s="1"/>
  <c r="AI529" i="17"/>
  <c r="AJ529" i="17" s="1"/>
  <c r="AI403" i="17"/>
  <c r="AJ403" i="17" s="1"/>
  <c r="AI235" i="17"/>
  <c r="AJ235" i="17" s="1"/>
  <c r="AI142" i="17"/>
  <c r="AJ142" i="17" s="1"/>
  <c r="AI70" i="17"/>
  <c r="AJ70" i="17" s="1"/>
  <c r="AI130" i="17"/>
  <c r="AJ130" i="17" s="1"/>
  <c r="AI90" i="17"/>
  <c r="AJ90" i="17" s="1"/>
  <c r="AI82" i="17"/>
  <c r="AJ82" i="17" s="1"/>
  <c r="AI74" i="17"/>
  <c r="AJ74" i="17" s="1"/>
  <c r="AI58" i="17"/>
  <c r="AJ58" i="17" s="1"/>
  <c r="AI50" i="17"/>
  <c r="AJ50" i="17" s="1"/>
  <c r="AI42" i="17"/>
  <c r="AJ42" i="17" s="1"/>
  <c r="AI26" i="17"/>
  <c r="AJ26" i="17" s="1"/>
  <c r="AI18" i="17"/>
  <c r="AJ18" i="17" s="1"/>
  <c r="AI362" i="17"/>
  <c r="AJ362" i="17" s="1"/>
  <c r="AI430" i="17"/>
  <c r="AJ430" i="17" s="1"/>
  <c r="AI462" i="17"/>
  <c r="AJ462" i="17" s="1"/>
  <c r="AI470" i="17"/>
  <c r="AJ470" i="17" s="1"/>
  <c r="AI494" i="17"/>
  <c r="AJ494" i="17" s="1"/>
  <c r="AI502" i="17"/>
  <c r="AJ502" i="17" s="1"/>
  <c r="AI202" i="17"/>
  <c r="AJ202" i="17" s="1"/>
  <c r="AI218" i="17"/>
  <c r="AJ218" i="17" s="1"/>
  <c r="AI474" i="17"/>
  <c r="AJ474" i="17" s="1"/>
  <c r="AI482" i="17"/>
  <c r="AJ482" i="17" s="1"/>
  <c r="AI498" i="17"/>
  <c r="AJ498" i="17" s="1"/>
  <c r="AI270" i="17"/>
  <c r="AJ270" i="17" s="1"/>
  <c r="AI137" i="17"/>
  <c r="AJ137" i="17" s="1"/>
  <c r="AI145" i="17"/>
  <c r="AJ145" i="17" s="1"/>
  <c r="AI556" i="17"/>
  <c r="AJ556" i="17" s="1"/>
  <c r="AI580" i="17"/>
  <c r="AJ580" i="17" s="1"/>
  <c r="AI596" i="17"/>
  <c r="AJ596" i="17" s="1"/>
  <c r="AI612" i="17"/>
  <c r="AJ612" i="17" s="1"/>
  <c r="AI23" i="17"/>
  <c r="AJ23" i="17" s="1"/>
  <c r="AI156" i="17"/>
  <c r="AJ156" i="17" s="1"/>
  <c r="AI352" i="17"/>
  <c r="AJ352" i="17" s="1"/>
  <c r="AI516" i="17"/>
  <c r="AJ516" i="17" s="1"/>
  <c r="AI598" i="17"/>
  <c r="AJ598" i="17" s="1"/>
  <c r="AI268" i="17"/>
  <c r="AJ268" i="17" s="1"/>
  <c r="AI287" i="17"/>
  <c r="AJ287" i="17" s="1"/>
  <c r="AI101" i="17"/>
  <c r="AJ101" i="17" s="1"/>
  <c r="AI611" i="17"/>
  <c r="AJ611" i="17" s="1"/>
  <c r="AI211" i="17"/>
  <c r="AJ211" i="17" s="1"/>
  <c r="AI404" i="17"/>
  <c r="AJ404" i="17" s="1"/>
  <c r="AI323" i="17"/>
  <c r="AJ323" i="17" s="1"/>
  <c r="AI451" i="17"/>
  <c r="AJ451" i="17" s="1"/>
  <c r="AI255" i="17"/>
  <c r="AJ255" i="17" s="1"/>
  <c r="AI260" i="17"/>
  <c r="AJ260" i="17" s="1"/>
  <c r="AI215" i="17"/>
  <c r="AJ215" i="17" s="1"/>
  <c r="AI610" i="17"/>
  <c r="AJ610" i="17" s="1"/>
  <c r="AC624" i="17"/>
  <c r="AB624" i="17"/>
  <c r="AC625" i="17"/>
  <c r="AI132" i="17"/>
  <c r="AJ132" i="17" s="1"/>
  <c r="AI164" i="17"/>
  <c r="AJ164" i="17" s="1"/>
  <c r="AI180" i="17"/>
  <c r="AJ180" i="17" s="1"/>
  <c r="AI424" i="17"/>
  <c r="AJ424" i="17" s="1"/>
  <c r="AI244" i="17"/>
  <c r="AJ244" i="17" s="1"/>
  <c r="AI391" i="17"/>
  <c r="AJ391" i="17" s="1"/>
  <c r="AI200" i="17"/>
  <c r="AJ200" i="17" s="1"/>
  <c r="AI291" i="17"/>
  <c r="AJ291" i="17" s="1"/>
  <c r="AI388" i="17"/>
  <c r="AJ388" i="17" s="1"/>
  <c r="AI24" i="17"/>
  <c r="AJ24" i="17" s="1"/>
  <c r="AI88" i="17"/>
  <c r="AJ88" i="17" s="1"/>
  <c r="AI94" i="17"/>
  <c r="AJ94" i="17" s="1"/>
  <c r="AI62" i="17"/>
  <c r="AJ62" i="17" s="1"/>
  <c r="AI54" i="17"/>
  <c r="AJ54" i="17" s="1"/>
  <c r="AI38" i="17"/>
  <c r="AJ38" i="17" s="1"/>
  <c r="AI30" i="17"/>
  <c r="AJ30" i="17" s="1"/>
  <c r="AI318" i="17"/>
  <c r="AJ318" i="17" s="1"/>
  <c r="AI382" i="17"/>
  <c r="AJ382" i="17" s="1"/>
  <c r="AI398" i="17"/>
  <c r="AJ398" i="17" s="1"/>
  <c r="AI133" i="17"/>
  <c r="AJ133" i="17" s="1"/>
  <c r="AI544" i="17"/>
  <c r="AJ544" i="17" s="1"/>
  <c r="AI453" i="17"/>
  <c r="AJ453" i="17" s="1"/>
  <c r="AI93" i="17"/>
  <c r="AJ93" i="17" s="1"/>
  <c r="AI29" i="17"/>
  <c r="AJ29" i="17" s="1"/>
  <c r="AI124" i="17"/>
  <c r="AJ124" i="17" s="1"/>
  <c r="AI148" i="17"/>
  <c r="AJ148" i="17" s="1"/>
  <c r="AI160" i="17"/>
  <c r="AJ160" i="17" s="1"/>
  <c r="AI440" i="17"/>
  <c r="AJ440" i="17" s="1"/>
  <c r="AI483" i="17"/>
  <c r="AJ483" i="17" s="1"/>
  <c r="AI228" i="17"/>
  <c r="AJ228" i="17" s="1"/>
  <c r="AI279" i="17"/>
  <c r="AJ279" i="17" s="1"/>
  <c r="AI337" i="17"/>
  <c r="AJ337" i="17" s="1"/>
  <c r="AI401" i="17"/>
  <c r="AJ401" i="17" s="1"/>
  <c r="AI327" i="17"/>
  <c r="AJ327" i="17" s="1"/>
  <c r="AI455" i="17"/>
  <c r="AJ455" i="17" s="1"/>
  <c r="AI597" i="17"/>
  <c r="AJ597" i="17" s="1"/>
  <c r="AI317" i="17"/>
  <c r="AJ317" i="17" s="1"/>
  <c r="AI389" i="17"/>
  <c r="AJ389" i="17" s="1"/>
  <c r="AI397" i="17"/>
  <c r="AJ397" i="17" s="1"/>
  <c r="AI161" i="17"/>
  <c r="AJ161" i="17" s="1"/>
  <c r="AI193" i="17"/>
  <c r="AJ193" i="17" s="1"/>
  <c r="AI201" i="17"/>
  <c r="AJ201" i="17" s="1"/>
  <c r="AI265" i="17"/>
  <c r="AJ265" i="17" s="1"/>
  <c r="AI517" i="17"/>
  <c r="AJ517" i="17" s="1"/>
  <c r="AI425" i="17"/>
  <c r="AJ425" i="17" s="1"/>
  <c r="AI441" i="17"/>
  <c r="AJ441" i="17" s="1"/>
  <c r="AI607" i="17"/>
  <c r="AJ607" i="17" s="1"/>
  <c r="AI149" i="17"/>
  <c r="AJ149" i="17" s="1"/>
  <c r="AI181" i="17"/>
  <c r="AJ181" i="17" s="1"/>
  <c r="AI229" i="17"/>
  <c r="AJ229" i="17" s="1"/>
  <c r="AI293" i="17"/>
  <c r="AJ293" i="17" s="1"/>
  <c r="AI152" i="17"/>
  <c r="AJ152" i="17" s="1"/>
  <c r="AI328" i="17"/>
  <c r="AJ328" i="17" s="1"/>
  <c r="AI392" i="17"/>
  <c r="AJ392" i="17" s="1"/>
  <c r="AI356" i="17"/>
  <c r="AJ356" i="17" s="1"/>
  <c r="AI420" i="17"/>
  <c r="AJ420" i="17" s="1"/>
  <c r="AI484" i="17"/>
  <c r="AJ484" i="17" s="1"/>
  <c r="AI69" i="17"/>
  <c r="AJ69" i="17" s="1"/>
  <c r="AI324" i="17"/>
  <c r="AJ324" i="17" s="1"/>
  <c r="AI340" i="17"/>
  <c r="AJ340" i="17" s="1"/>
  <c r="AI456" i="17"/>
  <c r="AJ456" i="17" s="1"/>
  <c r="AI387" i="17"/>
  <c r="AJ387" i="17" s="1"/>
  <c r="AI515" i="17"/>
  <c r="AJ515" i="17" s="1"/>
  <c r="AI119" i="17"/>
  <c r="AJ119" i="17" s="1"/>
  <c r="AI414" i="17"/>
  <c r="AJ414" i="17" s="1"/>
  <c r="AI452" i="17"/>
  <c r="AJ452" i="17" s="1"/>
  <c r="AI141" i="17"/>
  <c r="AJ141" i="17" s="1"/>
  <c r="AI421" i="17"/>
  <c r="AJ421" i="17" s="1"/>
  <c r="AI485" i="17"/>
  <c r="AJ485" i="17" s="1"/>
  <c r="AI368" i="17"/>
  <c r="AJ368" i="17" s="1"/>
  <c r="AJ13" i="17" l="1"/>
  <c r="AJ9" i="17" s="1"/>
  <c r="Q5" i="17" s="1"/>
  <c r="D518" i="2" s="1"/>
  <c r="B518" i="2" s="1"/>
  <c r="A518" i="2" s="1"/>
  <c r="AJ8" i="17"/>
  <c r="Q4" i="17" s="1"/>
  <c r="B292" i="2" s="1"/>
  <c r="B293" i="2" s="1"/>
  <c r="AL13" i="17"/>
  <c r="AL9" i="17" s="1"/>
  <c r="AL8" i="17"/>
  <c r="D517" i="2" l="1"/>
  <c r="B517" i="2" s="1"/>
  <c r="A517" i="2" s="1"/>
  <c r="A639" i="17"/>
  <c r="A640" i="17"/>
  <c r="B617" i="17"/>
  <c r="U617" i="17" s="1"/>
  <c r="I3" i="8" l="1"/>
  <c r="I159" i="8" s="1"/>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I4" i="8" s="1"/>
  <c r="O23" i="8" s="1"/>
  <c r="F292" i="2" s="1"/>
  <c r="L91" i="1" s="1"/>
  <c r="N23" i="8"/>
  <c r="K91" i="1"/>
  <c r="V617" i="17"/>
  <c r="J617" i="17"/>
  <c r="F617" i="17"/>
  <c r="H617" i="17"/>
  <c r="G617" i="17"/>
  <c r="K617" i="17"/>
  <c r="I617" i="17"/>
  <c r="M617" i="17"/>
  <c r="C617" i="17"/>
  <c r="B618" i="17"/>
  <c r="B619" i="17" s="1"/>
  <c r="L617" i="17"/>
  <c r="E617" i="17"/>
  <c r="N617" i="17"/>
  <c r="D617" i="17"/>
  <c r="K92" i="1" l="1"/>
  <c r="N24" i="8"/>
  <c r="O24" i="8" s="1"/>
  <c r="F293" i="2" s="1"/>
  <c r="L92" i="1" s="1"/>
  <c r="AF617" i="17"/>
  <c r="AG617" i="17"/>
  <c r="T617" i="17"/>
  <c r="S617" i="17"/>
  <c r="R617" i="17"/>
  <c r="Q617" i="17"/>
  <c r="P617" i="17"/>
  <c r="O617" i="17"/>
  <c r="X617" i="17"/>
  <c r="W617" i="17"/>
  <c r="AB617" i="17"/>
  <c r="AC617" i="17"/>
  <c r="X619" i="17" l="1"/>
  <c r="Y619" i="17" s="1"/>
  <c r="X620" i="17"/>
  <c r="Y620" i="17" s="1"/>
  <c r="Y617" i="17"/>
  <c r="B58" i="2" l="1"/>
  <c r="B10" i="2" l="1"/>
  <c r="B90" i="2" l="1"/>
  <c r="B114" i="2" s="1"/>
  <c r="B130" i="2" s="1"/>
  <c r="B157" i="2"/>
  <c r="B161" i="2" s="1"/>
  <c r="K157" i="2"/>
  <c r="M157" i="2" s="1"/>
  <c r="D157" i="2"/>
  <c r="D152" i="2"/>
  <c r="D179" i="2"/>
  <c r="B179" i="2" s="1"/>
  <c r="D208" i="2"/>
  <c r="B208" i="2" s="1"/>
  <c r="B210" i="2" s="1"/>
  <c r="E56" i="1" s="1"/>
  <c r="D190" i="2"/>
  <c r="B190" i="2" s="1"/>
  <c r="B192" i="2" s="1"/>
  <c r="E47" i="1" s="1"/>
  <c r="B154" i="2"/>
  <c r="H157" i="2" l="1"/>
  <c r="E37" i="1"/>
  <c r="B159" i="2"/>
  <c r="E31" i="1" l="1"/>
  <c r="N16" i="8"/>
  <c r="O16" i="8" s="1"/>
  <c r="E241" i="2" s="1"/>
  <c r="N17" i="8" l="1"/>
  <c r="O17" i="8" s="1"/>
  <c r="E242" i="2" s="1"/>
  <c r="G241" i="2"/>
  <c r="E67" i="1" s="1"/>
  <c r="H241" i="2"/>
  <c r="B488" i="2" l="1"/>
  <c r="A488" i="2"/>
  <c r="G242" i="2"/>
  <c r="E68" i="1" s="1"/>
  <c r="A489" i="2" s="1"/>
  <c r="B245" i="2"/>
  <c r="H242" i="2"/>
  <c r="B244" i="2"/>
  <c r="B489" i="2"/>
  <c r="BD106" i="31" l="1"/>
  <c r="BD103" i="31"/>
  <c r="BD99" i="31"/>
  <c r="BD96" i="31"/>
  <c r="BD90" i="31"/>
  <c r="BD83" i="31"/>
  <c r="BD79" i="31"/>
  <c r="BD71" i="31"/>
  <c r="BD65" i="31"/>
  <c r="BD62" i="31"/>
  <c r="BD61" i="31"/>
  <c r="BD52" i="31"/>
  <c r="BD27" i="31"/>
  <c r="BD26" i="31"/>
  <c r="BD93" i="31"/>
  <c r="BD57" i="31"/>
  <c r="BD53" i="31"/>
  <c r="BD47" i="31"/>
  <c r="BD37" i="31"/>
  <c r="BD28" i="31"/>
  <c r="BD22" i="31"/>
  <c r="BD21" i="31"/>
  <c r="BD16" i="31"/>
  <c r="BD107" i="31"/>
  <c r="BD100" i="31"/>
  <c r="BD97" i="31"/>
  <c r="BD94" i="31"/>
  <c r="BD87" i="31"/>
  <c r="BD75" i="31"/>
  <c r="BD72" i="31"/>
  <c r="BD63" i="31"/>
  <c r="BD33" i="31"/>
  <c r="BD32" i="31"/>
  <c r="BD13" i="31"/>
  <c r="BD12" i="31"/>
  <c r="BD10" i="31"/>
  <c r="BD101" i="31"/>
  <c r="BD91" i="31"/>
  <c r="BD88" i="31"/>
  <c r="BD60" i="31"/>
  <c r="BD56" i="31"/>
  <c r="BD40" i="31"/>
  <c r="BD9" i="31"/>
  <c r="BD104" i="31"/>
  <c r="BD86" i="31"/>
  <c r="BD80" i="31"/>
  <c r="BD76" i="31"/>
  <c r="BD49" i="31"/>
  <c r="BD48" i="31"/>
  <c r="BD41" i="31"/>
  <c r="BD36" i="31"/>
  <c r="BD24" i="31"/>
  <c r="BD20" i="31"/>
  <c r="BD17" i="31"/>
  <c r="BD89" i="31"/>
  <c r="BD74" i="31"/>
  <c r="BD66" i="31"/>
  <c r="BD43" i="31"/>
  <c r="BD42" i="31"/>
  <c r="BD25" i="31"/>
  <c r="BD11" i="31"/>
  <c r="BD105" i="31"/>
  <c r="BD102" i="31"/>
  <c r="BD92" i="31"/>
  <c r="BD77" i="31"/>
  <c r="BD64" i="31"/>
  <c r="BD50" i="31"/>
  <c r="BD44" i="31"/>
  <c r="BD29" i="31"/>
  <c r="BD14" i="31"/>
  <c r="BD82" i="31"/>
  <c r="BD58" i="31"/>
  <c r="BD51" i="31"/>
  <c r="BD108" i="31"/>
  <c r="BD95" i="31"/>
  <c r="BD84" i="31"/>
  <c r="BD81" i="31"/>
  <c r="BD78" i="31"/>
  <c r="BD68" i="31"/>
  <c r="BD67" i="31"/>
  <c r="BD54" i="31"/>
  <c r="BD46" i="31"/>
  <c r="BD45" i="31"/>
  <c r="BD30" i="31"/>
  <c r="BD98" i="31"/>
  <c r="BD69" i="31"/>
  <c r="BD59" i="31"/>
  <c r="BD55" i="31"/>
  <c r="BD38" i="31"/>
  <c r="BD34" i="31"/>
  <c r="BD18" i="31"/>
  <c r="BD15" i="31"/>
  <c r="BD109" i="31"/>
  <c r="BD85" i="31"/>
  <c r="BD73" i="31"/>
  <c r="BD70" i="31"/>
  <c r="BD39" i="31"/>
  <c r="BD35" i="31"/>
  <c r="BD31" i="31"/>
  <c r="BD23" i="31"/>
  <c r="BD19" i="31"/>
  <c r="B24" i="31" l="1"/>
  <c r="B22" i="31" l="1"/>
  <c r="B45" i="31" l="1"/>
  <c r="B73" i="31"/>
  <c r="B72" i="31"/>
  <c r="C79" i="31" l="1"/>
  <c r="B79" i="31" s="1"/>
  <c r="B80" i="31" s="1"/>
  <c r="B70" i="31"/>
  <c r="I102" i="31" l="1"/>
  <c r="J102" i="31" s="1"/>
  <c r="I89" i="31"/>
  <c r="J89" i="31" s="1"/>
  <c r="I82" i="31"/>
  <c r="J82" i="31" s="1"/>
  <c r="I70" i="31"/>
  <c r="J70" i="31" s="1"/>
  <c r="I69" i="31"/>
  <c r="J69" i="31" s="1"/>
  <c r="I86" i="31"/>
  <c r="J86" i="31" s="1"/>
  <c r="I83" i="31"/>
  <c r="J83" i="31" s="1"/>
  <c r="I78" i="31"/>
  <c r="J78" i="31" s="1"/>
  <c r="I61" i="31"/>
  <c r="J61" i="31" s="1"/>
  <c r="I45" i="31"/>
  <c r="J45" i="31" s="1"/>
  <c r="I43" i="31"/>
  <c r="J43" i="31" s="1"/>
  <c r="I17" i="31"/>
  <c r="J17" i="31" s="1"/>
  <c r="I34" i="31"/>
  <c r="J34" i="31" s="1"/>
  <c r="I63" i="31"/>
  <c r="J63" i="31" s="1"/>
  <c r="I27" i="31"/>
  <c r="J27" i="31" s="1"/>
  <c r="I40" i="31"/>
  <c r="J40" i="31" s="1"/>
  <c r="I12" i="31"/>
  <c r="J12" i="31" s="1"/>
  <c r="I29" i="31"/>
  <c r="J29" i="31" s="1"/>
  <c r="I107" i="31"/>
  <c r="J107" i="31" s="1"/>
  <c r="I94" i="31"/>
  <c r="J94" i="31" s="1"/>
  <c r="I9" i="31"/>
  <c r="J9" i="31" s="1"/>
  <c r="I49" i="31"/>
  <c r="J49" i="31" s="1"/>
  <c r="I105" i="31"/>
  <c r="J105" i="31" s="1"/>
  <c r="I108" i="31"/>
  <c r="J108" i="31" s="1"/>
  <c r="I100" i="31"/>
  <c r="J100" i="31" s="1"/>
  <c r="I67" i="31"/>
  <c r="J67" i="31" s="1"/>
  <c r="I103" i="31"/>
  <c r="J103" i="31" s="1"/>
  <c r="I62" i="31"/>
  <c r="J62" i="31" s="1"/>
  <c r="I22" i="31"/>
  <c r="J22" i="31" s="1"/>
  <c r="I57" i="31"/>
  <c r="J57" i="31" s="1"/>
  <c r="I15" i="31"/>
  <c r="J15" i="31" s="1"/>
  <c r="I31" i="31"/>
  <c r="J31" i="31" s="1"/>
  <c r="I19" i="31"/>
  <c r="J19" i="31" s="1"/>
  <c r="I84" i="31"/>
  <c r="J84" i="31" s="1"/>
  <c r="I75" i="31"/>
  <c r="J75" i="31" s="1"/>
  <c r="I21" i="31"/>
  <c r="J21" i="31" s="1"/>
  <c r="I20" i="31"/>
  <c r="J20" i="31" s="1"/>
  <c r="I32" i="31"/>
  <c r="J32" i="31" s="1"/>
  <c r="I39" i="31"/>
  <c r="J39" i="31" s="1"/>
  <c r="I53" i="31"/>
  <c r="J53" i="31" s="1"/>
  <c r="I91" i="31"/>
  <c r="J91" i="31" s="1"/>
  <c r="I95" i="31"/>
  <c r="J95" i="31" s="1"/>
  <c r="I96" i="31"/>
  <c r="J96" i="31" s="1"/>
  <c r="I88" i="31"/>
  <c r="J88" i="31" s="1"/>
  <c r="I55" i="31"/>
  <c r="J55" i="31" s="1"/>
  <c r="I36" i="31"/>
  <c r="J36" i="31" s="1"/>
  <c r="I44" i="31"/>
  <c r="J44" i="31" s="1"/>
  <c r="I26" i="31"/>
  <c r="J26" i="31" s="1"/>
  <c r="I51" i="31"/>
  <c r="J51" i="31" s="1"/>
  <c r="I11" i="31"/>
  <c r="J11" i="31" s="1"/>
  <c r="I16" i="31"/>
  <c r="J16" i="31" s="1"/>
  <c r="I28" i="31"/>
  <c r="J28" i="31" s="1"/>
  <c r="I42" i="31"/>
  <c r="J42" i="31" s="1"/>
  <c r="I54" i="31"/>
  <c r="J54" i="31" s="1"/>
  <c r="I73" i="31"/>
  <c r="J73" i="31" s="1"/>
  <c r="I68" i="31"/>
  <c r="J68" i="31" s="1"/>
  <c r="I65" i="31"/>
  <c r="J65" i="31" s="1"/>
  <c r="I76" i="31"/>
  <c r="J76" i="31" s="1"/>
  <c r="I48" i="31"/>
  <c r="J48" i="31" s="1"/>
  <c r="I13" i="31"/>
  <c r="J13" i="31" s="1"/>
  <c r="I101" i="31"/>
  <c r="J101" i="31" s="1"/>
  <c r="I10" i="31"/>
  <c r="J10" i="31" s="1"/>
  <c r="I98" i="31"/>
  <c r="J98" i="31" s="1"/>
  <c r="I109" i="31"/>
  <c r="J109" i="31" s="1"/>
  <c r="I58" i="31"/>
  <c r="J58" i="31" s="1"/>
  <c r="I64" i="31"/>
  <c r="J64" i="31" s="1"/>
  <c r="I35" i="31"/>
  <c r="J35" i="31" s="1"/>
  <c r="I24" i="31"/>
  <c r="J24" i="31" s="1"/>
  <c r="I60" i="31"/>
  <c r="J60" i="31" s="1"/>
  <c r="I71" i="31"/>
  <c r="J71" i="31" s="1"/>
  <c r="I79" i="31"/>
  <c r="J79" i="31" s="1"/>
  <c r="I77" i="31"/>
  <c r="J77" i="31" s="1"/>
  <c r="I80" i="31"/>
  <c r="J80" i="31" s="1"/>
  <c r="I93" i="31"/>
  <c r="J93" i="31" s="1"/>
  <c r="I66" i="31"/>
  <c r="J66" i="31" s="1"/>
  <c r="I104" i="31"/>
  <c r="J104" i="31" s="1"/>
  <c r="I52" i="31"/>
  <c r="J52" i="31" s="1"/>
  <c r="I37" i="31"/>
  <c r="J37" i="31" s="1"/>
  <c r="I74" i="31"/>
  <c r="J74" i="31" s="1"/>
  <c r="I30" i="31"/>
  <c r="J30" i="31" s="1"/>
  <c r="I23" i="31"/>
  <c r="J23" i="31" s="1"/>
  <c r="I38" i="31"/>
  <c r="J38" i="31" s="1"/>
  <c r="I92" i="31"/>
  <c r="J92" i="31" s="1"/>
  <c r="I72" i="31"/>
  <c r="J72" i="31" s="1"/>
  <c r="I85" i="31"/>
  <c r="J85" i="31" s="1"/>
  <c r="I18" i="31"/>
  <c r="J18" i="31" s="1"/>
  <c r="I33" i="31"/>
  <c r="J33" i="31" s="1"/>
  <c r="I50" i="31"/>
  <c r="J50" i="31" s="1"/>
  <c r="I90" i="31"/>
  <c r="J90" i="31" s="1"/>
  <c r="I25" i="31"/>
  <c r="J25" i="31" s="1"/>
  <c r="I47" i="31"/>
  <c r="J47" i="31" s="1"/>
  <c r="I46" i="31"/>
  <c r="J46" i="31" s="1"/>
  <c r="I87" i="31"/>
  <c r="J87" i="31" s="1"/>
  <c r="I59" i="31"/>
  <c r="J59" i="31" s="1"/>
  <c r="I81" i="31"/>
  <c r="J81" i="31" s="1"/>
  <c r="I99" i="31"/>
  <c r="J99" i="31" s="1"/>
  <c r="I14" i="31"/>
  <c r="J14" i="31" s="1"/>
  <c r="I41" i="31"/>
  <c r="J41" i="31" s="1"/>
  <c r="I56" i="31"/>
  <c r="J56" i="31" s="1"/>
  <c r="I106" i="31"/>
  <c r="J106" i="31" s="1"/>
  <c r="I97" i="31"/>
  <c r="J97" i="31" s="1"/>
  <c r="BB59" i="31" l="1"/>
  <c r="BA59" i="31"/>
  <c r="AZ59" i="31"/>
  <c r="BF59" i="31"/>
  <c r="BH59" i="31" s="1"/>
  <c r="AR59" i="31"/>
  <c r="M59" i="31"/>
  <c r="AZ68" i="31"/>
  <c r="BB68" i="31"/>
  <c r="BA68" i="31"/>
  <c r="BF68" i="31"/>
  <c r="BH68" i="31" s="1"/>
  <c r="M68" i="31"/>
  <c r="AR68" i="31"/>
  <c r="AR39" i="31"/>
  <c r="BB39" i="31"/>
  <c r="M39" i="31"/>
  <c r="AZ39" i="31"/>
  <c r="BF39" i="31"/>
  <c r="BH39" i="31" s="1"/>
  <c r="BA39" i="31"/>
  <c r="M90" i="31"/>
  <c r="N90" i="31" s="1"/>
  <c r="T90" i="31" s="1"/>
  <c r="AZ90" i="31"/>
  <c r="AR90" i="31"/>
  <c r="BB90" i="31"/>
  <c r="BA90" i="31"/>
  <c r="BF90" i="31"/>
  <c r="BH90" i="31" s="1"/>
  <c r="M74" i="31"/>
  <c r="N74" i="31" s="1"/>
  <c r="T74" i="31" s="1"/>
  <c r="BB74" i="31"/>
  <c r="BF74" i="31"/>
  <c r="BH74" i="31" s="1"/>
  <c r="AZ74" i="31"/>
  <c r="BA74" i="31"/>
  <c r="AR74" i="31"/>
  <c r="BF66" i="31"/>
  <c r="BH66" i="31" s="1"/>
  <c r="BB66" i="31"/>
  <c r="BA66" i="31"/>
  <c r="AZ66" i="31"/>
  <c r="AR66" i="31"/>
  <c r="M66" i="31"/>
  <c r="BF24" i="31"/>
  <c r="BH24" i="31" s="1"/>
  <c r="BB24" i="31"/>
  <c r="BA24" i="31"/>
  <c r="M24" i="31"/>
  <c r="N24" i="31" s="1"/>
  <c r="T24" i="31" s="1"/>
  <c r="AR24" i="31"/>
  <c r="AZ24" i="31"/>
  <c r="AR10" i="31"/>
  <c r="BB10" i="31"/>
  <c r="BF10" i="31"/>
  <c r="BH10" i="31" s="1"/>
  <c r="BA10" i="31"/>
  <c r="M10" i="31"/>
  <c r="AZ10" i="31"/>
  <c r="BF73" i="31"/>
  <c r="BH73" i="31" s="1"/>
  <c r="BA73" i="31"/>
  <c r="AZ73" i="31"/>
  <c r="M73" i="31"/>
  <c r="N73" i="31" s="1"/>
  <c r="T73" i="31" s="1"/>
  <c r="BB73" i="31"/>
  <c r="AR73" i="31"/>
  <c r="BF32" i="31"/>
  <c r="BH32" i="31" s="1"/>
  <c r="M32" i="31"/>
  <c r="AZ32" i="31"/>
  <c r="BB32" i="31"/>
  <c r="AR32" i="31"/>
  <c r="BA32" i="31"/>
  <c r="BF15" i="31"/>
  <c r="BH15" i="31" s="1"/>
  <c r="BA15" i="31"/>
  <c r="M15" i="31"/>
  <c r="BB15" i="31"/>
  <c r="AR15" i="31"/>
  <c r="AZ15" i="31"/>
  <c r="BF49" i="31"/>
  <c r="BH49" i="31" s="1"/>
  <c r="BB49" i="31"/>
  <c r="BA49" i="31"/>
  <c r="AR49" i="31"/>
  <c r="M49" i="31"/>
  <c r="AZ49" i="31"/>
  <c r="AZ43" i="31"/>
  <c r="BF43" i="31"/>
  <c r="BH43" i="31" s="1"/>
  <c r="M43" i="31"/>
  <c r="N43" i="31" s="1"/>
  <c r="O43" i="31" s="1"/>
  <c r="U43" i="31" s="1"/>
  <c r="BB43" i="31"/>
  <c r="AR43" i="31"/>
  <c r="BA43" i="31"/>
  <c r="BB102" i="31"/>
  <c r="BA102" i="31"/>
  <c r="BF102" i="31"/>
  <c r="BH102" i="31" s="1"/>
  <c r="M102" i="31"/>
  <c r="AR102" i="31"/>
  <c r="AZ102" i="31"/>
  <c r="M25" i="31"/>
  <c r="BF25" i="31"/>
  <c r="BH25" i="31" s="1"/>
  <c r="AZ25" i="31"/>
  <c r="BA25" i="31"/>
  <c r="AR25" i="31"/>
  <c r="BB25" i="31"/>
  <c r="BA104" i="31"/>
  <c r="BF104" i="31"/>
  <c r="BH104" i="31" s="1"/>
  <c r="BB104" i="31"/>
  <c r="AR104" i="31"/>
  <c r="AZ104" i="31"/>
  <c r="M104" i="31"/>
  <c r="N104" i="31" s="1"/>
  <c r="T104" i="31" s="1"/>
  <c r="AR98" i="31"/>
  <c r="BB98" i="31"/>
  <c r="BA98" i="31"/>
  <c r="M98" i="31"/>
  <c r="BF98" i="31"/>
  <c r="BH98" i="31" s="1"/>
  <c r="AZ98" i="31"/>
  <c r="M88" i="31"/>
  <c r="N88" i="31" s="1"/>
  <c r="T88" i="31" s="1"/>
  <c r="AZ88" i="31"/>
  <c r="BF88" i="31"/>
  <c r="BH88" i="31" s="1"/>
  <c r="BB88" i="31"/>
  <c r="BA88" i="31"/>
  <c r="AR88" i="31"/>
  <c r="M31" i="31"/>
  <c r="BB31" i="31"/>
  <c r="BA31" i="31"/>
  <c r="AZ31" i="31"/>
  <c r="AR31" i="31"/>
  <c r="BF31" i="31"/>
  <c r="BH31" i="31" s="1"/>
  <c r="AR89" i="31"/>
  <c r="BB89" i="31"/>
  <c r="BA89" i="31"/>
  <c r="M89" i="31"/>
  <c r="BF89" i="31"/>
  <c r="BH89" i="31" s="1"/>
  <c r="AZ89" i="31"/>
  <c r="AR99" i="31"/>
  <c r="BF99" i="31"/>
  <c r="BH99" i="31" s="1"/>
  <c r="M99" i="31"/>
  <c r="BA99" i="31"/>
  <c r="BB99" i="31"/>
  <c r="AZ99" i="31"/>
  <c r="M50" i="31"/>
  <c r="AZ50" i="31"/>
  <c r="AR50" i="31"/>
  <c r="BB50" i="31"/>
  <c r="BF50" i="31"/>
  <c r="BH50" i="31" s="1"/>
  <c r="BA50" i="31"/>
  <c r="BA37" i="31"/>
  <c r="M37" i="31"/>
  <c r="AZ37" i="31"/>
  <c r="AR37" i="31"/>
  <c r="BB37" i="31"/>
  <c r="BF37" i="31"/>
  <c r="BH37" i="31" s="1"/>
  <c r="AR35" i="31"/>
  <c r="BF35" i="31"/>
  <c r="BH35" i="31" s="1"/>
  <c r="BA35" i="31"/>
  <c r="M35" i="31"/>
  <c r="AZ35" i="31"/>
  <c r="BB35" i="31"/>
  <c r="BB101" i="31"/>
  <c r="BF101" i="31"/>
  <c r="BH101" i="31" s="1"/>
  <c r="BA101" i="31"/>
  <c r="M101" i="31"/>
  <c r="AZ101" i="31"/>
  <c r="AR101" i="31"/>
  <c r="AR54" i="31"/>
  <c r="BB54" i="31"/>
  <c r="BA54" i="31"/>
  <c r="AZ54" i="31"/>
  <c r="BF54" i="31"/>
  <c r="BH54" i="31" s="1"/>
  <c r="M54" i="31"/>
  <c r="N54" i="31" s="1"/>
  <c r="T54" i="31" s="1"/>
  <c r="M26" i="31"/>
  <c r="BB26" i="31"/>
  <c r="AR26" i="31"/>
  <c r="BA26" i="31"/>
  <c r="AZ26" i="31"/>
  <c r="BF26" i="31"/>
  <c r="BH26" i="31" s="1"/>
  <c r="BB20" i="31"/>
  <c r="BF20" i="31"/>
  <c r="BH20" i="31" s="1"/>
  <c r="BA20" i="31"/>
  <c r="AZ20" i="31"/>
  <c r="AR20" i="31"/>
  <c r="M20" i="31"/>
  <c r="BB27" i="31"/>
  <c r="BA27" i="31"/>
  <c r="M27" i="31"/>
  <c r="N27" i="31" s="1"/>
  <c r="T27" i="31" s="1"/>
  <c r="AR27" i="31"/>
  <c r="BF27" i="31"/>
  <c r="BH27" i="31" s="1"/>
  <c r="AZ27" i="31"/>
  <c r="BB45" i="31"/>
  <c r="BF45" i="31"/>
  <c r="BH45" i="31" s="1"/>
  <c r="BA45" i="31"/>
  <c r="AZ45" i="31"/>
  <c r="AR45" i="31"/>
  <c r="M45" i="31"/>
  <c r="N45" i="31" s="1"/>
  <c r="BB106" i="31"/>
  <c r="BA106" i="31"/>
  <c r="BF106" i="31"/>
  <c r="BH106" i="31" s="1"/>
  <c r="M106" i="31"/>
  <c r="AR106" i="31"/>
  <c r="AZ106" i="31"/>
  <c r="BB30" i="31"/>
  <c r="BA30" i="31"/>
  <c r="M30" i="31"/>
  <c r="AZ30" i="31"/>
  <c r="BF30" i="31"/>
  <c r="BH30" i="31" s="1"/>
  <c r="AR30" i="31"/>
  <c r="BB60" i="31"/>
  <c r="BF60" i="31"/>
  <c r="BH60" i="31" s="1"/>
  <c r="M60" i="31"/>
  <c r="AZ60" i="31"/>
  <c r="AR60" i="31"/>
  <c r="BA60" i="31"/>
  <c r="BA17" i="31"/>
  <c r="M17" i="31"/>
  <c r="AZ17" i="31"/>
  <c r="BF17" i="31"/>
  <c r="BH17" i="31" s="1"/>
  <c r="AR17" i="31"/>
  <c r="BB17" i="31"/>
  <c r="AZ81" i="31"/>
  <c r="BB81" i="31"/>
  <c r="AR81" i="31"/>
  <c r="M81" i="31"/>
  <c r="N81" i="31" s="1"/>
  <c r="T81" i="31" s="1"/>
  <c r="BA81" i="31"/>
  <c r="BF81" i="31"/>
  <c r="BH81" i="31" s="1"/>
  <c r="BF33" i="31"/>
  <c r="BH33" i="31" s="1"/>
  <c r="AZ33" i="31"/>
  <c r="BB33" i="31"/>
  <c r="AR33" i="31"/>
  <c r="BA33" i="31"/>
  <c r="M33" i="31"/>
  <c r="AR93" i="31"/>
  <c r="BA93" i="31"/>
  <c r="AZ93" i="31"/>
  <c r="BB93" i="31"/>
  <c r="M93" i="31"/>
  <c r="BF93" i="31"/>
  <c r="BH93" i="31" s="1"/>
  <c r="BA64" i="31"/>
  <c r="BB64" i="31"/>
  <c r="AZ64" i="31"/>
  <c r="BF64" i="31"/>
  <c r="BH64" i="31" s="1"/>
  <c r="AR64" i="31"/>
  <c r="M64" i="31"/>
  <c r="BF13" i="31"/>
  <c r="BH13" i="31" s="1"/>
  <c r="M13" i="31"/>
  <c r="BB13" i="31"/>
  <c r="BA13" i="31"/>
  <c r="AR13" i="31"/>
  <c r="AZ13" i="31"/>
  <c r="AZ42" i="31"/>
  <c r="AR42" i="31"/>
  <c r="BF42" i="31"/>
  <c r="BH42" i="31" s="1"/>
  <c r="M42" i="31"/>
  <c r="BA42" i="31"/>
  <c r="BB42" i="31"/>
  <c r="BA57" i="31"/>
  <c r="BB57" i="31"/>
  <c r="M57" i="31"/>
  <c r="N57" i="31" s="1"/>
  <c r="T57" i="31" s="1"/>
  <c r="AZ57" i="31"/>
  <c r="BF57" i="31"/>
  <c r="BH57" i="31" s="1"/>
  <c r="AR57" i="31"/>
  <c r="BF67" i="31"/>
  <c r="BH67" i="31" s="1"/>
  <c r="BB67" i="31"/>
  <c r="BA67" i="31"/>
  <c r="AR67" i="31"/>
  <c r="M67" i="31"/>
  <c r="AZ67" i="31"/>
  <c r="BA63" i="31"/>
  <c r="BB63" i="31"/>
  <c r="BF63" i="31"/>
  <c r="BH63" i="31" s="1"/>
  <c r="M63" i="31"/>
  <c r="N63" i="31" s="1"/>
  <c r="O63" i="31" s="1"/>
  <c r="AZ63" i="31"/>
  <c r="AR63" i="31"/>
  <c r="BB61" i="31"/>
  <c r="BA61" i="31"/>
  <c r="BF61" i="31"/>
  <c r="BH61" i="31" s="1"/>
  <c r="AZ61" i="31"/>
  <c r="AR61" i="31"/>
  <c r="M61" i="31"/>
  <c r="BF87" i="31"/>
  <c r="BH87" i="31" s="1"/>
  <c r="AZ87" i="31"/>
  <c r="BB87" i="31"/>
  <c r="AR87" i="31"/>
  <c r="BA87" i="31"/>
  <c r="M87" i="31"/>
  <c r="AR18" i="31"/>
  <c r="M18" i="31"/>
  <c r="N18" i="31" s="1"/>
  <c r="T18" i="31" s="1"/>
  <c r="BF18" i="31"/>
  <c r="BH18" i="31" s="1"/>
  <c r="BB18" i="31"/>
  <c r="AZ18" i="31"/>
  <c r="BA18" i="31"/>
  <c r="BA72" i="31"/>
  <c r="BB72" i="31"/>
  <c r="M72" i="31"/>
  <c r="AZ72" i="31"/>
  <c r="BF72" i="31"/>
  <c r="BH72" i="31" s="1"/>
  <c r="AR72" i="31"/>
  <c r="AR80" i="31"/>
  <c r="BF80" i="31"/>
  <c r="BH80" i="31" s="1"/>
  <c r="BB80" i="31"/>
  <c r="M80" i="31"/>
  <c r="AZ80" i="31"/>
  <c r="BA80" i="31"/>
  <c r="BA58" i="31"/>
  <c r="M58" i="31"/>
  <c r="AZ58" i="31"/>
  <c r="BB58" i="31"/>
  <c r="BF58" i="31"/>
  <c r="BH58" i="31" s="1"/>
  <c r="AR58" i="31"/>
  <c r="BF48" i="31"/>
  <c r="BH48" i="31" s="1"/>
  <c r="BA48" i="31"/>
  <c r="AZ48" i="31"/>
  <c r="AR48" i="31"/>
  <c r="M48" i="31"/>
  <c r="BB48" i="31"/>
  <c r="AZ28" i="31"/>
  <c r="BB28" i="31"/>
  <c r="M28" i="31"/>
  <c r="AR28" i="31"/>
  <c r="BF28" i="31"/>
  <c r="BH28" i="31" s="1"/>
  <c r="BA28" i="31"/>
  <c r="AZ44" i="31"/>
  <c r="M44" i="31"/>
  <c r="N44" i="31" s="1"/>
  <c r="O44" i="31" s="1"/>
  <c r="BF44" i="31"/>
  <c r="BH44" i="31" s="1"/>
  <c r="AR44" i="31"/>
  <c r="BB44" i="31"/>
  <c r="BA44" i="31"/>
  <c r="BF96" i="31"/>
  <c r="BH96" i="31" s="1"/>
  <c r="BA96" i="31"/>
  <c r="BB96" i="31"/>
  <c r="M96" i="31"/>
  <c r="N96" i="31" s="1"/>
  <c r="T96" i="31" s="1"/>
  <c r="AR96" i="31"/>
  <c r="AZ96" i="31"/>
  <c r="AR21" i="31"/>
  <c r="BF21" i="31"/>
  <c r="BH21" i="31" s="1"/>
  <c r="M21" i="31"/>
  <c r="N21" i="31" s="1"/>
  <c r="T21" i="31" s="1"/>
  <c r="AZ21" i="31"/>
  <c r="BB21" i="31"/>
  <c r="BA21" i="31"/>
  <c r="BA100" i="31"/>
  <c r="BF100" i="31"/>
  <c r="BH100" i="31" s="1"/>
  <c r="BB100" i="31"/>
  <c r="AR100" i="31"/>
  <c r="M100" i="31"/>
  <c r="N100" i="31" s="1"/>
  <c r="T100" i="31" s="1"/>
  <c r="AZ100" i="31"/>
  <c r="BF9" i="31"/>
  <c r="BH9" i="31" s="1"/>
  <c r="B75" i="31" s="1"/>
  <c r="B76" i="31" s="1"/>
  <c r="AR9" i="31"/>
  <c r="AZ9" i="31"/>
  <c r="M9" i="31"/>
  <c r="BB9" i="31"/>
  <c r="BA9" i="31"/>
  <c r="M78" i="31"/>
  <c r="BF78" i="31"/>
  <c r="BH78" i="31" s="1"/>
  <c r="AR78" i="31"/>
  <c r="BA78" i="31"/>
  <c r="AZ78" i="31"/>
  <c r="BB78" i="31"/>
  <c r="BB97" i="31"/>
  <c r="M97" i="31"/>
  <c r="N97" i="31" s="1"/>
  <c r="T97" i="31" s="1"/>
  <c r="AZ97" i="31"/>
  <c r="AR97" i="31"/>
  <c r="BF97" i="31"/>
  <c r="BH97" i="31" s="1"/>
  <c r="BA97" i="31"/>
  <c r="AZ56" i="31"/>
  <c r="AR56" i="31"/>
  <c r="BF56" i="31"/>
  <c r="BH56" i="31" s="1"/>
  <c r="BA56" i="31"/>
  <c r="M56" i="31"/>
  <c r="BB56" i="31"/>
  <c r="M85" i="31"/>
  <c r="N85" i="31" s="1"/>
  <c r="T85" i="31" s="1"/>
  <c r="BF85" i="31"/>
  <c r="BH85" i="31" s="1"/>
  <c r="AR85" i="31"/>
  <c r="BB85" i="31"/>
  <c r="BA85" i="31"/>
  <c r="AZ85" i="31"/>
  <c r="AR92" i="31"/>
  <c r="BB92" i="31"/>
  <c r="BA92" i="31"/>
  <c r="BF92" i="31"/>
  <c r="BH92" i="31" s="1"/>
  <c r="M92" i="31"/>
  <c r="N92" i="31" s="1"/>
  <c r="O92" i="31" s="1"/>
  <c r="AZ92" i="31"/>
  <c r="BF77" i="31"/>
  <c r="BH77" i="31" s="1"/>
  <c r="M77" i="31"/>
  <c r="AZ77" i="31"/>
  <c r="AR77" i="31"/>
  <c r="BB77" i="31"/>
  <c r="BA77" i="31"/>
  <c r="M16" i="31"/>
  <c r="AR16" i="31"/>
  <c r="BF16" i="31"/>
  <c r="BH16" i="31" s="1"/>
  <c r="BA16" i="31"/>
  <c r="AZ16" i="31"/>
  <c r="BB16" i="31"/>
  <c r="BA36" i="31"/>
  <c r="AZ36" i="31"/>
  <c r="AR36" i="31"/>
  <c r="BF36" i="31"/>
  <c r="BH36" i="31" s="1"/>
  <c r="BB36" i="31"/>
  <c r="M36" i="31"/>
  <c r="N36" i="31" s="1"/>
  <c r="T36" i="31" s="1"/>
  <c r="M95" i="31"/>
  <c r="N95" i="31" s="1"/>
  <c r="T95" i="31" s="1"/>
  <c r="BB95" i="31"/>
  <c r="BA95" i="31"/>
  <c r="AZ95" i="31"/>
  <c r="AR95" i="31"/>
  <c r="BF95" i="31"/>
  <c r="BH95" i="31" s="1"/>
  <c r="BF75" i="31"/>
  <c r="BH75" i="31" s="1"/>
  <c r="BB75" i="31"/>
  <c r="AZ75" i="31"/>
  <c r="BA75" i="31"/>
  <c r="AR75" i="31"/>
  <c r="M75" i="31"/>
  <c r="M22" i="31"/>
  <c r="BF22" i="31"/>
  <c r="BH22" i="31" s="1"/>
  <c r="BB22" i="31"/>
  <c r="BA22" i="31"/>
  <c r="AR22" i="31"/>
  <c r="AZ22" i="31"/>
  <c r="BA108" i="31"/>
  <c r="BF108" i="31"/>
  <c r="BH108" i="31" s="1"/>
  <c r="BB108" i="31"/>
  <c r="AR108" i="31"/>
  <c r="M108" i="31"/>
  <c r="N108" i="31" s="1"/>
  <c r="O108" i="31" s="1"/>
  <c r="AZ108" i="31"/>
  <c r="BB94" i="31"/>
  <c r="BA94" i="31"/>
  <c r="BF94" i="31"/>
  <c r="BH94" i="31" s="1"/>
  <c r="AR94" i="31"/>
  <c r="AZ94" i="31"/>
  <c r="M94" i="31"/>
  <c r="BB83" i="31"/>
  <c r="BA83" i="31"/>
  <c r="BF83" i="31"/>
  <c r="BH83" i="31" s="1"/>
  <c r="AR83" i="31"/>
  <c r="AZ83" i="31"/>
  <c r="M83" i="31"/>
  <c r="N83" i="31" s="1"/>
  <c r="T83" i="31" s="1"/>
  <c r="AR69" i="31"/>
  <c r="BF69" i="31"/>
  <c r="BH69" i="31" s="1"/>
  <c r="BB69" i="31"/>
  <c r="BA69" i="31"/>
  <c r="M69" i="31"/>
  <c r="N69" i="31" s="1"/>
  <c r="T69" i="31" s="1"/>
  <c r="AZ69" i="31"/>
  <c r="BB41" i="31"/>
  <c r="AZ41" i="31"/>
  <c r="AR41" i="31"/>
  <c r="M41" i="31"/>
  <c r="N41" i="31" s="1"/>
  <c r="T41" i="31" s="1"/>
  <c r="BF41" i="31"/>
  <c r="BH41" i="31" s="1"/>
  <c r="BA41" i="31"/>
  <c r="AR46" i="31"/>
  <c r="BB46" i="31"/>
  <c r="BA46" i="31"/>
  <c r="M46" i="31"/>
  <c r="BF46" i="31"/>
  <c r="BH46" i="31" s="1"/>
  <c r="AZ46" i="31"/>
  <c r="BF38" i="31"/>
  <c r="BH38" i="31" s="1"/>
  <c r="BA38" i="31"/>
  <c r="M38" i="31"/>
  <c r="N38" i="31" s="1"/>
  <c r="T38" i="31" s="1"/>
  <c r="BB38" i="31"/>
  <c r="AR38" i="31"/>
  <c r="AZ38" i="31"/>
  <c r="BB52" i="31"/>
  <c r="BA52" i="31"/>
  <c r="BF52" i="31"/>
  <c r="BH52" i="31" s="1"/>
  <c r="M52" i="31"/>
  <c r="AZ52" i="31"/>
  <c r="AR52" i="31"/>
  <c r="AR79" i="31"/>
  <c r="BA79" i="31"/>
  <c r="BB79" i="31"/>
  <c r="AZ79" i="31"/>
  <c r="M79" i="31"/>
  <c r="N79" i="31" s="1"/>
  <c r="O79" i="31" s="1"/>
  <c r="BF79" i="31"/>
  <c r="BH79" i="31" s="1"/>
  <c r="AZ76" i="31"/>
  <c r="BB76" i="31"/>
  <c r="AR76" i="31"/>
  <c r="BF76" i="31"/>
  <c r="BH76" i="31" s="1"/>
  <c r="BA76" i="31"/>
  <c r="M76" i="31"/>
  <c r="N76" i="31" s="1"/>
  <c r="T76" i="31" s="1"/>
  <c r="BF11" i="31"/>
  <c r="BH11" i="31" s="1"/>
  <c r="M11" i="31"/>
  <c r="BB11" i="31"/>
  <c r="AZ11" i="31"/>
  <c r="BA11" i="31"/>
  <c r="AR11" i="31"/>
  <c r="M55" i="31"/>
  <c r="N55" i="31" s="1"/>
  <c r="T55" i="31" s="1"/>
  <c r="BB55" i="31"/>
  <c r="AZ55" i="31"/>
  <c r="AR55" i="31"/>
  <c r="BF55" i="31"/>
  <c r="BH55" i="31" s="1"/>
  <c r="BA55" i="31"/>
  <c r="M91" i="31"/>
  <c r="AZ91" i="31"/>
  <c r="AR91" i="31"/>
  <c r="BB91" i="31"/>
  <c r="BF91" i="31"/>
  <c r="BH91" i="31" s="1"/>
  <c r="BA91" i="31"/>
  <c r="BA84" i="31"/>
  <c r="M84" i="31"/>
  <c r="N84" i="31" s="1"/>
  <c r="T84" i="31" s="1"/>
  <c r="BB84" i="31"/>
  <c r="AR84" i="31"/>
  <c r="BF84" i="31"/>
  <c r="BH84" i="31" s="1"/>
  <c r="AZ84" i="31"/>
  <c r="BB62" i="31"/>
  <c r="BF62" i="31"/>
  <c r="BH62" i="31" s="1"/>
  <c r="M62" i="31"/>
  <c r="N62" i="31" s="1"/>
  <c r="T62" i="31" s="1"/>
  <c r="BA62" i="31"/>
  <c r="AR62" i="31"/>
  <c r="AZ62" i="31"/>
  <c r="BA107" i="31"/>
  <c r="M107" i="31"/>
  <c r="BB107" i="31"/>
  <c r="AZ107" i="31"/>
  <c r="AR107" i="31"/>
  <c r="BF107" i="31"/>
  <c r="BH107" i="31" s="1"/>
  <c r="BF12" i="31"/>
  <c r="BH12" i="31" s="1"/>
  <c r="BB12" i="31"/>
  <c r="BA12" i="31"/>
  <c r="AZ12" i="31"/>
  <c r="AR12" i="31"/>
  <c r="M12" i="31"/>
  <c r="N12" i="31" s="1"/>
  <c r="O12" i="31" s="1"/>
  <c r="BF86" i="31"/>
  <c r="BH86" i="31" s="1"/>
  <c r="BB86" i="31"/>
  <c r="BA86" i="31"/>
  <c r="AZ86" i="31"/>
  <c r="AR86" i="31"/>
  <c r="M86" i="31"/>
  <c r="N86" i="31" s="1"/>
  <c r="T86" i="31" s="1"/>
  <c r="BB70" i="31"/>
  <c r="BA70" i="31"/>
  <c r="BF70" i="31"/>
  <c r="BH70" i="31" s="1"/>
  <c r="AR70" i="31"/>
  <c r="M70" i="31"/>
  <c r="AZ70" i="31"/>
  <c r="BF29" i="31"/>
  <c r="BH29" i="31" s="1"/>
  <c r="BB29" i="31"/>
  <c r="BA29" i="31"/>
  <c r="AZ29" i="31"/>
  <c r="AR29" i="31"/>
  <c r="M29" i="31"/>
  <c r="BA14" i="31"/>
  <c r="M14" i="31"/>
  <c r="N14" i="31" s="1"/>
  <c r="T14" i="31" s="1"/>
  <c r="BF14" i="31"/>
  <c r="BH14" i="31" s="1"/>
  <c r="AR14" i="31"/>
  <c r="BB14" i="31"/>
  <c r="AZ14" i="31"/>
  <c r="AR47" i="31"/>
  <c r="BB47" i="31"/>
  <c r="BF47" i="31"/>
  <c r="BH47" i="31" s="1"/>
  <c r="BA47" i="31"/>
  <c r="M47" i="31"/>
  <c r="N47" i="31" s="1"/>
  <c r="T47" i="31" s="1"/>
  <c r="AZ47" i="31"/>
  <c r="M23" i="31"/>
  <c r="AZ23" i="31"/>
  <c r="BB23" i="31"/>
  <c r="BA23" i="31"/>
  <c r="AR23" i="31"/>
  <c r="BF23" i="31"/>
  <c r="BH23" i="31" s="1"/>
  <c r="BF71" i="31"/>
  <c r="BH71" i="31" s="1"/>
  <c r="AZ71" i="31"/>
  <c r="BA71" i="31"/>
  <c r="AR71" i="31"/>
  <c r="M71" i="31"/>
  <c r="N71" i="31" s="1"/>
  <c r="T71" i="31" s="1"/>
  <c r="BB71" i="31"/>
  <c r="BF109" i="31"/>
  <c r="BH109" i="31" s="1"/>
  <c r="BA109" i="31"/>
  <c r="BB109" i="31"/>
  <c r="AR109" i="31"/>
  <c r="AZ109" i="31"/>
  <c r="M109" i="31"/>
  <c r="N109" i="31" s="1"/>
  <c r="T109" i="31" s="1"/>
  <c r="AR65" i="31"/>
  <c r="BF65" i="31"/>
  <c r="BH65" i="31" s="1"/>
  <c r="M65" i="31"/>
  <c r="N65" i="31" s="1"/>
  <c r="T65" i="31" s="1"/>
  <c r="BB65" i="31"/>
  <c r="BA65" i="31"/>
  <c r="AZ65" i="31"/>
  <c r="AZ51" i="31"/>
  <c r="AR51" i="31"/>
  <c r="BF51" i="31"/>
  <c r="BH51" i="31" s="1"/>
  <c r="BB51" i="31"/>
  <c r="M51" i="31"/>
  <c r="N51" i="31" s="1"/>
  <c r="T51" i="31" s="1"/>
  <c r="BA51" i="31"/>
  <c r="M53" i="31"/>
  <c r="N53" i="31" s="1"/>
  <c r="T53" i="31" s="1"/>
  <c r="AZ53" i="31"/>
  <c r="BF53" i="31"/>
  <c r="BH53" i="31" s="1"/>
  <c r="BA53" i="31"/>
  <c r="BB53" i="31"/>
  <c r="AR53" i="31"/>
  <c r="M19" i="31"/>
  <c r="N19" i="31" s="1"/>
  <c r="T19" i="31" s="1"/>
  <c r="AZ19" i="31"/>
  <c r="AR19" i="31"/>
  <c r="BB19" i="31"/>
  <c r="BA19" i="31"/>
  <c r="BF19" i="31"/>
  <c r="BH19" i="31" s="1"/>
  <c r="BF103" i="31"/>
  <c r="BH103" i="31" s="1"/>
  <c r="BA103" i="31"/>
  <c r="BB103" i="31"/>
  <c r="AR103" i="31"/>
  <c r="AZ103" i="31"/>
  <c r="M103" i="31"/>
  <c r="N103" i="31" s="1"/>
  <c r="O103" i="31" s="1"/>
  <c r="BB105" i="31"/>
  <c r="BA105" i="31"/>
  <c r="AR105" i="31"/>
  <c r="BF105" i="31"/>
  <c r="BH105" i="31" s="1"/>
  <c r="AZ105" i="31"/>
  <c r="M105" i="31"/>
  <c r="N105" i="31" s="1"/>
  <c r="T105" i="31" s="1"/>
  <c r="BF40" i="31"/>
  <c r="BH40" i="31" s="1"/>
  <c r="BB40" i="31"/>
  <c r="BA40" i="31"/>
  <c r="AR40" i="31"/>
  <c r="M40" i="31"/>
  <c r="AZ40" i="31"/>
  <c r="BF34" i="31"/>
  <c r="BH34" i="31" s="1"/>
  <c r="M34" i="31"/>
  <c r="N34" i="31" s="1"/>
  <c r="T34" i="31" s="1"/>
  <c r="AZ34" i="31"/>
  <c r="AR34" i="31"/>
  <c r="BB34" i="31"/>
  <c r="BA34" i="31"/>
  <c r="BB82" i="31"/>
  <c r="AZ82" i="31"/>
  <c r="AR82" i="31"/>
  <c r="BA82" i="31"/>
  <c r="BF82" i="31"/>
  <c r="BH82" i="31" s="1"/>
  <c r="M82" i="31"/>
  <c r="N82" i="31" s="1"/>
  <c r="T82" i="31" s="1"/>
  <c r="P63" i="31" l="1"/>
  <c r="Q63" i="31" s="1"/>
  <c r="R63" i="31" s="1"/>
  <c r="T44" i="31"/>
  <c r="T103" i="31"/>
  <c r="T12" i="31"/>
  <c r="U103" i="31"/>
  <c r="T63" i="31"/>
  <c r="U79" i="31"/>
  <c r="U63" i="31"/>
  <c r="T45" i="31"/>
  <c r="T43" i="31"/>
  <c r="U12" i="31"/>
  <c r="U108" i="31"/>
  <c r="U44" i="31"/>
  <c r="T92" i="31"/>
  <c r="T79" i="31"/>
  <c r="T108" i="31"/>
  <c r="U92" i="31"/>
  <c r="P43" i="31"/>
  <c r="Q43" i="31" s="1"/>
  <c r="R43" i="31" s="1"/>
  <c r="P103" i="31"/>
  <c r="Q103" i="31" s="1"/>
  <c r="R103" i="31" s="1"/>
  <c r="N37" i="31"/>
  <c r="P37" i="31" s="1"/>
  <c r="N48" i="31"/>
  <c r="P48" i="31" s="1"/>
  <c r="Q48" i="31" s="1"/>
  <c r="N66" i="31"/>
  <c r="P66" i="31" s="1"/>
  <c r="Q66" i="31" s="1"/>
  <c r="N91" i="31"/>
  <c r="T91" i="31" s="1"/>
  <c r="P79" i="31"/>
  <c r="Q79" i="31" s="1"/>
  <c r="W63" i="31"/>
  <c r="AY63" i="31" s="1"/>
  <c r="N39" i="31"/>
  <c r="P95" i="31"/>
  <c r="Q95" i="31" s="1"/>
  <c r="N58" i="31"/>
  <c r="N30" i="31"/>
  <c r="T30" i="31" s="1"/>
  <c r="P90" i="31"/>
  <c r="Q90" i="31" s="1"/>
  <c r="R90" i="31" s="1"/>
  <c r="P38" i="31"/>
  <c r="Q38" i="31" s="1"/>
  <c r="R38" i="31" s="1"/>
  <c r="N70" i="31"/>
  <c r="P70" i="31" s="1"/>
  <c r="Q70" i="31" s="1"/>
  <c r="N50" i="31"/>
  <c r="N93" i="31"/>
  <c r="P109" i="31"/>
  <c r="Q109" i="31" s="1"/>
  <c r="P36" i="31"/>
  <c r="Q36" i="31" s="1"/>
  <c r="P92" i="31"/>
  <c r="Q92" i="31" s="1"/>
  <c r="P100" i="31"/>
  <c r="Q100" i="31" s="1"/>
  <c r="N67" i="31"/>
  <c r="P67" i="31" s="1"/>
  <c r="N31" i="31"/>
  <c r="P31" i="31" s="1"/>
  <c r="Q31" i="31" s="1"/>
  <c r="R31" i="31" s="1"/>
  <c r="N106" i="31"/>
  <c r="P106" i="31" s="1"/>
  <c r="Q106" i="31" s="1"/>
  <c r="N49" i="31"/>
  <c r="P49" i="31" s="1"/>
  <c r="Q49" i="31" s="1"/>
  <c r="P76" i="31"/>
  <c r="Q76" i="31" s="1"/>
  <c r="R76" i="31" s="1"/>
  <c r="N94" i="31"/>
  <c r="N61" i="31"/>
  <c r="T61" i="31" s="1"/>
  <c r="N64" i="31"/>
  <c r="P64" i="31" s="1"/>
  <c r="N26" i="31"/>
  <c r="P26" i="31" s="1"/>
  <c r="N40" i="31"/>
  <c r="O41" i="31"/>
  <c r="U41" i="31" s="1"/>
  <c r="O36" i="31"/>
  <c r="U36" i="31" s="1"/>
  <c r="O34" i="31"/>
  <c r="U34" i="31" s="1"/>
  <c r="P14" i="31"/>
  <c r="N29" i="31"/>
  <c r="T29" i="31" s="1"/>
  <c r="P86" i="31"/>
  <c r="O86" i="31"/>
  <c r="U86" i="31" s="1"/>
  <c r="P84" i="31"/>
  <c r="O84" i="31"/>
  <c r="U84" i="31" s="1"/>
  <c r="O38" i="31"/>
  <c r="P69" i="31"/>
  <c r="Q69" i="31" s="1"/>
  <c r="O69" i="31"/>
  <c r="U69" i="31" s="1"/>
  <c r="P108" i="31"/>
  <c r="N78" i="31"/>
  <c r="T78" i="31" s="1"/>
  <c r="N9" i="31"/>
  <c r="P9" i="31" s="1"/>
  <c r="N80" i="31"/>
  <c r="P80" i="31" s="1"/>
  <c r="P82" i="31"/>
  <c r="O51" i="31"/>
  <c r="U51" i="31" s="1"/>
  <c r="O109" i="31"/>
  <c r="U109" i="31" s="1"/>
  <c r="P96" i="31"/>
  <c r="O96" i="31"/>
  <c r="U96" i="31" s="1"/>
  <c r="N20" i="31"/>
  <c r="P20" i="31" s="1"/>
  <c r="P53" i="31"/>
  <c r="O53" i="31"/>
  <c r="U53" i="31" s="1"/>
  <c r="P47" i="31"/>
  <c r="Q47" i="31" s="1"/>
  <c r="O47" i="31"/>
  <c r="U47" i="31" s="1"/>
  <c r="P55" i="31"/>
  <c r="O55" i="31"/>
  <c r="U55" i="31" s="1"/>
  <c r="N75" i="31"/>
  <c r="P75" i="31" s="1"/>
  <c r="O100" i="31"/>
  <c r="N87" i="31"/>
  <c r="N98" i="31"/>
  <c r="O82" i="31"/>
  <c r="U82" i="31" s="1"/>
  <c r="P62" i="31"/>
  <c r="O62" i="31"/>
  <c r="U62" i="31" s="1"/>
  <c r="P85" i="31"/>
  <c r="O85" i="31"/>
  <c r="U85" i="31" s="1"/>
  <c r="N56" i="31"/>
  <c r="P21" i="31"/>
  <c r="O21" i="31"/>
  <c r="U21" i="31" s="1"/>
  <c r="N33" i="31"/>
  <c r="T33" i="31" s="1"/>
  <c r="N15" i="31"/>
  <c r="P19" i="31"/>
  <c r="O19" i="31"/>
  <c r="U19" i="31" s="1"/>
  <c r="P71" i="31"/>
  <c r="O71" i="31"/>
  <c r="U71" i="31" s="1"/>
  <c r="P12" i="31"/>
  <c r="O76" i="31"/>
  <c r="N52" i="31"/>
  <c r="P41" i="31"/>
  <c r="N22" i="31"/>
  <c r="T22" i="31" s="1"/>
  <c r="N77" i="31"/>
  <c r="P77" i="31" s="1"/>
  <c r="P34" i="31"/>
  <c r="P51" i="31"/>
  <c r="N23" i="31"/>
  <c r="N107" i="31"/>
  <c r="P107" i="31" s="1"/>
  <c r="N11" i="31"/>
  <c r="N46" i="31"/>
  <c r="P46" i="31" s="1"/>
  <c r="N16" i="31"/>
  <c r="P16" i="31" s="1"/>
  <c r="P44" i="31"/>
  <c r="N28" i="31"/>
  <c r="T28" i="31" s="1"/>
  <c r="N72" i="31"/>
  <c r="P105" i="31"/>
  <c r="O105" i="31"/>
  <c r="U105" i="31" s="1"/>
  <c r="P65" i="31"/>
  <c r="O65" i="31"/>
  <c r="U65" i="31" s="1"/>
  <c r="O14" i="31"/>
  <c r="U14" i="31" s="1"/>
  <c r="P83" i="31"/>
  <c r="O83" i="31"/>
  <c r="U83" i="31" s="1"/>
  <c r="O95" i="31"/>
  <c r="P97" i="31"/>
  <c r="O97" i="31"/>
  <c r="U97" i="31" s="1"/>
  <c r="P18" i="31"/>
  <c r="O18" i="31"/>
  <c r="U18" i="31" s="1"/>
  <c r="O61" i="31"/>
  <c r="U61" i="31" s="1"/>
  <c r="P57" i="31"/>
  <c r="O57" i="31"/>
  <c r="U57" i="31" s="1"/>
  <c r="N13" i="31"/>
  <c r="T13" i="31" s="1"/>
  <c r="O27" i="31"/>
  <c r="U27" i="31" s="1"/>
  <c r="N102" i="31"/>
  <c r="P102" i="31" s="1"/>
  <c r="Q102" i="31" s="1"/>
  <c r="O90" i="31"/>
  <c r="N59" i="31"/>
  <c r="P59" i="31" s="1"/>
  <c r="O81" i="31"/>
  <c r="U81" i="31" s="1"/>
  <c r="O54" i="31"/>
  <c r="U54" i="31" s="1"/>
  <c r="P73" i="31"/>
  <c r="O73" i="31"/>
  <c r="U73" i="31" s="1"/>
  <c r="P88" i="31"/>
  <c r="O88" i="31"/>
  <c r="U88" i="31" s="1"/>
  <c r="P104" i="31"/>
  <c r="Q104" i="31" s="1"/>
  <c r="O104" i="31"/>
  <c r="U104" i="31" s="1"/>
  <c r="P24" i="31"/>
  <c r="O24" i="31"/>
  <c r="U24" i="31" s="1"/>
  <c r="P74" i="31"/>
  <c r="O74" i="31"/>
  <c r="U74" i="31" s="1"/>
  <c r="N68" i="31"/>
  <c r="V63" i="31"/>
  <c r="S63" i="31"/>
  <c r="AI63" i="31" s="1"/>
  <c r="N42" i="31"/>
  <c r="N101" i="31"/>
  <c r="T101" i="31" s="1"/>
  <c r="N17" i="31"/>
  <c r="P45" i="31"/>
  <c r="O45" i="31"/>
  <c r="U45" i="31" s="1"/>
  <c r="N89" i="31"/>
  <c r="N25" i="31"/>
  <c r="N32" i="31"/>
  <c r="P81" i="31"/>
  <c r="N60" i="31"/>
  <c r="P60" i="31" s="1"/>
  <c r="Q60" i="31" s="1"/>
  <c r="O30" i="31"/>
  <c r="P27" i="31"/>
  <c r="P54" i="31"/>
  <c r="N35" i="31"/>
  <c r="P35" i="31" s="1"/>
  <c r="N99" i="31"/>
  <c r="P99" i="31" s="1"/>
  <c r="Q99" i="31" s="1"/>
  <c r="R99" i="31" s="1"/>
  <c r="N10" i="31"/>
  <c r="AP63" i="31" l="1"/>
  <c r="S90" i="31"/>
  <c r="AI90" i="31" s="1"/>
  <c r="V90" i="31"/>
  <c r="AJ90" i="31" s="1"/>
  <c r="O78" i="31"/>
  <c r="U78" i="31" s="1"/>
  <c r="P78" i="31"/>
  <c r="O91" i="31"/>
  <c r="U91" i="31" s="1"/>
  <c r="P33" i="31"/>
  <c r="Q33" i="31" s="1"/>
  <c r="S103" i="31"/>
  <c r="AI103" i="31" s="1"/>
  <c r="V43" i="31"/>
  <c r="AJ43" i="31" s="1"/>
  <c r="W103" i="31"/>
  <c r="AP103" i="31" s="1"/>
  <c r="V76" i="31"/>
  <c r="AJ76" i="31" s="1"/>
  <c r="S43" i="31"/>
  <c r="AI43" i="31" s="1"/>
  <c r="V103" i="31"/>
  <c r="AA103" i="31" s="1"/>
  <c r="AB103" i="31" s="1"/>
  <c r="AC103" i="31" s="1"/>
  <c r="W43" i="31"/>
  <c r="AY43" i="31" s="1"/>
  <c r="AN63" i="31"/>
  <c r="AJ63" i="31"/>
  <c r="P61" i="31"/>
  <c r="Q61" i="31" s="1"/>
  <c r="R61" i="31" s="1"/>
  <c r="P101" i="31"/>
  <c r="V38" i="31"/>
  <c r="AJ38" i="31" s="1"/>
  <c r="Q37" i="31"/>
  <c r="R37" i="31" s="1"/>
  <c r="Q107" i="31"/>
  <c r="R107" i="31" s="1"/>
  <c r="R49" i="31"/>
  <c r="R48" i="31"/>
  <c r="V48" i="31" s="1"/>
  <c r="AS48" i="31" s="1"/>
  <c r="Q9" i="31"/>
  <c r="Q35" i="31"/>
  <c r="R35" i="31" s="1"/>
  <c r="R70" i="31"/>
  <c r="V70" i="31" s="1"/>
  <c r="R102" i="31"/>
  <c r="Q64" i="31"/>
  <c r="R64" i="31" s="1"/>
  <c r="Q67" i="31"/>
  <c r="R67" i="31" s="1"/>
  <c r="V67" i="31" s="1"/>
  <c r="AJ67" i="31" s="1"/>
  <c r="R60" i="31"/>
  <c r="V60" i="31" s="1"/>
  <c r="AJ60" i="31" s="1"/>
  <c r="Q26" i="31"/>
  <c r="R26" i="31" s="1"/>
  <c r="O17" i="31"/>
  <c r="U17" i="31" s="1"/>
  <c r="T17" i="31"/>
  <c r="O98" i="31"/>
  <c r="U98" i="31" s="1"/>
  <c r="T98" i="31"/>
  <c r="R100" i="31"/>
  <c r="V100" i="31" s="1"/>
  <c r="Y100" i="31" s="1"/>
  <c r="O68" i="31"/>
  <c r="U68" i="31" s="1"/>
  <c r="T68" i="31"/>
  <c r="R106" i="31"/>
  <c r="V106" i="31" s="1"/>
  <c r="O23" i="31"/>
  <c r="U23" i="31" s="1"/>
  <c r="T23" i="31"/>
  <c r="R66" i="31"/>
  <c r="V66" i="31" s="1"/>
  <c r="O87" i="31"/>
  <c r="U87" i="31" s="1"/>
  <c r="T87" i="31"/>
  <c r="R47" i="31"/>
  <c r="W47" i="31" s="1"/>
  <c r="O40" i="31"/>
  <c r="U40" i="31" s="1"/>
  <c r="T40" i="31"/>
  <c r="R92" i="31"/>
  <c r="W92" i="31" s="1"/>
  <c r="AY92" i="31" s="1"/>
  <c r="P17" i="31"/>
  <c r="Q17" i="31" s="1"/>
  <c r="P22" i="31"/>
  <c r="Q22" i="31" s="1"/>
  <c r="O52" i="31"/>
  <c r="U52" i="31" s="1"/>
  <c r="T52" i="31"/>
  <c r="P68" i="31"/>
  <c r="Q68" i="31" s="1"/>
  <c r="O72" i="31"/>
  <c r="U72" i="31" s="1"/>
  <c r="T72" i="31"/>
  <c r="S76" i="31"/>
  <c r="AI76" i="31" s="1"/>
  <c r="U76" i="31"/>
  <c r="U100" i="31"/>
  <c r="O94" i="31"/>
  <c r="U94" i="31" s="1"/>
  <c r="T94" i="31"/>
  <c r="O58" i="31"/>
  <c r="U58" i="31" s="1"/>
  <c r="T58" i="31"/>
  <c r="O66" i="31"/>
  <c r="U66" i="31" s="1"/>
  <c r="T66" i="31"/>
  <c r="P87" i="31"/>
  <c r="Q87" i="31" s="1"/>
  <c r="R87" i="31" s="1"/>
  <c r="P94" i="31"/>
  <c r="Q94" i="31" s="1"/>
  <c r="R94" i="31" s="1"/>
  <c r="P30" i="31"/>
  <c r="O15" i="31"/>
  <c r="U15" i="31" s="1"/>
  <c r="T15" i="31"/>
  <c r="T56" i="31"/>
  <c r="O26" i="31"/>
  <c r="U26" i="31" s="1"/>
  <c r="T26" i="31"/>
  <c r="R109" i="31"/>
  <c r="V109" i="31" s="1"/>
  <c r="AJ109" i="31" s="1"/>
  <c r="R95" i="31"/>
  <c r="W95" i="31" s="1"/>
  <c r="X95" i="31" s="1"/>
  <c r="O48" i="31"/>
  <c r="U48" i="31" s="1"/>
  <c r="T48" i="31"/>
  <c r="P56" i="31"/>
  <c r="Q56" i="31" s="1"/>
  <c r="O46" i="31"/>
  <c r="U46" i="31" s="1"/>
  <c r="T46" i="31"/>
  <c r="O10" i="31"/>
  <c r="U10" i="31" s="1"/>
  <c r="T10" i="31"/>
  <c r="R36" i="31"/>
  <c r="W36" i="31" s="1"/>
  <c r="AY36" i="31" s="1"/>
  <c r="O77" i="31"/>
  <c r="U77" i="31" s="1"/>
  <c r="T77" i="31"/>
  <c r="P15" i="31"/>
  <c r="Q15" i="31" s="1"/>
  <c r="O75" i="31"/>
  <c r="U75" i="31" s="1"/>
  <c r="T75" i="31"/>
  <c r="O80" i="31"/>
  <c r="U80" i="31" s="1"/>
  <c r="T80" i="31"/>
  <c r="R69" i="31"/>
  <c r="W69" i="31" s="1"/>
  <c r="AU69" i="31" s="1"/>
  <c r="AV69" i="31" s="1"/>
  <c r="O64" i="31"/>
  <c r="U64" i="31" s="1"/>
  <c r="T64" i="31"/>
  <c r="O49" i="31"/>
  <c r="U49" i="31" s="1"/>
  <c r="T49" i="31"/>
  <c r="O93" i="31"/>
  <c r="U93" i="31" s="1"/>
  <c r="T93" i="31"/>
  <c r="O39" i="31"/>
  <c r="U39" i="31" s="1"/>
  <c r="T39" i="31"/>
  <c r="P29" i="31"/>
  <c r="Q29" i="31" s="1"/>
  <c r="R29" i="31" s="1"/>
  <c r="V29" i="31" s="1"/>
  <c r="P40" i="31"/>
  <c r="O89" i="31"/>
  <c r="U89" i="31" s="1"/>
  <c r="T89" i="31"/>
  <c r="O35" i="31"/>
  <c r="U35" i="31" s="1"/>
  <c r="T35" i="31"/>
  <c r="O102" i="31"/>
  <c r="U102" i="31" s="1"/>
  <c r="T102" i="31"/>
  <c r="U30" i="31"/>
  <c r="AN43" i="31"/>
  <c r="W90" i="31"/>
  <c r="AU90" i="31" s="1"/>
  <c r="AV90" i="31" s="1"/>
  <c r="O42" i="31"/>
  <c r="U42" i="31" s="1"/>
  <c r="T42" i="31"/>
  <c r="U95" i="31"/>
  <c r="P28" i="31"/>
  <c r="Q28" i="31" s="1"/>
  <c r="T11" i="31"/>
  <c r="S38" i="31"/>
  <c r="AI38" i="31" s="1"/>
  <c r="O106" i="31"/>
  <c r="U106" i="31" s="1"/>
  <c r="T106" i="31"/>
  <c r="O50" i="31"/>
  <c r="U50" i="31" s="1"/>
  <c r="T50" i="31"/>
  <c r="P23" i="31"/>
  <c r="Q23" i="31" s="1"/>
  <c r="P52" i="31"/>
  <c r="Q52" i="31" s="1"/>
  <c r="P10" i="31"/>
  <c r="Q10" i="31" s="1"/>
  <c r="R10" i="31" s="1"/>
  <c r="P93" i="31"/>
  <c r="Q93" i="31" s="1"/>
  <c r="R93" i="31" s="1"/>
  <c r="O60" i="31"/>
  <c r="U60" i="31" s="1"/>
  <c r="T60" i="31"/>
  <c r="O32" i="31"/>
  <c r="U32" i="31" s="1"/>
  <c r="T32" i="31"/>
  <c r="P89" i="31"/>
  <c r="Q89" i="31" s="1"/>
  <c r="O20" i="31"/>
  <c r="U20" i="31" s="1"/>
  <c r="T20" i="31"/>
  <c r="O9" i="31"/>
  <c r="T9" i="31"/>
  <c r="O31" i="31"/>
  <c r="U31" i="31" s="1"/>
  <c r="T31" i="31"/>
  <c r="O70" i="31"/>
  <c r="U70" i="31" s="1"/>
  <c r="T70" i="31"/>
  <c r="O37" i="31"/>
  <c r="U37" i="31" s="1"/>
  <c r="T37" i="31"/>
  <c r="U90" i="31"/>
  <c r="AA90" i="31" s="1"/>
  <c r="AB90" i="31" s="1"/>
  <c r="AC90" i="31" s="1"/>
  <c r="P58" i="31"/>
  <c r="P39" i="31"/>
  <c r="Q39" i="31" s="1"/>
  <c r="U38" i="31"/>
  <c r="P32" i="31"/>
  <c r="Q32" i="31" s="1"/>
  <c r="P13" i="31"/>
  <c r="O16" i="31"/>
  <c r="U16" i="31" s="1"/>
  <c r="T16" i="31"/>
  <c r="O99" i="31"/>
  <c r="U99" i="31" s="1"/>
  <c r="T99" i="31"/>
  <c r="T25" i="31"/>
  <c r="R104" i="31"/>
  <c r="V104" i="31" s="1"/>
  <c r="AJ104" i="31" s="1"/>
  <c r="O59" i="31"/>
  <c r="U59" i="31" s="1"/>
  <c r="T59" i="31"/>
  <c r="T107" i="31"/>
  <c r="P72" i="31"/>
  <c r="Q72" i="31" s="1"/>
  <c r="P98" i="31"/>
  <c r="Q98" i="31" s="1"/>
  <c r="O67" i="31"/>
  <c r="U67" i="31" s="1"/>
  <c r="T67" i="31"/>
  <c r="R79" i="31"/>
  <c r="V79" i="31" s="1"/>
  <c r="P11" i="31"/>
  <c r="P50" i="31"/>
  <c r="P25" i="31"/>
  <c r="Q25" i="31" s="1"/>
  <c r="P91" i="31"/>
  <c r="P42" i="31"/>
  <c r="Q42" i="31" s="1"/>
  <c r="W76" i="31"/>
  <c r="AU76" i="31" s="1"/>
  <c r="AV76" i="31" s="1"/>
  <c r="W38" i="31"/>
  <c r="X38" i="31" s="1"/>
  <c r="AL63" i="31"/>
  <c r="AM63" i="31" s="1"/>
  <c r="AU63" i="31"/>
  <c r="AV63" i="31" s="1"/>
  <c r="AG63" i="31"/>
  <c r="AH63" i="31" s="1"/>
  <c r="X63" i="31"/>
  <c r="V31" i="31"/>
  <c r="O56" i="31"/>
  <c r="Q27" i="31"/>
  <c r="Q45" i="31"/>
  <c r="R45" i="31" s="1"/>
  <c r="Q74" i="31"/>
  <c r="Q18" i="31"/>
  <c r="O33" i="31"/>
  <c r="U33" i="31" s="1"/>
  <c r="Q53" i="31"/>
  <c r="Q108" i="31"/>
  <c r="AD63" i="31"/>
  <c r="AE63" i="31" s="1"/>
  <c r="AF63" i="31" s="1"/>
  <c r="Y63" i="31"/>
  <c r="AS63" i="31"/>
  <c r="AW63" i="31"/>
  <c r="Q21" i="31"/>
  <c r="O29" i="31"/>
  <c r="Y90" i="31"/>
  <c r="AD90" i="31"/>
  <c r="AE90" i="31" s="1"/>
  <c r="AF90" i="31" s="1"/>
  <c r="AS90" i="31"/>
  <c r="AW90" i="31"/>
  <c r="Q54" i="31"/>
  <c r="O25" i="31"/>
  <c r="Q78" i="31"/>
  <c r="Q97" i="31"/>
  <c r="Q83" i="31"/>
  <c r="Q46" i="31"/>
  <c r="Q59" i="31"/>
  <c r="Q24" i="31"/>
  <c r="AQ63" i="31"/>
  <c r="AS103" i="31"/>
  <c r="Q12" i="31"/>
  <c r="Q55" i="31"/>
  <c r="Q14" i="31"/>
  <c r="Q41" i="31"/>
  <c r="Q86" i="31"/>
  <c r="AS43" i="31"/>
  <c r="AD43" i="31"/>
  <c r="AE43" i="31" s="1"/>
  <c r="AF43" i="31" s="1"/>
  <c r="Y43" i="31"/>
  <c r="AW43" i="31"/>
  <c r="O13" i="31"/>
  <c r="Q57" i="31"/>
  <c r="Q51" i="31"/>
  <c r="O22" i="31"/>
  <c r="Q85" i="31"/>
  <c r="AU103" i="31"/>
  <c r="AV103" i="31" s="1"/>
  <c r="AY103" i="31"/>
  <c r="Q20" i="31"/>
  <c r="Q80" i="31"/>
  <c r="Q77" i="31"/>
  <c r="Q19" i="31"/>
  <c r="Q65" i="31"/>
  <c r="Q105" i="31"/>
  <c r="O28" i="31"/>
  <c r="U28" i="31" s="1"/>
  <c r="AA63" i="31"/>
  <c r="AB63" i="31" s="1"/>
  <c r="AC63" i="31" s="1"/>
  <c r="AS76" i="31"/>
  <c r="Q81" i="31"/>
  <c r="R81" i="31" s="1"/>
  <c r="Q101" i="31"/>
  <c r="O101" i="31"/>
  <c r="U101" i="31" s="1"/>
  <c r="Q44" i="31"/>
  <c r="Q34" i="31"/>
  <c r="Q71" i="31"/>
  <c r="AS100" i="31"/>
  <c r="AW100" i="31"/>
  <c r="Q82" i="31"/>
  <c r="Q84" i="31"/>
  <c r="Q88" i="31"/>
  <c r="V99" i="31"/>
  <c r="Q73" i="31"/>
  <c r="AY47" i="31"/>
  <c r="O11" i="31"/>
  <c r="O107" i="31"/>
  <c r="Q62" i="31"/>
  <c r="AS38" i="31"/>
  <c r="Q96" i="31"/>
  <c r="Q75" i="31"/>
  <c r="Q16" i="31"/>
  <c r="S36" i="31" l="1"/>
  <c r="AI36" i="31" s="1"/>
  <c r="AA43" i="31"/>
  <c r="AB43" i="31" s="1"/>
  <c r="AC43" i="31" s="1"/>
  <c r="AS60" i="31"/>
  <c r="AN90" i="31"/>
  <c r="V92" i="31"/>
  <c r="W26" i="31"/>
  <c r="AU26" i="31" s="1"/>
  <c r="AV26" i="31" s="1"/>
  <c r="S92" i="31"/>
  <c r="AI92" i="31" s="1"/>
  <c r="AK63" i="31"/>
  <c r="BR63" i="31" s="1"/>
  <c r="AA100" i="31"/>
  <c r="AB100" i="31" s="1"/>
  <c r="AC100" i="31" s="1"/>
  <c r="AY76" i="31"/>
  <c r="AY90" i="31"/>
  <c r="AO63" i="31"/>
  <c r="BS63" i="31" s="1"/>
  <c r="AY69" i="31"/>
  <c r="X69" i="31"/>
  <c r="V94" i="31"/>
  <c r="AN94" i="31" s="1"/>
  <c r="AY95" i="31"/>
  <c r="V36" i="31"/>
  <c r="AN36" i="31" s="1"/>
  <c r="S100" i="31"/>
  <c r="AI100" i="31" s="1"/>
  <c r="AD100" i="31"/>
  <c r="AE100" i="31" s="1"/>
  <c r="AF100" i="31" s="1"/>
  <c r="AP69" i="31"/>
  <c r="AQ69" i="31" s="1"/>
  <c r="Y103" i="31"/>
  <c r="S69" i="31"/>
  <c r="AI69" i="31" s="1"/>
  <c r="AL69" i="31"/>
  <c r="AM69" i="31" s="1"/>
  <c r="AG69" i="31"/>
  <c r="AH69" i="31" s="1"/>
  <c r="S94" i="31"/>
  <c r="AI94" i="31" s="1"/>
  <c r="V10" i="31"/>
  <c r="AD10" i="31" s="1"/>
  <c r="AE10" i="31" s="1"/>
  <c r="AF10" i="31" s="1"/>
  <c r="W64" i="31"/>
  <c r="AU64" i="31" s="1"/>
  <c r="AV64" i="31" s="1"/>
  <c r="W29" i="31"/>
  <c r="AL29" i="31" s="1"/>
  <c r="AM29" i="31" s="1"/>
  <c r="S64" i="31"/>
  <c r="AI64" i="31" s="1"/>
  <c r="Y76" i="31"/>
  <c r="AG103" i="31"/>
  <c r="AH103" i="31" s="1"/>
  <c r="S10" i="31"/>
  <c r="AI10" i="31" s="1"/>
  <c r="S66" i="31"/>
  <c r="AI66" i="31" s="1"/>
  <c r="W99" i="31"/>
  <c r="AP99" i="31" s="1"/>
  <c r="W87" i="31"/>
  <c r="AU87" i="31" s="1"/>
  <c r="AV87" i="31" s="1"/>
  <c r="AD76" i="31"/>
  <c r="AE76" i="31" s="1"/>
  <c r="AF76" i="31" s="1"/>
  <c r="AD38" i="31"/>
  <c r="AE38" i="31" s="1"/>
  <c r="AF38" i="31" s="1"/>
  <c r="W104" i="31"/>
  <c r="AU104" i="31" s="1"/>
  <c r="AV104" i="31" s="1"/>
  <c r="S104" i="31"/>
  <c r="AI104" i="31" s="1"/>
  <c r="V87" i="31"/>
  <c r="AW87" i="31" s="1"/>
  <c r="Y38" i="31"/>
  <c r="Z38" i="31" s="1"/>
  <c r="BP38" i="31" s="1"/>
  <c r="AW76" i="31"/>
  <c r="AX76" i="31" s="1"/>
  <c r="S87" i="31"/>
  <c r="AI87" i="31" s="1"/>
  <c r="V61" i="31"/>
  <c r="Y61" i="31" s="1"/>
  <c r="W61" i="31"/>
  <c r="S61" i="31"/>
  <c r="AI61" i="31" s="1"/>
  <c r="AJ48" i="31"/>
  <c r="AD48" i="31"/>
  <c r="AE48" i="31" s="1"/>
  <c r="AF48" i="31" s="1"/>
  <c r="AW48" i="31"/>
  <c r="Y48" i="31"/>
  <c r="AP95" i="31"/>
  <c r="V35" i="31"/>
  <c r="V26" i="31"/>
  <c r="AL103" i="31"/>
  <c r="AM103" i="31" s="1"/>
  <c r="X103" i="31"/>
  <c r="BC63" i="31"/>
  <c r="BV63" i="31" s="1"/>
  <c r="AN76" i="31"/>
  <c r="V107" i="31"/>
  <c r="AJ107" i="31" s="1"/>
  <c r="AG95" i="31"/>
  <c r="AH95" i="31" s="1"/>
  <c r="AA76" i="31"/>
  <c r="AB76" i="31" s="1"/>
  <c r="AC76" i="31" s="1"/>
  <c r="AS106" i="31"/>
  <c r="AJ106" i="31"/>
  <c r="X90" i="31"/>
  <c r="Z90" i="31" s="1"/>
  <c r="AD103" i="31"/>
  <c r="AE103" i="31" s="1"/>
  <c r="AF103" i="31" s="1"/>
  <c r="S99" i="31"/>
  <c r="AI99" i="31" s="1"/>
  <c r="AN38" i="31"/>
  <c r="S106" i="31"/>
  <c r="AI106" i="31" s="1"/>
  <c r="W10" i="31"/>
  <c r="AY10" i="31" s="1"/>
  <c r="AN100" i="31"/>
  <c r="AJ100" i="31"/>
  <c r="X76" i="31"/>
  <c r="W106" i="31"/>
  <c r="AL106" i="31" s="1"/>
  <c r="AM106" i="31" s="1"/>
  <c r="AN92" i="31"/>
  <c r="AJ92" i="31"/>
  <c r="AN66" i="31"/>
  <c r="AJ66" i="31"/>
  <c r="AU95" i="31"/>
  <c r="AV95" i="31" s="1"/>
  <c r="AW35" i="31"/>
  <c r="V93" i="31"/>
  <c r="AW93" i="31" s="1"/>
  <c r="AU38" i="31"/>
  <c r="AV38" i="31" s="1"/>
  <c r="AS31" i="31"/>
  <c r="AJ31" i="31"/>
  <c r="S48" i="31"/>
  <c r="AI48" i="31" s="1"/>
  <c r="W49" i="31"/>
  <c r="AL49" i="31" s="1"/>
  <c r="AM49" i="31" s="1"/>
  <c r="AN103" i="31"/>
  <c r="AJ103" i="31"/>
  <c r="AN29" i="31"/>
  <c r="AJ29" i="31"/>
  <c r="S35" i="31"/>
  <c r="AI35" i="31" s="1"/>
  <c r="AN70" i="31"/>
  <c r="AJ70" i="31"/>
  <c r="W60" i="31"/>
  <c r="X60" i="31" s="1"/>
  <c r="AN79" i="31"/>
  <c r="AJ79" i="31"/>
  <c r="AA38" i="31"/>
  <c r="AB38" i="31" s="1"/>
  <c r="AC38" i="31" s="1"/>
  <c r="S95" i="31"/>
  <c r="AI95" i="31" s="1"/>
  <c r="W102" i="31"/>
  <c r="AG102" i="31" s="1"/>
  <c r="AH102" i="31" s="1"/>
  <c r="AN99" i="31"/>
  <c r="AJ99" i="31"/>
  <c r="AL95" i="31"/>
  <c r="AM95" i="31" s="1"/>
  <c r="S60" i="31"/>
  <c r="AI60" i="31" s="1"/>
  <c r="AW38" i="31"/>
  <c r="AJ87" i="31"/>
  <c r="AW103" i="31"/>
  <c r="AX103" i="31" s="1"/>
  <c r="W48" i="31"/>
  <c r="AY48" i="31" s="1"/>
  <c r="AP43" i="31"/>
  <c r="AQ43" i="31" s="1"/>
  <c r="AT43" i="31" s="1"/>
  <c r="AU43" i="31"/>
  <c r="AV43" i="31" s="1"/>
  <c r="AX43" i="31" s="1"/>
  <c r="BU43" i="31" s="1"/>
  <c r="AG43" i="31"/>
  <c r="AH43" i="31" s="1"/>
  <c r="AK43" i="31" s="1"/>
  <c r="BR43" i="31" s="1"/>
  <c r="AL43" i="31"/>
  <c r="X43" i="31"/>
  <c r="Z43" i="31" s="1"/>
  <c r="BP43" i="31" s="1"/>
  <c r="AL36" i="31"/>
  <c r="AM36" i="31" s="1"/>
  <c r="AU36" i="31"/>
  <c r="AV36" i="31" s="1"/>
  <c r="AP36" i="31"/>
  <c r="AQ36" i="31" s="1"/>
  <c r="AG36" i="31"/>
  <c r="AH36" i="31" s="1"/>
  <c r="X36" i="31"/>
  <c r="AD104" i="31"/>
  <c r="AE104" i="31" s="1"/>
  <c r="AF104" i="31" s="1"/>
  <c r="AW104" i="31"/>
  <c r="AS104" i="31"/>
  <c r="Y104" i="31"/>
  <c r="AN109" i="31"/>
  <c r="AW109" i="31"/>
  <c r="AA109" i="31"/>
  <c r="AB109" i="31" s="1"/>
  <c r="AC109" i="31" s="1"/>
  <c r="Y109" i="31"/>
  <c r="AD109" i="31"/>
  <c r="AE109" i="31" s="1"/>
  <c r="AF109" i="31" s="1"/>
  <c r="AS109" i="31"/>
  <c r="Y67" i="31"/>
  <c r="AD67" i="31"/>
  <c r="AE67" i="31" s="1"/>
  <c r="AF67" i="31" s="1"/>
  <c r="AS67" i="31"/>
  <c r="AW67" i="31"/>
  <c r="Y31" i="31"/>
  <c r="S47" i="31"/>
  <c r="AI47" i="31" s="1"/>
  <c r="S109" i="31"/>
  <c r="AI109" i="31" s="1"/>
  <c r="W31" i="31"/>
  <c r="AL31" i="31" s="1"/>
  <c r="AM31" i="31" s="1"/>
  <c r="W79" i="31"/>
  <c r="X79" i="31" s="1"/>
  <c r="W109" i="31"/>
  <c r="AY109" i="31" s="1"/>
  <c r="V47" i="31"/>
  <c r="AJ47" i="31" s="1"/>
  <c r="V102" i="31"/>
  <c r="AJ102" i="31" s="1"/>
  <c r="S79" i="31"/>
  <c r="AI79" i="31" s="1"/>
  <c r="W70" i="31"/>
  <c r="AW106" i="31"/>
  <c r="AD106" i="31"/>
  <c r="AE106" i="31" s="1"/>
  <c r="AF106" i="31" s="1"/>
  <c r="W66" i="31"/>
  <c r="S102" i="31"/>
  <c r="AI102" i="31" s="1"/>
  <c r="Y106" i="31"/>
  <c r="W67" i="31"/>
  <c r="AU67" i="31" s="1"/>
  <c r="AV67" i="31" s="1"/>
  <c r="S31" i="31"/>
  <c r="AI31" i="31" s="1"/>
  <c r="V64" i="31"/>
  <c r="AJ64" i="31" s="1"/>
  <c r="AL92" i="31"/>
  <c r="AM92" i="31" s="1"/>
  <c r="AG92" i="31"/>
  <c r="AH92" i="31" s="1"/>
  <c r="AU92" i="31"/>
  <c r="AV92" i="31" s="1"/>
  <c r="AP92" i="31"/>
  <c r="AQ92" i="31" s="1"/>
  <c r="X92" i="31"/>
  <c r="AG47" i="31"/>
  <c r="AH47" i="31" s="1"/>
  <c r="X47" i="31"/>
  <c r="AL47" i="31"/>
  <c r="AM47" i="31" s="1"/>
  <c r="AU47" i="31"/>
  <c r="AV47" i="31" s="1"/>
  <c r="AP47" i="31"/>
  <c r="AQ47" i="31" s="1"/>
  <c r="R68" i="31"/>
  <c r="W68" i="31" s="1"/>
  <c r="AY68" i="31" s="1"/>
  <c r="R52" i="31"/>
  <c r="V52" i="31" s="1"/>
  <c r="AJ52" i="31" s="1"/>
  <c r="AA60" i="31"/>
  <c r="AB60" i="31" s="1"/>
  <c r="AC60" i="31" s="1"/>
  <c r="AN60" i="31"/>
  <c r="AG76" i="31"/>
  <c r="AH76" i="31" s="1"/>
  <c r="AK76" i="31" s="1"/>
  <c r="BR76" i="31" s="1"/>
  <c r="U11" i="31"/>
  <c r="AW60" i="31"/>
  <c r="W35" i="31"/>
  <c r="AL35" i="31" s="1"/>
  <c r="AM35" i="31" s="1"/>
  <c r="AG90" i="31"/>
  <c r="AH90" i="31" s="1"/>
  <c r="AK90" i="31" s="1"/>
  <c r="BR90" i="31" s="1"/>
  <c r="R77" i="31"/>
  <c r="W77" i="31" s="1"/>
  <c r="AY77" i="31" s="1"/>
  <c r="R86" i="31"/>
  <c r="S86" i="31" s="1"/>
  <c r="AI86" i="31" s="1"/>
  <c r="R97" i="31"/>
  <c r="W97" i="31" s="1"/>
  <c r="AP97" i="31" s="1"/>
  <c r="R54" i="31"/>
  <c r="V54" i="31" s="1"/>
  <c r="AJ54" i="31" s="1"/>
  <c r="R21" i="31"/>
  <c r="S21" i="31" s="1"/>
  <c r="AI21" i="31" s="1"/>
  <c r="S70" i="31"/>
  <c r="AI70" i="31" s="1"/>
  <c r="R27" i="31"/>
  <c r="V27" i="31" s="1"/>
  <c r="AJ27" i="31" s="1"/>
  <c r="S49" i="31"/>
  <c r="AI49" i="31" s="1"/>
  <c r="Q13" i="31"/>
  <c r="R23" i="31"/>
  <c r="V23" i="31" s="1"/>
  <c r="R56" i="31"/>
  <c r="V56" i="31" s="1"/>
  <c r="AJ56" i="31" s="1"/>
  <c r="S67" i="31"/>
  <c r="AI67" i="31" s="1"/>
  <c r="V49" i="31"/>
  <c r="AJ49" i="31" s="1"/>
  <c r="R34" i="31"/>
  <c r="W34" i="31" s="1"/>
  <c r="AY34" i="31" s="1"/>
  <c r="R65" i="31"/>
  <c r="S65" i="31" s="1"/>
  <c r="AI65" i="31" s="1"/>
  <c r="R41" i="31"/>
  <c r="V41" i="31" s="1"/>
  <c r="AJ41" i="31" s="1"/>
  <c r="R55" i="31"/>
  <c r="W55" i="31" s="1"/>
  <c r="AY55" i="31" s="1"/>
  <c r="R78" i="31"/>
  <c r="W78" i="31" s="1"/>
  <c r="AY78" i="31" s="1"/>
  <c r="R108" i="31"/>
  <c r="W108" i="31" s="1"/>
  <c r="AY108" i="31" s="1"/>
  <c r="R42" i="31"/>
  <c r="S42" i="31" s="1"/>
  <c r="AI42" i="31" s="1"/>
  <c r="AA104" i="31"/>
  <c r="AB104" i="31" s="1"/>
  <c r="AC104" i="31" s="1"/>
  <c r="AN104" i="31"/>
  <c r="R32" i="31"/>
  <c r="S32" i="31" s="1"/>
  <c r="AI32" i="31" s="1"/>
  <c r="AA106" i="31"/>
  <c r="AB106" i="31" s="1"/>
  <c r="AC106" i="31" s="1"/>
  <c r="AN106" i="31"/>
  <c r="AA67" i="31"/>
  <c r="AB67" i="31" s="1"/>
  <c r="AC67" i="31" s="1"/>
  <c r="AN67" i="31"/>
  <c r="AS107" i="31"/>
  <c r="U56" i="31"/>
  <c r="AL90" i="31"/>
  <c r="AM90" i="31" s="1"/>
  <c r="AO90" i="31" s="1"/>
  <c r="BS90" i="31" s="1"/>
  <c r="R57" i="31"/>
  <c r="V57" i="31" s="1"/>
  <c r="AJ57" i="31" s="1"/>
  <c r="R72" i="31"/>
  <c r="S72" i="31" s="1"/>
  <c r="AI72" i="31" s="1"/>
  <c r="R59" i="31"/>
  <c r="V59" i="31" s="1"/>
  <c r="AJ59" i="31" s="1"/>
  <c r="R33" i="31"/>
  <c r="V33" i="31" s="1"/>
  <c r="R18" i="31"/>
  <c r="V18" i="31" s="1"/>
  <c r="AJ18" i="31" s="1"/>
  <c r="Q91" i="31"/>
  <c r="Q40" i="31"/>
  <c r="R22" i="31"/>
  <c r="W22" i="31" s="1"/>
  <c r="X22" i="31" s="1"/>
  <c r="R74" i="31"/>
  <c r="V74" i="31" s="1"/>
  <c r="AJ74" i="31" s="1"/>
  <c r="R16" i="31"/>
  <c r="S16" i="31" s="1"/>
  <c r="AI16" i="31" s="1"/>
  <c r="R19" i="31"/>
  <c r="V19" i="31" s="1"/>
  <c r="AJ19" i="31" s="1"/>
  <c r="R80" i="31"/>
  <c r="S80" i="31" s="1"/>
  <c r="AI80" i="31" s="1"/>
  <c r="U13" i="31"/>
  <c r="R14" i="31"/>
  <c r="W14" i="31" s="1"/>
  <c r="AY14" i="31" s="1"/>
  <c r="R12" i="31"/>
  <c r="W12" i="31" s="1"/>
  <c r="AY12" i="31" s="1"/>
  <c r="S29" i="31"/>
  <c r="AI29" i="31" s="1"/>
  <c r="U29" i="31"/>
  <c r="R53" i="31"/>
  <c r="W53" i="31" s="1"/>
  <c r="AY53" i="31" s="1"/>
  <c r="AA31" i="31"/>
  <c r="AB31" i="31" s="1"/>
  <c r="AC31" i="31" s="1"/>
  <c r="AN31" i="31"/>
  <c r="R25" i="31"/>
  <c r="V25" i="31" s="1"/>
  <c r="AJ25" i="31" s="1"/>
  <c r="R39" i="31"/>
  <c r="V39" i="31" s="1"/>
  <c r="AJ39" i="31" s="1"/>
  <c r="R17" i="31"/>
  <c r="S26" i="31"/>
  <c r="AI26" i="31" s="1"/>
  <c r="AA64" i="31"/>
  <c r="AB64" i="31" s="1"/>
  <c r="AC64" i="31" s="1"/>
  <c r="AN64" i="31"/>
  <c r="W37" i="31"/>
  <c r="AY37" i="31" s="1"/>
  <c r="S107" i="31"/>
  <c r="AI107" i="31" s="1"/>
  <c r="U107" i="31"/>
  <c r="R62" i="31"/>
  <c r="W62" i="31" s="1"/>
  <c r="AY62" i="31" s="1"/>
  <c r="Y60" i="31"/>
  <c r="AP76" i="31"/>
  <c r="AQ76" i="31" s="1"/>
  <c r="AT76" i="31" s="1"/>
  <c r="R73" i="31"/>
  <c r="W73" i="31" s="1"/>
  <c r="AY73" i="31" s="1"/>
  <c r="R44" i="31"/>
  <c r="S44" i="31" s="1"/>
  <c r="AI44" i="31" s="1"/>
  <c r="R101" i="31"/>
  <c r="V101" i="31" s="1"/>
  <c r="AJ101" i="31" s="1"/>
  <c r="U22" i="31"/>
  <c r="R46" i="31"/>
  <c r="W46" i="31" s="1"/>
  <c r="X46" i="31" s="1"/>
  <c r="Q50" i="31"/>
  <c r="Q58" i="31"/>
  <c r="R58" i="31" s="1"/>
  <c r="V95" i="31"/>
  <c r="R9" i="31"/>
  <c r="AL9" i="31" s="1"/>
  <c r="S37" i="31"/>
  <c r="AI37" i="31" s="1"/>
  <c r="S93" i="31"/>
  <c r="AI93" i="31" s="1"/>
  <c r="AP90" i="31"/>
  <c r="AQ90" i="31" s="1"/>
  <c r="AT90" i="31" s="1"/>
  <c r="AL76" i="31"/>
  <c r="AM76" i="31" s="1"/>
  <c r="R15" i="31"/>
  <c r="W15" i="31" s="1"/>
  <c r="AY15" i="31" s="1"/>
  <c r="R71" i="31"/>
  <c r="V71" i="31" s="1"/>
  <c r="AJ71" i="31" s="1"/>
  <c r="AW61" i="31"/>
  <c r="R20" i="31"/>
  <c r="V20" i="31" s="1"/>
  <c r="AJ20" i="31" s="1"/>
  <c r="R51" i="31"/>
  <c r="W51" i="31" s="1"/>
  <c r="AY51" i="31" s="1"/>
  <c r="R24" i="31"/>
  <c r="V24" i="31" s="1"/>
  <c r="AJ24" i="31" s="1"/>
  <c r="W94" i="31"/>
  <c r="AY94" i="31" s="1"/>
  <c r="W93" i="31"/>
  <c r="AY93" i="31" s="1"/>
  <c r="Q11" i="31"/>
  <c r="W107" i="31"/>
  <c r="AY107" i="31" s="1"/>
  <c r="U9" i="31"/>
  <c r="V69" i="31"/>
  <c r="AJ69" i="31" s="1"/>
  <c r="W100" i="31"/>
  <c r="AY100" i="31" s="1"/>
  <c r="V37" i="31"/>
  <c r="AJ37" i="31" s="1"/>
  <c r="R83" i="31"/>
  <c r="S83" i="31" s="1"/>
  <c r="AI83" i="31" s="1"/>
  <c r="Q30" i="31"/>
  <c r="R30" i="31" s="1"/>
  <c r="V30" i="31" s="1"/>
  <c r="AJ30" i="31" s="1"/>
  <c r="R84" i="31"/>
  <c r="W84" i="31" s="1"/>
  <c r="AY84" i="31" s="1"/>
  <c r="AD60" i="31"/>
  <c r="AE60" i="31" s="1"/>
  <c r="AF60" i="31" s="1"/>
  <c r="R75" i="31"/>
  <c r="V75" i="31" s="1"/>
  <c r="AJ75" i="31" s="1"/>
  <c r="R96" i="31"/>
  <c r="S96" i="31" s="1"/>
  <c r="AI96" i="31" s="1"/>
  <c r="R88" i="31"/>
  <c r="S88" i="31" s="1"/>
  <c r="AI88" i="31" s="1"/>
  <c r="R82" i="31"/>
  <c r="V82" i="31" s="1"/>
  <c r="AJ82" i="31" s="1"/>
  <c r="AS61" i="31"/>
  <c r="R105" i="31"/>
  <c r="V105" i="31" s="1"/>
  <c r="AJ105" i="31" s="1"/>
  <c r="R98" i="31"/>
  <c r="W98" i="31" s="1"/>
  <c r="AY98" i="31" s="1"/>
  <c r="R85" i="31"/>
  <c r="W85" i="31" s="1"/>
  <c r="AY85" i="31" s="1"/>
  <c r="R28" i="31"/>
  <c r="W28" i="31" s="1"/>
  <c r="AY28" i="31" s="1"/>
  <c r="U25" i="31"/>
  <c r="R89" i="31"/>
  <c r="W89" i="31" s="1"/>
  <c r="AY89" i="31" s="1"/>
  <c r="AA48" i="31"/>
  <c r="AB48" i="31" s="1"/>
  <c r="AC48" i="31" s="1"/>
  <c r="AN48" i="31"/>
  <c r="AP38" i="31"/>
  <c r="AQ38" i="31" s="1"/>
  <c r="AT38" i="31" s="1"/>
  <c r="AY38" i="31"/>
  <c r="AL38" i="31"/>
  <c r="AM38" i="31" s="1"/>
  <c r="AG38" i="31"/>
  <c r="AH38" i="31" s="1"/>
  <c r="AK38" i="31" s="1"/>
  <c r="BR38" i="31" s="1"/>
  <c r="W57" i="31"/>
  <c r="AG57" i="31" s="1"/>
  <c r="AH57" i="31" s="1"/>
  <c r="Z63" i="31"/>
  <c r="BP63" i="31" s="1"/>
  <c r="AW31" i="31"/>
  <c r="AY49" i="31"/>
  <c r="AD31" i="31"/>
  <c r="AE31" i="31" s="1"/>
  <c r="AF31" i="31" s="1"/>
  <c r="AY31" i="31"/>
  <c r="X31" i="31"/>
  <c r="AX63" i="31"/>
  <c r="AY26" i="31"/>
  <c r="AL26" i="31"/>
  <c r="AM26" i="31" s="1"/>
  <c r="AS66" i="31"/>
  <c r="Y66" i="31"/>
  <c r="AD66" i="31"/>
  <c r="AE66" i="31" s="1"/>
  <c r="AF66" i="31" s="1"/>
  <c r="AW66" i="31"/>
  <c r="AA66" i="31"/>
  <c r="AB66" i="31" s="1"/>
  <c r="AC66" i="31" s="1"/>
  <c r="AS10" i="31"/>
  <c r="AW10" i="31"/>
  <c r="AA10" i="31"/>
  <c r="AB10" i="31" s="1"/>
  <c r="AC10" i="31" s="1"/>
  <c r="Y94" i="31"/>
  <c r="V81" i="31"/>
  <c r="W81" i="31"/>
  <c r="AQ103" i="31"/>
  <c r="AT103" i="31" s="1"/>
  <c r="V45" i="31"/>
  <c r="W45" i="31"/>
  <c r="W96" i="31"/>
  <c r="S81" i="31"/>
  <c r="AI81" i="31" s="1"/>
  <c r="AS70" i="31"/>
  <c r="Y70" i="31"/>
  <c r="AD70" i="31"/>
  <c r="AE70" i="31" s="1"/>
  <c r="AF70" i="31" s="1"/>
  <c r="AW70" i="31"/>
  <c r="AA70" i="31"/>
  <c r="AB70" i="31" s="1"/>
  <c r="AC70" i="31" s="1"/>
  <c r="S45" i="31"/>
  <c r="AI45" i="31" s="1"/>
  <c r="W27" i="31"/>
  <c r="BC69" i="31"/>
  <c r="BV69" i="31" s="1"/>
  <c r="AS36" i="31"/>
  <c r="AW36" i="31"/>
  <c r="AX90" i="31"/>
  <c r="AA99" i="31"/>
  <c r="AB99" i="31" s="1"/>
  <c r="AC99" i="31" s="1"/>
  <c r="Y99" i="31"/>
  <c r="AD99" i="31"/>
  <c r="AE99" i="31" s="1"/>
  <c r="AF99" i="31" s="1"/>
  <c r="AS99" i="31"/>
  <c r="AW99" i="31"/>
  <c r="Y29" i="31"/>
  <c r="AD29" i="31"/>
  <c r="AE29" i="31" s="1"/>
  <c r="AF29" i="31" s="1"/>
  <c r="AS29" i="31"/>
  <c r="AW29" i="31"/>
  <c r="AA29" i="31"/>
  <c r="AB29" i="31" s="1"/>
  <c r="AC29" i="31" s="1"/>
  <c r="AD79" i="31"/>
  <c r="AE79" i="31" s="1"/>
  <c r="AF79" i="31" s="1"/>
  <c r="AS79" i="31"/>
  <c r="Y79" i="31"/>
  <c r="AW79" i="31"/>
  <c r="AA79" i="31"/>
  <c r="AB79" i="31" s="1"/>
  <c r="AC79" i="31" s="1"/>
  <c r="W75" i="31"/>
  <c r="AY99" i="31"/>
  <c r="Y92" i="31"/>
  <c r="AS92" i="31"/>
  <c r="AD92" i="31"/>
  <c r="AE92" i="31" s="1"/>
  <c r="AF92" i="31" s="1"/>
  <c r="AW92" i="31"/>
  <c r="AA92" i="31"/>
  <c r="AB92" i="31" s="1"/>
  <c r="AC92" i="31" s="1"/>
  <c r="AT63" i="31"/>
  <c r="AD94" i="31" l="1"/>
  <c r="AE94" i="31" s="1"/>
  <c r="AF94" i="31" s="1"/>
  <c r="AS93" i="31"/>
  <c r="Y93" i="31"/>
  <c r="AA94" i="31"/>
  <c r="AB94" i="31" s="1"/>
  <c r="AC94" i="31" s="1"/>
  <c r="AW94" i="31"/>
  <c r="AS94" i="31"/>
  <c r="Y87" i="31"/>
  <c r="X26" i="31"/>
  <c r="AG26" i="31"/>
  <c r="AH26" i="31" s="1"/>
  <c r="X104" i="31"/>
  <c r="AP26" i="31"/>
  <c r="AD87" i="31"/>
  <c r="AE87" i="31" s="1"/>
  <c r="AF87" i="31" s="1"/>
  <c r="AS87" i="31"/>
  <c r="AN87" i="31"/>
  <c r="W19" i="31"/>
  <c r="AU19" i="31" s="1"/>
  <c r="AV19" i="31" s="1"/>
  <c r="W44" i="31"/>
  <c r="AA87" i="31"/>
  <c r="AB87" i="31" s="1"/>
  <c r="AC87" i="31" s="1"/>
  <c r="W56" i="31"/>
  <c r="AY56" i="31" s="1"/>
  <c r="AD26" i="31"/>
  <c r="AE26" i="31" s="1"/>
  <c r="AF26" i="31" s="1"/>
  <c r="AS26" i="31"/>
  <c r="AN35" i="31"/>
  <c r="AO35" i="31" s="1"/>
  <c r="BS35" i="31" s="1"/>
  <c r="AS35" i="31"/>
  <c r="W80" i="31"/>
  <c r="AL80" i="31" s="1"/>
  <c r="AM80" i="31" s="1"/>
  <c r="W24" i="31"/>
  <c r="W74" i="31"/>
  <c r="AG74" i="31" s="1"/>
  <c r="AH74" i="31" s="1"/>
  <c r="V46" i="31"/>
  <c r="AD46" i="31" s="1"/>
  <c r="AE46" i="31" s="1"/>
  <c r="AF46" i="31" s="1"/>
  <c r="AU46" i="31"/>
  <c r="AV46" i="31" s="1"/>
  <c r="AU49" i="31"/>
  <c r="AV49" i="31" s="1"/>
  <c r="AG97" i="31"/>
  <c r="AH97" i="31" s="1"/>
  <c r="S97" i="31"/>
  <c r="AI97" i="31" s="1"/>
  <c r="V108" i="31"/>
  <c r="AN108" i="31" s="1"/>
  <c r="S108" i="31"/>
  <c r="AI108" i="31" s="1"/>
  <c r="AL97" i="31"/>
  <c r="AM97" i="31" s="1"/>
  <c r="S24" i="31"/>
  <c r="AI24" i="31" s="1"/>
  <c r="AU97" i="31"/>
  <c r="AV97" i="31" s="1"/>
  <c r="X97" i="31"/>
  <c r="AY97" i="31"/>
  <c r="V80" i="31"/>
  <c r="AN80" i="31" s="1"/>
  <c r="S18" i="31"/>
  <c r="AI18" i="31" s="1"/>
  <c r="AY64" i="31"/>
  <c r="S74" i="31"/>
  <c r="AI74" i="31" s="1"/>
  <c r="AK74" i="31" s="1"/>
  <c r="BR74" i="31" s="1"/>
  <c r="AA36" i="31"/>
  <c r="AB36" i="31" s="1"/>
  <c r="AC36" i="31" s="1"/>
  <c r="AJ36" i="31"/>
  <c r="AK36" i="31" s="1"/>
  <c r="BR36" i="31" s="1"/>
  <c r="Y36" i="31"/>
  <c r="Z36" i="31" s="1"/>
  <c r="BP36" i="31" s="1"/>
  <c r="AD36" i="31"/>
  <c r="AE36" i="31" s="1"/>
  <c r="AF36" i="31" s="1"/>
  <c r="AY87" i="31"/>
  <c r="AG87" i="31"/>
  <c r="AH87" i="31" s="1"/>
  <c r="AK87" i="31" s="1"/>
  <c r="BR87" i="31" s="1"/>
  <c r="X64" i="31"/>
  <c r="V78" i="31"/>
  <c r="AA78" i="31" s="1"/>
  <c r="AB78" i="31" s="1"/>
  <c r="AC78" i="31" s="1"/>
  <c r="X87" i="31"/>
  <c r="AP87" i="31"/>
  <c r="AQ87" i="31" s="1"/>
  <c r="AP64" i="31"/>
  <c r="AQ64" i="31" s="1"/>
  <c r="AG64" i="31"/>
  <c r="AH64" i="31" s="1"/>
  <c r="AK64" i="31" s="1"/>
  <c r="BR64" i="31" s="1"/>
  <c r="AL87" i="31"/>
  <c r="AM87" i="31" s="1"/>
  <c r="AL64" i="31"/>
  <c r="AM64" i="31" s="1"/>
  <c r="AO64" i="31" s="1"/>
  <c r="BS64" i="31" s="1"/>
  <c r="AP67" i="31"/>
  <c r="AQ67" i="31" s="1"/>
  <c r="AT67" i="31" s="1"/>
  <c r="S19" i="31"/>
  <c r="AI19" i="31" s="1"/>
  <c r="AL67" i="31"/>
  <c r="AM67" i="31" s="1"/>
  <c r="AO67" i="31" s="1"/>
  <c r="BS67" i="31" s="1"/>
  <c r="S68" i="31"/>
  <c r="AI68" i="31" s="1"/>
  <c r="AO76" i="31"/>
  <c r="BS76" i="31" s="1"/>
  <c r="AL57" i="31"/>
  <c r="AM57" i="31" s="1"/>
  <c r="V44" i="31"/>
  <c r="Y44" i="31" s="1"/>
  <c r="AJ10" i="31"/>
  <c r="AP57" i="31"/>
  <c r="AQ57" i="31" s="1"/>
  <c r="AY102" i="31"/>
  <c r="S75" i="31"/>
  <c r="AI75" i="31" s="1"/>
  <c r="X102" i="31"/>
  <c r="AP102" i="31"/>
  <c r="BM63" i="31"/>
  <c r="AO87" i="31"/>
  <c r="BS87" i="31" s="1"/>
  <c r="AL102" i="31"/>
  <c r="AM102" i="31" s="1"/>
  <c r="AP79" i="31"/>
  <c r="AQ79" i="31" s="1"/>
  <c r="AT79" i="31" s="1"/>
  <c r="AU102" i="31"/>
  <c r="AV102" i="31" s="1"/>
  <c r="AG46" i="31"/>
  <c r="AH46" i="31" s="1"/>
  <c r="X67" i="31"/>
  <c r="Z67" i="31" s="1"/>
  <c r="BP67" i="31" s="1"/>
  <c r="AJ94" i="31"/>
  <c r="AP29" i="31"/>
  <c r="AQ29" i="31" s="1"/>
  <c r="AT29" i="31" s="1"/>
  <c r="AA46" i="31"/>
  <c r="AB46" i="31" s="1"/>
  <c r="AC46" i="31" s="1"/>
  <c r="AL46" i="31"/>
  <c r="AM46" i="31" s="1"/>
  <c r="S78" i="31"/>
  <c r="AI78" i="31" s="1"/>
  <c r="S73" i="31"/>
  <c r="AI73" i="31" s="1"/>
  <c r="AG67" i="31"/>
  <c r="AH67" i="31" s="1"/>
  <c r="AK67" i="31" s="1"/>
  <c r="BR67" i="31" s="1"/>
  <c r="Z103" i="31"/>
  <c r="BP103" i="31" s="1"/>
  <c r="V98" i="31"/>
  <c r="AN98" i="31" s="1"/>
  <c r="V68" i="31"/>
  <c r="AJ68" i="31" s="1"/>
  <c r="V15" i="31"/>
  <c r="AD15" i="31" s="1"/>
  <c r="AE15" i="31" s="1"/>
  <c r="AF15" i="31" s="1"/>
  <c r="S15" i="31"/>
  <c r="AI15" i="31" s="1"/>
  <c r="S98" i="31"/>
  <c r="AI98" i="31" s="1"/>
  <c r="AX104" i="31"/>
  <c r="Z76" i="31"/>
  <c r="BP76" i="31" s="1"/>
  <c r="S12" i="31"/>
  <c r="AI12" i="31" s="1"/>
  <c r="V12" i="31"/>
  <c r="AN12" i="31" s="1"/>
  <c r="X49" i="31"/>
  <c r="AY22" i="31"/>
  <c r="S27" i="31"/>
  <c r="AI27" i="31" s="1"/>
  <c r="AU35" i="31"/>
  <c r="AV35" i="31" s="1"/>
  <c r="AX35" i="31" s="1"/>
  <c r="BU35" i="31" s="1"/>
  <c r="AP49" i="31"/>
  <c r="AQ49" i="31" s="1"/>
  <c r="AP22" i="31"/>
  <c r="AQ22" i="31" s="1"/>
  <c r="AY104" i="31"/>
  <c r="BC103" i="31"/>
  <c r="BV103" i="31" s="1"/>
  <c r="AG35" i="31"/>
  <c r="AH35" i="31" s="1"/>
  <c r="AL22" i="31"/>
  <c r="AM22" i="31" s="1"/>
  <c r="AX36" i="31"/>
  <c r="BU36" i="31" s="1"/>
  <c r="AG104" i="31"/>
  <c r="AH104" i="31" s="1"/>
  <c r="AK104" i="31" s="1"/>
  <c r="BR104" i="31" s="1"/>
  <c r="AG49" i="31"/>
  <c r="AH49" i="31" s="1"/>
  <c r="AK49" i="31" s="1"/>
  <c r="BR49" i="31" s="1"/>
  <c r="AK69" i="31"/>
  <c r="BR69" i="31" s="1"/>
  <c r="AY57" i="31"/>
  <c r="AU22" i="31"/>
  <c r="AV22" i="31" s="1"/>
  <c r="AP104" i="31"/>
  <c r="AQ104" i="31" s="1"/>
  <c r="AT104" i="31" s="1"/>
  <c r="AG22" i="31"/>
  <c r="AH22" i="31" s="1"/>
  <c r="AL104" i="31"/>
  <c r="AM104" i="31" s="1"/>
  <c r="AO104" i="31" s="1"/>
  <c r="BS104" i="31" s="1"/>
  <c r="AK102" i="31"/>
  <c r="BR102" i="31" s="1"/>
  <c r="S22" i="31"/>
  <c r="AI22" i="31" s="1"/>
  <c r="AO29" i="31"/>
  <c r="BS29" i="31" s="1"/>
  <c r="AY46" i="31"/>
  <c r="S62" i="31"/>
  <c r="AI62" i="31" s="1"/>
  <c r="AA26" i="31"/>
  <c r="AB26" i="31" s="1"/>
  <c r="AC26" i="31" s="1"/>
  <c r="AP46" i="31"/>
  <c r="AQ46" i="31" s="1"/>
  <c r="AY67" i="31"/>
  <c r="V34" i="31"/>
  <c r="AJ34" i="31" s="1"/>
  <c r="AK103" i="31"/>
  <c r="BR103" i="31" s="1"/>
  <c r="S89" i="31"/>
  <c r="AI89" i="31" s="1"/>
  <c r="V62" i="31"/>
  <c r="Y62" i="31" s="1"/>
  <c r="AO103" i="31"/>
  <c r="BS103" i="31" s="1"/>
  <c r="AU29" i="31"/>
  <c r="AV29" i="31" s="1"/>
  <c r="AX29" i="31" s="1"/>
  <c r="S55" i="31"/>
  <c r="AI55" i="31" s="1"/>
  <c r="X35" i="31"/>
  <c r="AO38" i="31"/>
  <c r="Y10" i="31"/>
  <c r="AY106" i="31"/>
  <c r="AO36" i="31"/>
  <c r="BS36" i="31" s="1"/>
  <c r="AD35" i="31"/>
  <c r="AE35" i="31" s="1"/>
  <c r="AF35" i="31" s="1"/>
  <c r="AN10" i="31"/>
  <c r="AG99" i="31"/>
  <c r="AH99" i="31" s="1"/>
  <c r="AK99" i="31" s="1"/>
  <c r="BR99" i="31" s="1"/>
  <c r="AY29" i="31"/>
  <c r="S53" i="31"/>
  <c r="AI53" i="31" s="1"/>
  <c r="X66" i="31"/>
  <c r="Z66" i="31" s="1"/>
  <c r="BP66" i="31" s="1"/>
  <c r="AY66" i="31"/>
  <c r="AG79" i="31"/>
  <c r="AH79" i="31" s="1"/>
  <c r="AK79" i="31" s="1"/>
  <c r="BR79" i="31" s="1"/>
  <c r="AY79" i="31"/>
  <c r="Z31" i="31"/>
  <c r="BP31" i="31" s="1"/>
  <c r="Z92" i="31"/>
  <c r="BP92" i="31" s="1"/>
  <c r="X99" i="31"/>
  <c r="Z99" i="31" s="1"/>
  <c r="X29" i="31"/>
  <c r="Z29" i="31" s="1"/>
  <c r="V96" i="31"/>
  <c r="Y96" i="31" s="1"/>
  <c r="AN61" i="31"/>
  <c r="Y107" i="31"/>
  <c r="V89" i="31"/>
  <c r="Y89" i="31" s="1"/>
  <c r="AU99" i="31"/>
  <c r="AV99" i="31" s="1"/>
  <c r="AX99" i="31" s="1"/>
  <c r="AL99" i="31"/>
  <c r="AM99" i="31" s="1"/>
  <c r="AO99" i="31" s="1"/>
  <c r="BS99" i="31" s="1"/>
  <c r="AG29" i="31"/>
  <c r="AH29" i="31" s="1"/>
  <c r="AK29" i="31" s="1"/>
  <c r="BR29" i="31" s="1"/>
  <c r="AY60" i="31"/>
  <c r="AY35" i="31"/>
  <c r="AA61" i="31"/>
  <c r="AB61" i="31" s="1"/>
  <c r="AC61" i="31" s="1"/>
  <c r="AD61" i="31"/>
  <c r="AE61" i="31" s="1"/>
  <c r="AF61" i="31" s="1"/>
  <c r="AP35" i="31"/>
  <c r="AQ35" i="31" s="1"/>
  <c r="V55" i="31"/>
  <c r="AA55" i="31" s="1"/>
  <c r="AB55" i="31" s="1"/>
  <c r="AC55" i="31" s="1"/>
  <c r="S34" i="31"/>
  <c r="AI34" i="31" s="1"/>
  <c r="AL70" i="31"/>
  <c r="AM70" i="31" s="1"/>
  <c r="AO70" i="31" s="1"/>
  <c r="BS70" i="31" s="1"/>
  <c r="AY70" i="31"/>
  <c r="AJ61" i="31"/>
  <c r="X61" i="31"/>
  <c r="Z61" i="31" s="1"/>
  <c r="BP61" i="31" s="1"/>
  <c r="AY61" i="31"/>
  <c r="AU70" i="31"/>
  <c r="AV70" i="31" s="1"/>
  <c r="AX70" i="31" s="1"/>
  <c r="BU70" i="31" s="1"/>
  <c r="V58" i="31"/>
  <c r="AJ58" i="31" s="1"/>
  <c r="V88" i="31"/>
  <c r="AD88" i="31" s="1"/>
  <c r="AE88" i="31" s="1"/>
  <c r="AF88" i="31" s="1"/>
  <c r="AX38" i="31"/>
  <c r="BU38" i="31" s="1"/>
  <c r="W18" i="31"/>
  <c r="AG18" i="31" s="1"/>
  <c r="AH18" i="31" s="1"/>
  <c r="S57" i="31"/>
  <c r="AI57" i="31" s="1"/>
  <c r="AK57" i="31" s="1"/>
  <c r="BR57" i="31" s="1"/>
  <c r="V85" i="31"/>
  <c r="Y46" i="31"/>
  <c r="W16" i="31"/>
  <c r="X16" i="31" s="1"/>
  <c r="V16" i="31"/>
  <c r="AJ16" i="31" s="1"/>
  <c r="V73" i="31"/>
  <c r="W30" i="31"/>
  <c r="AY30" i="31" s="1"/>
  <c r="AN107" i="31"/>
  <c r="S71" i="31"/>
  <c r="AI71" i="31" s="1"/>
  <c r="V72" i="31"/>
  <c r="AK92" i="31"/>
  <c r="BR92" i="31" s="1"/>
  <c r="AL61" i="31"/>
  <c r="AM61" i="31" s="1"/>
  <c r="BC95" i="31"/>
  <c r="BV95" i="31" s="1"/>
  <c r="W21" i="31"/>
  <c r="AY21" i="31" s="1"/>
  <c r="AO31" i="31"/>
  <c r="BS31" i="31" s="1"/>
  <c r="S56" i="31"/>
  <c r="AI56" i="31" s="1"/>
  <c r="AG61" i="31"/>
  <c r="AH61" i="31" s="1"/>
  <c r="V83" i="31"/>
  <c r="AW107" i="31"/>
  <c r="Y26" i="31"/>
  <c r="Z26" i="31" s="1"/>
  <c r="BP26" i="31" s="1"/>
  <c r="AP61" i="31"/>
  <c r="AQ61" i="31" s="1"/>
  <c r="AT61" i="31" s="1"/>
  <c r="BT61" i="31" s="1"/>
  <c r="AD107" i="31"/>
  <c r="AE107" i="31" s="1"/>
  <c r="AF107" i="31" s="1"/>
  <c r="AJ26" i="31"/>
  <c r="AK26" i="31" s="1"/>
  <c r="BR26" i="31" s="1"/>
  <c r="AJ35" i="31"/>
  <c r="AU61" i="31"/>
  <c r="AV61" i="31" s="1"/>
  <c r="AX61" i="31" s="1"/>
  <c r="BU61" i="31" s="1"/>
  <c r="W71" i="31"/>
  <c r="X71" i="31" s="1"/>
  <c r="AX67" i="31"/>
  <c r="BU67" i="31" s="1"/>
  <c r="V53" i="31"/>
  <c r="W72" i="31"/>
  <c r="AP72" i="31" s="1"/>
  <c r="AQ72" i="31" s="1"/>
  <c r="S9" i="31"/>
  <c r="AI9" i="31" s="1"/>
  <c r="AN26" i="31"/>
  <c r="AO26" i="31" s="1"/>
  <c r="AA107" i="31"/>
  <c r="AB107" i="31" s="1"/>
  <c r="AC107" i="31" s="1"/>
  <c r="AW26" i="31"/>
  <c r="AX26" i="31" s="1"/>
  <c r="BU26" i="31" s="1"/>
  <c r="X73" i="31"/>
  <c r="AL73" i="31"/>
  <c r="AM73" i="31" s="1"/>
  <c r="BC92" i="31"/>
  <c r="BV92" i="31" s="1"/>
  <c r="Z79" i="31"/>
  <c r="BP79" i="31" s="1"/>
  <c r="AU57" i="31"/>
  <c r="AV57" i="31" s="1"/>
  <c r="AQ95" i="31"/>
  <c r="AG60" i="31"/>
  <c r="AH60" i="31" s="1"/>
  <c r="AK60" i="31" s="1"/>
  <c r="BR60" i="31" s="1"/>
  <c r="S33" i="31"/>
  <c r="AI33" i="31" s="1"/>
  <c r="W65" i="31"/>
  <c r="W52" i="31"/>
  <c r="AY52" i="31" s="1"/>
  <c r="AG70" i="31"/>
  <c r="AH70" i="31" s="1"/>
  <c r="AK70" i="31" s="1"/>
  <c r="BR70" i="31" s="1"/>
  <c r="S105" i="31"/>
  <c r="AI105" i="31" s="1"/>
  <c r="AP60" i="31"/>
  <c r="AQ60" i="31" s="1"/>
  <c r="AT60" i="31" s="1"/>
  <c r="S84" i="31"/>
  <c r="AI84" i="31" s="1"/>
  <c r="AP31" i="31"/>
  <c r="AQ31" i="31" s="1"/>
  <c r="AT31" i="31" s="1"/>
  <c r="BT31" i="31" s="1"/>
  <c r="W32" i="31"/>
  <c r="AU32" i="31" s="1"/>
  <c r="AV32" i="31" s="1"/>
  <c r="AP66" i="31"/>
  <c r="AQ66" i="31" s="1"/>
  <c r="AT66" i="31" s="1"/>
  <c r="X57" i="31"/>
  <c r="AL60" i="31"/>
  <c r="AM60" i="31" s="1"/>
  <c r="AO60" i="31" s="1"/>
  <c r="BS60" i="31" s="1"/>
  <c r="V65" i="31"/>
  <c r="AJ65" i="31" s="1"/>
  <c r="S25" i="31"/>
  <c r="AI25" i="31" s="1"/>
  <c r="AG106" i="31"/>
  <c r="AH106" i="31" s="1"/>
  <c r="AK106" i="31" s="1"/>
  <c r="BR106" i="31" s="1"/>
  <c r="X106" i="31"/>
  <c r="Z106" i="31" s="1"/>
  <c r="BP106" i="31" s="1"/>
  <c r="AU60" i="31"/>
  <c r="AV60" i="31" s="1"/>
  <c r="AX60" i="31" s="1"/>
  <c r="BU60" i="31" s="1"/>
  <c r="V77" i="31"/>
  <c r="AJ77" i="31" s="1"/>
  <c r="AU106" i="31"/>
  <c r="AV106" i="31" s="1"/>
  <c r="AX106" i="31" s="1"/>
  <c r="AL79" i="31"/>
  <c r="W33" i="31"/>
  <c r="AG33" i="31" s="1"/>
  <c r="AH33" i="31" s="1"/>
  <c r="S77" i="31"/>
  <c r="AI77" i="31" s="1"/>
  <c r="AU79" i="31"/>
  <c r="AV79" i="31" s="1"/>
  <c r="AX79" i="31" s="1"/>
  <c r="BU79" i="31" s="1"/>
  <c r="S52" i="31"/>
  <c r="AI52" i="31" s="1"/>
  <c r="S101" i="31"/>
  <c r="AI101" i="31" s="1"/>
  <c r="BC36" i="31"/>
  <c r="BV36" i="31" s="1"/>
  <c r="Z104" i="31"/>
  <c r="BP104" i="31" s="1"/>
  <c r="W101" i="31"/>
  <c r="AG101" i="31" s="1"/>
  <c r="AH101" i="31" s="1"/>
  <c r="AP106" i="31"/>
  <c r="AQ106" i="31" s="1"/>
  <c r="AT106" i="31" s="1"/>
  <c r="BT106" i="31" s="1"/>
  <c r="V84" i="31"/>
  <c r="W58" i="31"/>
  <c r="AY58" i="31" s="1"/>
  <c r="AO106" i="31"/>
  <c r="BS106" i="31" s="1"/>
  <c r="V32" i="31"/>
  <c r="AJ32" i="31" s="1"/>
  <c r="AL66" i="31"/>
  <c r="AU66" i="31"/>
  <c r="AV66" i="31" s="1"/>
  <c r="AX66" i="31" s="1"/>
  <c r="BU66" i="31" s="1"/>
  <c r="AA35" i="31"/>
  <c r="AB35" i="31" s="1"/>
  <c r="AC35" i="31" s="1"/>
  <c r="Y35" i="31"/>
  <c r="AG66" i="31"/>
  <c r="AH66" i="31" s="1"/>
  <c r="AK66" i="31" s="1"/>
  <c r="BR66" i="31" s="1"/>
  <c r="S58" i="31"/>
  <c r="AI58" i="31" s="1"/>
  <c r="AL55" i="31"/>
  <c r="AM55" i="31" s="1"/>
  <c r="AP55" i="31"/>
  <c r="AQ55" i="31" s="1"/>
  <c r="AP15" i="31"/>
  <c r="AQ15" i="31" s="1"/>
  <c r="AG15" i="31"/>
  <c r="AH15" i="31" s="1"/>
  <c r="X15" i="31"/>
  <c r="AL15" i="31"/>
  <c r="AM15" i="31" s="1"/>
  <c r="AU15" i="31"/>
  <c r="AV15" i="31" s="1"/>
  <c r="AL98" i="31"/>
  <c r="AM98" i="31" s="1"/>
  <c r="AU98" i="31"/>
  <c r="AV98" i="31" s="1"/>
  <c r="AP98" i="31"/>
  <c r="AQ98" i="31" s="1"/>
  <c r="AG98" i="31"/>
  <c r="AH98" i="31" s="1"/>
  <c r="X98" i="31"/>
  <c r="AA23" i="31"/>
  <c r="AB23" i="31" s="1"/>
  <c r="AC23" i="31" s="1"/>
  <c r="AJ23" i="31"/>
  <c r="AJ78" i="31"/>
  <c r="AN45" i="31"/>
  <c r="AJ45" i="31"/>
  <c r="AU73" i="31"/>
  <c r="AV73" i="31" s="1"/>
  <c r="V51" i="31"/>
  <c r="AS51" i="31" s="1"/>
  <c r="AM43" i="31"/>
  <c r="AO43" i="31" s="1"/>
  <c r="BQ43" i="31" s="1"/>
  <c r="BC43" i="31"/>
  <c r="BV43" i="31" s="1"/>
  <c r="AA95" i="31"/>
  <c r="AB95" i="31" s="1"/>
  <c r="AC95" i="31" s="1"/>
  <c r="AJ95" i="31"/>
  <c r="AK95" i="31" s="1"/>
  <c r="BR95" i="31" s="1"/>
  <c r="W86" i="31"/>
  <c r="X86" i="31" s="1"/>
  <c r="BC49" i="31"/>
  <c r="BV49" i="31" s="1"/>
  <c r="AG73" i="31"/>
  <c r="AH73" i="31" s="1"/>
  <c r="S59" i="31"/>
  <c r="AI59" i="31" s="1"/>
  <c r="W88" i="31"/>
  <c r="AY88" i="31" s="1"/>
  <c r="V22" i="31"/>
  <c r="AJ22" i="31" s="1"/>
  <c r="AO92" i="31"/>
  <c r="BS92" i="31" s="1"/>
  <c r="X10" i="31"/>
  <c r="AP10" i="31"/>
  <c r="AQ10" i="31" s="1"/>
  <c r="AT10" i="31" s="1"/>
  <c r="AG10" i="31"/>
  <c r="AH10" i="31" s="1"/>
  <c r="AU10" i="31"/>
  <c r="AV10" i="31" s="1"/>
  <c r="AX10" i="31" s="1"/>
  <c r="BU10" i="31" s="1"/>
  <c r="AL10" i="31"/>
  <c r="AP73" i="31"/>
  <c r="AQ73" i="31" s="1"/>
  <c r="S14" i="31"/>
  <c r="AI14" i="31" s="1"/>
  <c r="V14" i="31"/>
  <c r="AD14" i="31" s="1"/>
  <c r="AE14" i="31" s="1"/>
  <c r="AF14" i="31" s="1"/>
  <c r="AA93" i="31"/>
  <c r="AB93" i="31" s="1"/>
  <c r="AC93" i="31" s="1"/>
  <c r="AN81" i="31"/>
  <c r="AJ81" i="31"/>
  <c r="X70" i="31"/>
  <c r="Z70" i="31" s="1"/>
  <c r="BP70" i="31" s="1"/>
  <c r="AJ55" i="31"/>
  <c r="S41" i="31"/>
  <c r="AI41" i="31" s="1"/>
  <c r="W41" i="31"/>
  <c r="AY41" i="31" s="1"/>
  <c r="S82" i="31"/>
  <c r="AI82" i="31" s="1"/>
  <c r="AN46" i="31"/>
  <c r="AJ46" i="31"/>
  <c r="AK47" i="31"/>
  <c r="BR47" i="31" s="1"/>
  <c r="AU48" i="31"/>
  <c r="AV48" i="31" s="1"/>
  <c r="AX48" i="31" s="1"/>
  <c r="BU48" i="31" s="1"/>
  <c r="AP48" i="31"/>
  <c r="AQ48" i="31" s="1"/>
  <c r="AT48" i="31" s="1"/>
  <c r="BT48" i="31" s="1"/>
  <c r="AL48" i="31"/>
  <c r="AG48" i="31"/>
  <c r="AH48" i="31" s="1"/>
  <c r="AK48" i="31" s="1"/>
  <c r="BR48" i="31" s="1"/>
  <c r="X48" i="31"/>
  <c r="Z48" i="31" s="1"/>
  <c r="BP48" i="31" s="1"/>
  <c r="AN93" i="31"/>
  <c r="AJ93" i="31"/>
  <c r="W82" i="31"/>
  <c r="AU82" i="31" s="1"/>
  <c r="AV82" i="31" s="1"/>
  <c r="AX92" i="31"/>
  <c r="BU92" i="31" s="1"/>
  <c r="S51" i="31"/>
  <c r="AI51" i="31" s="1"/>
  <c r="BC76" i="31"/>
  <c r="BV76" i="31" s="1"/>
  <c r="AD93" i="31"/>
  <c r="AE93" i="31" s="1"/>
  <c r="AF93" i="31" s="1"/>
  <c r="W59" i="31"/>
  <c r="AY59" i="31" s="1"/>
  <c r="W105" i="31"/>
  <c r="AP105" i="31" s="1"/>
  <c r="AQ105" i="31" s="1"/>
  <c r="AN33" i="31"/>
  <c r="AJ33" i="31"/>
  <c r="AN57" i="31"/>
  <c r="AW57" i="31"/>
  <c r="AA57" i="31"/>
  <c r="AB57" i="31" s="1"/>
  <c r="AC57" i="31" s="1"/>
  <c r="AD57" i="31"/>
  <c r="AE57" i="31" s="1"/>
  <c r="AF57" i="31" s="1"/>
  <c r="Y57" i="31"/>
  <c r="AS57" i="31"/>
  <c r="AL34" i="31"/>
  <c r="AM34" i="31" s="1"/>
  <c r="AP34" i="31"/>
  <c r="AQ34" i="31" s="1"/>
  <c r="AG34" i="31"/>
  <c r="AH34" i="31" s="1"/>
  <c r="X34" i="31"/>
  <c r="AU34" i="31"/>
  <c r="AV34" i="31" s="1"/>
  <c r="X51" i="31"/>
  <c r="AG51" i="31"/>
  <c r="AH51" i="31" s="1"/>
  <c r="AU51" i="31"/>
  <c r="AV51" i="31" s="1"/>
  <c r="AL51" i="31"/>
  <c r="AM51" i="31" s="1"/>
  <c r="AP51" i="31"/>
  <c r="AQ51" i="31" s="1"/>
  <c r="AN18" i="31"/>
  <c r="AS18" i="31"/>
  <c r="Y18" i="31"/>
  <c r="AD18" i="31"/>
  <c r="AE18" i="31" s="1"/>
  <c r="AF18" i="31" s="1"/>
  <c r="AW18" i="31"/>
  <c r="AA18" i="31"/>
  <c r="AB18" i="31" s="1"/>
  <c r="AC18" i="31" s="1"/>
  <c r="AU78" i="31"/>
  <c r="AV78" i="31" s="1"/>
  <c r="X78" i="31"/>
  <c r="AP78" i="31"/>
  <c r="AQ78" i="31" s="1"/>
  <c r="AG78" i="31"/>
  <c r="AH78" i="31" s="1"/>
  <c r="AL78" i="31"/>
  <c r="AM78" i="31" s="1"/>
  <c r="AG89" i="31"/>
  <c r="AH89" i="31" s="1"/>
  <c r="AP89" i="31"/>
  <c r="AQ89" i="31" s="1"/>
  <c r="X89" i="31"/>
  <c r="AL89" i="31"/>
  <c r="AM89" i="31" s="1"/>
  <c r="AU89" i="31"/>
  <c r="AV89" i="31" s="1"/>
  <c r="W83" i="31"/>
  <c r="W25" i="31"/>
  <c r="AY25" i="31" s="1"/>
  <c r="V86" i="31"/>
  <c r="AJ86" i="31" s="1"/>
  <c r="AN102" i="31"/>
  <c r="Y102" i="31"/>
  <c r="AD102" i="31"/>
  <c r="AE102" i="31" s="1"/>
  <c r="AF102" i="31" s="1"/>
  <c r="AS102" i="31"/>
  <c r="AW102" i="31"/>
  <c r="AX102" i="31" s="1"/>
  <c r="BU102" i="31" s="1"/>
  <c r="AN47" i="31"/>
  <c r="AO47" i="31" s="1"/>
  <c r="AA47" i="31"/>
  <c r="AB47" i="31" s="1"/>
  <c r="AC47" i="31" s="1"/>
  <c r="Y47" i="31"/>
  <c r="Z47" i="31" s="1"/>
  <c r="AD47" i="31"/>
  <c r="AE47" i="31" s="1"/>
  <c r="AF47" i="31" s="1"/>
  <c r="AS47" i="31"/>
  <c r="AT47" i="31" s="1"/>
  <c r="AW47" i="31"/>
  <c r="AX47" i="31" s="1"/>
  <c r="BU47" i="31" s="1"/>
  <c r="AT36" i="31"/>
  <c r="BL36" i="31" s="1"/>
  <c r="BC38" i="31"/>
  <c r="BV38" i="31" s="1"/>
  <c r="Z60" i="31"/>
  <c r="AP109" i="31"/>
  <c r="AQ109" i="31" s="1"/>
  <c r="AT109" i="31" s="1"/>
  <c r="BT109" i="31" s="1"/>
  <c r="AG109" i="31"/>
  <c r="AH109" i="31" s="1"/>
  <c r="AK109" i="31" s="1"/>
  <c r="BR109" i="31" s="1"/>
  <c r="X109" i="31"/>
  <c r="Z109" i="31" s="1"/>
  <c r="BP109" i="31" s="1"/>
  <c r="B521" i="2" s="1"/>
  <c r="AL109" i="31"/>
  <c r="AU109" i="31"/>
  <c r="AV109" i="31" s="1"/>
  <c r="AX109" i="31" s="1"/>
  <c r="AP70" i="31"/>
  <c r="AQ70" i="31" s="1"/>
  <c r="AT70" i="31" s="1"/>
  <c r="BT70" i="31" s="1"/>
  <c r="AD64" i="31"/>
  <c r="AE64" i="31" s="1"/>
  <c r="AF64" i="31" s="1"/>
  <c r="AS64" i="31"/>
  <c r="Y64" i="31"/>
  <c r="AW64" i="31"/>
  <c r="AX64" i="31" s="1"/>
  <c r="BC47" i="31"/>
  <c r="BV47" i="31" s="1"/>
  <c r="AA102" i="31"/>
  <c r="AB102" i="31" s="1"/>
  <c r="AC102" i="31" s="1"/>
  <c r="AG31" i="31"/>
  <c r="AH31" i="31" s="1"/>
  <c r="AK31" i="31" s="1"/>
  <c r="BR31" i="31" s="1"/>
  <c r="AU31" i="31"/>
  <c r="AV31" i="31" s="1"/>
  <c r="AX31" i="31" s="1"/>
  <c r="AN105" i="31"/>
  <c r="AW105" i="31"/>
  <c r="AA105" i="31"/>
  <c r="AB105" i="31" s="1"/>
  <c r="AC105" i="31" s="1"/>
  <c r="Y105" i="31"/>
  <c r="AS105" i="31"/>
  <c r="AD105" i="31"/>
  <c r="AE105" i="31" s="1"/>
  <c r="AF105" i="31" s="1"/>
  <c r="AN75" i="31"/>
  <c r="AD75" i="31"/>
  <c r="AE75" i="31" s="1"/>
  <c r="AF75" i="31" s="1"/>
  <c r="Y75" i="31"/>
  <c r="AS75" i="31"/>
  <c r="AW75" i="31"/>
  <c r="AA75" i="31"/>
  <c r="AB75" i="31" s="1"/>
  <c r="AC75" i="31" s="1"/>
  <c r="AP62" i="31"/>
  <c r="AQ62" i="31" s="1"/>
  <c r="AG62" i="31"/>
  <c r="AH62" i="31" s="1"/>
  <c r="X62" i="31"/>
  <c r="AU62" i="31"/>
  <c r="AV62" i="31" s="1"/>
  <c r="AL62" i="31"/>
  <c r="AM62" i="31" s="1"/>
  <c r="AN71" i="31"/>
  <c r="Y71" i="31"/>
  <c r="AD71" i="31"/>
  <c r="AE71" i="31" s="1"/>
  <c r="AF71" i="31" s="1"/>
  <c r="AS71" i="31"/>
  <c r="AW71" i="31"/>
  <c r="AA71" i="31"/>
  <c r="AB71" i="31" s="1"/>
  <c r="AC71" i="31" s="1"/>
  <c r="AP53" i="31"/>
  <c r="AQ53" i="31" s="1"/>
  <c r="AL53" i="31"/>
  <c r="AM53" i="31" s="1"/>
  <c r="AU53" i="31"/>
  <c r="AV53" i="31" s="1"/>
  <c r="X53" i="31"/>
  <c r="AG53" i="31"/>
  <c r="AH53" i="31" s="1"/>
  <c r="AN59" i="31"/>
  <c r="AW59" i="31"/>
  <c r="AA59" i="31"/>
  <c r="AB59" i="31" s="1"/>
  <c r="AC59" i="31" s="1"/>
  <c r="AD59" i="31"/>
  <c r="AE59" i="31" s="1"/>
  <c r="AF59" i="31" s="1"/>
  <c r="Y59" i="31"/>
  <c r="AS59" i="31"/>
  <c r="AN56" i="31"/>
  <c r="AS56" i="31"/>
  <c r="AD56" i="31"/>
  <c r="AE56" i="31" s="1"/>
  <c r="AF56" i="31" s="1"/>
  <c r="AW56" i="31"/>
  <c r="Y56" i="31"/>
  <c r="X84" i="31"/>
  <c r="AG84" i="31"/>
  <c r="AH84" i="31" s="1"/>
  <c r="AL84" i="31"/>
  <c r="AM84" i="31" s="1"/>
  <c r="AP84" i="31"/>
  <c r="AQ84" i="31" s="1"/>
  <c r="AU84" i="31"/>
  <c r="AV84" i="31" s="1"/>
  <c r="AN101" i="31"/>
  <c r="AD101" i="31"/>
  <c r="AE101" i="31" s="1"/>
  <c r="AF101" i="31" s="1"/>
  <c r="AS101" i="31"/>
  <c r="Y101" i="31"/>
  <c r="AW101" i="31"/>
  <c r="AA101" i="31"/>
  <c r="AB101" i="31" s="1"/>
  <c r="AC101" i="31" s="1"/>
  <c r="AN19" i="31"/>
  <c r="AS19" i="31"/>
  <c r="AW19" i="31"/>
  <c r="AA19" i="31"/>
  <c r="AB19" i="31" s="1"/>
  <c r="AC19" i="31" s="1"/>
  <c r="AD19" i="31"/>
  <c r="AE19" i="31" s="1"/>
  <c r="AF19" i="31" s="1"/>
  <c r="Y19" i="31"/>
  <c r="Y54" i="31"/>
  <c r="AN54" i="31"/>
  <c r="AN82" i="31"/>
  <c r="Y82" i="31"/>
  <c r="AD82" i="31"/>
  <c r="AE82" i="31" s="1"/>
  <c r="AF82" i="31" s="1"/>
  <c r="AW82" i="31"/>
  <c r="AA82" i="31"/>
  <c r="AB82" i="31" s="1"/>
  <c r="AC82" i="31" s="1"/>
  <c r="AS82" i="31"/>
  <c r="AN24" i="31"/>
  <c r="AA24" i="31"/>
  <c r="AB24" i="31" s="1"/>
  <c r="AC24" i="31" s="1"/>
  <c r="Y24" i="31"/>
  <c r="AD24" i="31"/>
  <c r="AE24" i="31" s="1"/>
  <c r="AF24" i="31" s="1"/>
  <c r="AW24" i="31"/>
  <c r="AS24" i="31"/>
  <c r="AN41" i="31"/>
  <c r="AD41" i="31"/>
  <c r="AE41" i="31" s="1"/>
  <c r="AF41" i="31" s="1"/>
  <c r="Y41" i="31"/>
  <c r="AS41" i="31"/>
  <c r="AW41" i="31"/>
  <c r="AA41" i="31"/>
  <c r="AB41" i="31" s="1"/>
  <c r="AC41" i="31" s="1"/>
  <c r="AL28" i="31"/>
  <c r="AM28" i="31" s="1"/>
  <c r="AU28" i="31"/>
  <c r="AV28" i="31" s="1"/>
  <c r="AD30" i="31"/>
  <c r="AE30" i="31" s="1"/>
  <c r="AF30" i="31" s="1"/>
  <c r="AN30" i="31"/>
  <c r="AW30" i="31"/>
  <c r="Y30" i="31"/>
  <c r="AS30" i="31"/>
  <c r="AA30" i="31"/>
  <c r="AB30" i="31" s="1"/>
  <c r="AC30" i="31" s="1"/>
  <c r="AP85" i="31"/>
  <c r="AQ85" i="31" s="1"/>
  <c r="X85" i="31"/>
  <c r="AU85" i="31"/>
  <c r="AV85" i="31" s="1"/>
  <c r="AL85" i="31"/>
  <c r="AM85" i="31" s="1"/>
  <c r="AG85" i="31"/>
  <c r="AH85" i="31" s="1"/>
  <c r="AP68" i="31"/>
  <c r="AQ68" i="31" s="1"/>
  <c r="AU68" i="31"/>
  <c r="AV68" i="31" s="1"/>
  <c r="AL68" i="31"/>
  <c r="AM68" i="31" s="1"/>
  <c r="AG68" i="31"/>
  <c r="AH68" i="31" s="1"/>
  <c r="X68" i="31"/>
  <c r="AG12" i="31"/>
  <c r="AH12" i="31" s="1"/>
  <c r="X12" i="31"/>
  <c r="AL12" i="31"/>
  <c r="AM12" i="31" s="1"/>
  <c r="AP12" i="31"/>
  <c r="AQ12" i="31" s="1"/>
  <c r="AU12" i="31"/>
  <c r="AV12" i="31" s="1"/>
  <c r="AP108" i="31"/>
  <c r="AQ108" i="31" s="1"/>
  <c r="AG108" i="31"/>
  <c r="AH108" i="31" s="1"/>
  <c r="X108" i="31"/>
  <c r="AU108" i="31"/>
  <c r="AV108" i="31" s="1"/>
  <c r="AL108" i="31"/>
  <c r="AM108" i="31" s="1"/>
  <c r="X77" i="31"/>
  <c r="AU77" i="31"/>
  <c r="AV77" i="31" s="1"/>
  <c r="AL77" i="31"/>
  <c r="AM77" i="31" s="1"/>
  <c r="AP77" i="31"/>
  <c r="AQ77" i="31" s="1"/>
  <c r="AG77" i="31"/>
  <c r="AH77" i="31" s="1"/>
  <c r="AN20" i="31"/>
  <c r="AS20" i="31"/>
  <c r="AW20" i="31"/>
  <c r="AA20" i="31"/>
  <c r="AB20" i="31" s="1"/>
  <c r="AC20" i="31" s="1"/>
  <c r="Y20" i="31"/>
  <c r="AD20" i="31"/>
  <c r="AE20" i="31" s="1"/>
  <c r="AF20" i="31" s="1"/>
  <c r="AP14" i="31"/>
  <c r="AQ14" i="31" s="1"/>
  <c r="AG14" i="31"/>
  <c r="AH14" i="31" s="1"/>
  <c r="X14" i="31"/>
  <c r="AU14" i="31"/>
  <c r="AV14" i="31" s="1"/>
  <c r="AL14" i="31"/>
  <c r="AM14" i="31" s="1"/>
  <c r="AN27" i="31"/>
  <c r="AA27" i="31"/>
  <c r="AB27" i="31" s="1"/>
  <c r="AC27" i="31" s="1"/>
  <c r="AW27" i="31"/>
  <c r="Y27" i="31"/>
  <c r="AD27" i="31"/>
  <c r="AE27" i="31" s="1"/>
  <c r="AF27" i="31" s="1"/>
  <c r="AS27" i="31"/>
  <c r="AA52" i="31"/>
  <c r="AB52" i="31" s="1"/>
  <c r="AC52" i="31" s="1"/>
  <c r="AN52" i="31"/>
  <c r="Y52" i="31"/>
  <c r="AD52" i="31"/>
  <c r="AE52" i="31" s="1"/>
  <c r="AF52" i="31" s="1"/>
  <c r="AS52" i="31"/>
  <c r="AW52" i="31"/>
  <c r="AN25" i="31"/>
  <c r="Y25" i="31"/>
  <c r="AS25" i="31"/>
  <c r="AD25" i="31"/>
  <c r="AE25" i="31" s="1"/>
  <c r="AF25" i="31" s="1"/>
  <c r="AW25" i="31"/>
  <c r="AA56" i="31"/>
  <c r="AB56" i="31" s="1"/>
  <c r="AC56" i="31" s="1"/>
  <c r="AA33" i="31"/>
  <c r="AB33" i="31" s="1"/>
  <c r="AC33" i="31" s="1"/>
  <c r="V28" i="31"/>
  <c r="AJ28" i="31" s="1"/>
  <c r="AM9" i="31"/>
  <c r="W20" i="31"/>
  <c r="AY20" i="31" s="1"/>
  <c r="W17" i="31"/>
  <c r="AY17" i="31" s="1"/>
  <c r="S17" i="31"/>
  <c r="AI17" i="31" s="1"/>
  <c r="V42" i="31"/>
  <c r="AJ42" i="31" s="1"/>
  <c r="S54" i="31"/>
  <c r="AI54" i="31" s="1"/>
  <c r="AW33" i="31"/>
  <c r="W54" i="31"/>
  <c r="AP54" i="31" s="1"/>
  <c r="AQ54" i="31" s="1"/>
  <c r="V17" i="31"/>
  <c r="AJ17" i="31" s="1"/>
  <c r="R91" i="31"/>
  <c r="V91" i="31" s="1"/>
  <c r="AJ91" i="31" s="1"/>
  <c r="BU63" i="31"/>
  <c r="S28" i="31"/>
  <c r="AI28" i="31" s="1"/>
  <c r="AS74" i="31"/>
  <c r="AN74" i="31"/>
  <c r="S85" i="31"/>
  <c r="AI85" i="31" s="1"/>
  <c r="AG107" i="31"/>
  <c r="AH107" i="31" s="1"/>
  <c r="AK107" i="31" s="1"/>
  <c r="BR107" i="31" s="1"/>
  <c r="X107" i="31"/>
  <c r="AP107" i="31"/>
  <c r="AQ107" i="31" s="1"/>
  <c r="AT107" i="31" s="1"/>
  <c r="BT107" i="31" s="1"/>
  <c r="AU107" i="31"/>
  <c r="AV107" i="31" s="1"/>
  <c r="AL107" i="31"/>
  <c r="V9" i="31"/>
  <c r="AJ9" i="31" s="1"/>
  <c r="AU9" i="31"/>
  <c r="AV9" i="31" s="1"/>
  <c r="W9" i="31"/>
  <c r="AG9" i="31" s="1"/>
  <c r="AH9" i="31" s="1"/>
  <c r="V97" i="31"/>
  <c r="AJ97" i="31" s="1"/>
  <c r="AD33" i="31"/>
  <c r="AE33" i="31" s="1"/>
  <c r="AF33" i="31" s="1"/>
  <c r="AS33" i="31"/>
  <c r="AU55" i="31"/>
  <c r="AV55" i="31" s="1"/>
  <c r="BC90" i="31"/>
  <c r="BV90" i="31" s="1"/>
  <c r="AP9" i="31"/>
  <c r="AQ9" i="31" s="1"/>
  <c r="S46" i="31"/>
  <c r="AI46" i="31" s="1"/>
  <c r="W39" i="31"/>
  <c r="AY39" i="31" s="1"/>
  <c r="S39" i="31"/>
  <c r="AI39" i="31" s="1"/>
  <c r="S23" i="31"/>
  <c r="AI23" i="31" s="1"/>
  <c r="W23" i="31"/>
  <c r="AY23" i="31" s="1"/>
  <c r="W42" i="31"/>
  <c r="AY42" i="31" s="1"/>
  <c r="S30" i="31"/>
  <c r="AI30" i="31" s="1"/>
  <c r="Y33" i="31"/>
  <c r="X55" i="31"/>
  <c r="AS88" i="31"/>
  <c r="AA37" i="31"/>
  <c r="AB37" i="31" s="1"/>
  <c r="AC37" i="31" s="1"/>
  <c r="AN37" i="31"/>
  <c r="AD37" i="31"/>
  <c r="AE37" i="31" s="1"/>
  <c r="AF37" i="31" s="1"/>
  <c r="Y37" i="31"/>
  <c r="AS37" i="31"/>
  <c r="AW37" i="31"/>
  <c r="R11" i="31"/>
  <c r="S11" i="31" s="1"/>
  <c r="AI11" i="31" s="1"/>
  <c r="AU37" i="31"/>
  <c r="AV37" i="31" s="1"/>
  <c r="X37" i="31"/>
  <c r="AG37" i="31"/>
  <c r="AH37" i="31" s="1"/>
  <c r="AK37" i="31" s="1"/>
  <c r="BR37" i="31" s="1"/>
  <c r="AP37" i="31"/>
  <c r="AQ37" i="31" s="1"/>
  <c r="AL37" i="31"/>
  <c r="AA39" i="31"/>
  <c r="AB39" i="31" s="1"/>
  <c r="AC39" i="31" s="1"/>
  <c r="AN39" i="31"/>
  <c r="AS39" i="31"/>
  <c r="Y39" i="31"/>
  <c r="AD39" i="31"/>
  <c r="AE39" i="31" s="1"/>
  <c r="AF39" i="31" s="1"/>
  <c r="AW39" i="31"/>
  <c r="AS32" i="31"/>
  <c r="AN23" i="31"/>
  <c r="AD23" i="31"/>
  <c r="AE23" i="31" s="1"/>
  <c r="AF23" i="31" s="1"/>
  <c r="AS23" i="31"/>
  <c r="Y23" i="31"/>
  <c r="AW23" i="31"/>
  <c r="X94" i="31"/>
  <c r="Z94" i="31" s="1"/>
  <c r="BP94" i="31" s="1"/>
  <c r="AL94" i="31"/>
  <c r="AG94" i="31"/>
  <c r="AH94" i="31" s="1"/>
  <c r="AK94" i="31" s="1"/>
  <c r="BR94" i="31" s="1"/>
  <c r="AP94" i="31"/>
  <c r="AQ94" i="31" s="1"/>
  <c r="AT94" i="31" s="1"/>
  <c r="AU94" i="31"/>
  <c r="AV94" i="31" s="1"/>
  <c r="AX94" i="31" s="1"/>
  <c r="AS77" i="31"/>
  <c r="AA25" i="31"/>
  <c r="AB25" i="31" s="1"/>
  <c r="AC25" i="31" s="1"/>
  <c r="AL100" i="31"/>
  <c r="AP100" i="31"/>
  <c r="AQ100" i="31" s="1"/>
  <c r="AT100" i="31" s="1"/>
  <c r="AG100" i="31"/>
  <c r="AH100" i="31" s="1"/>
  <c r="AK100" i="31" s="1"/>
  <c r="X100" i="31"/>
  <c r="Z100" i="31" s="1"/>
  <c r="AU100" i="31"/>
  <c r="AV100" i="31" s="1"/>
  <c r="AX100" i="31" s="1"/>
  <c r="R50" i="31"/>
  <c r="V50" i="31" s="1"/>
  <c r="AJ50" i="31" s="1"/>
  <c r="X25" i="31"/>
  <c r="AN95" i="31"/>
  <c r="AO95" i="31" s="1"/>
  <c r="BS95" i="31" s="1"/>
  <c r="AW95" i="31"/>
  <c r="AX95" i="31" s="1"/>
  <c r="Y95" i="31"/>
  <c r="Z95" i="31" s="1"/>
  <c r="BP95" i="31" s="1"/>
  <c r="AD95" i="31"/>
  <c r="AE95" i="31" s="1"/>
  <c r="AF95" i="31" s="1"/>
  <c r="AS95" i="31"/>
  <c r="R40" i="31"/>
  <c r="S40" i="31" s="1"/>
  <c r="AI40" i="31" s="1"/>
  <c r="AG55" i="31"/>
  <c r="AH55" i="31" s="1"/>
  <c r="S20" i="31"/>
  <c r="AI20" i="31" s="1"/>
  <c r="AN69" i="31"/>
  <c r="AO69" i="31" s="1"/>
  <c r="BS69" i="31" s="1"/>
  <c r="AS69" i="31"/>
  <c r="AT69" i="31" s="1"/>
  <c r="AD69" i="31"/>
  <c r="AE69" i="31" s="1"/>
  <c r="AF69" i="31" s="1"/>
  <c r="Y69" i="31"/>
  <c r="Z69" i="31" s="1"/>
  <c r="BP69" i="31" s="1"/>
  <c r="AW69" i="31"/>
  <c r="AX69" i="31" s="1"/>
  <c r="AA69" i="31"/>
  <c r="AB69" i="31" s="1"/>
  <c r="AC69" i="31" s="1"/>
  <c r="AG93" i="31"/>
  <c r="AH93" i="31" s="1"/>
  <c r="AL93" i="31"/>
  <c r="AU93" i="31"/>
  <c r="AV93" i="31" s="1"/>
  <c r="AX93" i="31" s="1"/>
  <c r="AP93" i="31"/>
  <c r="AQ93" i="31" s="1"/>
  <c r="AT93" i="31" s="1"/>
  <c r="X93" i="31"/>
  <c r="Z93" i="31" s="1"/>
  <c r="BP93" i="31" s="1"/>
  <c r="AG56" i="31"/>
  <c r="AH56" i="31" s="1"/>
  <c r="AP56" i="31"/>
  <c r="AQ56" i="31" s="1"/>
  <c r="AU56" i="31"/>
  <c r="AV56" i="31" s="1"/>
  <c r="AL56" i="31"/>
  <c r="X56" i="31"/>
  <c r="AN49" i="31"/>
  <c r="AO49" i="31" s="1"/>
  <c r="AS49" i="31"/>
  <c r="AA49" i="31"/>
  <c r="AB49" i="31" s="1"/>
  <c r="AC49" i="31" s="1"/>
  <c r="AD49" i="31"/>
  <c r="AE49" i="31" s="1"/>
  <c r="AF49" i="31" s="1"/>
  <c r="Y49" i="31"/>
  <c r="AW49" i="31"/>
  <c r="AX49" i="31" s="1"/>
  <c r="R13" i="31"/>
  <c r="W13" i="31" s="1"/>
  <c r="AY13" i="31" s="1"/>
  <c r="V21" i="31"/>
  <c r="AJ21" i="31" s="1"/>
  <c r="X28" i="31"/>
  <c r="AG28" i="31"/>
  <c r="AH28" i="31" s="1"/>
  <c r="AP28" i="31"/>
  <c r="AQ28" i="31" s="1"/>
  <c r="AA54" i="31"/>
  <c r="AB54" i="31" s="1"/>
  <c r="AC54" i="31" s="1"/>
  <c r="BU103" i="31"/>
  <c r="BQ90" i="31"/>
  <c r="AT92" i="31"/>
  <c r="Y74" i="31"/>
  <c r="AW54" i="31"/>
  <c r="BL43" i="31"/>
  <c r="AD54" i="31"/>
  <c r="AE54" i="31" s="1"/>
  <c r="AF54" i="31" s="1"/>
  <c r="BT43" i="31"/>
  <c r="Y72" i="31"/>
  <c r="AS54" i="31"/>
  <c r="Z87" i="31"/>
  <c r="BP87" i="31" s="1"/>
  <c r="AA74" i="31"/>
  <c r="AB74" i="31" s="1"/>
  <c r="AC74" i="31" s="1"/>
  <c r="AX87" i="31"/>
  <c r="BU87" i="31" s="1"/>
  <c r="AW74" i="31"/>
  <c r="AD74" i="31"/>
  <c r="AE74" i="31" s="1"/>
  <c r="AF74" i="31" s="1"/>
  <c r="AQ26" i="31"/>
  <c r="AT26" i="31" s="1"/>
  <c r="BC26" i="31"/>
  <c r="BV26" i="31" s="1"/>
  <c r="BP90" i="31"/>
  <c r="Y12" i="31"/>
  <c r="AD12" i="31"/>
  <c r="AE12" i="31" s="1"/>
  <c r="AF12" i="31" s="1"/>
  <c r="AS12" i="31"/>
  <c r="AW12" i="31"/>
  <c r="AA12" i="31"/>
  <c r="AB12" i="31" s="1"/>
  <c r="AC12" i="31" s="1"/>
  <c r="BM104" i="31"/>
  <c r="BU104" i="31"/>
  <c r="AQ102" i="31"/>
  <c r="BC102" i="31"/>
  <c r="BV102" i="31" s="1"/>
  <c r="BQ63" i="31"/>
  <c r="BL63" i="31"/>
  <c r="BT63" i="31"/>
  <c r="BT103" i="31"/>
  <c r="BP60" i="31"/>
  <c r="BT76" i="31"/>
  <c r="BL76" i="31"/>
  <c r="AY71" i="31"/>
  <c r="AG24" i="31"/>
  <c r="AH24" i="31" s="1"/>
  <c r="AK24" i="31" s="1"/>
  <c r="X24" i="31"/>
  <c r="AP24" i="31"/>
  <c r="AL24" i="31"/>
  <c r="AM24" i="31" s="1"/>
  <c r="AU24" i="31"/>
  <c r="AV24" i="31" s="1"/>
  <c r="AY24" i="31"/>
  <c r="AQ99" i="31"/>
  <c r="AT99" i="31" s="1"/>
  <c r="BQ76" i="31"/>
  <c r="AU81" i="31"/>
  <c r="AV81" i="31" s="1"/>
  <c r="AL81" i="31"/>
  <c r="AM81" i="31" s="1"/>
  <c r="AG81" i="31"/>
  <c r="AH81" i="31" s="1"/>
  <c r="X81" i="31"/>
  <c r="AP81" i="31"/>
  <c r="AY81" i="31"/>
  <c r="X44" i="31"/>
  <c r="AU44" i="31"/>
  <c r="AV44" i="31" s="1"/>
  <c r="AP44" i="31"/>
  <c r="AL44" i="31"/>
  <c r="AM44" i="31" s="1"/>
  <c r="AG44" i="31"/>
  <c r="AH44" i="31" s="1"/>
  <c r="AY44" i="31"/>
  <c r="AQ97" i="31"/>
  <c r="AS62" i="31"/>
  <c r="AW62" i="31"/>
  <c r="AA62" i="31"/>
  <c r="AB62" i="31" s="1"/>
  <c r="AC62" i="31" s="1"/>
  <c r="Y98" i="31"/>
  <c r="AD98" i="31"/>
  <c r="AE98" i="31" s="1"/>
  <c r="AF98" i="31" s="1"/>
  <c r="AS98" i="31"/>
  <c r="AW98" i="31"/>
  <c r="AA98" i="31"/>
  <c r="AB98" i="31" s="1"/>
  <c r="AC98" i="31" s="1"/>
  <c r="AP19" i="31"/>
  <c r="X19" i="31"/>
  <c r="BT38" i="31"/>
  <c r="BL38" i="31"/>
  <c r="Y81" i="31"/>
  <c r="AD81" i="31"/>
  <c r="AE81" i="31" s="1"/>
  <c r="AF81" i="31" s="1"/>
  <c r="AS81" i="31"/>
  <c r="AW81" i="31"/>
  <c r="AA81" i="31"/>
  <c r="AB81" i="31" s="1"/>
  <c r="AC81" i="31" s="1"/>
  <c r="BI63" i="31"/>
  <c r="BK63" i="31" s="1"/>
  <c r="BO63" i="31" s="1"/>
  <c r="BM76" i="31"/>
  <c r="BU76" i="31"/>
  <c r="BL90" i="31"/>
  <c r="BT90" i="31"/>
  <c r="Z46" i="31"/>
  <c r="BM90" i="31"/>
  <c r="BU90" i="31"/>
  <c r="AL27" i="31"/>
  <c r="AM27" i="31" s="1"/>
  <c r="AU27" i="31"/>
  <c r="AV27" i="31" s="1"/>
  <c r="AP27" i="31"/>
  <c r="X27" i="31"/>
  <c r="AG27" i="31"/>
  <c r="AH27" i="31" s="1"/>
  <c r="AY27" i="31"/>
  <c r="AP96" i="31"/>
  <c r="AG96" i="31"/>
  <c r="AH96" i="31" s="1"/>
  <c r="X96" i="31"/>
  <c r="AU96" i="31"/>
  <c r="AV96" i="31" s="1"/>
  <c r="AL96" i="31"/>
  <c r="AM96" i="31" s="1"/>
  <c r="AY96" i="31"/>
  <c r="X45" i="31"/>
  <c r="AU45" i="31"/>
  <c r="AV45" i="31" s="1"/>
  <c r="AG45" i="31"/>
  <c r="AH45" i="31" s="1"/>
  <c r="AL45" i="31"/>
  <c r="AM45" i="31" s="1"/>
  <c r="AP45" i="31"/>
  <c r="AY45" i="31"/>
  <c r="AG80" i="31"/>
  <c r="AH80" i="31" s="1"/>
  <c r="AU80" i="31"/>
  <c r="AV80" i="31" s="1"/>
  <c r="AL75" i="31"/>
  <c r="AM75" i="31" s="1"/>
  <c r="AP75" i="31"/>
  <c r="AG75" i="31"/>
  <c r="AH75" i="31" s="1"/>
  <c r="AU75" i="31"/>
  <c r="AV75" i="31" s="1"/>
  <c r="X75" i="31"/>
  <c r="AY75" i="31"/>
  <c r="AP41" i="31"/>
  <c r="AU41" i="31"/>
  <c r="AV41" i="31" s="1"/>
  <c r="AL41" i="31"/>
  <c r="AM41" i="31" s="1"/>
  <c r="AG41" i="31"/>
  <c r="AH41" i="31" s="1"/>
  <c r="X41" i="31"/>
  <c r="AS96" i="31"/>
  <c r="AW96" i="31"/>
  <c r="AA96" i="31"/>
  <c r="AB96" i="31" s="1"/>
  <c r="AC96" i="31" s="1"/>
  <c r="AD45" i="31"/>
  <c r="AE45" i="31" s="1"/>
  <c r="AF45" i="31" s="1"/>
  <c r="AS45" i="31"/>
  <c r="Y45" i="31"/>
  <c r="AW45" i="31"/>
  <c r="AA45" i="31"/>
  <c r="AB45" i="31" s="1"/>
  <c r="AC45" i="31" s="1"/>
  <c r="AL19" i="31" l="1"/>
  <c r="AM19" i="31" s="1"/>
  <c r="AY86" i="31"/>
  <c r="AO46" i="31"/>
  <c r="AP80" i="31"/>
  <c r="AW108" i="31"/>
  <c r="AO102" i="31"/>
  <c r="BS102" i="31" s="1"/>
  <c r="X80" i="31"/>
  <c r="AD108" i="31"/>
  <c r="AE108" i="31" s="1"/>
  <c r="AF108" i="31" s="1"/>
  <c r="AY19" i="31"/>
  <c r="Y108" i="31"/>
  <c r="AY80" i="31"/>
  <c r="AG19" i="31"/>
  <c r="AH19" i="31" s="1"/>
  <c r="AK19" i="31" s="1"/>
  <c r="AS108" i="31"/>
  <c r="Y58" i="31"/>
  <c r="AY74" i="31"/>
  <c r="AY72" i="31"/>
  <c r="AW14" i="31"/>
  <c r="AP33" i="31"/>
  <c r="AS14" i="31"/>
  <c r="AN58" i="31"/>
  <c r="AT35" i="31"/>
  <c r="BT35" i="31" s="1"/>
  <c r="AW55" i="31"/>
  <c r="AS80" i="31"/>
  <c r="AW15" i="31"/>
  <c r="AW58" i="31"/>
  <c r="AS55" i="31"/>
  <c r="AS15" i="31"/>
  <c r="AS65" i="31"/>
  <c r="AD55" i="31"/>
  <c r="AE55" i="31" s="1"/>
  <c r="AF55" i="31" s="1"/>
  <c r="Y15" i="31"/>
  <c r="AW65" i="31"/>
  <c r="Z108" i="31"/>
  <c r="BP108" i="31" s="1"/>
  <c r="Y55" i="31"/>
  <c r="Z55" i="31" s="1"/>
  <c r="BP55" i="31" s="1"/>
  <c r="AW16" i="31"/>
  <c r="AS16" i="31"/>
  <c r="AW44" i="31"/>
  <c r="AS44" i="31"/>
  <c r="AS58" i="31"/>
  <c r="AS68" i="31"/>
  <c r="AT68" i="31" s="1"/>
  <c r="BT68" i="31" s="1"/>
  <c r="BC29" i="31"/>
  <c r="BV29" i="31" s="1"/>
  <c r="AS89" i="31"/>
  <c r="AT89" i="31" s="1"/>
  <c r="AT87" i="31"/>
  <c r="AU86" i="31"/>
  <c r="AV86" i="31" s="1"/>
  <c r="AK75" i="31"/>
  <c r="AT51" i="31"/>
  <c r="Y73" i="31"/>
  <c r="Z73" i="31" s="1"/>
  <c r="BP73" i="31" s="1"/>
  <c r="AS73" i="31"/>
  <c r="AT73" i="31" s="1"/>
  <c r="AW34" i="31"/>
  <c r="AX34" i="31" s="1"/>
  <c r="BC67" i="31"/>
  <c r="BV67" i="31" s="1"/>
  <c r="AN83" i="31"/>
  <c r="AS83" i="31"/>
  <c r="AW78" i="31"/>
  <c r="AX78" i="31" s="1"/>
  <c r="AS78" i="31"/>
  <c r="AT78" i="31" s="1"/>
  <c r="Z15" i="31"/>
  <c r="AS34" i="31"/>
  <c r="AT34" i="31" s="1"/>
  <c r="BT34" i="31" s="1"/>
  <c r="X74" i="31"/>
  <c r="AU74" i="31"/>
  <c r="AV74" i="31" s="1"/>
  <c r="AX74" i="31" s="1"/>
  <c r="BU74" i="31" s="1"/>
  <c r="AW53" i="31"/>
  <c r="AX53" i="31" s="1"/>
  <c r="BU53" i="31" s="1"/>
  <c r="AS53" i="31"/>
  <c r="AT53" i="31" s="1"/>
  <c r="BT53" i="31" s="1"/>
  <c r="AP74" i="31"/>
  <c r="AQ74" i="31" s="1"/>
  <c r="AD72" i="31"/>
  <c r="AE72" i="31" s="1"/>
  <c r="AF72" i="31" s="1"/>
  <c r="AS72" i="31"/>
  <c r="AT72" i="31" s="1"/>
  <c r="BT72" i="31" s="1"/>
  <c r="AD85" i="31"/>
  <c r="AE85" i="31" s="1"/>
  <c r="AF85" i="31" s="1"/>
  <c r="AS85" i="31"/>
  <c r="AT85" i="31" s="1"/>
  <c r="BT85" i="31" s="1"/>
  <c r="AS22" i="31"/>
  <c r="AT22" i="31" s="1"/>
  <c r="AN84" i="31"/>
  <c r="AO84" i="31" s="1"/>
  <c r="BS84" i="31" s="1"/>
  <c r="AS84" i="31"/>
  <c r="AT84" i="31" s="1"/>
  <c r="BT84" i="31" s="1"/>
  <c r="AP101" i="31"/>
  <c r="BM47" i="31"/>
  <c r="AL74" i="31"/>
  <c r="AW46" i="31"/>
  <c r="AX46" i="31" s="1"/>
  <c r="BU46" i="31" s="1"/>
  <c r="AS46" i="31"/>
  <c r="AT46" i="31" s="1"/>
  <c r="AW80" i="31"/>
  <c r="AX80" i="31" s="1"/>
  <c r="BU80" i="31" s="1"/>
  <c r="AW68" i="31"/>
  <c r="AK35" i="31"/>
  <c r="BR35" i="31" s="1"/>
  <c r="BC104" i="31"/>
  <c r="BV104" i="31" s="1"/>
  <c r="AW89" i="31"/>
  <c r="AX89" i="31" s="1"/>
  <c r="BU89" i="31" s="1"/>
  <c r="BC35" i="31"/>
  <c r="BV35" i="31" s="1"/>
  <c r="AK97" i="31"/>
  <c r="BR97" i="31" s="1"/>
  <c r="Y80" i="31"/>
  <c r="AW83" i="31"/>
  <c r="BC99" i="31"/>
  <c r="BV99" i="31" s="1"/>
  <c r="BC64" i="31"/>
  <c r="BV64" i="31" s="1"/>
  <c r="AW88" i="31"/>
  <c r="Z64" i="31"/>
  <c r="BP64" i="31" s="1"/>
  <c r="AW32" i="31"/>
  <c r="AX32" i="31" s="1"/>
  <c r="AK27" i="31"/>
  <c r="BR27" i="31" s="1"/>
  <c r="AN32" i="31"/>
  <c r="BM102" i="31"/>
  <c r="BC46" i="31"/>
  <c r="BV46" i="31" s="1"/>
  <c r="AW77" i="31"/>
  <c r="AW73" i="31"/>
  <c r="AA16" i="31"/>
  <c r="AB16" i="31" s="1"/>
  <c r="AC16" i="31" s="1"/>
  <c r="AN55" i="31"/>
  <c r="AO55" i="31" s="1"/>
  <c r="BS55" i="31" s="1"/>
  <c r="AJ44" i="31"/>
  <c r="AK44" i="31" s="1"/>
  <c r="BR44" i="31" s="1"/>
  <c r="AJ15" i="31"/>
  <c r="AK15" i="31" s="1"/>
  <c r="BR15" i="31" s="1"/>
  <c r="AK22" i="31"/>
  <c r="BR22" i="31" s="1"/>
  <c r="Y83" i="31"/>
  <c r="AN44" i="31"/>
  <c r="AO44" i="31" s="1"/>
  <c r="BS44" i="31" s="1"/>
  <c r="AN15" i="31"/>
  <c r="AD58" i="31"/>
  <c r="AE58" i="31" s="1"/>
  <c r="AF58" i="31" s="1"/>
  <c r="AJ83" i="31"/>
  <c r="BC87" i="31"/>
  <c r="BV87" i="31" s="1"/>
  <c r="AA15" i="31"/>
  <c r="AB15" i="31" s="1"/>
  <c r="AC15" i="31" s="1"/>
  <c r="BC22" i="31"/>
  <c r="BV22" i="31" s="1"/>
  <c r="AD44" i="31"/>
  <c r="AE44" i="31" s="1"/>
  <c r="AF44" i="31" s="1"/>
  <c r="AA58" i="31"/>
  <c r="AB58" i="31" s="1"/>
  <c r="AC58" i="31" s="1"/>
  <c r="AJ108" i="31"/>
  <c r="AK108" i="31" s="1"/>
  <c r="AN16" i="31"/>
  <c r="AA44" i="31"/>
  <c r="AB44" i="31" s="1"/>
  <c r="AC44" i="31" s="1"/>
  <c r="Y16" i="31"/>
  <c r="Z16" i="31" s="1"/>
  <c r="BP16" i="31" s="1"/>
  <c r="AA108" i="31"/>
  <c r="AB108" i="31" s="1"/>
  <c r="AC108" i="31" s="1"/>
  <c r="AD16" i="31"/>
  <c r="AE16" i="31" s="1"/>
  <c r="AF16" i="31" s="1"/>
  <c r="X32" i="31"/>
  <c r="AK10" i="31"/>
  <c r="BR10" i="31" s="1"/>
  <c r="AK18" i="31"/>
  <c r="BR18" i="31" s="1"/>
  <c r="BC97" i="31"/>
  <c r="BV97" i="31" s="1"/>
  <c r="Y78" i="31"/>
  <c r="Z78" i="31" s="1"/>
  <c r="BP78" i="31" s="1"/>
  <c r="AD78" i="31"/>
  <c r="AE78" i="31" s="1"/>
  <c r="AF78" i="31" s="1"/>
  <c r="AN78" i="31"/>
  <c r="AO78" i="31" s="1"/>
  <c r="BS78" i="31" s="1"/>
  <c r="AO75" i="31"/>
  <c r="BS75" i="31" s="1"/>
  <c r="BM106" i="31"/>
  <c r="AD62" i="31"/>
  <c r="AE62" i="31" s="1"/>
  <c r="AF62" i="31" s="1"/>
  <c r="Z102" i="31"/>
  <c r="BP102" i="31" s="1"/>
  <c r="AJ62" i="31"/>
  <c r="AK62" i="31" s="1"/>
  <c r="BR62" i="31" s="1"/>
  <c r="AY33" i="31"/>
  <c r="AN62" i="31"/>
  <c r="AO62" i="31" s="1"/>
  <c r="BS62" i="31" s="1"/>
  <c r="BM36" i="31"/>
  <c r="AL33" i="31"/>
  <c r="AM33" i="31" s="1"/>
  <c r="AO33" i="31" s="1"/>
  <c r="BS33" i="31" s="1"/>
  <c r="AU33" i="31"/>
  <c r="AV33" i="31" s="1"/>
  <c r="AX33" i="31" s="1"/>
  <c r="BU33" i="31" s="1"/>
  <c r="AX57" i="31"/>
  <c r="BU57" i="31" s="1"/>
  <c r="X33" i="31"/>
  <c r="Z107" i="31"/>
  <c r="BP107" i="31" s="1"/>
  <c r="BQ36" i="31"/>
  <c r="AL16" i="31"/>
  <c r="AM16" i="31" s="1"/>
  <c r="AJ12" i="31"/>
  <c r="AK12" i="31" s="1"/>
  <c r="BR12" i="31" s="1"/>
  <c r="AJ98" i="31"/>
  <c r="AK98" i="31" s="1"/>
  <c r="BR98" i="31" s="1"/>
  <c r="BM103" i="31"/>
  <c r="AN68" i="31"/>
  <c r="AO68" i="31" s="1"/>
  <c r="BS68" i="31" s="1"/>
  <c r="BL106" i="31"/>
  <c r="AA80" i="31"/>
  <c r="AB80" i="31" s="1"/>
  <c r="AC80" i="31" s="1"/>
  <c r="AX73" i="31"/>
  <c r="BU73" i="31" s="1"/>
  <c r="AD80" i="31"/>
  <c r="AE80" i="31" s="1"/>
  <c r="AF80" i="31" s="1"/>
  <c r="AJ80" i="31"/>
  <c r="AK80" i="31" s="1"/>
  <c r="BR80" i="31" s="1"/>
  <c r="AG16" i="31"/>
  <c r="AH16" i="31" s="1"/>
  <c r="AK16" i="31" s="1"/>
  <c r="BR16" i="31" s="1"/>
  <c r="Y68" i="31"/>
  <c r="Z68" i="31" s="1"/>
  <c r="BP68" i="31" s="1"/>
  <c r="AP16" i="31"/>
  <c r="AQ16" i="31" s="1"/>
  <c r="AT16" i="31" s="1"/>
  <c r="AX62" i="31"/>
  <c r="BU62" i="31" s="1"/>
  <c r="Z49" i="31"/>
  <c r="BP49" i="31" s="1"/>
  <c r="AO57" i="31"/>
  <c r="BS57" i="31" s="1"/>
  <c r="AD68" i="31"/>
  <c r="AE68" i="31" s="1"/>
  <c r="AF68" i="31" s="1"/>
  <c r="BC57" i="31"/>
  <c r="BV57" i="31" s="1"/>
  <c r="AA68" i="31"/>
  <c r="AB68" i="31" s="1"/>
  <c r="AC68" i="31" s="1"/>
  <c r="AK68" i="31"/>
  <c r="BR68" i="31" s="1"/>
  <c r="AY16" i="31"/>
  <c r="AU16" i="31"/>
  <c r="AV16" i="31" s="1"/>
  <c r="AX16" i="31" s="1"/>
  <c r="Z19" i="31"/>
  <c r="BP19" i="31" s="1"/>
  <c r="Z71" i="31"/>
  <c r="X30" i="31"/>
  <c r="Z30" i="31" s="1"/>
  <c r="BP30" i="31" s="1"/>
  <c r="AN77" i="31"/>
  <c r="AG71" i="31"/>
  <c r="AH71" i="31" s="1"/>
  <c r="AX12" i="31"/>
  <c r="BU12" i="31" s="1"/>
  <c r="AX68" i="31"/>
  <c r="AL32" i="31"/>
  <c r="AM32" i="31" s="1"/>
  <c r="AO32" i="31" s="1"/>
  <c r="AL71" i="31"/>
  <c r="AM71" i="31" s="1"/>
  <c r="AO71" i="31" s="1"/>
  <c r="BS71" i="31" s="1"/>
  <c r="AG32" i="31"/>
  <c r="AH32" i="31" s="1"/>
  <c r="AK32" i="31" s="1"/>
  <c r="AK34" i="31"/>
  <c r="BR34" i="31" s="1"/>
  <c r="AD73" i="31"/>
  <c r="AE73" i="31" s="1"/>
  <c r="AF73" i="31" s="1"/>
  <c r="AX41" i="31"/>
  <c r="AU71" i="31"/>
  <c r="AV71" i="31" s="1"/>
  <c r="AX71" i="31" s="1"/>
  <c r="BU71" i="31" s="1"/>
  <c r="AJ88" i="31"/>
  <c r="BM92" i="31"/>
  <c r="AP71" i="31"/>
  <c r="AQ71" i="31" s="1"/>
  <c r="AT71" i="31" s="1"/>
  <c r="AN34" i="31"/>
  <c r="AO34" i="31" s="1"/>
  <c r="BS34" i="31" s="1"/>
  <c r="AA88" i="31"/>
  <c r="AB88" i="31" s="1"/>
  <c r="AC88" i="31" s="1"/>
  <c r="AX27" i="31"/>
  <c r="BU27" i="31" s="1"/>
  <c r="AX75" i="31"/>
  <c r="BU75" i="31" s="1"/>
  <c r="AO19" i="31"/>
  <c r="BS19" i="31" s="1"/>
  <c r="BI90" i="31"/>
  <c r="BK90" i="31" s="1"/>
  <c r="BO90" i="31" s="1"/>
  <c r="Y88" i="31"/>
  <c r="Y34" i="31"/>
  <c r="Z34" i="31" s="1"/>
  <c r="BP34" i="31" s="1"/>
  <c r="AN88" i="31"/>
  <c r="Z24" i="31"/>
  <c r="BP24" i="31" s="1"/>
  <c r="AJ73" i="31"/>
  <c r="AK73" i="31" s="1"/>
  <c r="BR73" i="31" s="1"/>
  <c r="AD34" i="31"/>
  <c r="AE34" i="31" s="1"/>
  <c r="AF34" i="31" s="1"/>
  <c r="BM67" i="31"/>
  <c r="AX107" i="31"/>
  <c r="AN73" i="31"/>
  <c r="AO73" i="31" s="1"/>
  <c r="BS73" i="31" s="1"/>
  <c r="AA34" i="31"/>
  <c r="AB34" i="31" s="1"/>
  <c r="AC34" i="31" s="1"/>
  <c r="AJ84" i="31"/>
  <c r="AK84" i="31" s="1"/>
  <c r="BR84" i="31" s="1"/>
  <c r="AK46" i="31"/>
  <c r="BR46" i="31" s="1"/>
  <c r="BQ38" i="31"/>
  <c r="BL103" i="31"/>
  <c r="AL54" i="31"/>
  <c r="AM54" i="31" s="1"/>
  <c r="AO54" i="31" s="1"/>
  <c r="BS54" i="31" s="1"/>
  <c r="AT49" i="31"/>
  <c r="BQ49" i="31" s="1"/>
  <c r="AK55" i="31"/>
  <c r="BR55" i="31" s="1"/>
  <c r="AG30" i="31"/>
  <c r="AH30" i="31" s="1"/>
  <c r="AK30" i="31" s="1"/>
  <c r="AJ96" i="31"/>
  <c r="AK96" i="31" s="1"/>
  <c r="BR96" i="31" s="1"/>
  <c r="BQ103" i="31"/>
  <c r="AO45" i="31"/>
  <c r="BS45" i="31" s="1"/>
  <c r="Z33" i="31"/>
  <c r="BP33" i="31" s="1"/>
  <c r="BC73" i="31"/>
  <c r="BV73" i="31" s="1"/>
  <c r="BL107" i="31"/>
  <c r="AU18" i="31"/>
  <c r="AV18" i="31" s="1"/>
  <c r="AX18" i="31" s="1"/>
  <c r="BU18" i="31" s="1"/>
  <c r="AL30" i="31"/>
  <c r="AM30" i="31" s="1"/>
  <c r="AO30" i="31" s="1"/>
  <c r="BS30" i="31" s="1"/>
  <c r="AN96" i="31"/>
  <c r="AO96" i="31" s="1"/>
  <c r="AD96" i="31"/>
  <c r="AE96" i="31" s="1"/>
  <c r="AF96" i="31" s="1"/>
  <c r="AX98" i="31"/>
  <c r="BU98" i="31" s="1"/>
  <c r="BI103" i="31"/>
  <c r="BK103" i="31" s="1"/>
  <c r="BO103" i="31" s="1"/>
  <c r="X54" i="31"/>
  <c r="Z54" i="31" s="1"/>
  <c r="BP54" i="31" s="1"/>
  <c r="AP30" i="31"/>
  <c r="AQ30" i="31" s="1"/>
  <c r="AT30" i="31" s="1"/>
  <c r="BT30" i="31" s="1"/>
  <c r="Z57" i="31"/>
  <c r="BP57" i="31" s="1"/>
  <c r="AU54" i="31"/>
  <c r="AV54" i="31" s="1"/>
  <c r="AX54" i="31" s="1"/>
  <c r="BU54" i="31" s="1"/>
  <c r="AU30" i="31"/>
  <c r="AV30" i="31" s="1"/>
  <c r="AX30" i="31" s="1"/>
  <c r="BU30" i="31" s="1"/>
  <c r="Z89" i="31"/>
  <c r="BP89" i="31" s="1"/>
  <c r="AK93" i="31"/>
  <c r="BR93" i="31" s="1"/>
  <c r="AT57" i="31"/>
  <c r="Z10" i="31"/>
  <c r="BP10" i="31" s="1"/>
  <c r="AY101" i="31"/>
  <c r="AO81" i="31"/>
  <c r="BS81" i="31" s="1"/>
  <c r="Y32" i="31"/>
  <c r="Z32" i="31" s="1"/>
  <c r="BP32" i="31" s="1"/>
  <c r="AP18" i="31"/>
  <c r="AQ18" i="31" s="1"/>
  <c r="AT18" i="31" s="1"/>
  <c r="AY82" i="31"/>
  <c r="AN72" i="31"/>
  <c r="AL58" i="31"/>
  <c r="AM58" i="31" s="1"/>
  <c r="AO58" i="31" s="1"/>
  <c r="AJ89" i="31"/>
  <c r="AK89" i="31" s="1"/>
  <c r="BR89" i="31" s="1"/>
  <c r="AA14" i="31"/>
  <c r="AB14" i="31" s="1"/>
  <c r="AC14" i="31" s="1"/>
  <c r="AA72" i="31"/>
  <c r="AB72" i="31" s="1"/>
  <c r="AC72" i="31" s="1"/>
  <c r="AN89" i="31"/>
  <c r="AO89" i="31" s="1"/>
  <c r="BS89" i="31" s="1"/>
  <c r="Z35" i="31"/>
  <c r="BP35" i="31" s="1"/>
  <c r="AA89" i="31"/>
  <c r="AB89" i="31" s="1"/>
  <c r="AC89" i="31" s="1"/>
  <c r="Y14" i="31"/>
  <c r="Z14" i="31" s="1"/>
  <c r="BP14" i="31" s="1"/>
  <c r="Z98" i="31"/>
  <c r="BP98" i="31" s="1"/>
  <c r="AK81" i="31"/>
  <c r="BR81" i="31" s="1"/>
  <c r="Z25" i="31"/>
  <c r="BP25" i="31" s="1"/>
  <c r="AP58" i="31"/>
  <c r="AQ58" i="31" s="1"/>
  <c r="AT58" i="31" s="1"/>
  <c r="AG105" i="31"/>
  <c r="AH105" i="31" s="1"/>
  <c r="AK105" i="31" s="1"/>
  <c r="BR105" i="31" s="1"/>
  <c r="AG58" i="31"/>
  <c r="AH58" i="31" s="1"/>
  <c r="AK58" i="31" s="1"/>
  <c r="BR58" i="31" s="1"/>
  <c r="AO12" i="31"/>
  <c r="BS12" i="31" s="1"/>
  <c r="AO15" i="31"/>
  <c r="BS15" i="31" s="1"/>
  <c r="AK41" i="31"/>
  <c r="BR41" i="31" s="1"/>
  <c r="AD89" i="31"/>
  <c r="AE89" i="31" s="1"/>
  <c r="AF89" i="31" s="1"/>
  <c r="AT95" i="31"/>
  <c r="BI95" i="31" s="1"/>
  <c r="BK95" i="31" s="1"/>
  <c r="BO95" i="31" s="1"/>
  <c r="X58" i="31"/>
  <c r="AK101" i="31"/>
  <c r="BR101" i="31" s="1"/>
  <c r="AU58" i="31"/>
  <c r="AV58" i="31" s="1"/>
  <c r="AO108" i="31"/>
  <c r="BS108" i="31" s="1"/>
  <c r="AG83" i="31"/>
  <c r="AH83" i="31" s="1"/>
  <c r="AY83" i="31"/>
  <c r="Z41" i="31"/>
  <c r="BP41" i="31" s="1"/>
  <c r="BC12" i="31"/>
  <c r="BV12" i="31" s="1"/>
  <c r="AU25" i="31"/>
  <c r="AV25" i="31" s="1"/>
  <c r="AO41" i="31"/>
  <c r="BS41" i="31" s="1"/>
  <c r="AL18" i="31"/>
  <c r="AM18" i="31" s="1"/>
  <c r="AO18" i="31" s="1"/>
  <c r="AD77" i="31"/>
  <c r="AE77" i="31" s="1"/>
  <c r="AF77" i="31" s="1"/>
  <c r="AP32" i="31"/>
  <c r="AQ32" i="31" s="1"/>
  <c r="AT32" i="31" s="1"/>
  <c r="BT32" i="31" s="1"/>
  <c r="AY32" i="31"/>
  <c r="AL65" i="31"/>
  <c r="AM65" i="31" s="1"/>
  <c r="AY65" i="31"/>
  <c r="X101" i="31"/>
  <c r="Z101" i="31" s="1"/>
  <c r="BP101" i="31" s="1"/>
  <c r="BC62" i="31"/>
  <c r="BV62" i="31" s="1"/>
  <c r="BL48" i="31"/>
  <c r="Z12" i="31"/>
  <c r="BP12" i="31" s="1"/>
  <c r="BL31" i="31"/>
  <c r="AD22" i="31"/>
  <c r="AE22" i="31" s="1"/>
  <c r="AF22" i="31" s="1"/>
  <c r="AD32" i="31"/>
  <c r="AE32" i="31" s="1"/>
  <c r="AF32" i="31" s="1"/>
  <c r="Y77" i="31"/>
  <c r="Z77" i="31" s="1"/>
  <c r="BP77" i="31" s="1"/>
  <c r="AA77" i="31"/>
  <c r="AB77" i="31" s="1"/>
  <c r="AC77" i="31" s="1"/>
  <c r="AK77" i="31"/>
  <c r="BR77" i="31" s="1"/>
  <c r="BS38" i="31"/>
  <c r="BM38" i="31"/>
  <c r="AL101" i="31"/>
  <c r="AM101" i="31" s="1"/>
  <c r="AO101" i="31" s="1"/>
  <c r="BS101" i="31" s="1"/>
  <c r="AU101" i="31"/>
  <c r="AV101" i="31" s="1"/>
  <c r="AX101" i="31" s="1"/>
  <c r="BU101" i="31" s="1"/>
  <c r="Z62" i="31"/>
  <c r="BP62" i="31" s="1"/>
  <c r="AP25" i="31"/>
  <c r="AQ25" i="31" s="1"/>
  <c r="AT25" i="31" s="1"/>
  <c r="BT25" i="31" s="1"/>
  <c r="AA32" i="31"/>
  <c r="AB32" i="31" s="1"/>
  <c r="AC32" i="31" s="1"/>
  <c r="X9" i="31"/>
  <c r="AY9" i="31"/>
  <c r="AO61" i="31"/>
  <c r="AX55" i="31"/>
  <c r="BU55" i="31" s="1"/>
  <c r="BC53" i="31"/>
  <c r="BV53" i="31" s="1"/>
  <c r="Z74" i="31"/>
  <c r="BP74" i="31" s="1"/>
  <c r="AY18" i="31"/>
  <c r="AG25" i="31"/>
  <c r="AH25" i="31" s="1"/>
  <c r="AK25" i="31" s="1"/>
  <c r="BI38" i="31"/>
  <c r="BK38" i="31" s="1"/>
  <c r="BO38" i="31" s="1"/>
  <c r="AO77" i="31"/>
  <c r="BS77" i="31" s="1"/>
  <c r="AX108" i="31"/>
  <c r="BU108" i="31" s="1"/>
  <c r="AX14" i="31"/>
  <c r="BU14" i="31" s="1"/>
  <c r="AL83" i="31"/>
  <c r="AM83" i="31" s="1"/>
  <c r="X18" i="31"/>
  <c r="Z18" i="31" s="1"/>
  <c r="BP18" i="31" s="1"/>
  <c r="Z56" i="31"/>
  <c r="BP56" i="31" s="1"/>
  <c r="AL25" i="31"/>
  <c r="AM25" i="31" s="1"/>
  <c r="AO25" i="31" s="1"/>
  <c r="AK9" i="31"/>
  <c r="BR9" i="31" s="1"/>
  <c r="AA73" i="31"/>
  <c r="AB73" i="31" s="1"/>
  <c r="AC73" i="31" s="1"/>
  <c r="AK61" i="31"/>
  <c r="BR61" i="31" s="1"/>
  <c r="BC89" i="31"/>
  <c r="BV89" i="31" s="1"/>
  <c r="AK28" i="31"/>
  <c r="BR28" i="31" s="1"/>
  <c r="AA85" i="31"/>
  <c r="AB85" i="31" s="1"/>
  <c r="AC85" i="31" s="1"/>
  <c r="W91" i="31"/>
  <c r="AY91" i="31" s="1"/>
  <c r="AL105" i="31"/>
  <c r="AM105" i="31" s="1"/>
  <c r="AO105" i="31" s="1"/>
  <c r="AJ85" i="31"/>
  <c r="AK85" i="31" s="1"/>
  <c r="AK71" i="31"/>
  <c r="BR71" i="31" s="1"/>
  <c r="S91" i="31"/>
  <c r="AI91" i="31" s="1"/>
  <c r="AN85" i="31"/>
  <c r="AO85" i="31" s="1"/>
  <c r="Z27" i="31"/>
  <c r="BP27" i="31" s="1"/>
  <c r="BC14" i="31"/>
  <c r="BV14" i="31" s="1"/>
  <c r="X105" i="31"/>
  <c r="Z105" i="31" s="1"/>
  <c r="BP105" i="31" s="1"/>
  <c r="AK56" i="31"/>
  <c r="AW85" i="31"/>
  <c r="AX85" i="31" s="1"/>
  <c r="BU85" i="31" s="1"/>
  <c r="Y85" i="31"/>
  <c r="Z85" i="31" s="1"/>
  <c r="BP85" i="31" s="1"/>
  <c r="AX77" i="31"/>
  <c r="BS26" i="31"/>
  <c r="BM26" i="31"/>
  <c r="Z75" i="31"/>
  <c r="BP75" i="31" s="1"/>
  <c r="BC15" i="31"/>
  <c r="BV15" i="31" s="1"/>
  <c r="BC84" i="31"/>
  <c r="BV84" i="31" s="1"/>
  <c r="BL109" i="31"/>
  <c r="AD65" i="31"/>
  <c r="AE65" i="31" s="1"/>
  <c r="AF65" i="31" s="1"/>
  <c r="AA65" i="31"/>
  <c r="AB65" i="31" s="1"/>
  <c r="AC65" i="31" s="1"/>
  <c r="Y65" i="31"/>
  <c r="AO80" i="31"/>
  <c r="BS80" i="31" s="1"/>
  <c r="AK45" i="31"/>
  <c r="BR45" i="31" s="1"/>
  <c r="AT74" i="31"/>
  <c r="BL74" i="31" s="1"/>
  <c r="X72" i="31"/>
  <c r="Z72" i="31" s="1"/>
  <c r="AJ72" i="31"/>
  <c r="AW72" i="31"/>
  <c r="Y53" i="31"/>
  <c r="Z53" i="31" s="1"/>
  <c r="BP53" i="31" s="1"/>
  <c r="AA53" i="31"/>
  <c r="AB53" i="31" s="1"/>
  <c r="AC53" i="31" s="1"/>
  <c r="AO27" i="31"/>
  <c r="BS27" i="31" s="1"/>
  <c r="AK33" i="31"/>
  <c r="BR33" i="31" s="1"/>
  <c r="Z44" i="31"/>
  <c r="BP44" i="31" s="1"/>
  <c r="BC55" i="31"/>
  <c r="BV55" i="31" s="1"/>
  <c r="BM60" i="31"/>
  <c r="BM35" i="31"/>
  <c r="BC31" i="31"/>
  <c r="BV31" i="31" s="1"/>
  <c r="AU72" i="31"/>
  <c r="AV72" i="31" s="1"/>
  <c r="X65" i="31"/>
  <c r="AJ53" i="31"/>
  <c r="AK53" i="31" s="1"/>
  <c r="AN65" i="31"/>
  <c r="BQ26" i="31"/>
  <c r="AG72" i="31"/>
  <c r="AH72" i="31" s="1"/>
  <c r="AU65" i="31"/>
  <c r="AV65" i="31" s="1"/>
  <c r="AX65" i="31" s="1"/>
  <c r="BU65" i="31" s="1"/>
  <c r="AN53" i="31"/>
  <c r="AO53" i="31" s="1"/>
  <c r="AD53" i="31"/>
  <c r="AE53" i="31" s="1"/>
  <c r="AF53" i="31" s="1"/>
  <c r="BC60" i="31"/>
  <c r="BV60" i="31" s="1"/>
  <c r="X82" i="31"/>
  <c r="Z82" i="31" s="1"/>
  <c r="BP82" i="31" s="1"/>
  <c r="AO24" i="31"/>
  <c r="BS24" i="31" s="1"/>
  <c r="BC108" i="31"/>
  <c r="BV108" i="31" s="1"/>
  <c r="BI43" i="31"/>
  <c r="BK43" i="31" s="1"/>
  <c r="BO43" i="31" s="1"/>
  <c r="X21" i="31"/>
  <c r="AU21" i="31"/>
  <c r="AV21" i="31" s="1"/>
  <c r="AL21" i="31"/>
  <c r="AG21" i="31"/>
  <c r="AH21" i="31" s="1"/>
  <c r="AK21" i="31" s="1"/>
  <c r="BR21" i="31" s="1"/>
  <c r="AP21" i="31"/>
  <c r="AQ21" i="31" s="1"/>
  <c r="AG82" i="31"/>
  <c r="AH82" i="31" s="1"/>
  <c r="AK82" i="31" s="1"/>
  <c r="BR82" i="31" s="1"/>
  <c r="AT64" i="31"/>
  <c r="AL72" i="31"/>
  <c r="AM72" i="31" s="1"/>
  <c r="BC61" i="31"/>
  <c r="BV61" i="31" s="1"/>
  <c r="AD83" i="31"/>
  <c r="AE83" i="31" s="1"/>
  <c r="AF83" i="31" s="1"/>
  <c r="AA83" i="31"/>
  <c r="AB83" i="31" s="1"/>
  <c r="AC83" i="31" s="1"/>
  <c r="BU106" i="31"/>
  <c r="BQ106" i="31"/>
  <c r="AA84" i="31"/>
  <c r="AB84" i="31" s="1"/>
  <c r="AC84" i="31" s="1"/>
  <c r="Y84" i="31"/>
  <c r="Z84" i="31" s="1"/>
  <c r="BP84" i="31" s="1"/>
  <c r="AW84" i="31"/>
  <c r="AX84" i="31" s="1"/>
  <c r="BU84" i="31" s="1"/>
  <c r="AD84" i="31"/>
  <c r="AE84" i="31" s="1"/>
  <c r="AF84" i="31" s="1"/>
  <c r="AM79" i="31"/>
  <c r="AO79" i="31" s="1"/>
  <c r="BQ79" i="31" s="1"/>
  <c r="BC79" i="31"/>
  <c r="BV79" i="31" s="1"/>
  <c r="AU52" i="31"/>
  <c r="AV52" i="31" s="1"/>
  <c r="AX52" i="31" s="1"/>
  <c r="BU52" i="31" s="1"/>
  <c r="X52" i="31"/>
  <c r="Z52" i="31" s="1"/>
  <c r="BP52" i="31" s="1"/>
  <c r="AL52" i="31"/>
  <c r="AP52" i="31"/>
  <c r="AQ52" i="31" s="1"/>
  <c r="AT52" i="31" s="1"/>
  <c r="BT52" i="31" s="1"/>
  <c r="AG52" i="31"/>
  <c r="AH52" i="31" s="1"/>
  <c r="AK52" i="31" s="1"/>
  <c r="BR52" i="31" s="1"/>
  <c r="AG65" i="31"/>
  <c r="AH65" i="31" s="1"/>
  <c r="AK65" i="31" s="1"/>
  <c r="BR65" i="31" s="1"/>
  <c r="AP65" i="31"/>
  <c r="AQ65" i="31" s="1"/>
  <c r="AT65" i="31" s="1"/>
  <c r="BT65" i="31" s="1"/>
  <c r="BC106" i="31"/>
  <c r="BV106" i="31" s="1"/>
  <c r="AK78" i="31"/>
  <c r="BR78" i="31" s="1"/>
  <c r="AO98" i="31"/>
  <c r="BS98" i="31" s="1"/>
  <c r="AT77" i="31"/>
  <c r="BL77" i="31" s="1"/>
  <c r="AM66" i="31"/>
  <c r="AO66" i="31" s="1"/>
  <c r="BQ66" i="31" s="1"/>
  <c r="BC66" i="31"/>
  <c r="BV66" i="31" s="1"/>
  <c r="AX82" i="31"/>
  <c r="BU82" i="31" s="1"/>
  <c r="BS46" i="31"/>
  <c r="AP82" i="31"/>
  <c r="BC34" i="31"/>
  <c r="BV34" i="31" s="1"/>
  <c r="V40" i="31"/>
  <c r="AJ40" i="31" s="1"/>
  <c r="AT56" i="31"/>
  <c r="BT56" i="31" s="1"/>
  <c r="AN22" i="31"/>
  <c r="AO22" i="31" s="1"/>
  <c r="BS22" i="31" s="1"/>
  <c r="AM10" i="31"/>
  <c r="AO10" i="31" s="1"/>
  <c r="BC10" i="31"/>
  <c r="BV10" i="31" s="1"/>
  <c r="AX96" i="31"/>
  <c r="BU96" i="31" s="1"/>
  <c r="AL82" i="31"/>
  <c r="AM82" i="31" s="1"/>
  <c r="AO82" i="31" s="1"/>
  <c r="BS82" i="31" s="1"/>
  <c r="BC77" i="31"/>
  <c r="BV77" i="31" s="1"/>
  <c r="BC51" i="31"/>
  <c r="BV51" i="31" s="1"/>
  <c r="BC68" i="31"/>
  <c r="BV68" i="31" s="1"/>
  <c r="BQ70" i="31"/>
  <c r="BI36" i="31"/>
  <c r="BK36" i="31" s="1"/>
  <c r="BO36" i="31" s="1"/>
  <c r="X83" i="31"/>
  <c r="Z83" i="31" s="1"/>
  <c r="BP83" i="31" s="1"/>
  <c r="AA22" i="31"/>
  <c r="AB22" i="31" s="1"/>
  <c r="AC22" i="31" s="1"/>
  <c r="AX19" i="31"/>
  <c r="BU19" i="31" s="1"/>
  <c r="AP88" i="31"/>
  <c r="AQ88" i="31" s="1"/>
  <c r="AT88" i="31" s="1"/>
  <c r="AU88" i="31"/>
  <c r="AV88" i="31" s="1"/>
  <c r="AX88" i="31" s="1"/>
  <c r="BU88" i="31" s="1"/>
  <c r="X88" i="31"/>
  <c r="AL88" i="31"/>
  <c r="AG88" i="31"/>
  <c r="AH88" i="31" s="1"/>
  <c r="AK88" i="31" s="1"/>
  <c r="AG86" i="31"/>
  <c r="AH86" i="31" s="1"/>
  <c r="AK86" i="31" s="1"/>
  <c r="BR86" i="31" s="1"/>
  <c r="BC85" i="31"/>
  <c r="BV85" i="31" s="1"/>
  <c r="AX15" i="31"/>
  <c r="AP83" i="31"/>
  <c r="AQ83" i="31" s="1"/>
  <c r="AT83" i="31" s="1"/>
  <c r="BT83" i="31" s="1"/>
  <c r="AY105" i="31"/>
  <c r="AU105" i="31"/>
  <c r="AV105" i="31" s="1"/>
  <c r="AX105" i="31" s="1"/>
  <c r="BU105" i="31" s="1"/>
  <c r="AN14" i="31"/>
  <c r="AO14" i="31" s="1"/>
  <c r="AJ14" i="31"/>
  <c r="AK14" i="31" s="1"/>
  <c r="BR14" i="31" s="1"/>
  <c r="BT36" i="31"/>
  <c r="AW22" i="31"/>
  <c r="AX22" i="31" s="1"/>
  <c r="BU22" i="31" s="1"/>
  <c r="BC78" i="31"/>
  <c r="BV78" i="31" s="1"/>
  <c r="BM70" i="31"/>
  <c r="AP86" i="31"/>
  <c r="AQ86" i="31" s="1"/>
  <c r="AX24" i="31"/>
  <c r="BU24" i="31" s="1"/>
  <c r="AL59" i="31"/>
  <c r="AP59" i="31"/>
  <c r="AQ59" i="31" s="1"/>
  <c r="AT59" i="31" s="1"/>
  <c r="BT59" i="31" s="1"/>
  <c r="AG59" i="31"/>
  <c r="AH59" i="31" s="1"/>
  <c r="AK59" i="31" s="1"/>
  <c r="BR59" i="31" s="1"/>
  <c r="X59" i="31"/>
  <c r="Z59" i="31" s="1"/>
  <c r="BP59" i="31" s="1"/>
  <c r="B522" i="2" s="1"/>
  <c r="AU59" i="31"/>
  <c r="AV59" i="31" s="1"/>
  <c r="AX59" i="31" s="1"/>
  <c r="BU59" i="31" s="1"/>
  <c r="BI76" i="31"/>
  <c r="BK76" i="31" s="1"/>
  <c r="BO76" i="31" s="1"/>
  <c r="BC98" i="31"/>
  <c r="BV98" i="31" s="1"/>
  <c r="AL86" i="31"/>
  <c r="AM86" i="31" s="1"/>
  <c r="AT105" i="31"/>
  <c r="BT105" i="31" s="1"/>
  <c r="BQ92" i="31"/>
  <c r="AM48" i="31"/>
  <c r="AO48" i="31" s="1"/>
  <c r="BC48" i="31"/>
  <c r="BV48" i="31" s="1"/>
  <c r="BS43" i="31"/>
  <c r="BM43" i="31"/>
  <c r="BL70" i="31"/>
  <c r="AT108" i="31"/>
  <c r="BT108" i="31" s="1"/>
  <c r="AT102" i="31"/>
  <c r="BI102" i="31" s="1"/>
  <c r="BK102" i="31" s="1"/>
  <c r="BO102" i="31" s="1"/>
  <c r="AU83" i="31"/>
  <c r="AV83" i="31" s="1"/>
  <c r="W40" i="31"/>
  <c r="Y22" i="31"/>
  <c r="Z22" i="31" s="1"/>
  <c r="BP22" i="31" s="1"/>
  <c r="AN51" i="31"/>
  <c r="AO51" i="31" s="1"/>
  <c r="BS51" i="31" s="1"/>
  <c r="AJ51" i="31"/>
  <c r="AK51" i="31" s="1"/>
  <c r="Y51" i="31"/>
  <c r="Z51" i="31" s="1"/>
  <c r="AD51" i="31"/>
  <c r="AE51" i="31" s="1"/>
  <c r="AF51" i="31" s="1"/>
  <c r="AW51" i="31"/>
  <c r="AX51" i="31" s="1"/>
  <c r="BU51" i="31" s="1"/>
  <c r="AA51" i="31"/>
  <c r="AB51" i="31" s="1"/>
  <c r="AC51" i="31" s="1"/>
  <c r="BL47" i="31"/>
  <c r="BT47" i="31"/>
  <c r="BM64" i="31"/>
  <c r="BU64" i="31"/>
  <c r="BU31" i="31"/>
  <c r="BM31" i="31"/>
  <c r="BQ31" i="31"/>
  <c r="BU94" i="31"/>
  <c r="BS47" i="31"/>
  <c r="BQ47" i="31"/>
  <c r="BP47" i="31"/>
  <c r="BI47" i="31"/>
  <c r="BK47" i="31" s="1"/>
  <c r="BO47" i="31" s="1"/>
  <c r="BU109" i="31"/>
  <c r="AM109" i="31"/>
  <c r="AO109" i="31" s="1"/>
  <c r="BM109" i="31" s="1"/>
  <c r="BC109" i="31"/>
  <c r="BV109" i="31" s="1"/>
  <c r="W50" i="31"/>
  <c r="AY50" i="31" s="1"/>
  <c r="S50" i="31"/>
  <c r="AI50" i="31" s="1"/>
  <c r="W11" i="31"/>
  <c r="AY11" i="31" s="1"/>
  <c r="AX37" i="31"/>
  <c r="BU37" i="31" s="1"/>
  <c r="AN86" i="31"/>
  <c r="AW86" i="31"/>
  <c r="AX86" i="31" s="1"/>
  <c r="AD86" i="31"/>
  <c r="AE86" i="31" s="1"/>
  <c r="AF86" i="31" s="1"/>
  <c r="AS86" i="31"/>
  <c r="Y86" i="31"/>
  <c r="Z86" i="31" s="1"/>
  <c r="BP86" i="31" s="1"/>
  <c r="AA86" i="31"/>
  <c r="AB86" i="31" s="1"/>
  <c r="AC86" i="31" s="1"/>
  <c r="AT37" i="31"/>
  <c r="BC70" i="31"/>
  <c r="AL13" i="31"/>
  <c r="AG13" i="31"/>
  <c r="AH13" i="31" s="1"/>
  <c r="X13" i="31"/>
  <c r="AP13" i="31"/>
  <c r="AQ13" i="31" s="1"/>
  <c r="AU13" i="31"/>
  <c r="AV13" i="31" s="1"/>
  <c r="AN50" i="31"/>
  <c r="AW50" i="31"/>
  <c r="AA50" i="31"/>
  <c r="AB50" i="31" s="1"/>
  <c r="AC50" i="31" s="1"/>
  <c r="Y50" i="31"/>
  <c r="AD50" i="31"/>
  <c r="AE50" i="31" s="1"/>
  <c r="AF50" i="31" s="1"/>
  <c r="AS50" i="31"/>
  <c r="BT69" i="31"/>
  <c r="BI69" i="31"/>
  <c r="BK69" i="31" s="1"/>
  <c r="BO69" i="31" s="1"/>
  <c r="BL69" i="31"/>
  <c r="BU93" i="31"/>
  <c r="BL49" i="31"/>
  <c r="BS49" i="31"/>
  <c r="BQ69" i="31"/>
  <c r="AN42" i="31"/>
  <c r="AS42" i="31"/>
  <c r="Y42" i="31"/>
  <c r="AD42" i="31"/>
  <c r="AE42" i="31" s="1"/>
  <c r="AF42" i="31" s="1"/>
  <c r="AW42" i="31"/>
  <c r="AA42" i="31"/>
  <c r="AB42" i="31" s="1"/>
  <c r="AC42" i="31" s="1"/>
  <c r="BM95" i="31"/>
  <c r="BU95" i="31"/>
  <c r="BU100" i="31"/>
  <c r="AN97" i="31"/>
  <c r="AO97" i="31" s="1"/>
  <c r="BS97" i="31" s="1"/>
  <c r="AD97" i="31"/>
  <c r="AE97" i="31" s="1"/>
  <c r="AF97" i="31" s="1"/>
  <c r="Y97" i="31"/>
  <c r="Z97" i="31" s="1"/>
  <c r="BP97" i="31" s="1"/>
  <c r="AS97" i="31"/>
  <c r="AT97" i="31" s="1"/>
  <c r="AW97" i="31"/>
  <c r="AX97" i="31" s="1"/>
  <c r="BU97" i="31" s="1"/>
  <c r="AA97" i="31"/>
  <c r="AB97" i="31" s="1"/>
  <c r="AC97" i="31" s="1"/>
  <c r="AN91" i="31"/>
  <c r="Y91" i="31"/>
  <c r="AD91" i="31"/>
  <c r="AE91" i="31" s="1"/>
  <c r="AF91" i="31" s="1"/>
  <c r="AS91" i="31"/>
  <c r="AW91" i="31"/>
  <c r="AA91" i="31"/>
  <c r="AB91" i="31" s="1"/>
  <c r="AC91" i="31" s="1"/>
  <c r="AY54" i="31"/>
  <c r="AG54" i="31"/>
  <c r="AH54" i="31" s="1"/>
  <c r="AK54" i="31" s="1"/>
  <c r="BR54" i="31" s="1"/>
  <c r="AX56" i="31"/>
  <c r="AM93" i="31"/>
  <c r="AO93" i="31" s="1"/>
  <c r="BS93" i="31" s="1"/>
  <c r="BC93" i="31"/>
  <c r="BV93" i="31" s="1"/>
  <c r="BP100" i="31"/>
  <c r="AM37" i="31"/>
  <c r="AO37" i="31" s="1"/>
  <c r="BC37" i="31"/>
  <c r="BV37" i="31" s="1"/>
  <c r="V11" i="31"/>
  <c r="AJ11" i="31" s="1"/>
  <c r="AN17" i="31"/>
  <c r="AW17" i="31"/>
  <c r="AA17" i="31"/>
  <c r="AB17" i="31" s="1"/>
  <c r="AC17" i="31" s="1"/>
  <c r="AS17" i="31"/>
  <c r="Y17" i="31"/>
  <c r="AD17" i="31"/>
  <c r="AE17" i="31" s="1"/>
  <c r="AF17" i="31" s="1"/>
  <c r="AG17" i="31"/>
  <c r="AH17" i="31" s="1"/>
  <c r="AK17" i="31" s="1"/>
  <c r="BR17" i="31" s="1"/>
  <c r="X17" i="31"/>
  <c r="AP17" i="31"/>
  <c r="AQ17" i="31" s="1"/>
  <c r="AU17" i="31"/>
  <c r="AV17" i="31" s="1"/>
  <c r="AL17" i="31"/>
  <c r="AN21" i="31"/>
  <c r="AW21" i="31"/>
  <c r="AA21" i="31"/>
  <c r="AB21" i="31" s="1"/>
  <c r="AC21" i="31" s="1"/>
  <c r="AS21" i="31"/>
  <c r="AD21" i="31"/>
  <c r="AE21" i="31" s="1"/>
  <c r="AF21" i="31" s="1"/>
  <c r="Y21" i="31"/>
  <c r="AM56" i="31"/>
  <c r="AO56" i="31" s="1"/>
  <c r="BC56" i="31"/>
  <c r="BV56" i="31" s="1"/>
  <c r="BR100" i="31"/>
  <c r="Z37" i="31"/>
  <c r="AP42" i="31"/>
  <c r="AQ42" i="31" s="1"/>
  <c r="AU42" i="31"/>
  <c r="AV42" i="31" s="1"/>
  <c r="X42" i="31"/>
  <c r="AG42" i="31"/>
  <c r="AH42" i="31" s="1"/>
  <c r="AK42" i="31" s="1"/>
  <c r="AL42" i="31"/>
  <c r="AA9" i="31"/>
  <c r="AB9" i="31" s="1"/>
  <c r="AC9" i="31" s="1"/>
  <c r="AN9" i="31"/>
  <c r="AO9" i="31" s="1"/>
  <c r="AS9" i="31"/>
  <c r="AT9" i="31" s="1"/>
  <c r="Y9" i="31"/>
  <c r="AD9" i="31"/>
  <c r="AE9" i="31" s="1"/>
  <c r="AF9" i="31" s="1"/>
  <c r="AW9" i="31"/>
  <c r="AX9" i="31" s="1"/>
  <c r="AL20" i="31"/>
  <c r="AP20" i="31"/>
  <c r="AQ20" i="31" s="1"/>
  <c r="AT20" i="31" s="1"/>
  <c r="BT20" i="31" s="1"/>
  <c r="AG20" i="31"/>
  <c r="AH20" i="31" s="1"/>
  <c r="AK20" i="31" s="1"/>
  <c r="BR20" i="31" s="1"/>
  <c r="X20" i="31"/>
  <c r="Z20" i="31" s="1"/>
  <c r="BP20" i="31" s="1"/>
  <c r="AU20" i="31"/>
  <c r="AV20" i="31" s="1"/>
  <c r="AX20" i="31" s="1"/>
  <c r="BU20" i="31" s="1"/>
  <c r="BT100" i="31"/>
  <c r="BL100" i="31"/>
  <c r="X23" i="31"/>
  <c r="Z23" i="31" s="1"/>
  <c r="BP23" i="31" s="1"/>
  <c r="AU23" i="31"/>
  <c r="AV23" i="31" s="1"/>
  <c r="AX23" i="31" s="1"/>
  <c r="AL23" i="31"/>
  <c r="AP23" i="31"/>
  <c r="AQ23" i="31" s="1"/>
  <c r="AT23" i="31" s="1"/>
  <c r="BT23" i="31" s="1"/>
  <c r="AG23" i="31"/>
  <c r="AH23" i="31" s="1"/>
  <c r="AK23" i="31" s="1"/>
  <c r="BR23" i="31" s="1"/>
  <c r="AM107" i="31"/>
  <c r="AO107" i="31" s="1"/>
  <c r="BM107" i="31" s="1"/>
  <c r="BC107" i="31"/>
  <c r="BV107" i="31" s="1"/>
  <c r="BC9" i="31"/>
  <c r="BV9" i="31" s="1"/>
  <c r="AX25" i="31"/>
  <c r="V13" i="31"/>
  <c r="AJ13" i="31" s="1"/>
  <c r="S13" i="31"/>
  <c r="AI13" i="31" s="1"/>
  <c r="BM69" i="31"/>
  <c r="BU69" i="31"/>
  <c r="AM100" i="31"/>
  <c r="AO100" i="31" s="1"/>
  <c r="BS100" i="31" s="1"/>
  <c r="BC100" i="31"/>
  <c r="BV100" i="31" s="1"/>
  <c r="BU107" i="31"/>
  <c r="Z58" i="31"/>
  <c r="BM49" i="31"/>
  <c r="BU49" i="31"/>
  <c r="AN28" i="31"/>
  <c r="AO28" i="31" s="1"/>
  <c r="Y28" i="31"/>
  <c r="Z28" i="31" s="1"/>
  <c r="AD28" i="31"/>
  <c r="AE28" i="31" s="1"/>
  <c r="AF28" i="31" s="1"/>
  <c r="AW28" i="31"/>
  <c r="AX28" i="31" s="1"/>
  <c r="BU28" i="31" s="1"/>
  <c r="AA28" i="31"/>
  <c r="AB28" i="31" s="1"/>
  <c r="AC28" i="31" s="1"/>
  <c r="AS28" i="31"/>
  <c r="AT28" i="31" s="1"/>
  <c r="AM94" i="31"/>
  <c r="AO94" i="31" s="1"/>
  <c r="BS94" i="31" s="1"/>
  <c r="BC94" i="31"/>
  <c r="BV94" i="31" s="1"/>
  <c r="AL39" i="31"/>
  <c r="AP39" i="31"/>
  <c r="AQ39" i="31" s="1"/>
  <c r="AT39" i="31" s="1"/>
  <c r="BT39" i="31" s="1"/>
  <c r="AU39" i="31"/>
  <c r="AV39" i="31" s="1"/>
  <c r="AX39" i="31" s="1"/>
  <c r="AG39" i="31"/>
  <c r="AH39" i="31" s="1"/>
  <c r="AK39" i="31" s="1"/>
  <c r="X39" i="31"/>
  <c r="Z39" i="31" s="1"/>
  <c r="BP39" i="31" s="1"/>
  <c r="BC28" i="31"/>
  <c r="BV28" i="31" s="1"/>
  <c r="BU68" i="31"/>
  <c r="BT92" i="31"/>
  <c r="AT62" i="31"/>
  <c r="BT62" i="31" s="1"/>
  <c r="BL92" i="31"/>
  <c r="BI92" i="31"/>
  <c r="BK92" i="31" s="1"/>
  <c r="BO92" i="31" s="1"/>
  <c r="AX81" i="31"/>
  <c r="BU81" i="31" s="1"/>
  <c r="BL93" i="31"/>
  <c r="AT54" i="31"/>
  <c r="BT93" i="31"/>
  <c r="BM87" i="31"/>
  <c r="AT14" i="31"/>
  <c r="BT14" i="31" s="1"/>
  <c r="AT98" i="31"/>
  <c r="BL67" i="31"/>
  <c r="BT67" i="31"/>
  <c r="BQ67" i="31"/>
  <c r="BI26" i="31"/>
  <c r="BK26" i="31" s="1"/>
  <c r="BO26" i="31" s="1"/>
  <c r="BT26" i="31"/>
  <c r="BL26" i="31"/>
  <c r="BU41" i="31"/>
  <c r="BM41" i="31"/>
  <c r="BT29" i="31"/>
  <c r="BL29" i="31"/>
  <c r="BQ29" i="31"/>
  <c r="BM75" i="31"/>
  <c r="BT87" i="31"/>
  <c r="BL87" i="31"/>
  <c r="BQ87" i="31"/>
  <c r="AQ19" i="31"/>
  <c r="AT19" i="31" s="1"/>
  <c r="BC19" i="31"/>
  <c r="BV19" i="31" s="1"/>
  <c r="BL99" i="31"/>
  <c r="BT99" i="31"/>
  <c r="BQ99" i="31"/>
  <c r="BI104" i="31"/>
  <c r="BK104" i="31" s="1"/>
  <c r="BO104" i="31" s="1"/>
  <c r="BT104" i="31"/>
  <c r="BL104" i="31"/>
  <c r="AQ41" i="31"/>
  <c r="AT41" i="31" s="1"/>
  <c r="BC41" i="31"/>
  <c r="BV41" i="31" s="1"/>
  <c r="BT94" i="31"/>
  <c r="BL94" i="31"/>
  <c r="Z45" i="31"/>
  <c r="BQ104" i="31"/>
  <c r="AQ81" i="31"/>
  <c r="AT81" i="31" s="1"/>
  <c r="BC81" i="31"/>
  <c r="BV81" i="31" s="1"/>
  <c r="BU15" i="31"/>
  <c r="BP99" i="31"/>
  <c r="BI99" i="31"/>
  <c r="BK99" i="31" s="1"/>
  <c r="BO99" i="31" s="1"/>
  <c r="AX45" i="31"/>
  <c r="BR75" i="31"/>
  <c r="AQ27" i="31"/>
  <c r="AT27" i="31" s="1"/>
  <c r="BC27" i="31"/>
  <c r="BV27" i="31" s="1"/>
  <c r="Z81" i="31"/>
  <c r="BR24" i="31"/>
  <c r="AT12" i="31"/>
  <c r="BU78" i="31"/>
  <c r="AT15" i="31"/>
  <c r="AQ24" i="31"/>
  <c r="AT24" i="31" s="1"/>
  <c r="BC24" i="31"/>
  <c r="BV24" i="31" s="1"/>
  <c r="BU99" i="31"/>
  <c r="BM99" i="31"/>
  <c r="AQ75" i="31"/>
  <c r="AT75" i="31" s="1"/>
  <c r="BC75" i="31"/>
  <c r="BV75" i="31" s="1"/>
  <c r="BM57" i="31"/>
  <c r="BQ60" i="31"/>
  <c r="BT60" i="31"/>
  <c r="BL60" i="31"/>
  <c r="BP46" i="31"/>
  <c r="AQ82" i="31"/>
  <c r="AT82" i="31" s="1"/>
  <c r="AT55" i="31"/>
  <c r="BP29" i="31"/>
  <c r="BI29" i="31"/>
  <c r="BK29" i="31" s="1"/>
  <c r="BO29" i="31" s="1"/>
  <c r="AQ80" i="31"/>
  <c r="BC80" i="31"/>
  <c r="BV80" i="31" s="1"/>
  <c r="BL10" i="31"/>
  <c r="BT10" i="31"/>
  <c r="BT79" i="31"/>
  <c r="BL79" i="31"/>
  <c r="AQ44" i="31"/>
  <c r="BC44" i="31"/>
  <c r="BV44" i="31" s="1"/>
  <c r="BP71" i="31"/>
  <c r="AX44" i="31"/>
  <c r="BL57" i="31"/>
  <c r="AQ45" i="31"/>
  <c r="AT45" i="31" s="1"/>
  <c r="BC45" i="31"/>
  <c r="BV45" i="31" s="1"/>
  <c r="AQ101" i="31"/>
  <c r="AT101" i="31" s="1"/>
  <c r="Z96" i="31"/>
  <c r="BR19" i="31"/>
  <c r="BM29" i="31"/>
  <c r="BU29" i="31"/>
  <c r="AQ33" i="31"/>
  <c r="AT33" i="31" s="1"/>
  <c r="BT88" i="31"/>
  <c r="BT66" i="31"/>
  <c r="BL66" i="31"/>
  <c r="BM19" i="31"/>
  <c r="AQ96" i="31"/>
  <c r="AT96" i="31" s="1"/>
  <c r="BC96" i="31"/>
  <c r="BV96" i="31" s="1"/>
  <c r="BP15" i="31"/>
  <c r="BT51" i="31"/>
  <c r="BM12" i="31"/>
  <c r="Z80" i="31" l="1"/>
  <c r="BP80" i="31" s="1"/>
  <c r="AT80" i="31"/>
  <c r="AS40" i="31"/>
  <c r="AT44" i="31"/>
  <c r="BQ35" i="31"/>
  <c r="BT74" i="31"/>
  <c r="BL35" i="31"/>
  <c r="BI35" i="31"/>
  <c r="BK35" i="31" s="1"/>
  <c r="BO35" i="31" s="1"/>
  <c r="BT18" i="31"/>
  <c r="BL18" i="31"/>
  <c r="AX58" i="31"/>
  <c r="BU58" i="31" s="1"/>
  <c r="BI67" i="31"/>
  <c r="BK67" i="31" s="1"/>
  <c r="BO67" i="31" s="1"/>
  <c r="BC58" i="31"/>
  <c r="BV58" i="31" s="1"/>
  <c r="BL68" i="31"/>
  <c r="BL39" i="31"/>
  <c r="BL30" i="31"/>
  <c r="BM37" i="31"/>
  <c r="AX83" i="31"/>
  <c r="BU83" i="31" s="1"/>
  <c r="BU34" i="31"/>
  <c r="BM34" i="31"/>
  <c r="BL95" i="31"/>
  <c r="AK83" i="31"/>
  <c r="BR83" i="31" s="1"/>
  <c r="BL46" i="31"/>
  <c r="BT46" i="31"/>
  <c r="BM28" i="31"/>
  <c r="BL22" i="31"/>
  <c r="BT22" i="31"/>
  <c r="BL73" i="31"/>
  <c r="BT73" i="31"/>
  <c r="BL85" i="31"/>
  <c r="BL105" i="31"/>
  <c r="AM74" i="31"/>
  <c r="AO74" i="31" s="1"/>
  <c r="BS74" i="31" s="1"/>
  <c r="BC74" i="31"/>
  <c r="BV74" i="31" s="1"/>
  <c r="BL102" i="31"/>
  <c r="BI46" i="31"/>
  <c r="BK46" i="31" s="1"/>
  <c r="BO46" i="31" s="1"/>
  <c r="BT64" i="31"/>
  <c r="BL64" i="31"/>
  <c r="AO83" i="31"/>
  <c r="BS83" i="31" s="1"/>
  <c r="BQ46" i="31"/>
  <c r="BM46" i="31"/>
  <c r="BI87" i="31"/>
  <c r="BK87" i="31" s="1"/>
  <c r="BO87" i="31" s="1"/>
  <c r="BC32" i="31"/>
  <c r="BV32" i="31" s="1"/>
  <c r="BC54" i="31"/>
  <c r="BV54" i="31" s="1"/>
  <c r="BM54" i="31"/>
  <c r="BM74" i="31"/>
  <c r="BR108" i="31"/>
  <c r="BL108" i="31"/>
  <c r="AO16" i="31"/>
  <c r="BS16" i="31" s="1"/>
  <c r="BL34" i="31"/>
  <c r="BR32" i="31"/>
  <c r="BL32" i="31"/>
  <c r="BC101" i="31"/>
  <c r="BV101" i="31" s="1"/>
  <c r="BM15" i="31"/>
  <c r="BC33" i="31"/>
  <c r="BV33" i="31" s="1"/>
  <c r="AN40" i="31"/>
  <c r="AG50" i="31"/>
  <c r="AH50" i="31" s="1"/>
  <c r="AK50" i="31" s="1"/>
  <c r="BQ10" i="31"/>
  <c r="BM81" i="31"/>
  <c r="Z88" i="31"/>
  <c r="BP88" i="31" s="1"/>
  <c r="BM71" i="31"/>
  <c r="BC16" i="31"/>
  <c r="BV16" i="31" s="1"/>
  <c r="BI49" i="31"/>
  <c r="BK49" i="31" s="1"/>
  <c r="BO49" i="31" s="1"/>
  <c r="BC71" i="31"/>
  <c r="BV71" i="31" s="1"/>
  <c r="BM98" i="31"/>
  <c r="AT21" i="31"/>
  <c r="BT21" i="31" s="1"/>
  <c r="BC86" i="31"/>
  <c r="BV86" i="31" s="1"/>
  <c r="BQ71" i="31"/>
  <c r="BM55" i="31"/>
  <c r="BQ95" i="31"/>
  <c r="BQ93" i="31"/>
  <c r="BS53" i="31"/>
  <c r="BM53" i="31"/>
  <c r="BM77" i="31"/>
  <c r="BM89" i="31"/>
  <c r="AG11" i="31"/>
  <c r="AH11" i="31" s="1"/>
  <c r="AK11" i="31" s="1"/>
  <c r="BR11" i="31" s="1"/>
  <c r="BT95" i="31"/>
  <c r="BQ80" i="31"/>
  <c r="BQ75" i="31"/>
  <c r="BM68" i="31"/>
  <c r="AP11" i="31"/>
  <c r="AQ11" i="31" s="1"/>
  <c r="AU11" i="31"/>
  <c r="AV11" i="31" s="1"/>
  <c r="BQ61" i="31"/>
  <c r="AL11" i="31"/>
  <c r="X11" i="31"/>
  <c r="BQ77" i="31"/>
  <c r="BU77" i="31"/>
  <c r="AL91" i="31"/>
  <c r="AM91" i="31" s="1"/>
  <c r="AO91" i="31" s="1"/>
  <c r="BS91" i="31" s="1"/>
  <c r="BC30" i="31"/>
  <c r="BV30" i="31" s="1"/>
  <c r="AU91" i="31"/>
  <c r="AV91" i="31" s="1"/>
  <c r="AX91" i="31" s="1"/>
  <c r="BC25" i="31"/>
  <c r="BV25" i="31" s="1"/>
  <c r="AP91" i="31"/>
  <c r="AQ91" i="31" s="1"/>
  <c r="AT91" i="31" s="1"/>
  <c r="BT91" i="31" s="1"/>
  <c r="X91" i="31"/>
  <c r="AG91" i="31"/>
  <c r="AH91" i="31" s="1"/>
  <c r="AK91" i="31" s="1"/>
  <c r="BI12" i="31"/>
  <c r="BK12" i="31" s="1"/>
  <c r="BO12" i="31" s="1"/>
  <c r="BI57" i="31"/>
  <c r="BK57" i="31" s="1"/>
  <c r="BO57" i="31" s="1"/>
  <c r="BT49" i="31"/>
  <c r="BM61" i="31"/>
  <c r="BS61" i="31"/>
  <c r="BM82" i="31"/>
  <c r="BM73" i="31"/>
  <c r="BQ73" i="31"/>
  <c r="BQ108" i="31"/>
  <c r="BM108" i="31"/>
  <c r="BI73" i="31"/>
  <c r="BK73" i="31" s="1"/>
  <c r="BO73" i="31" s="1"/>
  <c r="BL65" i="31"/>
  <c r="BM84" i="31"/>
  <c r="BS96" i="31"/>
  <c r="BM96" i="31"/>
  <c r="BT57" i="31"/>
  <c r="BQ68" i="31"/>
  <c r="BL52" i="31"/>
  <c r="AU50" i="31"/>
  <c r="AV50" i="31" s="1"/>
  <c r="AX50" i="31" s="1"/>
  <c r="BU50" i="31" s="1"/>
  <c r="BC18" i="31"/>
  <c r="BV18" i="31" s="1"/>
  <c r="AO72" i="31"/>
  <c r="BS72" i="31" s="1"/>
  <c r="BI94" i="31"/>
  <c r="BK94" i="31" s="1"/>
  <c r="BO94" i="31" s="1"/>
  <c r="BQ57" i="31"/>
  <c r="BL62" i="31"/>
  <c r="BL54" i="31"/>
  <c r="BM101" i="31"/>
  <c r="BQ54" i="31"/>
  <c r="BQ33" i="31"/>
  <c r="BM33" i="31"/>
  <c r="AO86" i="31"/>
  <c r="BS86" i="31" s="1"/>
  <c r="AT86" i="31"/>
  <c r="BC105" i="31"/>
  <c r="BV105" i="31" s="1"/>
  <c r="BQ89" i="31"/>
  <c r="BL61" i="31"/>
  <c r="BL89" i="31"/>
  <c r="BM24" i="31"/>
  <c r="AX42" i="31"/>
  <c r="BU42" i="31" s="1"/>
  <c r="BS18" i="31"/>
  <c r="BM18" i="31"/>
  <c r="BQ18" i="31"/>
  <c r="BI108" i="31"/>
  <c r="BK108" i="31" s="1"/>
  <c r="BO108" i="31" s="1"/>
  <c r="X50" i="31"/>
  <c r="Z50" i="31" s="1"/>
  <c r="BP50" i="31" s="1"/>
  <c r="BL84" i="31"/>
  <c r="BQ101" i="31"/>
  <c r="BL83" i="31"/>
  <c r="BI98" i="31"/>
  <c r="BK98" i="31" s="1"/>
  <c r="BO98" i="31" s="1"/>
  <c r="BQ64" i="31"/>
  <c r="BR25" i="31"/>
  <c r="BL25" i="31"/>
  <c r="BM78" i="31"/>
  <c r="BM27" i="31"/>
  <c r="BI31" i="31"/>
  <c r="BK31" i="31" s="1"/>
  <c r="BO31" i="31" s="1"/>
  <c r="BC72" i="31"/>
  <c r="BV72" i="31" s="1"/>
  <c r="BI79" i="31"/>
  <c r="BK79" i="31" s="1"/>
  <c r="BO79" i="31" s="1"/>
  <c r="AO65" i="31"/>
  <c r="BS65" i="31" s="1"/>
  <c r="AP40" i="31"/>
  <c r="AQ40" i="31" s="1"/>
  <c r="AT40" i="31" s="1"/>
  <c r="AY40" i="31"/>
  <c r="BL20" i="31"/>
  <c r="AL50" i="31"/>
  <c r="AM50" i="31" s="1"/>
  <c r="AO50" i="31" s="1"/>
  <c r="BS50" i="31" s="1"/>
  <c r="Z9" i="31"/>
  <c r="BP9" i="31" s="1"/>
  <c r="BC83" i="31"/>
  <c r="BV83" i="31" s="1"/>
  <c r="BM83" i="31"/>
  <c r="BI64" i="31"/>
  <c r="BK64" i="31" s="1"/>
  <c r="BO64" i="31" s="1"/>
  <c r="AP50" i="31"/>
  <c r="AQ50" i="31" s="1"/>
  <c r="AT50" i="31" s="1"/>
  <c r="BT50" i="31" s="1"/>
  <c r="BS14" i="31"/>
  <c r="BM14" i="31"/>
  <c r="BS85" i="31"/>
  <c r="BM85" i="31"/>
  <c r="BQ84" i="31"/>
  <c r="BQ62" i="31"/>
  <c r="BQ34" i="31"/>
  <c r="AL40" i="31"/>
  <c r="AM40" i="31" s="1"/>
  <c r="AG40" i="31"/>
  <c r="AH40" i="31" s="1"/>
  <c r="AK40" i="31" s="1"/>
  <c r="BR40" i="31" s="1"/>
  <c r="BS105" i="31"/>
  <c r="BM105" i="31"/>
  <c r="BQ96" i="31"/>
  <c r="BT77" i="31"/>
  <c r="BR56" i="31"/>
  <c r="BL56" i="31"/>
  <c r="BI66" i="31"/>
  <c r="BK66" i="31" s="1"/>
  <c r="BO66" i="31" s="1"/>
  <c r="BI62" i="31"/>
  <c r="BK62" i="31" s="1"/>
  <c r="BO62" i="31" s="1"/>
  <c r="AT42" i="31"/>
  <c r="BT42" i="31" s="1"/>
  <c r="BM62" i="31"/>
  <c r="BI84" i="31"/>
  <c r="BK84" i="31" s="1"/>
  <c r="BO84" i="31" s="1"/>
  <c r="BL23" i="31"/>
  <c r="BR53" i="31"/>
  <c r="BQ53" i="31"/>
  <c r="BL53" i="31"/>
  <c r="BI53" i="31"/>
  <c r="BK53" i="31" s="1"/>
  <c r="BO53" i="31" s="1"/>
  <c r="BP72" i="31"/>
  <c r="BQ98" i="31"/>
  <c r="BQ19" i="31"/>
  <c r="AU40" i="31"/>
  <c r="AV40" i="31" s="1"/>
  <c r="AX21" i="31"/>
  <c r="BU21" i="31" s="1"/>
  <c r="Z65" i="31"/>
  <c r="AA40" i="31"/>
  <c r="AB40" i="31" s="1"/>
  <c r="AC40" i="31" s="1"/>
  <c r="X40" i="31"/>
  <c r="AX72" i="31"/>
  <c r="BU72" i="31" s="1"/>
  <c r="BI77" i="31"/>
  <c r="BK77" i="31" s="1"/>
  <c r="BO77" i="31" s="1"/>
  <c r="BM97" i="31"/>
  <c r="AW40" i="31"/>
  <c r="BI61" i="31"/>
  <c r="BK61" i="31" s="1"/>
  <c r="BO61" i="31" s="1"/>
  <c r="AD40" i="31"/>
  <c r="AE40" i="31" s="1"/>
  <c r="AF40" i="31" s="1"/>
  <c r="BI10" i="31"/>
  <c r="BK10" i="31" s="1"/>
  <c r="BO10" i="31" s="1"/>
  <c r="AK72" i="31"/>
  <c r="BI15" i="31"/>
  <c r="BK15" i="31" s="1"/>
  <c r="BO15" i="31" s="1"/>
  <c r="BI60" i="31"/>
  <c r="BK60" i="31" s="1"/>
  <c r="BO60" i="31" s="1"/>
  <c r="Y40" i="31"/>
  <c r="Z21" i="31"/>
  <c r="BP21" i="31" s="1"/>
  <c r="BT98" i="31"/>
  <c r="BM80" i="31"/>
  <c r="BQ82" i="31"/>
  <c r="BC65" i="31"/>
  <c r="BV65" i="31" s="1"/>
  <c r="AM21" i="31"/>
  <c r="AO21" i="31" s="1"/>
  <c r="BC21" i="31"/>
  <c r="BV21" i="31" s="1"/>
  <c r="AM52" i="31"/>
  <c r="AO52" i="31" s="1"/>
  <c r="BC52" i="31"/>
  <c r="BV52" i="31" s="1"/>
  <c r="BC82" i="31"/>
  <c r="BV82" i="31" s="1"/>
  <c r="BS79" i="31"/>
  <c r="BM79" i="31"/>
  <c r="BI106" i="31"/>
  <c r="BK106" i="31" s="1"/>
  <c r="BO106" i="31" s="1"/>
  <c r="BM30" i="31"/>
  <c r="BI93" i="31"/>
  <c r="BK93" i="31" s="1"/>
  <c r="BO93" i="31" s="1"/>
  <c r="Z42" i="31"/>
  <c r="BP42" i="31" s="1"/>
  <c r="Z17" i="31"/>
  <c r="BP17" i="31" s="1"/>
  <c r="BS66" i="31"/>
  <c r="BM66" i="31"/>
  <c r="BI51" i="31"/>
  <c r="BK51" i="31" s="1"/>
  <c r="BO51" i="31" s="1"/>
  <c r="BI22" i="31"/>
  <c r="BK22" i="31" s="1"/>
  <c r="BO22" i="31" s="1"/>
  <c r="AT17" i="31"/>
  <c r="BT17" i="31" s="1"/>
  <c r="BR51" i="31"/>
  <c r="BL51" i="31"/>
  <c r="BQ51" i="31"/>
  <c r="BR88" i="31"/>
  <c r="BL88" i="31"/>
  <c r="BI34" i="31"/>
  <c r="BK34" i="31" s="1"/>
  <c r="BO34" i="31" s="1"/>
  <c r="AM59" i="31"/>
  <c r="AO59" i="31" s="1"/>
  <c r="BQ59" i="31" s="1"/>
  <c r="BC59" i="31"/>
  <c r="BV59" i="31" s="1"/>
  <c r="AM88" i="31"/>
  <c r="AO88" i="31" s="1"/>
  <c r="BQ88" i="31" s="1"/>
  <c r="BC88" i="31"/>
  <c r="BV88" i="31" s="1"/>
  <c r="BL59" i="31"/>
  <c r="BP51" i="31"/>
  <c r="BM51" i="31"/>
  <c r="BQ14" i="31"/>
  <c r="BM22" i="31"/>
  <c r="BQ102" i="31"/>
  <c r="BM94" i="31"/>
  <c r="BT89" i="31"/>
  <c r="BQ22" i="31"/>
  <c r="Z91" i="31"/>
  <c r="BP91" i="31" s="1"/>
  <c r="BM93" i="31"/>
  <c r="BT102" i="31"/>
  <c r="BQ105" i="31"/>
  <c r="AX17" i="31"/>
  <c r="BU17" i="31" s="1"/>
  <c r="BI89" i="31"/>
  <c r="BK89" i="31" s="1"/>
  <c r="BO89" i="31" s="1"/>
  <c r="BI68" i="31"/>
  <c r="BK68" i="31" s="1"/>
  <c r="BO68" i="31" s="1"/>
  <c r="BQ81" i="31"/>
  <c r="BQ94" i="31"/>
  <c r="BM100" i="31"/>
  <c r="BS48" i="31"/>
  <c r="BQ48" i="31"/>
  <c r="BM48" i="31"/>
  <c r="BI48" i="31"/>
  <c r="BK48" i="31" s="1"/>
  <c r="BO48" i="31" s="1"/>
  <c r="BS10" i="31"/>
  <c r="BM10" i="31"/>
  <c r="BU86" i="31"/>
  <c r="BV70" i="31"/>
  <c r="BI70" i="31"/>
  <c r="BK70" i="31" s="1"/>
  <c r="BO70" i="31" s="1"/>
  <c r="BT37" i="31"/>
  <c r="BL37" i="31"/>
  <c r="BS109" i="31"/>
  <c r="BQ109" i="31"/>
  <c r="BI109" i="31"/>
  <c r="BK109" i="31" s="1"/>
  <c r="BP28" i="31"/>
  <c r="BI28" i="31"/>
  <c r="BK28" i="31" s="1"/>
  <c r="BO28" i="31" s="1"/>
  <c r="BS28" i="31"/>
  <c r="BQ28" i="31"/>
  <c r="BT28" i="31"/>
  <c r="BL28" i="31"/>
  <c r="BL97" i="31"/>
  <c r="BQ97" i="31"/>
  <c r="BI97" i="31"/>
  <c r="BK97" i="31" s="1"/>
  <c r="BO97" i="31" s="1"/>
  <c r="BT97" i="31"/>
  <c r="BR39" i="31"/>
  <c r="BR30" i="31"/>
  <c r="BQ30" i="31"/>
  <c r="BU9" i="31"/>
  <c r="BM9" i="31"/>
  <c r="BI41" i="31"/>
  <c r="BK41" i="31" s="1"/>
  <c r="BO41" i="31" s="1"/>
  <c r="BU39" i="31"/>
  <c r="BS37" i="31"/>
  <c r="BQ37" i="31"/>
  <c r="BU32" i="31"/>
  <c r="BM32" i="31"/>
  <c r="BS107" i="31"/>
  <c r="BQ107" i="31"/>
  <c r="BI107" i="31"/>
  <c r="BK107" i="31" s="1"/>
  <c r="BO107" i="31" s="1"/>
  <c r="BI100" i="31"/>
  <c r="BK100" i="31" s="1"/>
  <c r="BO100" i="31" s="1"/>
  <c r="AM39" i="31"/>
  <c r="AO39" i="31" s="1"/>
  <c r="BM39" i="31" s="1"/>
  <c r="BC39" i="31"/>
  <c r="BV39" i="31" s="1"/>
  <c r="BP58" i="31"/>
  <c r="BI58" i="31"/>
  <c r="BK58" i="31" s="1"/>
  <c r="BO58" i="31" s="1"/>
  <c r="BL9" i="31"/>
  <c r="BT9" i="31"/>
  <c r="BP37" i="31"/>
  <c r="BI37" i="31"/>
  <c r="BK37" i="31" s="1"/>
  <c r="BO37" i="31" s="1"/>
  <c r="BS58" i="31"/>
  <c r="BQ58" i="31"/>
  <c r="BR85" i="31"/>
  <c r="BQ85" i="31"/>
  <c r="BS9" i="31"/>
  <c r="BQ9" i="31"/>
  <c r="BQ100" i="31"/>
  <c r="AN13" i="31"/>
  <c r="AW13" i="31"/>
  <c r="AX13" i="31" s="1"/>
  <c r="AD13" i="31"/>
  <c r="AE13" i="31" s="1"/>
  <c r="AF13" i="31" s="1"/>
  <c r="AS13" i="31"/>
  <c r="AT13" i="31" s="1"/>
  <c r="Y13" i="31"/>
  <c r="Z13" i="31" s="1"/>
  <c r="AA13" i="31"/>
  <c r="AB13" i="31" s="1"/>
  <c r="AC13" i="31" s="1"/>
  <c r="AM23" i="31"/>
  <c r="AO23" i="31" s="1"/>
  <c r="BM23" i="31" s="1"/>
  <c r="BC23" i="31"/>
  <c r="BV23" i="31" s="1"/>
  <c r="AM11" i="31"/>
  <c r="BC11" i="31"/>
  <c r="BV11" i="31" s="1"/>
  <c r="BU25" i="31"/>
  <c r="BM25" i="31"/>
  <c r="BU23" i="31"/>
  <c r="AM20" i="31"/>
  <c r="AO20" i="31" s="1"/>
  <c r="BC20" i="31"/>
  <c r="BV20" i="31" s="1"/>
  <c r="AM42" i="31"/>
  <c r="AO42" i="31" s="1"/>
  <c r="BC42" i="31"/>
  <c r="BV42" i="31" s="1"/>
  <c r="BS56" i="31"/>
  <c r="BI56" i="31"/>
  <c r="BK56" i="31" s="1"/>
  <c r="BO56" i="31" s="1"/>
  <c r="BQ56" i="31"/>
  <c r="AK13" i="31"/>
  <c r="BR13" i="31" s="1"/>
  <c r="BI85" i="31"/>
  <c r="BK85" i="31" s="1"/>
  <c r="BO85" i="31" s="1"/>
  <c r="BT58" i="31"/>
  <c r="BL58" i="31"/>
  <c r="BR42" i="31"/>
  <c r="BS25" i="31"/>
  <c r="BQ25" i="31"/>
  <c r="AM17" i="31"/>
  <c r="AO17" i="31" s="1"/>
  <c r="BC17" i="31"/>
  <c r="BV17" i="31" s="1"/>
  <c r="AN11" i="31"/>
  <c r="AS11" i="31"/>
  <c r="AD11" i="31"/>
  <c r="AE11" i="31" s="1"/>
  <c r="AF11" i="31" s="1"/>
  <c r="Y11" i="31"/>
  <c r="AW11" i="31"/>
  <c r="AA11" i="31"/>
  <c r="AB11" i="31" s="1"/>
  <c r="AC11" i="31" s="1"/>
  <c r="BU56" i="31"/>
  <c r="BM56" i="31"/>
  <c r="BS32" i="31"/>
  <c r="BQ32" i="31"/>
  <c r="AM13" i="31"/>
  <c r="BC13" i="31"/>
  <c r="BV13" i="31" s="1"/>
  <c r="BQ41" i="31"/>
  <c r="BI14" i="31"/>
  <c r="BK14" i="31" s="1"/>
  <c r="BO14" i="31" s="1"/>
  <c r="BI80" i="31"/>
  <c r="BK80" i="31" s="1"/>
  <c r="BO80" i="31" s="1"/>
  <c r="BL14" i="31"/>
  <c r="BT54" i="31"/>
  <c r="BI44" i="31"/>
  <c r="BK44" i="31" s="1"/>
  <c r="BO44" i="31" s="1"/>
  <c r="BI54" i="31"/>
  <c r="BK54" i="31" s="1"/>
  <c r="BO54" i="31" s="1"/>
  <c r="BL98" i="31"/>
  <c r="BQ44" i="31"/>
  <c r="BI75" i="31"/>
  <c r="BK75" i="31" s="1"/>
  <c r="BO75" i="31" s="1"/>
  <c r="BQ45" i="31"/>
  <c r="BT45" i="31"/>
  <c r="BL45" i="31"/>
  <c r="BT24" i="31"/>
  <c r="BL24" i="31"/>
  <c r="BP45" i="31"/>
  <c r="BI45" i="31"/>
  <c r="BK45" i="31" s="1"/>
  <c r="BO45" i="31" s="1"/>
  <c r="BQ27" i="31"/>
  <c r="BT27" i="31"/>
  <c r="BL27" i="31"/>
  <c r="BT78" i="31"/>
  <c r="BL78" i="31"/>
  <c r="BQ78" i="31"/>
  <c r="BL86" i="31"/>
  <c r="BT86" i="31"/>
  <c r="BI78" i="31"/>
  <c r="BK78" i="31" s="1"/>
  <c r="BO78" i="31" s="1"/>
  <c r="BP81" i="31"/>
  <c r="BI81" i="31"/>
  <c r="BK81" i="31" s="1"/>
  <c r="BO81" i="31" s="1"/>
  <c r="BT41" i="31"/>
  <c r="BL41" i="31"/>
  <c r="BP96" i="31"/>
  <c r="BI96" i="31"/>
  <c r="BK96" i="31" s="1"/>
  <c r="BO96" i="31" s="1"/>
  <c r="BT71" i="31"/>
  <c r="BL71" i="31"/>
  <c r="BT15" i="31"/>
  <c r="BL15" i="31"/>
  <c r="BQ15" i="31"/>
  <c r="BU45" i="31"/>
  <c r="BM45" i="31"/>
  <c r="BI27" i="31"/>
  <c r="BK27" i="31" s="1"/>
  <c r="BO27" i="31" s="1"/>
  <c r="BT33" i="31"/>
  <c r="BL33" i="31"/>
  <c r="BU44" i="31"/>
  <c r="BM44" i="31"/>
  <c r="BT55" i="31"/>
  <c r="BL55" i="31"/>
  <c r="BQ55" i="31"/>
  <c r="BT12" i="31"/>
  <c r="BL12" i="31"/>
  <c r="BQ12" i="31"/>
  <c r="BT101" i="31"/>
  <c r="BL101" i="31"/>
  <c r="BT16" i="31"/>
  <c r="BL16" i="31"/>
  <c r="BI55" i="31"/>
  <c r="BK55" i="31" s="1"/>
  <c r="BO55" i="31" s="1"/>
  <c r="BT82" i="31"/>
  <c r="BL82" i="31"/>
  <c r="BT44" i="31"/>
  <c r="BL44" i="31"/>
  <c r="BL75" i="31"/>
  <c r="BT75" i="31"/>
  <c r="BL81" i="31"/>
  <c r="BT81" i="31"/>
  <c r="BT96" i="31"/>
  <c r="BL96" i="31"/>
  <c r="BU16" i="31"/>
  <c r="BM16" i="31"/>
  <c r="BT80" i="31"/>
  <c r="BL80" i="31"/>
  <c r="BQ24" i="31"/>
  <c r="BI24" i="31"/>
  <c r="BK24" i="31" s="1"/>
  <c r="BO24" i="31" s="1"/>
  <c r="BI19" i="31"/>
  <c r="BK19" i="31" s="1"/>
  <c r="BL19" i="31"/>
  <c r="BT19" i="31"/>
  <c r="BM58" i="31" l="1"/>
  <c r="BQ83" i="31"/>
  <c r="AO40" i="31"/>
  <c r="BS40" i="31" s="1"/>
  <c r="BL21" i="31"/>
  <c r="BI16" i="31"/>
  <c r="BK16" i="31" s="1"/>
  <c r="BO16" i="31" s="1"/>
  <c r="BQ16" i="31"/>
  <c r="BL91" i="31"/>
  <c r="BI32" i="31"/>
  <c r="BK32" i="31" s="1"/>
  <c r="BO32" i="31" s="1"/>
  <c r="BI101" i="31"/>
  <c r="BK101" i="31" s="1"/>
  <c r="BO101" i="31" s="1"/>
  <c r="BQ42" i="31"/>
  <c r="BI83" i="31"/>
  <c r="BK83" i="31" s="1"/>
  <c r="BO83" i="31" s="1"/>
  <c r="BL42" i="31"/>
  <c r="BC91" i="31"/>
  <c r="BV91" i="31" s="1"/>
  <c r="BI33" i="31"/>
  <c r="BK33" i="31" s="1"/>
  <c r="BO33" i="31" s="1"/>
  <c r="BM17" i="31"/>
  <c r="BQ74" i="31"/>
  <c r="BL17" i="31"/>
  <c r="BI74" i="31"/>
  <c r="BK74" i="31" s="1"/>
  <c r="BO74" i="31" s="1"/>
  <c r="BR50" i="31"/>
  <c r="BL50" i="31"/>
  <c r="AX40" i="31"/>
  <c r="BU40" i="31" s="1"/>
  <c r="BI71" i="31"/>
  <c r="BK71" i="31" s="1"/>
  <c r="BO71" i="31" s="1"/>
  <c r="BI82" i="31"/>
  <c r="BK82" i="31" s="1"/>
  <c r="BO82" i="31" s="1"/>
  <c r="BR91" i="31"/>
  <c r="AX11" i="31"/>
  <c r="BU11" i="31" s="1"/>
  <c r="Z11" i="31"/>
  <c r="BP11" i="31" s="1"/>
  <c r="BQ65" i="31"/>
  <c r="AT11" i="31"/>
  <c r="BL11" i="31" s="1"/>
  <c r="BI30" i="31"/>
  <c r="BK30" i="31" s="1"/>
  <c r="BO30" i="31" s="1"/>
  <c r="Z40" i="31"/>
  <c r="BP40" i="31" s="1"/>
  <c r="BI105" i="31"/>
  <c r="BK105" i="31" s="1"/>
  <c r="BO105" i="31" s="1"/>
  <c r="BM65" i="31"/>
  <c r="BI25" i="31"/>
  <c r="BK25" i="31" s="1"/>
  <c r="BO25" i="31" s="1"/>
  <c r="BI9" i="31"/>
  <c r="BK9" i="31" s="1"/>
  <c r="BO9" i="31" s="1"/>
  <c r="BM86" i="31"/>
  <c r="BQ86" i="31"/>
  <c r="BI86" i="31"/>
  <c r="BK86" i="31" s="1"/>
  <c r="BO86" i="31" s="1"/>
  <c r="BI18" i="31"/>
  <c r="BK18" i="31" s="1"/>
  <c r="BO18" i="31" s="1"/>
  <c r="BM72" i="31"/>
  <c r="BC40" i="31"/>
  <c r="BV40" i="31" s="1"/>
  <c r="BC50" i="31"/>
  <c r="BV50" i="31" s="1"/>
  <c r="BS21" i="31"/>
  <c r="BM21" i="31"/>
  <c r="BQ21" i="31"/>
  <c r="BP65" i="31"/>
  <c r="BI65" i="31"/>
  <c r="BK65" i="31" s="1"/>
  <c r="BO65" i="31" s="1"/>
  <c r="BR72" i="31"/>
  <c r="BL72" i="31"/>
  <c r="BQ72" i="31"/>
  <c r="BI21" i="31"/>
  <c r="BK21" i="31" s="1"/>
  <c r="BO21" i="31" s="1"/>
  <c r="BI88" i="31"/>
  <c r="BK88" i="31" s="1"/>
  <c r="BO88" i="31" s="1"/>
  <c r="BI72" i="31"/>
  <c r="BK72" i="31" s="1"/>
  <c r="BO72" i="31" s="1"/>
  <c r="BM50" i="31"/>
  <c r="BS52" i="31"/>
  <c r="BM52" i="31"/>
  <c r="BI52" i="31"/>
  <c r="BK52" i="31" s="1"/>
  <c r="BO52" i="31" s="1"/>
  <c r="BQ52" i="31"/>
  <c r="BI59" i="31"/>
  <c r="BK59" i="31" s="1"/>
  <c r="BO59" i="31" s="1"/>
  <c r="BQ20" i="31"/>
  <c r="BM20" i="31"/>
  <c r="BS88" i="31"/>
  <c r="BM88" i="31"/>
  <c r="BM42" i="31"/>
  <c r="BS59" i="31"/>
  <c r="BM59" i="31"/>
  <c r="BQ50" i="31"/>
  <c r="AO11" i="31"/>
  <c r="BS11" i="31" s="1"/>
  <c r="BL40" i="31"/>
  <c r="BT40" i="31"/>
  <c r="BO109" i="31"/>
  <c r="H4" i="31"/>
  <c r="BU13" i="31"/>
  <c r="BP13" i="31"/>
  <c r="AO13" i="31"/>
  <c r="BS13" i="31" s="1"/>
  <c r="BS42" i="31"/>
  <c r="BI42" i="31"/>
  <c r="BK42" i="31" s="1"/>
  <c r="BO42" i="31" s="1"/>
  <c r="BS17" i="31"/>
  <c r="BI17" i="31"/>
  <c r="BK17" i="31" s="1"/>
  <c r="BO17" i="31" s="1"/>
  <c r="BQ17" i="31"/>
  <c r="BS23" i="31"/>
  <c r="BQ23" i="31"/>
  <c r="BI23" i="31"/>
  <c r="BK23" i="31" s="1"/>
  <c r="BO23" i="31" s="1"/>
  <c r="BU91" i="31"/>
  <c r="BM91" i="31"/>
  <c r="BQ91" i="31"/>
  <c r="BS20" i="31"/>
  <c r="BI20" i="31"/>
  <c r="BK20" i="31" s="1"/>
  <c r="BO20" i="31" s="1"/>
  <c r="BT13" i="31"/>
  <c r="BL13" i="31"/>
  <c r="BM40" i="31"/>
  <c r="BS39" i="31"/>
  <c r="BI39" i="31"/>
  <c r="BK39" i="31" s="1"/>
  <c r="BO39" i="31" s="1"/>
  <c r="BQ39" i="31"/>
  <c r="H2" i="31"/>
  <c r="BO19" i="31"/>
  <c r="BI91" i="31" l="1"/>
  <c r="BK91" i="31" s="1"/>
  <c r="BO91" i="31" s="1"/>
  <c r="BQ40" i="31"/>
  <c r="BT11" i="31"/>
  <c r="BI50" i="31"/>
  <c r="BK50" i="31" s="1"/>
  <c r="BO50" i="31" s="1"/>
  <c r="BI11" i="31"/>
  <c r="BK11" i="31" s="1"/>
  <c r="BO11" i="31" s="1"/>
  <c r="BI40" i="31"/>
  <c r="BK40" i="31" s="1"/>
  <c r="BO40" i="31" s="1"/>
  <c r="BQ11" i="31"/>
  <c r="H3" i="31"/>
  <c r="BM11" i="31"/>
  <c r="BQ13" i="31"/>
  <c r="BM13" i="31"/>
  <c r="BI13" i="31"/>
  <c r="BK13" i="31" s="1"/>
  <c r="BO13" i="3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BMC-BCS</author>
    <author>BDATSC</author>
  </authors>
  <commentList>
    <comment ref="A3" authorId="0" shapeId="0" xr:uid="{00000000-0006-0000-0000-000001000000}">
      <text>
        <r>
          <rPr>
            <b/>
            <sz val="12"/>
            <color indexed="10"/>
            <rFont val="Tahoma"/>
            <family val="2"/>
          </rPr>
          <t>Welcome to the LM51770 Quickstart Design Tool</t>
        </r>
        <r>
          <rPr>
            <sz val="9"/>
            <color indexed="81"/>
            <rFont val="Tahoma"/>
            <family val="2"/>
          </rPr>
          <t xml:space="preserve">
This stand-alone tool facilitates and assists the power supply engineer with design of a DC/DC buck-boost converter based on the </t>
        </r>
        <r>
          <rPr>
            <b/>
            <sz val="9"/>
            <color indexed="81"/>
            <rFont val="Tahoma"/>
            <family val="2"/>
          </rPr>
          <t>LM51770 current-mode buck-boost controller</t>
        </r>
        <r>
          <rPr>
            <sz val="9"/>
            <color indexed="81"/>
            <rFont val="Tahoma"/>
            <family val="2"/>
          </rPr>
          <t xml:space="preserve">. As such, the user can expeditiously arrive at an optimized design by virtue of the following:
- Determine filter inductance and input and output filter capacitances
- Select components for soft-start, input UVLO and dither
- Optimize compensation values, slope compensation, and pole/zero placement in terms of control loop stability using crossover frequency as a performance metric
- Inspect converter efficiency and component power dissipations vs. line and load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 is used throughout.
</t>
        </r>
      </text>
    </comment>
    <comment ref="F6" authorId="0" shapeId="0" xr:uid="{0E7DE9E0-DE80-4F14-97D5-922DAC45C135}">
      <text>
        <r>
          <rPr>
            <b/>
            <u/>
            <sz val="9"/>
            <color indexed="81"/>
            <rFont val="Tahoma"/>
            <family val="2"/>
          </rPr>
          <t>Nominal Input Voltage</t>
        </r>
        <r>
          <rPr>
            <b/>
            <sz val="9"/>
            <color indexed="81"/>
            <rFont val="Tahoma"/>
            <family val="2"/>
          </rPr>
          <t>:</t>
        </r>
        <r>
          <rPr>
            <sz val="9"/>
            <color indexed="81"/>
            <rFont val="Tahoma"/>
            <family val="2"/>
          </rPr>
          <t xml:space="preserve">
Enter the nominal operating input voltage.
The LM51770 input voltage operating range is 2.8V to 62V.
</t>
        </r>
        <r>
          <rPr>
            <b/>
            <sz val="9"/>
            <color indexed="81"/>
            <rFont val="Tahoma"/>
            <family val="2"/>
          </rPr>
          <t>The text in the cell is flagged red if:</t>
        </r>
        <r>
          <rPr>
            <sz val="9"/>
            <color indexed="81"/>
            <rFont val="Tahoma"/>
            <family val="2"/>
          </rPr>
          <t xml:space="preserve">
-The input voltage is below </t>
        </r>
        <r>
          <rPr>
            <b/>
            <sz val="9"/>
            <color indexed="10"/>
            <rFont val="Tahoma"/>
            <family val="2"/>
          </rPr>
          <t>V</t>
        </r>
        <r>
          <rPr>
            <b/>
            <vertAlign val="subscript"/>
            <sz val="9"/>
            <color indexed="10"/>
            <rFont val="Tahoma"/>
            <family val="2"/>
          </rPr>
          <t>IN(min)</t>
        </r>
        <r>
          <rPr>
            <sz val="9"/>
            <color indexed="81"/>
            <rFont val="Tahoma"/>
            <family val="2"/>
          </rPr>
          <t xml:space="preserve">
-The input voltage is above </t>
        </r>
        <r>
          <rPr>
            <b/>
            <sz val="9"/>
            <color indexed="10"/>
            <rFont val="Tahoma"/>
            <family val="2"/>
          </rPr>
          <t>V</t>
        </r>
        <r>
          <rPr>
            <b/>
            <vertAlign val="subscript"/>
            <sz val="9"/>
            <color indexed="10"/>
            <rFont val="Tahoma"/>
            <family val="2"/>
          </rPr>
          <t>IN(max)</t>
        </r>
      </text>
    </comment>
    <comment ref="F7"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operating input voltage.
The LM51770 input voltage operating range is 2.8V to 62V.
</t>
        </r>
        <r>
          <rPr>
            <b/>
            <sz val="9"/>
            <color indexed="81"/>
            <rFont val="Tahoma"/>
            <family val="2"/>
          </rPr>
          <t>The text in the cell is flagged red if:</t>
        </r>
        <r>
          <rPr>
            <sz val="9"/>
            <color indexed="81"/>
            <rFont val="Tahoma"/>
            <family val="2"/>
          </rPr>
          <t xml:space="preserve">
-The input voltage is below </t>
        </r>
        <r>
          <rPr>
            <b/>
            <sz val="9"/>
            <color indexed="10"/>
            <rFont val="Tahoma"/>
            <family val="2"/>
          </rPr>
          <t>V</t>
        </r>
        <r>
          <rPr>
            <b/>
            <vertAlign val="subscript"/>
            <sz val="9"/>
            <color indexed="10"/>
            <rFont val="Tahoma"/>
            <family val="2"/>
          </rPr>
          <t>IN(min)</t>
        </r>
        <r>
          <rPr>
            <sz val="9"/>
            <color indexed="81"/>
            <rFont val="Tahoma"/>
            <family val="2"/>
          </rPr>
          <t xml:space="preserve">
-The input voltage is above </t>
        </r>
        <r>
          <rPr>
            <b/>
            <sz val="9"/>
            <color indexed="10"/>
            <rFont val="Tahoma"/>
            <family val="2"/>
          </rPr>
          <t>V</t>
        </r>
        <r>
          <rPr>
            <b/>
            <vertAlign val="subscript"/>
            <sz val="9"/>
            <color indexed="10"/>
            <rFont val="Tahoma"/>
            <family val="2"/>
          </rPr>
          <t>IN(max)</t>
        </r>
      </text>
    </comment>
    <comment ref="F8" authorId="0" shapeId="0" xr:uid="{52FC8C5E-1EAD-44CD-ADC2-7790DC54AC85}">
      <text>
        <r>
          <rPr>
            <b/>
            <u/>
            <sz val="9"/>
            <color indexed="81"/>
            <rFont val="Tahoma"/>
            <family val="2"/>
          </rPr>
          <t>Nominal Input Voltage</t>
        </r>
        <r>
          <rPr>
            <b/>
            <sz val="9"/>
            <color indexed="81"/>
            <rFont val="Tahoma"/>
            <family val="2"/>
          </rPr>
          <t>:</t>
        </r>
        <r>
          <rPr>
            <sz val="9"/>
            <color indexed="81"/>
            <rFont val="Tahoma"/>
            <family val="2"/>
          </rPr>
          <t xml:space="preserve">
Enter the nominal operating input voltage.
The LM51770 input voltage operating range is 2.8V to 62V.
</t>
        </r>
        <r>
          <rPr>
            <b/>
            <sz val="9"/>
            <color indexed="81"/>
            <rFont val="Tahoma"/>
            <family val="2"/>
          </rPr>
          <t>The text in the cell is flagged red if:</t>
        </r>
        <r>
          <rPr>
            <sz val="9"/>
            <color indexed="81"/>
            <rFont val="Tahoma"/>
            <family val="2"/>
          </rPr>
          <t xml:space="preserve">
-The input voltage is below </t>
        </r>
        <r>
          <rPr>
            <b/>
            <sz val="9"/>
            <color indexed="10"/>
            <rFont val="Tahoma"/>
            <family val="2"/>
          </rPr>
          <t>V</t>
        </r>
        <r>
          <rPr>
            <b/>
            <vertAlign val="subscript"/>
            <sz val="9"/>
            <color indexed="10"/>
            <rFont val="Tahoma"/>
            <family val="2"/>
          </rPr>
          <t>IN(min)</t>
        </r>
        <r>
          <rPr>
            <sz val="9"/>
            <color indexed="81"/>
            <rFont val="Tahoma"/>
            <family val="2"/>
          </rPr>
          <t xml:space="preserve">
-The input voltage is above </t>
        </r>
        <r>
          <rPr>
            <b/>
            <sz val="9"/>
            <color indexed="10"/>
            <rFont val="Tahoma"/>
            <family val="2"/>
          </rPr>
          <t>V</t>
        </r>
        <r>
          <rPr>
            <b/>
            <vertAlign val="subscript"/>
            <sz val="9"/>
            <color indexed="10"/>
            <rFont val="Tahoma"/>
            <family val="2"/>
          </rPr>
          <t>IN(max)</t>
        </r>
      </text>
    </comment>
    <comment ref="F9"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The text in the cell is flagged red if:
</t>
        </r>
        <r>
          <rPr>
            <sz val="9"/>
            <color indexed="81"/>
            <rFont val="Tahoma"/>
            <family val="2"/>
          </rPr>
          <t>-The output voltage is below</t>
        </r>
        <r>
          <rPr>
            <b/>
            <sz val="9"/>
            <color indexed="10"/>
            <rFont val="Tahoma"/>
            <family val="2"/>
          </rPr>
          <t xml:space="preserve"> 3.3V 
</t>
        </r>
        <r>
          <rPr>
            <sz val="9"/>
            <color indexed="81"/>
            <rFont val="Tahoma"/>
            <family val="2"/>
          </rPr>
          <t>-The output voltage is above</t>
        </r>
        <r>
          <rPr>
            <b/>
            <sz val="9"/>
            <color indexed="10"/>
            <rFont val="Tahoma"/>
            <family val="2"/>
          </rPr>
          <t xml:space="preserve"> 78V</t>
        </r>
      </text>
    </comment>
    <comment ref="F11"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T</t>
        </r>
        <r>
          <rPr>
            <b/>
            <sz val="9"/>
            <color indexed="81"/>
            <rFont val="Tahoma"/>
            <family val="2"/>
          </rPr>
          <t>):</t>
        </r>
        <r>
          <rPr>
            <sz val="9"/>
            <color indexed="81"/>
            <rFont val="Tahoma"/>
            <family val="2"/>
          </rPr>
          <t xml:space="preserve">
This cell defines the free-running switching frequency set by the R</t>
        </r>
        <r>
          <rPr>
            <vertAlign val="subscript"/>
            <sz val="9"/>
            <color indexed="81"/>
            <rFont val="Tahoma"/>
            <family val="2"/>
          </rPr>
          <t>T</t>
        </r>
        <r>
          <rPr>
            <sz val="9"/>
            <color indexed="81"/>
            <rFont val="Tahoma"/>
            <family val="2"/>
          </rPr>
          <t xml:space="preserve"> resistor. 
</t>
        </r>
        <r>
          <rPr>
            <b/>
            <sz val="9"/>
            <color indexed="81"/>
            <rFont val="Tahoma"/>
            <family val="2"/>
          </rPr>
          <t xml:space="preserve">The text in the cell is flagged red if:
</t>
        </r>
        <r>
          <rPr>
            <sz val="9"/>
            <color indexed="81"/>
            <rFont val="Tahoma"/>
            <family val="2"/>
          </rPr>
          <t>-The frequency is below</t>
        </r>
        <r>
          <rPr>
            <b/>
            <sz val="9"/>
            <color indexed="10"/>
            <rFont val="Tahoma"/>
            <family val="2"/>
          </rPr>
          <t xml:space="preserve"> 100 kHz
</t>
        </r>
        <r>
          <rPr>
            <sz val="9"/>
            <color indexed="81"/>
            <rFont val="Tahoma"/>
            <family val="2"/>
          </rPr>
          <t>-The frequency is above</t>
        </r>
        <r>
          <rPr>
            <b/>
            <sz val="9"/>
            <color indexed="10"/>
            <rFont val="Tahoma"/>
            <family val="2"/>
          </rPr>
          <t xml:space="preserve"> 600 kHz</t>
        </r>
        <r>
          <rPr>
            <sz val="11"/>
            <color indexed="81"/>
            <rFont val="Tahoma"/>
            <family val="2"/>
          </rPr>
          <t xml:space="preserve">
</t>
        </r>
      </text>
    </comment>
    <comment ref="F15" authorId="0" shapeId="0" xr:uid="{E1B96BB5-97C4-4884-AED7-9B23B550BC5E}">
      <text>
        <r>
          <rPr>
            <b/>
            <u/>
            <sz val="9"/>
            <color indexed="81"/>
            <rFont val="Tahoma"/>
            <family val="2"/>
          </rPr>
          <t>Recommended Filter Inductance</t>
        </r>
        <r>
          <rPr>
            <b/>
            <sz val="9"/>
            <color indexed="81"/>
            <rFont val="Tahoma"/>
            <family val="2"/>
          </rPr>
          <t xml:space="preserve">:
</t>
        </r>
        <r>
          <rPr>
            <sz val="9"/>
            <color indexed="81"/>
            <rFont val="Tahoma"/>
            <family val="2"/>
          </rPr>
          <t>For boost mode, the inductor selection is based on limiting the peak-to-peak current ripple, ΔIL, to approximately 
20% of the maximum inductor current at the minimum input voltage. 
The recommended value is limited by the limits defined in the datasheet:
- Equation 12
- Equation 13
- Inductor current ripple, referenced to the peak current limit</t>
        </r>
      </text>
    </comment>
    <comment ref="F16" authorId="0" shapeId="0" xr:uid="{00000000-0006-0000-0000-000008000000}">
      <text>
        <r>
          <rPr>
            <b/>
            <u/>
            <sz val="9"/>
            <color indexed="81"/>
            <rFont val="Tahoma"/>
            <family val="2"/>
          </rPr>
          <t>Filter Inductance</t>
        </r>
        <r>
          <rPr>
            <b/>
            <sz val="9"/>
            <color indexed="81"/>
            <rFont val="Tahoma"/>
            <family val="2"/>
          </rPr>
          <t xml:space="preserve">:
</t>
        </r>
        <r>
          <rPr>
            <sz val="9"/>
            <color indexed="81"/>
            <rFont val="Tahoma"/>
            <family val="2"/>
          </rPr>
          <t xml:space="preserve">Enter the filter inductance here.
Target inductor (peak-to-peak) ripple currrent is 60% of the DC full load </t>
        </r>
        <r>
          <rPr>
            <u/>
            <sz val="9"/>
            <color indexed="81"/>
            <rFont val="Tahoma"/>
            <family val="2"/>
          </rPr>
          <t>output</t>
        </r>
        <r>
          <rPr>
            <sz val="9"/>
            <color indexed="81"/>
            <rFont val="Tahoma"/>
            <family val="2"/>
          </rPr>
          <t xml:space="preserve"> current in BUCK mode at highest input voltage.
Target inductor (peak-to-peak) ripple currrent is 30% of the DC full load </t>
        </r>
        <r>
          <rPr>
            <u/>
            <sz val="9"/>
            <color indexed="81"/>
            <rFont val="Tahoma"/>
            <family val="2"/>
          </rPr>
          <t>input</t>
        </r>
        <r>
          <rPr>
            <sz val="9"/>
            <color indexed="81"/>
            <rFont val="Tahoma"/>
            <family val="2"/>
          </rPr>
          <t xml:space="preserve"> current in BOOST mode at lowest input voltage.
The cell gets marked red if the value is outside the recommended range.</t>
        </r>
      </text>
    </comment>
    <comment ref="F17" authorId="0" shapeId="0" xr:uid="{00000000-0006-0000-0000-000009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24" authorId="0" shapeId="0" xr:uid="{94048F16-A956-44BA-8068-E8689C6BC4D4}">
      <text>
        <r>
          <rPr>
            <b/>
            <u/>
            <sz val="9"/>
            <color indexed="81"/>
            <rFont val="Tahoma"/>
            <family val="2"/>
          </rPr>
          <t>Current Sense Filter</t>
        </r>
        <r>
          <rPr>
            <b/>
            <sz val="9"/>
            <color indexed="81"/>
            <rFont val="Tahoma"/>
            <family val="2"/>
          </rPr>
          <t>:</t>
        </r>
        <r>
          <rPr>
            <sz val="9"/>
            <color indexed="81"/>
            <rFont val="Tahoma"/>
            <family val="2"/>
          </rPr>
          <t xml:space="preserve">
Use this filter on in the input of CSA/CSB.
The resistances of </t>
        </r>
        <r>
          <rPr>
            <b/>
            <sz val="9"/>
            <color indexed="81"/>
            <rFont val="Tahoma"/>
            <family val="2"/>
          </rPr>
          <t>R</t>
        </r>
        <r>
          <rPr>
            <b/>
            <vertAlign val="subscript"/>
            <sz val="9"/>
            <color indexed="81"/>
            <rFont val="Tahoma"/>
            <family val="2"/>
          </rPr>
          <t>CSA</t>
        </r>
        <r>
          <rPr>
            <sz val="9"/>
            <color indexed="81"/>
            <rFont val="Tahoma"/>
            <family val="2"/>
          </rPr>
          <t xml:space="preserve"> and </t>
        </r>
        <r>
          <rPr>
            <b/>
            <sz val="9"/>
            <color indexed="81"/>
            <rFont val="Tahoma"/>
            <family val="2"/>
          </rPr>
          <t>R</t>
        </r>
        <r>
          <rPr>
            <b/>
            <vertAlign val="subscript"/>
            <sz val="9"/>
            <color indexed="81"/>
            <rFont val="Tahoma"/>
            <family val="2"/>
          </rPr>
          <t>CSB</t>
        </r>
        <r>
          <rPr>
            <sz val="9"/>
            <color indexed="81"/>
            <rFont val="Tahoma"/>
            <family val="2"/>
          </rPr>
          <t xml:space="preserve"> are equal for balanced common-mode filtering to the CSA and CSB pins.</t>
        </r>
      </text>
    </comment>
    <comment ref="F28" authorId="1" shapeId="0" xr:uid="{1C165F7D-05DB-43DC-8E55-F35EFEC0137D}">
      <text>
        <r>
          <rPr>
            <b/>
            <sz val="9"/>
            <color indexed="81"/>
            <rFont val="Tahoma"/>
            <family val="2"/>
          </rPr>
          <t>Peak Current Limit Margin</t>
        </r>
        <r>
          <rPr>
            <sz val="9"/>
            <color indexed="81"/>
            <rFont val="Tahoma"/>
            <family val="2"/>
          </rPr>
          <t xml:space="preserve">
Margin above the calculated peak inductor current. Margin must be given to allow for load transients and component tolerances.
Value should be higher then 15% to avoid false triggers.
</t>
        </r>
      </text>
    </comment>
    <comment ref="F29" authorId="0" shapeId="0" xr:uid="{00000000-0006-0000-0000-00000B000000}">
      <text>
        <r>
          <rPr>
            <b/>
            <u/>
            <sz val="9"/>
            <color indexed="81"/>
            <rFont val="Tahoma"/>
            <family val="2"/>
          </rPr>
          <t>Sense Resistance</t>
        </r>
        <r>
          <rPr>
            <b/>
            <sz val="9"/>
            <color indexed="81"/>
            <rFont val="Tahoma"/>
            <family val="2"/>
          </rPr>
          <t>:</t>
        </r>
        <r>
          <rPr>
            <sz val="9"/>
            <color indexed="81"/>
            <rFont val="Tahoma"/>
            <family val="2"/>
          </rPr>
          <t xml:space="preserve">
Use this resistor to sense current and set the cycle-by-cycle overcurrent protection. As such, the calculation takes the required current limit setpoint and the inductor ripple current amplitude to calculate </t>
        </r>
        <r>
          <rPr>
            <b/>
            <sz val="9"/>
            <color indexed="81"/>
            <rFont val="Tahoma"/>
            <family val="2"/>
          </rPr>
          <t>R</t>
        </r>
        <r>
          <rPr>
            <b/>
            <vertAlign val="subscript"/>
            <sz val="9"/>
            <color indexed="81"/>
            <rFont val="Tahoma"/>
            <family val="2"/>
          </rPr>
          <t>S</t>
        </r>
        <r>
          <rPr>
            <sz val="9"/>
            <color indexed="81"/>
            <rFont val="Tahoma"/>
            <family val="2"/>
          </rPr>
          <t xml:space="preserve">.
The threshold in BUCK and BOOST modes is 50mV. The variance of the the peak current limit threshold needs toi be considered within the Peak Current Limit Margin. 
The resistances of </t>
        </r>
        <r>
          <rPr>
            <b/>
            <sz val="9"/>
            <color indexed="81"/>
            <rFont val="Tahoma"/>
            <family val="2"/>
          </rPr>
          <t>R</t>
        </r>
        <r>
          <rPr>
            <b/>
            <vertAlign val="subscript"/>
            <sz val="9"/>
            <color indexed="81"/>
            <rFont val="Tahoma"/>
            <family val="2"/>
          </rPr>
          <t>CSA</t>
        </r>
        <r>
          <rPr>
            <sz val="9"/>
            <color indexed="81"/>
            <rFont val="Tahoma"/>
            <family val="2"/>
          </rPr>
          <t xml:space="preserve"> and </t>
        </r>
        <r>
          <rPr>
            <b/>
            <sz val="9"/>
            <color indexed="81"/>
            <rFont val="Tahoma"/>
            <family val="2"/>
          </rPr>
          <t>R</t>
        </r>
        <r>
          <rPr>
            <b/>
            <vertAlign val="subscript"/>
            <sz val="9"/>
            <color indexed="81"/>
            <rFont val="Tahoma"/>
            <family val="2"/>
          </rPr>
          <t>CSB</t>
        </r>
        <r>
          <rPr>
            <sz val="9"/>
            <color indexed="81"/>
            <rFont val="Tahoma"/>
            <family val="2"/>
          </rPr>
          <t xml:space="preserve"> are equal for balanced common-mode filtering to the CSA and CSB pins.</t>
        </r>
      </text>
    </comment>
    <comment ref="F30" authorId="0" shapeId="0" xr:uid="{2D3B8D53-1145-4292-9E4A-436E0CE75E5F}">
      <text>
        <r>
          <rPr>
            <b/>
            <u/>
            <sz val="9"/>
            <color indexed="81"/>
            <rFont val="Tahoma"/>
            <family val="2"/>
          </rPr>
          <t>Selected Sense Resistance</t>
        </r>
        <r>
          <rPr>
            <b/>
            <sz val="9"/>
            <color indexed="81"/>
            <rFont val="Tahoma"/>
            <family val="2"/>
          </rPr>
          <t>:</t>
        </r>
        <r>
          <rPr>
            <sz val="9"/>
            <color indexed="81"/>
            <rFont val="Tahoma"/>
            <family val="2"/>
          </rPr>
          <t xml:space="preserve">
This resistor to sense current and set the cycle-by-cycle overcurrent protection. 
The cell gets marked orange if the value is greater then the recommended.</t>
        </r>
      </text>
    </comment>
    <comment ref="F31" authorId="0" shapeId="0" xr:uid="{00000000-0006-0000-0000-00000C000000}">
      <text>
        <r>
          <rPr>
            <b/>
            <u/>
            <sz val="9"/>
            <color indexed="81"/>
            <rFont val="Tahoma"/>
            <family val="2"/>
          </rPr>
          <t>Peak Inductor Current Limit</t>
        </r>
        <r>
          <rPr>
            <b/>
            <sz val="9"/>
            <color indexed="81"/>
            <rFont val="Tahoma"/>
            <family val="2"/>
          </rPr>
          <t>:</t>
        </r>
        <r>
          <rPr>
            <sz val="9"/>
            <color indexed="81"/>
            <rFont val="Tahoma"/>
            <family val="2"/>
          </rPr>
          <t xml:space="preserve">
Maximum current in the inductor usually occurs at V</t>
        </r>
        <r>
          <rPr>
            <vertAlign val="subscript"/>
            <sz val="9"/>
            <color indexed="81"/>
            <rFont val="Tahoma"/>
            <family val="2"/>
          </rPr>
          <t>IN(min)</t>
        </r>
        <r>
          <rPr>
            <sz val="9"/>
            <color indexed="81"/>
            <rFont val="Tahoma"/>
            <family val="2"/>
          </rPr>
          <t xml:space="preserve"> or V</t>
        </r>
        <r>
          <rPr>
            <vertAlign val="subscript"/>
            <sz val="9"/>
            <color indexed="81"/>
            <rFont val="Tahoma"/>
            <family val="2"/>
          </rPr>
          <t>IN(max)</t>
        </r>
        <r>
          <rPr>
            <sz val="9"/>
            <color indexed="81"/>
            <rFont val="Tahoma"/>
            <family val="2"/>
          </rPr>
          <t>. The result corresponds to current limit and is intended as a guide to inductor selection as it relates to saturation current.
The upper limit of the peak current limit is used for calculation but tolerance of the R</t>
        </r>
        <r>
          <rPr>
            <vertAlign val="subscript"/>
            <sz val="9"/>
            <color indexed="81"/>
            <rFont val="Tahoma"/>
            <family val="2"/>
          </rPr>
          <t>S</t>
        </r>
        <r>
          <rPr>
            <sz val="9"/>
            <color indexed="81"/>
            <rFont val="Tahoma"/>
            <family val="2"/>
          </rPr>
          <t xml:space="preserve"> and margin needs to be added.
The cell gets marked red if the Peak Inductor Current plus given Peak Current Limit Margin is above this Peak Inductor Current Limit
(upper limit of over current limit is used).
</t>
        </r>
      </text>
    </comment>
    <comment ref="F32" authorId="0" shapeId="0" xr:uid="{FC49A8B3-BD2F-4EB9-9CD0-67B5049BD7B5}">
      <text>
        <r>
          <rPr>
            <b/>
            <u/>
            <sz val="9"/>
            <color indexed="81"/>
            <rFont val="Tahoma"/>
            <family val="2"/>
          </rPr>
          <t>Max Peak Inductor Current</t>
        </r>
        <r>
          <rPr>
            <b/>
            <sz val="9"/>
            <color indexed="81"/>
            <rFont val="Tahoma"/>
            <family val="2"/>
          </rPr>
          <t>:</t>
        </r>
        <r>
          <rPr>
            <sz val="9"/>
            <color indexed="81"/>
            <rFont val="Tahoma"/>
            <family val="2"/>
          </rPr>
          <t xml:space="preserve">
Maximum current in the inductor usually occurs at V</t>
        </r>
        <r>
          <rPr>
            <vertAlign val="subscript"/>
            <sz val="9"/>
            <color indexed="81"/>
            <rFont val="Tahoma"/>
            <family val="2"/>
          </rPr>
          <t>IN(min)</t>
        </r>
        <r>
          <rPr>
            <sz val="9"/>
            <color indexed="81"/>
            <rFont val="Tahoma"/>
            <family val="2"/>
          </rPr>
          <t xml:space="preserve"> or V</t>
        </r>
        <r>
          <rPr>
            <vertAlign val="subscript"/>
            <sz val="9"/>
            <color indexed="81"/>
            <rFont val="Tahoma"/>
            <family val="2"/>
          </rPr>
          <t>IN(max)</t>
        </r>
        <r>
          <rPr>
            <sz val="9"/>
            <color indexed="81"/>
            <rFont val="Tahoma"/>
            <family val="2"/>
          </rPr>
          <t xml:space="preserve">. 
The cell gets marked red if the Peak Inductor Current plus given Peak Current Limit Margin is above this Peak Inductor Current Limit
(lower limit of over current limit is used).
</t>
        </r>
      </text>
    </comment>
    <comment ref="F33" authorId="0" shapeId="0" xr:uid="{00000000-0006-0000-0000-00000D000000}">
      <text>
        <r>
          <rPr>
            <b/>
            <u/>
            <sz val="9"/>
            <color indexed="81"/>
            <rFont val="Tahoma"/>
            <family val="2"/>
          </rPr>
          <t>Max Shunt Dissipation</t>
        </r>
        <r>
          <rPr>
            <b/>
            <sz val="9"/>
            <color indexed="81"/>
            <rFont val="Tahoma"/>
            <family val="2"/>
          </rPr>
          <t>:</t>
        </r>
        <r>
          <rPr>
            <sz val="9"/>
            <color indexed="81"/>
            <rFont val="Tahoma"/>
            <family val="2"/>
          </rPr>
          <t xml:space="preserve">
Maximum power loss in the shunt resistor occurs at V</t>
        </r>
        <r>
          <rPr>
            <vertAlign val="subscript"/>
            <sz val="9"/>
            <color indexed="81"/>
            <rFont val="Tahoma"/>
            <family val="2"/>
          </rPr>
          <t>IN(min)</t>
        </r>
        <r>
          <rPr>
            <sz val="9"/>
            <color indexed="81"/>
            <rFont val="Tahoma"/>
            <family val="2"/>
          </rPr>
          <t xml:space="preserve"> or V</t>
        </r>
        <r>
          <rPr>
            <vertAlign val="subscript"/>
            <sz val="9"/>
            <color indexed="81"/>
            <rFont val="Tahoma"/>
            <family val="2"/>
          </rPr>
          <t>IN(max)</t>
        </r>
        <r>
          <rPr>
            <sz val="9"/>
            <color indexed="81"/>
            <rFont val="Tahoma"/>
            <family val="2"/>
          </rPr>
          <t>. The result is provided at full load current.
Of course, the dissipation is higher in an overcurrent condition, and the shunt should be rated for this condition.</t>
        </r>
      </text>
    </comment>
    <comment ref="F34" authorId="0" shapeId="0" xr:uid="{B8E12A1B-3B6C-461D-AFCE-6AD5EB4DCAA8}">
      <text>
        <r>
          <rPr>
            <b/>
            <u/>
            <sz val="9"/>
            <color indexed="81"/>
            <rFont val="Tahoma"/>
            <family val="2"/>
          </rPr>
          <t>Slope Compensation Resistance</t>
        </r>
        <r>
          <rPr>
            <b/>
            <sz val="9"/>
            <color indexed="81"/>
            <rFont val="Tahoma"/>
            <family val="2"/>
          </rPr>
          <t>:</t>
        </r>
        <r>
          <rPr>
            <sz val="9"/>
            <color indexed="81"/>
            <rFont val="Tahoma"/>
            <family val="2"/>
          </rPr>
          <t xml:space="preserve">
According to peak current mode control theory, slope compensation is required at a operation with duty cycle greater than 50%.
It gets marked red if R</t>
        </r>
        <r>
          <rPr>
            <vertAlign val="subscript"/>
            <sz val="9"/>
            <color indexed="81"/>
            <rFont val="Tahoma"/>
            <family val="2"/>
          </rPr>
          <t>s</t>
        </r>
        <r>
          <rPr>
            <sz val="9"/>
            <color indexed="81"/>
            <rFont val="Tahoma"/>
            <family val="2"/>
          </rPr>
          <t>/L</t>
        </r>
        <r>
          <rPr>
            <vertAlign val="subscript"/>
            <sz val="9"/>
            <color indexed="81"/>
            <rFont val="Tahoma"/>
            <family val="2"/>
          </rPr>
          <t>f</t>
        </r>
        <r>
          <rPr>
            <sz val="9"/>
            <color indexed="81"/>
            <rFont val="Tahoma"/>
            <family val="2"/>
          </rPr>
          <t xml:space="preserve"> is not within the recommended range, see Datasheet
</t>
        </r>
      </text>
    </comment>
    <comment ref="F41" authorId="0" shapeId="0" xr:uid="{00000000-0006-0000-0000-000010000000}">
      <text>
        <r>
          <rPr>
            <b/>
            <u/>
            <sz val="9"/>
            <color indexed="81"/>
            <rFont val="Tahoma"/>
            <family val="2"/>
          </rPr>
          <t>Output Voltage Ripple</t>
        </r>
        <r>
          <rPr>
            <b/>
            <sz val="9"/>
            <color indexed="81"/>
            <rFont val="Tahoma"/>
            <family val="2"/>
          </rPr>
          <t xml:space="preserve">:
</t>
        </r>
        <r>
          <rPr>
            <sz val="9"/>
            <color indexed="81"/>
            <rFont val="Tahoma"/>
            <family val="2"/>
          </rPr>
          <t xml:space="preserve">Enter the desired maximum peak-to-peak output voltage ripple here. This will set the ideal output capacitance value.
</t>
        </r>
        <r>
          <rPr>
            <sz val="9"/>
            <color indexed="39"/>
            <rFont val="Tahoma"/>
            <family val="2"/>
          </rPr>
          <t xml:space="preserve">
Max output ripple will likely occur at VIN(min) in BOOST mode or perhaps at VIN(max) in BUCK mode.</t>
        </r>
        <r>
          <rPr>
            <b/>
            <sz val="9"/>
            <color indexed="81"/>
            <rFont val="Tahoma"/>
            <family val="2"/>
          </rPr>
          <t xml:space="preserve">
The text in the cell is flagged red if:
</t>
        </r>
        <r>
          <rPr>
            <b/>
            <sz val="9"/>
            <color indexed="10"/>
            <rFont val="Tahoma"/>
            <family val="2"/>
          </rPr>
          <t>-The output voltage ripple is zero.</t>
        </r>
      </text>
    </comment>
    <comment ref="F43" authorId="0" shapeId="0" xr:uid="{00000000-0006-0000-0000-000011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derated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the cell is flagged red if:</t>
        </r>
        <r>
          <rPr>
            <sz val="9"/>
            <color indexed="81"/>
            <rFont val="Tahoma"/>
            <family val="2"/>
          </rPr>
          <t xml:space="preserve">
</t>
        </r>
        <r>
          <rPr>
            <b/>
            <sz val="9"/>
            <color indexed="10"/>
            <rFont val="Tahoma"/>
            <family val="2"/>
          </rPr>
          <t>-The chosen output capacitor is smaller than the minimum ideal capacitance.</t>
        </r>
      </text>
    </comment>
    <comment ref="F45" authorId="0" shapeId="0" xr:uid="{00000000-0006-0000-0000-000012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F50" authorId="0" shapeId="0" xr:uid="{00000000-0006-0000-0000-000013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thiecell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F52" authorId="0" shapeId="0" xr:uid="{00000000-0006-0000-0000-000014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the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F54" authorId="0" shapeId="0" xr:uid="{00000000-0006-0000-0000-000015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F59" authorId="0" shapeId="0" xr:uid="{00000000-0006-0000-0000-000016000000}">
      <text>
        <r>
          <rPr>
            <b/>
            <u/>
            <sz val="8"/>
            <color indexed="81"/>
            <rFont val="Tahoma"/>
            <family val="2"/>
          </rPr>
          <t>Soft-Start Time</t>
        </r>
        <r>
          <rPr>
            <b/>
            <sz val="8"/>
            <color indexed="81"/>
            <rFont val="Tahoma"/>
            <family val="2"/>
          </rPr>
          <t xml:space="preserve">:
</t>
        </r>
        <r>
          <rPr>
            <sz val="8"/>
            <color indexed="81"/>
            <rFont val="Tahoma"/>
            <family val="2"/>
          </rPr>
          <t>Minimum soft-start time to not trigger overcurrent set with I</t>
        </r>
        <r>
          <rPr>
            <vertAlign val="subscript"/>
            <sz val="8"/>
            <color indexed="81"/>
            <rFont val="Tahoma"/>
            <family val="2"/>
          </rPr>
          <t>SCP</t>
        </r>
        <r>
          <rPr>
            <sz val="8"/>
            <color indexed="81"/>
            <rFont val="Tahoma"/>
            <family val="2"/>
          </rPr>
          <t>. It does consider load current during startup phase.</t>
        </r>
      </text>
    </comment>
    <comment ref="F60" authorId="0" shapeId="0" xr:uid="{49FF2FC0-2D92-4262-A525-252EE6320BD5}">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The soft-start time cannot be shorter than the internal 1.28 ms soft-start timer.
</t>
        </r>
        <r>
          <rPr>
            <b/>
            <sz val="8"/>
            <color indexed="81"/>
            <rFont val="Tahoma"/>
            <family val="2"/>
          </rPr>
          <t xml:space="preserve">
The text in this cell is flagged red if:</t>
        </r>
        <r>
          <rPr>
            <sz val="8"/>
            <color indexed="81"/>
            <rFont val="Tahoma"/>
            <family val="2"/>
          </rPr>
          <t xml:space="preserve">
</t>
        </r>
        <r>
          <rPr>
            <b/>
            <sz val="8"/>
            <color indexed="10"/>
            <rFont val="Tahoma"/>
            <family val="2"/>
          </rPr>
          <t>-The specified soft-start time is less than 1.28 ms.</t>
        </r>
      </text>
    </comment>
    <comment ref="F63" authorId="0" shapeId="0" xr:uid="{00000000-0006-0000-0000-000017000000}">
      <text>
        <r>
          <rPr>
            <b/>
            <u/>
            <sz val="9"/>
            <color indexed="81"/>
            <rFont val="Tahoma"/>
            <family val="2"/>
          </rPr>
          <t>R2D Configuration</t>
        </r>
        <r>
          <rPr>
            <b/>
            <sz val="9"/>
            <color indexed="81"/>
            <rFont val="Tahoma"/>
            <family val="2"/>
          </rPr>
          <t>:</t>
        </r>
        <r>
          <rPr>
            <sz val="9"/>
            <color indexed="81"/>
            <rFont val="Tahoma"/>
            <family val="2"/>
          </rPr>
          <t xml:space="preserve">
Enter the desired settings for DRSS, HICCUP, USLEEP and IMON_LIMIT to get the resistor value R</t>
        </r>
        <r>
          <rPr>
            <vertAlign val="subscript"/>
            <sz val="9"/>
            <color indexed="81"/>
            <rFont val="Tahoma"/>
            <family val="2"/>
          </rPr>
          <t>CFG</t>
        </r>
        <r>
          <rPr>
            <sz val="9"/>
            <color indexed="81"/>
            <rFont val="Tahoma"/>
            <family val="2"/>
          </rPr>
          <t xml:space="preserve"> to be attached to the CFG pin.</t>
        </r>
      </text>
    </comment>
    <comment ref="F64" authorId="0" shapeId="0" xr:uid="{C5E37839-687B-4516-B653-DF225D6112CB}">
      <text>
        <r>
          <rPr>
            <b/>
            <u/>
            <sz val="9"/>
            <color indexed="81"/>
            <rFont val="Tahoma"/>
            <family val="2"/>
          </rPr>
          <t xml:space="preserve">R2D Configuration:
</t>
        </r>
        <r>
          <rPr>
            <sz val="9"/>
            <color indexed="81"/>
            <rFont val="Tahoma"/>
            <family val="2"/>
          </rPr>
          <t>The resistor value R</t>
        </r>
        <r>
          <rPr>
            <vertAlign val="subscript"/>
            <sz val="9"/>
            <color indexed="81"/>
            <rFont val="Tahoma"/>
            <family val="2"/>
          </rPr>
          <t>CFG</t>
        </r>
        <r>
          <rPr>
            <sz val="9"/>
            <color indexed="81"/>
            <rFont val="Tahoma"/>
            <family val="2"/>
          </rPr>
          <t xml:space="preserve"> to be attached to the CFG pin.</t>
        </r>
      </text>
    </comment>
    <comment ref="F65" authorId="0" shapeId="0" xr:uid="{00000000-0006-0000-0000-000018000000}">
      <text>
        <r>
          <rPr>
            <b/>
            <u/>
            <sz val="9"/>
            <color indexed="81"/>
            <rFont val="Tahoma"/>
            <family val="2"/>
          </rPr>
          <t>Nominal UVLO Turn-On Input Voltage</t>
        </r>
        <r>
          <rPr>
            <b/>
            <sz val="9"/>
            <color indexed="81"/>
            <rFont val="Tahoma"/>
            <family val="2"/>
          </rPr>
          <t xml:space="preserve">:
</t>
        </r>
        <r>
          <rPr>
            <sz val="9"/>
            <color indexed="81"/>
            <rFont val="Tahoma"/>
            <family val="2"/>
          </rPr>
          <t xml:space="preserve">Enter the nominal input voltage at turn on.
The LM51770 input operating voltage range is 2.8V to 78V.
</t>
        </r>
        <r>
          <rPr>
            <b/>
            <sz val="9"/>
            <color indexed="81"/>
            <rFont val="Tahoma"/>
            <family val="2"/>
          </rPr>
          <t>The text in the cell is flagged red if:</t>
        </r>
        <r>
          <rPr>
            <sz val="9"/>
            <color indexed="81"/>
            <rFont val="Tahoma"/>
            <family val="2"/>
          </rPr>
          <t xml:space="preserve">
-The input voltage is below </t>
        </r>
        <r>
          <rPr>
            <b/>
            <sz val="9"/>
            <color indexed="10"/>
            <rFont val="Tahoma"/>
            <family val="2"/>
          </rPr>
          <t>2.8V</t>
        </r>
        <r>
          <rPr>
            <sz val="9"/>
            <color indexed="81"/>
            <rFont val="Tahoma"/>
            <family val="2"/>
          </rPr>
          <t xml:space="preserve">
-The input voltage is above </t>
        </r>
        <r>
          <rPr>
            <b/>
            <sz val="9"/>
            <color indexed="10"/>
            <rFont val="Tahoma"/>
            <family val="2"/>
          </rPr>
          <t>78V</t>
        </r>
      </text>
    </comment>
    <comment ref="F67" authorId="0" shapeId="0" xr:uid="{00000000-0006-0000-0000-000019000000}">
      <text>
        <r>
          <rPr>
            <b/>
            <u/>
            <sz val="9"/>
            <color indexed="81"/>
            <rFont val="Tahoma"/>
            <family val="2"/>
          </rPr>
          <t>Nominal UVLO Upper Resistor</t>
        </r>
        <r>
          <rPr>
            <b/>
            <sz val="9"/>
            <color indexed="81"/>
            <rFont val="Tahoma"/>
            <family val="2"/>
          </rPr>
          <t>:</t>
        </r>
        <r>
          <rPr>
            <sz val="9"/>
            <color indexed="81"/>
            <rFont val="Tahoma"/>
            <family val="2"/>
          </rPr>
          <t xml:space="preserve">
This is the upper UVLO resistor that sets the input voltage turn on.
If the hysteresis is selected to low N/A is shown.</t>
        </r>
      </text>
    </comment>
    <comment ref="F70" authorId="0" shapeId="0" xr:uid="{00000000-0006-0000-0000-00000E000000}">
      <text>
        <r>
          <rPr>
            <b/>
            <u/>
            <sz val="9"/>
            <color indexed="81"/>
            <rFont val="Tahoma"/>
            <family val="2"/>
          </rPr>
          <t>Constant Current Loop</t>
        </r>
        <r>
          <rPr>
            <b/>
            <sz val="9"/>
            <color indexed="81"/>
            <rFont val="Tahoma"/>
            <family val="2"/>
          </rPr>
          <t>:</t>
        </r>
        <r>
          <rPr>
            <sz val="9"/>
            <color indexed="81"/>
            <rFont val="Tahoma"/>
            <family val="2"/>
          </rPr>
          <t xml:space="preserve">
Enter "N/A" if not required.
Enter current in "A" if this optional feature is being used.
</t>
        </r>
      </text>
    </comment>
    <comment ref="F72" authorId="0" shapeId="0" xr:uid="{00000000-0006-0000-0000-00000F000000}">
      <text>
        <r>
          <rPr>
            <b/>
            <u/>
            <sz val="9"/>
            <color indexed="81"/>
            <rFont val="Tahoma"/>
            <family val="2"/>
          </rPr>
          <t>Output Shunt Resistance</t>
        </r>
        <r>
          <rPr>
            <b/>
            <sz val="9"/>
            <color indexed="81"/>
            <rFont val="Tahoma"/>
            <family val="2"/>
          </rPr>
          <t>:
R</t>
        </r>
        <r>
          <rPr>
            <b/>
            <vertAlign val="subscript"/>
            <sz val="9"/>
            <color indexed="81"/>
            <rFont val="Tahoma"/>
            <family val="2"/>
          </rPr>
          <t>SHUNT</t>
        </r>
        <r>
          <rPr>
            <sz val="9"/>
            <color indexed="81"/>
            <rFont val="Tahoma"/>
            <family val="2"/>
          </rPr>
          <t xml:space="preserve"> is calculated based on the desired constant current loop setpoint.
Specifically, the LM51770 design tool sets the constant current loop based on the transconductance amplifier with g</t>
        </r>
        <r>
          <rPr>
            <vertAlign val="subscript"/>
            <sz val="9"/>
            <color indexed="81"/>
            <rFont val="Tahoma"/>
            <family val="2"/>
          </rPr>
          <t>m</t>
        </r>
        <r>
          <rPr>
            <sz val="9"/>
            <color indexed="81"/>
            <rFont val="Tahoma"/>
            <family val="2"/>
          </rPr>
          <t xml:space="preserve"> = 1mA/V and current limit threshold of 50mV.</t>
        </r>
      </text>
    </comment>
    <comment ref="F73" authorId="0" shapeId="0" xr:uid="{84FDDA55-2499-46F2-9801-529A1F7D5E0B}">
      <text>
        <r>
          <rPr>
            <b/>
            <u/>
            <sz val="9"/>
            <color indexed="81"/>
            <rFont val="Tahoma"/>
            <family val="2"/>
          </rPr>
          <t>Current Monitor Resistance</t>
        </r>
        <r>
          <rPr>
            <b/>
            <sz val="9"/>
            <color indexed="81"/>
            <rFont val="Tahoma"/>
            <family val="2"/>
          </rPr>
          <t>:
R</t>
        </r>
        <r>
          <rPr>
            <b/>
            <vertAlign val="subscript"/>
            <sz val="9"/>
            <color indexed="81"/>
            <rFont val="Tahoma"/>
            <family val="2"/>
          </rPr>
          <t>IMON</t>
        </r>
        <r>
          <rPr>
            <sz val="9"/>
            <color indexed="81"/>
            <rFont val="Tahoma"/>
            <family val="2"/>
          </rPr>
          <t xml:space="preserve"> is calculated based on the desired average current monitor voltage level.
This is set based on the provided inputs for the maximum average current and the desired output voltage which should be representing this current.</t>
        </r>
      </text>
    </comment>
    <comment ref="F83" authorId="0" shapeId="0" xr:uid="{00000000-0006-0000-0000-00001A000000}">
      <text>
        <r>
          <rPr>
            <b/>
            <u/>
            <sz val="9"/>
            <color indexed="81"/>
            <rFont val="Tahoma"/>
            <family val="2"/>
          </rPr>
          <t>Crossover Frequency</t>
        </r>
        <r>
          <rPr>
            <b/>
            <sz val="9"/>
            <color indexed="81"/>
            <rFont val="Tahoma"/>
            <family val="2"/>
          </rPr>
          <t>:</t>
        </r>
        <r>
          <rPr>
            <sz val="9"/>
            <color indexed="81"/>
            <rFont val="Tahoma"/>
            <family val="2"/>
          </rPr>
          <t xml:space="preserve">
Enter the desired crossover frequency (the lower value of 5% to 20% of switching frequency and fRHPZ/4). This feedback compensation components are determined based on this target performance metric.
</t>
        </r>
        <r>
          <rPr>
            <b/>
            <sz val="9"/>
            <color indexed="39"/>
            <rFont val="Tahoma"/>
            <family val="2"/>
          </rPr>
          <t>Note:</t>
        </r>
        <r>
          <rPr>
            <sz val="9"/>
            <color indexed="81"/>
            <rFont val="Tahoma"/>
            <family val="2"/>
          </rPr>
          <t xml:space="preserve">
</t>
        </r>
        <r>
          <rPr>
            <b/>
            <sz val="9"/>
            <color indexed="81"/>
            <rFont val="Tahoma"/>
            <family val="2"/>
          </rPr>
          <t>Compensaton components are calculated based on the nominal input voltage entered in Step 1.</t>
        </r>
        <r>
          <rPr>
            <sz val="9"/>
            <color indexed="81"/>
            <rFont val="Tahoma"/>
            <family val="2"/>
          </rPr>
          <t xml:space="preserve">
</t>
        </r>
        <r>
          <rPr>
            <b/>
            <sz val="9"/>
            <color indexed="10"/>
            <rFont val="Tahoma"/>
            <family val="2"/>
          </rPr>
          <t xml:space="preserve">
** After fixing the compensation components, sweep VIN(nom) across the input range to ensure adequate stability performance, especially at low VIN **</t>
        </r>
      </text>
    </comment>
    <comment ref="F85" authorId="0" shapeId="0" xr:uid="{00000000-0006-0000-0000-00001B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FBT</t>
        </r>
        <r>
          <rPr>
            <sz val="9"/>
            <color indexed="81"/>
            <rFont val="Tahoma"/>
            <family val="2"/>
          </rPr>
          <t xml:space="preserve"> is 100kΩ.</t>
        </r>
      </text>
    </comment>
    <comment ref="F90" authorId="0" shapeId="0" xr:uid="{00000000-0006-0000-0000-00001C000000}">
      <text>
        <r>
          <rPr>
            <b/>
            <u/>
            <sz val="9"/>
            <color indexed="81"/>
            <rFont val="Tahoma"/>
            <family val="2"/>
          </rPr>
          <t>Selected Compensation Components</t>
        </r>
        <r>
          <rPr>
            <b/>
            <sz val="9"/>
            <color indexed="81"/>
            <rFont val="Tahoma"/>
            <family val="2"/>
          </rPr>
          <t>:</t>
        </r>
        <r>
          <rPr>
            <sz val="9"/>
            <color indexed="81"/>
            <rFont val="Tahoma"/>
            <family val="2"/>
          </rPr>
          <t xml:space="preserve">
</t>
        </r>
        <r>
          <rPr>
            <b/>
            <sz val="9"/>
            <color indexed="14"/>
            <rFont val="Tahoma"/>
            <family val="2"/>
          </rPr>
          <t>Note:</t>
        </r>
        <r>
          <rPr>
            <sz val="9"/>
            <color indexed="81"/>
            <rFont val="Tahoma"/>
            <family val="2"/>
          </rPr>
          <t xml:space="preserve">
</t>
        </r>
        <r>
          <rPr>
            <b/>
            <sz val="9"/>
            <color indexed="81"/>
            <rFont val="Tahoma"/>
            <family val="2"/>
          </rPr>
          <t>Compensation components are calculated based on the nominal input voltage from Step 1 and the desired crossover frequency from Step 7.</t>
        </r>
        <r>
          <rPr>
            <sz val="9"/>
            <color indexed="81"/>
            <rFont val="Tahoma"/>
            <family val="2"/>
          </rPr>
          <t xml:space="preserve">
</t>
        </r>
        <r>
          <rPr>
            <b/>
            <sz val="9"/>
            <color indexed="14"/>
            <rFont val="Tahoma"/>
            <family val="2"/>
          </rPr>
          <t>Important:</t>
        </r>
        <r>
          <rPr>
            <sz val="9"/>
            <color indexed="81"/>
            <rFont val="Tahoma"/>
            <family val="2"/>
          </rPr>
          <t xml:space="preserve">
</t>
        </r>
        <r>
          <rPr>
            <b/>
            <sz val="9"/>
            <color indexed="39"/>
            <rFont val="Tahoma"/>
            <family val="2"/>
          </rPr>
          <t>1. Fix the compensation values by clicking the FIX VALUES button.</t>
        </r>
        <r>
          <rPr>
            <b/>
            <sz val="9"/>
            <color indexed="10"/>
            <rFont val="Tahoma"/>
            <family val="2"/>
          </rPr>
          <t xml:space="preserve">
</t>
        </r>
        <r>
          <rPr>
            <b/>
            <sz val="9"/>
            <color indexed="39"/>
            <rFont val="Tahoma"/>
            <family val="2"/>
          </rPr>
          <t>2. Sweep VIN(nom) across the required input range to ensure adequate stability performance, especially at low VIN.</t>
        </r>
      </text>
    </comment>
    <comment ref="N90" authorId="0" shapeId="0" xr:uid="{4C77943F-21CC-4CF9-8A20-0DC7C16F0386}">
      <text>
        <r>
          <rPr>
            <b/>
            <u/>
            <sz val="9"/>
            <color indexed="81"/>
            <rFont val="Tahoma"/>
            <family val="2"/>
          </rPr>
          <t>Selected Compensation Components</t>
        </r>
        <r>
          <rPr>
            <b/>
            <sz val="9"/>
            <color indexed="81"/>
            <rFont val="Tahoma"/>
            <family val="2"/>
          </rPr>
          <t>:</t>
        </r>
        <r>
          <rPr>
            <sz val="9"/>
            <color indexed="81"/>
            <rFont val="Tahoma"/>
            <family val="2"/>
          </rPr>
          <t xml:space="preserve">
</t>
        </r>
        <r>
          <rPr>
            <b/>
            <sz val="9"/>
            <color indexed="14"/>
            <rFont val="Tahoma"/>
            <family val="2"/>
          </rPr>
          <t>Note:</t>
        </r>
        <r>
          <rPr>
            <sz val="9"/>
            <color indexed="81"/>
            <rFont val="Tahoma"/>
            <family val="2"/>
          </rPr>
          <t xml:space="preserve">
</t>
        </r>
        <r>
          <rPr>
            <b/>
            <sz val="9"/>
            <color indexed="81"/>
            <rFont val="Tahoma"/>
            <family val="2"/>
          </rPr>
          <t>Compensation components are calculated based on the nominal input voltage from Step 1 and Compensation of the voltage loop.</t>
        </r>
        <r>
          <rPr>
            <sz val="9"/>
            <color indexed="81"/>
            <rFont val="Tahoma"/>
            <family val="2"/>
          </rPr>
          <t xml:space="preserve">
</t>
        </r>
        <r>
          <rPr>
            <b/>
            <sz val="9"/>
            <color indexed="14"/>
            <rFont val="Tahoma"/>
            <family val="2"/>
          </rPr>
          <t>Important:</t>
        </r>
        <r>
          <rPr>
            <sz val="9"/>
            <color indexed="81"/>
            <rFont val="Tahoma"/>
            <family val="2"/>
          </rPr>
          <t xml:space="preserve">
</t>
        </r>
        <r>
          <rPr>
            <b/>
            <sz val="9"/>
            <color indexed="39"/>
            <rFont val="Tahoma"/>
            <family val="2"/>
          </rPr>
          <t>Sweep VIN(nom) across the required input range to ensure adequate stability performance, especially at low VIN.</t>
        </r>
      </text>
    </comment>
    <comment ref="N92" authorId="0" shapeId="0" xr:uid="{DF79EBB6-8996-4869-A095-E1CAF56E2966}">
      <text/>
    </comment>
    <comment ref="E100" authorId="2" shapeId="0" xr:uid="{878CA8DA-8742-4045-8F72-62F22D91E805}">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7.5V).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F100" authorId="2" shapeId="0" xr:uid="{FD73B23B-8E57-476C-83C3-D3D210F964DE}">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7.5V).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101" authorId="2" shapeId="0" xr:uid="{C60DC960-E637-4E8E-BDA6-E8FCEAAFF4F7}">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7.5V).</t>
        </r>
      </text>
    </comment>
    <comment ref="F101" authorId="2" shapeId="0" xr:uid="{1DD7610E-85D3-4D6B-B2AA-AC6837291F94}">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7.5V).</t>
        </r>
      </text>
    </comment>
    <comment ref="E102" authorId="2" shapeId="0" xr:uid="{0B08EDF4-4E1D-4A82-BC18-3CFB0171C98D}">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F102" authorId="2" shapeId="0" xr:uid="{1476D2BB-14AA-4ED9-9332-76271BF87AF1}">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E103" authorId="2" shapeId="0" xr:uid="{50E896E8-E529-4B8D-93E1-E1AC2F35F944}">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F103" authorId="2" shapeId="0" xr:uid="{BF025067-9209-4BF1-A223-FFE8884041E7}">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E104" authorId="2" shapeId="0" xr:uid="{254AA638-7442-424B-8D43-1908411685FB}">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F104" authorId="2" shapeId="0" xr:uid="{5DACB95B-0421-4E88-A456-E2DDACA3D285}">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105" authorId="2" shapeId="0" xr:uid="{CAFAA939-F779-4EAC-B518-2234588F7AAE}">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F105" authorId="2" shapeId="0" xr:uid="{47E74D8B-5863-4DC5-A802-C253233016A9}">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106" authorId="2" shapeId="0" xr:uid="{A3767A72-3328-4665-9343-54D549197A1F}">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106" authorId="2" shapeId="0" xr:uid="{8DA9CD73-77DB-4D7D-8D9D-591B53F284A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107" authorId="2" shapeId="0" xr:uid="{A9698F69-4E65-4679-86D6-594D01B91A99}">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107" authorId="2" shapeId="0" xr:uid="{E40414D7-4FC6-4997-84C3-9D33C8ED0E78}">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108" authorId="2" shapeId="0" xr:uid="{00000000-0006-0000-0000-00002F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109" authorId="2" shapeId="0" xr:uid="{00000000-0006-0000-0000-000030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109" authorId="2" shapeId="0" xr:uid="{00000000-0006-0000-0000-000031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113" authorId="2" shapeId="0" xr:uid="{7F006EBB-F685-4D50-9C1A-4B613BBD3685}">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7.5V).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F113" authorId="2" shapeId="0" xr:uid="{5401AD43-C322-4382-A48C-9CF444516ECE}">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7.5V).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114" authorId="2" shapeId="0" xr:uid="{E2EF9128-DB7A-45D6-B9AB-F58ACE4D6962}">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7.5V).</t>
        </r>
      </text>
    </comment>
    <comment ref="F114" authorId="2" shapeId="0" xr:uid="{0E53DABF-BA9C-451C-B953-2465439284C8}">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7.5V).</t>
        </r>
      </text>
    </comment>
    <comment ref="E115" authorId="2" shapeId="0" xr:uid="{F30855B7-5BBF-4F18-A324-25B2B4CE3EC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F115" authorId="2" shapeId="0" xr:uid="{445ABAD0-F5E0-4CE6-A8DA-8B8C8DA05DA1}">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E116" authorId="2" shapeId="0" xr:uid="{E66829C0-A7F5-4BDA-9BF5-77954F19737D}">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F116" authorId="2" shapeId="0" xr:uid="{32A18E06-F288-4D13-9179-4D125A25060B}">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E117" authorId="2" shapeId="0" xr:uid="{E185F941-5BDA-4C8D-9EE1-DCDADACDF089}">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F117" authorId="2" shapeId="0" xr:uid="{BEF2142A-B9C0-4730-8488-53FD521CB38F}">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118" authorId="2" shapeId="0" xr:uid="{A2EC2E4E-53D1-4B0C-92BE-4BC3CA29ACCA}">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F118" authorId="2" shapeId="0" xr:uid="{A4454A1C-736B-4168-A026-F36BA7EDA2F4}">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119" authorId="2" shapeId="0" xr:uid="{12CC344C-FF67-45C9-8479-5D4628CD33C3}">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119" authorId="2" shapeId="0" xr:uid="{7B10C51D-5C27-45C2-B7CC-DA30D056F88A}">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120" authorId="2" shapeId="0" xr:uid="{A6E39C4A-1B0A-471C-A964-0D62F260FD5B}">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120" authorId="2" shapeId="0" xr:uid="{C0690C0F-CB75-40D3-AB96-6DA8D2D9BDDB}">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E121" authorId="2" shapeId="0" xr:uid="{00000000-0006-0000-0000-000042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boost high-side MOSFET body diode here. </t>
        </r>
      </text>
    </comment>
    <comment ref="E122" authorId="2" shapeId="0" xr:uid="{00000000-0006-0000-0000-000043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122" authorId="2" shapeId="0" xr:uid="{00000000-0006-0000-0000-000044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125" authorId="2" shapeId="0" xr:uid="{00000000-0006-0000-0000-000045000000}">
      <text>
        <r>
          <rPr>
            <b/>
            <sz val="10"/>
            <color indexed="81"/>
            <rFont val="Tahoma"/>
            <family val="2"/>
          </rPr>
          <t xml:space="preserve">Schottky Forward Voltage:
</t>
        </r>
        <r>
          <rPr>
            <sz val="10"/>
            <color indexed="81"/>
            <rFont val="Tahoma"/>
            <family val="2"/>
          </rPr>
          <t>If a Schottky diode is used, enter the forward voltage at the rated current here. If a Schottky diode is not used, enter "0" into this cell.</t>
        </r>
      </text>
    </comment>
    <comment ref="F125" authorId="2" shapeId="0" xr:uid="{00000000-0006-0000-0000-000046000000}">
      <text>
        <r>
          <rPr>
            <b/>
            <sz val="10"/>
            <color indexed="81"/>
            <rFont val="Tahoma"/>
            <family val="2"/>
          </rPr>
          <t xml:space="preserve">Schottky Forward Voltage:
</t>
        </r>
        <r>
          <rPr>
            <sz val="10"/>
            <color indexed="81"/>
            <rFont val="Tahoma"/>
            <family val="2"/>
          </rPr>
          <t>If a Schottky diode is used, enter the forward voltage at the rated current here. If a Schottky diode is not used, enter "0" into this cell.</t>
        </r>
      </text>
    </comment>
    <comment ref="E126" authorId="2" shapeId="0" xr:uid="{00000000-0006-0000-0000-000047000000}">
      <text>
        <r>
          <rPr>
            <b/>
            <sz val="10"/>
            <color indexed="81"/>
            <rFont val="Tahoma"/>
            <family val="2"/>
          </rPr>
          <t xml:space="preserve">Schottky Diode Reverse Recovery Charge:
</t>
        </r>
        <r>
          <rPr>
            <sz val="10"/>
            <color indexed="81"/>
            <rFont val="Tahoma"/>
            <family val="2"/>
          </rPr>
          <t>Enter the diode reverse recovery charge here.
If a Schottky diode is not used, enter "0" into this cell.</t>
        </r>
      </text>
    </comment>
    <comment ref="F126" authorId="2" shapeId="0" xr:uid="{00000000-0006-0000-0000-000048000000}">
      <text>
        <r>
          <rPr>
            <b/>
            <sz val="10"/>
            <color indexed="81"/>
            <rFont val="Tahoma"/>
            <family val="2"/>
          </rPr>
          <t xml:space="preserve">Schottky Diode Reverse Recovery Charge:
</t>
        </r>
        <r>
          <rPr>
            <sz val="10"/>
            <color indexed="81"/>
            <rFont val="Tahoma"/>
            <family val="2"/>
          </rPr>
          <t>Enter the diode reverse recovery charge here.
If a Schottky diode is not used, enter "0" into this cell.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Schauer, Stefan</author>
  </authors>
  <commentList>
    <comment ref="O66" authorId="0" shapeId="0" xr:uid="{822A94B4-3EC6-4297-A3B2-50E7004C5783}">
      <text>
        <r>
          <rPr>
            <sz val="9"/>
            <color indexed="81"/>
            <rFont val="Tahoma"/>
            <family val="2"/>
          </rPr>
          <t xml:space="preserve">updated factor of 25 to 35 to get EVM into allowed range
</t>
        </r>
      </text>
    </comment>
    <comment ref="K73" authorId="0" shapeId="0" xr:uid="{27785CAE-DDF9-4BA0-8526-401703A54B01}">
      <text>
        <r>
          <rPr>
            <b/>
            <sz val="9"/>
            <color indexed="81"/>
            <rFont val="Tahoma"/>
            <family val="2"/>
          </rPr>
          <t>Schauer, Stefan:</t>
        </r>
        <r>
          <rPr>
            <sz val="9"/>
            <color indexed="81"/>
            <rFont val="Tahoma"/>
            <family val="2"/>
          </rPr>
          <t xml:space="preserve">
used datasheet value of 15%
</t>
        </r>
      </text>
    </comment>
  </commentList>
</comments>
</file>

<file path=xl/sharedStrings.xml><?xml version="1.0" encoding="utf-8"?>
<sst xmlns="http://schemas.openxmlformats.org/spreadsheetml/2006/main" count="2366" uniqueCount="1146">
  <si>
    <t>V</t>
  </si>
  <si>
    <t>Output Voltage</t>
  </si>
  <si>
    <t>A</t>
  </si>
  <si>
    <t>kHz</t>
  </si>
  <si>
    <t>Vin</t>
  </si>
  <si>
    <t>Vout</t>
  </si>
  <si>
    <t>Iout</t>
  </si>
  <si>
    <t>Fsw</t>
  </si>
  <si>
    <t>Value</t>
  </si>
  <si>
    <t>STD Units</t>
  </si>
  <si>
    <t>Hz</t>
  </si>
  <si>
    <t>uH</t>
  </si>
  <si>
    <t>Rdcr</t>
  </si>
  <si>
    <t>Notes</t>
  </si>
  <si>
    <t>Nominal input voltage</t>
  </si>
  <si>
    <t>Don1</t>
  </si>
  <si>
    <t>Doff1</t>
  </si>
  <si>
    <t>Don2</t>
  </si>
  <si>
    <t>Doff2</t>
  </si>
  <si>
    <t>index</t>
  </si>
  <si>
    <t>H</t>
  </si>
  <si>
    <t>Ohms</t>
  </si>
  <si>
    <t>Vripple1</t>
  </si>
  <si>
    <t>Minimum Output Capacitnace</t>
  </si>
  <si>
    <t>Coutmin</t>
  </si>
  <si>
    <t>uF</t>
  </si>
  <si>
    <t>F</t>
  </si>
  <si>
    <t>Cout</t>
  </si>
  <si>
    <t>Fesr</t>
  </si>
  <si>
    <t>Q</t>
  </si>
  <si>
    <t>V/V</t>
  </si>
  <si>
    <t>Rfb1</t>
  </si>
  <si>
    <t>pF</t>
  </si>
  <si>
    <t>Cc1ea</t>
  </si>
  <si>
    <t>Cc2ea</t>
  </si>
  <si>
    <t>Rcea1</t>
  </si>
  <si>
    <t>Rcea1_u</t>
  </si>
  <si>
    <t>Cc1ea_u</t>
  </si>
  <si>
    <t>Cc2ea_u</t>
  </si>
  <si>
    <t>Fz1</t>
  </si>
  <si>
    <t>Fp1</t>
  </si>
  <si>
    <t>Pi</t>
  </si>
  <si>
    <t>Vp-p</t>
  </si>
  <si>
    <t>Rfb2</t>
  </si>
  <si>
    <t>Vref</t>
  </si>
  <si>
    <t>Reference Voltage</t>
  </si>
  <si>
    <t>Ro</t>
  </si>
  <si>
    <t>xover</t>
  </si>
  <si>
    <t>phase margin</t>
  </si>
  <si>
    <t>Total</t>
  </si>
  <si>
    <t>XOVER SEARCH</t>
  </si>
  <si>
    <t>Variable Name</t>
  </si>
  <si>
    <t>Resrmax</t>
  </si>
  <si>
    <t>mΩ</t>
  </si>
  <si>
    <t>kΩ</t>
  </si>
  <si>
    <t>TERMS OF USE</t>
  </si>
  <si>
    <t>IQ</t>
  </si>
  <si>
    <t>Step</t>
  </si>
  <si>
    <t>Total Loss</t>
  </si>
  <si>
    <t>Design</t>
  </si>
  <si>
    <t>L</t>
  </si>
  <si>
    <t>Cin</t>
  </si>
  <si>
    <t>Components</t>
  </si>
  <si>
    <t>Top FET</t>
  </si>
  <si>
    <t>RdsonDRB</t>
  </si>
  <si>
    <t>RdsonDRT</t>
  </si>
  <si>
    <t>Deadtime</t>
  </si>
  <si>
    <t>mOhms</t>
  </si>
  <si>
    <t>mA</t>
  </si>
  <si>
    <t>nC</t>
  </si>
  <si>
    <t>S</t>
  </si>
  <si>
    <t>QgBot</t>
  </si>
  <si>
    <t>RdsonBot</t>
  </si>
  <si>
    <t>GfsTop</t>
  </si>
  <si>
    <t>QgTop</t>
  </si>
  <si>
    <t>RdsonTop</t>
  </si>
  <si>
    <t>VsdBot</t>
  </si>
  <si>
    <t>QrrBot</t>
  </si>
  <si>
    <t>TrrBot</t>
  </si>
  <si>
    <t>ns</t>
  </si>
  <si>
    <t>Units</t>
  </si>
  <si>
    <t>Outputs</t>
  </si>
  <si>
    <t>Dprime</t>
  </si>
  <si>
    <t>RdsonTopTc</t>
  </si>
  <si>
    <t>RdsonBotTc</t>
  </si>
  <si>
    <t>ppm</t>
  </si>
  <si>
    <t>LTc</t>
  </si>
  <si>
    <t>Ta</t>
  </si>
  <si>
    <t>RCoutEsr</t>
  </si>
  <si>
    <t>RCinEsr</t>
  </si>
  <si>
    <t>DCR    Loss</t>
  </si>
  <si>
    <t>Tr</t>
  </si>
  <si>
    <t>Tf</t>
  </si>
  <si>
    <t>RGateTop</t>
  </si>
  <si>
    <t>RGateBot</t>
  </si>
  <si>
    <t>VthTop</t>
  </si>
  <si>
    <t>Switching Frequency</t>
  </si>
  <si>
    <t>Max Output Current</t>
  </si>
  <si>
    <t>Ambient Temperature</t>
  </si>
  <si>
    <t>Inductor Series Resistance Temp Co</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</si>
  <si>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</si>
  <si>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</si>
  <si>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</si>
  <si>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</si>
  <si>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</si>
  <si>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</si>
  <si>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</si>
  <si>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</si>
  <si>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</si>
  <si>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</si>
  <si>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</si>
  <si>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Drain to Source Resistance Temp Co</t>
  </si>
  <si>
    <t>Reverse Recovery Charge of Body Diode</t>
  </si>
  <si>
    <t>Input Value</t>
  </si>
  <si>
    <t>Top Driver</t>
  </si>
  <si>
    <t>Bottom Driver</t>
  </si>
  <si>
    <t>Part Power</t>
  </si>
  <si>
    <t>Power Dis</t>
  </si>
  <si>
    <t>W</t>
  </si>
  <si>
    <t>Controller</t>
  </si>
  <si>
    <t>Theta Ja</t>
  </si>
  <si>
    <t>Temp rise</t>
  </si>
  <si>
    <t>θJA=80</t>
  </si>
  <si>
    <t>θJA=100</t>
  </si>
  <si>
    <t>θJA=120</t>
  </si>
  <si>
    <t>θJA=140</t>
  </si>
  <si>
    <t>θJA=160</t>
  </si>
  <si>
    <t>θJA=180</t>
  </si>
  <si>
    <t>QgdTop</t>
  </si>
  <si>
    <t>Gate to Drain Charge</t>
  </si>
  <si>
    <t>Qg</t>
  </si>
  <si>
    <t>θJA=20</t>
  </si>
  <si>
    <t>θJA=30</t>
  </si>
  <si>
    <t>θJA=40</t>
  </si>
  <si>
    <t>θJA=50</t>
  </si>
  <si>
    <t>250kHz / 5-1.2V /25A</t>
  </si>
  <si>
    <t>250kHz / 12-5V / 30A</t>
  </si>
  <si>
    <t>500kHz / 5-1.2V / 15A</t>
  </si>
  <si>
    <t>1Mhz / 5-1.2V / 10A</t>
  </si>
  <si>
    <t>1Mhz / 12-1.2V/ 10A</t>
  </si>
  <si>
    <t>500kHz / 12-5V / 15A</t>
  </si>
  <si>
    <t>250kHz / 18-1.2V / 20A</t>
  </si>
  <si>
    <t>500kHz / 18-1.2V / 20A</t>
  </si>
  <si>
    <t>θJA=120°C/W - 160°C/W</t>
  </si>
  <si>
    <t>θJA=30°C/W - 50°C/W</t>
  </si>
  <si>
    <t>VspTop</t>
  </si>
  <si>
    <t>QgsTop</t>
  </si>
  <si>
    <t>RdsonDRB2</t>
  </si>
  <si>
    <t>RdsonDRT2</t>
  </si>
  <si>
    <t>EFF_1 @ 25°C</t>
  </si>
  <si>
    <t>Efficiency</t>
  </si>
  <si>
    <t>Pdis</t>
  </si>
  <si>
    <t>Vin=10V</t>
  </si>
  <si>
    <t>Vout=5.1V</t>
  </si>
  <si>
    <t xml:space="preserve">L=3.3uH/30mOhm </t>
  </si>
  <si>
    <t>4394 Top and Bottom Fets</t>
  </si>
  <si>
    <t xml:space="preserve">IQ </t>
  </si>
  <si>
    <t>ThetaCa</t>
  </si>
  <si>
    <t>Core to Ambient Thermal Resistance</t>
  </si>
  <si>
    <t>Quiescent Current Of Controller (Not Switching!)</t>
  </si>
  <si>
    <t>This pole cancels the zero from the Output Cap ESR</t>
  </si>
  <si>
    <t>s</t>
  </si>
  <si>
    <t>Part Characteristics</t>
  </si>
  <si>
    <t>C</t>
  </si>
  <si>
    <t>Switching Current Loss</t>
  </si>
  <si>
    <t>Rfb2_u</t>
  </si>
  <si>
    <t>CoutEsr</t>
  </si>
  <si>
    <t>Ω</t>
  </si>
  <si>
    <t>Step 4: Output Capacitor</t>
  </si>
  <si>
    <t>Step 5: Input Capacitor</t>
  </si>
  <si>
    <t>nF</t>
  </si>
  <si>
    <t>R1</t>
  </si>
  <si>
    <t>R2</t>
  </si>
  <si>
    <t>VIN</t>
  </si>
  <si>
    <t>A (rms)</t>
  </si>
  <si>
    <t>= Input Box</t>
  </si>
  <si>
    <t>Input capacitance</t>
  </si>
  <si>
    <t>Step 1: Operational Specs</t>
  </si>
  <si>
    <t>ms</t>
  </si>
  <si>
    <t>Tss</t>
  </si>
  <si>
    <t>Iss</t>
  </si>
  <si>
    <t>Css</t>
  </si>
  <si>
    <t>C1</t>
  </si>
  <si>
    <t>C2</t>
  </si>
  <si>
    <t>Ripple I</t>
  </si>
  <si>
    <t>%</t>
  </si>
  <si>
    <t xml:space="preserve">I1 </t>
  </si>
  <si>
    <t xml:space="preserve">I2 </t>
  </si>
  <si>
    <t>Rh</t>
  </si>
  <si>
    <t>Capacitors</t>
  </si>
  <si>
    <t>(pF)</t>
  </si>
  <si>
    <t>Standard Result</t>
  </si>
  <si>
    <t>Inputs</t>
  </si>
  <si>
    <t>Css_u</t>
  </si>
  <si>
    <t>Resistors</t>
  </si>
  <si>
    <t>inputs</t>
  </si>
  <si>
    <t>Rs</t>
  </si>
  <si>
    <t xml:space="preserve">                </t>
  </si>
  <si>
    <t>Cc1</t>
  </si>
  <si>
    <t>Cc2</t>
  </si>
  <si>
    <t>Csby</t>
  </si>
  <si>
    <t>Rc1</t>
  </si>
  <si>
    <t>Other Input Variables</t>
  </si>
  <si>
    <r>
      <t>R</t>
    </r>
    <r>
      <rPr>
        <vertAlign val="subscript"/>
        <sz val="10"/>
        <rFont val="Arial"/>
        <family val="2"/>
      </rPr>
      <t>PG</t>
    </r>
  </si>
  <si>
    <r>
      <t>R</t>
    </r>
    <r>
      <rPr>
        <vertAlign val="subscript"/>
        <sz val="10"/>
        <rFont val="Arial"/>
        <family val="2"/>
      </rPr>
      <t>SB</t>
    </r>
  </si>
  <si>
    <t>Rfets</t>
  </si>
  <si>
    <t>cap loss eq res</t>
  </si>
  <si>
    <t>Fet loss eq res</t>
  </si>
  <si>
    <t>Diode loss eq res</t>
  </si>
  <si>
    <t>Sw cap</t>
  </si>
  <si>
    <t xml:space="preserve"> </t>
  </si>
  <si>
    <t>Rc1ea</t>
  </si>
  <si>
    <t>Frequency of Ringing</t>
  </si>
  <si>
    <t>MHz</t>
  </si>
  <si>
    <t>STD UNITS</t>
  </si>
  <si>
    <t>UNITS</t>
  </si>
  <si>
    <t>SW capacitance</t>
  </si>
  <si>
    <t>Csnub</t>
  </si>
  <si>
    <t>Lpar</t>
  </si>
  <si>
    <t>nH</t>
  </si>
  <si>
    <t>Rsnub</t>
  </si>
  <si>
    <t>Rset</t>
  </si>
  <si>
    <t>Blank out</t>
  </si>
  <si>
    <t>Input from user =</t>
  </si>
  <si>
    <t>Constant</t>
  </si>
  <si>
    <t>Step 8: Efficiency</t>
  </si>
  <si>
    <t>Vripple</t>
  </si>
  <si>
    <t>VfdSky</t>
  </si>
  <si>
    <t>QrrSky</t>
  </si>
  <si>
    <t>Ireverse</t>
  </si>
  <si>
    <t>Diode Forward Voltage</t>
  </si>
  <si>
    <t>Diode Reverse Recovery Charge</t>
  </si>
  <si>
    <t>Reverse Leakage Current</t>
  </si>
  <si>
    <t>External Diode</t>
  </si>
  <si>
    <t>VsdTop</t>
  </si>
  <si>
    <t>Switching Current Diss</t>
  </si>
  <si>
    <t>°C/W</t>
  </si>
  <si>
    <t>SCHEMATIC LABELS</t>
  </si>
  <si>
    <t>OUTPUT CURRENT</t>
  </si>
  <si>
    <t>Dmax</t>
  </si>
  <si>
    <t>Ipp</t>
  </si>
  <si>
    <t>Current (switching)</t>
  </si>
  <si>
    <t>Qrr Current</t>
  </si>
  <si>
    <t>Diode Current</t>
  </si>
  <si>
    <t>Std Units</t>
  </si>
  <si>
    <t>Total Application Switching IQ</t>
  </si>
  <si>
    <t xml:space="preserve">VIN </t>
  </si>
  <si>
    <t>CBOOT</t>
  </si>
  <si>
    <t>VDD</t>
  </si>
  <si>
    <t>SYNC</t>
  </si>
  <si>
    <t>EN</t>
  </si>
  <si>
    <t>PGOOD</t>
  </si>
  <si>
    <t>SS/TRACK</t>
  </si>
  <si>
    <t>FADJ</t>
  </si>
  <si>
    <t>GND</t>
  </si>
  <si>
    <t>COMP</t>
  </si>
  <si>
    <t>FB</t>
  </si>
  <si>
    <t>CS-</t>
  </si>
  <si>
    <t>CS+</t>
  </si>
  <si>
    <t>LG</t>
  </si>
  <si>
    <t>SW</t>
  </si>
  <si>
    <t>HG</t>
  </si>
  <si>
    <t>CIN</t>
  </si>
  <si>
    <t>DCR at hot</t>
  </si>
  <si>
    <t>Temp</t>
  </si>
  <si>
    <t>µH</t>
  </si>
  <si>
    <t>µF</t>
  </si>
  <si>
    <t>Cinmin</t>
  </si>
  <si>
    <t>Vinripple1</t>
  </si>
  <si>
    <t>CinEsrMax</t>
  </si>
  <si>
    <t>Vinripple2</t>
  </si>
  <si>
    <t>Output =</t>
  </si>
  <si>
    <t>OTP</t>
  </si>
  <si>
    <t>RS</t>
  </si>
  <si>
    <t>Bottom Schottky</t>
  </si>
  <si>
    <t>Step 2: Filter Inductor</t>
  </si>
  <si>
    <t>Step 1: Operating Specifications</t>
  </si>
  <si>
    <t>°C</t>
  </si>
  <si>
    <t>Std Values</t>
  </si>
  <si>
    <t>Actual P/Z Frequencies</t>
  </si>
  <si>
    <r>
      <t>A</t>
    </r>
    <r>
      <rPr>
        <vertAlign val="subscript"/>
        <sz val="10"/>
        <rFont val="Arial"/>
        <family val="2"/>
      </rPr>
      <t>pk-pk</t>
    </r>
  </si>
  <si>
    <r>
      <t>mV</t>
    </r>
    <r>
      <rPr>
        <b/>
        <vertAlign val="subscript"/>
        <sz val="10"/>
        <rFont val="Arial"/>
        <family val="2"/>
      </rPr>
      <t>pk-pk</t>
    </r>
  </si>
  <si>
    <r>
      <t>mV</t>
    </r>
    <r>
      <rPr>
        <vertAlign val="subscript"/>
        <sz val="10"/>
        <rFont val="Arial"/>
        <family val="2"/>
      </rPr>
      <t>pk-pk</t>
    </r>
  </si>
  <si>
    <t>Efficiency / Power Loss Analyzer</t>
  </si>
  <si>
    <t>Step 7: Compensation Design</t>
  </si>
  <si>
    <t>Calculated /</t>
  </si>
  <si>
    <t xml:space="preserve">Recommended Filter Inductance </t>
  </si>
  <si>
    <t xml:space="preserve">Inductor DCR </t>
  </si>
  <si>
    <t xml:space="preserve">Maximum Permitted ESR </t>
  </si>
  <si>
    <t xml:space="preserve">Output Capacitor ESR </t>
  </si>
  <si>
    <t xml:space="preserve">Input Capacitor ESR </t>
  </si>
  <si>
    <t>About</t>
  </si>
  <si>
    <t>xx</t>
  </si>
  <si>
    <t>Max ESR before ripple exceeds Vripple1</t>
  </si>
  <si>
    <t>Chosen ESR</t>
  </si>
  <si>
    <t>Input capacitance series resistance (ESR)</t>
  </si>
  <si>
    <r>
      <t>VIN</t>
    </r>
    <r>
      <rPr>
        <vertAlign val="subscript"/>
        <sz val="10"/>
        <rFont val="Arial"/>
        <family val="2"/>
      </rPr>
      <t>UVLO_ON</t>
    </r>
  </si>
  <si>
    <t>Rising UVLO/EN Threshold</t>
  </si>
  <si>
    <t>Falling UVLO/EN Threshold</t>
  </si>
  <si>
    <t>UVLO/EN Current Hysteresis</t>
  </si>
  <si>
    <t>kΩ</t>
  </si>
  <si>
    <r>
      <t>VIN</t>
    </r>
    <r>
      <rPr>
        <vertAlign val="subscript"/>
        <sz val="10"/>
        <rFont val="Arial"/>
        <family val="2"/>
      </rPr>
      <t>UVLO_ON_ACTUAL</t>
    </r>
  </si>
  <si>
    <r>
      <t>VIN</t>
    </r>
    <r>
      <rPr>
        <vertAlign val="subscript"/>
        <sz val="10"/>
        <rFont val="Arial"/>
        <family val="2"/>
      </rPr>
      <t>UVLO_OFF_ACTUAL</t>
    </r>
  </si>
  <si>
    <r>
      <t>R</t>
    </r>
    <r>
      <rPr>
        <vertAlign val="subscript"/>
        <sz val="10"/>
        <rFont val="Arial"/>
        <family val="2"/>
      </rPr>
      <t>UV1</t>
    </r>
  </si>
  <si>
    <r>
      <t>R</t>
    </r>
    <r>
      <rPr>
        <vertAlign val="subscript"/>
        <sz val="10"/>
        <rFont val="Arial"/>
        <family val="2"/>
      </rPr>
      <t>UV2</t>
    </r>
  </si>
  <si>
    <t>Rpgood</t>
  </si>
  <si>
    <t>20kΩ</t>
  </si>
  <si>
    <t>Ruv1</t>
  </si>
  <si>
    <t>Ruv2</t>
  </si>
  <si>
    <t># of input caps</t>
  </si>
  <si>
    <t>Capacitance per component (Cin)</t>
  </si>
  <si>
    <t>Capacitance per component (Cout)</t>
  </si>
  <si>
    <t># of output caps</t>
  </si>
  <si>
    <t>Input Voltage UVLO Off</t>
  </si>
  <si>
    <t>Ω</t>
  </si>
  <si>
    <t>Series resistance due to FETs</t>
  </si>
  <si>
    <t>Output Resistance</t>
  </si>
  <si>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</si>
  <si>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</si>
  <si>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</si>
  <si>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</si>
  <si>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</si>
  <si>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</si>
  <si>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</si>
  <si>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t>%/°C</t>
  </si>
  <si>
    <t>Rt</t>
  </si>
  <si>
    <r>
      <t>Output Voltage, V</t>
    </r>
    <r>
      <rPr>
        <b/>
        <vertAlign val="subscript"/>
        <sz val="10"/>
        <color theme="1"/>
        <rFont val="Arial"/>
        <family val="2"/>
      </rPr>
      <t>OUT</t>
    </r>
    <r>
      <rPr>
        <b/>
        <sz val="10"/>
        <color theme="1"/>
        <rFont val="Arial"/>
        <family val="2"/>
      </rPr>
      <t xml:space="preserve"> </t>
    </r>
  </si>
  <si>
    <r>
      <t>Inductance, L</t>
    </r>
    <r>
      <rPr>
        <b/>
        <vertAlign val="subscript"/>
        <sz val="10"/>
        <color theme="1"/>
        <rFont val="Arial"/>
        <family val="2"/>
      </rPr>
      <t>F</t>
    </r>
    <r>
      <rPr>
        <b/>
        <sz val="10"/>
        <color theme="1"/>
        <rFont val="Arial"/>
        <family val="2"/>
      </rPr>
      <t xml:space="preserve"> </t>
    </r>
  </si>
  <si>
    <r>
      <t>Frequency Set Resistor, R</t>
    </r>
    <r>
      <rPr>
        <vertAlign val="subscript"/>
        <sz val="10"/>
        <rFont val="Arial"/>
        <family val="2"/>
      </rPr>
      <t>T</t>
    </r>
    <r>
      <rPr>
        <sz val="10"/>
        <rFont val="Arial"/>
        <family val="2"/>
      </rPr>
      <t xml:space="preserve"> </t>
    </r>
  </si>
  <si>
    <r>
      <t>Output Capacitance, C</t>
    </r>
    <r>
      <rPr>
        <b/>
        <vertAlign val="subscript"/>
        <sz val="10"/>
        <rFont val="Arial"/>
        <family val="2"/>
      </rPr>
      <t>OUT</t>
    </r>
    <r>
      <rPr>
        <b/>
        <sz val="10"/>
        <rFont val="Arial"/>
        <family val="2"/>
      </rPr>
      <t xml:space="preserve"> </t>
    </r>
  </si>
  <si>
    <r>
      <t>Input Capacitance, C</t>
    </r>
    <r>
      <rPr>
        <b/>
        <vertAlign val="subscript"/>
        <sz val="10"/>
        <color theme="1"/>
        <rFont val="Arial"/>
        <family val="2"/>
      </rPr>
      <t>IN</t>
    </r>
    <r>
      <rPr>
        <b/>
        <sz val="10"/>
        <color theme="1"/>
        <rFont val="Arial"/>
        <family val="2"/>
      </rPr>
      <t xml:space="preserve"> </t>
    </r>
  </si>
  <si>
    <r>
      <t>Soft-Start Capacitance, C</t>
    </r>
    <r>
      <rPr>
        <vertAlign val="subscript"/>
        <sz val="10"/>
        <rFont val="Arial"/>
        <family val="2"/>
      </rPr>
      <t>SS</t>
    </r>
    <r>
      <rPr>
        <sz val="10"/>
        <rFont val="Arial"/>
        <family val="2"/>
      </rPr>
      <t xml:space="preserve"> </t>
    </r>
  </si>
  <si>
    <r>
      <t>Soft-Start Time, t</t>
    </r>
    <r>
      <rPr>
        <b/>
        <vertAlign val="subscript"/>
        <sz val="10"/>
        <color theme="1"/>
        <rFont val="Arial"/>
        <family val="2"/>
      </rPr>
      <t>SS</t>
    </r>
    <r>
      <rPr>
        <b/>
        <sz val="10"/>
        <color theme="1"/>
        <rFont val="Arial"/>
        <family val="2"/>
      </rPr>
      <t xml:space="preserve"> </t>
    </r>
  </si>
  <si>
    <r>
      <t>V</t>
    </r>
    <r>
      <rPr>
        <vertAlign val="subscript"/>
        <sz val="10"/>
        <color theme="1"/>
        <rFont val="Arial"/>
        <family val="2"/>
      </rPr>
      <t>IN(min)</t>
    </r>
  </si>
  <si>
    <r>
      <t>V</t>
    </r>
    <r>
      <rPr>
        <vertAlign val="subscript"/>
        <sz val="10"/>
        <color theme="1"/>
        <rFont val="Arial"/>
        <family val="2"/>
      </rPr>
      <t>IN(nom)</t>
    </r>
  </si>
  <si>
    <r>
      <t>V</t>
    </r>
    <r>
      <rPr>
        <vertAlign val="subscript"/>
        <sz val="10"/>
        <color theme="1"/>
        <rFont val="Arial"/>
        <family val="2"/>
      </rPr>
      <t>IN(max)</t>
    </r>
  </si>
  <si>
    <t>VIN_max</t>
  </si>
  <si>
    <t>VIN_min</t>
  </si>
  <si>
    <t>Minimum input voltage</t>
  </si>
  <si>
    <t>Maximum input voltage</t>
  </si>
  <si>
    <t>Maximum Output Current</t>
  </si>
  <si>
    <t>Nominal Switching Frequency</t>
  </si>
  <si>
    <t>Voltage Hysteresis</t>
  </si>
  <si>
    <t>Falling UVLO/EN Current</t>
  </si>
  <si>
    <t>Rising UVLO/EN Current</t>
  </si>
  <si>
    <t>mV</t>
  </si>
  <si>
    <r>
      <t>Lower UVLO Resistor, R</t>
    </r>
    <r>
      <rPr>
        <vertAlign val="subscript"/>
        <sz val="10"/>
        <rFont val="Arial"/>
        <family val="2"/>
      </rPr>
      <t>UV2</t>
    </r>
  </si>
  <si>
    <r>
      <t>Upper UVLO Resistor, R</t>
    </r>
    <r>
      <rPr>
        <b/>
        <vertAlign val="subscript"/>
        <sz val="10"/>
        <rFont val="Arial"/>
        <family val="2"/>
      </rPr>
      <t>UV1</t>
    </r>
  </si>
  <si>
    <t>Required Input Voltage UVLO On</t>
  </si>
  <si>
    <r>
      <t>C</t>
    </r>
    <r>
      <rPr>
        <vertAlign val="subscript"/>
        <sz val="10"/>
        <rFont val="Arial"/>
        <family val="2"/>
      </rPr>
      <t>OUT</t>
    </r>
    <r>
      <rPr>
        <sz val="10"/>
        <rFont val="Arial"/>
        <family val="2"/>
      </rPr>
      <t xml:space="preserve"> ESR Zero Frequency </t>
    </r>
  </si>
  <si>
    <t>Load Pole Frequency</t>
  </si>
  <si>
    <t>Ideal Duty Cycle at VIN(nom)</t>
  </si>
  <si>
    <t>Ideal 1- Duty Cycle at VIN(nom)</t>
  </si>
  <si>
    <t>Don_Vinmin</t>
  </si>
  <si>
    <t>Don_Vinmax</t>
  </si>
  <si>
    <t>Lf_Vinmin</t>
  </si>
  <si>
    <t>Lf_Vinmax</t>
  </si>
  <si>
    <t>Lf</t>
  </si>
  <si>
    <t>Pout</t>
  </si>
  <si>
    <t>Iin_Vinmin</t>
  </si>
  <si>
    <t>Iin_Vinnom</t>
  </si>
  <si>
    <t>Iin_Vinmax</t>
  </si>
  <si>
    <t>Pin</t>
  </si>
  <si>
    <t>Iripple_Vinmin</t>
  </si>
  <si>
    <t>Iripple_Vinnom</t>
  </si>
  <si>
    <t>Iripple_Vinmax</t>
  </si>
  <si>
    <t>L_Vinmin</t>
  </si>
  <si>
    <t>L_Vinnom</t>
  </si>
  <si>
    <t>L_Vinmax</t>
  </si>
  <si>
    <t>Lf_Vinnom</t>
  </si>
  <si>
    <t>Lopt</t>
  </si>
  <si>
    <t>Don_Vinnom</t>
  </si>
  <si>
    <t>Don_Vinmin_2</t>
  </si>
  <si>
    <t>Don_Vinnom_2</t>
  </si>
  <si>
    <t>Don_Vinmax_2</t>
  </si>
  <si>
    <t>% Ripple Current</t>
  </si>
  <si>
    <t>Iin</t>
  </si>
  <si>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IN(min)</t>
    </r>
  </si>
  <si>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IN(nom)</t>
    </r>
  </si>
  <si>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IN(max)</t>
    </r>
  </si>
  <si>
    <r>
      <t>Sense Resistance, R</t>
    </r>
    <r>
      <rPr>
        <b/>
        <vertAlign val="subscript"/>
        <sz val="10"/>
        <color theme="1"/>
        <rFont val="Arial"/>
        <family val="2"/>
      </rPr>
      <t>S</t>
    </r>
  </si>
  <si>
    <t>Recommended Sense Resistance</t>
  </si>
  <si>
    <t>Buck CS threshold</t>
  </si>
  <si>
    <t>Boost CS Threshold</t>
  </si>
  <si>
    <t>Max inductor ripple current</t>
  </si>
  <si>
    <t>Calculate input power assuming 90% efficiency</t>
  </si>
  <si>
    <t>Output power</t>
  </si>
  <si>
    <t>Input currents at min, nom, max Vin</t>
  </si>
  <si>
    <t>Frequency Set Resistor</t>
  </si>
  <si>
    <t>Rs_ideal</t>
  </si>
  <si>
    <t>Selected (starndard value) current limit sense resistor</t>
  </si>
  <si>
    <t>mΩ</t>
  </si>
  <si>
    <t>Cslope</t>
  </si>
  <si>
    <t>V/s</t>
  </si>
  <si>
    <t>at VIN_min</t>
  </si>
  <si>
    <t>at VIN_nom</t>
  </si>
  <si>
    <t>at VIN_max</t>
  </si>
  <si>
    <t>Islope_fixed</t>
  </si>
  <si>
    <t>SLOPE comp dv/dt = I_slope_total/Cslope</t>
  </si>
  <si>
    <t xml:space="preserve">BUCK </t>
  </si>
  <si>
    <t>BOOST</t>
  </si>
  <si>
    <t>Required Constant Current Loop Setpoint</t>
  </si>
  <si>
    <t>Current Limit Threshold</t>
  </si>
  <si>
    <t>Shunt Resistor in Output Leg</t>
  </si>
  <si>
    <t>Rshunt</t>
  </si>
  <si>
    <t>TBD</t>
  </si>
  <si>
    <t>Output Cap RMS current</t>
  </si>
  <si>
    <t>Icoutrms_VINmin</t>
  </si>
  <si>
    <t>Icoutrms_VINnom</t>
  </si>
  <si>
    <t>Icoutrms_VINmax</t>
  </si>
  <si>
    <r>
      <rPr>
        <sz val="10"/>
        <rFont val="Symbol"/>
        <family val="1"/>
        <charset val="2"/>
      </rPr>
      <t>D</t>
    </r>
    <r>
      <rPr>
        <sz val="10"/>
        <rFont val="Arial"/>
        <family val="2"/>
      </rPr>
      <t>V_SLOPEcomp at Vinmin</t>
    </r>
  </si>
  <si>
    <r>
      <rPr>
        <sz val="10"/>
        <rFont val="Symbol"/>
        <family val="1"/>
        <charset val="2"/>
      </rPr>
      <t>D</t>
    </r>
    <r>
      <rPr>
        <sz val="10"/>
        <rFont val="Arial"/>
        <family val="2"/>
      </rPr>
      <t>V_SLOPEcomp at Vinnom</t>
    </r>
  </si>
  <si>
    <r>
      <rPr>
        <sz val="10"/>
        <rFont val="Symbol"/>
        <family val="1"/>
        <charset val="2"/>
      </rPr>
      <t>D</t>
    </r>
    <r>
      <rPr>
        <sz val="10"/>
        <rFont val="Arial"/>
        <family val="2"/>
      </rPr>
      <t>V_SLOPEcomp at Vinmax</t>
    </r>
  </si>
  <si>
    <t>Chosen Output Capacitance</t>
  </si>
  <si>
    <t>Frhp</t>
  </si>
  <si>
    <t>Rout</t>
  </si>
  <si>
    <t>Load resistance</t>
  </si>
  <si>
    <r>
      <t xml:space="preserve">Chosen Compensation Components from the </t>
    </r>
    <r>
      <rPr>
        <b/>
        <u/>
        <sz val="10"/>
        <color indexed="10"/>
        <rFont val="Arial"/>
        <family val="2"/>
      </rPr>
      <t>standard value sheet</t>
    </r>
  </si>
  <si>
    <t>Modulator</t>
  </si>
  <si>
    <t>Total System</t>
  </si>
  <si>
    <t>Afb1</t>
  </si>
  <si>
    <t>Acs</t>
  </si>
  <si>
    <t>z1</t>
  </si>
  <si>
    <t>p3</t>
  </si>
  <si>
    <t>Adc</t>
  </si>
  <si>
    <t>z2</t>
  </si>
  <si>
    <t>Am</t>
  </si>
  <si>
    <t>p1</t>
  </si>
  <si>
    <t>pterm1</t>
  </si>
  <si>
    <t>Crossover</t>
  </si>
  <si>
    <t>p2</t>
  </si>
  <si>
    <t>pterm2</t>
  </si>
  <si>
    <t>Phase Margin</t>
  </si>
  <si>
    <t>Aea</t>
  </si>
  <si>
    <t>radconv</t>
  </si>
  <si>
    <t>p4</t>
  </si>
  <si>
    <t>k</t>
  </si>
  <si>
    <t>gm</t>
  </si>
  <si>
    <t>Power Stage</t>
  </si>
  <si>
    <t>Error Amplifier</t>
  </si>
  <si>
    <t>Sampling Double Pole</t>
  </si>
  <si>
    <t>System Response</t>
  </si>
  <si>
    <t>ERROR AMP Response</t>
  </si>
  <si>
    <t>PLANT Response</t>
  </si>
  <si>
    <t>Gain(V/V)</t>
  </si>
  <si>
    <t>Phase(rad)</t>
  </si>
  <si>
    <t>Phase (°)</t>
  </si>
  <si>
    <t>Gain(dB)</t>
  </si>
  <si>
    <t>Phase(Deg)</t>
  </si>
  <si>
    <t>Pole/Zero Locations for Chart</t>
  </si>
  <si>
    <t>crossover</t>
  </si>
  <si>
    <t>System</t>
  </si>
  <si>
    <t>Plant</t>
  </si>
  <si>
    <t>Ri</t>
  </si>
  <si>
    <t>Error Amp Transconductance</t>
  </si>
  <si>
    <t>Se</t>
  </si>
  <si>
    <t>A/s</t>
  </si>
  <si>
    <t>Sn</t>
  </si>
  <si>
    <t>On-time Slope</t>
  </si>
  <si>
    <t>mc</t>
  </si>
  <si>
    <t>GBW</t>
  </si>
  <si>
    <t>Cbw</t>
  </si>
  <si>
    <t>RoEA</t>
  </si>
  <si>
    <t>AEA</t>
  </si>
  <si>
    <t>Afb</t>
  </si>
  <si>
    <t>p</t>
  </si>
  <si>
    <t>Cslope_u</t>
  </si>
  <si>
    <t>This component will largely determine the crossover frequency</t>
  </si>
  <si>
    <t>This along with Rcea1 places a pole at the output cap ESR zero</t>
  </si>
  <si>
    <t>1/(Pi*(k-0.5))</t>
  </si>
  <si>
    <t>Acs = 1/Ri</t>
  </si>
  <si>
    <t>Current Sense effective resistance = shunt resistor Rs * CS amp gain</t>
  </si>
  <si>
    <t>Fp_EA</t>
  </si>
  <si>
    <t>Fp_HF</t>
  </si>
  <si>
    <t>mc*D</t>
  </si>
  <si>
    <t>Off-time Slope</t>
  </si>
  <si>
    <t>Sf</t>
  </si>
  <si>
    <t>mc = 1 + Se/Sf for valley current-mode buck</t>
  </si>
  <si>
    <t>gm_slopecomp</t>
  </si>
  <si>
    <t>adaptive slope comp gm amplifier transconductance</t>
  </si>
  <si>
    <t>CS Amp Gain</t>
  </si>
  <si>
    <t>Slope Comp Slope - referred to inductor current</t>
  </si>
  <si>
    <t>Se_int</t>
  </si>
  <si>
    <t>Step 3: Sense Resistors, Slope Comp, Current Limit</t>
  </si>
  <si>
    <t>Q = 2/Pi = 0.636 gives ideal one-cycle damping</t>
  </si>
  <si>
    <t>Error Amp HF pole cancels zero related to Output Cap ESR</t>
  </si>
  <si>
    <t>EXCEL Variables Names/Calculations</t>
  </si>
  <si>
    <t>Resulting Pole/Zero Locations</t>
  </si>
  <si>
    <t>Sn_int</t>
  </si>
  <si>
    <t>Sf_int</t>
  </si>
  <si>
    <t>Slope Comp Slope - referred to IC</t>
  </si>
  <si>
    <t>etc</t>
  </si>
  <si>
    <t>Isc_const</t>
  </si>
  <si>
    <t>°</t>
  </si>
  <si>
    <t>Std Value Lower Feedback Resistance</t>
  </si>
  <si>
    <t>Lower Feedback Resistance</t>
  </si>
  <si>
    <t>Upper Feedback Resistance - chosen by user</t>
  </si>
  <si>
    <t>Drain-Source Resistance of Pullup High-side FET Driver</t>
  </si>
  <si>
    <t>Drain-Source Resistance of Pulldown High-side FET Driver</t>
  </si>
  <si>
    <t>Drain-Source Resistance of Pullup Low-side FET Driver</t>
  </si>
  <si>
    <t>Drain-Source Resistance of Pulldown Low-side FET Driver</t>
  </si>
  <si>
    <t>Drain-Source Resistance Temp Co</t>
  </si>
  <si>
    <t>Diode Forward Voltage of Low-side FET Body Diode</t>
  </si>
  <si>
    <t>slope comp constant current source</t>
  </si>
  <si>
    <t>Duty cycles adjusted for DCR and shunt voltage drops</t>
  </si>
  <si>
    <t>Desired Crossover Frequency</t>
  </si>
  <si>
    <t>Cout ESR zero frequency</t>
  </si>
  <si>
    <t>Boost RHP zero frequency (if applicable)</t>
  </si>
  <si>
    <t>Error Amp LF pole -- related to amplifier ouptut resistance and comp cap</t>
  </si>
  <si>
    <t>Buck dominant pole frequency -- note slope comp influence</t>
  </si>
  <si>
    <t>Boost dominant pole frequency -- need to add slope comp component</t>
  </si>
  <si>
    <t>Fp_load_boost</t>
  </si>
  <si>
    <t>Fp_load_buck</t>
  </si>
  <si>
    <t>IC Power Disipation</t>
  </si>
  <si>
    <t>Iteration</t>
  </si>
  <si>
    <t>Output Ripple Spec (pk-pk)</t>
  </si>
  <si>
    <t>Rmode</t>
  </si>
  <si>
    <t>zero-order sample and hold effects of current-mode control modeled as pole at Fsw/2</t>
  </si>
  <si>
    <t>F_mod</t>
  </si>
  <si>
    <t>Am_buck</t>
  </si>
  <si>
    <t>mc_boost</t>
  </si>
  <si>
    <t>k_boost</t>
  </si>
  <si>
    <t>Am_boost</t>
  </si>
  <si>
    <t>DC Gain is Adc = AEA*Afb*Am</t>
  </si>
  <si>
    <t>A/V</t>
  </si>
  <si>
    <t>Power Stage Poles/Zeros</t>
  </si>
  <si>
    <t>Complex Pole Pair</t>
  </si>
  <si>
    <t>Divider Network &amp; EA Poles/Zeros</t>
  </si>
  <si>
    <t>mc_buck</t>
  </si>
  <si>
    <t>k_buck</t>
  </si>
  <si>
    <t>mV/μs</t>
  </si>
  <si>
    <t>mc*(1-D)</t>
  </si>
  <si>
    <t>Error Amp (EA)</t>
  </si>
  <si>
    <t>Boost modulator gain -- need to adjust for adaptive slope comp</t>
  </si>
  <si>
    <r>
      <t>need to include R</t>
    </r>
    <r>
      <rPr>
        <vertAlign val="subscript"/>
        <sz val="10"/>
        <color rgb="FFFF0000"/>
        <rFont val="Arial"/>
        <family val="2"/>
      </rPr>
      <t>DS(on)</t>
    </r>
    <r>
      <rPr>
        <sz val="10"/>
        <color rgb="FFFF0000"/>
        <rFont val="Arial"/>
        <family val="2"/>
      </rPr>
      <t xml:space="preserve"> later</t>
    </r>
  </si>
  <si>
    <t>BOOST current limit - peak</t>
  </si>
  <si>
    <t>Iout_OCP_Vinmin</t>
  </si>
  <si>
    <t>Iout_OCP_Vinmax</t>
  </si>
  <si>
    <t>ILpeak_OCP_Vinmin</t>
  </si>
  <si>
    <t>ILpeak_OCP_Vinnom</t>
  </si>
  <si>
    <t>ILpeak_OCP_Vinmax</t>
  </si>
  <si>
    <t>Peak inductor currents in OCP</t>
  </si>
  <si>
    <r>
      <t>Current limit setpoints (i.e. I</t>
    </r>
    <r>
      <rPr>
        <vertAlign val="subscript"/>
        <sz val="10"/>
        <rFont val="Arial"/>
        <family val="2"/>
      </rPr>
      <t>OUT</t>
    </r>
    <r>
      <rPr>
        <sz val="10"/>
        <rFont val="Arial"/>
        <family val="2"/>
      </rPr>
      <t>) after standard components are selected</t>
    </r>
  </si>
  <si>
    <t>Output voltage ripple spec(pk-pk)</t>
  </si>
  <si>
    <t>Vout ripple spec at Vin(nom)</t>
  </si>
  <si>
    <t xml:space="preserve">Minimum Output Capacitance </t>
  </si>
  <si>
    <t>Load cap current during soft start</t>
  </si>
  <si>
    <t>Soft-start time</t>
  </si>
  <si>
    <t>zRHP</t>
  </si>
  <si>
    <t>p-dom</t>
  </si>
  <si>
    <t>p_dom</t>
  </si>
  <si>
    <t>z_ESR</t>
  </si>
  <si>
    <t>z_RHP</t>
  </si>
  <si>
    <t>uses Vin(nom)!!</t>
  </si>
  <si>
    <t>Low-side MOSFET/Diode</t>
  </si>
  <si>
    <t>EA pole, p2</t>
  </si>
  <si>
    <t>EA pole, p1</t>
  </si>
  <si>
    <t>EA zero, z1</t>
  </si>
  <si>
    <t>Fp_dominant</t>
  </si>
  <si>
    <t>p_sampling</t>
  </si>
  <si>
    <t>ESR zero</t>
  </si>
  <si>
    <t>EA pole</t>
  </si>
  <si>
    <t>EA zero</t>
  </si>
  <si>
    <t>RHP zero</t>
  </si>
  <si>
    <t>This zero is set at or close to the dominant load pole</t>
  </si>
  <si>
    <t>Freq (Hz)</t>
  </si>
  <si>
    <t>scaling factor to calculate Rcomp - buck</t>
  </si>
  <si>
    <t>scaling factor to calculate Rcomp - boost</t>
  </si>
  <si>
    <r>
      <t>Hz  (F</t>
    </r>
    <r>
      <rPr>
        <vertAlign val="subscript"/>
        <sz val="10"/>
        <rFont val="Arial"/>
        <family val="2"/>
      </rPr>
      <t>PEA</t>
    </r>
    <r>
      <rPr>
        <sz val="10"/>
        <rFont val="Arial"/>
        <family val="2"/>
      </rPr>
      <t>)</t>
    </r>
  </si>
  <si>
    <t>KM</t>
  </si>
  <si>
    <t>KD</t>
  </si>
  <si>
    <t>Se_fixed</t>
  </si>
  <si>
    <t>Se_proportional</t>
  </si>
  <si>
    <t>Se_ext</t>
  </si>
  <si>
    <t>Buck modulator gain</t>
  </si>
  <si>
    <t>Feedback gain from Vout to FB</t>
  </si>
  <si>
    <t>V_sc_fixed</t>
  </si>
  <si>
    <t>V_sc_proportional</t>
  </si>
  <si>
    <t>V_sc_total</t>
  </si>
  <si>
    <t>Slope comp slope - internal</t>
  </si>
  <si>
    <t>EA DC gain = gm*RoEA</t>
  </si>
  <si>
    <t>EA output resistance</t>
  </si>
  <si>
    <t>EA effective bandwidth limiting capacitance = gm/(2*Pi*GBW)</t>
  </si>
  <si>
    <t>EA gain-bandwidth product</t>
  </si>
  <si>
    <t>mc = 1 + Se/Sn for peak current-mode boost</t>
  </si>
  <si>
    <t>K_SL</t>
  </si>
  <si>
    <t>Fixed slope comp amplitude over full period</t>
  </si>
  <si>
    <t>Proportional slope comp amplitude over full period</t>
  </si>
  <si>
    <t>Total slope comp amplitude over full period</t>
  </si>
  <si>
    <t>Proportional slope comp factor, where Vslope= Abs(Vin-Vout)*KSL</t>
  </si>
  <si>
    <t>KSL = gm/(Cslope*Fsw)</t>
  </si>
  <si>
    <t>K_1</t>
  </si>
  <si>
    <t>Take the buck or boost parameter as appropriate</t>
  </si>
  <si>
    <t>2*Pi*Ri/gm -- scaling factor to calculate Rcomp given desired buck crossover frequency</t>
  </si>
  <si>
    <t>2*Pi*Ri/gm -- scaling factor to calculate Rcomp given desired boost crossover frequency</t>
  </si>
  <si>
    <t>Diode/FET</t>
  </si>
  <si>
    <t>Iout_OCP_Vinnom</t>
  </si>
  <si>
    <t>IL_peak_OCP</t>
  </si>
  <si>
    <t>Peak inductor current over the full input range</t>
  </si>
  <si>
    <t>Step 3: OCP, Sense Resistors, Slope Comp</t>
  </si>
  <si>
    <r>
      <rPr>
        <sz val="10"/>
        <rFont val="Symbol"/>
        <family val="1"/>
        <charset val="2"/>
      </rPr>
      <t>°</t>
    </r>
    <r>
      <rPr>
        <sz val="10"/>
        <rFont val="Arial"/>
        <family val="2"/>
      </rPr>
      <t>C</t>
    </r>
  </si>
  <si>
    <r>
      <t>m</t>
    </r>
    <r>
      <rPr>
        <sz val="10"/>
        <rFont val="Symbol"/>
        <family val="1"/>
        <charset val="2"/>
      </rPr>
      <t>W</t>
    </r>
  </si>
  <si>
    <t>μF</t>
  </si>
  <si>
    <t>Filter Inductance</t>
  </si>
  <si>
    <r>
      <t>Inductor DCR at 25</t>
    </r>
    <r>
      <rPr>
        <sz val="10"/>
        <rFont val="Symbol"/>
        <family val="1"/>
        <charset val="2"/>
      </rPr>
      <t>°</t>
    </r>
    <r>
      <rPr>
        <sz val="10"/>
        <rFont val="Arial"/>
        <family val="2"/>
      </rPr>
      <t>C</t>
    </r>
  </si>
  <si>
    <r>
      <rPr>
        <sz val="10"/>
        <rFont val="Calibri"/>
        <family val="2"/>
      </rPr>
      <t>θ</t>
    </r>
    <r>
      <rPr>
        <vertAlign val="subscript"/>
        <sz val="10"/>
        <rFont val="Arial"/>
        <family val="2"/>
      </rPr>
      <t>JA</t>
    </r>
  </si>
  <si>
    <r>
      <t>θ</t>
    </r>
    <r>
      <rPr>
        <vertAlign val="subscript"/>
        <sz val="10"/>
        <rFont val="Arial"/>
        <family val="2"/>
      </rPr>
      <t>JABot</t>
    </r>
  </si>
  <si>
    <r>
      <t>θ</t>
    </r>
    <r>
      <rPr>
        <vertAlign val="subscript"/>
        <sz val="10"/>
        <rFont val="Arial"/>
        <family val="2"/>
      </rPr>
      <t>JATop</t>
    </r>
  </si>
  <si>
    <t>θJACtrl</t>
  </si>
  <si>
    <r>
      <t>Enter the values of your design and MOSFET datasheet specifications below. Note that thermal resistance (</t>
    </r>
    <r>
      <rPr>
        <b/>
        <sz val="10"/>
        <rFont val="Calibri"/>
        <family val="2"/>
      </rPr>
      <t>θ</t>
    </r>
    <r>
      <rPr>
        <b/>
        <vertAlign val="subscript"/>
        <sz val="10"/>
        <rFont val="Arial"/>
        <family val="2"/>
      </rPr>
      <t>JA</t>
    </r>
    <r>
      <rPr>
        <b/>
        <sz val="10"/>
        <rFont val="Arial"/>
        <family val="2"/>
      </rPr>
      <t>) will change when components are placed on the PCB</t>
    </r>
  </si>
  <si>
    <t>Subregulated VCC Voltage</t>
  </si>
  <si>
    <t>Vcc</t>
  </si>
  <si>
    <t>Junction-to-ambient thermal resistance of controller</t>
  </si>
  <si>
    <t>with 85mA current limit</t>
  </si>
  <si>
    <r>
      <rPr>
        <sz val="10"/>
        <rFont val="Calibri"/>
        <family val="2"/>
      </rPr>
      <t>θ</t>
    </r>
    <r>
      <rPr>
        <vertAlign val="subscript"/>
        <sz val="10"/>
        <rFont val="Arial"/>
        <family val="2"/>
      </rPr>
      <t>CA</t>
    </r>
  </si>
  <si>
    <t>Inductor Core to Ambient Thermal Resistance</t>
  </si>
  <si>
    <t>Input Capacitor ESR</t>
  </si>
  <si>
    <t>Inductor DCR Temp Co</t>
  </si>
  <si>
    <t>Output Capacitor ESR</t>
  </si>
  <si>
    <t>Output Capcitance</t>
  </si>
  <si>
    <t>Input Capacitance</t>
  </si>
  <si>
    <t>Filter Inductor</t>
  </si>
  <si>
    <t>Ripple Current pk-pk</t>
  </si>
  <si>
    <t>Cout ESR Loss</t>
  </si>
  <si>
    <t>Irms Cout</t>
  </si>
  <si>
    <t>Irms Cin</t>
  </si>
  <si>
    <t>Cin ESR Loss</t>
  </si>
  <si>
    <t>Controller IC Losses</t>
  </si>
  <si>
    <t>Total IC Loss</t>
  </si>
  <si>
    <r>
      <t>I</t>
    </r>
    <r>
      <rPr>
        <b/>
        <vertAlign val="subscript"/>
        <sz val="10"/>
        <rFont val="Arial"/>
        <family val="2"/>
      </rPr>
      <t>Q</t>
    </r>
    <r>
      <rPr>
        <b/>
        <sz val="10"/>
        <rFont val="Arial"/>
        <family val="2"/>
      </rPr>
      <t xml:space="preserve"> Loss</t>
    </r>
  </si>
  <si>
    <t>h</t>
  </si>
  <si>
    <r>
      <t xml:space="preserve">EFF, </t>
    </r>
    <r>
      <rPr>
        <b/>
        <sz val="10"/>
        <rFont val="Symbol"/>
        <family val="1"/>
        <charset val="2"/>
      </rPr>
      <t>h</t>
    </r>
  </si>
  <si>
    <t>QrrTop</t>
  </si>
  <si>
    <t>TrrTop</t>
  </si>
  <si>
    <t>RESULTS</t>
  </si>
  <si>
    <t>Consolidated Buck/Boost Efficiency &amp; Losses</t>
  </si>
  <si>
    <t>Output Rs</t>
  </si>
  <si>
    <t>Iout Shunt Loss</t>
  </si>
  <si>
    <t>Isense Shunt Loss</t>
  </si>
  <si>
    <t>Sense Rs</t>
  </si>
  <si>
    <t>Drain to Source Resistance of pulldown Bottom FET Driver</t>
  </si>
  <si>
    <t>Drain to Source Resistance of pullup Bottom FET Driver</t>
  </si>
  <si>
    <t>Drain to Source Resistance of pulldown Top FET Driver</t>
  </si>
  <si>
    <t>Drain to Source Resistance of pullup Top FET Driver</t>
  </si>
  <si>
    <t>Turn on of MOSFET -&gt; Rise time of current</t>
  </si>
  <si>
    <t>Turn off of MOSFET -&gt; Fall time of current</t>
  </si>
  <si>
    <t>External Schottky Diode (if applicable)</t>
  </si>
  <si>
    <r>
      <t>kHz (F</t>
    </r>
    <r>
      <rPr>
        <vertAlign val="subscript"/>
        <sz val="10"/>
        <rFont val="Arial"/>
        <family val="2"/>
      </rPr>
      <t>ZCOMP</t>
    </r>
    <r>
      <rPr>
        <sz val="10"/>
        <rFont val="Arial"/>
        <family val="2"/>
      </rPr>
      <t>)</t>
    </r>
  </si>
  <si>
    <r>
      <t>kHz (F</t>
    </r>
    <r>
      <rPr>
        <vertAlign val="subscript"/>
        <sz val="10"/>
        <rFont val="Arial"/>
        <family val="2"/>
      </rPr>
      <t>PCOMP</t>
    </r>
    <r>
      <rPr>
        <sz val="10"/>
        <rFont val="Arial"/>
        <family val="2"/>
      </rPr>
      <t>)</t>
    </r>
  </si>
  <si>
    <t>Reported Cinmin</t>
  </si>
  <si>
    <t>Reported Cout ESR max</t>
  </si>
  <si>
    <t>Reported Cin ESR max</t>
  </si>
  <si>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</si>
  <si>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</si>
  <si>
    <r>
      <t>Input Voltage - Max, V</t>
    </r>
    <r>
      <rPr>
        <b/>
        <vertAlign val="subscript"/>
        <sz val="10"/>
        <color theme="1"/>
        <rFont val="Arial"/>
        <family val="2"/>
      </rPr>
      <t>IN(max)</t>
    </r>
  </si>
  <si>
    <r>
      <t>Pk-to-Pk Ripple Current at V</t>
    </r>
    <r>
      <rPr>
        <vertAlign val="subscript"/>
        <sz val="10"/>
        <rFont val="Arial"/>
        <family val="2"/>
      </rPr>
      <t>IN(min)</t>
    </r>
    <r>
      <rPr>
        <sz val="10"/>
        <rFont val="Arial"/>
        <family val="2"/>
      </rPr>
      <t xml:space="preserve">, </t>
    </r>
    <r>
      <rPr>
        <sz val="10"/>
        <rFont val="Symbol"/>
        <family val="1"/>
        <charset val="2"/>
      </rPr>
      <t>D</t>
    </r>
    <r>
      <rPr>
        <sz val="10"/>
        <rFont val="Arial"/>
        <family val="2"/>
      </rPr>
      <t>I</t>
    </r>
    <r>
      <rPr>
        <vertAlign val="subscript"/>
        <sz val="10"/>
        <rFont val="Arial"/>
        <family val="2"/>
      </rPr>
      <t>L1</t>
    </r>
  </si>
  <si>
    <r>
      <t>Pk-to-Pk Ripple Current at V</t>
    </r>
    <r>
      <rPr>
        <vertAlign val="subscript"/>
        <sz val="10"/>
        <rFont val="Arial"/>
        <family val="2"/>
      </rPr>
      <t>IN(nom)</t>
    </r>
    <r>
      <rPr>
        <sz val="10"/>
        <rFont val="Arial"/>
        <family val="2"/>
      </rPr>
      <t xml:space="preserve">, </t>
    </r>
    <r>
      <rPr>
        <sz val="10"/>
        <rFont val="Symbol"/>
        <family val="1"/>
        <charset val="2"/>
      </rPr>
      <t>D</t>
    </r>
    <r>
      <rPr>
        <sz val="10"/>
        <rFont val="Arial"/>
        <family val="2"/>
      </rPr>
      <t>I</t>
    </r>
    <r>
      <rPr>
        <vertAlign val="subscript"/>
        <sz val="10"/>
        <rFont val="Arial"/>
        <family val="2"/>
      </rPr>
      <t>L2</t>
    </r>
  </si>
  <si>
    <r>
      <t>Pk-to-Pk Ripple Current at V</t>
    </r>
    <r>
      <rPr>
        <vertAlign val="subscript"/>
        <sz val="10"/>
        <rFont val="Arial"/>
        <family val="2"/>
      </rPr>
      <t>IN(max)</t>
    </r>
    <r>
      <rPr>
        <sz val="10"/>
        <rFont val="Arial"/>
        <family val="2"/>
      </rPr>
      <t xml:space="preserve">, </t>
    </r>
    <r>
      <rPr>
        <sz val="10"/>
        <rFont val="Symbol"/>
        <family val="1"/>
        <charset val="2"/>
      </rPr>
      <t>D</t>
    </r>
    <r>
      <rPr>
        <sz val="10"/>
        <rFont val="Arial"/>
        <family val="2"/>
      </rPr>
      <t>I</t>
    </r>
    <r>
      <rPr>
        <vertAlign val="subscript"/>
        <sz val="10"/>
        <rFont val="Arial"/>
        <family val="2"/>
      </rPr>
      <t>L3</t>
    </r>
  </si>
  <si>
    <t>Buck CS threshold_min</t>
  </si>
  <si>
    <t>Boost CS Threshold_min</t>
  </si>
  <si>
    <t>Chosen OCP level - based on output current</t>
  </si>
  <si>
    <r>
      <t>I</t>
    </r>
    <r>
      <rPr>
        <vertAlign val="subscript"/>
        <sz val="10"/>
        <rFont val="Arial"/>
        <family val="2"/>
      </rPr>
      <t>OUT(typ)</t>
    </r>
    <r>
      <rPr>
        <sz val="10"/>
        <rFont val="Arial"/>
        <family val="2"/>
      </rPr>
      <t xml:space="preserve"> at OCP Inception:</t>
    </r>
  </si>
  <si>
    <t>Buck CS threshold_max</t>
  </si>
  <si>
    <t>Boost CS Threshold_max</t>
  </si>
  <si>
    <t>RMS current in Rs</t>
  </si>
  <si>
    <t>Power diss in Rs</t>
  </si>
  <si>
    <t>Total Cin Loss</t>
  </si>
  <si>
    <t>Inductor Cu &amp; Core Loss</t>
  </si>
  <si>
    <t>Total Cout Loss</t>
  </si>
  <si>
    <t>Total Inductor Loss</t>
  </si>
  <si>
    <t>Gate Charge at VCC = 7.5V</t>
  </si>
  <si>
    <t>Boost hi-side</t>
  </si>
  <si>
    <t>Buck lo-side</t>
  </si>
  <si>
    <t>Anti-parallel Schottky Diode (optional)</t>
  </si>
  <si>
    <t>High- &amp; low-side boost MOSFETs</t>
  </si>
  <si>
    <t>High- &amp; low-side buck MOSFETs</t>
  </si>
  <si>
    <t>Drain-Source Resistances of Boost FETs</t>
  </si>
  <si>
    <t>Gate Charge Of Boost FETs</t>
  </si>
  <si>
    <t>Transconductance of Boost FETs</t>
  </si>
  <si>
    <t>Threshold Voltage Boost FETs</t>
  </si>
  <si>
    <t>Switch Point Voltage of Boost FETs</t>
  </si>
  <si>
    <t>Transconductance of Buck FETs</t>
  </si>
  <si>
    <t>Drain-Source Resistances of Buck FETs</t>
  </si>
  <si>
    <t>Threshold Voltage of Buck FETs</t>
  </si>
  <si>
    <t>Switch Point Voltage of Buck FETs</t>
  </si>
  <si>
    <t>Hi-side</t>
  </si>
  <si>
    <t>High-side FET</t>
  </si>
  <si>
    <t>Low-side FET</t>
  </si>
  <si>
    <t>Drain-Source Resistance of Low-side FET</t>
  </si>
  <si>
    <t xml:space="preserve">Drain-Source Resistance of Top FET </t>
  </si>
  <si>
    <t>Q3: high-side</t>
  </si>
  <si>
    <t>Q4: low-side</t>
  </si>
  <si>
    <t>Q1: high-side</t>
  </si>
  <si>
    <t>Q2: low-side</t>
  </si>
  <si>
    <t>Rdson</t>
  </si>
  <si>
    <t>Qgd</t>
  </si>
  <si>
    <t>Qgs</t>
  </si>
  <si>
    <t>Rgate</t>
  </si>
  <si>
    <t>Gfs</t>
  </si>
  <si>
    <t>Vth</t>
  </si>
  <si>
    <t>Vsp</t>
  </si>
  <si>
    <t>Diode Forward Voltage of MOSFET Body diode</t>
  </si>
  <si>
    <t>VsdBot - Boost</t>
  </si>
  <si>
    <t>Vsd - Buck</t>
  </si>
  <si>
    <r>
      <rPr>
        <i/>
        <sz val="10"/>
        <rFont val="Arial"/>
        <family val="2"/>
      </rPr>
      <t>Buck</t>
    </r>
    <r>
      <rPr>
        <sz val="10"/>
        <rFont val="Arial"/>
        <family val="2"/>
      </rPr>
      <t xml:space="preserve"> Leg</t>
    </r>
  </si>
  <si>
    <r>
      <t>Body Diode Forward Voltage, V</t>
    </r>
    <r>
      <rPr>
        <b/>
        <vertAlign val="subscript"/>
        <sz val="10"/>
        <rFont val="Arial"/>
        <family val="2"/>
      </rPr>
      <t>BD</t>
    </r>
    <r>
      <rPr>
        <b/>
        <sz val="10"/>
        <rFont val="Arial"/>
        <family val="2"/>
      </rPr>
      <t xml:space="preserve"> </t>
    </r>
  </si>
  <si>
    <r>
      <t>Schottky Rev Recovery Charge, Q</t>
    </r>
    <r>
      <rPr>
        <b/>
        <vertAlign val="subscript"/>
        <sz val="10"/>
        <rFont val="Arial"/>
        <family val="2"/>
      </rPr>
      <t>RRsch</t>
    </r>
    <r>
      <rPr>
        <b/>
        <sz val="10"/>
        <rFont val="Arial"/>
        <family val="2"/>
      </rPr>
      <t xml:space="preserve"> </t>
    </r>
  </si>
  <si>
    <r>
      <t>Body Diode Rev Recovery Charge, Q</t>
    </r>
    <r>
      <rPr>
        <b/>
        <vertAlign val="subscript"/>
        <sz val="10"/>
        <rFont val="Arial"/>
        <family val="2"/>
      </rPr>
      <t>RR</t>
    </r>
    <r>
      <rPr>
        <b/>
        <sz val="10"/>
        <rFont val="Arial"/>
        <family val="2"/>
      </rPr>
      <t xml:space="preserve"> </t>
    </r>
  </si>
  <si>
    <r>
      <t>Gate-Source Threshold Voltage, V</t>
    </r>
    <r>
      <rPr>
        <b/>
        <vertAlign val="subscript"/>
        <sz val="10"/>
        <rFont val="Arial"/>
        <family val="2"/>
      </rPr>
      <t>TH</t>
    </r>
    <r>
      <rPr>
        <b/>
        <sz val="10"/>
        <rFont val="Arial"/>
        <family val="2"/>
      </rPr>
      <t xml:space="preserve"> </t>
    </r>
  </si>
  <si>
    <r>
      <t>Schottky Fwd Voltage, V</t>
    </r>
    <r>
      <rPr>
        <b/>
        <vertAlign val="subscript"/>
        <sz val="10"/>
        <rFont val="Arial"/>
        <family val="2"/>
      </rPr>
      <t>FWDsch</t>
    </r>
    <r>
      <rPr>
        <b/>
        <sz val="10"/>
        <rFont val="Arial"/>
        <family val="2"/>
      </rPr>
      <t xml:space="preserve"> </t>
    </r>
  </si>
  <si>
    <r>
      <rPr>
        <b/>
        <i/>
        <u/>
        <sz val="10"/>
        <color rgb="FF0000FF"/>
        <rFont val="Arial"/>
        <family val="2"/>
      </rPr>
      <t>Boost</t>
    </r>
    <r>
      <rPr>
        <b/>
        <sz val="10"/>
        <color rgb="FF0000FF"/>
        <rFont val="Arial"/>
        <family val="2"/>
      </rPr>
      <t>-Leg Power MOSFETs (Q</t>
    </r>
    <r>
      <rPr>
        <b/>
        <vertAlign val="subscript"/>
        <sz val="10"/>
        <color rgb="FF0000FF"/>
        <rFont val="Arial"/>
        <family val="2"/>
      </rPr>
      <t>3</t>
    </r>
    <r>
      <rPr>
        <b/>
        <sz val="10"/>
        <color rgb="FF0000FF"/>
        <rFont val="Arial"/>
        <family val="2"/>
      </rPr>
      <t>, Q</t>
    </r>
    <r>
      <rPr>
        <b/>
        <vertAlign val="subscript"/>
        <sz val="10"/>
        <color rgb="FF0000FF"/>
        <rFont val="Arial"/>
        <family val="2"/>
      </rPr>
      <t>4</t>
    </r>
    <r>
      <rPr>
        <b/>
        <sz val="10"/>
        <color rgb="FF0000FF"/>
        <rFont val="Arial"/>
        <family val="2"/>
      </rPr>
      <t xml:space="preserve">) </t>
    </r>
  </si>
  <si>
    <r>
      <rPr>
        <b/>
        <i/>
        <u/>
        <sz val="10"/>
        <color rgb="FF0000FF"/>
        <rFont val="Arial"/>
        <family val="2"/>
      </rPr>
      <t>Buck</t>
    </r>
    <r>
      <rPr>
        <b/>
        <sz val="10"/>
        <color rgb="FF0000FF"/>
        <rFont val="Arial"/>
        <family val="2"/>
      </rPr>
      <t>-Leg Power MOSFETs (Q</t>
    </r>
    <r>
      <rPr>
        <b/>
        <vertAlign val="subscript"/>
        <sz val="10"/>
        <color rgb="FF0000FF"/>
        <rFont val="Arial"/>
        <family val="2"/>
      </rPr>
      <t>1</t>
    </r>
    <r>
      <rPr>
        <b/>
        <sz val="10"/>
        <color rgb="FF0000FF"/>
        <rFont val="Arial"/>
        <family val="2"/>
      </rPr>
      <t>, Q</t>
    </r>
    <r>
      <rPr>
        <b/>
        <vertAlign val="subscript"/>
        <sz val="10"/>
        <color rgb="FF0000FF"/>
        <rFont val="Arial"/>
        <family val="2"/>
      </rPr>
      <t>2</t>
    </r>
    <r>
      <rPr>
        <b/>
        <sz val="10"/>
        <color rgb="FF0000FF"/>
        <rFont val="Arial"/>
        <family val="2"/>
      </rPr>
      <t xml:space="preserve">) </t>
    </r>
  </si>
  <si>
    <t xml:space="preserve">  Low-side</t>
  </si>
  <si>
    <r>
      <rPr>
        <i/>
        <sz val="10"/>
        <rFont val="Arial"/>
        <family val="2"/>
      </rPr>
      <t xml:space="preserve">   Boost</t>
    </r>
    <r>
      <rPr>
        <sz val="10"/>
        <rFont val="Arial"/>
        <family val="2"/>
      </rPr>
      <t xml:space="preserve"> Leg</t>
    </r>
  </si>
  <si>
    <t>Tie to GND or VCC for DCM/CCM, respectively. Use 93.1k or 200k for hiccup in DCM, CCM, respectively.</t>
  </si>
  <si>
    <t>sec</t>
  </si>
  <si>
    <t>Toff_Vinmax</t>
  </si>
  <si>
    <t>COMP max voltage</t>
  </si>
  <si>
    <t>COMP min voltage</t>
  </si>
  <si>
    <t>BUCK</t>
  </si>
  <si>
    <t>Ton_Vinmin</t>
  </si>
  <si>
    <t xml:space="preserve">lower edge of BUCK-BOOST </t>
  </si>
  <si>
    <t>Don_buckboost</t>
  </si>
  <si>
    <t>VIN_edgebuckboost</t>
  </si>
  <si>
    <t>Iripple_edgebuckboost</t>
  </si>
  <si>
    <t>Iout_edgebuckboost</t>
  </si>
  <si>
    <t>Calculated inductance for 30% ripple at VIN(min)</t>
  </si>
  <si>
    <t>Calculated inductance for 40% ripple at VIN(nom)</t>
  </si>
  <si>
    <t>Chosen inductance</t>
  </si>
  <si>
    <t>Chosen inductor DCR</t>
  </si>
  <si>
    <t>edge of buck-boost</t>
  </si>
  <si>
    <r>
      <rPr>
        <b/>
        <sz val="10"/>
        <rFont val="Arial"/>
        <family val="2"/>
      </rPr>
      <t>Peak</t>
    </r>
    <r>
      <rPr>
        <sz val="10"/>
        <rFont val="Arial"/>
        <family val="2"/>
      </rPr>
      <t xml:space="preserve"> inductor current limit in </t>
    </r>
    <r>
      <rPr>
        <b/>
        <sz val="10"/>
        <rFont val="Arial"/>
        <family val="2"/>
      </rPr>
      <t>BOOST</t>
    </r>
  </si>
  <si>
    <t>Shunt required to get OCP at VIN(min)</t>
  </si>
  <si>
    <t>Shunt required to get OCP at VIN(nom)</t>
  </si>
  <si>
    <t>Shunt required to get OCP at VIN(max)</t>
  </si>
  <si>
    <t>Ideal Rs for the required OCP -- based on 80mV or 160mV CL threshold</t>
  </si>
  <si>
    <t>Assume we'd like to achieve current limit particularly at VIN(min) and boost side of buck-boost region; accept inevitable variation over line thereafter</t>
  </si>
  <si>
    <t>Shunt required to get OCP at VIN(edge-bb)</t>
  </si>
  <si>
    <t>Edge of B-B</t>
  </si>
  <si>
    <t>lower edge of buck-boost window</t>
  </si>
  <si>
    <t>BUCK-BOOST</t>
  </si>
  <si>
    <t>Icinrms_VINmin</t>
  </si>
  <si>
    <t>Icinrms_VINnom</t>
  </si>
  <si>
    <t>Icinrms_VINmiax</t>
  </si>
  <si>
    <t>Max Cout rms current</t>
  </si>
  <si>
    <t xml:space="preserve">Resulting Input Voltage Ripple (max) </t>
  </si>
  <si>
    <t xml:space="preserve">Resulting Output Voltage Ripple (max) </t>
  </si>
  <si>
    <t xml:space="preserve">Output Capacitor RMS Current (max) </t>
  </si>
  <si>
    <t>Input Capacitor RMS Current (max)</t>
  </si>
  <si>
    <t>Max Cin rms current</t>
  </si>
  <si>
    <t>Input voltage ripple spec (pk-pk)</t>
  </si>
  <si>
    <t>Reported Coutmin</t>
  </si>
  <si>
    <t>Output Voltage Ripple Spec</t>
  </si>
  <si>
    <t>Input Voltage Ripple Spec</t>
  </si>
  <si>
    <t>Minimum Input Capacitance</t>
  </si>
  <si>
    <t>Period</t>
  </si>
  <si>
    <t>Ts</t>
  </si>
  <si>
    <t>VIN_boost_to_BB</t>
  </si>
  <si>
    <t>VIN_BB_to_boost</t>
  </si>
  <si>
    <t>VIN_BB_to_buck</t>
  </si>
  <si>
    <t>VIN_buck_to_BB</t>
  </si>
  <si>
    <t>Ishunt_rms_Vinmin</t>
  </si>
  <si>
    <t>Ishunt_rms_Vinnom</t>
  </si>
  <si>
    <t>Ishunt_rms_Vinmax</t>
  </si>
  <si>
    <t>Max shunt power loss at full load</t>
  </si>
  <si>
    <t>Shunt Loss</t>
  </si>
  <si>
    <t>Cinmin_Vinmax</t>
  </si>
  <si>
    <t>Buck 50% typically worst case</t>
  </si>
  <si>
    <t>CinEsrMax_Vinmax</t>
  </si>
  <si>
    <t>CinEsrMax_50%D</t>
  </si>
  <si>
    <t>Cinmin_50%D</t>
  </si>
  <si>
    <t>Vinripple2_Vinmax</t>
  </si>
  <si>
    <t>Vinripple2_50%D</t>
  </si>
  <si>
    <t>Calculate ripple at Vinmax and 50% duty cycle (Vin = 2*Vout)</t>
  </si>
  <si>
    <t>Calculate cap at Vinmax and 50% duty cycle (Vin = 2*Vout)</t>
  </si>
  <si>
    <t>Calculate ESR at Vinmax and 50% duty cycle (Vin = 2*Vout)</t>
  </si>
  <si>
    <t>Step 7: Compensation</t>
  </si>
  <si>
    <t>Step 6b: Other Components - UVLO, Dither, MODE</t>
  </si>
  <si>
    <t>Step 6a: Soft Start</t>
  </si>
  <si>
    <t>…report highest of these</t>
  </si>
  <si>
    <t>…report this</t>
  </si>
  <si>
    <t>PLOT_TYPE</t>
  </si>
  <si>
    <r>
      <t>Full Load Output Current, I</t>
    </r>
    <r>
      <rPr>
        <b/>
        <vertAlign val="subscript"/>
        <sz val="10"/>
        <color theme="1"/>
        <rFont val="Arial"/>
        <family val="2"/>
      </rPr>
      <t>OUT(max)</t>
    </r>
  </si>
  <si>
    <t>BUCK-BOOST CONTROLLER POWER TOOL</t>
  </si>
  <si>
    <r>
      <t>Q1/Q3 R</t>
    </r>
    <r>
      <rPr>
        <b/>
        <vertAlign val="subscript"/>
        <sz val="10"/>
        <rFont val="Arial"/>
        <family val="2"/>
      </rPr>
      <t>DS(on)</t>
    </r>
    <r>
      <rPr>
        <b/>
        <sz val="10"/>
        <rFont val="Arial"/>
        <family val="2"/>
      </rPr>
      <t xml:space="preserve"> Loss @ D = 100%</t>
    </r>
  </si>
  <si>
    <t>Pass FET</t>
  </si>
  <si>
    <t>Control FET Temp Rise</t>
  </si>
  <si>
    <t>Sync FET Temp Rise</t>
  </si>
  <si>
    <t>Core Loss</t>
  </si>
  <si>
    <t>Irms Lf</t>
  </si>
  <si>
    <t xml:space="preserve">High-side BUCK "Control" MOSFET Losses </t>
  </si>
  <si>
    <t xml:space="preserve">Low-side BUCK "Sync" MOSFET Losses </t>
  </si>
  <si>
    <t xml:space="preserve">Low-side BOOST "Control" MOSFET Losses </t>
  </si>
  <si>
    <t xml:space="preserve">High-side BOOST "Sync" MOSFET Losses </t>
  </si>
  <si>
    <t>Mode</t>
  </si>
  <si>
    <t>Operating Point Condtions</t>
  </si>
  <si>
    <t>Mode Digit</t>
  </si>
  <si>
    <t>Duty Cycle BOOST Leg</t>
  </si>
  <si>
    <t>Duty Cycle BUCK Leg</t>
  </si>
  <si>
    <t>Avg IL</t>
  </si>
  <si>
    <t>Total MOSFET Loss</t>
  </si>
  <si>
    <t>Full-load/high line efficiency</t>
  </si>
  <si>
    <t>Half-load/mid-line efficiency</t>
  </si>
  <si>
    <t>Low line efficiency</t>
  </si>
  <si>
    <t>θJA-MOSFET</t>
  </si>
  <si>
    <t>θJA</t>
  </si>
  <si>
    <t>10% load</t>
  </si>
  <si>
    <t>100% load</t>
  </si>
  <si>
    <t>50% load</t>
  </si>
  <si>
    <t>Low VIN</t>
  </si>
  <si>
    <t>High VIN</t>
  </si>
  <si>
    <t>Nom VIN</t>
  </si>
  <si>
    <r>
      <t xml:space="preserve">Efficiency vs </t>
    </r>
    <r>
      <rPr>
        <b/>
        <sz val="10"/>
        <rFont val="Arial"/>
        <family val="2"/>
      </rPr>
      <t>IOUT</t>
    </r>
    <r>
      <rPr>
        <sz val="10"/>
        <rFont val="Arial"/>
        <family val="2"/>
      </rPr>
      <t xml:space="preserve"> Plot</t>
    </r>
  </si>
  <si>
    <t>Efficiency vs VIN Plot</t>
  </si>
  <si>
    <t>VIN range</t>
  </si>
  <si>
    <t>1 = Yes, 2 = No</t>
  </si>
  <si>
    <t>Worst case peak inductor current</t>
  </si>
  <si>
    <r>
      <t>V</t>
    </r>
    <r>
      <rPr>
        <b/>
        <vertAlign val="subscript"/>
        <sz val="10"/>
        <color theme="1"/>
        <rFont val="Arial"/>
        <family val="2"/>
      </rPr>
      <t>IN(nom)</t>
    </r>
  </si>
  <si>
    <t>dB</t>
  </si>
  <si>
    <t>EA Gain</t>
  </si>
  <si>
    <t>EA Gain (dB)</t>
  </si>
  <si>
    <t>Restored to 50mV as ICTRL went away and the 25mV centering also went away.</t>
  </si>
  <si>
    <t>Edited by Vijay from 96% to 90% to match datasheet calculations.</t>
  </si>
  <si>
    <t>Vijay's simplification</t>
  </si>
  <si>
    <t>Cc2 calculation updated to place at 5-10x the crossover. Vijay 10/7/2016</t>
  </si>
  <si>
    <t>Vijay Edit. Changed from Fcross/2 to 1.5x of Fp_dominant</t>
  </si>
  <si>
    <t>Vijay verified that this calculation (Vinmax) are correct for OCP.</t>
  </si>
  <si>
    <t>LM5177</t>
  </si>
  <si>
    <t>edited based on LM5177 curve fit.</t>
  </si>
  <si>
    <t>50ns for LM5177</t>
  </si>
  <si>
    <t>Quiescent Current of LM5177 Controller (Not Switching!)</t>
  </si>
  <si>
    <t xml:space="preserve">to check </t>
  </si>
  <si>
    <t>Pos and neg. is identical - otherwise take lower value</t>
  </si>
  <si>
    <t>Identical for Buck and Boost</t>
  </si>
  <si>
    <t>Rslope_ideal</t>
  </si>
  <si>
    <t>Rslope_recommended</t>
  </si>
  <si>
    <t>Rslope_selected</t>
  </si>
  <si>
    <r>
      <t>SLOPE Resistor, R</t>
    </r>
    <r>
      <rPr>
        <b/>
        <vertAlign val="subscript"/>
        <sz val="10"/>
        <color theme="1"/>
        <rFont val="Arial"/>
        <family val="2"/>
      </rPr>
      <t>SLOPE</t>
    </r>
  </si>
  <si>
    <t>Selected SLOPE Resistor</t>
  </si>
  <si>
    <t>Standard size based on Rsideal slope Resistor</t>
  </si>
  <si>
    <t>free</t>
  </si>
  <si>
    <t>Setting</t>
  </si>
  <si>
    <t>DRSS</t>
  </si>
  <si>
    <t>R_CFG [</t>
  </si>
  <si>
    <t>CFG</t>
  </si>
  <si>
    <r>
      <t>Configuration Resistor on CFG: R</t>
    </r>
    <r>
      <rPr>
        <vertAlign val="subscript"/>
        <sz val="10"/>
        <rFont val="Arial"/>
        <family val="2"/>
      </rPr>
      <t>CFG</t>
    </r>
  </si>
  <si>
    <t>Step 6: Soft-start, UVLO, CFG</t>
  </si>
  <si>
    <t>Vref_eff</t>
  </si>
  <si>
    <t>effective Vref with Tracking</t>
  </si>
  <si>
    <t>=Ro*(1-Don_Vinnom_2)/(Ri*KD)</t>
  </si>
  <si>
    <t>=Ro/Ri*1/((1+Ro*(k-0.5)/(Fsw*Lf)))</t>
  </si>
  <si>
    <t>=1/(2*Pi*Ro*Cout)+(k-0.5)/(2*Pi*Fsw*Lf*Cout)</t>
  </si>
  <si>
    <t>Version Number</t>
  </si>
  <si>
    <t>Version History</t>
  </si>
  <si>
    <t>Version</t>
  </si>
  <si>
    <t>Change List Description</t>
  </si>
  <si>
    <t>Initial Release</t>
  </si>
  <si>
    <t>using 50MV/As from Datasheet</t>
  </si>
  <si>
    <r>
      <t>Upper Feedback Resistor, R</t>
    </r>
    <r>
      <rPr>
        <b/>
        <vertAlign val="subscript"/>
        <sz val="10"/>
        <rFont val="Arial"/>
        <family val="2"/>
      </rPr>
      <t xml:space="preserve">FBT </t>
    </r>
  </si>
  <si>
    <r>
      <t>Lower Feedback Resistor, R</t>
    </r>
    <r>
      <rPr>
        <vertAlign val="subscript"/>
        <sz val="10"/>
        <rFont val="Arial"/>
        <family val="2"/>
      </rPr>
      <t>FBB</t>
    </r>
    <r>
      <rPr>
        <sz val="10"/>
        <rFont val="Arial"/>
        <family val="2"/>
      </rPr>
      <t xml:space="preserve"> </t>
    </r>
  </si>
  <si>
    <t>Limit Min. output Cap</t>
  </si>
  <si>
    <t>Frhp_Vinmin</t>
  </si>
  <si>
    <t>uses Vin(min)!!</t>
  </si>
  <si>
    <r>
      <t>Boost RHP Zero Frequency @ V</t>
    </r>
    <r>
      <rPr>
        <vertAlign val="subscript"/>
        <sz val="10"/>
        <rFont val="Arial"/>
        <family val="2"/>
      </rPr>
      <t>IN(NOM)</t>
    </r>
  </si>
  <si>
    <r>
      <t>Boost RHP Zero Frequency @ V</t>
    </r>
    <r>
      <rPr>
        <vertAlign val="subscript"/>
        <sz val="10"/>
        <rFont val="Arial"/>
        <family val="2"/>
      </rPr>
      <t>IN(MIN)</t>
    </r>
  </si>
  <si>
    <t>Internal Slope Compensation Capacitor</t>
  </si>
  <si>
    <r>
      <t>recommended Soft-Start Time, t</t>
    </r>
    <r>
      <rPr>
        <vertAlign val="subscript"/>
        <sz val="10"/>
        <color theme="1"/>
        <rFont val="Arial"/>
        <family val="2"/>
      </rPr>
      <t>SS</t>
    </r>
    <r>
      <rPr>
        <sz val="10"/>
        <color theme="1"/>
        <rFont val="Arial"/>
        <family val="2"/>
      </rPr>
      <t xml:space="preserve"> for I</t>
    </r>
    <r>
      <rPr>
        <vertAlign val="subscript"/>
        <sz val="10"/>
        <color theme="1"/>
        <rFont val="Arial"/>
        <family val="2"/>
      </rPr>
      <t>SCP(MIN)</t>
    </r>
  </si>
  <si>
    <t>Configuration Setting</t>
  </si>
  <si>
    <t>SQJ422EP</t>
  </si>
  <si>
    <t>With Rcs</t>
  </si>
  <si>
    <t>1.0.0</t>
  </si>
  <si>
    <t>removing the factor of 2 does make if fit much better to simplis - why?</t>
  </si>
  <si>
    <t>Lbuck</t>
  </si>
  <si>
    <t>Lmin</t>
  </si>
  <si>
    <t>Lboost</t>
  </si>
  <si>
    <t>Lmax</t>
  </si>
  <si>
    <t>Labsmin</t>
  </si>
  <si>
    <t>L_avg</t>
  </si>
  <si>
    <t>L_min</t>
  </si>
  <si>
    <t>Joerg's Calculation</t>
  </si>
  <si>
    <t>Calculated inductance for 60% ripple at VIN(max)</t>
  </si>
  <si>
    <t>Ifb</t>
  </si>
  <si>
    <t>Rfb2_max</t>
  </si>
  <si>
    <t>Max value for Rfb2</t>
  </si>
  <si>
    <r>
      <t>VIN</t>
    </r>
    <r>
      <rPr>
        <vertAlign val="subscript"/>
        <sz val="10"/>
        <rFont val="Arial"/>
        <family val="2"/>
      </rPr>
      <t>UVLO_OFF</t>
    </r>
  </si>
  <si>
    <t>Error Amp</t>
  </si>
  <si>
    <t>Step 6c: Current Monitor / Current Limiter</t>
  </si>
  <si>
    <t>Monitor</t>
  </si>
  <si>
    <t>Limiter</t>
  </si>
  <si>
    <r>
      <t>I</t>
    </r>
    <r>
      <rPr>
        <vertAlign val="subscript"/>
        <sz val="10"/>
        <rFont val="Arial"/>
        <family val="2"/>
      </rPr>
      <t>monitor,Max</t>
    </r>
  </si>
  <si>
    <t>Flag to show current sense is used</t>
  </si>
  <si>
    <t>g_m</t>
  </si>
  <si>
    <t>g_m of Current monitor amplifier</t>
  </si>
  <si>
    <t>Vimonitor,out,max</t>
  </si>
  <si>
    <t>RImonitorOut</t>
  </si>
  <si>
    <t>Resistor to be connected to IMONOUT</t>
  </si>
  <si>
    <t>max Voltage at IMONOUT</t>
  </si>
  <si>
    <t>IMONLIM_select</t>
  </si>
  <si>
    <t>CFG Setting</t>
  </si>
  <si>
    <t>IMON_LIMIT: off</t>
  </si>
  <si>
    <t>IMON: on</t>
  </si>
  <si>
    <t>DRSS: off</t>
  </si>
  <si>
    <t>DRSS: on</t>
  </si>
  <si>
    <t>0:off / 1:IMON / 2: ILIM</t>
  </si>
  <si>
    <r>
      <t>IMONOUT Filter , C</t>
    </r>
    <r>
      <rPr>
        <vertAlign val="subscript"/>
        <sz val="10"/>
        <rFont val="Arial"/>
        <family val="2"/>
      </rPr>
      <t>IMON</t>
    </r>
  </si>
  <si>
    <r>
      <t>IMONOUT Filter , R</t>
    </r>
    <r>
      <rPr>
        <vertAlign val="subscript"/>
        <sz val="10"/>
        <rFont val="Arial"/>
        <family val="2"/>
      </rPr>
      <t>IMON</t>
    </r>
  </si>
  <si>
    <r>
      <t>Current Sense Shunt Resistance, R</t>
    </r>
    <r>
      <rPr>
        <vertAlign val="subscript"/>
        <sz val="10"/>
        <rFont val="Arial"/>
        <family val="2"/>
      </rPr>
      <t>CS(out/in)</t>
    </r>
  </si>
  <si>
    <t>Current Monitor/Limiter</t>
  </si>
  <si>
    <t>ILimit Amplifier</t>
  </si>
  <si>
    <t>Ilimit</t>
  </si>
  <si>
    <t>Fp_IL</t>
  </si>
  <si>
    <t>Fp_ILHF</t>
  </si>
  <si>
    <t>RcIL</t>
  </si>
  <si>
    <t>Cc1IL</t>
  </si>
  <si>
    <t>Cc2IL</t>
  </si>
  <si>
    <t>AIL</t>
  </si>
  <si>
    <t>IL zero, z1</t>
  </si>
  <si>
    <t>IL pole, p1</t>
  </si>
  <si>
    <t>IL pole, p2</t>
  </si>
  <si>
    <t>gm_IL</t>
  </si>
  <si>
    <t>GBW_IL</t>
  </si>
  <si>
    <t>Cbw_IL</t>
  </si>
  <si>
    <t>RoEA_IL</t>
  </si>
  <si>
    <t>0: PSM  1: FPWM</t>
  </si>
  <si>
    <t>ILIMIT: negative</t>
  </si>
  <si>
    <t>ILIMIT: positive</t>
  </si>
  <si>
    <t>Column14</t>
  </si>
  <si>
    <t>Column1</t>
  </si>
  <si>
    <t>Buck ''Control'' MOSFET Loss</t>
  </si>
  <si>
    <t>Buck ''SYNC'' MOSFET Loss</t>
  </si>
  <si>
    <t>'CONTROL'' MOSFET Temp Rise</t>
  </si>
  <si>
    <t>'SYNC'' MOSFET Temp Rise</t>
  </si>
  <si>
    <t>Device</t>
  </si>
  <si>
    <t>This cell give 1 for disable and 2 for enable</t>
  </si>
  <si>
    <t>Calc Setting</t>
  </si>
  <si>
    <t>Rslope</t>
  </si>
  <si>
    <t>Labsmax</t>
  </si>
  <si>
    <t>Loop Gain (dB)</t>
  </si>
  <si>
    <t>:Loop Phase Margin (°)</t>
  </si>
  <si>
    <t>BODEPLOT_TYPE</t>
  </si>
  <si>
    <t xml:space="preserve">EXCEL Device Parameter </t>
  </si>
  <si>
    <t>Selected Value</t>
  </si>
  <si>
    <t>LM51771</t>
  </si>
  <si>
    <t>MaxVin</t>
  </si>
  <si>
    <t>MinVin</t>
  </si>
  <si>
    <t>MaxfSW</t>
  </si>
  <si>
    <t>Lopt_Limit</t>
  </si>
  <si>
    <t>Peak Current Limit Margin</t>
  </si>
  <si>
    <t>Ipeak_inductor_Vinmin</t>
  </si>
  <si>
    <t>Ipeak_inductor_Vinnom</t>
  </si>
  <si>
    <t>Ipeak_inductor_Vinmax</t>
  </si>
  <si>
    <t>Ipeak_inductor_buckboost</t>
  </si>
  <si>
    <t>Ilimit_Margin</t>
  </si>
  <si>
    <t>CDC Transconductance</t>
  </si>
  <si>
    <t>Rs_in_range</t>
  </si>
  <si>
    <t>Rs_Init</t>
  </si>
  <si>
    <t>BUCK current limit - peak</t>
  </si>
  <si>
    <r>
      <rPr>
        <b/>
        <sz val="10"/>
        <rFont val="Arial"/>
        <family val="2"/>
      </rPr>
      <t>Peak</t>
    </r>
    <r>
      <rPr>
        <sz val="10"/>
        <rFont val="Arial"/>
        <family val="2"/>
      </rPr>
      <t xml:space="preserve"> inductor current limit in </t>
    </r>
    <r>
      <rPr>
        <b/>
        <sz val="10"/>
        <rFont val="Arial"/>
        <family val="2"/>
      </rPr>
      <t>BUCK</t>
    </r>
  </si>
  <si>
    <t>Ipeak_inductor_max</t>
  </si>
  <si>
    <r>
      <t>Max Peak Inductor Current, I</t>
    </r>
    <r>
      <rPr>
        <vertAlign val="subscript"/>
        <sz val="10"/>
        <color theme="1"/>
        <rFont val="Arial"/>
        <family val="2"/>
      </rPr>
      <t>LPk,Max</t>
    </r>
  </si>
  <si>
    <t>Ipeak_inductor_max_margin</t>
  </si>
  <si>
    <t>L(peak limit, less than)</t>
  </si>
  <si>
    <t>calculated based on 20% ripple limit</t>
  </si>
  <si>
    <t>Ipeak_peak_inductor</t>
  </si>
  <si>
    <t>IIN_avg_max</t>
  </si>
  <si>
    <t>Max shunt power loss at OC</t>
  </si>
  <si>
    <t>Power Loss in Rs at over current limit</t>
  </si>
  <si>
    <r>
      <t>Peak Inductor Over Current Limit, I</t>
    </r>
    <r>
      <rPr>
        <vertAlign val="subscript"/>
        <sz val="10"/>
        <color theme="1"/>
        <rFont val="Arial"/>
        <family val="2"/>
      </rPr>
      <t>LPK,Limit</t>
    </r>
  </si>
  <si>
    <t>PSM Entry</t>
  </si>
  <si>
    <t>10%</t>
  </si>
  <si>
    <t>15%</t>
  </si>
  <si>
    <t>Current LIMIT</t>
  </si>
  <si>
    <t>SCP - HICCUP</t>
  </si>
  <si>
    <t>PSM Entry: 10%</t>
  </si>
  <si>
    <t>PSM Entry: 15%</t>
  </si>
  <si>
    <t>HICCUP: off</t>
  </si>
  <si>
    <t>HICCUP: on</t>
  </si>
  <si>
    <r>
      <t>R</t>
    </r>
    <r>
      <rPr>
        <b/>
        <vertAlign val="subscript"/>
        <sz val="10"/>
        <rFont val="Arial"/>
        <family val="2"/>
      </rPr>
      <t>COMP</t>
    </r>
  </si>
  <si>
    <r>
      <t>C</t>
    </r>
    <r>
      <rPr>
        <b/>
        <vertAlign val="subscript"/>
        <sz val="10"/>
        <rFont val="Arial"/>
        <family val="2"/>
      </rPr>
      <t>COMP</t>
    </r>
  </si>
  <si>
    <r>
      <t>C</t>
    </r>
    <r>
      <rPr>
        <b/>
        <vertAlign val="subscript"/>
        <sz val="10"/>
        <rFont val="Arial"/>
        <family val="2"/>
      </rPr>
      <t>HF</t>
    </r>
  </si>
  <si>
    <t>A_OL_IL</t>
  </si>
  <si>
    <t>C_IL_recommend</t>
  </si>
  <si>
    <t>R_IL_recommend</t>
  </si>
  <si>
    <t>4 times of C_IL pole</t>
  </si>
  <si>
    <t>t_on_min_Boost</t>
  </si>
  <si>
    <t>f_SW [MHz]</t>
  </si>
  <si>
    <t>R_CS</t>
  </si>
  <si>
    <t>C_CS</t>
  </si>
  <si>
    <r>
      <t>Recommended R</t>
    </r>
    <r>
      <rPr>
        <vertAlign val="subscript"/>
        <sz val="10"/>
        <rFont val="Arial"/>
        <family val="2"/>
      </rPr>
      <t>DIFF</t>
    </r>
    <r>
      <rPr>
        <sz val="10"/>
        <rFont val="Arial"/>
        <family val="2"/>
      </rPr>
      <t xml:space="preserve"> for Current Sense Filter</t>
    </r>
  </si>
  <si>
    <r>
      <t>Recommended C</t>
    </r>
    <r>
      <rPr>
        <vertAlign val="subscript"/>
        <sz val="10"/>
        <rFont val="Arial"/>
        <family val="2"/>
      </rPr>
      <t>DIFF</t>
    </r>
    <r>
      <rPr>
        <sz val="10"/>
        <rFont val="Arial"/>
        <family val="2"/>
      </rPr>
      <t xml:space="preserve"> for Current Sense Filter</t>
    </r>
  </si>
  <si>
    <t>Ccsa_ideal</t>
  </si>
  <si>
    <t>Ccsa</t>
  </si>
  <si>
    <t>C_CS_ideal</t>
  </si>
  <si>
    <t>Divider Network &amp; IL Poles/Zeros</t>
  </si>
  <si>
    <t>Iload</t>
  </si>
  <si>
    <t>Rload</t>
  </si>
  <si>
    <t>Co1</t>
  </si>
  <si>
    <t>Co2</t>
  </si>
  <si>
    <t>Adc [dB]</t>
  </si>
  <si>
    <t>Co1_esr</t>
  </si>
  <si>
    <t>CO2_esr</t>
  </si>
  <si>
    <t>L_dcr</t>
  </si>
  <si>
    <t>IL ERROR AMP Response</t>
  </si>
  <si>
    <t>Duty</t>
  </si>
  <si>
    <t>G_d_il</t>
  </si>
  <si>
    <t>ZL</t>
  </si>
  <si>
    <t>ZCo1</t>
  </si>
  <si>
    <t>ZCo2</t>
  </si>
  <si>
    <t>Zout</t>
  </si>
  <si>
    <t>Zout_sns</t>
  </si>
  <si>
    <t>Zout_all</t>
  </si>
  <si>
    <t>He</t>
  </si>
  <si>
    <t>G_d_iout</t>
  </si>
  <si>
    <t>G_d_isns</t>
  </si>
  <si>
    <t>G_d_mid</t>
  </si>
  <si>
    <t>G_d_vo</t>
  </si>
  <si>
    <t>G_vc_isns</t>
  </si>
  <si>
    <t>G_vc_Il</t>
  </si>
  <si>
    <t>G_vc_vo</t>
  </si>
  <si>
    <t>ADC_EA</t>
  </si>
  <si>
    <t>Complex</t>
  </si>
  <si>
    <t>ADC_IL</t>
  </si>
  <si>
    <t>Rsns</t>
  </si>
  <si>
    <t>Gm_csa</t>
  </si>
  <si>
    <t>r_v2i_ipeak</t>
  </si>
  <si>
    <t>i_sns_gain</t>
  </si>
  <si>
    <t>Vse</t>
  </si>
  <si>
    <t>Fm</t>
  </si>
  <si>
    <t>Recommended SLOPE Resistor</t>
  </si>
  <si>
    <t>LM51770</t>
  </si>
  <si>
    <t>Co2_u</t>
  </si>
  <si>
    <t>gm_csa</t>
  </si>
  <si>
    <t>G_d_il_smpl</t>
  </si>
  <si>
    <t>Step 7.2: Current Limiter Compensation Design</t>
  </si>
  <si>
    <t>Step 7.1: Compensation Components</t>
  </si>
  <si>
    <r>
      <t>C</t>
    </r>
    <r>
      <rPr>
        <vertAlign val="subscript"/>
        <sz val="10"/>
        <rFont val="Arial"/>
        <family val="2"/>
      </rPr>
      <t>IMON</t>
    </r>
  </si>
  <si>
    <r>
      <t>R</t>
    </r>
    <r>
      <rPr>
        <vertAlign val="subscript"/>
        <sz val="10"/>
        <rFont val="Arial"/>
        <family val="2"/>
      </rPr>
      <t>IMON</t>
    </r>
  </si>
  <si>
    <t>Boost ''Control'' MOSFET Loss</t>
  </si>
  <si>
    <t>Boost ''SYNC'' MOSFET Loss</t>
  </si>
  <si>
    <t>Calc_mode</t>
  </si>
  <si>
    <t>1: Joerg / 0: LM5177</t>
  </si>
  <si>
    <t>3 times of F_Cross</t>
  </si>
  <si>
    <t>1.0.1</t>
  </si>
  <si>
    <t>Deadtime Loss ext D</t>
  </si>
  <si>
    <t>Reverse Recovery Loss MOSFET D BUCK</t>
  </si>
  <si>
    <t>Reverse Recovery Loss MOSFET D BOOST</t>
  </si>
  <si>
    <t>Improved calculation of Desired Crossover Frequency</t>
  </si>
  <si>
    <t>Suggested Crossover Frequency</t>
  </si>
  <si>
    <t>Error Amp Pole Frequency</t>
  </si>
  <si>
    <r>
      <t>Effective V</t>
    </r>
    <r>
      <rPr>
        <vertAlign val="subscript"/>
        <sz val="10"/>
        <rFont val="Arial"/>
        <family val="2"/>
      </rPr>
      <t>OUT</t>
    </r>
  </si>
  <si>
    <t>1:LM5177 / 2:LM51772</t>
  </si>
  <si>
    <t>Transition</t>
  </si>
  <si>
    <t>BuckBoost</t>
  </si>
  <si>
    <t>iripple,avg_L</t>
  </si>
  <si>
    <t>di = du/L * dt</t>
  </si>
  <si>
    <t>avg = 1/T * (I1 * dt1 + …</t>
  </si>
  <si>
    <t>Buck -&gt; BuBo</t>
  </si>
  <si>
    <t>iripple,avg_L_out_path</t>
  </si>
  <si>
    <t>Fsw [kHz]</t>
  </si>
  <si>
    <t>BuBo -&gt; Buck</t>
  </si>
  <si>
    <t>iripple,avg_L_in_path</t>
  </si>
  <si>
    <t>IL [A]</t>
  </si>
  <si>
    <t>Boost -&gt; BuBo</t>
  </si>
  <si>
    <t>BuBo -&gt; Boost</t>
  </si>
  <si>
    <t>iavg</t>
  </si>
  <si>
    <t>Vout [V]</t>
  </si>
  <si>
    <t>LM51772</t>
  </si>
  <si>
    <t>dI1</t>
  </si>
  <si>
    <t>dI2</t>
  </si>
  <si>
    <t>Timings [ns]</t>
  </si>
  <si>
    <t>Phase II (Q1-Q4)</t>
  </si>
  <si>
    <t>Phase I (Q1-Q3)</t>
  </si>
  <si>
    <t>Phase III (Q2-Q4)</t>
  </si>
  <si>
    <t>dI3</t>
  </si>
  <si>
    <t>eff</t>
  </si>
  <si>
    <t>Abs currents at</t>
  </si>
  <si>
    <t>BuBo center</t>
  </si>
  <si>
    <t>Simplis Align factor</t>
  </si>
  <si>
    <t>I_0</t>
  </si>
  <si>
    <t>default 0.5</t>
  </si>
  <si>
    <t>I_1</t>
  </si>
  <si>
    <t>I_2</t>
  </si>
  <si>
    <t>Duty cycles [%]</t>
  </si>
  <si>
    <t>Timings</t>
  </si>
  <si>
    <t>I_PP</t>
  </si>
  <si>
    <t>t1 - Ph. II</t>
  </si>
  <si>
    <t>t2 - Ph. I</t>
  </si>
  <si>
    <t>i_rms</t>
  </si>
  <si>
    <t>t3 - Ph. III</t>
  </si>
  <si>
    <t>t period</t>
  </si>
  <si>
    <t>Boost</t>
  </si>
  <si>
    <t>Simplis</t>
  </si>
  <si>
    <t>Ref - Calc</t>
  </si>
  <si>
    <t>Vin &lt; vout</t>
  </si>
  <si>
    <t>t[ns]</t>
  </si>
  <si>
    <t>Delta t [ns]</t>
  </si>
  <si>
    <t>t0</t>
  </si>
  <si>
    <t>I start</t>
  </si>
  <si>
    <t>Delta</t>
  </si>
  <si>
    <t>Ph. II</t>
  </si>
  <si>
    <t>Ph. I</t>
  </si>
  <si>
    <t>Ph. III</t>
  </si>
  <si>
    <t>Buck</t>
  </si>
  <si>
    <t>EVM</t>
  </si>
  <si>
    <t>XGL1060-332MEC</t>
  </si>
  <si>
    <t>T period</t>
  </si>
  <si>
    <t>Volt second balance</t>
  </si>
  <si>
    <t>U = L dI/dt</t>
  </si>
  <si>
    <t>V dt = L dI</t>
  </si>
  <si>
    <t>(Ui - Uo)* t1 + Ui * t2 - Uo * t3 = 0</t>
  </si>
  <si>
    <t>math</t>
  </si>
  <si>
    <t>t3 = T -t1 -t2</t>
  </si>
  <si>
    <t>(Ui - Uo)* t1 + Ui * t2 - Uo * (T -t1 -t2) = 0</t>
  </si>
  <si>
    <t>(Ui - Uo)*t1 -Uo*T+Uo*t1 +Uo*t2 + Ui * t2 = 0</t>
  </si>
  <si>
    <t>(Ui *t1 + (Uo + Ui) * t2 -Uo*T = 0</t>
  </si>
  <si>
    <t>(Ui *t1 + (Uo + ui) * t2 -Uo*T = 0</t>
  </si>
  <si>
    <t>t2 = (Uo*T - Ui*t1)/(Ui+Uo)</t>
  </si>
  <si>
    <t>rms = sqrt(1/T * t1 (i0 * i1 + (i1-i0)^2/3)</t>
  </si>
  <si>
    <t>rms = sqrt(1/T *   ( t1 * (i0 * i1 + ((i1-i0)^2)/3) +  t2 * (i1 * i2 + ((i2-i1)^2)/3)   +   t2 *  (i2 * i0 + ((i0-i2)^2)/3) ) )</t>
  </si>
  <si>
    <t>t1_Ph_II</t>
  </si>
  <si>
    <t>t2_Ph_I</t>
  </si>
  <si>
    <t>t3_Ph_III</t>
  </si>
  <si>
    <t>Irms BuCtrl</t>
  </si>
  <si>
    <r>
      <t>R</t>
    </r>
    <r>
      <rPr>
        <b/>
        <vertAlign val="subscript"/>
        <sz val="10"/>
        <rFont val="Arial"/>
        <family val="2"/>
      </rPr>
      <t>DS(on)</t>
    </r>
    <r>
      <rPr>
        <b/>
        <sz val="10"/>
        <rFont val="Arial"/>
        <family val="2"/>
      </rPr>
      <t xml:space="preserve"> Loss BuCtrl</t>
    </r>
  </si>
  <si>
    <t>Transition Loss BuCtrl</t>
  </si>
  <si>
    <t>Dead Time Loss BuCtrl</t>
  </si>
  <si>
    <t>Total Control Bu MOSFET Loss</t>
  </si>
  <si>
    <t>Irms BuSync</t>
  </si>
  <si>
    <t>RDS(on) Loss BuSync</t>
  </si>
  <si>
    <t>Deadtime Loss BuSync</t>
  </si>
  <si>
    <t>Total Sync Bu MOSFET Loss</t>
  </si>
  <si>
    <t>Irms BoCtlr</t>
  </si>
  <si>
    <t>RDS(on) Loss BoCtlr</t>
  </si>
  <si>
    <t>Transition Loss BoCtlr</t>
  </si>
  <si>
    <t>Dead Time Loss BoCtlr</t>
  </si>
  <si>
    <t>Total Control Bo MOSFET Loss</t>
  </si>
  <si>
    <t>Irms BoSync</t>
  </si>
  <si>
    <t>RDS(on) Loss BoSync</t>
  </si>
  <si>
    <t>Deadtime Loss BoSync</t>
  </si>
  <si>
    <t>Total Sync Bo MOSFET Loss</t>
  </si>
  <si>
    <t>LM517701</t>
  </si>
  <si>
    <t>Added support for LM517701</t>
  </si>
  <si>
    <t>CS threshold</t>
  </si>
  <si>
    <t>CS threshold_max</t>
  </si>
  <si>
    <t>CS threshold_min</t>
  </si>
  <si>
    <t>Adjusted max. peak inductor current limit for LM51770 to 57.5mV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</si>
</sst>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76" formatCode="_-* #,##0.00\ _€_-;\-* #,##0.00\ _€_-;_-* &quot;-&quot;??\ _€_-;_-@_-"/>
    <numFmt numFmtId="177" formatCode="_(* #,##0.00_);_(* \(#,##0.00\);_(* &quot;-&quot;??_);_(@_)"/>
    <numFmt numFmtId="178" formatCode="0.000000"/>
    <numFmt numFmtId="179" formatCode="0.00000"/>
    <numFmt numFmtId="180" formatCode="0.0000"/>
    <numFmt numFmtId="181" formatCode="0.000"/>
    <numFmt numFmtId="182" formatCode="0.0"/>
    <numFmt numFmtId="183" formatCode="0.000E+00"/>
    <numFmt numFmtId="184" formatCode="#0.0#"/>
    <numFmt numFmtId="185" formatCode="0.E+00"/>
    <numFmt numFmtId="186" formatCode="0.0%"/>
    <numFmt numFmtId="187" formatCode="0.0E+00"/>
    <numFmt numFmtId="188" formatCode="##0.00E+0"/>
  </numFmts>
  <fonts count="108" x14ac:knownFonts="1">
    <font>
      <sz val="10"/>
      <name val="Arial"/>
    </font>
    <font>
      <sz val="11"/>
      <color theme="1"/>
      <name val="新細明體"/>
      <family val="2"/>
      <scheme val="minor"/>
    </font>
    <font>
      <sz val="11"/>
      <color theme="1"/>
      <name val="新細明體"/>
      <family val="2"/>
      <scheme val="minor"/>
    </font>
    <font>
      <sz val="11"/>
      <color theme="1"/>
      <name val="新細明體"/>
      <family val="2"/>
      <scheme val="minor"/>
    </font>
    <font>
      <sz val="11"/>
      <color theme="1"/>
      <name val="新細明體"/>
      <family val="2"/>
      <scheme val="minor"/>
    </font>
    <font>
      <sz val="11"/>
      <color theme="1"/>
      <name val="新細明體"/>
      <family val="2"/>
      <scheme val="minor"/>
    </font>
    <font>
      <sz val="11"/>
      <color theme="1"/>
      <name val="新細明體"/>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vertAlign val="subscript"/>
      <sz val="10"/>
      <name val="Arial"/>
      <family val="2"/>
    </font>
    <font>
      <u/>
      <sz val="10"/>
      <color indexed="12"/>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sz val="10"/>
      <color indexed="13"/>
      <name val="Calibri"/>
      <family val="2"/>
    </font>
    <font>
      <b/>
      <u/>
      <sz val="10"/>
      <color indexed="10"/>
      <name val="Arial"/>
      <family val="2"/>
    </font>
    <font>
      <sz val="10"/>
      <color indexed="56"/>
      <name val="Calibri"/>
      <family val="2"/>
    </font>
    <font>
      <sz val="10"/>
      <color indexed="8"/>
      <name val="Arial"/>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sz val="8"/>
      <color indexed="10"/>
      <name val="Tahoma"/>
      <family val="2"/>
    </font>
    <font>
      <b/>
      <vertAlign val="subscript"/>
      <sz val="10"/>
      <color indexed="81"/>
      <name val="Tahoma"/>
      <family val="2"/>
    </font>
    <font>
      <vertAlign val="subscript"/>
      <sz val="10"/>
      <color indexed="81"/>
      <name val="Tahoma"/>
      <family val="2"/>
    </font>
    <font>
      <sz val="32"/>
      <color theme="0"/>
      <name val="Arial"/>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2"/>
      <color rgb="FF0000FF"/>
      <name val="Arial"/>
      <family val="2"/>
    </font>
    <font>
      <vertAlign val="subscript"/>
      <sz val="10"/>
      <color theme="1"/>
      <name val="Arial"/>
      <family val="2"/>
    </font>
    <font>
      <u/>
      <sz val="9"/>
      <color indexed="81"/>
      <name val="Tahoma"/>
      <family val="2"/>
    </font>
    <font>
      <b/>
      <sz val="11"/>
      <name val="Arial"/>
      <family val="2"/>
    </font>
    <font>
      <sz val="10"/>
      <color rgb="FFFF0000"/>
      <name val="Arial"/>
      <family val="2"/>
    </font>
    <font>
      <vertAlign val="subscript"/>
      <sz val="10"/>
      <color rgb="FFFF0000"/>
      <name val="Arial"/>
      <family val="2"/>
    </font>
    <font>
      <b/>
      <sz val="10"/>
      <name val="Symbol"/>
      <family val="1"/>
      <charset val="2"/>
    </font>
    <font>
      <b/>
      <i/>
      <u/>
      <sz val="10"/>
      <color rgb="FF0000FF"/>
      <name val="Arial"/>
      <family val="2"/>
    </font>
    <font>
      <sz val="10"/>
      <color theme="0"/>
      <name val="Arial"/>
      <family val="2"/>
    </font>
    <font>
      <u/>
      <sz val="10"/>
      <color theme="0" tint="-0.499984740745262"/>
      <name val="Arial"/>
      <family val="2"/>
    </font>
    <font>
      <b/>
      <sz val="12"/>
      <color indexed="10"/>
      <name val="Tahoma"/>
      <family val="2"/>
    </font>
    <font>
      <b/>
      <sz val="10"/>
      <color rgb="FFFF00FF"/>
      <name val="Arial"/>
      <family val="2"/>
    </font>
    <font>
      <b/>
      <sz val="10"/>
      <color rgb="FFC00000"/>
      <name val="Arial"/>
      <family val="2"/>
    </font>
    <font>
      <b/>
      <vertAlign val="subscript"/>
      <sz val="9"/>
      <color indexed="10"/>
      <name val="Tahoma"/>
      <family val="2"/>
    </font>
    <font>
      <b/>
      <sz val="9"/>
      <color indexed="14"/>
      <name val="Tahoma"/>
      <family val="2"/>
    </font>
    <font>
      <b/>
      <sz val="9"/>
      <color rgb="FF000000"/>
      <name val="Arial"/>
      <family val="2"/>
    </font>
    <font>
      <sz val="11"/>
      <color theme="1"/>
      <name val="Arial"/>
      <family val="2"/>
    </font>
    <font>
      <u/>
      <sz val="11"/>
      <color theme="10"/>
      <name val="新細明體"/>
      <family val="2"/>
      <scheme val="minor"/>
    </font>
    <font>
      <b/>
      <u/>
      <sz val="10"/>
      <color theme="10"/>
      <name val="Arial"/>
      <family val="2"/>
    </font>
    <font>
      <b/>
      <sz val="10"/>
      <color theme="0"/>
      <name val="Arial"/>
      <family val="2"/>
    </font>
    <font>
      <b/>
      <u/>
      <sz val="11"/>
      <color theme="10"/>
      <name val="Arial"/>
      <family val="2"/>
    </font>
    <font>
      <vertAlign val="subscript"/>
      <sz val="8"/>
      <color indexed="81"/>
      <name val="Tahoma"/>
      <family val="2"/>
    </font>
    <font>
      <u/>
      <sz val="10"/>
      <color theme="0"/>
      <name val="Arial"/>
      <family val="2"/>
    </font>
    <font>
      <b/>
      <sz val="22"/>
      <color theme="0"/>
      <name val="Calibri"/>
      <family val="2"/>
    </font>
    <font>
      <sz val="11"/>
      <color rgb="FF006100"/>
      <name val="新細明體"/>
      <family val="2"/>
      <scheme val="minor"/>
    </font>
    <font>
      <sz val="11"/>
      <color rgb="FF3F3F76"/>
      <name val="新細明體"/>
      <family val="2"/>
      <scheme val="minor"/>
    </font>
    <font>
      <b/>
      <sz val="11"/>
      <color rgb="FF3F3F3F"/>
      <name val="新細明體"/>
      <family val="2"/>
      <scheme val="minor"/>
    </font>
    <font>
      <sz val="8"/>
      <color rgb="FF000000"/>
      <name val="Segoe UI"/>
      <family val="2"/>
    </font>
    <font>
      <sz val="10"/>
      <color theme="1"/>
      <name val="新細明體"/>
      <family val="2"/>
      <scheme val="minor"/>
    </font>
    <font>
      <sz val="10"/>
      <color indexed="9"/>
      <name val="Arial"/>
      <family val="2"/>
    </font>
    <font>
      <sz val="11"/>
      <color rgb="FF9C5700"/>
      <name val="新細明體"/>
      <family val="2"/>
      <scheme val="minor"/>
    </font>
    <font>
      <b/>
      <sz val="11"/>
      <color rgb="FFFA7D00"/>
      <name val="新細明體"/>
      <family val="2"/>
      <scheme val="minor"/>
    </font>
    <font>
      <sz val="11"/>
      <name val="新細明體"/>
      <family val="2"/>
      <scheme val="minor"/>
    </font>
    <font>
      <b/>
      <sz val="11"/>
      <color rgb="FF3F3F76"/>
      <name val="新細明體"/>
      <family val="2"/>
      <scheme val="minor"/>
    </font>
    <font>
      <b/>
      <sz val="11"/>
      <name val="新細明體"/>
      <family val="2"/>
      <scheme val="minor"/>
    </font>
    <font>
      <sz val="9"/>
      <name val="細明體"/>
      <family val="3"/>
      <charset val="136"/>
    </font>
  </fonts>
  <fills count="33">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rgb="FFFF9900"/>
        <bgColor indexed="64"/>
      </patternFill>
    </fill>
    <fill>
      <patternFill patternType="solid">
        <fgColor rgb="FF99CC00"/>
        <bgColor indexed="64"/>
      </patternFill>
    </fill>
    <fill>
      <patternFill patternType="solid">
        <fgColor rgb="FFC0C0C0"/>
        <bgColor indexed="64"/>
      </patternFill>
    </fill>
    <fill>
      <patternFill patternType="solid">
        <fgColor theme="0" tint="-0.499984740745262"/>
        <bgColor indexed="64"/>
      </patternFill>
    </fill>
    <fill>
      <patternFill patternType="solid">
        <fgColor rgb="FFFFFFCC"/>
        <bgColor indexed="64"/>
      </patternFill>
    </fill>
    <fill>
      <patternFill patternType="solid">
        <fgColor theme="5" tint="0.59999389629810485"/>
        <bgColor indexed="64"/>
      </patternFill>
    </fill>
    <fill>
      <patternFill patternType="solid">
        <fgColor rgb="FF92D050"/>
        <bgColor indexed="64"/>
      </patternFill>
    </fill>
    <fill>
      <patternFill patternType="solid">
        <fgColor rgb="FFDE0000"/>
        <bgColor indexed="64"/>
      </patternFill>
    </fill>
    <fill>
      <patternFill patternType="solid">
        <fgColor rgb="FFC6EFCE"/>
      </patternFill>
    </fill>
    <fill>
      <patternFill patternType="solid">
        <fgColor rgb="FFFFC000"/>
        <bgColor indexed="64"/>
      </patternFill>
    </fill>
    <fill>
      <patternFill patternType="solid">
        <fgColor rgb="FFFFCC99"/>
      </patternFill>
    </fill>
    <fill>
      <patternFill patternType="solid">
        <fgColor rgb="FFF2F2F2"/>
      </patternFill>
    </fill>
    <fill>
      <patternFill patternType="solid">
        <fgColor rgb="FFFFEB9C"/>
      </patternFill>
    </fill>
  </fills>
  <borders count="8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right style="thin">
        <color indexed="64"/>
      </right>
      <top style="medium">
        <color indexed="64"/>
      </top>
      <bottom style="thin">
        <color indexed="64"/>
      </bottom>
      <diagonal/>
    </border>
    <border>
      <left/>
      <right/>
      <top style="medium">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style="medium">
        <color indexed="64"/>
      </right>
      <top style="medium">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medium">
        <color auto="1"/>
      </left>
      <right/>
      <top/>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bottom style="thin">
        <color indexed="64"/>
      </bottom>
      <diagonal/>
    </border>
    <border>
      <left style="hair">
        <color auto="1"/>
      </left>
      <right style="hair">
        <color auto="1"/>
      </right>
      <top style="hair">
        <color auto="1"/>
      </top>
      <bottom style="hair">
        <color auto="1"/>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s>
  <cellStyleXfs count="24">
    <xf numFmtId="0" fontId="0" fillId="0" borderId="0"/>
    <xf numFmtId="177" fontId="7" fillId="0" borderId="0" applyFont="0" applyFill="0" applyBorder="0" applyAlignment="0" applyProtection="0"/>
    <xf numFmtId="0" fontId="15" fillId="0" borderId="0" applyNumberFormat="0" applyFill="0" applyBorder="0" applyAlignment="0" applyProtection="0">
      <alignment vertical="top"/>
      <protection locked="0"/>
    </xf>
    <xf numFmtId="0" fontId="7" fillId="0" borderId="0"/>
    <xf numFmtId="0" fontId="6" fillId="0" borderId="0"/>
    <xf numFmtId="177" fontId="6" fillId="0" borderId="0" applyFont="0" applyFill="0" applyBorder="0" applyAlignment="0" applyProtection="0"/>
    <xf numFmtId="0" fontId="5" fillId="0" borderId="0"/>
    <xf numFmtId="0" fontId="89" fillId="0" borderId="0" applyNumberFormat="0" applyFill="0" applyBorder="0" applyAlignment="0" applyProtection="0"/>
    <xf numFmtId="0" fontId="4" fillId="0" borderId="0"/>
    <xf numFmtId="0" fontId="96" fillId="28" borderId="0" applyNumberFormat="0" applyBorder="0" applyAlignment="0" applyProtection="0"/>
    <xf numFmtId="0" fontId="97" fillId="30" borderId="70" applyNumberFormat="0" applyAlignment="0" applyProtection="0"/>
    <xf numFmtId="0" fontId="98" fillId="31" borderId="71" applyNumberFormat="0" applyAlignment="0" applyProtection="0"/>
    <xf numFmtId="176" fontId="7" fillId="0" borderId="0" applyFont="0" applyFill="0" applyBorder="0" applyAlignment="0" applyProtection="0"/>
    <xf numFmtId="0" fontId="3" fillId="0" borderId="0"/>
    <xf numFmtId="176" fontId="3" fillId="0" borderId="0" applyFont="0" applyFill="0" applyBorder="0" applyAlignment="0" applyProtection="0"/>
    <xf numFmtId="0" fontId="3" fillId="0" borderId="0"/>
    <xf numFmtId="0" fontId="3" fillId="0" borderId="0"/>
    <xf numFmtId="0" fontId="2" fillId="0" borderId="0"/>
    <xf numFmtId="176" fontId="2" fillId="0" borderId="0" applyFont="0" applyFill="0" applyBorder="0" applyAlignment="0" applyProtection="0"/>
    <xf numFmtId="0" fontId="2" fillId="0" borderId="0"/>
    <xf numFmtId="0" fontId="2" fillId="0" borderId="0"/>
    <xf numFmtId="0" fontId="102" fillId="32" borderId="0" applyNumberFormat="0" applyBorder="0" applyAlignment="0" applyProtection="0"/>
    <xf numFmtId="0" fontId="103" fillId="31" borderId="70" applyNumberFormat="0" applyAlignment="0" applyProtection="0"/>
    <xf numFmtId="0" fontId="1" fillId="0" borderId="0"/>
  </cellStyleXfs>
  <cellXfs count="772">
    <xf numFmtId="0" fontId="0" fillId="0" borderId="0" xfId="0"/>
    <xf numFmtId="0" fontId="12" fillId="0" borderId="0" xfId="0" applyFont="1"/>
    <xf numFmtId="0" fontId="8" fillId="0" borderId="0" xfId="0" applyFont="1"/>
    <xf numFmtId="0" fontId="13" fillId="0" borderId="0" xfId="0" applyFont="1"/>
    <xf numFmtId="2" fontId="0" fillId="0" borderId="0" xfId="0" applyNumberFormat="1"/>
    <xf numFmtId="0" fontId="0" fillId="2" borderId="0" xfId="0" applyFill="1"/>
    <xf numFmtId="0" fontId="0" fillId="3" borderId="0" xfId="0" applyFill="1"/>
    <xf numFmtId="0" fontId="8" fillId="2" borderId="0" xfId="0" applyFont="1" applyFill="1"/>
    <xf numFmtId="183" fontId="0" fillId="0" borderId="0" xfId="0" applyNumberFormat="1"/>
    <xf numFmtId="0" fontId="0" fillId="4" borderId="2" xfId="0" applyFill="1" applyBorder="1"/>
    <xf numFmtId="0" fontId="0" fillId="4" borderId="0" xfId="0" applyFill="1"/>
    <xf numFmtId="11" fontId="0" fillId="0" borderId="0" xfId="0" applyNumberFormat="1"/>
    <xf numFmtId="0" fontId="0" fillId="8" borderId="0" xfId="0" applyFill="1"/>
    <xf numFmtId="0" fontId="19" fillId="0" borderId="0" xfId="0" applyFont="1"/>
    <xf numFmtId="0" fontId="0" fillId="10" borderId="0" xfId="0" applyFill="1"/>
    <xf numFmtId="0" fontId="0" fillId="0" borderId="0" xfId="0" applyAlignment="1">
      <alignment horizontal="right"/>
    </xf>
    <xf numFmtId="0" fontId="21" fillId="0" borderId="0" xfId="0" applyFont="1"/>
    <xf numFmtId="11" fontId="12" fillId="0" borderId="0" xfId="0" applyNumberFormat="1" applyFont="1"/>
    <xf numFmtId="0" fontId="0" fillId="11" borderId="0" xfId="0" applyFill="1"/>
    <xf numFmtId="182" fontId="0" fillId="0" borderId="0" xfId="0" applyNumberFormat="1"/>
    <xf numFmtId="0" fontId="8" fillId="0" borderId="0" xfId="0" applyFont="1" applyAlignment="1">
      <alignment horizontal="center"/>
    </xf>
    <xf numFmtId="0" fontId="8" fillId="4" borderId="0" xfId="0" applyFont="1" applyFill="1" applyAlignment="1">
      <alignment horizontal="center"/>
    </xf>
    <xf numFmtId="0" fontId="8" fillId="12" borderId="0" xfId="0" applyFont="1" applyFill="1" applyAlignment="1">
      <alignment horizontal="center"/>
    </xf>
    <xf numFmtId="0" fontId="8" fillId="13" borderId="0" xfId="0" applyFont="1" applyFill="1" applyAlignment="1">
      <alignment horizontal="center"/>
    </xf>
    <xf numFmtId="179" fontId="0" fillId="0" borderId="0" xfId="0" applyNumberFormat="1"/>
    <xf numFmtId="184" fontId="21" fillId="3" borderId="0" xfId="0" applyNumberFormat="1" applyFont="1" applyFill="1" applyAlignment="1">
      <alignment horizontal="center"/>
    </xf>
    <xf numFmtId="184" fontId="29" fillId="3" borderId="0" xfId="0" applyNumberFormat="1" applyFont="1" applyFill="1" applyAlignment="1">
      <alignment horizontal="center"/>
    </xf>
    <xf numFmtId="0" fontId="0" fillId="0" borderId="25" xfId="0" applyBorder="1"/>
    <xf numFmtId="0" fontId="0" fillId="0" borderId="26" xfId="0" applyBorder="1"/>
    <xf numFmtId="0" fontId="13" fillId="0" borderId="25" xfId="0" applyFont="1" applyBorder="1"/>
    <xf numFmtId="0" fontId="0" fillId="13" borderId="0" xfId="0" applyFill="1"/>
    <xf numFmtId="0" fontId="0" fillId="0" borderId="27" xfId="0" applyBorder="1"/>
    <xf numFmtId="0" fontId="0" fillId="0" borderId="28" xfId="0" applyBorder="1"/>
    <xf numFmtId="0" fontId="0" fillId="0" borderId="29" xfId="0" applyBorder="1"/>
    <xf numFmtId="0" fontId="0" fillId="0" borderId="2" xfId="0" applyBorder="1"/>
    <xf numFmtId="0" fontId="0" fillId="0" borderId="3" xfId="0" applyBorder="1"/>
    <xf numFmtId="0" fontId="12" fillId="0" borderId="25" xfId="0" applyFont="1" applyBorder="1"/>
    <xf numFmtId="0" fontId="8" fillId="0" borderId="25" xfId="0" applyFont="1" applyBorder="1"/>
    <xf numFmtId="11" fontId="0" fillId="13" borderId="0" xfId="0" applyNumberFormat="1" applyFill="1"/>
    <xf numFmtId="0" fontId="0" fillId="12" borderId="0" xfId="0" applyFill="1"/>
    <xf numFmtId="11" fontId="0" fillId="12" borderId="0" xfId="0" applyNumberFormat="1" applyFill="1"/>
    <xf numFmtId="0" fontId="0" fillId="0" borderId="28" xfId="0" applyBorder="1" applyAlignment="1">
      <alignment horizontal="right"/>
    </xf>
    <xf numFmtId="11" fontId="12" fillId="0" borderId="28" xfId="0" applyNumberFormat="1" applyFont="1" applyBorder="1"/>
    <xf numFmtId="11" fontId="0" fillId="4" borderId="0" xfId="0" applyNumberFormat="1" applyFill="1"/>
    <xf numFmtId="0" fontId="21" fillId="3" borderId="0" xfId="0" applyFont="1" applyFill="1"/>
    <xf numFmtId="0" fontId="22" fillId="9" borderId="0" xfId="0" applyFont="1" applyFill="1"/>
    <xf numFmtId="0" fontId="21" fillId="9" borderId="0" xfId="0" applyFont="1" applyFill="1" applyAlignment="1">
      <alignment horizontal="right"/>
    </xf>
    <xf numFmtId="0" fontId="22" fillId="9" borderId="0" xfId="0" applyFont="1" applyFill="1" applyAlignment="1">
      <alignment horizontal="right"/>
    </xf>
    <xf numFmtId="0" fontId="21" fillId="9" borderId="0" xfId="0" applyFont="1" applyFill="1"/>
    <xf numFmtId="0" fontId="29" fillId="15" borderId="19" xfId="0" applyFont="1" applyFill="1" applyBorder="1"/>
    <xf numFmtId="0" fontId="29" fillId="15" borderId="20" xfId="0" applyFont="1" applyFill="1" applyBorder="1"/>
    <xf numFmtId="0" fontId="29" fillId="3" borderId="0" xfId="0" applyFont="1" applyFill="1"/>
    <xf numFmtId="0" fontId="21" fillId="9" borderId="0" xfId="0" applyFont="1" applyFill="1" applyAlignment="1">
      <alignment horizontal="center"/>
    </xf>
    <xf numFmtId="0" fontId="21" fillId="9" borderId="0" xfId="0" applyFont="1" applyFill="1" applyAlignment="1">
      <alignment horizontal="left"/>
    </xf>
    <xf numFmtId="0" fontId="25" fillId="0" borderId="0" xfId="0" applyFont="1"/>
    <xf numFmtId="0" fontId="0" fillId="0" borderId="1" xfId="0" applyBorder="1"/>
    <xf numFmtId="0" fontId="8" fillId="0" borderId="1" xfId="0" applyFont="1" applyBorder="1"/>
    <xf numFmtId="0" fontId="0" fillId="0" borderId="2" xfId="0" applyBorder="1" applyAlignment="1">
      <alignment horizontal="right"/>
    </xf>
    <xf numFmtId="0" fontId="26" fillId="0" borderId="0" xfId="0" applyFont="1"/>
    <xf numFmtId="0" fontId="34" fillId="0" borderId="0" xfId="0" applyFont="1"/>
    <xf numFmtId="0" fontId="34" fillId="4" borderId="0" xfId="0" applyFont="1" applyFill="1"/>
    <xf numFmtId="0" fontId="25" fillId="0" borderId="35" xfId="0" applyFont="1" applyBorder="1"/>
    <xf numFmtId="0" fontId="0" fillId="0" borderId="30" xfId="0" applyBorder="1"/>
    <xf numFmtId="0" fontId="0" fillId="0" borderId="32" xfId="0" applyBorder="1"/>
    <xf numFmtId="0" fontId="13" fillId="0" borderId="36" xfId="0" applyFont="1" applyBorder="1"/>
    <xf numFmtId="0" fontId="0" fillId="0" borderId="33" xfId="0" applyBorder="1"/>
    <xf numFmtId="0" fontId="34" fillId="0" borderId="36" xfId="0" applyFont="1" applyBorder="1"/>
    <xf numFmtId="0" fontId="34" fillId="0" borderId="37" xfId="0" applyFont="1" applyBorder="1"/>
    <xf numFmtId="0" fontId="34" fillId="0" borderId="31" xfId="0" applyFont="1" applyBorder="1"/>
    <xf numFmtId="0" fontId="0" fillId="0" borderId="31" xfId="0" applyBorder="1"/>
    <xf numFmtId="0" fontId="0" fillId="0" borderId="34" xfId="0" applyBorder="1"/>
    <xf numFmtId="0" fontId="13" fillId="0" borderId="28" xfId="0" applyFont="1" applyBorder="1"/>
    <xf numFmtId="0" fontId="13" fillId="13" borderId="0" xfId="0" applyFont="1" applyFill="1"/>
    <xf numFmtId="0" fontId="21" fillId="9" borderId="26" xfId="0" applyFont="1" applyFill="1" applyBorder="1"/>
    <xf numFmtId="0" fontId="23" fillId="9" borderId="0" xfId="0" applyFont="1" applyFill="1"/>
    <xf numFmtId="2" fontId="34" fillId="12" borderId="0" xfId="0" applyNumberFormat="1" applyFont="1" applyFill="1"/>
    <xf numFmtId="0" fontId="21" fillId="16" borderId="0" xfId="0" applyFont="1" applyFill="1"/>
    <xf numFmtId="0" fontId="7" fillId="0" borderId="0" xfId="0" applyFont="1"/>
    <xf numFmtId="2" fontId="7" fillId="0" borderId="0" xfId="0" quotePrefix="1" applyNumberFormat="1" applyFont="1"/>
    <xf numFmtId="0" fontId="0" fillId="0" borderId="0" xfId="0" applyAlignment="1">
      <alignment horizontal="left"/>
    </xf>
    <xf numFmtId="0" fontId="7" fillId="0" borderId="2" xfId="0" applyFont="1" applyBorder="1"/>
    <xf numFmtId="0" fontId="7" fillId="0" borderId="28" xfId="0" applyFont="1" applyBorder="1"/>
    <xf numFmtId="0" fontId="36" fillId="9" borderId="0" xfId="0" applyFont="1" applyFill="1"/>
    <xf numFmtId="0" fontId="24" fillId="19" borderId="0" xfId="0" applyFont="1" applyFill="1" applyAlignment="1">
      <alignment vertical="center"/>
    </xf>
    <xf numFmtId="0" fontId="0" fillId="18" borderId="0" xfId="0" applyFill="1"/>
    <xf numFmtId="0" fontId="27" fillId="9" borderId="0" xfId="0" applyFont="1" applyFill="1" applyAlignment="1">
      <alignment horizontal="right"/>
    </xf>
    <xf numFmtId="0" fontId="8" fillId="9" borderId="0" xfId="0" applyFont="1" applyFill="1" applyAlignment="1">
      <alignment horizontal="right"/>
    </xf>
    <xf numFmtId="0" fontId="7" fillId="9" borderId="0" xfId="0" applyFont="1" applyFill="1" applyAlignment="1">
      <alignment horizontal="right"/>
    </xf>
    <xf numFmtId="0" fontId="7" fillId="9" borderId="28" xfId="0" applyFont="1" applyFill="1" applyBorder="1" applyAlignment="1">
      <alignment horizontal="right"/>
    </xf>
    <xf numFmtId="0" fontId="7" fillId="9" borderId="25" xfId="0" applyFont="1" applyFill="1" applyBorder="1"/>
    <xf numFmtId="0" fontId="7" fillId="9" borderId="0" xfId="0" applyFont="1" applyFill="1"/>
    <xf numFmtId="0" fontId="8" fillId="19" borderId="0" xfId="0" applyFont="1" applyFill="1" applyProtection="1">
      <protection locked="0"/>
    </xf>
    <xf numFmtId="0" fontId="56" fillId="9" borderId="0" xfId="0" applyFont="1" applyFill="1"/>
    <xf numFmtId="1" fontId="8" fillId="19" borderId="0" xfId="0" applyNumberFormat="1" applyFont="1" applyFill="1" applyProtection="1">
      <protection locked="0"/>
    </xf>
    <xf numFmtId="0" fontId="57" fillId="9" borderId="0" xfId="0" applyFont="1" applyFill="1"/>
    <xf numFmtId="0" fontId="11" fillId="9" borderId="0" xfId="0" applyFont="1" applyFill="1" applyAlignment="1">
      <alignment horizontal="right"/>
    </xf>
    <xf numFmtId="0" fontId="55" fillId="9" borderId="0" xfId="0" applyFont="1" applyFill="1"/>
    <xf numFmtId="0" fontId="58" fillId="9" borderId="0" xfId="0" applyFont="1" applyFill="1"/>
    <xf numFmtId="0" fontId="8" fillId="9" borderId="0" xfId="0" applyFont="1" applyFill="1"/>
    <xf numFmtId="182" fontId="8" fillId="9" borderId="0" xfId="0" applyNumberFormat="1" applyFont="1" applyFill="1"/>
    <xf numFmtId="0" fontId="7" fillId="16" borderId="0" xfId="0" applyFont="1" applyFill="1"/>
    <xf numFmtId="0" fontId="8" fillId="9" borderId="25" xfId="0" applyFont="1" applyFill="1" applyBorder="1"/>
    <xf numFmtId="0" fontId="58" fillId="16" borderId="0" xfId="0" applyFont="1" applyFill="1"/>
    <xf numFmtId="0" fontId="60" fillId="15" borderId="19" xfId="0" applyFont="1" applyFill="1" applyBorder="1"/>
    <xf numFmtId="0" fontId="58" fillId="9" borderId="0" xfId="0" applyFont="1" applyFill="1" applyAlignment="1">
      <alignment vertical="center"/>
    </xf>
    <xf numFmtId="0" fontId="12" fillId="9" borderId="0" xfId="0" applyFont="1" applyFill="1" applyAlignment="1">
      <alignment horizontal="right"/>
    </xf>
    <xf numFmtId="182" fontId="12" fillId="9" borderId="0" xfId="0" applyNumberFormat="1" applyFont="1" applyFill="1"/>
    <xf numFmtId="0" fontId="12" fillId="9" borderId="0" xfId="0" applyFont="1" applyFill="1"/>
    <xf numFmtId="0" fontId="7" fillId="16" borderId="0" xfId="0" applyFont="1" applyFill="1" applyAlignment="1">
      <alignment horizontal="left"/>
    </xf>
    <xf numFmtId="1" fontId="7" fillId="16" borderId="0" xfId="0" applyNumberFormat="1" applyFont="1" applyFill="1" applyAlignment="1">
      <alignment horizontal="right"/>
    </xf>
    <xf numFmtId="0" fontId="8" fillId="9" borderId="0" xfId="0" applyFont="1" applyFill="1" applyAlignment="1">
      <alignment horizontal="left"/>
    </xf>
    <xf numFmtId="0" fontId="61" fillId="9" borderId="0" xfId="0" applyFont="1" applyFill="1"/>
    <xf numFmtId="0" fontId="7" fillId="9" borderId="0" xfId="0" applyFont="1" applyFill="1" applyAlignment="1">
      <alignment horizontal="left"/>
    </xf>
    <xf numFmtId="0" fontId="59" fillId="19" borderId="0" xfId="0" applyFont="1" applyFill="1" applyAlignment="1" applyProtection="1">
      <alignment horizontal="right"/>
      <protection locked="0" hidden="1"/>
    </xf>
    <xf numFmtId="0" fontId="62" fillId="15" borderId="19" xfId="0" applyFont="1" applyFill="1" applyBorder="1"/>
    <xf numFmtId="0" fontId="26" fillId="9" borderId="25" xfId="0" applyFont="1" applyFill="1" applyBorder="1"/>
    <xf numFmtId="1" fontId="7" fillId="9" borderId="0" xfId="0" applyNumberFormat="1" applyFont="1" applyFill="1"/>
    <xf numFmtId="0" fontId="64" fillId="9" borderId="0" xfId="0" applyFont="1" applyFill="1" applyAlignment="1">
      <alignment horizontal="right"/>
    </xf>
    <xf numFmtId="0" fontId="7" fillId="9" borderId="2" xfId="0" applyFont="1" applyFill="1" applyBorder="1"/>
    <xf numFmtId="0" fontId="7" fillId="9" borderId="2" xfId="0" applyFont="1" applyFill="1" applyBorder="1" applyAlignment="1">
      <alignment horizontal="right"/>
    </xf>
    <xf numFmtId="0" fontId="64" fillId="9" borderId="2" xfId="0" applyFont="1" applyFill="1" applyBorder="1" applyAlignment="1">
      <alignment horizontal="right"/>
    </xf>
    <xf numFmtId="0" fontId="8" fillId="9" borderId="3" xfId="0" applyFont="1" applyFill="1" applyBorder="1"/>
    <xf numFmtId="0" fontId="8" fillId="9" borderId="26" xfId="0" applyFont="1" applyFill="1" applyBorder="1"/>
    <xf numFmtId="0" fontId="7" fillId="9" borderId="27" xfId="0" applyFont="1" applyFill="1" applyBorder="1"/>
    <xf numFmtId="0" fontId="7" fillId="9" borderId="28" xfId="0" applyFont="1" applyFill="1" applyBorder="1"/>
    <xf numFmtId="0" fontId="7" fillId="9" borderId="29" xfId="0" applyFont="1" applyFill="1" applyBorder="1"/>
    <xf numFmtId="0" fontId="7" fillId="9" borderId="3" xfId="0" applyFont="1" applyFill="1" applyBorder="1"/>
    <xf numFmtId="0" fontId="7" fillId="9" borderId="26" xfId="0" applyFont="1" applyFill="1" applyBorder="1"/>
    <xf numFmtId="182" fontId="7" fillId="9" borderId="28" xfId="0" applyNumberFormat="1" applyFont="1" applyFill="1" applyBorder="1"/>
    <xf numFmtId="0" fontId="8" fillId="9" borderId="2" xfId="0" applyFont="1" applyFill="1" applyBorder="1"/>
    <xf numFmtId="0" fontId="8" fillId="9" borderId="2" xfId="0" applyFont="1" applyFill="1" applyBorder="1" applyAlignment="1">
      <alignment horizontal="right"/>
    </xf>
    <xf numFmtId="1" fontId="8" fillId="19" borderId="2" xfId="0" applyNumberFormat="1" applyFont="1" applyFill="1" applyBorder="1" applyProtection="1">
      <protection locked="0"/>
    </xf>
    <xf numFmtId="0" fontId="7" fillId="16" borderId="38" xfId="0" applyFont="1" applyFill="1" applyBorder="1" applyAlignment="1">
      <alignment horizontal="left"/>
    </xf>
    <xf numFmtId="0" fontId="59" fillId="19" borderId="38" xfId="0" applyFont="1" applyFill="1" applyBorder="1" applyAlignment="1" applyProtection="1">
      <alignment horizontal="right"/>
      <protection locked="0" hidden="1"/>
    </xf>
    <xf numFmtId="0" fontId="59" fillId="9" borderId="39" xfId="0" applyFont="1" applyFill="1" applyBorder="1" applyAlignment="1">
      <alignment horizontal="left"/>
    </xf>
    <xf numFmtId="0" fontId="59" fillId="9" borderId="26" xfId="0" applyFont="1" applyFill="1" applyBorder="1" applyAlignment="1">
      <alignment horizontal="left"/>
    </xf>
    <xf numFmtId="0" fontId="8" fillId="9" borderId="40" xfId="0" applyFont="1" applyFill="1" applyBorder="1" applyAlignment="1">
      <alignment horizontal="center"/>
    </xf>
    <xf numFmtId="0" fontId="8" fillId="9" borderId="25" xfId="0" applyFont="1" applyFill="1" applyBorder="1" applyAlignment="1">
      <alignment horizontal="center"/>
    </xf>
    <xf numFmtId="0" fontId="8" fillId="9" borderId="40" xfId="0" applyFont="1" applyFill="1" applyBorder="1"/>
    <xf numFmtId="0" fontId="8" fillId="9" borderId="38" xfId="0" applyFont="1" applyFill="1" applyBorder="1"/>
    <xf numFmtId="0" fontId="7" fillId="9" borderId="38" xfId="0" applyFont="1" applyFill="1" applyBorder="1"/>
    <xf numFmtId="0" fontId="7" fillId="9" borderId="39" xfId="0" applyFont="1" applyFill="1" applyBorder="1"/>
    <xf numFmtId="0" fontId="7" fillId="9" borderId="38" xfId="0" applyFont="1" applyFill="1" applyBorder="1" applyAlignment="1">
      <alignment vertical="center"/>
    </xf>
    <xf numFmtId="0" fontId="7" fillId="9" borderId="42" xfId="0" applyFont="1" applyFill="1" applyBorder="1"/>
    <xf numFmtId="0" fontId="8" fillId="9" borderId="42" xfId="0" applyFont="1" applyFill="1" applyBorder="1" applyAlignment="1">
      <alignment horizontal="right"/>
    </xf>
    <xf numFmtId="0" fontId="7" fillId="9" borderId="43" xfId="0" applyFont="1" applyFill="1" applyBorder="1"/>
    <xf numFmtId="0" fontId="7" fillId="16" borderId="42" xfId="0" applyFont="1" applyFill="1" applyBorder="1" applyAlignment="1">
      <alignment horizontal="left"/>
    </xf>
    <xf numFmtId="0" fontId="59" fillId="19" borderId="42" xfId="0" applyFont="1" applyFill="1" applyBorder="1" applyAlignment="1" applyProtection="1">
      <alignment horizontal="right"/>
      <protection locked="0" hidden="1"/>
    </xf>
    <xf numFmtId="0" fontId="59" fillId="9" borderId="43" xfId="0" applyFont="1" applyFill="1" applyBorder="1" applyAlignment="1">
      <alignment horizontal="left"/>
    </xf>
    <xf numFmtId="182" fontId="7" fillId="9" borderId="38" xfId="0" applyNumberFormat="1" applyFont="1" applyFill="1" applyBorder="1" applyAlignment="1">
      <alignment horizontal="left" vertical="center"/>
    </xf>
    <xf numFmtId="1" fontId="7" fillId="9" borderId="42" xfId="0" applyNumberFormat="1" applyFont="1" applyFill="1" applyBorder="1" applyAlignment="1">
      <alignment horizontal="left" vertical="center"/>
    </xf>
    <xf numFmtId="0" fontId="26" fillId="9" borderId="25" xfId="0" applyFont="1" applyFill="1" applyBorder="1" applyAlignment="1">
      <alignment vertical="center"/>
    </xf>
    <xf numFmtId="0" fontId="7" fillId="9" borderId="40" xfId="0" applyFont="1" applyFill="1" applyBorder="1"/>
    <xf numFmtId="0" fontId="7" fillId="16" borderId="25" xfId="0" applyFont="1" applyFill="1" applyBorder="1"/>
    <xf numFmtId="1" fontId="8" fillId="16" borderId="25" xfId="0" applyNumberFormat="1" applyFont="1" applyFill="1" applyBorder="1" applyAlignment="1">
      <alignment horizontal="right" vertical="center"/>
    </xf>
    <xf numFmtId="0" fontId="60" fillId="15" borderId="44" xfId="0" applyFont="1" applyFill="1" applyBorder="1"/>
    <xf numFmtId="0" fontId="21" fillId="3" borderId="25" xfId="0" applyFont="1" applyFill="1" applyBorder="1"/>
    <xf numFmtId="184" fontId="21" fillId="18" borderId="0" xfId="0" applyNumberFormat="1" applyFont="1" applyFill="1" applyAlignment="1">
      <alignment horizontal="center"/>
    </xf>
    <xf numFmtId="0" fontId="21" fillId="18" borderId="0" xfId="0" applyFont="1" applyFill="1"/>
    <xf numFmtId="184" fontId="29" fillId="18" borderId="0" xfId="0" applyNumberFormat="1" applyFont="1" applyFill="1" applyAlignment="1">
      <alignment horizontal="center"/>
    </xf>
    <xf numFmtId="0" fontId="29" fillId="18" borderId="0" xfId="0" applyFont="1" applyFill="1"/>
    <xf numFmtId="0" fontId="7" fillId="9" borderId="41" xfId="0" applyFont="1" applyFill="1" applyBorder="1"/>
    <xf numFmtId="0" fontId="8" fillId="9" borderId="42" xfId="0" applyFont="1" applyFill="1" applyBorder="1"/>
    <xf numFmtId="0" fontId="7" fillId="9" borderId="45" xfId="0" applyFont="1" applyFill="1" applyBorder="1"/>
    <xf numFmtId="0" fontId="68" fillId="9" borderId="0" xfId="0" applyFont="1" applyFill="1"/>
    <xf numFmtId="0" fontId="68" fillId="9" borderId="26" xfId="0" applyFont="1" applyFill="1" applyBorder="1"/>
    <xf numFmtId="184" fontId="68" fillId="18" borderId="0" xfId="0" applyNumberFormat="1" applyFont="1" applyFill="1" applyAlignment="1">
      <alignment horizontal="center"/>
    </xf>
    <xf numFmtId="0" fontId="68" fillId="18" borderId="0" xfId="0" applyFont="1" applyFill="1"/>
    <xf numFmtId="184" fontId="68" fillId="3" borderId="0" xfId="0" applyNumberFormat="1" applyFont="1" applyFill="1" applyAlignment="1">
      <alignment horizontal="center"/>
    </xf>
    <xf numFmtId="0" fontId="68" fillId="3" borderId="0" xfId="0" applyFont="1" applyFill="1"/>
    <xf numFmtId="0" fontId="66" fillId="9" borderId="38" xfId="0" applyFont="1" applyFill="1" applyBorder="1" applyAlignment="1">
      <alignment horizontal="right"/>
    </xf>
    <xf numFmtId="0" fontId="7" fillId="16" borderId="28" xfId="0" applyFont="1" applyFill="1" applyBorder="1"/>
    <xf numFmtId="0" fontId="21" fillId="9" borderId="28" xfId="0" applyFont="1" applyFill="1" applyBorder="1"/>
    <xf numFmtId="0" fontId="21" fillId="9" borderId="29" xfId="0" applyFont="1" applyFill="1" applyBorder="1"/>
    <xf numFmtId="0" fontId="67" fillId="9" borderId="25" xfId="0" applyFont="1" applyFill="1" applyBorder="1" applyAlignment="1">
      <alignment vertical="center"/>
    </xf>
    <xf numFmtId="0" fontId="66" fillId="9" borderId="0" xfId="0" applyFont="1" applyFill="1" applyAlignment="1">
      <alignment horizontal="right" vertical="center"/>
    </xf>
    <xf numFmtId="182" fontId="66" fillId="9" borderId="42" xfId="0" applyNumberFormat="1" applyFont="1" applyFill="1" applyBorder="1" applyAlignment="1">
      <alignment horizontal="center" vertical="center"/>
    </xf>
    <xf numFmtId="0" fontId="7" fillId="0" borderId="1" xfId="0" applyFont="1" applyBorder="1"/>
    <xf numFmtId="0" fontId="7" fillId="0" borderId="25" xfId="0" applyFont="1" applyBorder="1"/>
    <xf numFmtId="2" fontId="0" fillId="0" borderId="0" xfId="0" applyNumberFormat="1" applyAlignment="1">
      <alignment horizontal="right"/>
    </xf>
    <xf numFmtId="0" fontId="71" fillId="0" borderId="0" xfId="0" applyFont="1"/>
    <xf numFmtId="0" fontId="8" fillId="19" borderId="42" xfId="0" applyFont="1" applyFill="1" applyBorder="1" applyProtection="1">
      <protection locked="0"/>
    </xf>
    <xf numFmtId="0" fontId="8" fillId="19" borderId="0" xfId="0" applyFont="1" applyFill="1" applyAlignment="1" applyProtection="1">
      <alignment horizontal="right"/>
      <protection locked="0"/>
    </xf>
    <xf numFmtId="0" fontId="8" fillId="19" borderId="42" xfId="0" applyFont="1" applyFill="1" applyBorder="1" applyAlignment="1" applyProtection="1">
      <alignment horizontal="right"/>
      <protection locked="0"/>
    </xf>
    <xf numFmtId="182" fontId="8" fillId="19" borderId="0" xfId="0" applyNumberFormat="1" applyFont="1" applyFill="1" applyProtection="1">
      <protection locked="0"/>
    </xf>
    <xf numFmtId="0" fontId="61" fillId="9" borderId="38" xfId="0" applyFont="1" applyFill="1" applyBorder="1" applyProtection="1">
      <protection locked="0"/>
    </xf>
    <xf numFmtId="1" fontId="0" fillId="4" borderId="0" xfId="0" applyNumberFormat="1" applyFill="1"/>
    <xf numFmtId="0" fontId="7" fillId="9" borderId="0" xfId="0" applyFont="1" applyFill="1" applyAlignment="1">
      <alignment vertical="center"/>
    </xf>
    <xf numFmtId="0" fontId="7" fillId="9" borderId="25" xfId="0" applyFont="1" applyFill="1" applyBorder="1" applyAlignment="1">
      <alignment vertical="center"/>
    </xf>
    <xf numFmtId="0" fontId="7" fillId="9" borderId="0" xfId="0" applyFont="1" applyFill="1" applyAlignment="1">
      <alignment horizontal="right" vertical="center"/>
    </xf>
    <xf numFmtId="182" fontId="7" fillId="9" borderId="0" xfId="0" applyNumberFormat="1" applyFont="1" applyFill="1" applyAlignment="1">
      <alignment vertical="center"/>
    </xf>
    <xf numFmtId="0" fontId="7" fillId="9" borderId="26" xfId="0" applyFont="1" applyFill="1" applyBorder="1" applyAlignment="1">
      <alignment vertical="center"/>
    </xf>
    <xf numFmtId="1" fontId="7" fillId="9" borderId="0" xfId="0" applyNumberFormat="1" applyFont="1" applyFill="1" applyAlignment="1">
      <alignment vertical="center"/>
    </xf>
    <xf numFmtId="0" fontId="7" fillId="9" borderId="27" xfId="0" applyFont="1" applyFill="1" applyBorder="1" applyAlignment="1">
      <alignment vertical="center"/>
    </xf>
    <xf numFmtId="0" fontId="7" fillId="9" borderId="28" xfId="0" applyFont="1" applyFill="1" applyBorder="1" applyAlignment="1">
      <alignment vertical="center"/>
    </xf>
    <xf numFmtId="0" fontId="7" fillId="9" borderId="28" xfId="0" applyFont="1" applyFill="1" applyBorder="1" applyAlignment="1">
      <alignment horizontal="right" vertical="center"/>
    </xf>
    <xf numFmtId="0" fontId="7" fillId="9" borderId="29" xfId="0" applyFont="1" applyFill="1" applyBorder="1" applyAlignment="1">
      <alignment vertical="center"/>
    </xf>
    <xf numFmtId="0" fontId="7" fillId="9" borderId="40" xfId="0" applyFont="1" applyFill="1" applyBorder="1" applyAlignment="1">
      <alignment vertical="center"/>
    </xf>
    <xf numFmtId="0" fontId="7" fillId="9" borderId="2" xfId="0" applyFont="1" applyFill="1" applyBorder="1" applyAlignment="1">
      <alignment vertical="center"/>
    </xf>
    <xf numFmtId="0" fontId="7" fillId="9" borderId="2" xfId="0" applyFont="1" applyFill="1" applyBorder="1" applyAlignment="1">
      <alignment horizontal="right" vertical="center"/>
    </xf>
    <xf numFmtId="0" fontId="64" fillId="9" borderId="2" xfId="0" applyFont="1" applyFill="1" applyBorder="1" applyAlignment="1">
      <alignment horizontal="right" vertical="center"/>
    </xf>
    <xf numFmtId="0" fontId="8" fillId="9" borderId="3" xfId="0" applyFont="1" applyFill="1" applyBorder="1" applyAlignment="1">
      <alignment vertical="center"/>
    </xf>
    <xf numFmtId="0" fontId="64" fillId="9" borderId="0" xfId="0" applyFont="1" applyFill="1" applyAlignment="1">
      <alignment horizontal="right" vertical="center"/>
    </xf>
    <xf numFmtId="0" fontId="8" fillId="19" borderId="0" xfId="0" applyFont="1" applyFill="1" applyAlignment="1" applyProtection="1">
      <alignment vertical="center"/>
      <protection locked="0"/>
    </xf>
    <xf numFmtId="0" fontId="8" fillId="9" borderId="26" xfId="0" applyFont="1" applyFill="1" applyBorder="1" applyAlignment="1">
      <alignment vertical="center"/>
    </xf>
    <xf numFmtId="1" fontId="8" fillId="19" borderId="0" xfId="0" applyNumberFormat="1" applyFont="1" applyFill="1" applyAlignment="1" applyProtection="1">
      <alignment vertical="center"/>
      <protection locked="0"/>
    </xf>
    <xf numFmtId="1" fontId="7" fillId="9" borderId="0" xfId="0" applyNumberFormat="1" applyFont="1" applyFill="1" applyAlignment="1">
      <alignment horizontal="right" vertical="center"/>
    </xf>
    <xf numFmtId="0" fontId="64" fillId="16" borderId="0" xfId="0" applyFont="1" applyFill="1" applyAlignment="1">
      <alignment horizontal="right" vertical="center"/>
    </xf>
    <xf numFmtId="0" fontId="8" fillId="9" borderId="0" xfId="0" applyFont="1" applyFill="1" applyAlignment="1">
      <alignment vertical="center"/>
    </xf>
    <xf numFmtId="0" fontId="8" fillId="9" borderId="0" xfId="0" applyFont="1" applyFill="1" applyAlignment="1">
      <alignment horizontal="right" vertical="center"/>
    </xf>
    <xf numFmtId="0" fontId="8" fillId="19" borderId="0" xfId="0" applyFont="1" applyFill="1" applyAlignment="1" applyProtection="1">
      <alignment horizontal="right" vertical="center"/>
      <protection locked="0"/>
    </xf>
    <xf numFmtId="0" fontId="7" fillId="9" borderId="42" xfId="0" applyFont="1" applyFill="1" applyBorder="1" applyAlignment="1">
      <alignment horizontal="right" vertical="center"/>
    </xf>
    <xf numFmtId="0" fontId="7" fillId="9" borderId="41" xfId="0" applyFont="1" applyFill="1" applyBorder="1" applyAlignment="1">
      <alignment vertical="center"/>
    </xf>
    <xf numFmtId="0" fontId="7" fillId="9" borderId="42" xfId="0" applyFont="1" applyFill="1" applyBorder="1" applyAlignment="1">
      <alignment vertical="center"/>
    </xf>
    <xf numFmtId="0" fontId="7" fillId="9" borderId="43" xfId="0" applyFont="1" applyFill="1" applyBorder="1" applyAlignment="1">
      <alignment vertical="center"/>
    </xf>
    <xf numFmtId="0" fontId="7" fillId="9" borderId="3" xfId="0" applyFont="1" applyFill="1" applyBorder="1" applyAlignment="1">
      <alignment vertical="center"/>
    </xf>
    <xf numFmtId="1" fontId="64" fillId="19" borderId="0" xfId="0" applyNumberFormat="1" applyFont="1" applyFill="1" applyAlignment="1" applyProtection="1">
      <alignment horizontal="right" vertical="center"/>
      <protection locked="0"/>
    </xf>
    <xf numFmtId="0" fontId="8" fillId="9" borderId="26" xfId="0" applyFont="1" applyFill="1" applyBorder="1" applyAlignment="1">
      <alignment horizontal="left" vertical="center"/>
    </xf>
    <xf numFmtId="0" fontId="64" fillId="19" borderId="0" xfId="0" applyFont="1" applyFill="1" applyAlignment="1" applyProtection="1">
      <alignment vertical="center"/>
      <protection locked="0"/>
    </xf>
    <xf numFmtId="2" fontId="12" fillId="12" borderId="2" xfId="0" applyNumberFormat="1" applyFont="1" applyFill="1" applyBorder="1"/>
    <xf numFmtId="2" fontId="12" fillId="12" borderId="0" xfId="0" applyNumberFormat="1" applyFont="1" applyFill="1"/>
    <xf numFmtId="11" fontId="12" fillId="12" borderId="0" xfId="0" applyNumberFormat="1" applyFont="1" applyFill="1"/>
    <xf numFmtId="183" fontId="12" fillId="12" borderId="0" xfId="0" applyNumberFormat="1" applyFont="1" applyFill="1"/>
    <xf numFmtId="0" fontId="0" fillId="0" borderId="38" xfId="0" applyBorder="1"/>
    <xf numFmtId="0" fontId="0" fillId="20" borderId="0" xfId="0" applyFill="1"/>
    <xf numFmtId="0" fontId="7" fillId="0" borderId="0" xfId="0" applyFont="1" applyAlignment="1">
      <alignment horizontal="right"/>
    </xf>
    <xf numFmtId="0" fontId="8" fillId="0" borderId="38" xfId="0" applyFont="1" applyBorder="1" applyAlignment="1">
      <alignment horizontal="right"/>
    </xf>
    <xf numFmtId="0" fontId="8" fillId="0" borderId="28" xfId="0" applyFont="1" applyBorder="1" applyAlignment="1">
      <alignment horizontal="right"/>
    </xf>
    <xf numFmtId="0" fontId="8" fillId="0" borderId="0" xfId="0" applyFont="1" applyAlignment="1">
      <alignment horizontal="right"/>
    </xf>
    <xf numFmtId="0" fontId="8" fillId="0" borderId="38" xfId="0" applyFont="1" applyBorder="1"/>
    <xf numFmtId="0" fontId="8" fillId="0" borderId="28" xfId="0" applyFont="1" applyBorder="1"/>
    <xf numFmtId="0" fontId="8" fillId="0" borderId="0" xfId="0" applyFont="1" applyAlignment="1">
      <alignment horizontal="left"/>
    </xf>
    <xf numFmtId="181" fontId="12" fillId="12" borderId="0" xfId="0" applyNumberFormat="1" applyFont="1" applyFill="1"/>
    <xf numFmtId="181" fontId="13" fillId="12" borderId="0" xfId="0" applyNumberFormat="1" applyFont="1" applyFill="1"/>
    <xf numFmtId="181" fontId="8" fillId="20" borderId="2" xfId="0" applyNumberFormat="1" applyFont="1" applyFill="1" applyBorder="1"/>
    <xf numFmtId="0" fontId="63" fillId="16" borderId="0" xfId="0" applyFont="1" applyFill="1" applyAlignment="1">
      <alignment horizontal="center"/>
    </xf>
    <xf numFmtId="182" fontId="7" fillId="9" borderId="0" xfId="0" applyNumberFormat="1" applyFont="1" applyFill="1"/>
    <xf numFmtId="2" fontId="0" fillId="20" borderId="0" xfId="0" applyNumberFormat="1" applyFill="1"/>
    <xf numFmtId="1" fontId="0" fillId="12" borderId="0" xfId="0" applyNumberFormat="1" applyFill="1"/>
    <xf numFmtId="3" fontId="0" fillId="12" borderId="0" xfId="0" applyNumberFormat="1" applyFill="1"/>
    <xf numFmtId="1" fontId="0" fillId="20" borderId="0" xfId="0" applyNumberFormat="1" applyFill="1"/>
    <xf numFmtId="1" fontId="0" fillId="0" borderId="0" xfId="0" applyNumberFormat="1"/>
    <xf numFmtId="1" fontId="0" fillId="22" borderId="0" xfId="0" applyNumberFormat="1" applyFill="1"/>
    <xf numFmtId="180" fontId="0" fillId="0" borderId="0" xfId="0" applyNumberFormat="1"/>
    <xf numFmtId="0" fontId="0" fillId="21" borderId="0" xfId="0" applyFill="1"/>
    <xf numFmtId="182" fontId="0" fillId="20" borderId="0" xfId="0" applyNumberFormat="1" applyFill="1"/>
    <xf numFmtId="0" fontId="7" fillId="0" borderId="38" xfId="0" applyFont="1" applyBorder="1"/>
    <xf numFmtId="182" fontId="0" fillId="12" borderId="2" xfId="0" applyNumberFormat="1" applyFill="1" applyBorder="1"/>
    <xf numFmtId="0" fontId="7" fillId="0" borderId="27" xfId="0" applyFont="1" applyBorder="1"/>
    <xf numFmtId="0" fontId="12" fillId="0" borderId="28" xfId="0" applyFont="1" applyBorder="1"/>
    <xf numFmtId="0" fontId="8" fillId="0" borderId="47" xfId="0" applyFont="1" applyBorder="1"/>
    <xf numFmtId="0" fontId="0" fillId="22" borderId="0" xfId="0" applyFill="1"/>
    <xf numFmtId="0" fontId="19" fillId="0" borderId="31" xfId="0" applyFont="1" applyBorder="1"/>
    <xf numFmtId="0" fontId="7" fillId="0" borderId="0" xfId="3"/>
    <xf numFmtId="0" fontId="7" fillId="0" borderId="18" xfId="3" applyBorder="1" applyAlignment="1">
      <alignment horizontal="left"/>
    </xf>
    <xf numFmtId="0" fontId="7" fillId="0" borderId="11" xfId="3" applyBorder="1"/>
    <xf numFmtId="0" fontId="7" fillId="0" borderId="51" xfId="3" applyBorder="1"/>
    <xf numFmtId="0" fontId="7" fillId="0" borderId="18" xfId="3" applyBorder="1"/>
    <xf numFmtId="1" fontId="7" fillId="0" borderId="11" xfId="3" applyNumberFormat="1" applyBorder="1"/>
    <xf numFmtId="0" fontId="7" fillId="0" borderId="15" xfId="3" applyBorder="1"/>
    <xf numFmtId="0" fontId="7" fillId="8" borderId="18" xfId="3" applyFill="1" applyBorder="1"/>
    <xf numFmtId="0" fontId="7" fillId="8" borderId="11" xfId="3" applyFill="1" applyBorder="1"/>
    <xf numFmtId="0" fontId="7" fillId="8" borderId="51" xfId="3" applyFill="1" applyBorder="1"/>
    <xf numFmtId="182" fontId="7" fillId="0" borderId="11" xfId="3" applyNumberFormat="1" applyBorder="1"/>
    <xf numFmtId="0" fontId="12" fillId="0" borderId="5" xfId="3" applyFont="1" applyBorder="1" applyAlignment="1">
      <alignment horizontal="center"/>
    </xf>
    <xf numFmtId="0" fontId="12" fillId="0" borderId="6" xfId="3" applyFont="1" applyBorder="1" applyAlignment="1">
      <alignment horizontal="center"/>
    </xf>
    <xf numFmtId="0" fontId="12" fillId="0" borderId="7" xfId="3" applyFont="1" applyBorder="1" applyAlignment="1">
      <alignment horizontal="center"/>
    </xf>
    <xf numFmtId="0" fontId="12" fillId="0" borderId="18" xfId="3" applyFont="1" applyBorder="1"/>
    <xf numFmtId="0" fontId="12" fillId="0" borderId="51" xfId="3" applyFont="1" applyBorder="1"/>
    <xf numFmtId="0" fontId="7" fillId="0" borderId="59" xfId="3" applyBorder="1" applyAlignment="1">
      <alignment horizontal="center"/>
    </xf>
    <xf numFmtId="180" fontId="7" fillId="0" borderId="60" xfId="3" applyNumberFormat="1" applyBorder="1" applyAlignment="1">
      <alignment horizontal="center"/>
    </xf>
    <xf numFmtId="180" fontId="7" fillId="0" borderId="12" xfId="3" applyNumberFormat="1" applyBorder="1" applyAlignment="1">
      <alignment horizontal="center"/>
    </xf>
    <xf numFmtId="180" fontId="7" fillId="0" borderId="61" xfId="3" applyNumberFormat="1" applyBorder="1" applyAlignment="1">
      <alignment horizontal="center"/>
    </xf>
    <xf numFmtId="180" fontId="7" fillId="0" borderId="62" xfId="3" applyNumberFormat="1" applyBorder="1" applyAlignment="1">
      <alignment horizontal="center"/>
    </xf>
    <xf numFmtId="178" fontId="7" fillId="0" borderId="60" xfId="3" applyNumberFormat="1" applyBorder="1" applyAlignment="1">
      <alignment horizontal="center"/>
    </xf>
    <xf numFmtId="178" fontId="7" fillId="0" borderId="61" xfId="3" applyNumberFormat="1" applyBorder="1" applyAlignment="1">
      <alignment horizontal="center"/>
    </xf>
    <xf numFmtId="2" fontId="7" fillId="0" borderId="60" xfId="3" applyNumberFormat="1" applyBorder="1" applyAlignment="1">
      <alignment horizontal="center"/>
    </xf>
    <xf numFmtId="2" fontId="7" fillId="0" borderId="12" xfId="3" applyNumberFormat="1" applyBorder="1" applyAlignment="1">
      <alignment horizontal="center"/>
    </xf>
    <xf numFmtId="2" fontId="7" fillId="0" borderId="18" xfId="3" applyNumberFormat="1" applyBorder="1" applyAlignment="1">
      <alignment horizontal="center"/>
    </xf>
    <xf numFmtId="2" fontId="7" fillId="0" borderId="51" xfId="3" applyNumberFormat="1" applyBorder="1" applyAlignment="1">
      <alignment horizontal="center"/>
    </xf>
    <xf numFmtId="0" fontId="7" fillId="0" borderId="56" xfId="3" applyBorder="1" applyAlignment="1">
      <alignment horizontal="center"/>
    </xf>
    <xf numFmtId="180" fontId="7" fillId="0" borderId="11" xfId="3" applyNumberFormat="1" applyBorder="1" applyAlignment="1">
      <alignment horizontal="center"/>
    </xf>
    <xf numFmtId="180" fontId="7" fillId="0" borderId="51" xfId="3" applyNumberFormat="1" applyBorder="1" applyAlignment="1">
      <alignment horizontal="center"/>
    </xf>
    <xf numFmtId="0" fontId="7" fillId="0" borderId="0" xfId="3" applyAlignment="1">
      <alignment horizontal="center"/>
    </xf>
    <xf numFmtId="180" fontId="7" fillId="0" borderId="0" xfId="3" applyNumberFormat="1" applyAlignment="1">
      <alignment horizontal="center"/>
    </xf>
    <xf numFmtId="178" fontId="7" fillId="0" borderId="0" xfId="3" applyNumberFormat="1" applyAlignment="1">
      <alignment horizontal="center"/>
    </xf>
    <xf numFmtId="2" fontId="7" fillId="0" borderId="0" xfId="3" applyNumberFormat="1" applyAlignment="1">
      <alignment horizontal="center"/>
    </xf>
    <xf numFmtId="0" fontId="7" fillId="0" borderId="0" xfId="3" applyAlignment="1">
      <alignment horizontal="right"/>
    </xf>
    <xf numFmtId="180" fontId="7" fillId="0" borderId="18" xfId="3" applyNumberFormat="1" applyBorder="1" applyAlignment="1">
      <alignment horizontal="center"/>
    </xf>
    <xf numFmtId="180" fontId="7" fillId="0" borderId="8" xfId="3" applyNumberFormat="1" applyBorder="1" applyAlignment="1">
      <alignment horizontal="center"/>
    </xf>
    <xf numFmtId="2" fontId="7" fillId="0" borderId="5" xfId="3" applyNumberFormat="1" applyBorder="1" applyAlignment="1">
      <alignment horizontal="center"/>
    </xf>
    <xf numFmtId="2" fontId="7" fillId="0" borderId="7" xfId="3" applyNumberFormat="1" applyBorder="1" applyAlignment="1">
      <alignment horizontal="center"/>
    </xf>
    <xf numFmtId="2" fontId="7" fillId="0" borderId="0" xfId="3" applyNumberFormat="1"/>
    <xf numFmtId="181" fontId="0" fillId="0" borderId="0" xfId="0" applyNumberFormat="1"/>
    <xf numFmtId="1" fontId="12" fillId="12" borderId="0" xfId="0" applyNumberFormat="1" applyFont="1" applyFill="1"/>
    <xf numFmtId="0" fontId="61" fillId="0" borderId="0" xfId="0" applyFont="1"/>
    <xf numFmtId="2" fontId="7" fillId="0" borderId="11" xfId="3" applyNumberFormat="1" applyBorder="1"/>
    <xf numFmtId="2" fontId="7" fillId="0" borderId="51" xfId="3" applyNumberFormat="1" applyBorder="1"/>
    <xf numFmtId="2" fontId="12" fillId="0" borderId="7" xfId="3" applyNumberFormat="1" applyFont="1" applyBorder="1" applyAlignment="1">
      <alignment horizontal="center"/>
    </xf>
    <xf numFmtId="2" fontId="7" fillId="0" borderId="61" xfId="3" applyNumberFormat="1" applyBorder="1"/>
    <xf numFmtId="1" fontId="7" fillId="9" borderId="2" xfId="0" applyNumberFormat="1" applyFont="1" applyFill="1" applyBorder="1" applyAlignment="1">
      <alignment vertical="center"/>
    </xf>
    <xf numFmtId="0" fontId="8" fillId="9" borderId="41" xfId="0" applyFont="1" applyFill="1" applyBorder="1" applyAlignment="1">
      <alignment horizontal="center"/>
    </xf>
    <xf numFmtId="11" fontId="7" fillId="0" borderId="0" xfId="0" applyNumberFormat="1" applyFont="1"/>
    <xf numFmtId="1" fontId="7" fillId="0" borderId="0" xfId="0" applyNumberFormat="1" applyFont="1"/>
    <xf numFmtId="1" fontId="7" fillId="12" borderId="0" xfId="0" applyNumberFormat="1" applyFont="1" applyFill="1"/>
    <xf numFmtId="0" fontId="7" fillId="21" borderId="0" xfId="0" applyFont="1" applyFill="1"/>
    <xf numFmtId="0" fontId="7" fillId="0" borderId="66" xfId="0" applyFont="1" applyBorder="1"/>
    <xf numFmtId="11" fontId="12" fillId="0" borderId="68" xfId="0" applyNumberFormat="1" applyFont="1" applyBorder="1"/>
    <xf numFmtId="0" fontId="71" fillId="0" borderId="68" xfId="0" applyFont="1" applyBorder="1"/>
    <xf numFmtId="1" fontId="61" fillId="0" borderId="0" xfId="0" applyNumberFormat="1" applyFont="1"/>
    <xf numFmtId="0" fontId="76" fillId="0" borderId="0" xfId="0" applyFont="1"/>
    <xf numFmtId="1" fontId="63" fillId="0" borderId="0" xfId="0" applyNumberFormat="1" applyFont="1"/>
    <xf numFmtId="0" fontId="63" fillId="0" borderId="0" xfId="0" applyFont="1"/>
    <xf numFmtId="2" fontId="63" fillId="0" borderId="0" xfId="0" applyNumberFormat="1" applyFont="1"/>
    <xf numFmtId="181" fontId="61" fillId="0" borderId="0" xfId="0" applyNumberFormat="1" applyFont="1"/>
    <xf numFmtId="0" fontId="8" fillId="0" borderId="27" xfId="0" applyFont="1" applyBorder="1"/>
    <xf numFmtId="179" fontId="8" fillId="0" borderId="0" xfId="0" applyNumberFormat="1" applyFont="1"/>
    <xf numFmtId="11" fontId="8" fillId="0" borderId="0" xfId="0" applyNumberFormat="1" applyFont="1"/>
    <xf numFmtId="1" fontId="7" fillId="20" borderId="0" xfId="0" applyNumberFormat="1" applyFont="1" applyFill="1"/>
    <xf numFmtId="1" fontId="64" fillId="0" borderId="0" xfId="0" applyNumberFormat="1" applyFont="1"/>
    <xf numFmtId="0" fontId="64" fillId="0" borderId="0" xfId="0" applyFont="1"/>
    <xf numFmtId="0" fontId="71" fillId="0" borderId="51" xfId="3" applyFont="1" applyBorder="1"/>
    <xf numFmtId="181" fontId="0" fillId="12" borderId="0" xfId="0" applyNumberFormat="1" applyFill="1"/>
    <xf numFmtId="185" fontId="7" fillId="0" borderId="0" xfId="0" applyNumberFormat="1" applyFont="1"/>
    <xf numFmtId="180" fontId="12" fillId="12" borderId="0" xfId="0" applyNumberFormat="1" applyFont="1" applyFill="1"/>
    <xf numFmtId="185" fontId="0" fillId="21" borderId="0" xfId="0" applyNumberFormat="1" applyFill="1"/>
    <xf numFmtId="11" fontId="0" fillId="20" borderId="0" xfId="0" applyNumberFormat="1" applyFill="1" applyAlignment="1">
      <alignment horizontal="right"/>
    </xf>
    <xf numFmtId="0" fontId="0" fillId="22" borderId="0" xfId="0" applyFill="1" applyAlignment="1">
      <alignment horizontal="right"/>
    </xf>
    <xf numFmtId="181" fontId="34" fillId="20" borderId="0" xfId="0" applyNumberFormat="1" applyFont="1" applyFill="1"/>
    <xf numFmtId="180" fontId="34" fillId="20" borderId="31" xfId="0" applyNumberFormat="1" applyFont="1" applyFill="1" applyBorder="1"/>
    <xf numFmtId="0" fontId="0" fillId="21" borderId="0" xfId="0" applyFill="1" applyAlignment="1">
      <alignment horizontal="right"/>
    </xf>
    <xf numFmtId="2" fontId="0" fillId="20" borderId="0" xfId="0" applyNumberFormat="1" applyFill="1" applyAlignment="1">
      <alignment horizontal="right"/>
    </xf>
    <xf numFmtId="0" fontId="76" fillId="0" borderId="25" xfId="0" applyFont="1" applyBorder="1"/>
    <xf numFmtId="181" fontId="7" fillId="0" borderId="0" xfId="0" applyNumberFormat="1" applyFont="1"/>
    <xf numFmtId="0" fontId="7" fillId="0" borderId="24" xfId="3" applyBorder="1" applyAlignment="1">
      <alignment horizontal="left"/>
    </xf>
    <xf numFmtId="0" fontId="7" fillId="0" borderId="42" xfId="3" applyBorder="1"/>
    <xf numFmtId="0" fontId="7" fillId="0" borderId="43" xfId="3" applyBorder="1"/>
    <xf numFmtId="181" fontId="7" fillId="0" borderId="42" xfId="3" applyNumberFormat="1" applyBorder="1"/>
    <xf numFmtId="0" fontId="7" fillId="8" borderId="15" xfId="3" applyFill="1" applyBorder="1"/>
    <xf numFmtId="0" fontId="8" fillId="0" borderId="48" xfId="3" applyFont="1" applyBorder="1" applyAlignment="1">
      <alignment horizontal="center"/>
    </xf>
    <xf numFmtId="11" fontId="7" fillId="0" borderId="11" xfId="3" applyNumberFormat="1" applyBorder="1"/>
    <xf numFmtId="1" fontId="7" fillId="0" borderId="42" xfId="3" applyNumberFormat="1" applyBorder="1"/>
    <xf numFmtId="181" fontId="7" fillId="0" borderId="11" xfId="3" applyNumberFormat="1" applyBorder="1"/>
    <xf numFmtId="0" fontId="7" fillId="0" borderId="0" xfId="3" applyAlignment="1">
      <alignment horizontal="left"/>
    </xf>
    <xf numFmtId="1" fontId="7" fillId="0" borderId="0" xfId="3" applyNumberFormat="1"/>
    <xf numFmtId="181" fontId="7" fillId="0" borderId="0" xfId="3" applyNumberFormat="1"/>
    <xf numFmtId="185" fontId="7" fillId="21" borderId="0" xfId="0" applyNumberFormat="1" applyFont="1" applyFill="1" applyAlignment="1">
      <alignment horizontal="right" vertical="center"/>
    </xf>
    <xf numFmtId="186" fontId="13" fillId="12" borderId="0" xfId="0" applyNumberFormat="1" applyFont="1" applyFill="1"/>
    <xf numFmtId="2" fontId="7" fillId="0" borderId="0" xfId="0" applyNumberFormat="1" applyFont="1"/>
    <xf numFmtId="1" fontId="7" fillId="22" borderId="0" xfId="0" applyNumberFormat="1" applyFont="1" applyFill="1"/>
    <xf numFmtId="0" fontId="7" fillId="22" borderId="0" xfId="0" applyFont="1" applyFill="1"/>
    <xf numFmtId="180" fontId="7" fillId="20" borderId="28" xfId="0" applyNumberFormat="1" applyFont="1" applyFill="1" applyBorder="1"/>
    <xf numFmtId="0" fontId="7" fillId="0" borderId="8" xfId="3" applyBorder="1"/>
    <xf numFmtId="182" fontId="7" fillId="0" borderId="8" xfId="3" applyNumberFormat="1" applyBorder="1"/>
    <xf numFmtId="0" fontId="8" fillId="0" borderId="50" xfId="3" applyFont="1" applyBorder="1" applyAlignment="1">
      <alignment horizontal="center"/>
    </xf>
    <xf numFmtId="0" fontId="7" fillId="8" borderId="57" xfId="3" applyFill="1" applyBorder="1"/>
    <xf numFmtId="181" fontId="7" fillId="0" borderId="41" xfId="3" applyNumberFormat="1" applyBorder="1"/>
    <xf numFmtId="181" fontId="64" fillId="0" borderId="0" xfId="0" applyNumberFormat="1" applyFont="1"/>
    <xf numFmtId="1" fontId="8" fillId="0" borderId="0" xfId="0" applyNumberFormat="1" applyFont="1"/>
    <xf numFmtId="187" fontId="8" fillId="12" borderId="0" xfId="0" applyNumberFormat="1" applyFont="1" applyFill="1"/>
    <xf numFmtId="187" fontId="7" fillId="4" borderId="0" xfId="0" applyNumberFormat="1" applyFont="1" applyFill="1"/>
    <xf numFmtId="187" fontId="34" fillId="4" borderId="0" xfId="0" applyNumberFormat="1" applyFont="1" applyFill="1"/>
    <xf numFmtId="0" fontId="7" fillId="0" borderId="8" xfId="3" applyBorder="1" applyAlignment="1">
      <alignment horizontal="left"/>
    </xf>
    <xf numFmtId="2" fontId="7" fillId="0" borderId="52" xfId="3" applyNumberFormat="1" applyBorder="1" applyAlignment="1">
      <alignment horizontal="center"/>
    </xf>
    <xf numFmtId="1" fontId="7" fillId="0" borderId="0" xfId="3" applyNumberFormat="1" applyAlignment="1">
      <alignment horizontal="right"/>
    </xf>
    <xf numFmtId="181" fontId="7" fillId="8" borderId="11" xfId="3" applyNumberFormat="1" applyFill="1" applyBorder="1"/>
    <xf numFmtId="0" fontId="7" fillId="9" borderId="67" xfId="0" applyFont="1" applyFill="1" applyBorder="1" applyAlignment="1">
      <alignment horizontal="left"/>
    </xf>
    <xf numFmtId="182" fontId="7" fillId="9" borderId="25" xfId="0" applyNumberFormat="1" applyFont="1" applyFill="1" applyBorder="1" applyAlignment="1">
      <alignment horizontal="right"/>
    </xf>
    <xf numFmtId="0" fontId="7" fillId="9" borderId="26" xfId="0" applyFont="1" applyFill="1" applyBorder="1" applyAlignment="1">
      <alignment horizontal="left"/>
    </xf>
    <xf numFmtId="0" fontId="7" fillId="9" borderId="43" xfId="0" applyFont="1" applyFill="1" applyBorder="1" applyAlignment="1">
      <alignment horizontal="left"/>
    </xf>
    <xf numFmtId="180" fontId="63" fillId="0" borderId="0" xfId="0" applyNumberFormat="1" applyFont="1"/>
    <xf numFmtId="182" fontId="7" fillId="20" borderId="0" xfId="0" applyNumberFormat="1" applyFont="1" applyFill="1"/>
    <xf numFmtId="1" fontId="8" fillId="20" borderId="0" xfId="0" applyNumberFormat="1" applyFont="1" applyFill="1"/>
    <xf numFmtId="1" fontId="7" fillId="9" borderId="41" xfId="0" applyNumberFormat="1" applyFont="1" applyFill="1" applyBorder="1" applyAlignment="1">
      <alignment horizontal="right"/>
    </xf>
    <xf numFmtId="0" fontId="8" fillId="9" borderId="68" xfId="0" applyFont="1" applyFill="1" applyBorder="1"/>
    <xf numFmtId="0" fontId="7" fillId="9" borderId="68" xfId="0" applyFont="1" applyFill="1" applyBorder="1"/>
    <xf numFmtId="0" fontId="7" fillId="9" borderId="67" xfId="0" applyFont="1" applyFill="1" applyBorder="1"/>
    <xf numFmtId="0" fontId="75" fillId="9" borderId="25" xfId="0" applyFont="1" applyFill="1" applyBorder="1"/>
    <xf numFmtId="0" fontId="19" fillId="0" borderId="36" xfId="0" applyFont="1" applyBorder="1"/>
    <xf numFmtId="2" fontId="19" fillId="4" borderId="0" xfId="0" applyNumberFormat="1" applyFont="1" applyFill="1" applyAlignment="1">
      <alignment horizontal="right"/>
    </xf>
    <xf numFmtId="2" fontId="34" fillId="20" borderId="0" xfId="0" applyNumberFormat="1" applyFont="1" applyFill="1" applyAlignment="1">
      <alignment horizontal="right"/>
    </xf>
    <xf numFmtId="180" fontId="8" fillId="12" borderId="0" xfId="0" applyNumberFormat="1" applyFont="1" applyFill="1"/>
    <xf numFmtId="181" fontId="13" fillId="0" borderId="0" xfId="0" applyNumberFormat="1" applyFont="1"/>
    <xf numFmtId="181" fontId="0" fillId="13" borderId="0" xfId="0" applyNumberFormat="1" applyFill="1"/>
    <xf numFmtId="0" fontId="78" fillId="0" borderId="0" xfId="0" applyFont="1"/>
    <xf numFmtId="2" fontId="8" fillId="0" borderId="0" xfId="0" applyNumberFormat="1" applyFont="1"/>
    <xf numFmtId="0" fontId="21" fillId="16" borderId="25" xfId="0" applyFont="1" applyFill="1" applyBorder="1"/>
    <xf numFmtId="0" fontId="7" fillId="9" borderId="0" xfId="0" applyFont="1" applyFill="1" applyAlignment="1">
      <alignment horizontal="right" vertical="top"/>
    </xf>
    <xf numFmtId="182" fontId="7" fillId="9" borderId="0" xfId="0" applyNumberFormat="1" applyFont="1" applyFill="1" applyAlignment="1">
      <alignment horizontal="left" vertical="center"/>
    </xf>
    <xf numFmtId="0" fontId="66" fillId="9" borderId="68" xfId="0" applyFont="1" applyFill="1" applyBorder="1" applyAlignment="1">
      <alignment horizontal="left"/>
    </xf>
    <xf numFmtId="0" fontId="8" fillId="4" borderId="0" xfId="0" applyFont="1" applyFill="1"/>
    <xf numFmtId="0" fontId="7" fillId="9" borderId="68" xfId="0" applyFont="1" applyFill="1" applyBorder="1" applyAlignment="1">
      <alignment horizontal="right" vertical="center"/>
    </xf>
    <xf numFmtId="0" fontId="7" fillId="9" borderId="38" xfId="0" applyFont="1" applyFill="1" applyBorder="1" applyAlignment="1">
      <alignment horizontal="left" vertical="center"/>
    </xf>
    <xf numFmtId="0" fontId="7" fillId="9" borderId="0" xfId="0" applyFont="1" applyFill="1" applyAlignment="1">
      <alignment horizontal="left" vertical="top"/>
    </xf>
    <xf numFmtId="0" fontId="7" fillId="9" borderId="0" xfId="0" applyFont="1" applyFill="1" applyAlignment="1">
      <alignment horizontal="right" vertical="top" readingOrder="1"/>
    </xf>
    <xf numFmtId="182" fontId="0" fillId="0" borderId="0" xfId="0" applyNumberFormat="1" applyAlignment="1">
      <alignment horizontal="left"/>
    </xf>
    <xf numFmtId="187" fontId="63" fillId="0" borderId="0" xfId="0" applyNumberFormat="1" applyFont="1"/>
    <xf numFmtId="11" fontId="63" fillId="0" borderId="0" xfId="0" applyNumberFormat="1" applyFont="1"/>
    <xf numFmtId="181" fontId="66" fillId="0" borderId="0" xfId="0" applyNumberFormat="1" applyFont="1"/>
    <xf numFmtId="0" fontId="66" fillId="0" borderId="0" xfId="0" applyFont="1"/>
    <xf numFmtId="0" fontId="80" fillId="0" borderId="0" xfId="0" applyFont="1"/>
    <xf numFmtId="0" fontId="24" fillId="23" borderId="40" xfId="0" applyFont="1" applyFill="1" applyBorder="1"/>
    <xf numFmtId="0" fontId="24" fillId="23" borderId="38" xfId="0" applyFont="1" applyFill="1" applyBorder="1"/>
    <xf numFmtId="0" fontId="21" fillId="23" borderId="38" xfId="0" applyFont="1" applyFill="1" applyBorder="1"/>
    <xf numFmtId="184" fontId="21" fillId="23" borderId="0" xfId="0" applyNumberFormat="1" applyFont="1" applyFill="1" applyAlignment="1">
      <alignment horizontal="center"/>
    </xf>
    <xf numFmtId="0" fontId="21" fillId="23" borderId="0" xfId="0" applyFont="1" applyFill="1"/>
    <xf numFmtId="184" fontId="68" fillId="23" borderId="0" xfId="0" applyNumberFormat="1" applyFont="1" applyFill="1" applyAlignment="1">
      <alignment horizontal="center"/>
    </xf>
    <xf numFmtId="184" fontId="29" fillId="23" borderId="0" xfId="0" applyNumberFormat="1" applyFont="1" applyFill="1" applyAlignment="1">
      <alignment horizontal="center"/>
    </xf>
    <xf numFmtId="0" fontId="30" fillId="23" borderId="25" xfId="0" applyFont="1" applyFill="1" applyBorder="1" applyAlignment="1">
      <alignment horizontal="left"/>
    </xf>
    <xf numFmtId="0" fontId="30" fillId="23" borderId="0" xfId="0" applyFont="1" applyFill="1" applyAlignment="1">
      <alignment horizontal="left"/>
    </xf>
    <xf numFmtId="0" fontId="28" fillId="23" borderId="25" xfId="0" applyFont="1" applyFill="1" applyBorder="1" applyAlignment="1">
      <alignment horizontal="left" vertical="center"/>
    </xf>
    <xf numFmtId="0" fontId="28" fillId="23" borderId="0" xfId="0" applyFont="1" applyFill="1" applyAlignment="1">
      <alignment horizontal="left" vertical="center"/>
    </xf>
    <xf numFmtId="0" fontId="70" fillId="23" borderId="0" xfId="0" applyFont="1" applyFill="1" applyAlignment="1">
      <alignment horizontal="left" vertical="center"/>
    </xf>
    <xf numFmtId="0" fontId="24" fillId="23" borderId="28" xfId="0" applyFont="1" applyFill="1" applyBorder="1"/>
    <xf numFmtId="0" fontId="28" fillId="23" borderId="0" xfId="0" quotePrefix="1" applyFont="1" applyFill="1" applyAlignment="1">
      <alignment vertical="center"/>
    </xf>
    <xf numFmtId="0" fontId="24" fillId="23" borderId="0" xfId="0" applyFont="1" applyFill="1" applyAlignment="1">
      <alignment vertical="center"/>
    </xf>
    <xf numFmtId="0" fontId="33" fillId="23" borderId="0" xfId="0" applyFont="1" applyFill="1" applyAlignment="1">
      <alignment vertical="center"/>
    </xf>
    <xf numFmtId="0" fontId="31" fillId="23" borderId="28" xfId="0" applyFont="1" applyFill="1" applyBorder="1"/>
    <xf numFmtId="0" fontId="31" fillId="23" borderId="42" xfId="0" applyFont="1" applyFill="1" applyBorder="1"/>
    <xf numFmtId="0" fontId="81" fillId="23" borderId="0" xfId="2" applyFont="1" applyFill="1" applyBorder="1" applyAlignment="1" applyProtection="1">
      <alignment horizontal="left" vertical="center"/>
    </xf>
    <xf numFmtId="1" fontId="7" fillId="9" borderId="66" xfId="0" applyNumberFormat="1" applyFont="1" applyFill="1" applyBorder="1" applyAlignment="1">
      <alignment horizontal="right"/>
    </xf>
    <xf numFmtId="0" fontId="83" fillId="0" borderId="25" xfId="0" applyFont="1" applyBorder="1"/>
    <xf numFmtId="182" fontId="8" fillId="20" borderId="0" xfId="0" applyNumberFormat="1" applyFont="1" applyFill="1"/>
    <xf numFmtId="182" fontId="8" fillId="0" borderId="0" xfId="0" applyNumberFormat="1" applyFont="1"/>
    <xf numFmtId="181" fontId="0" fillId="20" borderId="0" xfId="0" applyNumberFormat="1" applyFill="1"/>
    <xf numFmtId="2" fontId="13" fillId="12" borderId="0" xfId="0" applyNumberFormat="1" applyFont="1" applyFill="1"/>
    <xf numFmtId="182" fontId="19" fillId="4" borderId="0" xfId="0" applyNumberFormat="1" applyFont="1" applyFill="1" applyAlignment="1">
      <alignment horizontal="right"/>
    </xf>
    <xf numFmtId="187" fontId="8" fillId="0" borderId="0" xfId="0" applyNumberFormat="1" applyFont="1"/>
    <xf numFmtId="2" fontId="34" fillId="0" borderId="0" xfId="0" applyNumberFormat="1" applyFont="1"/>
    <xf numFmtId="0" fontId="72" fillId="0" borderId="0" xfId="0" applyFont="1"/>
    <xf numFmtId="182" fontId="7" fillId="9" borderId="0" xfId="0" applyNumberFormat="1" applyFont="1" applyFill="1" applyAlignment="1">
      <alignment horizontal="right"/>
    </xf>
    <xf numFmtId="182" fontId="7" fillId="9" borderId="0" xfId="0" applyNumberFormat="1" applyFont="1" applyFill="1" applyAlignment="1">
      <alignment horizontal="right" vertical="center"/>
    </xf>
    <xf numFmtId="11" fontId="63" fillId="20" borderId="0" xfId="0" applyNumberFormat="1" applyFont="1" applyFill="1"/>
    <xf numFmtId="187" fontId="0" fillId="0" borderId="0" xfId="0" applyNumberFormat="1"/>
    <xf numFmtId="2" fontId="0" fillId="4" borderId="0" xfId="0" applyNumberFormat="1" applyFill="1"/>
    <xf numFmtId="0" fontId="0" fillId="0" borderId="28" xfId="0" applyBorder="1" applyAlignment="1">
      <alignment horizontal="left"/>
    </xf>
    <xf numFmtId="0" fontId="63" fillId="9" borderId="0" xfId="0" applyFont="1" applyFill="1" applyAlignment="1">
      <alignment horizontal="right"/>
    </xf>
    <xf numFmtId="2" fontId="7" fillId="16" borderId="0" xfId="0" applyNumberFormat="1" applyFont="1" applyFill="1"/>
    <xf numFmtId="11" fontId="34" fillId="20" borderId="0" xfId="0" applyNumberFormat="1" applyFont="1" applyFill="1" applyAlignment="1">
      <alignment horizontal="right"/>
    </xf>
    <xf numFmtId="11" fontId="0" fillId="20" borderId="0" xfId="0" applyNumberFormat="1" applyFill="1"/>
    <xf numFmtId="180" fontId="0" fillId="20" borderId="0" xfId="0" applyNumberFormat="1" applyFill="1"/>
    <xf numFmtId="181" fontId="34" fillId="0" borderId="0" xfId="0" applyNumberFormat="1" applyFont="1"/>
    <xf numFmtId="0" fontId="72" fillId="0" borderId="0" xfId="0" applyFont="1" applyAlignment="1">
      <alignment horizontal="left"/>
    </xf>
    <xf numFmtId="0" fontId="61" fillId="0" borderId="0" xfId="0" applyFont="1" applyAlignment="1">
      <alignment horizontal="right"/>
    </xf>
    <xf numFmtId="0" fontId="0" fillId="16" borderId="0" xfId="0" applyFill="1"/>
    <xf numFmtId="0" fontId="0" fillId="0" borderId="0" xfId="0" applyAlignment="1">
      <alignment horizontal="center"/>
    </xf>
    <xf numFmtId="1" fontId="8" fillId="16" borderId="0" xfId="0" applyNumberFormat="1" applyFont="1" applyFill="1" applyAlignment="1" applyProtection="1">
      <alignment horizontal="right" vertical="center"/>
      <protection hidden="1"/>
    </xf>
    <xf numFmtId="0" fontId="61" fillId="0" borderId="0" xfId="0" applyFont="1" applyAlignment="1">
      <alignment horizontal="left"/>
    </xf>
    <xf numFmtId="182" fontId="7" fillId="16" borderId="0" xfId="0" applyNumberFormat="1" applyFont="1" applyFill="1"/>
    <xf numFmtId="0" fontId="8" fillId="9" borderId="42" xfId="0" applyFont="1" applyFill="1" applyBorder="1" applyAlignment="1">
      <alignment horizontal="left" vertical="center"/>
    </xf>
    <xf numFmtId="0" fontId="0" fillId="19" borderId="0" xfId="0" applyFill="1"/>
    <xf numFmtId="0" fontId="7" fillId="19" borderId="0" xfId="0" applyFont="1" applyFill="1"/>
    <xf numFmtId="182" fontId="7" fillId="19" borderId="0" xfId="0" applyNumberFormat="1" applyFont="1" applyFill="1"/>
    <xf numFmtId="0" fontId="8" fillId="25" borderId="0" xfId="0" applyFont="1" applyFill="1" applyAlignment="1">
      <alignment horizontal="center"/>
    </xf>
    <xf numFmtId="2" fontId="7" fillId="19" borderId="0" xfId="0" applyNumberFormat="1" applyFont="1" applyFill="1"/>
    <xf numFmtId="0" fontId="7" fillId="0" borderId="0" xfId="0" applyFont="1" applyAlignment="1">
      <alignment horizontal="center"/>
    </xf>
    <xf numFmtId="0" fontId="7" fillId="9" borderId="0" xfId="0" applyFont="1" applyFill="1" applyAlignment="1" applyProtection="1">
      <alignment horizontal="right" vertical="center"/>
      <protection hidden="1"/>
    </xf>
    <xf numFmtId="0" fontId="7" fillId="26" borderId="68" xfId="0" applyFont="1" applyFill="1" applyBorder="1"/>
    <xf numFmtId="0" fontId="7" fillId="26" borderId="0" xfId="0" applyFont="1" applyFill="1"/>
    <xf numFmtId="48" fontId="0" fillId="20" borderId="0" xfId="0" applyNumberFormat="1" applyFill="1"/>
    <xf numFmtId="48" fontId="7" fillId="26" borderId="0" xfId="0" applyNumberFormat="1" applyFont="1" applyFill="1"/>
    <xf numFmtId="0" fontId="7" fillId="0" borderId="0" xfId="0" quotePrefix="1" applyFont="1"/>
    <xf numFmtId="0" fontId="0" fillId="0" borderId="0" xfId="0" quotePrefix="1"/>
    <xf numFmtId="0" fontId="88" fillId="0" borderId="0" xfId="6" applyFont="1"/>
    <xf numFmtId="0" fontId="64" fillId="0" borderId="0" xfId="6" applyFont="1" applyAlignment="1">
      <alignment horizontal="center"/>
    </xf>
    <xf numFmtId="0" fontId="64" fillId="0" borderId="0" xfId="6" applyFont="1" applyAlignment="1">
      <alignment horizontal="left"/>
    </xf>
    <xf numFmtId="0" fontId="63" fillId="0" borderId="0" xfId="6" applyFont="1"/>
    <xf numFmtId="0" fontId="90" fillId="0" borderId="0" xfId="7" applyFont="1" applyFill="1" applyBorder="1" applyAlignment="1">
      <alignment vertical="center"/>
    </xf>
    <xf numFmtId="0" fontId="90" fillId="0" borderId="0" xfId="7" applyFont="1" applyFill="1" applyBorder="1" applyAlignment="1">
      <alignment horizontal="right" vertical="center"/>
    </xf>
    <xf numFmtId="0" fontId="88" fillId="0" borderId="0" xfId="6" applyFont="1" applyAlignment="1">
      <alignment horizontal="center"/>
    </xf>
    <xf numFmtId="0" fontId="88" fillId="0" borderId="0" xfId="6" applyFont="1" applyAlignment="1">
      <alignment horizontal="left"/>
    </xf>
    <xf numFmtId="0" fontId="63" fillId="0" borderId="0" xfId="6" applyFont="1" applyAlignment="1">
      <alignment horizontal="center"/>
    </xf>
    <xf numFmtId="0" fontId="7" fillId="0" borderId="0" xfId="6" applyFont="1"/>
    <xf numFmtId="0" fontId="91" fillId="18" borderId="0" xfId="6" applyFont="1" applyFill="1" applyAlignment="1">
      <alignment horizontal="center"/>
    </xf>
    <xf numFmtId="0" fontId="92" fillId="0" borderId="0" xfId="7" applyFont="1" applyFill="1" applyBorder="1" applyAlignment="1">
      <alignment vertical="center"/>
    </xf>
    <xf numFmtId="0" fontId="8" fillId="0" borderId="0" xfId="0" applyFont="1" applyProtection="1">
      <protection hidden="1"/>
    </xf>
    <xf numFmtId="0" fontId="63" fillId="16" borderId="2" xfId="0" applyFont="1" applyFill="1" applyBorder="1" applyAlignment="1">
      <alignment horizontal="right" vertical="center"/>
    </xf>
    <xf numFmtId="182" fontId="7" fillId="0" borderId="2" xfId="0" applyNumberFormat="1" applyFont="1" applyBorder="1" applyAlignment="1" applyProtection="1">
      <alignment vertical="center"/>
      <protection hidden="1"/>
    </xf>
    <xf numFmtId="0" fontId="8" fillId="0" borderId="0" xfId="0" applyFont="1" applyAlignment="1" applyProtection="1">
      <alignment horizontal="right" vertical="center"/>
      <protection hidden="1"/>
    </xf>
    <xf numFmtId="0" fontId="84" fillId="25" borderId="0" xfId="0" applyFont="1" applyFill="1" applyAlignment="1">
      <alignment horizontal="left"/>
    </xf>
    <xf numFmtId="2" fontId="84" fillId="25" borderId="0" xfId="0" applyNumberFormat="1" applyFont="1" applyFill="1" applyAlignment="1">
      <alignment horizontal="left"/>
    </xf>
    <xf numFmtId="1" fontId="0" fillId="25" borderId="0" xfId="0" applyNumberFormat="1" applyFill="1" applyAlignment="1">
      <alignment horizontal="left"/>
    </xf>
    <xf numFmtId="0" fontId="0" fillId="25" borderId="0" xfId="0" applyFill="1"/>
    <xf numFmtId="0" fontId="8" fillId="25" borderId="0" xfId="0" applyFont="1" applyFill="1" applyAlignment="1">
      <alignment horizontal="left"/>
    </xf>
    <xf numFmtId="2" fontId="8" fillId="25" borderId="0" xfId="0" applyNumberFormat="1" applyFont="1" applyFill="1" applyAlignment="1">
      <alignment horizontal="left"/>
    </xf>
    <xf numFmtId="48" fontId="0" fillId="25" borderId="0" xfId="0" applyNumberFormat="1" applyFill="1"/>
    <xf numFmtId="48" fontId="7" fillId="25" borderId="0" xfId="0" applyNumberFormat="1" applyFont="1" applyFill="1"/>
    <xf numFmtId="48" fontId="0" fillId="0" borderId="0" xfId="0" applyNumberFormat="1"/>
    <xf numFmtId="48" fontId="0" fillId="12" borderId="0" xfId="0" applyNumberFormat="1" applyFill="1"/>
    <xf numFmtId="48" fontId="8" fillId="22" borderId="0" xfId="0" applyNumberFormat="1" applyFont="1" applyFill="1" applyAlignment="1">
      <alignment horizontal="right"/>
    </xf>
    <xf numFmtId="48" fontId="0" fillId="4" borderId="28" xfId="0" applyNumberFormat="1" applyFill="1" applyBorder="1"/>
    <xf numFmtId="0" fontId="95" fillId="23" borderId="0" xfId="0" applyFont="1" applyFill="1" applyAlignment="1">
      <alignment horizontal="left"/>
    </xf>
    <xf numFmtId="0" fontId="94" fillId="23" borderId="0" xfId="2" applyFont="1" applyFill="1" applyAlignment="1" applyProtection="1">
      <alignment horizontal="left"/>
      <protection locked="0"/>
    </xf>
    <xf numFmtId="0" fontId="84" fillId="0" borderId="0" xfId="0" applyFont="1"/>
    <xf numFmtId="0" fontId="8" fillId="19" borderId="0" xfId="0" applyFont="1" applyFill="1" applyAlignment="1">
      <alignment horizontal="left" vertical="center"/>
    </xf>
    <xf numFmtId="48" fontId="12" fillId="12" borderId="0" xfId="0" applyNumberFormat="1" applyFont="1" applyFill="1"/>
    <xf numFmtId="0" fontId="66" fillId="9" borderId="0" xfId="0" applyFont="1" applyFill="1" applyAlignment="1">
      <alignment vertical="center"/>
    </xf>
    <xf numFmtId="0" fontId="66" fillId="0" borderId="42" xfId="0" applyFont="1" applyBorder="1" applyAlignment="1">
      <alignment horizontal="left" vertical="center"/>
    </xf>
    <xf numFmtId="0" fontId="67" fillId="9" borderId="42" xfId="0" applyFont="1" applyFill="1" applyBorder="1" applyAlignment="1">
      <alignment vertical="center"/>
    </xf>
    <xf numFmtId="48" fontId="0" fillId="13" borderId="0" xfId="0" applyNumberFormat="1" applyFill="1"/>
    <xf numFmtId="0" fontId="7" fillId="0" borderId="42" xfId="0" applyFont="1" applyBorder="1"/>
    <xf numFmtId="0" fontId="71" fillId="0" borderId="4" xfId="0" applyFont="1" applyBorder="1"/>
    <xf numFmtId="0" fontId="0" fillId="0" borderId="38" xfId="0" applyBorder="1" applyAlignment="1">
      <alignment horizontal="right"/>
    </xf>
    <xf numFmtId="0" fontId="0" fillId="0" borderId="67" xfId="0" applyBorder="1"/>
    <xf numFmtId="0" fontId="0" fillId="0" borderId="41" xfId="0" applyBorder="1"/>
    <xf numFmtId="0" fontId="0" fillId="0" borderId="42" xfId="0" applyBorder="1"/>
    <xf numFmtId="0" fontId="0" fillId="0" borderId="43" xfId="0" applyBorder="1"/>
    <xf numFmtId="0" fontId="8" fillId="0" borderId="66" xfId="0" applyFont="1" applyBorder="1"/>
    <xf numFmtId="48" fontId="0" fillId="26" borderId="0" xfId="0" applyNumberFormat="1" applyFill="1"/>
    <xf numFmtId="48" fontId="0" fillId="29" borderId="0" xfId="0" applyNumberFormat="1" applyFill="1" applyAlignment="1">
      <alignment horizontal="right"/>
    </xf>
    <xf numFmtId="0" fontId="64" fillId="16" borderId="0" xfId="0" applyFont="1" applyFill="1" applyAlignment="1">
      <alignment horizontal="right"/>
    </xf>
    <xf numFmtId="1" fontId="7" fillId="9" borderId="0" xfId="0" applyNumberFormat="1" applyFont="1" applyFill="1" applyAlignment="1" applyProtection="1">
      <alignment horizontal="right"/>
      <protection hidden="1"/>
    </xf>
    <xf numFmtId="0" fontId="63" fillId="16" borderId="42" xfId="0" applyFont="1" applyFill="1" applyBorder="1" applyAlignment="1">
      <alignment horizontal="center"/>
    </xf>
    <xf numFmtId="182" fontId="7" fillId="9" borderId="42" xfId="0" applyNumberFormat="1" applyFont="1" applyFill="1" applyBorder="1" applyAlignment="1">
      <alignment vertical="center"/>
    </xf>
    <xf numFmtId="0" fontId="7" fillId="9" borderId="42" xfId="0" applyFont="1" applyFill="1" applyBorder="1" applyAlignment="1">
      <alignment horizontal="right"/>
    </xf>
    <xf numFmtId="11" fontId="7" fillId="0" borderId="0" xfId="3" applyNumberFormat="1"/>
    <xf numFmtId="48" fontId="0" fillId="22" borderId="0" xfId="0" applyNumberFormat="1" applyFill="1"/>
    <xf numFmtId="1" fontId="7" fillId="16" borderId="0" xfId="0" applyNumberFormat="1" applyFont="1" applyFill="1"/>
    <xf numFmtId="48" fontId="7" fillId="0" borderId="0" xfId="3" applyNumberFormat="1"/>
    <xf numFmtId="48" fontId="7" fillId="13" borderId="0" xfId="0" applyNumberFormat="1" applyFont="1" applyFill="1"/>
    <xf numFmtId="0" fontId="98" fillId="31" borderId="71" xfId="11"/>
    <xf numFmtId="0" fontId="97" fillId="30" borderId="70" xfId="10"/>
    <xf numFmtId="0" fontId="21" fillId="9" borderId="26" xfId="0" applyFont="1" applyFill="1" applyBorder="1" applyAlignment="1">
      <alignment vertical="center"/>
    </xf>
    <xf numFmtId="1" fontId="71" fillId="0" borderId="0" xfId="0" applyNumberFormat="1" applyFont="1"/>
    <xf numFmtId="0" fontId="61" fillId="0" borderId="0" xfId="0" applyFont="1" applyAlignment="1">
      <alignment horizontal="center" vertical="top"/>
    </xf>
    <xf numFmtId="0" fontId="63" fillId="9" borderId="0" xfId="0" applyFont="1" applyFill="1" applyAlignment="1" applyProtection="1">
      <alignment horizontal="right"/>
      <protection hidden="1"/>
    </xf>
    <xf numFmtId="0" fontId="8" fillId="9" borderId="26" xfId="0" applyFont="1" applyFill="1" applyBorder="1" applyProtection="1">
      <protection hidden="1"/>
    </xf>
    <xf numFmtId="0" fontId="0" fillId="26" borderId="2" xfId="0" applyFill="1" applyBorder="1"/>
    <xf numFmtId="0" fontId="0" fillId="26" borderId="0" xfId="0" applyFill="1"/>
    <xf numFmtId="0" fontId="100" fillId="16" borderId="38" xfId="3" applyFont="1" applyFill="1" applyBorder="1" applyAlignment="1" applyProtection="1">
      <alignment horizontal="right"/>
      <protection hidden="1"/>
    </xf>
    <xf numFmtId="0" fontId="0" fillId="19" borderId="38" xfId="0" applyFill="1" applyBorder="1" applyProtection="1">
      <protection locked="0" hidden="1"/>
    </xf>
    <xf numFmtId="0" fontId="101" fillId="23" borderId="27" xfId="0" applyFont="1" applyFill="1" applyBorder="1"/>
    <xf numFmtId="0" fontId="101" fillId="23" borderId="28" xfId="0" applyFont="1" applyFill="1" applyBorder="1"/>
    <xf numFmtId="0" fontId="7" fillId="0" borderId="41" xfId="3" applyBorder="1"/>
    <xf numFmtId="48" fontId="7" fillId="26" borderId="0" xfId="3" applyNumberFormat="1" applyFill="1"/>
    <xf numFmtId="0" fontId="8" fillId="19" borderId="38" xfId="0" applyFont="1" applyFill="1" applyBorder="1" applyAlignment="1" applyProtection="1">
      <alignment vertical="center"/>
      <protection locked="0"/>
    </xf>
    <xf numFmtId="0" fontId="7" fillId="9" borderId="38" xfId="0" applyFont="1" applyFill="1" applyBorder="1" applyAlignment="1">
      <alignment horizontal="right"/>
    </xf>
    <xf numFmtId="0" fontId="7" fillId="9" borderId="72" xfId="0" applyFont="1" applyFill="1" applyBorder="1" applyAlignment="1">
      <alignment vertical="center"/>
    </xf>
    <xf numFmtId="48" fontId="96" fillId="28" borderId="0" xfId="9" applyNumberFormat="1"/>
    <xf numFmtId="182" fontId="63" fillId="9" borderId="38" xfId="1" applyNumberFormat="1" applyFont="1" applyFill="1" applyBorder="1" applyAlignment="1" applyProtection="1">
      <alignment horizontal="right"/>
    </xf>
    <xf numFmtId="0" fontId="7" fillId="0" borderId="72" xfId="0" applyFont="1" applyBorder="1"/>
    <xf numFmtId="188" fontId="0" fillId="20" borderId="0" xfId="0" applyNumberFormat="1" applyFill="1"/>
    <xf numFmtId="188" fontId="0" fillId="12" borderId="0" xfId="0" applyNumberFormat="1" applyFill="1"/>
    <xf numFmtId="49" fontId="63" fillId="0" borderId="0" xfId="6" applyNumberFormat="1" applyFont="1" applyAlignment="1">
      <alignment horizontal="center"/>
    </xf>
    <xf numFmtId="49" fontId="7" fillId="0" borderId="0" xfId="0" applyNumberFormat="1" applyFont="1"/>
    <xf numFmtId="49" fontId="88" fillId="0" borderId="0" xfId="6" applyNumberFormat="1" applyFont="1" applyAlignment="1">
      <alignment horizontal="center"/>
    </xf>
    <xf numFmtId="0" fontId="0" fillId="29" borderId="0" xfId="0" applyFill="1"/>
    <xf numFmtId="48" fontId="0" fillId="21" borderId="0" xfId="0" applyNumberFormat="1" applyFill="1"/>
    <xf numFmtId="0" fontId="7" fillId="21" borderId="2" xfId="0" applyFont="1" applyFill="1" applyBorder="1"/>
    <xf numFmtId="48" fontId="0" fillId="29" borderId="0" xfId="0" applyNumberFormat="1" applyFill="1"/>
    <xf numFmtId="0" fontId="7" fillId="9" borderId="72" xfId="0" applyFont="1" applyFill="1" applyBorder="1" applyAlignment="1" applyProtection="1">
      <alignment vertical="center"/>
      <protection hidden="1"/>
    </xf>
    <xf numFmtId="0" fontId="7" fillId="9" borderId="0" xfId="0" applyFont="1" applyFill="1" applyAlignment="1" applyProtection="1">
      <alignment vertical="center"/>
      <protection hidden="1"/>
    </xf>
    <xf numFmtId="1" fontId="7" fillId="9" borderId="0" xfId="0" applyNumberFormat="1" applyFont="1" applyFill="1" applyAlignment="1" applyProtection="1">
      <alignment vertical="center"/>
      <protection hidden="1"/>
    </xf>
    <xf numFmtId="0" fontId="7" fillId="9" borderId="26" xfId="0" applyFont="1" applyFill="1" applyBorder="1" applyProtection="1">
      <protection hidden="1"/>
    </xf>
    <xf numFmtId="0" fontId="7" fillId="9" borderId="27" xfId="0" applyFont="1" applyFill="1" applyBorder="1" applyAlignment="1" applyProtection="1">
      <alignment vertical="center"/>
      <protection hidden="1"/>
    </xf>
    <xf numFmtId="0" fontId="7" fillId="9" borderId="28" xfId="0" applyFont="1" applyFill="1" applyBorder="1" applyAlignment="1" applyProtection="1">
      <alignment vertical="center"/>
      <protection hidden="1"/>
    </xf>
    <xf numFmtId="0" fontId="7" fillId="9" borderId="28" xfId="0" applyFont="1" applyFill="1" applyBorder="1" applyAlignment="1" applyProtection="1">
      <alignment horizontal="right" vertical="center"/>
      <protection hidden="1"/>
    </xf>
    <xf numFmtId="1" fontId="7" fillId="9" borderId="28" xfId="0" applyNumberFormat="1" applyFont="1" applyFill="1" applyBorder="1" applyAlignment="1" applyProtection="1">
      <alignment vertical="center"/>
      <protection hidden="1"/>
    </xf>
    <xf numFmtId="0" fontId="7" fillId="9" borderId="43" xfId="0" applyFont="1" applyFill="1" applyBorder="1" applyProtection="1">
      <protection hidden="1"/>
    </xf>
    <xf numFmtId="0" fontId="8" fillId="0" borderId="49" xfId="3" applyFont="1" applyBorder="1" applyAlignment="1">
      <alignment horizontal="center"/>
    </xf>
    <xf numFmtId="0" fontId="8" fillId="0" borderId="57" xfId="3" applyFont="1" applyBorder="1" applyAlignment="1">
      <alignment horizontal="center"/>
    </xf>
    <xf numFmtId="0" fontId="8" fillId="0" borderId="58" xfId="3" applyFont="1" applyBorder="1" applyAlignment="1">
      <alignment horizontal="center"/>
    </xf>
    <xf numFmtId="0" fontId="8" fillId="0" borderId="18" xfId="3" applyFont="1" applyBorder="1" applyAlignment="1">
      <alignment horizontal="center"/>
    </xf>
    <xf numFmtId="0" fontId="7" fillId="0" borderId="49" xfId="3" applyBorder="1" applyAlignment="1">
      <alignment horizontal="center"/>
    </xf>
    <xf numFmtId="0" fontId="7" fillId="0" borderId="50" xfId="3" applyBorder="1" applyAlignment="1">
      <alignment horizontal="center"/>
    </xf>
    <xf numFmtId="0" fontId="75" fillId="4" borderId="53" xfId="3" applyFont="1" applyFill="1" applyBorder="1" applyAlignment="1">
      <alignment horizontal="center"/>
    </xf>
    <xf numFmtId="0" fontId="7" fillId="0" borderId="9" xfId="3" applyBorder="1" applyAlignment="1">
      <alignment horizontal="left"/>
    </xf>
    <xf numFmtId="182" fontId="7" fillId="0" borderId="9" xfId="3" applyNumberFormat="1" applyBorder="1"/>
    <xf numFmtId="0" fontId="7" fillId="8" borderId="9" xfId="3" applyFill="1" applyBorder="1"/>
    <xf numFmtId="0" fontId="7" fillId="2" borderId="0" xfId="3" applyFill="1"/>
    <xf numFmtId="0" fontId="7" fillId="0" borderId="5" xfId="3" applyBorder="1"/>
    <xf numFmtId="182" fontId="7" fillId="0" borderId="6" xfId="3" applyNumberFormat="1" applyBorder="1"/>
    <xf numFmtId="0" fontId="7" fillId="0" borderId="7" xfId="3" applyBorder="1"/>
    <xf numFmtId="0" fontId="8" fillId="0" borderId="9" xfId="3" applyFont="1" applyBorder="1" applyAlignment="1">
      <alignment horizontal="center"/>
    </xf>
    <xf numFmtId="0" fontId="7" fillId="0" borderId="56" xfId="3" applyBorder="1"/>
    <xf numFmtId="0" fontId="12" fillId="0" borderId="10" xfId="3" applyFont="1" applyBorder="1" applyAlignment="1">
      <alignment horizontal="center"/>
    </xf>
    <xf numFmtId="0" fontId="8" fillId="0" borderId="73" xfId="3" applyFont="1" applyBorder="1" applyAlignment="1">
      <alignment horizontal="center"/>
    </xf>
    <xf numFmtId="0" fontId="12" fillId="0" borderId="6" xfId="3" applyFont="1" applyBorder="1"/>
    <xf numFmtId="0" fontId="12" fillId="0" borderId="0" xfId="3" applyFont="1"/>
    <xf numFmtId="0" fontId="7" fillId="0" borderId="74" xfId="3" applyBorder="1" applyAlignment="1">
      <alignment horizontal="center"/>
    </xf>
    <xf numFmtId="180" fontId="7" fillId="0" borderId="17" xfId="3" applyNumberFormat="1" applyBorder="1" applyAlignment="1">
      <alignment horizontal="center"/>
    </xf>
    <xf numFmtId="180" fontId="7" fillId="0" borderId="55" xfId="3" applyNumberFormat="1" applyBorder="1" applyAlignment="1">
      <alignment horizontal="center"/>
    </xf>
    <xf numFmtId="180" fontId="7" fillId="0" borderId="4" xfId="3" applyNumberFormat="1" applyBorder="1" applyAlignment="1">
      <alignment horizontal="center"/>
    </xf>
    <xf numFmtId="180" fontId="7" fillId="0" borderId="54" xfId="3" applyNumberFormat="1" applyBorder="1" applyAlignment="1">
      <alignment horizontal="center"/>
    </xf>
    <xf numFmtId="180" fontId="7" fillId="0" borderId="53" xfId="3" applyNumberFormat="1" applyBorder="1" applyAlignment="1">
      <alignment horizontal="center"/>
    </xf>
    <xf numFmtId="180" fontId="7" fillId="0" borderId="75" xfId="3" applyNumberFormat="1" applyBorder="1" applyAlignment="1">
      <alignment horizontal="center"/>
    </xf>
    <xf numFmtId="180" fontId="7" fillId="0" borderId="76" xfId="3" applyNumberFormat="1" applyBorder="1" applyAlignment="1">
      <alignment horizontal="center"/>
    </xf>
    <xf numFmtId="180" fontId="7" fillId="0" borderId="77" xfId="3" applyNumberFormat="1" applyBorder="1" applyAlignment="1">
      <alignment horizontal="center"/>
    </xf>
    <xf numFmtId="180" fontId="7" fillId="0" borderId="59" xfId="3" applyNumberFormat="1" applyBorder="1" applyAlignment="1">
      <alignment horizontal="center"/>
    </xf>
    <xf numFmtId="178" fontId="7" fillId="0" borderId="4" xfId="3" applyNumberFormat="1" applyBorder="1" applyAlignment="1">
      <alignment horizontal="center"/>
    </xf>
    <xf numFmtId="0" fontId="75" fillId="9" borderId="0" xfId="0" applyFont="1" applyFill="1" applyProtection="1">
      <protection hidden="1"/>
    </xf>
    <xf numFmtId="0" fontId="58" fillId="9" borderId="0" xfId="0" applyFont="1" applyFill="1" applyAlignment="1" applyProtection="1">
      <alignment vertical="center"/>
      <protection hidden="1"/>
    </xf>
    <xf numFmtId="0" fontId="8" fillId="9" borderId="0" xfId="0" applyFont="1" applyFill="1" applyProtection="1">
      <protection hidden="1"/>
    </xf>
    <xf numFmtId="0" fontId="8" fillId="9" borderId="0" xfId="0" applyFont="1" applyFill="1" applyAlignment="1" applyProtection="1">
      <alignment horizontal="left" vertical="center"/>
      <protection hidden="1"/>
    </xf>
    <xf numFmtId="182" fontId="8" fillId="9" borderId="0" xfId="0" applyNumberFormat="1" applyFont="1" applyFill="1" applyProtection="1">
      <protection hidden="1"/>
    </xf>
    <xf numFmtId="0" fontId="67" fillId="9" borderId="42" xfId="0" applyFont="1" applyFill="1" applyBorder="1" applyAlignment="1" applyProtection="1">
      <alignment vertical="center"/>
      <protection hidden="1"/>
    </xf>
    <xf numFmtId="0" fontId="66" fillId="9" borderId="0" xfId="0" applyFont="1" applyFill="1" applyAlignment="1" applyProtection="1">
      <alignment horizontal="right" vertical="center"/>
      <protection hidden="1"/>
    </xf>
    <xf numFmtId="0" fontId="66" fillId="0" borderId="42" xfId="0" applyFont="1" applyBorder="1" applyAlignment="1" applyProtection="1">
      <alignment horizontal="left" vertical="center"/>
      <protection hidden="1"/>
    </xf>
    <xf numFmtId="182" fontId="66" fillId="9" borderId="42" xfId="0" applyNumberFormat="1" applyFont="1" applyFill="1" applyBorder="1" applyAlignment="1" applyProtection="1">
      <alignment horizontal="center" vertical="center"/>
      <protection hidden="1"/>
    </xf>
    <xf numFmtId="0" fontId="8" fillId="9" borderId="42" xfId="0" applyFont="1" applyFill="1" applyBorder="1" applyAlignment="1" applyProtection="1">
      <alignment horizontal="left" vertical="center"/>
      <protection hidden="1"/>
    </xf>
    <xf numFmtId="0" fontId="8" fillId="9" borderId="41" xfId="0" applyFont="1" applyFill="1" applyBorder="1" applyAlignment="1" applyProtection="1">
      <alignment horizontal="center"/>
      <protection hidden="1"/>
    </xf>
    <xf numFmtId="0" fontId="8" fillId="9" borderId="42" xfId="0" applyFont="1" applyFill="1" applyBorder="1" applyAlignment="1" applyProtection="1">
      <alignment horizontal="left"/>
      <protection hidden="1"/>
    </xf>
    <xf numFmtId="0" fontId="59" fillId="9" borderId="43" xfId="0" applyFont="1" applyFill="1" applyBorder="1" applyAlignment="1" applyProtection="1">
      <alignment horizontal="left"/>
      <protection hidden="1"/>
    </xf>
    <xf numFmtId="0" fontId="7" fillId="9" borderId="26" xfId="0" applyFont="1" applyFill="1" applyBorder="1" applyAlignment="1">
      <alignment horizontal="right"/>
    </xf>
    <xf numFmtId="0" fontId="7" fillId="9" borderId="43" xfId="0" applyFont="1" applyFill="1" applyBorder="1" applyAlignment="1">
      <alignment horizontal="right"/>
    </xf>
    <xf numFmtId="48" fontId="0" fillId="12" borderId="42" xfId="0" applyNumberFormat="1" applyFill="1" applyBorder="1"/>
    <xf numFmtId="0" fontId="71" fillId="0" borderId="42" xfId="0" applyFont="1" applyBorder="1"/>
    <xf numFmtId="0" fontId="7" fillId="9" borderId="66" xfId="0" applyFont="1" applyFill="1" applyBorder="1" applyAlignment="1">
      <alignment horizontal="center"/>
    </xf>
    <xf numFmtId="0" fontId="7" fillId="9" borderId="25" xfId="0" applyFont="1" applyFill="1" applyBorder="1" applyAlignment="1">
      <alignment horizontal="center"/>
    </xf>
    <xf numFmtId="182" fontId="7" fillId="9" borderId="38" xfId="0" applyNumberFormat="1" applyFont="1" applyFill="1" applyBorder="1" applyAlignment="1" applyProtection="1">
      <alignment horizontal="center" vertical="center"/>
      <protection hidden="1"/>
    </xf>
    <xf numFmtId="182" fontId="7" fillId="9" borderId="0" xfId="0" applyNumberFormat="1" applyFont="1" applyFill="1" applyAlignment="1" applyProtection="1">
      <alignment horizontal="center" vertical="center"/>
      <protection hidden="1"/>
    </xf>
    <xf numFmtId="182" fontId="7" fillId="9" borderId="42" xfId="0" applyNumberFormat="1" applyFont="1" applyFill="1" applyBorder="1" applyAlignment="1" applyProtection="1">
      <alignment horizontal="center" vertical="center"/>
      <protection hidden="1"/>
    </xf>
    <xf numFmtId="48" fontId="7" fillId="16" borderId="42" xfId="0" applyNumberFormat="1" applyFont="1" applyFill="1" applyBorder="1" applyAlignment="1" applyProtection="1">
      <alignment horizontal="center"/>
      <protection hidden="1"/>
    </xf>
    <xf numFmtId="0" fontId="59" fillId="19" borderId="0" xfId="0" applyFont="1" applyFill="1" applyAlignment="1" applyProtection="1">
      <alignment horizontal="right"/>
      <protection locked="0"/>
    </xf>
    <xf numFmtId="182" fontId="59" fillId="19" borderId="0" xfId="0" applyNumberFormat="1" applyFont="1" applyFill="1" applyAlignment="1" applyProtection="1">
      <alignment horizontal="right"/>
      <protection locked="0"/>
    </xf>
    <xf numFmtId="49" fontId="64" fillId="0" borderId="0" xfId="6" applyNumberFormat="1" applyFont="1" applyAlignment="1">
      <alignment horizontal="left"/>
    </xf>
    <xf numFmtId="0" fontId="7" fillId="16" borderId="0" xfId="0" applyFont="1" applyFill="1" applyProtection="1">
      <protection hidden="1"/>
    </xf>
    <xf numFmtId="0" fontId="15" fillId="23" borderId="0" xfId="2" applyFill="1" applyAlignment="1" applyProtection="1">
      <alignment horizontal="left"/>
      <protection locked="0"/>
    </xf>
    <xf numFmtId="182" fontId="7" fillId="9" borderId="42" xfId="0" applyNumberFormat="1" applyFont="1" applyFill="1" applyBorder="1" applyAlignment="1">
      <alignment horizontal="right" vertical="center"/>
    </xf>
    <xf numFmtId="0" fontId="104" fillId="16" borderId="78" xfId="23" applyFont="1" applyFill="1" applyBorder="1"/>
    <xf numFmtId="48" fontId="104" fillId="16" borderId="78" xfId="23" applyNumberFormat="1" applyFont="1" applyFill="1" applyBorder="1"/>
    <xf numFmtId="11" fontId="102" fillId="32" borderId="78" xfId="21" applyNumberFormat="1" applyBorder="1"/>
    <xf numFmtId="0" fontId="103" fillId="31" borderId="70" xfId="22"/>
    <xf numFmtId="0" fontId="103" fillId="31" borderId="70" xfId="22" applyProtection="1"/>
    <xf numFmtId="48" fontId="103" fillId="31" borderId="70" xfId="22" applyNumberFormat="1"/>
    <xf numFmtId="0" fontId="1" fillId="0" borderId="0" xfId="23"/>
    <xf numFmtId="48" fontId="103" fillId="31" borderId="70" xfId="22" applyNumberFormat="1" applyProtection="1"/>
    <xf numFmtId="0" fontId="102" fillId="32" borderId="78" xfId="21" applyBorder="1"/>
    <xf numFmtId="11" fontId="104" fillId="16" borderId="78" xfId="23" applyNumberFormat="1" applyFont="1" applyFill="1" applyBorder="1"/>
    <xf numFmtId="182" fontId="103" fillId="31" borderId="70" xfId="22" applyNumberFormat="1"/>
    <xf numFmtId="182" fontId="103" fillId="31" borderId="70" xfId="22" applyNumberFormat="1" applyProtection="1"/>
    <xf numFmtId="0" fontId="103" fillId="31" borderId="70" xfId="22" applyNumberFormat="1" applyProtection="1"/>
    <xf numFmtId="0" fontId="104" fillId="16" borderId="0" xfId="23" applyFont="1" applyFill="1"/>
    <xf numFmtId="0" fontId="105" fillId="30" borderId="70" xfId="10" applyFont="1" applyProtection="1"/>
    <xf numFmtId="0" fontId="106" fillId="16" borderId="0" xfId="23" applyFont="1" applyFill="1"/>
    <xf numFmtId="0" fontId="97" fillId="30" borderId="70" xfId="10" applyProtection="1"/>
    <xf numFmtId="0" fontId="102" fillId="32" borderId="0" xfId="21" applyProtection="1"/>
    <xf numFmtId="48" fontId="97" fillId="30" borderId="70" xfId="10" applyNumberFormat="1" applyProtection="1"/>
    <xf numFmtId="48" fontId="104" fillId="16" borderId="0" xfId="23" applyNumberFormat="1" applyFont="1" applyFill="1"/>
    <xf numFmtId="180" fontId="7" fillId="0" borderId="0" xfId="3" applyNumberFormat="1"/>
    <xf numFmtId="10" fontId="7" fillId="0" borderId="0" xfId="3" applyNumberFormat="1"/>
    <xf numFmtId="0" fontId="76" fillId="0" borderId="0" xfId="3" applyFont="1"/>
    <xf numFmtId="10" fontId="76" fillId="0" borderId="0" xfId="3" applyNumberFormat="1" applyFont="1" applyAlignment="1">
      <alignment horizontal="center"/>
    </xf>
    <xf numFmtId="0" fontId="18" fillId="3" borderId="0" xfId="3" applyFont="1" applyFill="1" applyAlignment="1">
      <alignment horizontal="right"/>
    </xf>
    <xf numFmtId="0" fontId="18" fillId="3" borderId="0" xfId="3" applyFont="1" applyFill="1"/>
    <xf numFmtId="0" fontId="7" fillId="3" borderId="0" xfId="3" applyFill="1"/>
    <xf numFmtId="180" fontId="8" fillId="4" borderId="69" xfId="3" applyNumberFormat="1" applyFont="1" applyFill="1" applyBorder="1" applyAlignment="1">
      <alignment horizontal="center"/>
    </xf>
    <xf numFmtId="0" fontId="8" fillId="4" borderId="67" xfId="3" applyFont="1" applyFill="1" applyBorder="1" applyAlignment="1">
      <alignment horizontal="center"/>
    </xf>
    <xf numFmtId="180" fontId="8" fillId="4" borderId="68" xfId="3" applyNumberFormat="1" applyFont="1" applyFill="1" applyBorder="1" applyAlignment="1">
      <alignment horizontal="center"/>
    </xf>
    <xf numFmtId="0" fontId="8" fillId="4" borderId="68" xfId="3" applyFont="1" applyFill="1" applyBorder="1" applyAlignment="1">
      <alignment horizontal="center"/>
    </xf>
    <xf numFmtId="0" fontId="8" fillId="0" borderId="72" xfId="3" applyFont="1" applyBorder="1" applyAlignment="1">
      <alignment horizontal="center"/>
    </xf>
    <xf numFmtId="0" fontId="20" fillId="3" borderId="4" xfId="3" applyFont="1" applyFill="1" applyBorder="1"/>
    <xf numFmtId="0" fontId="8" fillId="2" borderId="5" xfId="3" applyFont="1" applyFill="1" applyBorder="1" applyAlignment="1">
      <alignment horizontal="center" vertical="center" wrapText="1"/>
    </xf>
    <xf numFmtId="0" fontId="8" fillId="2" borderId="23" xfId="3" applyFont="1" applyFill="1" applyBorder="1" applyAlignment="1">
      <alignment horizontal="center" wrapText="1"/>
    </xf>
    <xf numFmtId="0" fontId="8" fillId="2" borderId="23" xfId="3" applyFont="1" applyFill="1" applyBorder="1" applyAlignment="1">
      <alignment horizontal="center" vertical="center" wrapText="1"/>
    </xf>
    <xf numFmtId="0" fontId="8" fillId="2" borderId="6" xfId="3" applyFont="1" applyFill="1" applyBorder="1" applyAlignment="1">
      <alignment horizontal="center" vertical="center" wrapText="1"/>
    </xf>
    <xf numFmtId="181" fontId="8" fillId="2" borderId="6" xfId="3" applyNumberFormat="1" applyFont="1" applyFill="1" applyBorder="1" applyAlignment="1">
      <alignment horizontal="center" vertical="center" wrapText="1"/>
    </xf>
    <xf numFmtId="181" fontId="8" fillId="2" borderId="21" xfId="3" applyNumberFormat="1" applyFont="1" applyFill="1" applyBorder="1" applyAlignment="1">
      <alignment horizontal="center" vertical="center" wrapText="1"/>
    </xf>
    <xf numFmtId="2" fontId="8" fillId="2" borderId="7" xfId="3" applyNumberFormat="1" applyFont="1" applyFill="1" applyBorder="1" applyAlignment="1">
      <alignment horizontal="center" vertical="center" wrapText="1"/>
    </xf>
    <xf numFmtId="2" fontId="8" fillId="2" borderId="5" xfId="3" applyNumberFormat="1" applyFont="1" applyFill="1" applyBorder="1" applyAlignment="1">
      <alignment horizontal="center" vertical="center" wrapText="1"/>
    </xf>
    <xf numFmtId="180" fontId="8" fillId="2" borderId="6" xfId="3" applyNumberFormat="1" applyFont="1" applyFill="1" applyBorder="1" applyAlignment="1">
      <alignment horizontal="center" vertical="center" wrapText="1"/>
    </xf>
    <xf numFmtId="0" fontId="8" fillId="7" borderId="7" xfId="3" applyFont="1" applyFill="1" applyBorder="1" applyAlignment="1">
      <alignment horizontal="center" vertical="center" wrapText="1"/>
    </xf>
    <xf numFmtId="183" fontId="8" fillId="2" borderId="6" xfId="3" applyNumberFormat="1" applyFont="1" applyFill="1" applyBorder="1" applyAlignment="1">
      <alignment horizontal="center" vertical="center" wrapText="1"/>
    </xf>
    <xf numFmtId="180" fontId="8" fillId="2" borderId="5" xfId="3" applyNumberFormat="1" applyFont="1" applyFill="1" applyBorder="1" applyAlignment="1">
      <alignment horizontal="center" vertical="center" wrapText="1"/>
    </xf>
    <xf numFmtId="0" fontId="8" fillId="2" borderId="21" xfId="3" applyFont="1" applyFill="1" applyBorder="1" applyAlignment="1">
      <alignment horizontal="center" vertical="center" wrapText="1"/>
    </xf>
    <xf numFmtId="0" fontId="8" fillId="7" borderId="22" xfId="3" applyFont="1" applyFill="1" applyBorder="1" applyAlignment="1">
      <alignment horizontal="center" vertical="center" wrapText="1"/>
    </xf>
    <xf numFmtId="180" fontId="8" fillId="7" borderId="23" xfId="3" applyNumberFormat="1" applyFont="1" applyFill="1" applyBorder="1" applyAlignment="1">
      <alignment horizontal="center" vertical="center" wrapText="1"/>
    </xf>
    <xf numFmtId="0" fontId="61" fillId="19" borderId="23" xfId="3" applyFont="1" applyFill="1" applyBorder="1" applyAlignment="1">
      <alignment horizontal="center" vertical="center" wrapText="1"/>
    </xf>
    <xf numFmtId="0" fontId="8" fillId="2" borderId="24" xfId="3" applyFont="1" applyFill="1" applyBorder="1" applyAlignment="1">
      <alignment horizontal="center" vertical="center" wrapText="1"/>
    </xf>
    <xf numFmtId="0" fontId="8" fillId="2" borderId="79" xfId="3" applyFont="1" applyFill="1" applyBorder="1" applyAlignment="1">
      <alignment horizontal="center" vertical="center" wrapText="1"/>
    </xf>
    <xf numFmtId="0" fontId="8" fillId="2" borderId="80" xfId="3" applyFont="1" applyFill="1" applyBorder="1" applyAlignment="1">
      <alignment horizontal="center" vertical="center" wrapText="1"/>
    </xf>
    <xf numFmtId="0" fontId="8" fillId="7" borderId="81" xfId="3" applyFont="1" applyFill="1" applyBorder="1" applyAlignment="1">
      <alignment horizontal="center" vertical="center" wrapText="1"/>
    </xf>
    <xf numFmtId="0" fontId="8" fillId="14" borderId="5" xfId="3" applyFont="1" applyFill="1" applyBorder="1" applyAlignment="1">
      <alignment horizontal="center" vertical="center" wrapText="1"/>
    </xf>
    <xf numFmtId="2" fontId="8" fillId="14" borderId="6" xfId="3" applyNumberFormat="1" applyFont="1" applyFill="1" applyBorder="1" applyAlignment="1">
      <alignment horizontal="center" vertical="center" wrapText="1"/>
    </xf>
    <xf numFmtId="0" fontId="61" fillId="2" borderId="6" xfId="3" applyFont="1" applyFill="1" applyBorder="1" applyAlignment="1">
      <alignment horizontal="center" vertical="center" wrapText="1"/>
    </xf>
    <xf numFmtId="181" fontId="78" fillId="21" borderId="0" xfId="3" applyNumberFormat="1" applyFont="1" applyFill="1" applyAlignment="1">
      <alignment horizontal="center" vertical="center"/>
    </xf>
    <xf numFmtId="180" fontId="8" fillId="21" borderId="0" xfId="3" applyNumberFormat="1" applyFont="1" applyFill="1" applyAlignment="1">
      <alignment horizontal="center" vertical="center" wrapText="1"/>
    </xf>
    <xf numFmtId="180" fontId="8" fillId="24" borderId="0" xfId="3" applyNumberFormat="1" applyFont="1" applyFill="1" applyAlignment="1">
      <alignment horizontal="center" vertical="center" wrapText="1"/>
    </xf>
    <xf numFmtId="0" fontId="8" fillId="5" borderId="8" xfId="3" applyFont="1" applyFill="1" applyBorder="1"/>
    <xf numFmtId="0" fontId="8" fillId="5" borderId="9" xfId="3" applyFont="1" applyFill="1" applyBorder="1"/>
    <xf numFmtId="0" fontId="8" fillId="5" borderId="10" xfId="3" applyFont="1" applyFill="1" applyBorder="1"/>
    <xf numFmtId="0" fontId="8" fillId="5" borderId="11" xfId="3" applyFont="1" applyFill="1" applyBorder="1"/>
    <xf numFmtId="188" fontId="7" fillId="0" borderId="0" xfId="3" applyNumberFormat="1"/>
    <xf numFmtId="181" fontId="7" fillId="0" borderId="0" xfId="3" applyNumberFormat="1" applyAlignment="1">
      <alignment horizontal="right"/>
    </xf>
    <xf numFmtId="186" fontId="7" fillId="0" borderId="0" xfId="3" applyNumberFormat="1"/>
    <xf numFmtId="182" fontId="76" fillId="0" borderId="0" xfId="3" applyNumberFormat="1" applyFont="1"/>
    <xf numFmtId="0" fontId="7" fillId="0" borderId="0" xfId="3" applyProtection="1">
      <protection locked="0"/>
    </xf>
    <xf numFmtId="0" fontId="8" fillId="5" borderId="62" xfId="3" applyFont="1" applyFill="1" applyBorder="1"/>
    <xf numFmtId="0" fontId="8" fillId="5" borderId="0" xfId="3" applyFont="1" applyFill="1"/>
    <xf numFmtId="0" fontId="7" fillId="6" borderId="12" xfId="3" applyFill="1" applyBorder="1"/>
    <xf numFmtId="0" fontId="7" fillId="6" borderId="11" xfId="3" applyFill="1" applyBorder="1"/>
    <xf numFmtId="0" fontId="7" fillId="4" borderId="11" xfId="3" applyFill="1" applyBorder="1"/>
    <xf numFmtId="0" fontId="7" fillId="6" borderId="8" xfId="3" applyFill="1" applyBorder="1"/>
    <xf numFmtId="0" fontId="7" fillId="2" borderId="14" xfId="3" applyFill="1" applyBorder="1"/>
    <xf numFmtId="0" fontId="7" fillId="2" borderId="13" xfId="3" applyFill="1" applyBorder="1"/>
    <xf numFmtId="0" fontId="7" fillId="0" borderId="16" xfId="3" applyBorder="1"/>
    <xf numFmtId="0" fontId="7" fillId="6" borderId="0" xfId="3" applyFill="1"/>
    <xf numFmtId="0" fontId="7" fillId="0" borderId="13" xfId="3" applyBorder="1"/>
    <xf numFmtId="0" fontId="7" fillId="4" borderId="8" xfId="3" applyFill="1" applyBorder="1"/>
    <xf numFmtId="0" fontId="7" fillId="0" borderId="17" xfId="3" applyBorder="1"/>
    <xf numFmtId="0" fontId="7" fillId="2" borderId="12" xfId="3" applyFill="1" applyBorder="1"/>
    <xf numFmtId="0" fontId="8" fillId="5" borderId="4" xfId="3" applyFont="1" applyFill="1" applyBorder="1"/>
    <xf numFmtId="0" fontId="71" fillId="0" borderId="11" xfId="3" applyFont="1" applyBorder="1"/>
    <xf numFmtId="0" fontId="7" fillId="6" borderId="13" xfId="3" applyFill="1" applyBorder="1"/>
    <xf numFmtId="2" fontId="7" fillId="2" borderId="0" xfId="3" applyNumberFormat="1" applyFill="1"/>
    <xf numFmtId="0" fontId="7" fillId="4" borderId="13" xfId="3" applyFill="1" applyBorder="1"/>
    <xf numFmtId="0" fontId="8" fillId="0" borderId="0" xfId="3" applyFont="1"/>
    <xf numFmtId="0" fontId="7" fillId="2" borderId="0" xfId="3" applyFill="1" applyProtection="1">
      <protection locked="0"/>
    </xf>
    <xf numFmtId="0" fontId="7" fillId="2" borderId="11" xfId="3" applyFill="1" applyBorder="1" applyProtection="1">
      <protection locked="0"/>
    </xf>
    <xf numFmtId="0" fontId="7" fillId="9" borderId="0" xfId="3" applyFill="1"/>
    <xf numFmtId="0" fontId="16" fillId="3" borderId="0" xfId="3" applyFont="1" applyFill="1"/>
    <xf numFmtId="0" fontId="7" fillId="4" borderId="12" xfId="3" applyFill="1" applyBorder="1"/>
    <xf numFmtId="180" fontId="19" fillId="7" borderId="0" xfId="3" applyNumberFormat="1" applyFont="1" applyFill="1"/>
    <xf numFmtId="0" fontId="7" fillId="4" borderId="14" xfId="3" applyFill="1" applyBorder="1"/>
    <xf numFmtId="2" fontId="19" fillId="7" borderId="0" xfId="3" applyNumberFormat="1" applyFont="1" applyFill="1"/>
    <xf numFmtId="0" fontId="8" fillId="4" borderId="11" xfId="3" applyFont="1" applyFill="1" applyBorder="1"/>
    <xf numFmtId="0" fontId="7" fillId="7" borderId="11" xfId="3" applyFill="1" applyBorder="1"/>
    <xf numFmtId="0" fontId="7" fillId="9" borderId="11" xfId="3" applyFill="1" applyBorder="1"/>
    <xf numFmtId="0" fontId="19" fillId="7" borderId="11" xfId="3" applyFont="1" applyFill="1" applyBorder="1"/>
    <xf numFmtId="0" fontId="61" fillId="2" borderId="6" xfId="3" quotePrefix="1" applyFont="1" applyFill="1" applyBorder="1" applyAlignment="1">
      <alignment horizontal="center" vertical="center" wrapText="1"/>
    </xf>
    <xf numFmtId="182" fontId="7" fillId="0" borderId="0" xfId="3" applyNumberFormat="1"/>
    <xf numFmtId="180" fontId="0" fillId="13" borderId="0" xfId="0" applyNumberFormat="1" applyFill="1"/>
    <xf numFmtId="0" fontId="53" fillId="17" borderId="40" xfId="0" applyFont="1" applyFill="1" applyBorder="1" applyAlignment="1">
      <alignment horizontal="center" vertical="center"/>
    </xf>
    <xf numFmtId="0" fontId="53" fillId="17" borderId="38" xfId="0" applyFont="1" applyFill="1" applyBorder="1" applyAlignment="1">
      <alignment horizontal="center" vertical="center"/>
    </xf>
    <xf numFmtId="0" fontId="7" fillId="9" borderId="0" xfId="0" applyFont="1" applyFill="1" applyAlignment="1">
      <alignment horizontal="left" vertical="top"/>
    </xf>
    <xf numFmtId="0" fontId="7" fillId="9" borderId="26" xfId="0" applyFont="1" applyFill="1" applyBorder="1" applyAlignment="1">
      <alignment horizontal="left" vertical="top"/>
    </xf>
    <xf numFmtId="0" fontId="21" fillId="9" borderId="26" xfId="0" applyFont="1" applyFill="1" applyBorder="1" applyAlignment="1">
      <alignment horizontal="left" vertical="center"/>
    </xf>
    <xf numFmtId="0" fontId="63" fillId="0" borderId="0" xfId="6" applyFont="1"/>
    <xf numFmtId="0" fontId="88" fillId="0" borderId="0" xfId="6" applyFont="1" applyAlignment="1">
      <alignment horizontal="center"/>
    </xf>
    <xf numFmtId="0" fontId="88" fillId="27" borderId="0" xfId="6" applyFont="1" applyFill="1" applyAlignment="1">
      <alignment horizontal="center"/>
    </xf>
    <xf numFmtId="0" fontId="91" fillId="18" borderId="0" xfId="6" applyFont="1" applyFill="1" applyAlignment="1">
      <alignment horizontal="left"/>
    </xf>
    <xf numFmtId="0" fontId="63" fillId="0" borderId="0" xfId="6" applyFont="1" applyAlignment="1">
      <alignment horizontal="left"/>
    </xf>
    <xf numFmtId="0" fontId="8" fillId="0" borderId="0" xfId="0" applyFont="1" applyAlignment="1">
      <alignment horizontal="center"/>
    </xf>
    <xf numFmtId="0" fontId="9" fillId="3" borderId="0" xfId="0" applyFont="1" applyFill="1" applyAlignment="1">
      <alignment horizontal="center"/>
    </xf>
    <xf numFmtId="0" fontId="8" fillId="4" borderId="53" xfId="3" applyFont="1" applyFill="1" applyBorder="1"/>
    <xf numFmtId="0" fontId="8" fillId="4" borderId="55" xfId="3" applyFont="1" applyFill="1" applyBorder="1"/>
    <xf numFmtId="0" fontId="75" fillId="4" borderId="65" xfId="3" applyFont="1" applyFill="1" applyBorder="1" applyAlignment="1">
      <alignment horizontal="center" vertical="top" shrinkToFit="1"/>
    </xf>
    <xf numFmtId="0" fontId="7" fillId="4" borderId="64" xfId="3" applyFill="1" applyBorder="1" applyAlignment="1">
      <alignment horizontal="center" vertical="top" shrinkToFit="1"/>
    </xf>
    <xf numFmtId="0" fontId="7" fillId="4" borderId="63" xfId="3" applyFill="1" applyBorder="1" applyAlignment="1">
      <alignment horizontal="center" vertical="top" shrinkToFit="1"/>
    </xf>
    <xf numFmtId="0" fontId="8" fillId="0" borderId="48" xfId="3" applyFont="1" applyBorder="1" applyAlignment="1">
      <alignment horizontal="center"/>
    </xf>
    <xf numFmtId="0" fontId="8" fillId="0" borderId="49" xfId="3" applyFont="1" applyBorder="1" applyAlignment="1">
      <alignment horizontal="center"/>
    </xf>
    <xf numFmtId="0" fontId="8" fillId="0" borderId="50" xfId="3" applyFont="1" applyBorder="1" applyAlignment="1">
      <alignment horizontal="center"/>
    </xf>
    <xf numFmtId="0" fontId="8" fillId="0" borderId="57" xfId="3" applyFont="1" applyBorder="1" applyAlignment="1">
      <alignment horizontal="center"/>
    </xf>
    <xf numFmtId="0" fontId="8" fillId="0" borderId="58" xfId="3" applyFont="1" applyBorder="1" applyAlignment="1">
      <alignment horizontal="center"/>
    </xf>
    <xf numFmtId="0" fontId="75" fillId="4" borderId="48" xfId="3" applyFont="1" applyFill="1" applyBorder="1" applyAlignment="1">
      <alignment horizontal="center"/>
    </xf>
    <xf numFmtId="0" fontId="75" fillId="4" borderId="49" xfId="3" applyFont="1" applyFill="1" applyBorder="1" applyAlignment="1">
      <alignment horizontal="center"/>
    </xf>
    <xf numFmtId="0" fontId="75" fillId="4" borderId="50" xfId="3" applyFont="1" applyFill="1" applyBorder="1" applyAlignment="1">
      <alignment horizontal="center"/>
    </xf>
    <xf numFmtId="0" fontId="8" fillId="0" borderId="18" xfId="3" applyFont="1" applyBorder="1" applyAlignment="1">
      <alignment horizontal="center"/>
    </xf>
    <xf numFmtId="0" fontId="8" fillId="0" borderId="11" xfId="3" applyFont="1" applyBorder="1" applyAlignment="1">
      <alignment horizontal="center"/>
    </xf>
    <xf numFmtId="0" fontId="8" fillId="0" borderId="51" xfId="3" applyFont="1" applyBorder="1" applyAlignment="1">
      <alignment horizontal="center"/>
    </xf>
    <xf numFmtId="0" fontId="7" fillId="0" borderId="49" xfId="3" applyBorder="1" applyAlignment="1">
      <alignment horizontal="center"/>
    </xf>
    <xf numFmtId="0" fontId="7" fillId="0" borderId="50" xfId="3" applyBorder="1" applyAlignment="1">
      <alignment horizontal="center"/>
    </xf>
    <xf numFmtId="0" fontId="75" fillId="4" borderId="53" xfId="3" applyFont="1" applyFill="1" applyBorder="1" applyAlignment="1">
      <alignment horizontal="center"/>
    </xf>
    <xf numFmtId="0" fontId="7" fillId="4" borderId="54" xfId="3" applyFill="1" applyBorder="1" applyAlignment="1">
      <alignment horizontal="center"/>
    </xf>
    <xf numFmtId="0" fontId="7" fillId="4" borderId="55" xfId="3" applyFill="1" applyBorder="1" applyAlignment="1">
      <alignment horizontal="center"/>
    </xf>
    <xf numFmtId="0" fontId="75" fillId="4" borderId="55" xfId="3" applyFont="1" applyFill="1" applyBorder="1" applyAlignment="1">
      <alignment horizontal="center"/>
    </xf>
    <xf numFmtId="0" fontId="75" fillId="4" borderId="46" xfId="3" applyFont="1" applyFill="1" applyBorder="1" applyAlignment="1">
      <alignment horizontal="center"/>
    </xf>
    <xf numFmtId="0" fontId="8" fillId="0" borderId="9" xfId="3" applyFont="1" applyBorder="1" applyAlignment="1">
      <alignment horizontal="center"/>
    </xf>
    <xf numFmtId="0" fontId="8" fillId="0" borderId="15" xfId="3" applyFont="1" applyBorder="1" applyAlignment="1">
      <alignment horizontal="center"/>
    </xf>
    <xf numFmtId="0" fontId="8" fillId="0" borderId="8" xfId="3" applyFont="1" applyBorder="1" applyAlignment="1">
      <alignment horizontal="center"/>
    </xf>
    <xf numFmtId="0" fontId="8" fillId="4" borderId="48" xfId="3" applyFont="1" applyFill="1" applyBorder="1" applyAlignment="1">
      <alignment horizontal="center"/>
    </xf>
    <xf numFmtId="0" fontId="8" fillId="4" borderId="49" xfId="3" applyFont="1" applyFill="1" applyBorder="1" applyAlignment="1">
      <alignment horizontal="center"/>
    </xf>
    <xf numFmtId="0" fontId="8" fillId="4" borderId="50" xfId="3" applyFont="1" applyFill="1" applyBorder="1" applyAlignment="1">
      <alignment horizontal="center"/>
    </xf>
    <xf numFmtId="0" fontId="17" fillId="3" borderId="0" xfId="3" applyFont="1" applyFill="1" applyAlignment="1">
      <alignment horizontal="left"/>
    </xf>
    <xf numFmtId="0" fontId="8" fillId="0" borderId="0" xfId="3" applyFont="1" applyAlignment="1">
      <alignment horizontal="left" wrapText="1"/>
    </xf>
    <xf numFmtId="183" fontId="8" fillId="4" borderId="48" xfId="3" applyNumberFormat="1" applyFont="1" applyFill="1" applyBorder="1" applyAlignment="1">
      <alignment horizontal="center"/>
    </xf>
    <xf numFmtId="183" fontId="8" fillId="4" borderId="49" xfId="3" applyNumberFormat="1" applyFont="1" applyFill="1" applyBorder="1" applyAlignment="1">
      <alignment horizontal="center"/>
    </xf>
    <xf numFmtId="183" fontId="8" fillId="4" borderId="50" xfId="3" applyNumberFormat="1" applyFont="1" applyFill="1" applyBorder="1" applyAlignment="1">
      <alignment horizontal="center"/>
    </xf>
    <xf numFmtId="0" fontId="8" fillId="22" borderId="0" xfId="3" applyFont="1" applyFill="1" applyAlignment="1">
      <alignment horizontal="center"/>
    </xf>
    <xf numFmtId="0" fontId="8" fillId="4" borderId="44" xfId="3" applyFont="1" applyFill="1" applyBorder="1" applyAlignment="1">
      <alignment horizontal="center"/>
    </xf>
    <xf numFmtId="0" fontId="8" fillId="4" borderId="45" xfId="3" applyFont="1" applyFill="1" applyBorder="1" applyAlignment="1">
      <alignment horizontal="center"/>
    </xf>
    <xf numFmtId="0" fontId="8" fillId="4" borderId="20" xfId="3" applyFont="1" applyFill="1" applyBorder="1" applyAlignment="1">
      <alignment horizontal="center"/>
    </xf>
  </cellXfs>
  <cellStyles count="24">
    <cellStyle name="Comma 2" xfId="5" xr:uid="{00000000-0005-0000-0000-000001000000}"/>
    <cellStyle name="Comma 2 2" xfId="14" xr:uid="{00000000-0005-0000-0000-000001000000}"/>
    <cellStyle name="Comma 2 3" xfId="18" xr:uid="{00000000-0005-0000-0000-000001000000}"/>
    <cellStyle name="Comma 3" xfId="12" xr:uid="{00000000-0005-0000-0000-000037000000}"/>
    <cellStyle name="Hyperlink 2" xfId="7" xr:uid="{F9D1D541-CD73-4814-9B85-00B709F7B410}"/>
    <cellStyle name="Normal 2" xfId="3" xr:uid="{00000000-0005-0000-0000-000004000000}"/>
    <cellStyle name="Normal 3" xfId="4" xr:uid="{00000000-0005-0000-0000-000005000000}"/>
    <cellStyle name="Normal 3 2" xfId="13" xr:uid="{00000000-0005-0000-0000-000005000000}"/>
    <cellStyle name="Normal 3 3" xfId="17" xr:uid="{00000000-0005-0000-0000-000005000000}"/>
    <cellStyle name="Normal 4" xfId="6" xr:uid="{CDE138C0-FC15-4C2D-B327-45A7741F15BA}"/>
    <cellStyle name="Normal 4 2" xfId="15" xr:uid="{CDE138C0-FC15-4C2D-B327-45A7741F15BA}"/>
    <cellStyle name="Normal 4 3" xfId="19" xr:uid="{CDE138C0-FC15-4C2D-B327-45A7741F15BA}"/>
    <cellStyle name="Normal 5" xfId="8" xr:uid="{C3EAB774-DFF2-4E39-8A42-95F6F7C23D18}"/>
    <cellStyle name="Normal 5 2" xfId="16" xr:uid="{C3EAB774-DFF2-4E39-8A42-95F6F7C23D18}"/>
    <cellStyle name="Normal 5 3" xfId="20" xr:uid="{C3EAB774-DFF2-4E39-8A42-95F6F7C23D18}"/>
    <cellStyle name="Normal 6" xfId="23" xr:uid="{2B2A4741-9147-490C-8BBF-CF0782A6E923}"/>
    <cellStyle name="一般" xfId="0" builtinId="0"/>
    <cellStyle name="千分位" xfId="1" builtinId="3"/>
    <cellStyle name="中等" xfId="21" builtinId="28"/>
    <cellStyle name="好" xfId="9" builtinId="26"/>
    <cellStyle name="計算方式" xfId="22" builtinId="22"/>
    <cellStyle name="超連結" xfId="2" builtinId="8"/>
    <cellStyle name="輸入" xfId="10" builtinId="20"/>
    <cellStyle name="輸出" xfId="11" builtinId="21"/>
  </cellStyles>
  <dxfs count="175">
    <dxf>
      <numFmt numFmtId="181" formatCode="0.000"/>
    </dxf>
    <dxf>
      <numFmt numFmtId="181" formatCode="0.000"/>
    </dxf>
    <dxf>
      <numFmt numFmtId="181" formatCode="0.000"/>
    </dxf>
    <dxf>
      <numFmt numFmtId="181" formatCode="0.000"/>
    </dxf>
    <dxf>
      <numFmt numFmtId="181" formatCode="0.000"/>
    </dxf>
    <dxf>
      <numFmt numFmtId="181" formatCode="0.000"/>
    </dxf>
    <dxf>
      <numFmt numFmtId="181" formatCode="0.000"/>
    </dxf>
    <dxf>
      <numFmt numFmtId="2" formatCode="0.00"/>
    </dxf>
    <dxf>
      <numFmt numFmtId="14" formatCode="0.00%"/>
    </dxf>
    <dxf>
      <font>
        <b val="0"/>
        <i val="0"/>
        <strike val="0"/>
        <condense val="0"/>
        <extend val="0"/>
        <outline val="0"/>
        <shadow val="0"/>
        <u val="none"/>
        <vertAlign val="baseline"/>
        <sz val="10"/>
        <color rgb="FFFF0000"/>
        <name val="Arial"/>
        <family val="2"/>
        <scheme val="none"/>
      </font>
      <numFmt numFmtId="182" formatCode="0.0"/>
    </dxf>
    <dxf>
      <font>
        <b val="0"/>
        <i val="0"/>
        <strike val="0"/>
        <condense val="0"/>
        <extend val="0"/>
        <outline val="0"/>
        <shadow val="0"/>
        <u val="none"/>
        <vertAlign val="baseline"/>
        <sz val="10"/>
        <color rgb="FFFF0000"/>
        <name val="Arial"/>
        <family val="2"/>
        <scheme val="none"/>
      </font>
      <numFmt numFmtId="182" formatCode="0.0"/>
    </dxf>
    <dxf>
      <numFmt numFmtId="186" formatCode="0.0%"/>
    </dxf>
    <dxf>
      <numFmt numFmtId="0" formatCode="General"/>
    </dxf>
    <dxf>
      <numFmt numFmtId="181" formatCode="0.000"/>
    </dxf>
    <dxf>
      <numFmt numFmtId="181" formatCode="0.000"/>
    </dxf>
    <dxf>
      <numFmt numFmtId="181" formatCode="0.000"/>
    </dxf>
    <dxf>
      <numFmt numFmtId="181" formatCode="0.000"/>
    </dxf>
    <dxf>
      <numFmt numFmtId="181" formatCode="0.000"/>
    </dxf>
    <dxf>
      <numFmt numFmtId="181" formatCode="0.000"/>
    </dxf>
    <dxf>
      <numFmt numFmtId="181" formatCode="0.000"/>
    </dxf>
    <dxf>
      <numFmt numFmtId="181" formatCode="0.000"/>
    </dxf>
    <dxf>
      <numFmt numFmtId="181" formatCode="0.000"/>
    </dxf>
    <dxf>
      <numFmt numFmtId="181" formatCode="0.000"/>
    </dxf>
    <dxf>
      <numFmt numFmtId="181" formatCode="0.000"/>
    </dxf>
    <dxf>
      <numFmt numFmtId="181" formatCode="0.000"/>
    </dxf>
    <dxf>
      <numFmt numFmtId="181" formatCode="0.000"/>
    </dxf>
    <dxf>
      <numFmt numFmtId="181" formatCode="0.000"/>
    </dxf>
    <dxf>
      <numFmt numFmtId="181" formatCode="0.000"/>
    </dxf>
    <dxf>
      <numFmt numFmtId="181" formatCode="0.000"/>
    </dxf>
    <dxf>
      <numFmt numFmtId="0" formatCode="General"/>
    </dxf>
    <dxf>
      <numFmt numFmtId="181" formatCode="0.000"/>
    </dxf>
    <dxf>
      <numFmt numFmtId="181" formatCode="0.000"/>
    </dxf>
    <dxf>
      <numFmt numFmtId="181" formatCode="0.000"/>
    </dxf>
    <dxf>
      <numFmt numFmtId="181" formatCode="0.000"/>
    </dxf>
    <dxf>
      <numFmt numFmtId="181" formatCode="0.000"/>
    </dxf>
    <dxf>
      <numFmt numFmtId="181" formatCode="0.000"/>
    </dxf>
    <dxf>
      <numFmt numFmtId="181" formatCode="0.000"/>
    </dxf>
    <dxf>
      <numFmt numFmtId="181" formatCode="0.000"/>
    </dxf>
    <dxf>
      <numFmt numFmtId="0" formatCode="General"/>
    </dxf>
    <dxf>
      <numFmt numFmtId="181" formatCode="0.000"/>
    </dxf>
    <dxf>
      <numFmt numFmtId="181" formatCode="0.000"/>
    </dxf>
    <dxf>
      <numFmt numFmtId="181" formatCode="0.000"/>
    </dxf>
    <dxf>
      <numFmt numFmtId="181" formatCode="0.000"/>
      <alignment horizontal="right" vertical="bottom" textRotation="0" wrapText="0" indent="0" justifyLastLine="0" shrinkToFit="0" readingOrder="0"/>
    </dxf>
    <dxf>
      <numFmt numFmtId="181" formatCode="0.000"/>
      <alignment horizontal="general" vertical="bottom" textRotation="0" wrapText="0" indent="0" justifyLastLine="0" shrinkToFit="0" readingOrder="0"/>
    </dxf>
    <dxf>
      <numFmt numFmtId="181" formatCode="0.000"/>
    </dxf>
    <dxf>
      <numFmt numFmtId="181" formatCode="0.000"/>
    </dxf>
    <dxf>
      <numFmt numFmtId="181" formatCode="0.000"/>
    </dxf>
    <dxf>
      <numFmt numFmtId="2" formatCode="0.00"/>
    </dxf>
    <dxf>
      <numFmt numFmtId="181" formatCode="0.000"/>
    </dxf>
    <dxf>
      <numFmt numFmtId="181" formatCode="0.000"/>
    </dxf>
    <dxf>
      <numFmt numFmtId="181" formatCode="0.000"/>
    </dxf>
    <dxf>
      <numFmt numFmtId="181" formatCode="0.000"/>
    </dxf>
    <dxf>
      <numFmt numFmtId="2" formatCode="0.00"/>
    </dxf>
    <dxf>
      <numFmt numFmtId="181" formatCode="0.000"/>
    </dxf>
    <dxf>
      <numFmt numFmtId="181" formatCode="0.000"/>
    </dxf>
    <dxf>
      <numFmt numFmtId="2" formatCode="0.00"/>
    </dxf>
    <dxf>
      <numFmt numFmtId="2" formatCode="0.00"/>
    </dxf>
    <dxf>
      <numFmt numFmtId="2" formatCode="0.00"/>
    </dxf>
    <dxf>
      <numFmt numFmtId="2" formatCode="0.00"/>
    </dxf>
    <dxf>
      <numFmt numFmtId="16" formatCode="##0.0E+0"/>
    </dxf>
    <dxf>
      <numFmt numFmtId="16" formatCode="##0.0E+0"/>
    </dxf>
    <dxf>
      <numFmt numFmtId="188" formatCode="##0.00E+0"/>
    </dxf>
    <dxf>
      <numFmt numFmtId="2" formatCode="0.00"/>
    </dxf>
    <dxf>
      <numFmt numFmtId="181" formatCode="0.000"/>
    </dxf>
    <dxf>
      <numFmt numFmtId="0" formatCode="General"/>
    </dxf>
    <dxf>
      <numFmt numFmtId="2" formatCode="0.00"/>
    </dxf>
    <dxf>
      <numFmt numFmtId="2" formatCode="0.0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numFmt numFmtId="180" formatCode="0.0000"/>
      <fill>
        <patternFill patternType="solid">
          <fgColor indexed="64"/>
          <bgColor rgb="FFFFFFCC"/>
        </patternFill>
      </fill>
      <alignment horizontal="center" vertical="center" textRotation="0" wrapText="1" indent="0" justifyLastLine="0" shrinkToFit="0" readingOrder="0"/>
    </dxf>
    <dxf>
      <numFmt numFmtId="181" formatCode="0.000"/>
    </dxf>
    <dxf>
      <numFmt numFmtId="181" formatCode="0.000"/>
    </dxf>
    <dxf>
      <numFmt numFmtId="181" formatCode="0.000"/>
    </dxf>
    <dxf>
      <numFmt numFmtId="181" formatCode="0.000"/>
    </dxf>
    <dxf>
      <numFmt numFmtId="181" formatCode="0.000"/>
    </dxf>
    <dxf>
      <numFmt numFmtId="181" formatCode="0.000"/>
    </dxf>
    <dxf>
      <numFmt numFmtId="181" formatCode="0.000"/>
    </dxf>
    <dxf>
      <numFmt numFmtId="2" formatCode="0.00"/>
    </dxf>
    <dxf>
      <numFmt numFmtId="14" formatCode="0.00%"/>
    </dxf>
    <dxf>
      <font>
        <b val="0"/>
        <i val="0"/>
        <strike val="0"/>
        <condense val="0"/>
        <extend val="0"/>
        <outline val="0"/>
        <shadow val="0"/>
        <u val="none"/>
        <vertAlign val="baseline"/>
        <sz val="10"/>
        <color rgb="FFFF0000"/>
        <name val="Arial"/>
        <family val="2"/>
        <scheme val="none"/>
      </font>
      <numFmt numFmtId="182" formatCode="0.0"/>
    </dxf>
    <dxf>
      <font>
        <b val="0"/>
        <i val="0"/>
        <strike val="0"/>
        <condense val="0"/>
        <extend val="0"/>
        <outline val="0"/>
        <shadow val="0"/>
        <u val="none"/>
        <vertAlign val="baseline"/>
        <sz val="10"/>
        <color rgb="FFFF0000"/>
        <name val="Arial"/>
        <family val="2"/>
        <scheme val="none"/>
      </font>
      <numFmt numFmtId="182" formatCode="0.0"/>
    </dxf>
    <dxf>
      <numFmt numFmtId="186" formatCode="0.0%"/>
    </dxf>
    <dxf>
      <numFmt numFmtId="0" formatCode="General"/>
    </dxf>
    <dxf>
      <numFmt numFmtId="181" formatCode="0.000"/>
    </dxf>
    <dxf>
      <numFmt numFmtId="181" formatCode="0.000"/>
    </dxf>
    <dxf>
      <numFmt numFmtId="181" formatCode="0.000"/>
    </dxf>
    <dxf>
      <numFmt numFmtId="181" formatCode="0.000"/>
    </dxf>
    <dxf>
      <numFmt numFmtId="181" formatCode="0.000"/>
    </dxf>
    <dxf>
      <numFmt numFmtId="181" formatCode="0.000"/>
    </dxf>
    <dxf>
      <numFmt numFmtId="181" formatCode="0.000"/>
    </dxf>
    <dxf>
      <numFmt numFmtId="181" formatCode="0.000"/>
    </dxf>
    <dxf>
      <numFmt numFmtId="181" formatCode="0.000"/>
    </dxf>
    <dxf>
      <numFmt numFmtId="181" formatCode="0.000"/>
    </dxf>
    <dxf>
      <numFmt numFmtId="181" formatCode="0.000"/>
    </dxf>
    <dxf>
      <numFmt numFmtId="181" formatCode="0.000"/>
    </dxf>
    <dxf>
      <numFmt numFmtId="181" formatCode="0.000"/>
    </dxf>
    <dxf>
      <numFmt numFmtId="181" formatCode="0.000"/>
    </dxf>
    <dxf>
      <numFmt numFmtId="181" formatCode="0.000"/>
    </dxf>
    <dxf>
      <numFmt numFmtId="181" formatCode="0.000"/>
    </dxf>
    <dxf>
      <numFmt numFmtId="0" formatCode="General"/>
    </dxf>
    <dxf>
      <numFmt numFmtId="181" formatCode="0.000"/>
    </dxf>
    <dxf>
      <numFmt numFmtId="181" formatCode="0.000"/>
    </dxf>
    <dxf>
      <numFmt numFmtId="181" formatCode="0.000"/>
    </dxf>
    <dxf>
      <numFmt numFmtId="181" formatCode="0.000"/>
    </dxf>
    <dxf>
      <numFmt numFmtId="181" formatCode="0.000"/>
    </dxf>
    <dxf>
      <numFmt numFmtId="181" formatCode="0.000"/>
    </dxf>
    <dxf>
      <numFmt numFmtId="181" formatCode="0.000"/>
    </dxf>
    <dxf>
      <numFmt numFmtId="181" formatCode="0.000"/>
    </dxf>
    <dxf>
      <numFmt numFmtId="0" formatCode="General"/>
    </dxf>
    <dxf>
      <numFmt numFmtId="181" formatCode="0.000"/>
    </dxf>
    <dxf>
      <numFmt numFmtId="181" formatCode="0.000"/>
    </dxf>
    <dxf>
      <numFmt numFmtId="181" formatCode="0.000"/>
    </dxf>
    <dxf>
      <numFmt numFmtId="181" formatCode="0.000"/>
      <alignment horizontal="right" vertical="bottom" textRotation="0" wrapText="0" indent="0" justifyLastLine="0" shrinkToFit="0" readingOrder="0"/>
    </dxf>
    <dxf>
      <numFmt numFmtId="181" formatCode="0.000"/>
      <alignment horizontal="general" vertical="bottom" textRotation="0" wrapText="0" indent="0" justifyLastLine="0" shrinkToFit="0" readingOrder="0"/>
    </dxf>
    <dxf>
      <numFmt numFmtId="181" formatCode="0.000"/>
    </dxf>
    <dxf>
      <numFmt numFmtId="181" formatCode="0.000"/>
    </dxf>
    <dxf>
      <numFmt numFmtId="181" formatCode="0.000"/>
    </dxf>
    <dxf>
      <numFmt numFmtId="2" formatCode="0.00"/>
    </dxf>
    <dxf>
      <numFmt numFmtId="181" formatCode="0.000"/>
    </dxf>
    <dxf>
      <numFmt numFmtId="181" formatCode="0.000"/>
    </dxf>
    <dxf>
      <numFmt numFmtId="181" formatCode="0.000"/>
    </dxf>
    <dxf>
      <numFmt numFmtId="181" formatCode="0.000"/>
    </dxf>
    <dxf>
      <numFmt numFmtId="2" formatCode="0.00"/>
    </dxf>
    <dxf>
      <numFmt numFmtId="181" formatCode="0.000"/>
    </dxf>
    <dxf>
      <numFmt numFmtId="181" formatCode="0.000"/>
    </dxf>
    <dxf>
      <numFmt numFmtId="2" formatCode="0.00"/>
    </dxf>
    <dxf>
      <numFmt numFmtId="2" formatCode="0.00"/>
    </dxf>
    <dxf>
      <numFmt numFmtId="2" formatCode="0.00"/>
    </dxf>
    <dxf>
      <numFmt numFmtId="2" formatCode="0.00"/>
    </dxf>
    <dxf>
      <numFmt numFmtId="16" formatCode="##0.0E+0"/>
    </dxf>
    <dxf>
      <numFmt numFmtId="16" formatCode="##0.0E+0"/>
    </dxf>
    <dxf>
      <numFmt numFmtId="188" formatCode="##0.00E+0"/>
    </dxf>
    <dxf>
      <numFmt numFmtId="2" formatCode="0.00"/>
    </dxf>
    <dxf>
      <numFmt numFmtId="0" formatCode="General"/>
    </dxf>
    <dxf>
      <numFmt numFmtId="2" formatCode="0.00"/>
    </dxf>
    <dxf>
      <numFmt numFmtId="2" formatCode="0.0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numFmt numFmtId="180" formatCode="0.0000"/>
      <fill>
        <patternFill patternType="solid">
          <fgColor indexed="64"/>
          <bgColor rgb="FFFFFFCC"/>
        </patternFill>
      </fill>
      <alignment horizontal="center" vertical="center" textRotation="0" wrapText="1" indent="0" justifyLastLine="0" shrinkToFit="0" readingOrder="0"/>
    </dxf>
    <dxf>
      <font>
        <b/>
        <i val="0"/>
      </font>
      <fill>
        <patternFill>
          <bgColor rgb="FFFF0000"/>
        </patternFill>
      </fill>
    </dxf>
    <dxf>
      <font>
        <color theme="0"/>
      </font>
      <fill>
        <patternFill>
          <bgColor theme="0"/>
        </patternFill>
      </fill>
      <border>
        <left/>
        <right/>
        <top/>
        <bottom/>
        <vertical/>
        <horizontal/>
      </border>
    </dxf>
    <dxf>
      <font>
        <strike/>
        <color theme="0"/>
      </font>
      <fill>
        <patternFill>
          <bgColor theme="0"/>
        </patternFill>
      </fill>
    </dxf>
    <dxf>
      <font>
        <strike/>
        <color theme="0"/>
      </font>
      <fill>
        <patternFill>
          <bgColor theme="0"/>
        </patternFill>
      </fill>
    </dxf>
    <dxf>
      <font>
        <strike/>
        <color theme="0"/>
      </font>
      <fill>
        <patternFill>
          <bgColor theme="0"/>
        </patternFill>
      </fill>
      <border>
        <left/>
        <right/>
        <top/>
        <bottom/>
      </border>
    </dxf>
    <dxf>
      <fill>
        <patternFill>
          <bgColor rgb="FFFF0000"/>
        </patternFill>
      </fill>
    </dxf>
    <dxf>
      <fill>
        <patternFill>
          <bgColor rgb="FFFF0000"/>
        </patternFill>
      </fill>
    </dxf>
    <dxf>
      <font>
        <b/>
        <i val="0"/>
        <condense val="0"/>
        <extend val="0"/>
        <color indexed="10"/>
      </font>
    </dxf>
    <dxf>
      <font>
        <b/>
        <i val="0"/>
        <condense val="0"/>
        <extend val="0"/>
        <color indexed="10"/>
      </font>
    </dxf>
    <dxf>
      <font>
        <strike/>
        <color theme="0"/>
      </font>
      <fill>
        <patternFill>
          <bgColor theme="0"/>
        </patternFill>
      </fill>
    </dxf>
    <dxf>
      <font>
        <strike val="0"/>
        <color theme="0"/>
      </font>
      <fill>
        <patternFill>
          <bgColor theme="0"/>
        </patternFill>
      </fill>
    </dxf>
    <dxf>
      <font>
        <strike/>
        <color theme="0"/>
      </font>
      <fill>
        <patternFill>
          <bgColor theme="0"/>
        </patternFill>
      </fill>
    </dxf>
    <dxf>
      <font>
        <strike/>
        <color theme="0"/>
      </font>
      <fill>
        <patternFill>
          <bgColor theme="0"/>
        </patternFill>
      </fill>
    </dxf>
    <dxf>
      <font>
        <color theme="0"/>
      </font>
      <fill>
        <patternFill>
          <bgColor theme="0"/>
        </patternFill>
      </fill>
    </dxf>
    <dxf>
      <font>
        <strike val="0"/>
        <color theme="0"/>
      </font>
      <fill>
        <patternFill>
          <bgColor theme="0"/>
        </patternFill>
      </fill>
    </dxf>
    <dxf>
      <fill>
        <patternFill>
          <bgColor theme="0" tint="-0.499984740745262"/>
        </patternFill>
      </fill>
    </dxf>
    <dxf>
      <font>
        <color theme="0"/>
      </font>
      <fill>
        <patternFill>
          <bgColor theme="0"/>
        </patternFill>
      </fill>
    </dxf>
    <dxf>
      <font>
        <strike/>
        <color theme="0"/>
      </font>
      <fill>
        <patternFill>
          <bgColor theme="0"/>
        </patternFill>
      </fill>
    </dxf>
    <dxf>
      <font>
        <strike/>
        <color theme="0"/>
      </font>
      <fill>
        <patternFill>
          <bgColor theme="0"/>
        </patternFill>
      </fill>
    </dxf>
    <dxf>
      <font>
        <strike/>
        <color theme="0"/>
      </font>
      <fill>
        <patternFill>
          <bgColor theme="0"/>
        </patternFill>
      </fill>
    </dxf>
    <dxf>
      <font>
        <color theme="0"/>
      </font>
      <fill>
        <patternFill>
          <bgColor theme="0"/>
        </patternFill>
      </fill>
    </dxf>
    <dxf>
      <font>
        <strike val="0"/>
        <color theme="0"/>
      </font>
      <fill>
        <patternFill>
          <bgColor theme="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FFC000"/>
        </patternFill>
      </fill>
    </dxf>
    <dxf>
      <font>
        <color rgb="FFFF0000"/>
      </font>
    </dxf>
    <dxf>
      <font>
        <b/>
        <i val="0"/>
        <color rgb="FFFF0000"/>
      </font>
    </dxf>
    <dxf>
      <font>
        <b/>
        <i val="0"/>
        <color rgb="FFFF000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9" defaultPivotStyle="PivotStyleLight16"/>
  <colors>
    <mruColors>
      <color rgb="FF0000FF"/>
      <color rgb="FF99CC00"/>
      <color rgb="FFC00000"/>
      <color rgb="FFC0C0C0"/>
      <color rgb="FFCC00FF"/>
      <color rgb="FFCCFFFF"/>
      <color rgb="FFFFFFCC"/>
      <color rgb="FFFF9900"/>
      <color rgb="FFFF00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2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LM5177 Bode Plot</a:t>
            </a:r>
          </a:p>
        </c:rich>
      </c:tx>
      <c:layout>
        <c:manualLayout>
          <c:xMode val="edge"/>
          <c:yMode val="edge"/>
          <c:x val="0.40864917395529671"/>
          <c:y val="2.1377650374348366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4"/>
          <c:order val="0"/>
          <c:tx>
            <c:strRef>
              <c:f>'Stability Calculations'!$W$12</c:f>
              <c:strCache>
                <c:ptCount val="1"/>
                <c:pt idx="0">
                  <c:v>Loop Gain (dB)</c:v>
                </c:pt>
              </c:strCache>
            </c:strRef>
          </c:tx>
          <c:spPr>
            <a:ln w="25400">
              <a:solidFill>
                <a:srgbClr val="FF0000"/>
              </a:solidFill>
              <a:prstDash val="solid"/>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Calculations'!$W$13:$W$613</c:f>
              <c:numCache>
                <c:formatCode>0.00</c:formatCode>
                <c:ptCount val="601"/>
                <c:pt idx="0">
                  <c:v>75.408353385020291</c:v>
                </c:pt>
                <c:pt idx="1">
                  <c:v>74.663127197490724</c:v>
                </c:pt>
                <c:pt idx="2">
                  <c:v>73.90927446663585</c:v>
                </c:pt>
                <c:pt idx="3">
                  <c:v>73.148075145872326</c:v>
                </c:pt>
                <c:pt idx="4">
                  <c:v>72.381141197723423</c:v>
                </c:pt>
                <c:pt idx="5">
                  <c:v>71.608147184015223</c:v>
                </c:pt>
                <c:pt idx="6">
                  <c:v>70.831002358725087</c:v>
                </c:pt>
                <c:pt idx="7">
                  <c:v>70.049891265087652</c:v>
                </c:pt>
                <c:pt idx="8">
                  <c:v>69.265974451746402</c:v>
                </c:pt>
                <c:pt idx="9">
                  <c:v>68.479158480056697</c:v>
                </c:pt>
                <c:pt idx="10">
                  <c:v>67.690316782900084</c:v>
                </c:pt>
                <c:pt idx="11">
                  <c:v>66.899692755498407</c:v>
                </c:pt>
                <c:pt idx="12">
                  <c:v>66.107165322196863</c:v>
                </c:pt>
                <c:pt idx="13">
                  <c:v>65.313746022156266</c:v>
                </c:pt>
                <c:pt idx="14">
                  <c:v>64.519011457552423</c:v>
                </c:pt>
                <c:pt idx="15">
                  <c:v>63.7234422763349</c:v>
                </c:pt>
                <c:pt idx="16">
                  <c:v>62.927120933137537</c:v>
                </c:pt>
                <c:pt idx="17">
                  <c:v>62.130282961021486</c:v>
                </c:pt>
                <c:pt idx="18">
                  <c:v>61.332798619088187</c:v>
                </c:pt>
                <c:pt idx="19">
                  <c:v>60.534966524905052</c:v>
                </c:pt>
                <c:pt idx="20">
                  <c:v>59.736697407295615</c:v>
                </c:pt>
                <c:pt idx="21">
                  <c:v>58.93821166563481</c:v>
                </c:pt>
                <c:pt idx="22">
                  <c:v>58.139386147173376</c:v>
                </c:pt>
                <c:pt idx="23">
                  <c:v>57.340457491142089</c:v>
                </c:pt>
                <c:pt idx="24">
                  <c:v>56.541254360801545</c:v>
                </c:pt>
                <c:pt idx="25">
                  <c:v>55.741926621724033</c:v>
                </c:pt>
                <c:pt idx="26">
                  <c:v>54.942309367832024</c:v>
                </c:pt>
                <c:pt idx="27">
                  <c:v>54.142674490072494</c:v>
                </c:pt>
                <c:pt idx="28">
                  <c:v>53.343004921251207</c:v>
                </c:pt>
                <c:pt idx="29">
                  <c:v>52.543808719079038</c:v>
                </c:pt>
                <c:pt idx="30">
                  <c:v>51.743743365585289</c:v>
                </c:pt>
                <c:pt idx="31">
                  <c:v>50.943933755281172</c:v>
                </c:pt>
                <c:pt idx="32">
                  <c:v>50.14384266039287</c:v>
                </c:pt>
                <c:pt idx="33">
                  <c:v>49.34404399573944</c:v>
                </c:pt>
                <c:pt idx="34">
                  <c:v>48.543923388314852</c:v>
                </c:pt>
                <c:pt idx="35">
                  <c:v>47.743932185613119</c:v>
                </c:pt>
                <c:pt idx="36">
                  <c:v>46.943947561605967</c:v>
                </c:pt>
                <c:pt idx="37">
                  <c:v>46.143536743838432</c:v>
                </c:pt>
                <c:pt idx="38">
                  <c:v>45.343458234805965</c:v>
                </c:pt>
                <c:pt idx="39">
                  <c:v>44.543061598393095</c:v>
                </c:pt>
                <c:pt idx="40">
                  <c:v>43.742641049086444</c:v>
                </c:pt>
                <c:pt idx="41">
                  <c:v>42.942116073695395</c:v>
                </c:pt>
                <c:pt idx="42">
                  <c:v>42.141581518568017</c:v>
                </c:pt>
                <c:pt idx="43">
                  <c:v>41.340782138647938</c:v>
                </c:pt>
                <c:pt idx="44">
                  <c:v>40.539905719084082</c:v>
                </c:pt>
                <c:pt idx="45">
                  <c:v>39.738759632013476</c:v>
                </c:pt>
                <c:pt idx="46">
                  <c:v>38.937467776495915</c:v>
                </c:pt>
                <c:pt idx="47">
                  <c:v>38.135811754448568</c:v>
                </c:pt>
                <c:pt idx="48">
                  <c:v>37.333933626816552</c:v>
                </c:pt>
                <c:pt idx="49">
                  <c:v>36.531562260344863</c:v>
                </c:pt>
                <c:pt idx="50">
                  <c:v>35.728741988362216</c:v>
                </c:pt>
                <c:pt idx="51">
                  <c:v>34.925190662273216</c:v>
                </c:pt>
                <c:pt idx="52">
                  <c:v>34.121051099238549</c:v>
                </c:pt>
                <c:pt idx="53">
                  <c:v>33.316158098159093</c:v>
                </c:pt>
                <c:pt idx="54">
                  <c:v>32.510853682961027</c:v>
                </c:pt>
                <c:pt idx="55">
                  <c:v>31.70358725693459</c:v>
                </c:pt>
                <c:pt idx="56">
                  <c:v>30.895263141526293</c:v>
                </c:pt>
                <c:pt idx="57">
                  <c:v>30.085070595023666</c:v>
                </c:pt>
                <c:pt idx="58">
                  <c:v>29.273278820501908</c:v>
                </c:pt>
                <c:pt idx="59">
                  <c:v>28.458900900539085</c:v>
                </c:pt>
                <c:pt idx="60">
                  <c:v>27.641974353075756</c:v>
                </c:pt>
                <c:pt idx="61">
                  <c:v>26.821888945597866</c:v>
                </c:pt>
                <c:pt idx="62">
                  <c:v>25.997642269722334</c:v>
                </c:pt>
                <c:pt idx="63">
                  <c:v>25.169384095872232</c:v>
                </c:pt>
                <c:pt idx="64">
                  <c:v>24.335733958310477</c:v>
                </c:pt>
                <c:pt idx="65">
                  <c:v>23.496213909296845</c:v>
                </c:pt>
                <c:pt idx="66">
                  <c:v>22.649891319786882</c:v>
                </c:pt>
                <c:pt idx="67">
                  <c:v>21.795969234920921</c:v>
                </c:pt>
                <c:pt idx="68">
                  <c:v>20.933252857651503</c:v>
                </c:pt>
                <c:pt idx="69">
                  <c:v>20.061036766913926</c:v>
                </c:pt>
                <c:pt idx="70">
                  <c:v>19.178271624223232</c:v>
                </c:pt>
                <c:pt idx="71">
                  <c:v>18.284388252420392</c:v>
                </c:pt>
                <c:pt idx="72">
                  <c:v>17.37864901747151</c:v>
                </c:pt>
                <c:pt idx="73">
                  <c:v>16.461018644031725</c:v>
                </c:pt>
                <c:pt idx="74">
                  <c:v>15.531373731664267</c:v>
                </c:pt>
                <c:pt idx="75">
                  <c:v>14.590407601341081</c:v>
                </c:pt>
                <c:pt idx="76">
                  <c:v>13.638937804700667</c:v>
                </c:pt>
                <c:pt idx="77">
                  <c:v>12.678804540472932</c:v>
                </c:pt>
                <c:pt idx="78">
                  <c:v>11.71197510593888</c:v>
                </c:pt>
                <c:pt idx="79">
                  <c:v>10.741436325092696</c:v>
                </c:pt>
                <c:pt idx="80">
                  <c:v>9.7681776124910247</c:v>
                </c:pt>
                <c:pt idx="81">
                  <c:v>8.7962809447471919</c:v>
                </c:pt>
                <c:pt idx="82">
                  <c:v>7.8277309114680547</c:v>
                </c:pt>
                <c:pt idx="83">
                  <c:v>6.865615024731766</c:v>
                </c:pt>
                <c:pt idx="84">
                  <c:v>5.9112109024926411</c:v>
                </c:pt>
                <c:pt idx="85">
                  <c:v>4.9666063810476277</c:v>
                </c:pt>
                <c:pt idx="86">
                  <c:v>4.0326873865558932</c:v>
                </c:pt>
                <c:pt idx="87">
                  <c:v>3.1094803782610434</c:v>
                </c:pt>
                <c:pt idx="88">
                  <c:v>2.1979144823862478</c:v>
                </c:pt>
                <c:pt idx="89">
                  <c:v>1.2968949510550576</c:v>
                </c:pt>
                <c:pt idx="90">
                  <c:v>0.40607870808280921</c:v>
                </c:pt>
                <c:pt idx="91">
                  <c:v>-0.47555149901688587</c:v>
                </c:pt>
                <c:pt idx="92">
                  <c:v>-1.3489957881416881</c:v>
                </c:pt>
                <c:pt idx="93">
                  <c:v>-2.2157521016275843</c:v>
                </c:pt>
                <c:pt idx="94">
                  <c:v>-2.4314391801913855</c:v>
                </c:pt>
                <c:pt idx="95">
                  <c:v>-2.5398268705154692</c:v>
                </c:pt>
                <c:pt idx="96">
                  <c:v>-2.6468960285561365</c:v>
                </c:pt>
                <c:pt idx="97">
                  <c:v>-2.7551171958750835</c:v>
                </c:pt>
                <c:pt idx="98">
                  <c:v>-2.8620272006580425</c:v>
                </c:pt>
                <c:pt idx="99">
                  <c:v>-2.9701198075975555</c:v>
                </c:pt>
                <c:pt idx="100">
                  <c:v>-3.0769078762416031</c:v>
                </c:pt>
                <c:pt idx="101">
                  <c:v>-3.1848260663346477</c:v>
                </c:pt>
                <c:pt idx="102">
                  <c:v>-3.2914476046223982</c:v>
                </c:pt>
                <c:pt idx="103">
                  <c:v>-3.3993059553993117</c:v>
                </c:pt>
                <c:pt idx="104">
                  <c:v>-3.5058729684144252</c:v>
                </c:pt>
                <c:pt idx="105">
                  <c:v>-3.6136225509987407</c:v>
                </c:pt>
                <c:pt idx="106">
                  <c:v>-3.7200874423558652</c:v>
                </c:pt>
                <c:pt idx="107">
                  <c:v>-3.8276836071611839</c:v>
                </c:pt>
                <c:pt idx="108">
                  <c:v>-3.9340029387505249</c:v>
                </c:pt>
                <c:pt idx="109">
                  <c:v>-4.0414777821775107</c:v>
                </c:pt>
                <c:pt idx="110">
                  <c:v>-4.1476830408835337</c:v>
                </c:pt>
                <c:pt idx="111">
                  <c:v>-4.2551366392805212</c:v>
                </c:pt>
                <c:pt idx="112">
                  <c:v>-4.3613257115374617</c:v>
                </c:pt>
                <c:pt idx="113">
                  <c:v>-4.4687099859972301</c:v>
                </c:pt>
                <c:pt idx="114">
                  <c:v>-4.5748360825960086</c:v>
                </c:pt>
                <c:pt idx="115">
                  <c:v>-4.6821748533094318</c:v>
                </c:pt>
                <c:pt idx="116">
                  <c:v>-4.7882613997691088</c:v>
                </c:pt>
                <c:pt idx="117">
                  <c:v>-4.8955761211967532</c:v>
                </c:pt>
                <c:pt idx="118">
                  <c:v>-5.0016442387095239</c:v>
                </c:pt>
                <c:pt idx="119">
                  <c:v>-5.1088895417841425</c:v>
                </c:pt>
                <c:pt idx="120">
                  <c:v>-5.2148950693829317</c:v>
                </c:pt>
                <c:pt idx="121">
                  <c:v>-5.32209271127231</c:v>
                </c:pt>
                <c:pt idx="122">
                  <c:v>-5.4280570621673796</c:v>
                </c:pt>
                <c:pt idx="123">
                  <c:v>-5.5352884856901499</c:v>
                </c:pt>
                <c:pt idx="124">
                  <c:v>-5.6412914083796464</c:v>
                </c:pt>
                <c:pt idx="125">
                  <c:v>-5.748509917011063</c:v>
                </c:pt>
                <c:pt idx="126">
                  <c:v>-5.8545059523191796</c:v>
                </c:pt>
                <c:pt idx="127">
                  <c:v>-5.9617277957421857</c:v>
                </c:pt>
                <c:pt idx="128">
                  <c:v>-6.0677329947574865</c:v>
                </c:pt>
                <c:pt idx="129">
                  <c:v>-6.1749728678026923</c:v>
                </c:pt>
                <c:pt idx="130">
                  <c:v>-6.2810017680655168</c:v>
                </c:pt>
                <c:pt idx="131">
                  <c:v>-6.3882729559013374</c:v>
                </c:pt>
                <c:pt idx="132">
                  <c:v>-6.4414546226422855</c:v>
                </c:pt>
                <c:pt idx="133">
                  <c:v>-6.4943387228667371</c:v>
                </c:pt>
                <c:pt idx="134">
                  <c:v>-6.5481755765689886</c:v>
                </c:pt>
                <c:pt idx="135">
                  <c:v>-6.6017083267494128</c:v>
                </c:pt>
                <c:pt idx="136">
                  <c:v>-6.6549407999858161</c:v>
                </c:pt>
                <c:pt idx="137">
                  <c:v>-6.7078767523047986</c:v>
                </c:pt>
                <c:pt idx="138">
                  <c:v>-6.7617116994647937</c:v>
                </c:pt>
                <c:pt idx="139">
                  <c:v>-6.8152442362104217</c:v>
                </c:pt>
                <c:pt idx="140">
                  <c:v>-6.8684781622699695</c:v>
                </c:pt>
                <c:pt idx="141">
                  <c:v>-6.9214172074300295</c:v>
                </c:pt>
                <c:pt idx="142">
                  <c:v>-6.97530998805897</c:v>
                </c:pt>
                <c:pt idx="143">
                  <c:v>-7.0289014296406771</c:v>
                </c:pt>
                <c:pt idx="144">
                  <c:v>-7.0821953167846754</c:v>
                </c:pt>
                <c:pt idx="145">
                  <c:v>-7.1351953644813886</c:v>
                </c:pt>
                <c:pt idx="146">
                  <c:v>-7.1891227870779337</c:v>
                </c:pt>
                <c:pt idx="147">
                  <c:v>-7.2427502518002616</c:v>
                </c:pt>
                <c:pt idx="148">
                  <c:v>-7.2960815223686417</c:v>
                </c:pt>
                <c:pt idx="149">
                  <c:v>-7.3491202933476867</c:v>
                </c:pt>
                <c:pt idx="150">
                  <c:v>-7.4030864544009791</c:v>
                </c:pt>
                <c:pt idx="151">
                  <c:v>-7.4567540431819701</c:v>
                </c:pt>
                <c:pt idx="152">
                  <c:v>-7.5101268024891024</c:v>
                </c:pt>
                <c:pt idx="153">
                  <c:v>-7.5632084064283331</c:v>
                </c:pt>
                <c:pt idx="154">
                  <c:v>-7.6172418247129485</c:v>
                </c:pt>
                <c:pt idx="155">
                  <c:v>-7.6709777939218888</c:v>
                </c:pt>
                <c:pt idx="156">
                  <c:v>-7.7244200408961134</c:v>
                </c:pt>
                <c:pt idx="157">
                  <c:v>-7.7775722241246026</c:v>
                </c:pt>
                <c:pt idx="158">
                  <c:v>-7.8316747050468072</c:v>
                </c:pt>
                <c:pt idx="159">
                  <c:v>-7.8854808953104047</c:v>
                </c:pt>
                <c:pt idx="160">
                  <c:v>-7.938994505177992</c:v>
                </c:pt>
                <c:pt idx="161">
                  <c:v>-7.9922191769137809</c:v>
                </c:pt>
                <c:pt idx="162">
                  <c:v>-8.0463686092481588</c:v>
                </c:pt>
                <c:pt idx="163">
                  <c:v>-8.1002232047698683</c:v>
                </c:pt>
                <c:pt idx="164">
                  <c:v>-8.153786651666513</c:v>
                </c:pt>
                <c:pt idx="165">
                  <c:v>-8.2070625706120062</c:v>
                </c:pt>
                <c:pt idx="166">
                  <c:v>-8.2613083745874203</c:v>
                </c:pt>
                <c:pt idx="167">
                  <c:v>-8.3152603143303594</c:v>
                </c:pt>
                <c:pt idx="168">
                  <c:v>-8.3689220649792002</c:v>
                </c:pt>
                <c:pt idx="169">
                  <c:v>-8.4222972344203928</c:v>
                </c:pt>
                <c:pt idx="170">
                  <c:v>-8.4765256047423438</c:v>
                </c:pt>
                <c:pt idx="171">
                  <c:v>-8.5304623641595914</c:v>
                </c:pt>
                <c:pt idx="172">
                  <c:v>-8.5841111508451835</c:v>
                </c:pt>
                <c:pt idx="173">
                  <c:v>-8.6374755365593092</c:v>
                </c:pt>
                <c:pt idx="174">
                  <c:v>-8.6918936677596275</c:v>
                </c:pt>
                <c:pt idx="175">
                  <c:v>-8.7460202732882184</c:v>
                </c:pt>
                <c:pt idx="176">
                  <c:v>-8.7998589948280408</c:v>
                </c:pt>
                <c:pt idx="177">
                  <c:v>-8.8534134075008595</c:v>
                </c:pt>
                <c:pt idx="178">
                  <c:v>-8.9079935204569836</c:v>
                </c:pt>
                <c:pt idx="179">
                  <c:v>-8.9622825613550585</c:v>
                </c:pt>
                <c:pt idx="180">
                  <c:v>-9.0162841684961617</c:v>
                </c:pt>
                <c:pt idx="181">
                  <c:v>-9.0700019136341474</c:v>
                </c:pt>
                <c:pt idx="182">
                  <c:v>-9.1245052155013795</c:v>
                </c:pt>
                <c:pt idx="183">
                  <c:v>-9.1787204891012539</c:v>
                </c:pt>
                <c:pt idx="184">
                  <c:v>-9.2326513209672409</c:v>
                </c:pt>
                <c:pt idx="185">
                  <c:v>-9.2863012322689027</c:v>
                </c:pt>
                <c:pt idx="186">
                  <c:v>-9.3411349260371974</c:v>
                </c:pt>
                <c:pt idx="187">
                  <c:v>-9.3956793954553071</c:v>
                </c:pt>
                <c:pt idx="188">
                  <c:v>-9.4499382542992283</c:v>
                </c:pt>
                <c:pt idx="189">
                  <c:v>-9.5039150502409395</c:v>
                </c:pt>
                <c:pt idx="190">
                  <c:v>-9.5586353550990211</c:v>
                </c:pt>
                <c:pt idx="191">
                  <c:v>-9.6130699648358302</c:v>
                </c:pt>
                <c:pt idx="192">
                  <c:v>-9.6672224322674989</c:v>
                </c:pt>
                <c:pt idx="193">
                  <c:v>-9.7210962455001866</c:v>
                </c:pt>
                <c:pt idx="194">
                  <c:v>-9.7760963640213951</c:v>
                </c:pt>
                <c:pt idx="195">
                  <c:v>-9.8308102662501646</c:v>
                </c:pt>
                <c:pt idx="196">
                  <c:v>-9.8852415193668435</c:v>
                </c:pt>
                <c:pt idx="197">
                  <c:v>-9.9393936254020581</c:v>
                </c:pt>
                <c:pt idx="198">
                  <c:v>-9.994446738677615</c:v>
                </c:pt>
                <c:pt idx="199">
                  <c:v>-10.049215538362805</c:v>
                </c:pt>
                <c:pt idx="200">
                  <c:v>-10.103703560711788</c:v>
                </c:pt>
                <c:pt idx="201">
                  <c:v>-10.157914277480335</c:v>
                </c:pt>
                <c:pt idx="202">
                  <c:v>-10.213003913759191</c:v>
                </c:pt>
                <c:pt idx="203">
                  <c:v>-10.267811355273665</c:v>
                </c:pt>
                <c:pt idx="204">
                  <c:v>-10.322340103171195</c:v>
                </c:pt>
                <c:pt idx="205">
                  <c:v>-10.376593594845659</c:v>
                </c:pt>
                <c:pt idx="206">
                  <c:v>-10.431893053194234</c:v>
                </c:pt>
                <c:pt idx="207">
                  <c:v>-10.48691072143939</c:v>
                </c:pt>
                <c:pt idx="208">
                  <c:v>-10.541650097206013</c:v>
                </c:pt>
                <c:pt idx="209">
                  <c:v>-10.596114614337349</c:v>
                </c:pt>
                <c:pt idx="210">
                  <c:v>-10.651783541594991</c:v>
                </c:pt>
                <c:pt idx="211">
                  <c:v>-10.707169542427186</c:v>
                </c:pt>
                <c:pt idx="212">
                  <c:v>-10.762276139300543</c:v>
                </c:pt>
                <c:pt idx="213">
                  <c:v>-10.817106790173332</c:v>
                </c:pt>
                <c:pt idx="214">
                  <c:v>-10.872749679217533</c:v>
                </c:pt>
                <c:pt idx="215">
                  <c:v>-10.928112579120926</c:v>
                </c:pt>
                <c:pt idx="216">
                  <c:v>-10.983198961149705</c:v>
                </c:pt>
                <c:pt idx="217">
                  <c:v>-11.038012233174177</c:v>
                </c:pt>
                <c:pt idx="218">
                  <c:v>-11.093796284554418</c:v>
                </c:pt>
                <c:pt idx="219">
                  <c:v>-11.149301644195157</c:v>
                </c:pt>
                <c:pt idx="220">
                  <c:v>-11.204531762262281</c:v>
                </c:pt>
                <c:pt idx="221">
                  <c:v>-11.25949002589816</c:v>
                </c:pt>
                <c:pt idx="222">
                  <c:v>-11.315395923934432</c:v>
                </c:pt>
                <c:pt idx="223">
                  <c:v>-11.371024674960593</c:v>
                </c:pt>
                <c:pt idx="224">
                  <c:v>-11.426379703040521</c:v>
                </c:pt>
                <c:pt idx="225">
                  <c:v>-11.481464369699619</c:v>
                </c:pt>
                <c:pt idx="226">
                  <c:v>-11.53764476352098</c:v>
                </c:pt>
                <c:pt idx="227">
                  <c:v>-11.593548107243947</c:v>
                </c:pt>
                <c:pt idx="228">
                  <c:v>-11.649177825088605</c:v>
                </c:pt>
                <c:pt idx="229">
                  <c:v>-11.704537278574351</c:v>
                </c:pt>
                <c:pt idx="230">
                  <c:v>-11.817118309480881</c:v>
                </c:pt>
                <c:pt idx="231">
                  <c:v>-11.872997307719945</c:v>
                </c:pt>
                <c:pt idx="232">
                  <c:v>-11.928606455375911</c:v>
                </c:pt>
                <c:pt idx="233">
                  <c:v>-11.98525960455482</c:v>
                </c:pt>
                <c:pt idx="234">
                  <c:v>-12.041636859985365</c:v>
                </c:pt>
                <c:pt idx="235">
                  <c:v>-12.097741626617491</c:v>
                </c:pt>
                <c:pt idx="236">
                  <c:v>-12.153577246821856</c:v>
                </c:pt>
                <c:pt idx="237">
                  <c:v>-12.210271774793583</c:v>
                </c:pt>
                <c:pt idx="238">
                  <c:v>-12.266692960295302</c:v>
                </c:pt>
                <c:pt idx="239">
                  <c:v>-12.322844161292588</c:v>
                </c:pt>
                <c:pt idx="240">
                  <c:v>-12.378728674130478</c:v>
                </c:pt>
                <c:pt idx="241">
                  <c:v>-12.435768438526907</c:v>
                </c:pt>
                <c:pt idx="242">
                  <c:v>-12.492534533102154</c:v>
                </c:pt>
                <c:pt idx="243">
                  <c:v>-12.54903032103655</c:v>
                </c:pt>
                <c:pt idx="244">
                  <c:v>-12.605259103564821</c:v>
                </c:pt>
                <c:pt idx="245">
                  <c:v>-12.66246138047264</c:v>
                </c:pt>
                <c:pt idx="246">
                  <c:v>-12.719391469813557</c:v>
                </c:pt>
                <c:pt idx="247">
                  <c:v>-12.776052705900847</c:v>
                </c:pt>
                <c:pt idx="248">
                  <c:v>-12.832448361601298</c:v>
                </c:pt>
                <c:pt idx="249">
                  <c:v>-12.889947503439931</c:v>
                </c:pt>
                <c:pt idx="250">
                  <c:v>-12.947174713017999</c:v>
                </c:pt>
                <c:pt idx="251">
                  <c:v>-13.004133317359525</c:v>
                </c:pt>
                <c:pt idx="252">
                  <c:v>-13.060826582003685</c:v>
                </c:pt>
                <c:pt idx="253">
                  <c:v>-13.118449212494468</c:v>
                </c:pt>
                <c:pt idx="254">
                  <c:v>-13.175801845831314</c:v>
                </c:pt>
                <c:pt idx="255">
                  <c:v>-13.232887770082824</c:v>
                </c:pt>
                <c:pt idx="256">
                  <c:v>-13.289710212563932</c:v>
                </c:pt>
                <c:pt idx="257">
                  <c:v>-13.347734250127907</c:v>
                </c:pt>
                <c:pt idx="258">
                  <c:v>-13.405487668475807</c:v>
                </c:pt>
                <c:pt idx="259">
                  <c:v>-13.46297376226895</c:v>
                </c:pt>
                <c:pt idx="260">
                  <c:v>-13.520195765018169</c:v>
                </c:pt>
                <c:pt idx="261">
                  <c:v>-13.578448412823139</c:v>
                </c:pt>
                <c:pt idx="262">
                  <c:v>-13.63643148060746</c:v>
                </c:pt>
                <c:pt idx="263">
                  <c:v>-13.694148238206932</c:v>
                </c:pt>
                <c:pt idx="264">
                  <c:v>-13.75160189467606</c:v>
                </c:pt>
                <c:pt idx="265">
                  <c:v>-13.810063642191349</c:v>
                </c:pt>
                <c:pt idx="266">
                  <c:v>-13.868257058112881</c:v>
                </c:pt>
                <c:pt idx="267">
                  <c:v>-13.926185382498561</c:v>
                </c:pt>
                <c:pt idx="268">
                  <c:v>-13.983851795111104</c:v>
                </c:pt>
                <c:pt idx="269">
                  <c:v>-14.042642899065489</c:v>
                </c:pt>
                <c:pt idx="270">
                  <c:v>-14.101165848998383</c:v>
                </c:pt>
                <c:pt idx="271">
                  <c:v>-14.159423873248295</c:v>
                </c:pt>
                <c:pt idx="272">
                  <c:v>-14.21742013989256</c:v>
                </c:pt>
                <c:pt idx="273">
                  <c:v>-14.276516397379851</c:v>
                </c:pt>
                <c:pt idx="274">
                  <c:v>-14.335344934145864</c:v>
                </c:pt>
                <c:pt idx="275">
                  <c:v>-14.393908960787307</c:v>
                </c:pt>
                <c:pt idx="276">
                  <c:v>-14.452211627817979</c:v>
                </c:pt>
                <c:pt idx="277">
                  <c:v>-14.511457001101487</c:v>
                </c:pt>
                <c:pt idx="278">
                  <c:v>-14.570436510487173</c:v>
                </c:pt>
                <c:pt idx="279">
                  <c:v>-14.629153321985584</c:v>
                </c:pt>
                <c:pt idx="280">
                  <c:v>-14.687610542368159</c:v>
                </c:pt>
                <c:pt idx="281">
                  <c:v>-14.747384222167248</c:v>
                </c:pt>
                <c:pt idx="282">
                  <c:v>-14.80689051430889</c:v>
                </c:pt>
                <c:pt idx="283">
                  <c:v>-14.866132598946077</c:v>
                </c:pt>
                <c:pt idx="284">
                  <c:v>-14.925113596371142</c:v>
                </c:pt>
                <c:pt idx="285">
                  <c:v>-14.9849955398572</c:v>
                </c:pt>
                <c:pt idx="286">
                  <c:v>-15.044612335325052</c:v>
                </c:pt>
                <c:pt idx="287">
                  <c:v>-15.103967108644172</c:v>
                </c:pt>
                <c:pt idx="288">
                  <c:v>-15.163062926910605</c:v>
                </c:pt>
                <c:pt idx="289">
                  <c:v>-15.223421152045557</c:v>
                </c:pt>
                <c:pt idx="290">
                  <c:v>-15.283513209940022</c:v>
                </c:pt>
                <c:pt idx="291">
                  <c:v>-15.343342228141619</c:v>
                </c:pt>
                <c:pt idx="292">
                  <c:v>-15.402911275113544</c:v>
                </c:pt>
                <c:pt idx="293">
                  <c:v>-15.463591005077689</c:v>
                </c:pt>
                <c:pt idx="294">
                  <c:v>-15.524004924237691</c:v>
                </c:pt>
                <c:pt idx="295">
                  <c:v>-15.584156135814013</c:v>
                </c:pt>
                <c:pt idx="296">
                  <c:v>-15.644047684286104</c:v>
                </c:pt>
                <c:pt idx="297">
                  <c:v>-15.705026604354991</c:v>
                </c:pt>
                <c:pt idx="298">
                  <c:v>-15.765740255740042</c:v>
                </c:pt>
                <c:pt idx="299">
                  <c:v>-15.826191712397996</c:v>
                </c:pt>
                <c:pt idx="300">
                  <c:v>-15.886383990018722</c:v>
                </c:pt>
                <c:pt idx="301">
                  <c:v>-15.947641066190014</c:v>
                </c:pt>
                <c:pt idx="302">
                  <c:v>-16.008633577305847</c:v>
                </c:pt>
                <c:pt idx="303">
                  <c:v>-16.069364563612091</c:v>
                </c:pt>
                <c:pt idx="304">
                  <c:v>-16.129837007682987</c:v>
                </c:pt>
                <c:pt idx="305">
                  <c:v>-16.191588468048813</c:v>
                </c:pt>
                <c:pt idx="306">
                  <c:v>-16.25307418477216</c:v>
                </c:pt>
                <c:pt idx="307">
                  <c:v>-16.314297194867745</c:v>
                </c:pt>
                <c:pt idx="308">
                  <c:v>-16.375260477514971</c:v>
                </c:pt>
                <c:pt idx="309">
                  <c:v>-16.437243468806649</c:v>
                </c:pt>
                <c:pt idx="310">
                  <c:v>-16.498961770172645</c:v>
                </c:pt>
                <c:pt idx="311">
                  <c:v>-16.560418375419829</c:v>
                </c:pt>
                <c:pt idx="312">
                  <c:v>-16.621616221380176</c:v>
                </c:pt>
                <c:pt idx="313">
                  <c:v>-16.684041406122944</c:v>
                </c:pt>
                <c:pt idx="314">
                  <c:v>-16.74620111674562</c:v>
                </c:pt>
                <c:pt idx="315">
                  <c:v>-16.808098333214399</c:v>
                </c:pt>
                <c:pt idx="316">
                  <c:v>-16.869735978654305</c:v>
                </c:pt>
                <c:pt idx="317">
                  <c:v>-16.932575266223992</c:v>
                </c:pt>
                <c:pt idx="318">
                  <c:v>-16.995148499393242</c:v>
                </c:pt>
                <c:pt idx="319">
                  <c:v>-17.057458638862208</c:v>
                </c:pt>
                <c:pt idx="320">
                  <c:v>-17.119508588779691</c:v>
                </c:pt>
                <c:pt idx="321">
                  <c:v>-17.182735196167936</c:v>
                </c:pt>
                <c:pt idx="322">
                  <c:v>-17.24569534835134</c:v>
                </c:pt>
                <c:pt idx="323">
                  <c:v>-17.308391981883013</c:v>
                </c:pt>
                <c:pt idx="324">
                  <c:v>-17.370827977200694</c:v>
                </c:pt>
                <c:pt idx="325">
                  <c:v>-17.434416326079496</c:v>
                </c:pt>
                <c:pt idx="326">
                  <c:v>-17.497737975343757</c:v>
                </c:pt>
                <c:pt idx="327">
                  <c:v>-17.560795833063352</c:v>
                </c:pt>
                <c:pt idx="328">
                  <c:v>-17.623592751764637</c:v>
                </c:pt>
                <c:pt idx="329">
                  <c:v>-17.687625044335476</c:v>
                </c:pt>
                <c:pt idx="330">
                  <c:v>-17.751389639452352</c:v>
                </c:pt>
                <c:pt idx="331">
                  <c:v>-17.814889427217373</c:v>
                </c:pt>
                <c:pt idx="332">
                  <c:v>-17.878127242522879</c:v>
                </c:pt>
                <c:pt idx="333">
                  <c:v>-17.942469828144748</c:v>
                </c:pt>
                <c:pt idx="334">
                  <c:v>-18.006544759193513</c:v>
                </c:pt>
                <c:pt idx="335">
                  <c:v>-18.070354889387691</c:v>
                </c:pt>
                <c:pt idx="336">
                  <c:v>-18.133903018069141</c:v>
                </c:pt>
                <c:pt idx="337">
                  <c:v>-18.198739857357005</c:v>
                </c:pt>
                <c:pt idx="338">
                  <c:v>-18.263307473882683</c:v>
                </c:pt>
                <c:pt idx="339">
                  <c:v>-18.327608709110287</c:v>
                </c:pt>
                <c:pt idx="340">
                  <c:v>-18.391646350384367</c:v>
                </c:pt>
                <c:pt idx="341">
                  <c:v>-18.456945719917591</c:v>
                </c:pt>
                <c:pt idx="342">
                  <c:v>-18.521974478967142</c:v>
                </c:pt>
                <c:pt idx="343">
                  <c:v>-18.586735452140196</c:v>
                </c:pt>
                <c:pt idx="344">
                  <c:v>-18.651231410337367</c:v>
                </c:pt>
                <c:pt idx="345">
                  <c:v>-18.716862903991501</c:v>
                </c:pt>
                <c:pt idx="346">
                  <c:v>-18.782223381853903</c:v>
                </c:pt>
                <c:pt idx="347">
                  <c:v>-18.847315634994871</c:v>
                </c:pt>
                <c:pt idx="348">
                  <c:v>-18.912142401654027</c:v>
                </c:pt>
                <c:pt idx="349">
                  <c:v>-18.978277838765361</c:v>
                </c:pt>
                <c:pt idx="350">
                  <c:v>-19.04414033366956</c:v>
                </c:pt>
                <c:pt idx="351">
                  <c:v>-19.109732666095947</c:v>
                </c:pt>
                <c:pt idx="352">
                  <c:v>-19.175057563305231</c:v>
                </c:pt>
                <c:pt idx="353">
                  <c:v>-19.241663547089235</c:v>
                </c:pt>
                <c:pt idx="354">
                  <c:v>-19.30799483168531</c:v>
                </c:pt>
                <c:pt idx="355">
                  <c:v>-19.374054181534973</c:v>
                </c:pt>
                <c:pt idx="356">
                  <c:v>-19.439844309121664</c:v>
                </c:pt>
                <c:pt idx="357">
                  <c:v>-19.506793492977931</c:v>
                </c:pt>
                <c:pt idx="358">
                  <c:v>-19.573467152858044</c:v>
                </c:pt>
                <c:pt idx="359">
                  <c:v>-19.639868022980348</c:v>
                </c:pt>
                <c:pt idx="360">
                  <c:v>-19.705998786538267</c:v>
                </c:pt>
                <c:pt idx="361">
                  <c:v>-19.773451497627303</c:v>
                </c:pt>
                <c:pt idx="362">
                  <c:v>-19.840626419446949</c:v>
                </c:pt>
                <c:pt idx="363">
                  <c:v>-19.907526276635192</c:v>
                </c:pt>
                <c:pt idx="364">
                  <c:v>-19.974153743278308</c:v>
                </c:pt>
                <c:pt idx="365">
                  <c:v>-20.041983015608306</c:v>
                </c:pt>
                <c:pt idx="366">
                  <c:v>-20.109533151198416</c:v>
                </c:pt>
                <c:pt idx="367">
                  <c:v>-20.176806850994424</c:v>
                </c:pt>
                <c:pt idx="368">
                  <c:v>-20.243806766266111</c:v>
                </c:pt>
                <c:pt idx="369">
                  <c:v>-20.312164077144587</c:v>
                </c:pt>
                <c:pt idx="370">
                  <c:v>-20.380239526946788</c:v>
                </c:pt>
                <c:pt idx="371">
                  <c:v>-20.448035812411945</c:v>
                </c:pt>
                <c:pt idx="372">
                  <c:v>-20.515555581059346</c:v>
                </c:pt>
                <c:pt idx="373">
                  <c:v>-20.584314448002239</c:v>
                </c:pt>
                <c:pt idx="374">
                  <c:v>-20.652789635527448</c:v>
                </c:pt>
                <c:pt idx="375">
                  <c:v>-20.720983822891927</c:v>
                </c:pt>
                <c:pt idx="376">
                  <c:v>-20.788899640969284</c:v>
                </c:pt>
                <c:pt idx="377">
                  <c:v>-20.858203088350322</c:v>
                </c:pt>
                <c:pt idx="378">
                  <c:v>-20.927219719543459</c:v>
                </c:pt>
                <c:pt idx="379">
                  <c:v>-20.995952214879786</c:v>
                </c:pt>
                <c:pt idx="380">
                  <c:v>-21.064403206757913</c:v>
                </c:pt>
                <c:pt idx="381">
                  <c:v>-21.134039228208991</c:v>
                </c:pt>
                <c:pt idx="382">
                  <c:v>-21.203386905865742</c:v>
                </c:pt>
                <c:pt idx="383">
                  <c:v>-21.27244889887659</c:v>
                </c:pt>
                <c:pt idx="384">
                  <c:v>-21.341227819494499</c:v>
                </c:pt>
                <c:pt idx="385">
                  <c:v>-21.411420300283346</c:v>
                </c:pt>
                <c:pt idx="386">
                  <c:v>-21.481320912913638</c:v>
                </c:pt>
                <c:pt idx="387">
                  <c:v>-21.550932323415289</c:v>
                </c:pt>
                <c:pt idx="388">
                  <c:v>-21.620257151358857</c:v>
                </c:pt>
                <c:pt idx="389">
                  <c:v>-21.690880839475884</c:v>
                </c:pt>
                <c:pt idx="390">
                  <c:v>-21.761210027537178</c:v>
                </c:pt>
                <c:pt idx="391">
                  <c:v>-21.831247376805834</c:v>
                </c:pt>
                <c:pt idx="392">
                  <c:v>-21.900995502851526</c:v>
                </c:pt>
                <c:pt idx="393">
                  <c:v>-21.972013714667256</c:v>
                </c:pt>
                <c:pt idx="394">
                  <c:v>-22.042734955388653</c:v>
                </c:pt>
                <c:pt idx="395">
                  <c:v>-22.11316188036928</c:v>
                </c:pt>
                <c:pt idx="396">
                  <c:v>-22.183297100112938</c:v>
                </c:pt>
                <c:pt idx="397">
                  <c:v>-22.254835292953366</c:v>
                </c:pt>
                <c:pt idx="398">
                  <c:v>-22.326072849840074</c:v>
                </c:pt>
                <c:pt idx="399">
                  <c:v>-22.397012437358029</c:v>
                </c:pt>
                <c:pt idx="400">
                  <c:v>-22.467656677754224</c:v>
                </c:pt>
                <c:pt idx="401">
                  <c:v>-22.539592860311473</c:v>
                </c:pt>
                <c:pt idx="402">
                  <c:v>-22.611225620228762</c:v>
                </c:pt>
                <c:pt idx="403">
                  <c:v>-22.682557625041696</c:v>
                </c:pt>
                <c:pt idx="404">
                  <c:v>-22.753591498737407</c:v>
                </c:pt>
                <c:pt idx="405">
                  <c:v>-22.825965968689637</c:v>
                </c:pt>
                <c:pt idx="406">
                  <c:v>-22.898033749746084</c:v>
                </c:pt>
                <c:pt idx="407">
                  <c:v>-22.969797518416073</c:v>
                </c:pt>
                <c:pt idx="408">
                  <c:v>-23.041259908318843</c:v>
                </c:pt>
                <c:pt idx="409">
                  <c:v>-23.114108790772608</c:v>
                </c:pt>
                <c:pt idx="410">
                  <c:v>-23.186647272607903</c:v>
                </c:pt>
                <c:pt idx="411">
                  <c:v>-23.258878046983039</c:v>
                </c:pt>
                <c:pt idx="412">
                  <c:v>-23.330803764703603</c:v>
                </c:pt>
                <c:pt idx="413">
                  <c:v>-23.404083860918764</c:v>
                </c:pt>
                <c:pt idx="414">
                  <c:v>-23.477050076256173</c:v>
                </c:pt>
                <c:pt idx="415">
                  <c:v>-23.549705119598819</c:v>
                </c:pt>
                <c:pt idx="416">
                  <c:v>-23.622051658071573</c:v>
                </c:pt>
                <c:pt idx="417">
                  <c:v>-23.695795052290531</c:v>
                </c:pt>
                <c:pt idx="418">
                  <c:v>-23.769220680206114</c:v>
                </c:pt>
                <c:pt idx="419">
                  <c:v>-23.842331273972807</c:v>
                </c:pt>
                <c:pt idx="420">
                  <c:v>-23.915129524459168</c:v>
                </c:pt>
                <c:pt idx="421">
                  <c:v>-23.989218973775909</c:v>
                </c:pt>
                <c:pt idx="422">
                  <c:v>-24.062987658123298</c:v>
                </c:pt>
                <c:pt idx="423">
                  <c:v>-24.136438324074504</c:v>
                </c:pt>
                <c:pt idx="424">
                  <c:v>-24.209573677589155</c:v>
                </c:pt>
                <c:pt idx="425">
                  <c:v>-24.284184363628313</c:v>
                </c:pt>
                <c:pt idx="426">
                  <c:v>-24.358469654106241</c:v>
                </c:pt>
                <c:pt idx="427">
                  <c:v>-24.432432333673674</c:v>
                </c:pt>
                <c:pt idx="428">
                  <c:v>-24.506075146594153</c:v>
                </c:pt>
                <c:pt idx="429">
                  <c:v>-24.581087583631529</c:v>
                </c:pt>
                <c:pt idx="430">
                  <c:v>-24.655770920752964</c:v>
                </c:pt>
                <c:pt idx="431">
                  <c:v>-24.73012797170999</c:v>
                </c:pt>
                <c:pt idx="432">
                  <c:v>-24.804161510282675</c:v>
                </c:pt>
                <c:pt idx="433">
                  <c:v>-24.87953172908318</c:v>
                </c:pt>
                <c:pt idx="434">
                  <c:v>-24.954569432445112</c:v>
                </c:pt>
                <c:pt idx="435">
                  <c:v>-25.029277462611532</c:v>
                </c:pt>
                <c:pt idx="436">
                  <c:v>-25.10365862228301</c:v>
                </c:pt>
                <c:pt idx="437">
                  <c:v>-25.179479857372229</c:v>
                </c:pt>
                <c:pt idx="438">
                  <c:v>-25.254964251010598</c:v>
                </c:pt>
                <c:pt idx="439">
                  <c:v>-25.33011468881508</c:v>
                </c:pt>
                <c:pt idx="440">
                  <c:v>-25.404934017011431</c:v>
                </c:pt>
                <c:pt idx="441">
                  <c:v>-25.481158159229643</c:v>
                </c:pt>
                <c:pt idx="442">
                  <c:v>-25.557041478136707</c:v>
                </c:pt>
                <c:pt idx="443">
                  <c:v>-25.632586901678636</c:v>
                </c:pt>
                <c:pt idx="444">
                  <c:v>-25.707797318573768</c:v>
                </c:pt>
                <c:pt idx="445">
                  <c:v>-25.784377983833707</c:v>
                </c:pt>
                <c:pt idx="446">
                  <c:v>-25.860614191785029</c:v>
                </c:pt>
                <c:pt idx="447">
                  <c:v>-25.93650891169532</c:v>
                </c:pt>
                <c:pt idx="448">
                  <c:v>-26.012065073768422</c:v>
                </c:pt>
                <c:pt idx="449">
                  <c:v>-26.089086246577811</c:v>
                </c:pt>
                <c:pt idx="450">
                  <c:v>-26.165758517549719</c:v>
                </c:pt>
                <c:pt idx="451">
                  <c:v>-26.242084911320745</c:v>
                </c:pt>
                <c:pt idx="452">
                  <c:v>-26.318068413359278</c:v>
                </c:pt>
                <c:pt idx="453">
                  <c:v>-26.395417167725927</c:v>
                </c:pt>
                <c:pt idx="454">
                  <c:v>-26.472413553344701</c:v>
                </c:pt>
                <c:pt idx="455">
                  <c:v>-26.549060641193172</c:v>
                </c:pt>
                <c:pt idx="456">
                  <c:v>-26.625361463101726</c:v>
                </c:pt>
                <c:pt idx="457">
                  <c:v>-26.703117460277998</c:v>
                </c:pt>
                <c:pt idx="458">
                  <c:v>-26.780516869860143</c:v>
                </c:pt>
                <c:pt idx="459">
                  <c:v>-26.857562822681018</c:v>
                </c:pt>
                <c:pt idx="460">
                  <c:v>-26.934258410180391</c:v>
                </c:pt>
                <c:pt idx="461">
                  <c:v>-27.012372454595962</c:v>
                </c:pt>
                <c:pt idx="462">
                  <c:v>-27.090126126624909</c:v>
                </c:pt>
                <c:pt idx="463">
                  <c:v>-27.167522615031285</c:v>
                </c:pt>
                <c:pt idx="464">
                  <c:v>-27.244565068929788</c:v>
                </c:pt>
                <c:pt idx="465">
                  <c:v>-27.323049872480055</c:v>
                </c:pt>
                <c:pt idx="466">
                  <c:v>-27.401170402203398</c:v>
                </c:pt>
                <c:pt idx="467">
                  <c:v>-27.478929910121757</c:v>
                </c:pt>
                <c:pt idx="468">
                  <c:v>-27.556331608213664</c:v>
                </c:pt>
                <c:pt idx="469">
                  <c:v>-27.635138976832412</c:v>
                </c:pt>
                <c:pt idx="470">
                  <c:v>-27.713578633414006</c:v>
                </c:pt>
                <c:pt idx="471">
                  <c:v>-27.791653890804593</c:v>
                </c:pt>
                <c:pt idx="472">
                  <c:v>-27.869368021396657</c:v>
                </c:pt>
                <c:pt idx="473">
                  <c:v>-27.948567222034018</c:v>
                </c:pt>
                <c:pt idx="474">
                  <c:v>-28.027394658539166</c:v>
                </c:pt>
                <c:pt idx="475">
                  <c:v>-28.105853716640542</c:v>
                </c:pt>
                <c:pt idx="476">
                  <c:v>-28.183947740945694</c:v>
                </c:pt>
                <c:pt idx="477">
                  <c:v>-28.263488743392227</c:v>
                </c:pt>
                <c:pt idx="478">
                  <c:v>-28.342654443677013</c:v>
                </c:pt>
                <c:pt idx="479">
                  <c:v>-28.421448297196044</c:v>
                </c:pt>
                <c:pt idx="480">
                  <c:v>-28.499873717543196</c:v>
                </c:pt>
                <c:pt idx="481">
                  <c:v>-28.579709001986764</c:v>
                </c:pt>
                <c:pt idx="482">
                  <c:v>-28.659165959945668</c:v>
                </c:pt>
                <c:pt idx="483">
                  <c:v>-28.738248113006865</c:v>
                </c:pt>
                <c:pt idx="484">
                  <c:v>-28.816958940258253</c:v>
                </c:pt>
                <c:pt idx="485">
                  <c:v>-28.897097941788338</c:v>
                </c:pt>
                <c:pt idx="486">
                  <c:v>-28.976855587304648</c:v>
                </c:pt>
                <c:pt idx="487">
                  <c:v>-29.056235468122438</c:v>
                </c:pt>
                <c:pt idx="488">
                  <c:v>-29.135241132228273</c:v>
                </c:pt>
                <c:pt idx="489">
                  <c:v>-29.215745127455289</c:v>
                </c:pt>
                <c:pt idx="490">
                  <c:v>-29.295864252380881</c:v>
                </c:pt>
                <c:pt idx="491">
                  <c:v>-29.375602178377918</c:v>
                </c:pt>
                <c:pt idx="492">
                  <c:v>-29.454962532415344</c:v>
                </c:pt>
                <c:pt idx="493">
                  <c:v>-29.53578258701619</c:v>
                </c:pt>
                <c:pt idx="494">
                  <c:v>-29.616214836715542</c:v>
                </c:pt>
                <c:pt idx="495">
                  <c:v>-29.696263028091355</c:v>
                </c:pt>
                <c:pt idx="496">
                  <c:v>-29.775930862237008</c:v>
                </c:pt>
                <c:pt idx="497">
                  <c:v>-29.85707227919541</c:v>
                </c:pt>
                <c:pt idx="498">
                  <c:v>-29.937823036845458</c:v>
                </c:pt>
                <c:pt idx="499">
                  <c:v>-30.018186959020245</c:v>
                </c:pt>
                <c:pt idx="500">
                  <c:v>-30.098167822867957</c:v>
                </c:pt>
                <c:pt idx="501">
                  <c:v>-30.179634833682549</c:v>
                </c:pt>
                <c:pt idx="502">
                  <c:v>-30.260708436904661</c:v>
                </c:pt>
                <c:pt idx="503">
                  <c:v>-30.341392535146909</c:v>
                </c:pt>
                <c:pt idx="504">
                  <c:v>-30.42169098302201</c:v>
                </c:pt>
                <c:pt idx="505">
                  <c:v>-30.503437449123517</c:v>
                </c:pt>
                <c:pt idx="506">
                  <c:v>-30.584788367388359</c:v>
                </c:pt>
                <c:pt idx="507">
                  <c:v>-30.665747713001853</c:v>
                </c:pt>
                <c:pt idx="508">
                  <c:v>-30.74631941184451</c:v>
                </c:pt>
                <c:pt idx="509">
                  <c:v>-30.82835072029253</c:v>
                </c:pt>
                <c:pt idx="510">
                  <c:v>-30.9099844678395</c:v>
                </c:pt>
                <c:pt idx="511">
                  <c:v>-30.991224702854304</c:v>
                </c:pt>
                <c:pt idx="512">
                  <c:v>-31.072075422993301</c:v>
                </c:pt>
                <c:pt idx="513">
                  <c:v>-31.154443816021541</c:v>
                </c:pt>
                <c:pt idx="514">
                  <c:v>-31.236412322662083</c:v>
                </c:pt>
                <c:pt idx="515">
                  <c:v>-31.317985071647648</c:v>
                </c:pt>
                <c:pt idx="516">
                  <c:v>-31.399166139375211</c:v>
                </c:pt>
                <c:pt idx="517">
                  <c:v>-31.48182629000242</c:v>
                </c:pt>
                <c:pt idx="518">
                  <c:v>-31.56408487469205</c:v>
                </c:pt>
                <c:pt idx="519">
                  <c:v>-31.645946094755498</c:v>
                </c:pt>
                <c:pt idx="520">
                  <c:v>-31.727414097578976</c:v>
                </c:pt>
                <c:pt idx="521">
                  <c:v>-31.810369677679478</c:v>
                </c:pt>
                <c:pt idx="522">
                  <c:v>-31.892922196609319</c:v>
                </c:pt>
                <c:pt idx="523">
                  <c:v>-31.975075927189756</c:v>
                </c:pt>
                <c:pt idx="524">
                  <c:v>-32.056835086648761</c:v>
                </c:pt>
                <c:pt idx="525">
                  <c:v>-32.140089433826525</c:v>
                </c:pt>
                <c:pt idx="526">
                  <c:v>-32.222939423916991</c:v>
                </c:pt>
                <c:pt idx="527">
                  <c:v>-32.305389399618804</c:v>
                </c:pt>
                <c:pt idx="528">
                  <c:v>-32.387443646299928</c:v>
                </c:pt>
                <c:pt idx="529">
                  <c:v>-32.470999877903338</c:v>
                </c:pt>
                <c:pt idx="530">
                  <c:v>-32.554150668610966</c:v>
                </c:pt>
                <c:pt idx="531">
                  <c:v>-32.636900428805411</c:v>
                </c:pt>
                <c:pt idx="532">
                  <c:v>-32.719253509741982</c:v>
                </c:pt>
                <c:pt idx="533">
                  <c:v>-32.803157817084582</c:v>
                </c:pt>
                <c:pt idx="534">
                  <c:v>-32.886655405015972</c:v>
                </c:pt>
                <c:pt idx="535">
                  <c:v>-32.969750755742055</c:v>
                </c:pt>
                <c:pt idx="536">
                  <c:v>-33.05244829037121</c:v>
                </c:pt>
                <c:pt idx="537">
                  <c:v>-33.136616452624324</c:v>
                </c:pt>
                <c:pt idx="538">
                  <c:v>-33.220377691466275</c:v>
                </c:pt>
                <c:pt idx="539">
                  <c:v>-33.30373654373134</c:v>
                </c:pt>
                <c:pt idx="540">
                  <c:v>-33.386697483401115</c:v>
                </c:pt>
                <c:pt idx="541">
                  <c:v>-33.471218138479777</c:v>
                </c:pt>
                <c:pt idx="542">
                  <c:v>-33.555331076345908</c:v>
                </c:pt>
                <c:pt idx="543">
                  <c:v>-33.639040898406499</c:v>
                </c:pt>
                <c:pt idx="544">
                  <c:v>-33.722352141181794</c:v>
                </c:pt>
                <c:pt idx="545">
                  <c:v>-33.807185344878562</c:v>
                </c:pt>
                <c:pt idx="546">
                  <c:v>-33.891610694481301</c:v>
                </c:pt>
                <c:pt idx="547">
                  <c:v>-33.975632844678657</c:v>
                </c:pt>
                <c:pt idx="548">
                  <c:v>-34.059256383354224</c:v>
                </c:pt>
                <c:pt idx="549">
                  <c:v>-34.14440558734772</c:v>
                </c:pt>
                <c:pt idx="550">
                  <c:v>-34.229147040172663</c:v>
                </c:pt>
                <c:pt idx="551">
                  <c:v>-34.313485444972564</c:v>
                </c:pt>
                <c:pt idx="552">
                  <c:v>-34.39742543616849</c:v>
                </c:pt>
                <c:pt idx="553">
                  <c:v>-34.482933589586722</c:v>
                </c:pt>
                <c:pt idx="554">
                  <c:v>-34.568033959681564</c:v>
                </c:pt>
                <c:pt idx="555">
                  <c:v>-34.652731299273455</c:v>
                </c:pt>
                <c:pt idx="556">
                  <c:v>-34.737030290428606</c:v>
                </c:pt>
                <c:pt idx="557">
                  <c:v>-34.90836054244879</c:v>
                </c:pt>
                <c:pt idx="558">
                  <c:v>-35.078079684008962</c:v>
                </c:pt>
                <c:pt idx="559">
                  <c:v>-35.250061185007084</c:v>
                </c:pt>
                <c:pt idx="560">
                  <c:v>-35.420435036420251</c:v>
                </c:pt>
                <c:pt idx="561">
                  <c:v>-35.593225219944159</c:v>
                </c:pt>
                <c:pt idx="562">
                  <c:v>-35.764409329388876</c:v>
                </c:pt>
                <c:pt idx="563">
                  <c:v>-35.93764828409963</c:v>
                </c:pt>
                <c:pt idx="564">
                  <c:v>-36.109290366046885</c:v>
                </c:pt>
                <c:pt idx="565">
                  <c:v>-36.28364154285277</c:v>
                </c:pt>
                <c:pt idx="566">
                  <c:v>-36.456393838605294</c:v>
                </c:pt>
                <c:pt idx="567">
                  <c:v>-36.63177586926659</c:v>
                </c:pt>
                <c:pt idx="568">
                  <c:v>-36.8055595163001</c:v>
                </c:pt>
                <c:pt idx="569">
                  <c:v>-36.981212155211175</c:v>
                </c:pt>
                <c:pt idx="570">
                  <c:v>-37.15528148703229</c:v>
                </c:pt>
                <c:pt idx="571">
                  <c:v>-37.332520254935858</c:v>
                </c:pt>
                <c:pt idx="572">
                  <c:v>-37.50816797873091</c:v>
                </c:pt>
                <c:pt idx="573">
                  <c:v>-37.685570907968781</c:v>
                </c:pt>
                <c:pt idx="574">
                  <c:v>-37.861401149263173</c:v>
                </c:pt>
                <c:pt idx="575">
                  <c:v>-38.040246078633068</c:v>
                </c:pt>
                <c:pt idx="576">
                  <c:v>-38.217514687987808</c:v>
                </c:pt>
                <c:pt idx="577">
                  <c:v>-38.951389690696075</c:v>
                </c:pt>
                <c:pt idx="578">
                  <c:v>-39.660320574360462</c:v>
                </c:pt>
                <c:pt idx="579">
                  <c:v>-41.137330354865668</c:v>
                </c:pt>
                <c:pt idx="580">
                  <c:v>-42.655253079088268</c:v>
                </c:pt>
                <c:pt idx="581">
                  <c:v>-44.215652137873889</c:v>
                </c:pt>
                <c:pt idx="582">
                  <c:v>-45.822248035038335</c:v>
                </c:pt>
                <c:pt idx="583">
                  <c:v>-47.475210792382597</c:v>
                </c:pt>
                <c:pt idx="584">
                  <c:v>-49.175550616783454</c:v>
                </c:pt>
                <c:pt idx="585">
                  <c:v>-50.920388422375794</c:v>
                </c:pt>
                <c:pt idx="586">
                  <c:v>-52.70643713896655</c:v>
                </c:pt>
                <c:pt idx="587">
                  <c:v>-54.529745090143948</c:v>
                </c:pt>
                <c:pt idx="588">
                  <c:v>-56.382544527376368</c:v>
                </c:pt>
                <c:pt idx="589">
                  <c:v>-58.259555599175492</c:v>
                </c:pt>
                <c:pt idx="590">
                  <c:v>-60.152958998989931</c:v>
                </c:pt>
                <c:pt idx="591">
                  <c:v>-62.055805634603843</c:v>
                </c:pt>
                <c:pt idx="592">
                  <c:v>-63.961052149990621</c:v>
                </c:pt>
                <c:pt idx="593">
                  <c:v>-65.863073741696951</c:v>
                </c:pt>
                <c:pt idx="594">
                  <c:v>-67.755979431964931</c:v>
                </c:pt>
                <c:pt idx="595">
                  <c:v>-69.635701379807003</c:v>
                </c:pt>
                <c:pt idx="596">
                  <c:v>-71.498415744395047</c:v>
                </c:pt>
                <c:pt idx="597">
                  <c:v>-73.342088307005852</c:v>
                </c:pt>
                <c:pt idx="598">
                  <c:v>-75.164788914997857</c:v>
                </c:pt>
                <c:pt idx="599">
                  <c:v>-76.966366059169985</c:v>
                </c:pt>
                <c:pt idx="600">
                  <c:v>-78.746651529893285</c:v>
                </c:pt>
              </c:numCache>
            </c:numRef>
          </c:yVal>
          <c:smooth val="1"/>
          <c:extLst>
            <c:ext xmlns:c16="http://schemas.microsoft.com/office/drawing/2014/chart" uri="{C3380CC4-5D6E-409C-BE32-E72D297353CC}">
              <c16:uniqueId val="{0000000E-AABE-4BC9-B8D6-5F1DC6B660E9}"/>
            </c:ext>
          </c:extLst>
        </c:ser>
        <c:ser>
          <c:idx val="6"/>
          <c:order val="1"/>
          <c:tx>
            <c:strRef>
              <c:f>'Stability Calculations'!$W$12</c:f>
              <c:strCache>
                <c:ptCount val="1"/>
                <c:pt idx="0">
                  <c:v>Loop Gain (dB)</c:v>
                </c:pt>
              </c:strCache>
            </c:strRef>
          </c:tx>
          <c:spPr>
            <a:ln w="25400">
              <a:solidFill>
                <a:srgbClr val="FF0000"/>
              </a:solidFill>
              <a:prstDash val="solid"/>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Calculations'!$W$13:$W$613</c:f>
              <c:numCache>
                <c:formatCode>0.00</c:formatCode>
                <c:ptCount val="601"/>
                <c:pt idx="0">
                  <c:v>75.408353385020291</c:v>
                </c:pt>
                <c:pt idx="1">
                  <c:v>74.663127197490724</c:v>
                </c:pt>
                <c:pt idx="2">
                  <c:v>73.90927446663585</c:v>
                </c:pt>
                <c:pt idx="3">
                  <c:v>73.148075145872326</c:v>
                </c:pt>
                <c:pt idx="4">
                  <c:v>72.381141197723423</c:v>
                </c:pt>
                <c:pt idx="5">
                  <c:v>71.608147184015223</c:v>
                </c:pt>
                <c:pt idx="6">
                  <c:v>70.831002358725087</c:v>
                </c:pt>
                <c:pt idx="7">
                  <c:v>70.049891265087652</c:v>
                </c:pt>
                <c:pt idx="8">
                  <c:v>69.265974451746402</c:v>
                </c:pt>
                <c:pt idx="9">
                  <c:v>68.479158480056697</c:v>
                </c:pt>
                <c:pt idx="10">
                  <c:v>67.690316782900084</c:v>
                </c:pt>
                <c:pt idx="11">
                  <c:v>66.899692755498407</c:v>
                </c:pt>
                <c:pt idx="12">
                  <c:v>66.107165322196863</c:v>
                </c:pt>
                <c:pt idx="13">
                  <c:v>65.313746022156266</c:v>
                </c:pt>
                <c:pt idx="14">
                  <c:v>64.519011457552423</c:v>
                </c:pt>
                <c:pt idx="15">
                  <c:v>63.7234422763349</c:v>
                </c:pt>
                <c:pt idx="16">
                  <c:v>62.927120933137537</c:v>
                </c:pt>
                <c:pt idx="17">
                  <c:v>62.130282961021486</c:v>
                </c:pt>
                <c:pt idx="18">
                  <c:v>61.332798619088187</c:v>
                </c:pt>
                <c:pt idx="19">
                  <c:v>60.534966524905052</c:v>
                </c:pt>
                <c:pt idx="20">
                  <c:v>59.736697407295615</c:v>
                </c:pt>
                <c:pt idx="21">
                  <c:v>58.93821166563481</c:v>
                </c:pt>
                <c:pt idx="22">
                  <c:v>58.139386147173376</c:v>
                </c:pt>
                <c:pt idx="23">
                  <c:v>57.340457491142089</c:v>
                </c:pt>
                <c:pt idx="24">
                  <c:v>56.541254360801545</c:v>
                </c:pt>
                <c:pt idx="25">
                  <c:v>55.741926621724033</c:v>
                </c:pt>
                <c:pt idx="26">
                  <c:v>54.942309367832024</c:v>
                </c:pt>
                <c:pt idx="27">
                  <c:v>54.142674490072494</c:v>
                </c:pt>
                <c:pt idx="28">
                  <c:v>53.343004921251207</c:v>
                </c:pt>
                <c:pt idx="29">
                  <c:v>52.543808719079038</c:v>
                </c:pt>
                <c:pt idx="30">
                  <c:v>51.743743365585289</c:v>
                </c:pt>
                <c:pt idx="31">
                  <c:v>50.943933755281172</c:v>
                </c:pt>
                <c:pt idx="32">
                  <c:v>50.14384266039287</c:v>
                </c:pt>
                <c:pt idx="33">
                  <c:v>49.34404399573944</c:v>
                </c:pt>
                <c:pt idx="34">
                  <c:v>48.543923388314852</c:v>
                </c:pt>
                <c:pt idx="35">
                  <c:v>47.743932185613119</c:v>
                </c:pt>
                <c:pt idx="36">
                  <c:v>46.943947561605967</c:v>
                </c:pt>
                <c:pt idx="37">
                  <c:v>46.143536743838432</c:v>
                </c:pt>
                <c:pt idx="38">
                  <c:v>45.343458234805965</c:v>
                </c:pt>
                <c:pt idx="39">
                  <c:v>44.543061598393095</c:v>
                </c:pt>
                <c:pt idx="40">
                  <c:v>43.742641049086444</c:v>
                </c:pt>
                <c:pt idx="41">
                  <c:v>42.942116073695395</c:v>
                </c:pt>
                <c:pt idx="42">
                  <c:v>42.141581518568017</c:v>
                </c:pt>
                <c:pt idx="43">
                  <c:v>41.340782138647938</c:v>
                </c:pt>
                <c:pt idx="44">
                  <c:v>40.539905719084082</c:v>
                </c:pt>
                <c:pt idx="45">
                  <c:v>39.738759632013476</c:v>
                </c:pt>
                <c:pt idx="46">
                  <c:v>38.937467776495915</c:v>
                </c:pt>
                <c:pt idx="47">
                  <c:v>38.135811754448568</c:v>
                </c:pt>
                <c:pt idx="48">
                  <c:v>37.333933626816552</c:v>
                </c:pt>
                <c:pt idx="49">
                  <c:v>36.531562260344863</c:v>
                </c:pt>
                <c:pt idx="50">
                  <c:v>35.728741988362216</c:v>
                </c:pt>
                <c:pt idx="51">
                  <c:v>34.925190662273216</c:v>
                </c:pt>
                <c:pt idx="52">
                  <c:v>34.121051099238549</c:v>
                </c:pt>
                <c:pt idx="53">
                  <c:v>33.316158098159093</c:v>
                </c:pt>
                <c:pt idx="54">
                  <c:v>32.510853682961027</c:v>
                </c:pt>
                <c:pt idx="55">
                  <c:v>31.70358725693459</c:v>
                </c:pt>
                <c:pt idx="56">
                  <c:v>30.895263141526293</c:v>
                </c:pt>
                <c:pt idx="57">
                  <c:v>30.085070595023666</c:v>
                </c:pt>
                <c:pt idx="58">
                  <c:v>29.273278820501908</c:v>
                </c:pt>
                <c:pt idx="59">
                  <c:v>28.458900900539085</c:v>
                </c:pt>
                <c:pt idx="60">
                  <c:v>27.641974353075756</c:v>
                </c:pt>
                <c:pt idx="61">
                  <c:v>26.821888945597866</c:v>
                </c:pt>
                <c:pt idx="62">
                  <c:v>25.997642269722334</c:v>
                </c:pt>
                <c:pt idx="63">
                  <c:v>25.169384095872232</c:v>
                </c:pt>
                <c:pt idx="64">
                  <c:v>24.335733958310477</c:v>
                </c:pt>
                <c:pt idx="65">
                  <c:v>23.496213909296845</c:v>
                </c:pt>
                <c:pt idx="66">
                  <c:v>22.649891319786882</c:v>
                </c:pt>
                <c:pt idx="67">
                  <c:v>21.795969234920921</c:v>
                </c:pt>
                <c:pt idx="68">
                  <c:v>20.933252857651503</c:v>
                </c:pt>
                <c:pt idx="69">
                  <c:v>20.061036766913926</c:v>
                </c:pt>
                <c:pt idx="70">
                  <c:v>19.178271624223232</c:v>
                </c:pt>
                <c:pt idx="71">
                  <c:v>18.284388252420392</c:v>
                </c:pt>
                <c:pt idx="72">
                  <c:v>17.37864901747151</c:v>
                </c:pt>
                <c:pt idx="73">
                  <c:v>16.461018644031725</c:v>
                </c:pt>
                <c:pt idx="74">
                  <c:v>15.531373731664267</c:v>
                </c:pt>
                <c:pt idx="75">
                  <c:v>14.590407601341081</c:v>
                </c:pt>
                <c:pt idx="76">
                  <c:v>13.638937804700667</c:v>
                </c:pt>
                <c:pt idx="77">
                  <c:v>12.678804540472932</c:v>
                </c:pt>
                <c:pt idx="78">
                  <c:v>11.71197510593888</c:v>
                </c:pt>
                <c:pt idx="79">
                  <c:v>10.741436325092696</c:v>
                </c:pt>
                <c:pt idx="80">
                  <c:v>9.7681776124910247</c:v>
                </c:pt>
                <c:pt idx="81">
                  <c:v>8.7962809447471919</c:v>
                </c:pt>
                <c:pt idx="82">
                  <c:v>7.8277309114680547</c:v>
                </c:pt>
                <c:pt idx="83">
                  <c:v>6.865615024731766</c:v>
                </c:pt>
                <c:pt idx="84">
                  <c:v>5.9112109024926411</c:v>
                </c:pt>
                <c:pt idx="85">
                  <c:v>4.9666063810476277</c:v>
                </c:pt>
                <c:pt idx="86">
                  <c:v>4.0326873865558932</c:v>
                </c:pt>
                <c:pt idx="87">
                  <c:v>3.1094803782610434</c:v>
                </c:pt>
                <c:pt idx="88">
                  <c:v>2.1979144823862478</c:v>
                </c:pt>
                <c:pt idx="89">
                  <c:v>1.2968949510550576</c:v>
                </c:pt>
                <c:pt idx="90">
                  <c:v>0.40607870808280921</c:v>
                </c:pt>
                <c:pt idx="91">
                  <c:v>-0.47555149901688587</c:v>
                </c:pt>
                <c:pt idx="92">
                  <c:v>-1.3489957881416881</c:v>
                </c:pt>
                <c:pt idx="93">
                  <c:v>-2.2157521016275843</c:v>
                </c:pt>
                <c:pt idx="94">
                  <c:v>-2.4314391801913855</c:v>
                </c:pt>
                <c:pt idx="95">
                  <c:v>-2.5398268705154692</c:v>
                </c:pt>
                <c:pt idx="96">
                  <c:v>-2.6468960285561365</c:v>
                </c:pt>
                <c:pt idx="97">
                  <c:v>-2.7551171958750835</c:v>
                </c:pt>
                <c:pt idx="98">
                  <c:v>-2.8620272006580425</c:v>
                </c:pt>
                <c:pt idx="99">
                  <c:v>-2.9701198075975555</c:v>
                </c:pt>
                <c:pt idx="100">
                  <c:v>-3.0769078762416031</c:v>
                </c:pt>
                <c:pt idx="101">
                  <c:v>-3.1848260663346477</c:v>
                </c:pt>
                <c:pt idx="102">
                  <c:v>-3.2914476046223982</c:v>
                </c:pt>
                <c:pt idx="103">
                  <c:v>-3.3993059553993117</c:v>
                </c:pt>
                <c:pt idx="104">
                  <c:v>-3.5058729684144252</c:v>
                </c:pt>
                <c:pt idx="105">
                  <c:v>-3.6136225509987407</c:v>
                </c:pt>
                <c:pt idx="106">
                  <c:v>-3.7200874423558652</c:v>
                </c:pt>
                <c:pt idx="107">
                  <c:v>-3.8276836071611839</c:v>
                </c:pt>
                <c:pt idx="108">
                  <c:v>-3.9340029387505249</c:v>
                </c:pt>
                <c:pt idx="109">
                  <c:v>-4.0414777821775107</c:v>
                </c:pt>
                <c:pt idx="110">
                  <c:v>-4.1476830408835337</c:v>
                </c:pt>
                <c:pt idx="111">
                  <c:v>-4.2551366392805212</c:v>
                </c:pt>
                <c:pt idx="112">
                  <c:v>-4.3613257115374617</c:v>
                </c:pt>
                <c:pt idx="113">
                  <c:v>-4.4687099859972301</c:v>
                </c:pt>
                <c:pt idx="114">
                  <c:v>-4.5748360825960086</c:v>
                </c:pt>
                <c:pt idx="115">
                  <c:v>-4.6821748533094318</c:v>
                </c:pt>
                <c:pt idx="116">
                  <c:v>-4.7882613997691088</c:v>
                </c:pt>
                <c:pt idx="117">
                  <c:v>-4.8955761211967532</c:v>
                </c:pt>
                <c:pt idx="118">
                  <c:v>-5.0016442387095239</c:v>
                </c:pt>
                <c:pt idx="119">
                  <c:v>-5.1088895417841425</c:v>
                </c:pt>
                <c:pt idx="120">
                  <c:v>-5.2148950693829317</c:v>
                </c:pt>
                <c:pt idx="121">
                  <c:v>-5.32209271127231</c:v>
                </c:pt>
                <c:pt idx="122">
                  <c:v>-5.4280570621673796</c:v>
                </c:pt>
                <c:pt idx="123">
                  <c:v>-5.5352884856901499</c:v>
                </c:pt>
                <c:pt idx="124">
                  <c:v>-5.6412914083796464</c:v>
                </c:pt>
                <c:pt idx="125">
                  <c:v>-5.748509917011063</c:v>
                </c:pt>
                <c:pt idx="126">
                  <c:v>-5.8545059523191796</c:v>
                </c:pt>
                <c:pt idx="127">
                  <c:v>-5.9617277957421857</c:v>
                </c:pt>
                <c:pt idx="128">
                  <c:v>-6.0677329947574865</c:v>
                </c:pt>
                <c:pt idx="129">
                  <c:v>-6.1749728678026923</c:v>
                </c:pt>
                <c:pt idx="130">
                  <c:v>-6.2810017680655168</c:v>
                </c:pt>
                <c:pt idx="131">
                  <c:v>-6.3882729559013374</c:v>
                </c:pt>
                <c:pt idx="132">
                  <c:v>-6.4414546226422855</c:v>
                </c:pt>
                <c:pt idx="133">
                  <c:v>-6.4943387228667371</c:v>
                </c:pt>
                <c:pt idx="134">
                  <c:v>-6.5481755765689886</c:v>
                </c:pt>
                <c:pt idx="135">
                  <c:v>-6.6017083267494128</c:v>
                </c:pt>
                <c:pt idx="136">
                  <c:v>-6.6549407999858161</c:v>
                </c:pt>
                <c:pt idx="137">
                  <c:v>-6.7078767523047986</c:v>
                </c:pt>
                <c:pt idx="138">
                  <c:v>-6.7617116994647937</c:v>
                </c:pt>
                <c:pt idx="139">
                  <c:v>-6.8152442362104217</c:v>
                </c:pt>
                <c:pt idx="140">
                  <c:v>-6.8684781622699695</c:v>
                </c:pt>
                <c:pt idx="141">
                  <c:v>-6.9214172074300295</c:v>
                </c:pt>
                <c:pt idx="142">
                  <c:v>-6.97530998805897</c:v>
                </c:pt>
                <c:pt idx="143">
                  <c:v>-7.0289014296406771</c:v>
                </c:pt>
                <c:pt idx="144">
                  <c:v>-7.0821953167846754</c:v>
                </c:pt>
                <c:pt idx="145">
                  <c:v>-7.1351953644813886</c:v>
                </c:pt>
                <c:pt idx="146">
                  <c:v>-7.1891227870779337</c:v>
                </c:pt>
                <c:pt idx="147">
                  <c:v>-7.2427502518002616</c:v>
                </c:pt>
                <c:pt idx="148">
                  <c:v>-7.2960815223686417</c:v>
                </c:pt>
                <c:pt idx="149">
                  <c:v>-7.3491202933476867</c:v>
                </c:pt>
                <c:pt idx="150">
                  <c:v>-7.4030864544009791</c:v>
                </c:pt>
                <c:pt idx="151">
                  <c:v>-7.4567540431819701</c:v>
                </c:pt>
                <c:pt idx="152">
                  <c:v>-7.5101268024891024</c:v>
                </c:pt>
                <c:pt idx="153">
                  <c:v>-7.5632084064283331</c:v>
                </c:pt>
                <c:pt idx="154">
                  <c:v>-7.6172418247129485</c:v>
                </c:pt>
                <c:pt idx="155">
                  <c:v>-7.6709777939218888</c:v>
                </c:pt>
                <c:pt idx="156">
                  <c:v>-7.7244200408961134</c:v>
                </c:pt>
                <c:pt idx="157">
                  <c:v>-7.7775722241246026</c:v>
                </c:pt>
                <c:pt idx="158">
                  <c:v>-7.8316747050468072</c:v>
                </c:pt>
                <c:pt idx="159">
                  <c:v>-7.8854808953104047</c:v>
                </c:pt>
                <c:pt idx="160">
                  <c:v>-7.938994505177992</c:v>
                </c:pt>
                <c:pt idx="161">
                  <c:v>-7.9922191769137809</c:v>
                </c:pt>
                <c:pt idx="162">
                  <c:v>-8.0463686092481588</c:v>
                </c:pt>
                <c:pt idx="163">
                  <c:v>-8.1002232047698683</c:v>
                </c:pt>
                <c:pt idx="164">
                  <c:v>-8.153786651666513</c:v>
                </c:pt>
                <c:pt idx="165">
                  <c:v>-8.2070625706120062</c:v>
                </c:pt>
                <c:pt idx="166">
                  <c:v>-8.2613083745874203</c:v>
                </c:pt>
                <c:pt idx="167">
                  <c:v>-8.3152603143303594</c:v>
                </c:pt>
                <c:pt idx="168">
                  <c:v>-8.3689220649792002</c:v>
                </c:pt>
                <c:pt idx="169">
                  <c:v>-8.4222972344203928</c:v>
                </c:pt>
                <c:pt idx="170">
                  <c:v>-8.4765256047423438</c:v>
                </c:pt>
                <c:pt idx="171">
                  <c:v>-8.5304623641595914</c:v>
                </c:pt>
                <c:pt idx="172">
                  <c:v>-8.5841111508451835</c:v>
                </c:pt>
                <c:pt idx="173">
                  <c:v>-8.6374755365593092</c:v>
                </c:pt>
                <c:pt idx="174">
                  <c:v>-8.6918936677596275</c:v>
                </c:pt>
                <c:pt idx="175">
                  <c:v>-8.7460202732882184</c:v>
                </c:pt>
                <c:pt idx="176">
                  <c:v>-8.7998589948280408</c:v>
                </c:pt>
                <c:pt idx="177">
                  <c:v>-8.8534134075008595</c:v>
                </c:pt>
                <c:pt idx="178">
                  <c:v>-8.9079935204569836</c:v>
                </c:pt>
                <c:pt idx="179">
                  <c:v>-8.9622825613550585</c:v>
                </c:pt>
                <c:pt idx="180">
                  <c:v>-9.0162841684961617</c:v>
                </c:pt>
                <c:pt idx="181">
                  <c:v>-9.0700019136341474</c:v>
                </c:pt>
                <c:pt idx="182">
                  <c:v>-9.1245052155013795</c:v>
                </c:pt>
                <c:pt idx="183">
                  <c:v>-9.1787204891012539</c:v>
                </c:pt>
                <c:pt idx="184">
                  <c:v>-9.2326513209672409</c:v>
                </c:pt>
                <c:pt idx="185">
                  <c:v>-9.2863012322689027</c:v>
                </c:pt>
                <c:pt idx="186">
                  <c:v>-9.3411349260371974</c:v>
                </c:pt>
                <c:pt idx="187">
                  <c:v>-9.3956793954553071</c:v>
                </c:pt>
                <c:pt idx="188">
                  <c:v>-9.4499382542992283</c:v>
                </c:pt>
                <c:pt idx="189">
                  <c:v>-9.5039150502409395</c:v>
                </c:pt>
                <c:pt idx="190">
                  <c:v>-9.5586353550990211</c:v>
                </c:pt>
                <c:pt idx="191">
                  <c:v>-9.6130699648358302</c:v>
                </c:pt>
                <c:pt idx="192">
                  <c:v>-9.6672224322674989</c:v>
                </c:pt>
                <c:pt idx="193">
                  <c:v>-9.7210962455001866</c:v>
                </c:pt>
                <c:pt idx="194">
                  <c:v>-9.7760963640213951</c:v>
                </c:pt>
                <c:pt idx="195">
                  <c:v>-9.8308102662501646</c:v>
                </c:pt>
                <c:pt idx="196">
                  <c:v>-9.8852415193668435</c:v>
                </c:pt>
                <c:pt idx="197">
                  <c:v>-9.9393936254020581</c:v>
                </c:pt>
                <c:pt idx="198">
                  <c:v>-9.994446738677615</c:v>
                </c:pt>
                <c:pt idx="199">
                  <c:v>-10.049215538362805</c:v>
                </c:pt>
                <c:pt idx="200">
                  <c:v>-10.103703560711788</c:v>
                </c:pt>
                <c:pt idx="201">
                  <c:v>-10.157914277480335</c:v>
                </c:pt>
                <c:pt idx="202">
                  <c:v>-10.213003913759191</c:v>
                </c:pt>
                <c:pt idx="203">
                  <c:v>-10.267811355273665</c:v>
                </c:pt>
                <c:pt idx="204">
                  <c:v>-10.322340103171195</c:v>
                </c:pt>
                <c:pt idx="205">
                  <c:v>-10.376593594845659</c:v>
                </c:pt>
                <c:pt idx="206">
                  <c:v>-10.431893053194234</c:v>
                </c:pt>
                <c:pt idx="207">
                  <c:v>-10.48691072143939</c:v>
                </c:pt>
                <c:pt idx="208">
                  <c:v>-10.541650097206013</c:v>
                </c:pt>
                <c:pt idx="209">
                  <c:v>-10.596114614337349</c:v>
                </c:pt>
                <c:pt idx="210">
                  <c:v>-10.651783541594991</c:v>
                </c:pt>
                <c:pt idx="211">
                  <c:v>-10.707169542427186</c:v>
                </c:pt>
                <c:pt idx="212">
                  <c:v>-10.762276139300543</c:v>
                </c:pt>
                <c:pt idx="213">
                  <c:v>-10.817106790173332</c:v>
                </c:pt>
                <c:pt idx="214">
                  <c:v>-10.872749679217533</c:v>
                </c:pt>
                <c:pt idx="215">
                  <c:v>-10.928112579120926</c:v>
                </c:pt>
                <c:pt idx="216">
                  <c:v>-10.983198961149705</c:v>
                </c:pt>
                <c:pt idx="217">
                  <c:v>-11.038012233174177</c:v>
                </c:pt>
                <c:pt idx="218">
                  <c:v>-11.093796284554418</c:v>
                </c:pt>
                <c:pt idx="219">
                  <c:v>-11.149301644195157</c:v>
                </c:pt>
                <c:pt idx="220">
                  <c:v>-11.204531762262281</c:v>
                </c:pt>
                <c:pt idx="221">
                  <c:v>-11.25949002589816</c:v>
                </c:pt>
                <c:pt idx="222">
                  <c:v>-11.315395923934432</c:v>
                </c:pt>
                <c:pt idx="223">
                  <c:v>-11.371024674960593</c:v>
                </c:pt>
                <c:pt idx="224">
                  <c:v>-11.426379703040521</c:v>
                </c:pt>
                <c:pt idx="225">
                  <c:v>-11.481464369699619</c:v>
                </c:pt>
                <c:pt idx="226">
                  <c:v>-11.53764476352098</c:v>
                </c:pt>
                <c:pt idx="227">
                  <c:v>-11.593548107243947</c:v>
                </c:pt>
                <c:pt idx="228">
                  <c:v>-11.649177825088605</c:v>
                </c:pt>
                <c:pt idx="229">
                  <c:v>-11.704537278574351</c:v>
                </c:pt>
                <c:pt idx="230">
                  <c:v>-11.817118309480881</c:v>
                </c:pt>
                <c:pt idx="231">
                  <c:v>-11.872997307719945</c:v>
                </c:pt>
                <c:pt idx="232">
                  <c:v>-11.928606455375911</c:v>
                </c:pt>
                <c:pt idx="233">
                  <c:v>-11.98525960455482</c:v>
                </c:pt>
                <c:pt idx="234">
                  <c:v>-12.041636859985365</c:v>
                </c:pt>
                <c:pt idx="235">
                  <c:v>-12.097741626617491</c:v>
                </c:pt>
                <c:pt idx="236">
                  <c:v>-12.153577246821856</c:v>
                </c:pt>
                <c:pt idx="237">
                  <c:v>-12.210271774793583</c:v>
                </c:pt>
                <c:pt idx="238">
                  <c:v>-12.266692960295302</c:v>
                </c:pt>
                <c:pt idx="239">
                  <c:v>-12.322844161292588</c:v>
                </c:pt>
                <c:pt idx="240">
                  <c:v>-12.378728674130478</c:v>
                </c:pt>
                <c:pt idx="241">
                  <c:v>-12.435768438526907</c:v>
                </c:pt>
                <c:pt idx="242">
                  <c:v>-12.492534533102154</c:v>
                </c:pt>
                <c:pt idx="243">
                  <c:v>-12.54903032103655</c:v>
                </c:pt>
                <c:pt idx="244">
                  <c:v>-12.605259103564821</c:v>
                </c:pt>
                <c:pt idx="245">
                  <c:v>-12.66246138047264</c:v>
                </c:pt>
                <c:pt idx="246">
                  <c:v>-12.719391469813557</c:v>
                </c:pt>
                <c:pt idx="247">
                  <c:v>-12.776052705900847</c:v>
                </c:pt>
                <c:pt idx="248">
                  <c:v>-12.832448361601298</c:v>
                </c:pt>
                <c:pt idx="249">
                  <c:v>-12.889947503439931</c:v>
                </c:pt>
                <c:pt idx="250">
                  <c:v>-12.947174713017999</c:v>
                </c:pt>
                <c:pt idx="251">
                  <c:v>-13.004133317359525</c:v>
                </c:pt>
                <c:pt idx="252">
                  <c:v>-13.060826582003685</c:v>
                </c:pt>
                <c:pt idx="253">
                  <c:v>-13.118449212494468</c:v>
                </c:pt>
                <c:pt idx="254">
                  <c:v>-13.175801845831314</c:v>
                </c:pt>
                <c:pt idx="255">
                  <c:v>-13.232887770082824</c:v>
                </c:pt>
                <c:pt idx="256">
                  <c:v>-13.289710212563932</c:v>
                </c:pt>
                <c:pt idx="257">
                  <c:v>-13.347734250127907</c:v>
                </c:pt>
                <c:pt idx="258">
                  <c:v>-13.405487668475807</c:v>
                </c:pt>
                <c:pt idx="259">
                  <c:v>-13.46297376226895</c:v>
                </c:pt>
                <c:pt idx="260">
                  <c:v>-13.520195765018169</c:v>
                </c:pt>
                <c:pt idx="261">
                  <c:v>-13.578448412823139</c:v>
                </c:pt>
                <c:pt idx="262">
                  <c:v>-13.63643148060746</c:v>
                </c:pt>
                <c:pt idx="263">
                  <c:v>-13.694148238206932</c:v>
                </c:pt>
                <c:pt idx="264">
                  <c:v>-13.75160189467606</c:v>
                </c:pt>
                <c:pt idx="265">
                  <c:v>-13.810063642191349</c:v>
                </c:pt>
                <c:pt idx="266">
                  <c:v>-13.868257058112881</c:v>
                </c:pt>
                <c:pt idx="267">
                  <c:v>-13.926185382498561</c:v>
                </c:pt>
                <c:pt idx="268">
                  <c:v>-13.983851795111104</c:v>
                </c:pt>
                <c:pt idx="269">
                  <c:v>-14.042642899065489</c:v>
                </c:pt>
                <c:pt idx="270">
                  <c:v>-14.101165848998383</c:v>
                </c:pt>
                <c:pt idx="271">
                  <c:v>-14.159423873248295</c:v>
                </c:pt>
                <c:pt idx="272">
                  <c:v>-14.21742013989256</c:v>
                </c:pt>
                <c:pt idx="273">
                  <c:v>-14.276516397379851</c:v>
                </c:pt>
                <c:pt idx="274">
                  <c:v>-14.335344934145864</c:v>
                </c:pt>
                <c:pt idx="275">
                  <c:v>-14.393908960787307</c:v>
                </c:pt>
                <c:pt idx="276">
                  <c:v>-14.452211627817979</c:v>
                </c:pt>
                <c:pt idx="277">
                  <c:v>-14.511457001101487</c:v>
                </c:pt>
                <c:pt idx="278">
                  <c:v>-14.570436510487173</c:v>
                </c:pt>
                <c:pt idx="279">
                  <c:v>-14.629153321985584</c:v>
                </c:pt>
                <c:pt idx="280">
                  <c:v>-14.687610542368159</c:v>
                </c:pt>
                <c:pt idx="281">
                  <c:v>-14.747384222167248</c:v>
                </c:pt>
                <c:pt idx="282">
                  <c:v>-14.80689051430889</c:v>
                </c:pt>
                <c:pt idx="283">
                  <c:v>-14.866132598946077</c:v>
                </c:pt>
                <c:pt idx="284">
                  <c:v>-14.925113596371142</c:v>
                </c:pt>
                <c:pt idx="285">
                  <c:v>-14.9849955398572</c:v>
                </c:pt>
                <c:pt idx="286">
                  <c:v>-15.044612335325052</c:v>
                </c:pt>
                <c:pt idx="287">
                  <c:v>-15.103967108644172</c:v>
                </c:pt>
                <c:pt idx="288">
                  <c:v>-15.163062926910605</c:v>
                </c:pt>
                <c:pt idx="289">
                  <c:v>-15.223421152045557</c:v>
                </c:pt>
                <c:pt idx="290">
                  <c:v>-15.283513209940022</c:v>
                </c:pt>
                <c:pt idx="291">
                  <c:v>-15.343342228141619</c:v>
                </c:pt>
                <c:pt idx="292">
                  <c:v>-15.402911275113544</c:v>
                </c:pt>
                <c:pt idx="293">
                  <c:v>-15.463591005077689</c:v>
                </c:pt>
                <c:pt idx="294">
                  <c:v>-15.524004924237691</c:v>
                </c:pt>
                <c:pt idx="295">
                  <c:v>-15.584156135814013</c:v>
                </c:pt>
                <c:pt idx="296">
                  <c:v>-15.644047684286104</c:v>
                </c:pt>
                <c:pt idx="297">
                  <c:v>-15.705026604354991</c:v>
                </c:pt>
                <c:pt idx="298">
                  <c:v>-15.765740255740042</c:v>
                </c:pt>
                <c:pt idx="299">
                  <c:v>-15.826191712397996</c:v>
                </c:pt>
                <c:pt idx="300">
                  <c:v>-15.886383990018722</c:v>
                </c:pt>
                <c:pt idx="301">
                  <c:v>-15.947641066190014</c:v>
                </c:pt>
                <c:pt idx="302">
                  <c:v>-16.008633577305847</c:v>
                </c:pt>
                <c:pt idx="303">
                  <c:v>-16.069364563612091</c:v>
                </c:pt>
                <c:pt idx="304">
                  <c:v>-16.129837007682987</c:v>
                </c:pt>
                <c:pt idx="305">
                  <c:v>-16.191588468048813</c:v>
                </c:pt>
                <c:pt idx="306">
                  <c:v>-16.25307418477216</c:v>
                </c:pt>
                <c:pt idx="307">
                  <c:v>-16.314297194867745</c:v>
                </c:pt>
                <c:pt idx="308">
                  <c:v>-16.375260477514971</c:v>
                </c:pt>
                <c:pt idx="309">
                  <c:v>-16.437243468806649</c:v>
                </c:pt>
                <c:pt idx="310">
                  <c:v>-16.498961770172645</c:v>
                </c:pt>
                <c:pt idx="311">
                  <c:v>-16.560418375419829</c:v>
                </c:pt>
                <c:pt idx="312">
                  <c:v>-16.621616221380176</c:v>
                </c:pt>
                <c:pt idx="313">
                  <c:v>-16.684041406122944</c:v>
                </c:pt>
                <c:pt idx="314">
                  <c:v>-16.74620111674562</c:v>
                </c:pt>
                <c:pt idx="315">
                  <c:v>-16.808098333214399</c:v>
                </c:pt>
                <c:pt idx="316">
                  <c:v>-16.869735978654305</c:v>
                </c:pt>
                <c:pt idx="317">
                  <c:v>-16.932575266223992</c:v>
                </c:pt>
                <c:pt idx="318">
                  <c:v>-16.995148499393242</c:v>
                </c:pt>
                <c:pt idx="319">
                  <c:v>-17.057458638862208</c:v>
                </c:pt>
                <c:pt idx="320">
                  <c:v>-17.119508588779691</c:v>
                </c:pt>
                <c:pt idx="321">
                  <c:v>-17.182735196167936</c:v>
                </c:pt>
                <c:pt idx="322">
                  <c:v>-17.24569534835134</c:v>
                </c:pt>
                <c:pt idx="323">
                  <c:v>-17.308391981883013</c:v>
                </c:pt>
                <c:pt idx="324">
                  <c:v>-17.370827977200694</c:v>
                </c:pt>
                <c:pt idx="325">
                  <c:v>-17.434416326079496</c:v>
                </c:pt>
                <c:pt idx="326">
                  <c:v>-17.497737975343757</c:v>
                </c:pt>
                <c:pt idx="327">
                  <c:v>-17.560795833063352</c:v>
                </c:pt>
                <c:pt idx="328">
                  <c:v>-17.623592751764637</c:v>
                </c:pt>
                <c:pt idx="329">
                  <c:v>-17.687625044335476</c:v>
                </c:pt>
                <c:pt idx="330">
                  <c:v>-17.751389639452352</c:v>
                </c:pt>
                <c:pt idx="331">
                  <c:v>-17.814889427217373</c:v>
                </c:pt>
                <c:pt idx="332">
                  <c:v>-17.878127242522879</c:v>
                </c:pt>
                <c:pt idx="333">
                  <c:v>-17.942469828144748</c:v>
                </c:pt>
                <c:pt idx="334">
                  <c:v>-18.006544759193513</c:v>
                </c:pt>
                <c:pt idx="335">
                  <c:v>-18.070354889387691</c:v>
                </c:pt>
                <c:pt idx="336">
                  <c:v>-18.133903018069141</c:v>
                </c:pt>
                <c:pt idx="337">
                  <c:v>-18.198739857357005</c:v>
                </c:pt>
                <c:pt idx="338">
                  <c:v>-18.263307473882683</c:v>
                </c:pt>
                <c:pt idx="339">
                  <c:v>-18.327608709110287</c:v>
                </c:pt>
                <c:pt idx="340">
                  <c:v>-18.391646350384367</c:v>
                </c:pt>
                <c:pt idx="341">
                  <c:v>-18.456945719917591</c:v>
                </c:pt>
                <c:pt idx="342">
                  <c:v>-18.521974478967142</c:v>
                </c:pt>
                <c:pt idx="343">
                  <c:v>-18.586735452140196</c:v>
                </c:pt>
                <c:pt idx="344">
                  <c:v>-18.651231410337367</c:v>
                </c:pt>
                <c:pt idx="345">
                  <c:v>-18.716862903991501</c:v>
                </c:pt>
                <c:pt idx="346">
                  <c:v>-18.782223381853903</c:v>
                </c:pt>
                <c:pt idx="347">
                  <c:v>-18.847315634994871</c:v>
                </c:pt>
                <c:pt idx="348">
                  <c:v>-18.912142401654027</c:v>
                </c:pt>
                <c:pt idx="349">
                  <c:v>-18.978277838765361</c:v>
                </c:pt>
                <c:pt idx="350">
                  <c:v>-19.04414033366956</c:v>
                </c:pt>
                <c:pt idx="351">
                  <c:v>-19.109732666095947</c:v>
                </c:pt>
                <c:pt idx="352">
                  <c:v>-19.175057563305231</c:v>
                </c:pt>
                <c:pt idx="353">
                  <c:v>-19.241663547089235</c:v>
                </c:pt>
                <c:pt idx="354">
                  <c:v>-19.30799483168531</c:v>
                </c:pt>
                <c:pt idx="355">
                  <c:v>-19.374054181534973</c:v>
                </c:pt>
                <c:pt idx="356">
                  <c:v>-19.439844309121664</c:v>
                </c:pt>
                <c:pt idx="357">
                  <c:v>-19.506793492977931</c:v>
                </c:pt>
                <c:pt idx="358">
                  <c:v>-19.573467152858044</c:v>
                </c:pt>
                <c:pt idx="359">
                  <c:v>-19.639868022980348</c:v>
                </c:pt>
                <c:pt idx="360">
                  <c:v>-19.705998786538267</c:v>
                </c:pt>
                <c:pt idx="361">
                  <c:v>-19.773451497627303</c:v>
                </c:pt>
                <c:pt idx="362">
                  <c:v>-19.840626419446949</c:v>
                </c:pt>
                <c:pt idx="363">
                  <c:v>-19.907526276635192</c:v>
                </c:pt>
                <c:pt idx="364">
                  <c:v>-19.974153743278308</c:v>
                </c:pt>
                <c:pt idx="365">
                  <c:v>-20.041983015608306</c:v>
                </c:pt>
                <c:pt idx="366">
                  <c:v>-20.109533151198416</c:v>
                </c:pt>
                <c:pt idx="367">
                  <c:v>-20.176806850994424</c:v>
                </c:pt>
                <c:pt idx="368">
                  <c:v>-20.243806766266111</c:v>
                </c:pt>
                <c:pt idx="369">
                  <c:v>-20.312164077144587</c:v>
                </c:pt>
                <c:pt idx="370">
                  <c:v>-20.380239526946788</c:v>
                </c:pt>
                <c:pt idx="371">
                  <c:v>-20.448035812411945</c:v>
                </c:pt>
                <c:pt idx="372">
                  <c:v>-20.515555581059346</c:v>
                </c:pt>
                <c:pt idx="373">
                  <c:v>-20.584314448002239</c:v>
                </c:pt>
                <c:pt idx="374">
                  <c:v>-20.652789635527448</c:v>
                </c:pt>
                <c:pt idx="375">
                  <c:v>-20.720983822891927</c:v>
                </c:pt>
                <c:pt idx="376">
                  <c:v>-20.788899640969284</c:v>
                </c:pt>
                <c:pt idx="377">
                  <c:v>-20.858203088350322</c:v>
                </c:pt>
                <c:pt idx="378">
                  <c:v>-20.927219719543459</c:v>
                </c:pt>
                <c:pt idx="379">
                  <c:v>-20.995952214879786</c:v>
                </c:pt>
                <c:pt idx="380">
                  <c:v>-21.064403206757913</c:v>
                </c:pt>
                <c:pt idx="381">
                  <c:v>-21.134039228208991</c:v>
                </c:pt>
                <c:pt idx="382">
                  <c:v>-21.203386905865742</c:v>
                </c:pt>
                <c:pt idx="383">
                  <c:v>-21.27244889887659</c:v>
                </c:pt>
                <c:pt idx="384">
                  <c:v>-21.341227819494499</c:v>
                </c:pt>
                <c:pt idx="385">
                  <c:v>-21.411420300283346</c:v>
                </c:pt>
                <c:pt idx="386">
                  <c:v>-21.481320912913638</c:v>
                </c:pt>
                <c:pt idx="387">
                  <c:v>-21.550932323415289</c:v>
                </c:pt>
                <c:pt idx="388">
                  <c:v>-21.620257151358857</c:v>
                </c:pt>
                <c:pt idx="389">
                  <c:v>-21.690880839475884</c:v>
                </c:pt>
                <c:pt idx="390">
                  <c:v>-21.761210027537178</c:v>
                </c:pt>
                <c:pt idx="391">
                  <c:v>-21.831247376805834</c:v>
                </c:pt>
                <c:pt idx="392">
                  <c:v>-21.900995502851526</c:v>
                </c:pt>
                <c:pt idx="393">
                  <c:v>-21.972013714667256</c:v>
                </c:pt>
                <c:pt idx="394">
                  <c:v>-22.042734955388653</c:v>
                </c:pt>
                <c:pt idx="395">
                  <c:v>-22.11316188036928</c:v>
                </c:pt>
                <c:pt idx="396">
                  <c:v>-22.183297100112938</c:v>
                </c:pt>
                <c:pt idx="397">
                  <c:v>-22.254835292953366</c:v>
                </c:pt>
                <c:pt idx="398">
                  <c:v>-22.326072849840074</c:v>
                </c:pt>
                <c:pt idx="399">
                  <c:v>-22.397012437358029</c:v>
                </c:pt>
                <c:pt idx="400">
                  <c:v>-22.467656677754224</c:v>
                </c:pt>
                <c:pt idx="401">
                  <c:v>-22.539592860311473</c:v>
                </c:pt>
                <c:pt idx="402">
                  <c:v>-22.611225620228762</c:v>
                </c:pt>
                <c:pt idx="403">
                  <c:v>-22.682557625041696</c:v>
                </c:pt>
                <c:pt idx="404">
                  <c:v>-22.753591498737407</c:v>
                </c:pt>
                <c:pt idx="405">
                  <c:v>-22.825965968689637</c:v>
                </c:pt>
                <c:pt idx="406">
                  <c:v>-22.898033749746084</c:v>
                </c:pt>
                <c:pt idx="407">
                  <c:v>-22.969797518416073</c:v>
                </c:pt>
                <c:pt idx="408">
                  <c:v>-23.041259908318843</c:v>
                </c:pt>
                <c:pt idx="409">
                  <c:v>-23.114108790772608</c:v>
                </c:pt>
                <c:pt idx="410">
                  <c:v>-23.186647272607903</c:v>
                </c:pt>
                <c:pt idx="411">
                  <c:v>-23.258878046983039</c:v>
                </c:pt>
                <c:pt idx="412">
                  <c:v>-23.330803764703603</c:v>
                </c:pt>
                <c:pt idx="413">
                  <c:v>-23.404083860918764</c:v>
                </c:pt>
                <c:pt idx="414">
                  <c:v>-23.477050076256173</c:v>
                </c:pt>
                <c:pt idx="415">
                  <c:v>-23.549705119598819</c:v>
                </c:pt>
                <c:pt idx="416">
                  <c:v>-23.622051658071573</c:v>
                </c:pt>
                <c:pt idx="417">
                  <c:v>-23.695795052290531</c:v>
                </c:pt>
                <c:pt idx="418">
                  <c:v>-23.769220680206114</c:v>
                </c:pt>
                <c:pt idx="419">
                  <c:v>-23.842331273972807</c:v>
                </c:pt>
                <c:pt idx="420">
                  <c:v>-23.915129524459168</c:v>
                </c:pt>
                <c:pt idx="421">
                  <c:v>-23.989218973775909</c:v>
                </c:pt>
                <c:pt idx="422">
                  <c:v>-24.062987658123298</c:v>
                </c:pt>
                <c:pt idx="423">
                  <c:v>-24.136438324074504</c:v>
                </c:pt>
                <c:pt idx="424">
                  <c:v>-24.209573677589155</c:v>
                </c:pt>
                <c:pt idx="425">
                  <c:v>-24.284184363628313</c:v>
                </c:pt>
                <c:pt idx="426">
                  <c:v>-24.358469654106241</c:v>
                </c:pt>
                <c:pt idx="427">
                  <c:v>-24.432432333673674</c:v>
                </c:pt>
                <c:pt idx="428">
                  <c:v>-24.506075146594153</c:v>
                </c:pt>
                <c:pt idx="429">
                  <c:v>-24.581087583631529</c:v>
                </c:pt>
                <c:pt idx="430">
                  <c:v>-24.655770920752964</c:v>
                </c:pt>
                <c:pt idx="431">
                  <c:v>-24.73012797170999</c:v>
                </c:pt>
                <c:pt idx="432">
                  <c:v>-24.804161510282675</c:v>
                </c:pt>
                <c:pt idx="433">
                  <c:v>-24.87953172908318</c:v>
                </c:pt>
                <c:pt idx="434">
                  <c:v>-24.954569432445112</c:v>
                </c:pt>
                <c:pt idx="435">
                  <c:v>-25.029277462611532</c:v>
                </c:pt>
                <c:pt idx="436">
                  <c:v>-25.10365862228301</c:v>
                </c:pt>
                <c:pt idx="437">
                  <c:v>-25.179479857372229</c:v>
                </c:pt>
                <c:pt idx="438">
                  <c:v>-25.254964251010598</c:v>
                </c:pt>
                <c:pt idx="439">
                  <c:v>-25.33011468881508</c:v>
                </c:pt>
                <c:pt idx="440">
                  <c:v>-25.404934017011431</c:v>
                </c:pt>
                <c:pt idx="441">
                  <c:v>-25.481158159229643</c:v>
                </c:pt>
                <c:pt idx="442">
                  <c:v>-25.557041478136707</c:v>
                </c:pt>
                <c:pt idx="443">
                  <c:v>-25.632586901678636</c:v>
                </c:pt>
                <c:pt idx="444">
                  <c:v>-25.707797318573768</c:v>
                </c:pt>
                <c:pt idx="445">
                  <c:v>-25.784377983833707</c:v>
                </c:pt>
                <c:pt idx="446">
                  <c:v>-25.860614191785029</c:v>
                </c:pt>
                <c:pt idx="447">
                  <c:v>-25.93650891169532</c:v>
                </c:pt>
                <c:pt idx="448">
                  <c:v>-26.012065073768422</c:v>
                </c:pt>
                <c:pt idx="449">
                  <c:v>-26.089086246577811</c:v>
                </c:pt>
                <c:pt idx="450">
                  <c:v>-26.165758517549719</c:v>
                </c:pt>
                <c:pt idx="451">
                  <c:v>-26.242084911320745</c:v>
                </c:pt>
                <c:pt idx="452">
                  <c:v>-26.318068413359278</c:v>
                </c:pt>
                <c:pt idx="453">
                  <c:v>-26.395417167725927</c:v>
                </c:pt>
                <c:pt idx="454">
                  <c:v>-26.472413553344701</c:v>
                </c:pt>
                <c:pt idx="455">
                  <c:v>-26.549060641193172</c:v>
                </c:pt>
                <c:pt idx="456">
                  <c:v>-26.625361463101726</c:v>
                </c:pt>
                <c:pt idx="457">
                  <c:v>-26.703117460277998</c:v>
                </c:pt>
                <c:pt idx="458">
                  <c:v>-26.780516869860143</c:v>
                </c:pt>
                <c:pt idx="459">
                  <c:v>-26.857562822681018</c:v>
                </c:pt>
                <c:pt idx="460">
                  <c:v>-26.934258410180391</c:v>
                </c:pt>
                <c:pt idx="461">
                  <c:v>-27.012372454595962</c:v>
                </c:pt>
                <c:pt idx="462">
                  <c:v>-27.090126126624909</c:v>
                </c:pt>
                <c:pt idx="463">
                  <c:v>-27.167522615031285</c:v>
                </c:pt>
                <c:pt idx="464">
                  <c:v>-27.244565068929788</c:v>
                </c:pt>
                <c:pt idx="465">
                  <c:v>-27.323049872480055</c:v>
                </c:pt>
                <c:pt idx="466">
                  <c:v>-27.401170402203398</c:v>
                </c:pt>
                <c:pt idx="467">
                  <c:v>-27.478929910121757</c:v>
                </c:pt>
                <c:pt idx="468">
                  <c:v>-27.556331608213664</c:v>
                </c:pt>
                <c:pt idx="469">
                  <c:v>-27.635138976832412</c:v>
                </c:pt>
                <c:pt idx="470">
                  <c:v>-27.713578633414006</c:v>
                </c:pt>
                <c:pt idx="471">
                  <c:v>-27.791653890804593</c:v>
                </c:pt>
                <c:pt idx="472">
                  <c:v>-27.869368021396657</c:v>
                </c:pt>
                <c:pt idx="473">
                  <c:v>-27.948567222034018</c:v>
                </c:pt>
                <c:pt idx="474">
                  <c:v>-28.027394658539166</c:v>
                </c:pt>
                <c:pt idx="475">
                  <c:v>-28.105853716640542</c:v>
                </c:pt>
                <c:pt idx="476">
                  <c:v>-28.183947740945694</c:v>
                </c:pt>
                <c:pt idx="477">
                  <c:v>-28.263488743392227</c:v>
                </c:pt>
                <c:pt idx="478">
                  <c:v>-28.342654443677013</c:v>
                </c:pt>
                <c:pt idx="479">
                  <c:v>-28.421448297196044</c:v>
                </c:pt>
                <c:pt idx="480">
                  <c:v>-28.499873717543196</c:v>
                </c:pt>
                <c:pt idx="481">
                  <c:v>-28.579709001986764</c:v>
                </c:pt>
                <c:pt idx="482">
                  <c:v>-28.659165959945668</c:v>
                </c:pt>
                <c:pt idx="483">
                  <c:v>-28.738248113006865</c:v>
                </c:pt>
                <c:pt idx="484">
                  <c:v>-28.816958940258253</c:v>
                </c:pt>
                <c:pt idx="485">
                  <c:v>-28.897097941788338</c:v>
                </c:pt>
                <c:pt idx="486">
                  <c:v>-28.976855587304648</c:v>
                </c:pt>
                <c:pt idx="487">
                  <c:v>-29.056235468122438</c:v>
                </c:pt>
                <c:pt idx="488">
                  <c:v>-29.135241132228273</c:v>
                </c:pt>
                <c:pt idx="489">
                  <c:v>-29.215745127455289</c:v>
                </c:pt>
                <c:pt idx="490">
                  <c:v>-29.295864252380881</c:v>
                </c:pt>
                <c:pt idx="491">
                  <c:v>-29.375602178377918</c:v>
                </c:pt>
                <c:pt idx="492">
                  <c:v>-29.454962532415344</c:v>
                </c:pt>
                <c:pt idx="493">
                  <c:v>-29.53578258701619</c:v>
                </c:pt>
                <c:pt idx="494">
                  <c:v>-29.616214836715542</c:v>
                </c:pt>
                <c:pt idx="495">
                  <c:v>-29.696263028091355</c:v>
                </c:pt>
                <c:pt idx="496">
                  <c:v>-29.775930862237008</c:v>
                </c:pt>
                <c:pt idx="497">
                  <c:v>-29.85707227919541</c:v>
                </c:pt>
                <c:pt idx="498">
                  <c:v>-29.937823036845458</c:v>
                </c:pt>
                <c:pt idx="499">
                  <c:v>-30.018186959020245</c:v>
                </c:pt>
                <c:pt idx="500">
                  <c:v>-30.098167822867957</c:v>
                </c:pt>
                <c:pt idx="501">
                  <c:v>-30.179634833682549</c:v>
                </c:pt>
                <c:pt idx="502">
                  <c:v>-30.260708436904661</c:v>
                </c:pt>
                <c:pt idx="503">
                  <c:v>-30.341392535146909</c:v>
                </c:pt>
                <c:pt idx="504">
                  <c:v>-30.42169098302201</c:v>
                </c:pt>
                <c:pt idx="505">
                  <c:v>-30.503437449123517</c:v>
                </c:pt>
                <c:pt idx="506">
                  <c:v>-30.584788367388359</c:v>
                </c:pt>
                <c:pt idx="507">
                  <c:v>-30.665747713001853</c:v>
                </c:pt>
                <c:pt idx="508">
                  <c:v>-30.74631941184451</c:v>
                </c:pt>
                <c:pt idx="509">
                  <c:v>-30.82835072029253</c:v>
                </c:pt>
                <c:pt idx="510">
                  <c:v>-30.9099844678395</c:v>
                </c:pt>
                <c:pt idx="511">
                  <c:v>-30.991224702854304</c:v>
                </c:pt>
                <c:pt idx="512">
                  <c:v>-31.072075422993301</c:v>
                </c:pt>
                <c:pt idx="513">
                  <c:v>-31.154443816021541</c:v>
                </c:pt>
                <c:pt idx="514">
                  <c:v>-31.236412322662083</c:v>
                </c:pt>
                <c:pt idx="515">
                  <c:v>-31.317985071647648</c:v>
                </c:pt>
                <c:pt idx="516">
                  <c:v>-31.399166139375211</c:v>
                </c:pt>
                <c:pt idx="517">
                  <c:v>-31.48182629000242</c:v>
                </c:pt>
                <c:pt idx="518">
                  <c:v>-31.56408487469205</c:v>
                </c:pt>
                <c:pt idx="519">
                  <c:v>-31.645946094755498</c:v>
                </c:pt>
                <c:pt idx="520">
                  <c:v>-31.727414097578976</c:v>
                </c:pt>
                <c:pt idx="521">
                  <c:v>-31.810369677679478</c:v>
                </c:pt>
                <c:pt idx="522">
                  <c:v>-31.892922196609319</c:v>
                </c:pt>
                <c:pt idx="523">
                  <c:v>-31.975075927189756</c:v>
                </c:pt>
                <c:pt idx="524">
                  <c:v>-32.056835086648761</c:v>
                </c:pt>
                <c:pt idx="525">
                  <c:v>-32.140089433826525</c:v>
                </c:pt>
                <c:pt idx="526">
                  <c:v>-32.222939423916991</c:v>
                </c:pt>
                <c:pt idx="527">
                  <c:v>-32.305389399618804</c:v>
                </c:pt>
                <c:pt idx="528">
                  <c:v>-32.387443646299928</c:v>
                </c:pt>
                <c:pt idx="529">
                  <c:v>-32.470999877903338</c:v>
                </c:pt>
                <c:pt idx="530">
                  <c:v>-32.554150668610966</c:v>
                </c:pt>
                <c:pt idx="531">
                  <c:v>-32.636900428805411</c:v>
                </c:pt>
                <c:pt idx="532">
                  <c:v>-32.719253509741982</c:v>
                </c:pt>
                <c:pt idx="533">
                  <c:v>-32.803157817084582</c:v>
                </c:pt>
                <c:pt idx="534">
                  <c:v>-32.886655405015972</c:v>
                </c:pt>
                <c:pt idx="535">
                  <c:v>-32.969750755742055</c:v>
                </c:pt>
                <c:pt idx="536">
                  <c:v>-33.05244829037121</c:v>
                </c:pt>
                <c:pt idx="537">
                  <c:v>-33.136616452624324</c:v>
                </c:pt>
                <c:pt idx="538">
                  <c:v>-33.220377691466275</c:v>
                </c:pt>
                <c:pt idx="539">
                  <c:v>-33.30373654373134</c:v>
                </c:pt>
                <c:pt idx="540">
                  <c:v>-33.386697483401115</c:v>
                </c:pt>
                <c:pt idx="541">
                  <c:v>-33.471218138479777</c:v>
                </c:pt>
                <c:pt idx="542">
                  <c:v>-33.555331076345908</c:v>
                </c:pt>
                <c:pt idx="543">
                  <c:v>-33.639040898406499</c:v>
                </c:pt>
                <c:pt idx="544">
                  <c:v>-33.722352141181794</c:v>
                </c:pt>
                <c:pt idx="545">
                  <c:v>-33.807185344878562</c:v>
                </c:pt>
                <c:pt idx="546">
                  <c:v>-33.891610694481301</c:v>
                </c:pt>
                <c:pt idx="547">
                  <c:v>-33.975632844678657</c:v>
                </c:pt>
                <c:pt idx="548">
                  <c:v>-34.059256383354224</c:v>
                </c:pt>
                <c:pt idx="549">
                  <c:v>-34.14440558734772</c:v>
                </c:pt>
                <c:pt idx="550">
                  <c:v>-34.229147040172663</c:v>
                </c:pt>
                <c:pt idx="551">
                  <c:v>-34.313485444972564</c:v>
                </c:pt>
                <c:pt idx="552">
                  <c:v>-34.39742543616849</c:v>
                </c:pt>
                <c:pt idx="553">
                  <c:v>-34.482933589586722</c:v>
                </c:pt>
                <c:pt idx="554">
                  <c:v>-34.568033959681564</c:v>
                </c:pt>
                <c:pt idx="555">
                  <c:v>-34.652731299273455</c:v>
                </c:pt>
                <c:pt idx="556">
                  <c:v>-34.737030290428606</c:v>
                </c:pt>
                <c:pt idx="557">
                  <c:v>-34.90836054244879</c:v>
                </c:pt>
                <c:pt idx="558">
                  <c:v>-35.078079684008962</c:v>
                </c:pt>
                <c:pt idx="559">
                  <c:v>-35.250061185007084</c:v>
                </c:pt>
                <c:pt idx="560">
                  <c:v>-35.420435036420251</c:v>
                </c:pt>
                <c:pt idx="561">
                  <c:v>-35.593225219944159</c:v>
                </c:pt>
                <c:pt idx="562">
                  <c:v>-35.764409329388876</c:v>
                </c:pt>
                <c:pt idx="563">
                  <c:v>-35.93764828409963</c:v>
                </c:pt>
                <c:pt idx="564">
                  <c:v>-36.109290366046885</c:v>
                </c:pt>
                <c:pt idx="565">
                  <c:v>-36.28364154285277</c:v>
                </c:pt>
                <c:pt idx="566">
                  <c:v>-36.456393838605294</c:v>
                </c:pt>
                <c:pt idx="567">
                  <c:v>-36.63177586926659</c:v>
                </c:pt>
                <c:pt idx="568">
                  <c:v>-36.8055595163001</c:v>
                </c:pt>
                <c:pt idx="569">
                  <c:v>-36.981212155211175</c:v>
                </c:pt>
                <c:pt idx="570">
                  <c:v>-37.15528148703229</c:v>
                </c:pt>
                <c:pt idx="571">
                  <c:v>-37.332520254935858</c:v>
                </c:pt>
                <c:pt idx="572">
                  <c:v>-37.50816797873091</c:v>
                </c:pt>
                <c:pt idx="573">
                  <c:v>-37.685570907968781</c:v>
                </c:pt>
                <c:pt idx="574">
                  <c:v>-37.861401149263173</c:v>
                </c:pt>
                <c:pt idx="575">
                  <c:v>-38.040246078633068</c:v>
                </c:pt>
                <c:pt idx="576">
                  <c:v>-38.217514687987808</c:v>
                </c:pt>
                <c:pt idx="577">
                  <c:v>-38.951389690696075</c:v>
                </c:pt>
                <c:pt idx="578">
                  <c:v>-39.660320574360462</c:v>
                </c:pt>
                <c:pt idx="579">
                  <c:v>-41.137330354865668</c:v>
                </c:pt>
                <c:pt idx="580">
                  <c:v>-42.655253079088268</c:v>
                </c:pt>
                <c:pt idx="581">
                  <c:v>-44.215652137873889</c:v>
                </c:pt>
                <c:pt idx="582">
                  <c:v>-45.822248035038335</c:v>
                </c:pt>
                <c:pt idx="583">
                  <c:v>-47.475210792382597</c:v>
                </c:pt>
                <c:pt idx="584">
                  <c:v>-49.175550616783454</c:v>
                </c:pt>
                <c:pt idx="585">
                  <c:v>-50.920388422375794</c:v>
                </c:pt>
                <c:pt idx="586">
                  <c:v>-52.70643713896655</c:v>
                </c:pt>
                <c:pt idx="587">
                  <c:v>-54.529745090143948</c:v>
                </c:pt>
                <c:pt idx="588">
                  <c:v>-56.382544527376368</c:v>
                </c:pt>
                <c:pt idx="589">
                  <c:v>-58.259555599175492</c:v>
                </c:pt>
                <c:pt idx="590">
                  <c:v>-60.152958998989931</c:v>
                </c:pt>
                <c:pt idx="591">
                  <c:v>-62.055805634603843</c:v>
                </c:pt>
                <c:pt idx="592">
                  <c:v>-63.961052149990621</c:v>
                </c:pt>
                <c:pt idx="593">
                  <c:v>-65.863073741696951</c:v>
                </c:pt>
                <c:pt idx="594">
                  <c:v>-67.755979431964931</c:v>
                </c:pt>
                <c:pt idx="595">
                  <c:v>-69.635701379807003</c:v>
                </c:pt>
                <c:pt idx="596">
                  <c:v>-71.498415744395047</c:v>
                </c:pt>
                <c:pt idx="597">
                  <c:v>-73.342088307005852</c:v>
                </c:pt>
                <c:pt idx="598">
                  <c:v>-75.164788914997857</c:v>
                </c:pt>
                <c:pt idx="599">
                  <c:v>-76.966366059169985</c:v>
                </c:pt>
                <c:pt idx="600">
                  <c:v>-78.746651529893285</c:v>
                </c:pt>
              </c:numCache>
            </c:numRef>
          </c:yVal>
          <c:smooth val="1"/>
          <c:extLst>
            <c:ext xmlns:c16="http://schemas.microsoft.com/office/drawing/2014/chart" uri="{C3380CC4-5D6E-409C-BE32-E72D297353CC}">
              <c16:uniqueId val="{00000010-AABE-4BC9-B8D6-5F1DC6B660E9}"/>
            </c:ext>
          </c:extLst>
        </c:ser>
        <c:ser>
          <c:idx val="2"/>
          <c:order val="2"/>
          <c:tx>
            <c:strRef>
              <c:f>'Stability Calculations'!$W$12</c:f>
              <c:strCache>
                <c:ptCount val="1"/>
                <c:pt idx="0">
                  <c:v>Loop Gain (dB)</c:v>
                </c:pt>
              </c:strCache>
            </c:strRef>
          </c:tx>
          <c:spPr>
            <a:ln w="25400">
              <a:solidFill>
                <a:srgbClr val="FF0000"/>
              </a:solidFill>
              <a:prstDash val="solid"/>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Calculations'!$W$13:$W$613</c:f>
              <c:numCache>
                <c:formatCode>0.00</c:formatCode>
                <c:ptCount val="601"/>
                <c:pt idx="0">
                  <c:v>75.408353385020291</c:v>
                </c:pt>
                <c:pt idx="1">
                  <c:v>74.663127197490724</c:v>
                </c:pt>
                <c:pt idx="2">
                  <c:v>73.90927446663585</c:v>
                </c:pt>
                <c:pt idx="3">
                  <c:v>73.148075145872326</c:v>
                </c:pt>
                <c:pt idx="4">
                  <c:v>72.381141197723423</c:v>
                </c:pt>
                <c:pt idx="5">
                  <c:v>71.608147184015223</c:v>
                </c:pt>
                <c:pt idx="6">
                  <c:v>70.831002358725087</c:v>
                </c:pt>
                <c:pt idx="7">
                  <c:v>70.049891265087652</c:v>
                </c:pt>
                <c:pt idx="8">
                  <c:v>69.265974451746402</c:v>
                </c:pt>
                <c:pt idx="9">
                  <c:v>68.479158480056697</c:v>
                </c:pt>
                <c:pt idx="10">
                  <c:v>67.690316782900084</c:v>
                </c:pt>
                <c:pt idx="11">
                  <c:v>66.899692755498407</c:v>
                </c:pt>
                <c:pt idx="12">
                  <c:v>66.107165322196863</c:v>
                </c:pt>
                <c:pt idx="13">
                  <c:v>65.313746022156266</c:v>
                </c:pt>
                <c:pt idx="14">
                  <c:v>64.519011457552423</c:v>
                </c:pt>
                <c:pt idx="15">
                  <c:v>63.7234422763349</c:v>
                </c:pt>
                <c:pt idx="16">
                  <c:v>62.927120933137537</c:v>
                </c:pt>
                <c:pt idx="17">
                  <c:v>62.130282961021486</c:v>
                </c:pt>
                <c:pt idx="18">
                  <c:v>61.332798619088187</c:v>
                </c:pt>
                <c:pt idx="19">
                  <c:v>60.534966524905052</c:v>
                </c:pt>
                <c:pt idx="20">
                  <c:v>59.736697407295615</c:v>
                </c:pt>
                <c:pt idx="21">
                  <c:v>58.93821166563481</c:v>
                </c:pt>
                <c:pt idx="22">
                  <c:v>58.139386147173376</c:v>
                </c:pt>
                <c:pt idx="23">
                  <c:v>57.340457491142089</c:v>
                </c:pt>
                <c:pt idx="24">
                  <c:v>56.541254360801545</c:v>
                </c:pt>
                <c:pt idx="25">
                  <c:v>55.741926621724033</c:v>
                </c:pt>
                <c:pt idx="26">
                  <c:v>54.942309367832024</c:v>
                </c:pt>
                <c:pt idx="27">
                  <c:v>54.142674490072494</c:v>
                </c:pt>
                <c:pt idx="28">
                  <c:v>53.343004921251207</c:v>
                </c:pt>
                <c:pt idx="29">
                  <c:v>52.543808719079038</c:v>
                </c:pt>
                <c:pt idx="30">
                  <c:v>51.743743365585289</c:v>
                </c:pt>
                <c:pt idx="31">
                  <c:v>50.943933755281172</c:v>
                </c:pt>
                <c:pt idx="32">
                  <c:v>50.14384266039287</c:v>
                </c:pt>
                <c:pt idx="33">
                  <c:v>49.34404399573944</c:v>
                </c:pt>
                <c:pt idx="34">
                  <c:v>48.543923388314852</c:v>
                </c:pt>
                <c:pt idx="35">
                  <c:v>47.743932185613119</c:v>
                </c:pt>
                <c:pt idx="36">
                  <c:v>46.943947561605967</c:v>
                </c:pt>
                <c:pt idx="37">
                  <c:v>46.143536743838432</c:v>
                </c:pt>
                <c:pt idx="38">
                  <c:v>45.343458234805965</c:v>
                </c:pt>
                <c:pt idx="39">
                  <c:v>44.543061598393095</c:v>
                </c:pt>
                <c:pt idx="40">
                  <c:v>43.742641049086444</c:v>
                </c:pt>
                <c:pt idx="41">
                  <c:v>42.942116073695395</c:v>
                </c:pt>
                <c:pt idx="42">
                  <c:v>42.141581518568017</c:v>
                </c:pt>
                <c:pt idx="43">
                  <c:v>41.340782138647938</c:v>
                </c:pt>
                <c:pt idx="44">
                  <c:v>40.539905719084082</c:v>
                </c:pt>
                <c:pt idx="45">
                  <c:v>39.738759632013476</c:v>
                </c:pt>
                <c:pt idx="46">
                  <c:v>38.937467776495915</c:v>
                </c:pt>
                <c:pt idx="47">
                  <c:v>38.135811754448568</c:v>
                </c:pt>
                <c:pt idx="48">
                  <c:v>37.333933626816552</c:v>
                </c:pt>
                <c:pt idx="49">
                  <c:v>36.531562260344863</c:v>
                </c:pt>
                <c:pt idx="50">
                  <c:v>35.728741988362216</c:v>
                </c:pt>
                <c:pt idx="51">
                  <c:v>34.925190662273216</c:v>
                </c:pt>
                <c:pt idx="52">
                  <c:v>34.121051099238549</c:v>
                </c:pt>
                <c:pt idx="53">
                  <c:v>33.316158098159093</c:v>
                </c:pt>
                <c:pt idx="54">
                  <c:v>32.510853682961027</c:v>
                </c:pt>
                <c:pt idx="55">
                  <c:v>31.70358725693459</c:v>
                </c:pt>
                <c:pt idx="56">
                  <c:v>30.895263141526293</c:v>
                </c:pt>
                <c:pt idx="57">
                  <c:v>30.085070595023666</c:v>
                </c:pt>
                <c:pt idx="58">
                  <c:v>29.273278820501908</c:v>
                </c:pt>
                <c:pt idx="59">
                  <c:v>28.458900900539085</c:v>
                </c:pt>
                <c:pt idx="60">
                  <c:v>27.641974353075756</c:v>
                </c:pt>
                <c:pt idx="61">
                  <c:v>26.821888945597866</c:v>
                </c:pt>
                <c:pt idx="62">
                  <c:v>25.997642269722334</c:v>
                </c:pt>
                <c:pt idx="63">
                  <c:v>25.169384095872232</c:v>
                </c:pt>
                <c:pt idx="64">
                  <c:v>24.335733958310477</c:v>
                </c:pt>
                <c:pt idx="65">
                  <c:v>23.496213909296845</c:v>
                </c:pt>
                <c:pt idx="66">
                  <c:v>22.649891319786882</c:v>
                </c:pt>
                <c:pt idx="67">
                  <c:v>21.795969234920921</c:v>
                </c:pt>
                <c:pt idx="68">
                  <c:v>20.933252857651503</c:v>
                </c:pt>
                <c:pt idx="69">
                  <c:v>20.061036766913926</c:v>
                </c:pt>
                <c:pt idx="70">
                  <c:v>19.178271624223232</c:v>
                </c:pt>
                <c:pt idx="71">
                  <c:v>18.284388252420392</c:v>
                </c:pt>
                <c:pt idx="72">
                  <c:v>17.37864901747151</c:v>
                </c:pt>
                <c:pt idx="73">
                  <c:v>16.461018644031725</c:v>
                </c:pt>
                <c:pt idx="74">
                  <c:v>15.531373731664267</c:v>
                </c:pt>
                <c:pt idx="75">
                  <c:v>14.590407601341081</c:v>
                </c:pt>
                <c:pt idx="76">
                  <c:v>13.638937804700667</c:v>
                </c:pt>
                <c:pt idx="77">
                  <c:v>12.678804540472932</c:v>
                </c:pt>
                <c:pt idx="78">
                  <c:v>11.71197510593888</c:v>
                </c:pt>
                <c:pt idx="79">
                  <c:v>10.741436325092696</c:v>
                </c:pt>
                <c:pt idx="80">
                  <c:v>9.7681776124910247</c:v>
                </c:pt>
                <c:pt idx="81">
                  <c:v>8.7962809447471919</c:v>
                </c:pt>
                <c:pt idx="82">
                  <c:v>7.8277309114680547</c:v>
                </c:pt>
                <c:pt idx="83">
                  <c:v>6.865615024731766</c:v>
                </c:pt>
                <c:pt idx="84">
                  <c:v>5.9112109024926411</c:v>
                </c:pt>
                <c:pt idx="85">
                  <c:v>4.9666063810476277</c:v>
                </c:pt>
                <c:pt idx="86">
                  <c:v>4.0326873865558932</c:v>
                </c:pt>
                <c:pt idx="87">
                  <c:v>3.1094803782610434</c:v>
                </c:pt>
                <c:pt idx="88">
                  <c:v>2.1979144823862478</c:v>
                </c:pt>
                <c:pt idx="89">
                  <c:v>1.2968949510550576</c:v>
                </c:pt>
                <c:pt idx="90">
                  <c:v>0.40607870808280921</c:v>
                </c:pt>
                <c:pt idx="91">
                  <c:v>-0.47555149901688587</c:v>
                </c:pt>
                <c:pt idx="92">
                  <c:v>-1.3489957881416881</c:v>
                </c:pt>
                <c:pt idx="93">
                  <c:v>-2.2157521016275843</c:v>
                </c:pt>
                <c:pt idx="94">
                  <c:v>-2.4314391801913855</c:v>
                </c:pt>
                <c:pt idx="95">
                  <c:v>-2.5398268705154692</c:v>
                </c:pt>
                <c:pt idx="96">
                  <c:v>-2.6468960285561365</c:v>
                </c:pt>
                <c:pt idx="97">
                  <c:v>-2.7551171958750835</c:v>
                </c:pt>
                <c:pt idx="98">
                  <c:v>-2.8620272006580425</c:v>
                </c:pt>
                <c:pt idx="99">
                  <c:v>-2.9701198075975555</c:v>
                </c:pt>
                <c:pt idx="100">
                  <c:v>-3.0769078762416031</c:v>
                </c:pt>
                <c:pt idx="101">
                  <c:v>-3.1848260663346477</c:v>
                </c:pt>
                <c:pt idx="102">
                  <c:v>-3.2914476046223982</c:v>
                </c:pt>
                <c:pt idx="103">
                  <c:v>-3.3993059553993117</c:v>
                </c:pt>
                <c:pt idx="104">
                  <c:v>-3.5058729684144252</c:v>
                </c:pt>
                <c:pt idx="105">
                  <c:v>-3.6136225509987407</c:v>
                </c:pt>
                <c:pt idx="106">
                  <c:v>-3.7200874423558652</c:v>
                </c:pt>
                <c:pt idx="107">
                  <c:v>-3.8276836071611839</c:v>
                </c:pt>
                <c:pt idx="108">
                  <c:v>-3.9340029387505249</c:v>
                </c:pt>
                <c:pt idx="109">
                  <c:v>-4.0414777821775107</c:v>
                </c:pt>
                <c:pt idx="110">
                  <c:v>-4.1476830408835337</c:v>
                </c:pt>
                <c:pt idx="111">
                  <c:v>-4.2551366392805212</c:v>
                </c:pt>
                <c:pt idx="112">
                  <c:v>-4.3613257115374617</c:v>
                </c:pt>
                <c:pt idx="113">
                  <c:v>-4.4687099859972301</c:v>
                </c:pt>
                <c:pt idx="114">
                  <c:v>-4.5748360825960086</c:v>
                </c:pt>
                <c:pt idx="115">
                  <c:v>-4.6821748533094318</c:v>
                </c:pt>
                <c:pt idx="116">
                  <c:v>-4.7882613997691088</c:v>
                </c:pt>
                <c:pt idx="117">
                  <c:v>-4.8955761211967532</c:v>
                </c:pt>
                <c:pt idx="118">
                  <c:v>-5.0016442387095239</c:v>
                </c:pt>
                <c:pt idx="119">
                  <c:v>-5.1088895417841425</c:v>
                </c:pt>
                <c:pt idx="120">
                  <c:v>-5.2148950693829317</c:v>
                </c:pt>
                <c:pt idx="121">
                  <c:v>-5.32209271127231</c:v>
                </c:pt>
                <c:pt idx="122">
                  <c:v>-5.4280570621673796</c:v>
                </c:pt>
                <c:pt idx="123">
                  <c:v>-5.5352884856901499</c:v>
                </c:pt>
                <c:pt idx="124">
                  <c:v>-5.6412914083796464</c:v>
                </c:pt>
                <c:pt idx="125">
                  <c:v>-5.748509917011063</c:v>
                </c:pt>
                <c:pt idx="126">
                  <c:v>-5.8545059523191796</c:v>
                </c:pt>
                <c:pt idx="127">
                  <c:v>-5.9617277957421857</c:v>
                </c:pt>
                <c:pt idx="128">
                  <c:v>-6.0677329947574865</c:v>
                </c:pt>
                <c:pt idx="129">
                  <c:v>-6.1749728678026923</c:v>
                </c:pt>
                <c:pt idx="130">
                  <c:v>-6.2810017680655168</c:v>
                </c:pt>
                <c:pt idx="131">
                  <c:v>-6.3882729559013374</c:v>
                </c:pt>
                <c:pt idx="132">
                  <c:v>-6.4414546226422855</c:v>
                </c:pt>
                <c:pt idx="133">
                  <c:v>-6.4943387228667371</c:v>
                </c:pt>
                <c:pt idx="134">
                  <c:v>-6.5481755765689886</c:v>
                </c:pt>
                <c:pt idx="135">
                  <c:v>-6.6017083267494128</c:v>
                </c:pt>
                <c:pt idx="136">
                  <c:v>-6.6549407999858161</c:v>
                </c:pt>
                <c:pt idx="137">
                  <c:v>-6.7078767523047986</c:v>
                </c:pt>
                <c:pt idx="138">
                  <c:v>-6.7617116994647937</c:v>
                </c:pt>
                <c:pt idx="139">
                  <c:v>-6.8152442362104217</c:v>
                </c:pt>
                <c:pt idx="140">
                  <c:v>-6.8684781622699695</c:v>
                </c:pt>
                <c:pt idx="141">
                  <c:v>-6.9214172074300295</c:v>
                </c:pt>
                <c:pt idx="142">
                  <c:v>-6.97530998805897</c:v>
                </c:pt>
                <c:pt idx="143">
                  <c:v>-7.0289014296406771</c:v>
                </c:pt>
                <c:pt idx="144">
                  <c:v>-7.0821953167846754</c:v>
                </c:pt>
                <c:pt idx="145">
                  <c:v>-7.1351953644813886</c:v>
                </c:pt>
                <c:pt idx="146">
                  <c:v>-7.1891227870779337</c:v>
                </c:pt>
                <c:pt idx="147">
                  <c:v>-7.2427502518002616</c:v>
                </c:pt>
                <c:pt idx="148">
                  <c:v>-7.2960815223686417</c:v>
                </c:pt>
                <c:pt idx="149">
                  <c:v>-7.3491202933476867</c:v>
                </c:pt>
                <c:pt idx="150">
                  <c:v>-7.4030864544009791</c:v>
                </c:pt>
                <c:pt idx="151">
                  <c:v>-7.4567540431819701</c:v>
                </c:pt>
                <c:pt idx="152">
                  <c:v>-7.5101268024891024</c:v>
                </c:pt>
                <c:pt idx="153">
                  <c:v>-7.5632084064283331</c:v>
                </c:pt>
                <c:pt idx="154">
                  <c:v>-7.6172418247129485</c:v>
                </c:pt>
                <c:pt idx="155">
                  <c:v>-7.6709777939218888</c:v>
                </c:pt>
                <c:pt idx="156">
                  <c:v>-7.7244200408961134</c:v>
                </c:pt>
                <c:pt idx="157">
                  <c:v>-7.7775722241246026</c:v>
                </c:pt>
                <c:pt idx="158">
                  <c:v>-7.8316747050468072</c:v>
                </c:pt>
                <c:pt idx="159">
                  <c:v>-7.8854808953104047</c:v>
                </c:pt>
                <c:pt idx="160">
                  <c:v>-7.938994505177992</c:v>
                </c:pt>
                <c:pt idx="161">
                  <c:v>-7.9922191769137809</c:v>
                </c:pt>
                <c:pt idx="162">
                  <c:v>-8.0463686092481588</c:v>
                </c:pt>
                <c:pt idx="163">
                  <c:v>-8.1002232047698683</c:v>
                </c:pt>
                <c:pt idx="164">
                  <c:v>-8.153786651666513</c:v>
                </c:pt>
                <c:pt idx="165">
                  <c:v>-8.2070625706120062</c:v>
                </c:pt>
                <c:pt idx="166">
                  <c:v>-8.2613083745874203</c:v>
                </c:pt>
                <c:pt idx="167">
                  <c:v>-8.3152603143303594</c:v>
                </c:pt>
                <c:pt idx="168">
                  <c:v>-8.3689220649792002</c:v>
                </c:pt>
                <c:pt idx="169">
                  <c:v>-8.4222972344203928</c:v>
                </c:pt>
                <c:pt idx="170">
                  <c:v>-8.4765256047423438</c:v>
                </c:pt>
                <c:pt idx="171">
                  <c:v>-8.5304623641595914</c:v>
                </c:pt>
                <c:pt idx="172">
                  <c:v>-8.5841111508451835</c:v>
                </c:pt>
                <c:pt idx="173">
                  <c:v>-8.6374755365593092</c:v>
                </c:pt>
                <c:pt idx="174">
                  <c:v>-8.6918936677596275</c:v>
                </c:pt>
                <c:pt idx="175">
                  <c:v>-8.7460202732882184</c:v>
                </c:pt>
                <c:pt idx="176">
                  <c:v>-8.7998589948280408</c:v>
                </c:pt>
                <c:pt idx="177">
                  <c:v>-8.8534134075008595</c:v>
                </c:pt>
                <c:pt idx="178">
                  <c:v>-8.9079935204569836</c:v>
                </c:pt>
                <c:pt idx="179">
                  <c:v>-8.9622825613550585</c:v>
                </c:pt>
                <c:pt idx="180">
                  <c:v>-9.0162841684961617</c:v>
                </c:pt>
                <c:pt idx="181">
                  <c:v>-9.0700019136341474</c:v>
                </c:pt>
                <c:pt idx="182">
                  <c:v>-9.1245052155013795</c:v>
                </c:pt>
                <c:pt idx="183">
                  <c:v>-9.1787204891012539</c:v>
                </c:pt>
                <c:pt idx="184">
                  <c:v>-9.2326513209672409</c:v>
                </c:pt>
                <c:pt idx="185">
                  <c:v>-9.2863012322689027</c:v>
                </c:pt>
                <c:pt idx="186">
                  <c:v>-9.3411349260371974</c:v>
                </c:pt>
                <c:pt idx="187">
                  <c:v>-9.3956793954553071</c:v>
                </c:pt>
                <c:pt idx="188">
                  <c:v>-9.4499382542992283</c:v>
                </c:pt>
                <c:pt idx="189">
                  <c:v>-9.5039150502409395</c:v>
                </c:pt>
                <c:pt idx="190">
                  <c:v>-9.5586353550990211</c:v>
                </c:pt>
                <c:pt idx="191">
                  <c:v>-9.6130699648358302</c:v>
                </c:pt>
                <c:pt idx="192">
                  <c:v>-9.6672224322674989</c:v>
                </c:pt>
                <c:pt idx="193">
                  <c:v>-9.7210962455001866</c:v>
                </c:pt>
                <c:pt idx="194">
                  <c:v>-9.7760963640213951</c:v>
                </c:pt>
                <c:pt idx="195">
                  <c:v>-9.8308102662501646</c:v>
                </c:pt>
                <c:pt idx="196">
                  <c:v>-9.8852415193668435</c:v>
                </c:pt>
                <c:pt idx="197">
                  <c:v>-9.9393936254020581</c:v>
                </c:pt>
                <c:pt idx="198">
                  <c:v>-9.994446738677615</c:v>
                </c:pt>
                <c:pt idx="199">
                  <c:v>-10.049215538362805</c:v>
                </c:pt>
                <c:pt idx="200">
                  <c:v>-10.103703560711788</c:v>
                </c:pt>
                <c:pt idx="201">
                  <c:v>-10.157914277480335</c:v>
                </c:pt>
                <c:pt idx="202">
                  <c:v>-10.213003913759191</c:v>
                </c:pt>
                <c:pt idx="203">
                  <c:v>-10.267811355273665</c:v>
                </c:pt>
                <c:pt idx="204">
                  <c:v>-10.322340103171195</c:v>
                </c:pt>
                <c:pt idx="205">
                  <c:v>-10.376593594845659</c:v>
                </c:pt>
                <c:pt idx="206">
                  <c:v>-10.431893053194234</c:v>
                </c:pt>
                <c:pt idx="207">
                  <c:v>-10.48691072143939</c:v>
                </c:pt>
                <c:pt idx="208">
                  <c:v>-10.541650097206013</c:v>
                </c:pt>
                <c:pt idx="209">
                  <c:v>-10.596114614337349</c:v>
                </c:pt>
                <c:pt idx="210">
                  <c:v>-10.651783541594991</c:v>
                </c:pt>
                <c:pt idx="211">
                  <c:v>-10.707169542427186</c:v>
                </c:pt>
                <c:pt idx="212">
                  <c:v>-10.762276139300543</c:v>
                </c:pt>
                <c:pt idx="213">
                  <c:v>-10.817106790173332</c:v>
                </c:pt>
                <c:pt idx="214">
                  <c:v>-10.872749679217533</c:v>
                </c:pt>
                <c:pt idx="215">
                  <c:v>-10.928112579120926</c:v>
                </c:pt>
                <c:pt idx="216">
                  <c:v>-10.983198961149705</c:v>
                </c:pt>
                <c:pt idx="217">
                  <c:v>-11.038012233174177</c:v>
                </c:pt>
                <c:pt idx="218">
                  <c:v>-11.093796284554418</c:v>
                </c:pt>
                <c:pt idx="219">
                  <c:v>-11.149301644195157</c:v>
                </c:pt>
                <c:pt idx="220">
                  <c:v>-11.204531762262281</c:v>
                </c:pt>
                <c:pt idx="221">
                  <c:v>-11.25949002589816</c:v>
                </c:pt>
                <c:pt idx="222">
                  <c:v>-11.315395923934432</c:v>
                </c:pt>
                <c:pt idx="223">
                  <c:v>-11.371024674960593</c:v>
                </c:pt>
                <c:pt idx="224">
                  <c:v>-11.426379703040521</c:v>
                </c:pt>
                <c:pt idx="225">
                  <c:v>-11.481464369699619</c:v>
                </c:pt>
                <c:pt idx="226">
                  <c:v>-11.53764476352098</c:v>
                </c:pt>
                <c:pt idx="227">
                  <c:v>-11.593548107243947</c:v>
                </c:pt>
                <c:pt idx="228">
                  <c:v>-11.649177825088605</c:v>
                </c:pt>
                <c:pt idx="229">
                  <c:v>-11.704537278574351</c:v>
                </c:pt>
                <c:pt idx="230">
                  <c:v>-11.817118309480881</c:v>
                </c:pt>
                <c:pt idx="231">
                  <c:v>-11.872997307719945</c:v>
                </c:pt>
                <c:pt idx="232">
                  <c:v>-11.928606455375911</c:v>
                </c:pt>
                <c:pt idx="233">
                  <c:v>-11.98525960455482</c:v>
                </c:pt>
                <c:pt idx="234">
                  <c:v>-12.041636859985365</c:v>
                </c:pt>
                <c:pt idx="235">
                  <c:v>-12.097741626617491</c:v>
                </c:pt>
                <c:pt idx="236">
                  <c:v>-12.153577246821856</c:v>
                </c:pt>
                <c:pt idx="237">
                  <c:v>-12.210271774793583</c:v>
                </c:pt>
                <c:pt idx="238">
                  <c:v>-12.266692960295302</c:v>
                </c:pt>
                <c:pt idx="239">
                  <c:v>-12.322844161292588</c:v>
                </c:pt>
                <c:pt idx="240">
                  <c:v>-12.378728674130478</c:v>
                </c:pt>
                <c:pt idx="241">
                  <c:v>-12.435768438526907</c:v>
                </c:pt>
                <c:pt idx="242">
                  <c:v>-12.492534533102154</c:v>
                </c:pt>
                <c:pt idx="243">
                  <c:v>-12.54903032103655</c:v>
                </c:pt>
                <c:pt idx="244">
                  <c:v>-12.605259103564821</c:v>
                </c:pt>
                <c:pt idx="245">
                  <c:v>-12.66246138047264</c:v>
                </c:pt>
                <c:pt idx="246">
                  <c:v>-12.719391469813557</c:v>
                </c:pt>
                <c:pt idx="247">
                  <c:v>-12.776052705900847</c:v>
                </c:pt>
                <c:pt idx="248">
                  <c:v>-12.832448361601298</c:v>
                </c:pt>
                <c:pt idx="249">
                  <c:v>-12.889947503439931</c:v>
                </c:pt>
                <c:pt idx="250">
                  <c:v>-12.947174713017999</c:v>
                </c:pt>
                <c:pt idx="251">
                  <c:v>-13.004133317359525</c:v>
                </c:pt>
                <c:pt idx="252">
                  <c:v>-13.060826582003685</c:v>
                </c:pt>
                <c:pt idx="253">
                  <c:v>-13.118449212494468</c:v>
                </c:pt>
                <c:pt idx="254">
                  <c:v>-13.175801845831314</c:v>
                </c:pt>
                <c:pt idx="255">
                  <c:v>-13.232887770082824</c:v>
                </c:pt>
                <c:pt idx="256">
                  <c:v>-13.289710212563932</c:v>
                </c:pt>
                <c:pt idx="257">
                  <c:v>-13.347734250127907</c:v>
                </c:pt>
                <c:pt idx="258">
                  <c:v>-13.405487668475807</c:v>
                </c:pt>
                <c:pt idx="259">
                  <c:v>-13.46297376226895</c:v>
                </c:pt>
                <c:pt idx="260">
                  <c:v>-13.520195765018169</c:v>
                </c:pt>
                <c:pt idx="261">
                  <c:v>-13.578448412823139</c:v>
                </c:pt>
                <c:pt idx="262">
                  <c:v>-13.63643148060746</c:v>
                </c:pt>
                <c:pt idx="263">
                  <c:v>-13.694148238206932</c:v>
                </c:pt>
                <c:pt idx="264">
                  <c:v>-13.75160189467606</c:v>
                </c:pt>
                <c:pt idx="265">
                  <c:v>-13.810063642191349</c:v>
                </c:pt>
                <c:pt idx="266">
                  <c:v>-13.868257058112881</c:v>
                </c:pt>
                <c:pt idx="267">
                  <c:v>-13.926185382498561</c:v>
                </c:pt>
                <c:pt idx="268">
                  <c:v>-13.983851795111104</c:v>
                </c:pt>
                <c:pt idx="269">
                  <c:v>-14.042642899065489</c:v>
                </c:pt>
                <c:pt idx="270">
                  <c:v>-14.101165848998383</c:v>
                </c:pt>
                <c:pt idx="271">
                  <c:v>-14.159423873248295</c:v>
                </c:pt>
                <c:pt idx="272">
                  <c:v>-14.21742013989256</c:v>
                </c:pt>
                <c:pt idx="273">
                  <c:v>-14.276516397379851</c:v>
                </c:pt>
                <c:pt idx="274">
                  <c:v>-14.335344934145864</c:v>
                </c:pt>
                <c:pt idx="275">
                  <c:v>-14.393908960787307</c:v>
                </c:pt>
                <c:pt idx="276">
                  <c:v>-14.452211627817979</c:v>
                </c:pt>
                <c:pt idx="277">
                  <c:v>-14.511457001101487</c:v>
                </c:pt>
                <c:pt idx="278">
                  <c:v>-14.570436510487173</c:v>
                </c:pt>
                <c:pt idx="279">
                  <c:v>-14.629153321985584</c:v>
                </c:pt>
                <c:pt idx="280">
                  <c:v>-14.687610542368159</c:v>
                </c:pt>
                <c:pt idx="281">
                  <c:v>-14.747384222167248</c:v>
                </c:pt>
                <c:pt idx="282">
                  <c:v>-14.80689051430889</c:v>
                </c:pt>
                <c:pt idx="283">
                  <c:v>-14.866132598946077</c:v>
                </c:pt>
                <c:pt idx="284">
                  <c:v>-14.925113596371142</c:v>
                </c:pt>
                <c:pt idx="285">
                  <c:v>-14.9849955398572</c:v>
                </c:pt>
                <c:pt idx="286">
                  <c:v>-15.044612335325052</c:v>
                </c:pt>
                <c:pt idx="287">
                  <c:v>-15.103967108644172</c:v>
                </c:pt>
                <c:pt idx="288">
                  <c:v>-15.163062926910605</c:v>
                </c:pt>
                <c:pt idx="289">
                  <c:v>-15.223421152045557</c:v>
                </c:pt>
                <c:pt idx="290">
                  <c:v>-15.283513209940022</c:v>
                </c:pt>
                <c:pt idx="291">
                  <c:v>-15.343342228141619</c:v>
                </c:pt>
                <c:pt idx="292">
                  <c:v>-15.402911275113544</c:v>
                </c:pt>
                <c:pt idx="293">
                  <c:v>-15.463591005077689</c:v>
                </c:pt>
                <c:pt idx="294">
                  <c:v>-15.524004924237691</c:v>
                </c:pt>
                <c:pt idx="295">
                  <c:v>-15.584156135814013</c:v>
                </c:pt>
                <c:pt idx="296">
                  <c:v>-15.644047684286104</c:v>
                </c:pt>
                <c:pt idx="297">
                  <c:v>-15.705026604354991</c:v>
                </c:pt>
                <c:pt idx="298">
                  <c:v>-15.765740255740042</c:v>
                </c:pt>
                <c:pt idx="299">
                  <c:v>-15.826191712397996</c:v>
                </c:pt>
                <c:pt idx="300">
                  <c:v>-15.886383990018722</c:v>
                </c:pt>
                <c:pt idx="301">
                  <c:v>-15.947641066190014</c:v>
                </c:pt>
                <c:pt idx="302">
                  <c:v>-16.008633577305847</c:v>
                </c:pt>
                <c:pt idx="303">
                  <c:v>-16.069364563612091</c:v>
                </c:pt>
                <c:pt idx="304">
                  <c:v>-16.129837007682987</c:v>
                </c:pt>
                <c:pt idx="305">
                  <c:v>-16.191588468048813</c:v>
                </c:pt>
                <c:pt idx="306">
                  <c:v>-16.25307418477216</c:v>
                </c:pt>
                <c:pt idx="307">
                  <c:v>-16.314297194867745</c:v>
                </c:pt>
                <c:pt idx="308">
                  <c:v>-16.375260477514971</c:v>
                </c:pt>
                <c:pt idx="309">
                  <c:v>-16.437243468806649</c:v>
                </c:pt>
                <c:pt idx="310">
                  <c:v>-16.498961770172645</c:v>
                </c:pt>
                <c:pt idx="311">
                  <c:v>-16.560418375419829</c:v>
                </c:pt>
                <c:pt idx="312">
                  <c:v>-16.621616221380176</c:v>
                </c:pt>
                <c:pt idx="313">
                  <c:v>-16.684041406122944</c:v>
                </c:pt>
                <c:pt idx="314">
                  <c:v>-16.74620111674562</c:v>
                </c:pt>
                <c:pt idx="315">
                  <c:v>-16.808098333214399</c:v>
                </c:pt>
                <c:pt idx="316">
                  <c:v>-16.869735978654305</c:v>
                </c:pt>
                <c:pt idx="317">
                  <c:v>-16.932575266223992</c:v>
                </c:pt>
                <c:pt idx="318">
                  <c:v>-16.995148499393242</c:v>
                </c:pt>
                <c:pt idx="319">
                  <c:v>-17.057458638862208</c:v>
                </c:pt>
                <c:pt idx="320">
                  <c:v>-17.119508588779691</c:v>
                </c:pt>
                <c:pt idx="321">
                  <c:v>-17.182735196167936</c:v>
                </c:pt>
                <c:pt idx="322">
                  <c:v>-17.24569534835134</c:v>
                </c:pt>
                <c:pt idx="323">
                  <c:v>-17.308391981883013</c:v>
                </c:pt>
                <c:pt idx="324">
                  <c:v>-17.370827977200694</c:v>
                </c:pt>
                <c:pt idx="325">
                  <c:v>-17.434416326079496</c:v>
                </c:pt>
                <c:pt idx="326">
                  <c:v>-17.497737975343757</c:v>
                </c:pt>
                <c:pt idx="327">
                  <c:v>-17.560795833063352</c:v>
                </c:pt>
                <c:pt idx="328">
                  <c:v>-17.623592751764637</c:v>
                </c:pt>
                <c:pt idx="329">
                  <c:v>-17.687625044335476</c:v>
                </c:pt>
                <c:pt idx="330">
                  <c:v>-17.751389639452352</c:v>
                </c:pt>
                <c:pt idx="331">
                  <c:v>-17.814889427217373</c:v>
                </c:pt>
                <c:pt idx="332">
                  <c:v>-17.878127242522879</c:v>
                </c:pt>
                <c:pt idx="333">
                  <c:v>-17.942469828144748</c:v>
                </c:pt>
                <c:pt idx="334">
                  <c:v>-18.006544759193513</c:v>
                </c:pt>
                <c:pt idx="335">
                  <c:v>-18.070354889387691</c:v>
                </c:pt>
                <c:pt idx="336">
                  <c:v>-18.133903018069141</c:v>
                </c:pt>
                <c:pt idx="337">
                  <c:v>-18.198739857357005</c:v>
                </c:pt>
                <c:pt idx="338">
                  <c:v>-18.263307473882683</c:v>
                </c:pt>
                <c:pt idx="339">
                  <c:v>-18.327608709110287</c:v>
                </c:pt>
                <c:pt idx="340">
                  <c:v>-18.391646350384367</c:v>
                </c:pt>
                <c:pt idx="341">
                  <c:v>-18.456945719917591</c:v>
                </c:pt>
                <c:pt idx="342">
                  <c:v>-18.521974478967142</c:v>
                </c:pt>
                <c:pt idx="343">
                  <c:v>-18.586735452140196</c:v>
                </c:pt>
                <c:pt idx="344">
                  <c:v>-18.651231410337367</c:v>
                </c:pt>
                <c:pt idx="345">
                  <c:v>-18.716862903991501</c:v>
                </c:pt>
                <c:pt idx="346">
                  <c:v>-18.782223381853903</c:v>
                </c:pt>
                <c:pt idx="347">
                  <c:v>-18.847315634994871</c:v>
                </c:pt>
                <c:pt idx="348">
                  <c:v>-18.912142401654027</c:v>
                </c:pt>
                <c:pt idx="349">
                  <c:v>-18.978277838765361</c:v>
                </c:pt>
                <c:pt idx="350">
                  <c:v>-19.04414033366956</c:v>
                </c:pt>
                <c:pt idx="351">
                  <c:v>-19.109732666095947</c:v>
                </c:pt>
                <c:pt idx="352">
                  <c:v>-19.175057563305231</c:v>
                </c:pt>
                <c:pt idx="353">
                  <c:v>-19.241663547089235</c:v>
                </c:pt>
                <c:pt idx="354">
                  <c:v>-19.30799483168531</c:v>
                </c:pt>
                <c:pt idx="355">
                  <c:v>-19.374054181534973</c:v>
                </c:pt>
                <c:pt idx="356">
                  <c:v>-19.439844309121664</c:v>
                </c:pt>
                <c:pt idx="357">
                  <c:v>-19.506793492977931</c:v>
                </c:pt>
                <c:pt idx="358">
                  <c:v>-19.573467152858044</c:v>
                </c:pt>
                <c:pt idx="359">
                  <c:v>-19.639868022980348</c:v>
                </c:pt>
                <c:pt idx="360">
                  <c:v>-19.705998786538267</c:v>
                </c:pt>
                <c:pt idx="361">
                  <c:v>-19.773451497627303</c:v>
                </c:pt>
                <c:pt idx="362">
                  <c:v>-19.840626419446949</c:v>
                </c:pt>
                <c:pt idx="363">
                  <c:v>-19.907526276635192</c:v>
                </c:pt>
                <c:pt idx="364">
                  <c:v>-19.974153743278308</c:v>
                </c:pt>
                <c:pt idx="365">
                  <c:v>-20.041983015608306</c:v>
                </c:pt>
                <c:pt idx="366">
                  <c:v>-20.109533151198416</c:v>
                </c:pt>
                <c:pt idx="367">
                  <c:v>-20.176806850994424</c:v>
                </c:pt>
                <c:pt idx="368">
                  <c:v>-20.243806766266111</c:v>
                </c:pt>
                <c:pt idx="369">
                  <c:v>-20.312164077144587</c:v>
                </c:pt>
                <c:pt idx="370">
                  <c:v>-20.380239526946788</c:v>
                </c:pt>
                <c:pt idx="371">
                  <c:v>-20.448035812411945</c:v>
                </c:pt>
                <c:pt idx="372">
                  <c:v>-20.515555581059346</c:v>
                </c:pt>
                <c:pt idx="373">
                  <c:v>-20.584314448002239</c:v>
                </c:pt>
                <c:pt idx="374">
                  <c:v>-20.652789635527448</c:v>
                </c:pt>
                <c:pt idx="375">
                  <c:v>-20.720983822891927</c:v>
                </c:pt>
                <c:pt idx="376">
                  <c:v>-20.788899640969284</c:v>
                </c:pt>
                <c:pt idx="377">
                  <c:v>-20.858203088350322</c:v>
                </c:pt>
                <c:pt idx="378">
                  <c:v>-20.927219719543459</c:v>
                </c:pt>
                <c:pt idx="379">
                  <c:v>-20.995952214879786</c:v>
                </c:pt>
                <c:pt idx="380">
                  <c:v>-21.064403206757913</c:v>
                </c:pt>
                <c:pt idx="381">
                  <c:v>-21.134039228208991</c:v>
                </c:pt>
                <c:pt idx="382">
                  <c:v>-21.203386905865742</c:v>
                </c:pt>
                <c:pt idx="383">
                  <c:v>-21.27244889887659</c:v>
                </c:pt>
                <c:pt idx="384">
                  <c:v>-21.341227819494499</c:v>
                </c:pt>
                <c:pt idx="385">
                  <c:v>-21.411420300283346</c:v>
                </c:pt>
                <c:pt idx="386">
                  <c:v>-21.481320912913638</c:v>
                </c:pt>
                <c:pt idx="387">
                  <c:v>-21.550932323415289</c:v>
                </c:pt>
                <c:pt idx="388">
                  <c:v>-21.620257151358857</c:v>
                </c:pt>
                <c:pt idx="389">
                  <c:v>-21.690880839475884</c:v>
                </c:pt>
                <c:pt idx="390">
                  <c:v>-21.761210027537178</c:v>
                </c:pt>
                <c:pt idx="391">
                  <c:v>-21.831247376805834</c:v>
                </c:pt>
                <c:pt idx="392">
                  <c:v>-21.900995502851526</c:v>
                </c:pt>
                <c:pt idx="393">
                  <c:v>-21.972013714667256</c:v>
                </c:pt>
                <c:pt idx="394">
                  <c:v>-22.042734955388653</c:v>
                </c:pt>
                <c:pt idx="395">
                  <c:v>-22.11316188036928</c:v>
                </c:pt>
                <c:pt idx="396">
                  <c:v>-22.183297100112938</c:v>
                </c:pt>
                <c:pt idx="397">
                  <c:v>-22.254835292953366</c:v>
                </c:pt>
                <c:pt idx="398">
                  <c:v>-22.326072849840074</c:v>
                </c:pt>
                <c:pt idx="399">
                  <c:v>-22.397012437358029</c:v>
                </c:pt>
                <c:pt idx="400">
                  <c:v>-22.467656677754224</c:v>
                </c:pt>
                <c:pt idx="401">
                  <c:v>-22.539592860311473</c:v>
                </c:pt>
                <c:pt idx="402">
                  <c:v>-22.611225620228762</c:v>
                </c:pt>
                <c:pt idx="403">
                  <c:v>-22.682557625041696</c:v>
                </c:pt>
                <c:pt idx="404">
                  <c:v>-22.753591498737407</c:v>
                </c:pt>
                <c:pt idx="405">
                  <c:v>-22.825965968689637</c:v>
                </c:pt>
                <c:pt idx="406">
                  <c:v>-22.898033749746084</c:v>
                </c:pt>
                <c:pt idx="407">
                  <c:v>-22.969797518416073</c:v>
                </c:pt>
                <c:pt idx="408">
                  <c:v>-23.041259908318843</c:v>
                </c:pt>
                <c:pt idx="409">
                  <c:v>-23.114108790772608</c:v>
                </c:pt>
                <c:pt idx="410">
                  <c:v>-23.186647272607903</c:v>
                </c:pt>
                <c:pt idx="411">
                  <c:v>-23.258878046983039</c:v>
                </c:pt>
                <c:pt idx="412">
                  <c:v>-23.330803764703603</c:v>
                </c:pt>
                <c:pt idx="413">
                  <c:v>-23.404083860918764</c:v>
                </c:pt>
                <c:pt idx="414">
                  <c:v>-23.477050076256173</c:v>
                </c:pt>
                <c:pt idx="415">
                  <c:v>-23.549705119598819</c:v>
                </c:pt>
                <c:pt idx="416">
                  <c:v>-23.622051658071573</c:v>
                </c:pt>
                <c:pt idx="417">
                  <c:v>-23.695795052290531</c:v>
                </c:pt>
                <c:pt idx="418">
                  <c:v>-23.769220680206114</c:v>
                </c:pt>
                <c:pt idx="419">
                  <c:v>-23.842331273972807</c:v>
                </c:pt>
                <c:pt idx="420">
                  <c:v>-23.915129524459168</c:v>
                </c:pt>
                <c:pt idx="421">
                  <c:v>-23.989218973775909</c:v>
                </c:pt>
                <c:pt idx="422">
                  <c:v>-24.062987658123298</c:v>
                </c:pt>
                <c:pt idx="423">
                  <c:v>-24.136438324074504</c:v>
                </c:pt>
                <c:pt idx="424">
                  <c:v>-24.209573677589155</c:v>
                </c:pt>
                <c:pt idx="425">
                  <c:v>-24.284184363628313</c:v>
                </c:pt>
                <c:pt idx="426">
                  <c:v>-24.358469654106241</c:v>
                </c:pt>
                <c:pt idx="427">
                  <c:v>-24.432432333673674</c:v>
                </c:pt>
                <c:pt idx="428">
                  <c:v>-24.506075146594153</c:v>
                </c:pt>
                <c:pt idx="429">
                  <c:v>-24.581087583631529</c:v>
                </c:pt>
                <c:pt idx="430">
                  <c:v>-24.655770920752964</c:v>
                </c:pt>
                <c:pt idx="431">
                  <c:v>-24.73012797170999</c:v>
                </c:pt>
                <c:pt idx="432">
                  <c:v>-24.804161510282675</c:v>
                </c:pt>
                <c:pt idx="433">
                  <c:v>-24.87953172908318</c:v>
                </c:pt>
                <c:pt idx="434">
                  <c:v>-24.954569432445112</c:v>
                </c:pt>
                <c:pt idx="435">
                  <c:v>-25.029277462611532</c:v>
                </c:pt>
                <c:pt idx="436">
                  <c:v>-25.10365862228301</c:v>
                </c:pt>
                <c:pt idx="437">
                  <c:v>-25.179479857372229</c:v>
                </c:pt>
                <c:pt idx="438">
                  <c:v>-25.254964251010598</c:v>
                </c:pt>
                <c:pt idx="439">
                  <c:v>-25.33011468881508</c:v>
                </c:pt>
                <c:pt idx="440">
                  <c:v>-25.404934017011431</c:v>
                </c:pt>
                <c:pt idx="441">
                  <c:v>-25.481158159229643</c:v>
                </c:pt>
                <c:pt idx="442">
                  <c:v>-25.557041478136707</c:v>
                </c:pt>
                <c:pt idx="443">
                  <c:v>-25.632586901678636</c:v>
                </c:pt>
                <c:pt idx="444">
                  <c:v>-25.707797318573768</c:v>
                </c:pt>
                <c:pt idx="445">
                  <c:v>-25.784377983833707</c:v>
                </c:pt>
                <c:pt idx="446">
                  <c:v>-25.860614191785029</c:v>
                </c:pt>
                <c:pt idx="447">
                  <c:v>-25.93650891169532</c:v>
                </c:pt>
                <c:pt idx="448">
                  <c:v>-26.012065073768422</c:v>
                </c:pt>
                <c:pt idx="449">
                  <c:v>-26.089086246577811</c:v>
                </c:pt>
                <c:pt idx="450">
                  <c:v>-26.165758517549719</c:v>
                </c:pt>
                <c:pt idx="451">
                  <c:v>-26.242084911320745</c:v>
                </c:pt>
                <c:pt idx="452">
                  <c:v>-26.318068413359278</c:v>
                </c:pt>
                <c:pt idx="453">
                  <c:v>-26.395417167725927</c:v>
                </c:pt>
                <c:pt idx="454">
                  <c:v>-26.472413553344701</c:v>
                </c:pt>
                <c:pt idx="455">
                  <c:v>-26.549060641193172</c:v>
                </c:pt>
                <c:pt idx="456">
                  <c:v>-26.625361463101726</c:v>
                </c:pt>
                <c:pt idx="457">
                  <c:v>-26.703117460277998</c:v>
                </c:pt>
                <c:pt idx="458">
                  <c:v>-26.780516869860143</c:v>
                </c:pt>
                <c:pt idx="459">
                  <c:v>-26.857562822681018</c:v>
                </c:pt>
                <c:pt idx="460">
                  <c:v>-26.934258410180391</c:v>
                </c:pt>
                <c:pt idx="461">
                  <c:v>-27.012372454595962</c:v>
                </c:pt>
                <c:pt idx="462">
                  <c:v>-27.090126126624909</c:v>
                </c:pt>
                <c:pt idx="463">
                  <c:v>-27.167522615031285</c:v>
                </c:pt>
                <c:pt idx="464">
                  <c:v>-27.244565068929788</c:v>
                </c:pt>
                <c:pt idx="465">
                  <c:v>-27.323049872480055</c:v>
                </c:pt>
                <c:pt idx="466">
                  <c:v>-27.401170402203398</c:v>
                </c:pt>
                <c:pt idx="467">
                  <c:v>-27.478929910121757</c:v>
                </c:pt>
                <c:pt idx="468">
                  <c:v>-27.556331608213664</c:v>
                </c:pt>
                <c:pt idx="469">
                  <c:v>-27.635138976832412</c:v>
                </c:pt>
                <c:pt idx="470">
                  <c:v>-27.713578633414006</c:v>
                </c:pt>
                <c:pt idx="471">
                  <c:v>-27.791653890804593</c:v>
                </c:pt>
                <c:pt idx="472">
                  <c:v>-27.869368021396657</c:v>
                </c:pt>
                <c:pt idx="473">
                  <c:v>-27.948567222034018</c:v>
                </c:pt>
                <c:pt idx="474">
                  <c:v>-28.027394658539166</c:v>
                </c:pt>
                <c:pt idx="475">
                  <c:v>-28.105853716640542</c:v>
                </c:pt>
                <c:pt idx="476">
                  <c:v>-28.183947740945694</c:v>
                </c:pt>
                <c:pt idx="477">
                  <c:v>-28.263488743392227</c:v>
                </c:pt>
                <c:pt idx="478">
                  <c:v>-28.342654443677013</c:v>
                </c:pt>
                <c:pt idx="479">
                  <c:v>-28.421448297196044</c:v>
                </c:pt>
                <c:pt idx="480">
                  <c:v>-28.499873717543196</c:v>
                </c:pt>
                <c:pt idx="481">
                  <c:v>-28.579709001986764</c:v>
                </c:pt>
                <c:pt idx="482">
                  <c:v>-28.659165959945668</c:v>
                </c:pt>
                <c:pt idx="483">
                  <c:v>-28.738248113006865</c:v>
                </c:pt>
                <c:pt idx="484">
                  <c:v>-28.816958940258253</c:v>
                </c:pt>
                <c:pt idx="485">
                  <c:v>-28.897097941788338</c:v>
                </c:pt>
                <c:pt idx="486">
                  <c:v>-28.976855587304648</c:v>
                </c:pt>
                <c:pt idx="487">
                  <c:v>-29.056235468122438</c:v>
                </c:pt>
                <c:pt idx="488">
                  <c:v>-29.135241132228273</c:v>
                </c:pt>
                <c:pt idx="489">
                  <c:v>-29.215745127455289</c:v>
                </c:pt>
                <c:pt idx="490">
                  <c:v>-29.295864252380881</c:v>
                </c:pt>
                <c:pt idx="491">
                  <c:v>-29.375602178377918</c:v>
                </c:pt>
                <c:pt idx="492">
                  <c:v>-29.454962532415344</c:v>
                </c:pt>
                <c:pt idx="493">
                  <c:v>-29.53578258701619</c:v>
                </c:pt>
                <c:pt idx="494">
                  <c:v>-29.616214836715542</c:v>
                </c:pt>
                <c:pt idx="495">
                  <c:v>-29.696263028091355</c:v>
                </c:pt>
                <c:pt idx="496">
                  <c:v>-29.775930862237008</c:v>
                </c:pt>
                <c:pt idx="497">
                  <c:v>-29.85707227919541</c:v>
                </c:pt>
                <c:pt idx="498">
                  <c:v>-29.937823036845458</c:v>
                </c:pt>
                <c:pt idx="499">
                  <c:v>-30.018186959020245</c:v>
                </c:pt>
                <c:pt idx="500">
                  <c:v>-30.098167822867957</c:v>
                </c:pt>
                <c:pt idx="501">
                  <c:v>-30.179634833682549</c:v>
                </c:pt>
                <c:pt idx="502">
                  <c:v>-30.260708436904661</c:v>
                </c:pt>
                <c:pt idx="503">
                  <c:v>-30.341392535146909</c:v>
                </c:pt>
                <c:pt idx="504">
                  <c:v>-30.42169098302201</c:v>
                </c:pt>
                <c:pt idx="505">
                  <c:v>-30.503437449123517</c:v>
                </c:pt>
                <c:pt idx="506">
                  <c:v>-30.584788367388359</c:v>
                </c:pt>
                <c:pt idx="507">
                  <c:v>-30.665747713001853</c:v>
                </c:pt>
                <c:pt idx="508">
                  <c:v>-30.74631941184451</c:v>
                </c:pt>
                <c:pt idx="509">
                  <c:v>-30.82835072029253</c:v>
                </c:pt>
                <c:pt idx="510">
                  <c:v>-30.9099844678395</c:v>
                </c:pt>
                <c:pt idx="511">
                  <c:v>-30.991224702854304</c:v>
                </c:pt>
                <c:pt idx="512">
                  <c:v>-31.072075422993301</c:v>
                </c:pt>
                <c:pt idx="513">
                  <c:v>-31.154443816021541</c:v>
                </c:pt>
                <c:pt idx="514">
                  <c:v>-31.236412322662083</c:v>
                </c:pt>
                <c:pt idx="515">
                  <c:v>-31.317985071647648</c:v>
                </c:pt>
                <c:pt idx="516">
                  <c:v>-31.399166139375211</c:v>
                </c:pt>
                <c:pt idx="517">
                  <c:v>-31.48182629000242</c:v>
                </c:pt>
                <c:pt idx="518">
                  <c:v>-31.56408487469205</c:v>
                </c:pt>
                <c:pt idx="519">
                  <c:v>-31.645946094755498</c:v>
                </c:pt>
                <c:pt idx="520">
                  <c:v>-31.727414097578976</c:v>
                </c:pt>
                <c:pt idx="521">
                  <c:v>-31.810369677679478</c:v>
                </c:pt>
                <c:pt idx="522">
                  <c:v>-31.892922196609319</c:v>
                </c:pt>
                <c:pt idx="523">
                  <c:v>-31.975075927189756</c:v>
                </c:pt>
                <c:pt idx="524">
                  <c:v>-32.056835086648761</c:v>
                </c:pt>
                <c:pt idx="525">
                  <c:v>-32.140089433826525</c:v>
                </c:pt>
                <c:pt idx="526">
                  <c:v>-32.222939423916991</c:v>
                </c:pt>
                <c:pt idx="527">
                  <c:v>-32.305389399618804</c:v>
                </c:pt>
                <c:pt idx="528">
                  <c:v>-32.387443646299928</c:v>
                </c:pt>
                <c:pt idx="529">
                  <c:v>-32.470999877903338</c:v>
                </c:pt>
                <c:pt idx="530">
                  <c:v>-32.554150668610966</c:v>
                </c:pt>
                <c:pt idx="531">
                  <c:v>-32.636900428805411</c:v>
                </c:pt>
                <c:pt idx="532">
                  <c:v>-32.719253509741982</c:v>
                </c:pt>
                <c:pt idx="533">
                  <c:v>-32.803157817084582</c:v>
                </c:pt>
                <c:pt idx="534">
                  <c:v>-32.886655405015972</c:v>
                </c:pt>
                <c:pt idx="535">
                  <c:v>-32.969750755742055</c:v>
                </c:pt>
                <c:pt idx="536">
                  <c:v>-33.05244829037121</c:v>
                </c:pt>
                <c:pt idx="537">
                  <c:v>-33.136616452624324</c:v>
                </c:pt>
                <c:pt idx="538">
                  <c:v>-33.220377691466275</c:v>
                </c:pt>
                <c:pt idx="539">
                  <c:v>-33.30373654373134</c:v>
                </c:pt>
                <c:pt idx="540">
                  <c:v>-33.386697483401115</c:v>
                </c:pt>
                <c:pt idx="541">
                  <c:v>-33.471218138479777</c:v>
                </c:pt>
                <c:pt idx="542">
                  <c:v>-33.555331076345908</c:v>
                </c:pt>
                <c:pt idx="543">
                  <c:v>-33.639040898406499</c:v>
                </c:pt>
                <c:pt idx="544">
                  <c:v>-33.722352141181794</c:v>
                </c:pt>
                <c:pt idx="545">
                  <c:v>-33.807185344878562</c:v>
                </c:pt>
                <c:pt idx="546">
                  <c:v>-33.891610694481301</c:v>
                </c:pt>
                <c:pt idx="547">
                  <c:v>-33.975632844678657</c:v>
                </c:pt>
                <c:pt idx="548">
                  <c:v>-34.059256383354224</c:v>
                </c:pt>
                <c:pt idx="549">
                  <c:v>-34.14440558734772</c:v>
                </c:pt>
                <c:pt idx="550">
                  <c:v>-34.229147040172663</c:v>
                </c:pt>
                <c:pt idx="551">
                  <c:v>-34.313485444972564</c:v>
                </c:pt>
                <c:pt idx="552">
                  <c:v>-34.39742543616849</c:v>
                </c:pt>
                <c:pt idx="553">
                  <c:v>-34.482933589586722</c:v>
                </c:pt>
                <c:pt idx="554">
                  <c:v>-34.568033959681564</c:v>
                </c:pt>
                <c:pt idx="555">
                  <c:v>-34.652731299273455</c:v>
                </c:pt>
                <c:pt idx="556">
                  <c:v>-34.737030290428606</c:v>
                </c:pt>
                <c:pt idx="557">
                  <c:v>-34.90836054244879</c:v>
                </c:pt>
                <c:pt idx="558">
                  <c:v>-35.078079684008962</c:v>
                </c:pt>
                <c:pt idx="559">
                  <c:v>-35.250061185007084</c:v>
                </c:pt>
                <c:pt idx="560">
                  <c:v>-35.420435036420251</c:v>
                </c:pt>
                <c:pt idx="561">
                  <c:v>-35.593225219944159</c:v>
                </c:pt>
                <c:pt idx="562">
                  <c:v>-35.764409329388876</c:v>
                </c:pt>
                <c:pt idx="563">
                  <c:v>-35.93764828409963</c:v>
                </c:pt>
                <c:pt idx="564">
                  <c:v>-36.109290366046885</c:v>
                </c:pt>
                <c:pt idx="565">
                  <c:v>-36.28364154285277</c:v>
                </c:pt>
                <c:pt idx="566">
                  <c:v>-36.456393838605294</c:v>
                </c:pt>
                <c:pt idx="567">
                  <c:v>-36.63177586926659</c:v>
                </c:pt>
                <c:pt idx="568">
                  <c:v>-36.8055595163001</c:v>
                </c:pt>
                <c:pt idx="569">
                  <c:v>-36.981212155211175</c:v>
                </c:pt>
                <c:pt idx="570">
                  <c:v>-37.15528148703229</c:v>
                </c:pt>
                <c:pt idx="571">
                  <c:v>-37.332520254935858</c:v>
                </c:pt>
                <c:pt idx="572">
                  <c:v>-37.50816797873091</c:v>
                </c:pt>
                <c:pt idx="573">
                  <c:v>-37.685570907968781</c:v>
                </c:pt>
                <c:pt idx="574">
                  <c:v>-37.861401149263173</c:v>
                </c:pt>
                <c:pt idx="575">
                  <c:v>-38.040246078633068</c:v>
                </c:pt>
                <c:pt idx="576">
                  <c:v>-38.217514687987808</c:v>
                </c:pt>
                <c:pt idx="577">
                  <c:v>-38.951389690696075</c:v>
                </c:pt>
                <c:pt idx="578">
                  <c:v>-39.660320574360462</c:v>
                </c:pt>
                <c:pt idx="579">
                  <c:v>-41.137330354865668</c:v>
                </c:pt>
                <c:pt idx="580">
                  <c:v>-42.655253079088268</c:v>
                </c:pt>
                <c:pt idx="581">
                  <c:v>-44.215652137873889</c:v>
                </c:pt>
                <c:pt idx="582">
                  <c:v>-45.822248035038335</c:v>
                </c:pt>
                <c:pt idx="583">
                  <c:v>-47.475210792382597</c:v>
                </c:pt>
                <c:pt idx="584">
                  <c:v>-49.175550616783454</c:v>
                </c:pt>
                <c:pt idx="585">
                  <c:v>-50.920388422375794</c:v>
                </c:pt>
                <c:pt idx="586">
                  <c:v>-52.70643713896655</c:v>
                </c:pt>
                <c:pt idx="587">
                  <c:v>-54.529745090143948</c:v>
                </c:pt>
                <c:pt idx="588">
                  <c:v>-56.382544527376368</c:v>
                </c:pt>
                <c:pt idx="589">
                  <c:v>-58.259555599175492</c:v>
                </c:pt>
                <c:pt idx="590">
                  <c:v>-60.152958998989931</c:v>
                </c:pt>
                <c:pt idx="591">
                  <c:v>-62.055805634603843</c:v>
                </c:pt>
                <c:pt idx="592">
                  <c:v>-63.961052149990621</c:v>
                </c:pt>
                <c:pt idx="593">
                  <c:v>-65.863073741696951</c:v>
                </c:pt>
                <c:pt idx="594">
                  <c:v>-67.755979431964931</c:v>
                </c:pt>
                <c:pt idx="595">
                  <c:v>-69.635701379807003</c:v>
                </c:pt>
                <c:pt idx="596">
                  <c:v>-71.498415744395047</c:v>
                </c:pt>
                <c:pt idx="597">
                  <c:v>-73.342088307005852</c:v>
                </c:pt>
                <c:pt idx="598">
                  <c:v>-75.164788914997857</c:v>
                </c:pt>
                <c:pt idx="599">
                  <c:v>-76.966366059169985</c:v>
                </c:pt>
                <c:pt idx="600">
                  <c:v>-78.746651529893285</c:v>
                </c:pt>
              </c:numCache>
            </c:numRef>
          </c:yVal>
          <c:smooth val="1"/>
          <c:extLst>
            <c:ext xmlns:c16="http://schemas.microsoft.com/office/drawing/2014/chart" uri="{C3380CC4-5D6E-409C-BE32-E72D297353CC}">
              <c16:uniqueId val="{00000007-AABE-4BC9-B8D6-5F1DC6B660E9}"/>
            </c:ext>
          </c:extLst>
        </c:ser>
        <c:ser>
          <c:idx val="0"/>
          <c:order val="3"/>
          <c:tx>
            <c:strRef>
              <c:f>'Stability Calculations'!$W$12</c:f>
              <c:strCache>
                <c:ptCount val="1"/>
                <c:pt idx="0">
                  <c:v>Loop Gain (dB)</c:v>
                </c:pt>
              </c:strCache>
            </c:strRef>
          </c:tx>
          <c:spPr>
            <a:ln w="25400">
              <a:solidFill>
                <a:srgbClr val="FF0000"/>
              </a:solidFill>
              <a:prstDash val="solid"/>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Calculations'!$W$13:$W$613</c:f>
              <c:numCache>
                <c:formatCode>0.00</c:formatCode>
                <c:ptCount val="601"/>
                <c:pt idx="0">
                  <c:v>75.408353385020291</c:v>
                </c:pt>
                <c:pt idx="1">
                  <c:v>74.663127197490724</c:v>
                </c:pt>
                <c:pt idx="2">
                  <c:v>73.90927446663585</c:v>
                </c:pt>
                <c:pt idx="3">
                  <c:v>73.148075145872326</c:v>
                </c:pt>
                <c:pt idx="4">
                  <c:v>72.381141197723423</c:v>
                </c:pt>
                <c:pt idx="5">
                  <c:v>71.608147184015223</c:v>
                </c:pt>
                <c:pt idx="6">
                  <c:v>70.831002358725087</c:v>
                </c:pt>
                <c:pt idx="7">
                  <c:v>70.049891265087652</c:v>
                </c:pt>
                <c:pt idx="8">
                  <c:v>69.265974451746402</c:v>
                </c:pt>
                <c:pt idx="9">
                  <c:v>68.479158480056697</c:v>
                </c:pt>
                <c:pt idx="10">
                  <c:v>67.690316782900084</c:v>
                </c:pt>
                <c:pt idx="11">
                  <c:v>66.899692755498407</c:v>
                </c:pt>
                <c:pt idx="12">
                  <c:v>66.107165322196863</c:v>
                </c:pt>
                <c:pt idx="13">
                  <c:v>65.313746022156266</c:v>
                </c:pt>
                <c:pt idx="14">
                  <c:v>64.519011457552423</c:v>
                </c:pt>
                <c:pt idx="15">
                  <c:v>63.7234422763349</c:v>
                </c:pt>
                <c:pt idx="16">
                  <c:v>62.927120933137537</c:v>
                </c:pt>
                <c:pt idx="17">
                  <c:v>62.130282961021486</c:v>
                </c:pt>
                <c:pt idx="18">
                  <c:v>61.332798619088187</c:v>
                </c:pt>
                <c:pt idx="19">
                  <c:v>60.534966524905052</c:v>
                </c:pt>
                <c:pt idx="20">
                  <c:v>59.736697407295615</c:v>
                </c:pt>
                <c:pt idx="21">
                  <c:v>58.93821166563481</c:v>
                </c:pt>
                <c:pt idx="22">
                  <c:v>58.139386147173376</c:v>
                </c:pt>
                <c:pt idx="23">
                  <c:v>57.340457491142089</c:v>
                </c:pt>
                <c:pt idx="24">
                  <c:v>56.541254360801545</c:v>
                </c:pt>
                <c:pt idx="25">
                  <c:v>55.741926621724033</c:v>
                </c:pt>
                <c:pt idx="26">
                  <c:v>54.942309367832024</c:v>
                </c:pt>
                <c:pt idx="27">
                  <c:v>54.142674490072494</c:v>
                </c:pt>
                <c:pt idx="28">
                  <c:v>53.343004921251207</c:v>
                </c:pt>
                <c:pt idx="29">
                  <c:v>52.543808719079038</c:v>
                </c:pt>
                <c:pt idx="30">
                  <c:v>51.743743365585289</c:v>
                </c:pt>
                <c:pt idx="31">
                  <c:v>50.943933755281172</c:v>
                </c:pt>
                <c:pt idx="32">
                  <c:v>50.14384266039287</c:v>
                </c:pt>
                <c:pt idx="33">
                  <c:v>49.34404399573944</c:v>
                </c:pt>
                <c:pt idx="34">
                  <c:v>48.543923388314852</c:v>
                </c:pt>
                <c:pt idx="35">
                  <c:v>47.743932185613119</c:v>
                </c:pt>
                <c:pt idx="36">
                  <c:v>46.943947561605967</c:v>
                </c:pt>
                <c:pt idx="37">
                  <c:v>46.143536743838432</c:v>
                </c:pt>
                <c:pt idx="38">
                  <c:v>45.343458234805965</c:v>
                </c:pt>
                <c:pt idx="39">
                  <c:v>44.543061598393095</c:v>
                </c:pt>
                <c:pt idx="40">
                  <c:v>43.742641049086444</c:v>
                </c:pt>
                <c:pt idx="41">
                  <c:v>42.942116073695395</c:v>
                </c:pt>
                <c:pt idx="42">
                  <c:v>42.141581518568017</c:v>
                </c:pt>
                <c:pt idx="43">
                  <c:v>41.340782138647938</c:v>
                </c:pt>
                <c:pt idx="44">
                  <c:v>40.539905719084082</c:v>
                </c:pt>
                <c:pt idx="45">
                  <c:v>39.738759632013476</c:v>
                </c:pt>
                <c:pt idx="46">
                  <c:v>38.937467776495915</c:v>
                </c:pt>
                <c:pt idx="47">
                  <c:v>38.135811754448568</c:v>
                </c:pt>
                <c:pt idx="48">
                  <c:v>37.333933626816552</c:v>
                </c:pt>
                <c:pt idx="49">
                  <c:v>36.531562260344863</c:v>
                </c:pt>
                <c:pt idx="50">
                  <c:v>35.728741988362216</c:v>
                </c:pt>
                <c:pt idx="51">
                  <c:v>34.925190662273216</c:v>
                </c:pt>
                <c:pt idx="52">
                  <c:v>34.121051099238549</c:v>
                </c:pt>
                <c:pt idx="53">
                  <c:v>33.316158098159093</c:v>
                </c:pt>
                <c:pt idx="54">
                  <c:v>32.510853682961027</c:v>
                </c:pt>
                <c:pt idx="55">
                  <c:v>31.70358725693459</c:v>
                </c:pt>
                <c:pt idx="56">
                  <c:v>30.895263141526293</c:v>
                </c:pt>
                <c:pt idx="57">
                  <c:v>30.085070595023666</c:v>
                </c:pt>
                <c:pt idx="58">
                  <c:v>29.273278820501908</c:v>
                </c:pt>
                <c:pt idx="59">
                  <c:v>28.458900900539085</c:v>
                </c:pt>
                <c:pt idx="60">
                  <c:v>27.641974353075756</c:v>
                </c:pt>
                <c:pt idx="61">
                  <c:v>26.821888945597866</c:v>
                </c:pt>
                <c:pt idx="62">
                  <c:v>25.997642269722334</c:v>
                </c:pt>
                <c:pt idx="63">
                  <c:v>25.169384095872232</c:v>
                </c:pt>
                <c:pt idx="64">
                  <c:v>24.335733958310477</c:v>
                </c:pt>
                <c:pt idx="65">
                  <c:v>23.496213909296845</c:v>
                </c:pt>
                <c:pt idx="66">
                  <c:v>22.649891319786882</c:v>
                </c:pt>
                <c:pt idx="67">
                  <c:v>21.795969234920921</c:v>
                </c:pt>
                <c:pt idx="68">
                  <c:v>20.933252857651503</c:v>
                </c:pt>
                <c:pt idx="69">
                  <c:v>20.061036766913926</c:v>
                </c:pt>
                <c:pt idx="70">
                  <c:v>19.178271624223232</c:v>
                </c:pt>
                <c:pt idx="71">
                  <c:v>18.284388252420392</c:v>
                </c:pt>
                <c:pt idx="72">
                  <c:v>17.37864901747151</c:v>
                </c:pt>
                <c:pt idx="73">
                  <c:v>16.461018644031725</c:v>
                </c:pt>
                <c:pt idx="74">
                  <c:v>15.531373731664267</c:v>
                </c:pt>
                <c:pt idx="75">
                  <c:v>14.590407601341081</c:v>
                </c:pt>
                <c:pt idx="76">
                  <c:v>13.638937804700667</c:v>
                </c:pt>
                <c:pt idx="77">
                  <c:v>12.678804540472932</c:v>
                </c:pt>
                <c:pt idx="78">
                  <c:v>11.71197510593888</c:v>
                </c:pt>
                <c:pt idx="79">
                  <c:v>10.741436325092696</c:v>
                </c:pt>
                <c:pt idx="80">
                  <c:v>9.7681776124910247</c:v>
                </c:pt>
                <c:pt idx="81">
                  <c:v>8.7962809447471919</c:v>
                </c:pt>
                <c:pt idx="82">
                  <c:v>7.8277309114680547</c:v>
                </c:pt>
                <c:pt idx="83">
                  <c:v>6.865615024731766</c:v>
                </c:pt>
                <c:pt idx="84">
                  <c:v>5.9112109024926411</c:v>
                </c:pt>
                <c:pt idx="85">
                  <c:v>4.9666063810476277</c:v>
                </c:pt>
                <c:pt idx="86">
                  <c:v>4.0326873865558932</c:v>
                </c:pt>
                <c:pt idx="87">
                  <c:v>3.1094803782610434</c:v>
                </c:pt>
                <c:pt idx="88">
                  <c:v>2.1979144823862478</c:v>
                </c:pt>
                <c:pt idx="89">
                  <c:v>1.2968949510550576</c:v>
                </c:pt>
                <c:pt idx="90">
                  <c:v>0.40607870808280921</c:v>
                </c:pt>
                <c:pt idx="91">
                  <c:v>-0.47555149901688587</c:v>
                </c:pt>
                <c:pt idx="92">
                  <c:v>-1.3489957881416881</c:v>
                </c:pt>
                <c:pt idx="93">
                  <c:v>-2.2157521016275843</c:v>
                </c:pt>
                <c:pt idx="94">
                  <c:v>-2.4314391801913855</c:v>
                </c:pt>
                <c:pt idx="95">
                  <c:v>-2.5398268705154692</c:v>
                </c:pt>
                <c:pt idx="96">
                  <c:v>-2.6468960285561365</c:v>
                </c:pt>
                <c:pt idx="97">
                  <c:v>-2.7551171958750835</c:v>
                </c:pt>
                <c:pt idx="98">
                  <c:v>-2.8620272006580425</c:v>
                </c:pt>
                <c:pt idx="99">
                  <c:v>-2.9701198075975555</c:v>
                </c:pt>
                <c:pt idx="100">
                  <c:v>-3.0769078762416031</c:v>
                </c:pt>
                <c:pt idx="101">
                  <c:v>-3.1848260663346477</c:v>
                </c:pt>
                <c:pt idx="102">
                  <c:v>-3.2914476046223982</c:v>
                </c:pt>
                <c:pt idx="103">
                  <c:v>-3.3993059553993117</c:v>
                </c:pt>
                <c:pt idx="104">
                  <c:v>-3.5058729684144252</c:v>
                </c:pt>
                <c:pt idx="105">
                  <c:v>-3.6136225509987407</c:v>
                </c:pt>
                <c:pt idx="106">
                  <c:v>-3.7200874423558652</c:v>
                </c:pt>
                <c:pt idx="107">
                  <c:v>-3.8276836071611839</c:v>
                </c:pt>
                <c:pt idx="108">
                  <c:v>-3.9340029387505249</c:v>
                </c:pt>
                <c:pt idx="109">
                  <c:v>-4.0414777821775107</c:v>
                </c:pt>
                <c:pt idx="110">
                  <c:v>-4.1476830408835337</c:v>
                </c:pt>
                <c:pt idx="111">
                  <c:v>-4.2551366392805212</c:v>
                </c:pt>
                <c:pt idx="112">
                  <c:v>-4.3613257115374617</c:v>
                </c:pt>
                <c:pt idx="113">
                  <c:v>-4.4687099859972301</c:v>
                </c:pt>
                <c:pt idx="114">
                  <c:v>-4.5748360825960086</c:v>
                </c:pt>
                <c:pt idx="115">
                  <c:v>-4.6821748533094318</c:v>
                </c:pt>
                <c:pt idx="116">
                  <c:v>-4.7882613997691088</c:v>
                </c:pt>
                <c:pt idx="117">
                  <c:v>-4.8955761211967532</c:v>
                </c:pt>
                <c:pt idx="118">
                  <c:v>-5.0016442387095239</c:v>
                </c:pt>
                <c:pt idx="119">
                  <c:v>-5.1088895417841425</c:v>
                </c:pt>
                <c:pt idx="120">
                  <c:v>-5.2148950693829317</c:v>
                </c:pt>
                <c:pt idx="121">
                  <c:v>-5.32209271127231</c:v>
                </c:pt>
                <c:pt idx="122">
                  <c:v>-5.4280570621673796</c:v>
                </c:pt>
                <c:pt idx="123">
                  <c:v>-5.5352884856901499</c:v>
                </c:pt>
                <c:pt idx="124">
                  <c:v>-5.6412914083796464</c:v>
                </c:pt>
                <c:pt idx="125">
                  <c:v>-5.748509917011063</c:v>
                </c:pt>
                <c:pt idx="126">
                  <c:v>-5.8545059523191796</c:v>
                </c:pt>
                <c:pt idx="127">
                  <c:v>-5.9617277957421857</c:v>
                </c:pt>
                <c:pt idx="128">
                  <c:v>-6.0677329947574865</c:v>
                </c:pt>
                <c:pt idx="129">
                  <c:v>-6.1749728678026923</c:v>
                </c:pt>
                <c:pt idx="130">
                  <c:v>-6.2810017680655168</c:v>
                </c:pt>
                <c:pt idx="131">
                  <c:v>-6.3882729559013374</c:v>
                </c:pt>
                <c:pt idx="132">
                  <c:v>-6.4414546226422855</c:v>
                </c:pt>
                <c:pt idx="133">
                  <c:v>-6.4943387228667371</c:v>
                </c:pt>
                <c:pt idx="134">
                  <c:v>-6.5481755765689886</c:v>
                </c:pt>
                <c:pt idx="135">
                  <c:v>-6.6017083267494128</c:v>
                </c:pt>
                <c:pt idx="136">
                  <c:v>-6.6549407999858161</c:v>
                </c:pt>
                <c:pt idx="137">
                  <c:v>-6.7078767523047986</c:v>
                </c:pt>
                <c:pt idx="138">
                  <c:v>-6.7617116994647937</c:v>
                </c:pt>
                <c:pt idx="139">
                  <c:v>-6.8152442362104217</c:v>
                </c:pt>
                <c:pt idx="140">
                  <c:v>-6.8684781622699695</c:v>
                </c:pt>
                <c:pt idx="141">
                  <c:v>-6.9214172074300295</c:v>
                </c:pt>
                <c:pt idx="142">
                  <c:v>-6.97530998805897</c:v>
                </c:pt>
                <c:pt idx="143">
                  <c:v>-7.0289014296406771</c:v>
                </c:pt>
                <c:pt idx="144">
                  <c:v>-7.0821953167846754</c:v>
                </c:pt>
                <c:pt idx="145">
                  <c:v>-7.1351953644813886</c:v>
                </c:pt>
                <c:pt idx="146">
                  <c:v>-7.1891227870779337</c:v>
                </c:pt>
                <c:pt idx="147">
                  <c:v>-7.2427502518002616</c:v>
                </c:pt>
                <c:pt idx="148">
                  <c:v>-7.2960815223686417</c:v>
                </c:pt>
                <c:pt idx="149">
                  <c:v>-7.3491202933476867</c:v>
                </c:pt>
                <c:pt idx="150">
                  <c:v>-7.4030864544009791</c:v>
                </c:pt>
                <c:pt idx="151">
                  <c:v>-7.4567540431819701</c:v>
                </c:pt>
                <c:pt idx="152">
                  <c:v>-7.5101268024891024</c:v>
                </c:pt>
                <c:pt idx="153">
                  <c:v>-7.5632084064283331</c:v>
                </c:pt>
                <c:pt idx="154">
                  <c:v>-7.6172418247129485</c:v>
                </c:pt>
                <c:pt idx="155">
                  <c:v>-7.6709777939218888</c:v>
                </c:pt>
                <c:pt idx="156">
                  <c:v>-7.7244200408961134</c:v>
                </c:pt>
                <c:pt idx="157">
                  <c:v>-7.7775722241246026</c:v>
                </c:pt>
                <c:pt idx="158">
                  <c:v>-7.8316747050468072</c:v>
                </c:pt>
                <c:pt idx="159">
                  <c:v>-7.8854808953104047</c:v>
                </c:pt>
                <c:pt idx="160">
                  <c:v>-7.938994505177992</c:v>
                </c:pt>
                <c:pt idx="161">
                  <c:v>-7.9922191769137809</c:v>
                </c:pt>
                <c:pt idx="162">
                  <c:v>-8.0463686092481588</c:v>
                </c:pt>
                <c:pt idx="163">
                  <c:v>-8.1002232047698683</c:v>
                </c:pt>
                <c:pt idx="164">
                  <c:v>-8.153786651666513</c:v>
                </c:pt>
                <c:pt idx="165">
                  <c:v>-8.2070625706120062</c:v>
                </c:pt>
                <c:pt idx="166">
                  <c:v>-8.2613083745874203</c:v>
                </c:pt>
                <c:pt idx="167">
                  <c:v>-8.3152603143303594</c:v>
                </c:pt>
                <c:pt idx="168">
                  <c:v>-8.3689220649792002</c:v>
                </c:pt>
                <c:pt idx="169">
                  <c:v>-8.4222972344203928</c:v>
                </c:pt>
                <c:pt idx="170">
                  <c:v>-8.4765256047423438</c:v>
                </c:pt>
                <c:pt idx="171">
                  <c:v>-8.5304623641595914</c:v>
                </c:pt>
                <c:pt idx="172">
                  <c:v>-8.5841111508451835</c:v>
                </c:pt>
                <c:pt idx="173">
                  <c:v>-8.6374755365593092</c:v>
                </c:pt>
                <c:pt idx="174">
                  <c:v>-8.6918936677596275</c:v>
                </c:pt>
                <c:pt idx="175">
                  <c:v>-8.7460202732882184</c:v>
                </c:pt>
                <c:pt idx="176">
                  <c:v>-8.7998589948280408</c:v>
                </c:pt>
                <c:pt idx="177">
                  <c:v>-8.8534134075008595</c:v>
                </c:pt>
                <c:pt idx="178">
                  <c:v>-8.9079935204569836</c:v>
                </c:pt>
                <c:pt idx="179">
                  <c:v>-8.9622825613550585</c:v>
                </c:pt>
                <c:pt idx="180">
                  <c:v>-9.0162841684961617</c:v>
                </c:pt>
                <c:pt idx="181">
                  <c:v>-9.0700019136341474</c:v>
                </c:pt>
                <c:pt idx="182">
                  <c:v>-9.1245052155013795</c:v>
                </c:pt>
                <c:pt idx="183">
                  <c:v>-9.1787204891012539</c:v>
                </c:pt>
                <c:pt idx="184">
                  <c:v>-9.2326513209672409</c:v>
                </c:pt>
                <c:pt idx="185">
                  <c:v>-9.2863012322689027</c:v>
                </c:pt>
                <c:pt idx="186">
                  <c:v>-9.3411349260371974</c:v>
                </c:pt>
                <c:pt idx="187">
                  <c:v>-9.3956793954553071</c:v>
                </c:pt>
                <c:pt idx="188">
                  <c:v>-9.4499382542992283</c:v>
                </c:pt>
                <c:pt idx="189">
                  <c:v>-9.5039150502409395</c:v>
                </c:pt>
                <c:pt idx="190">
                  <c:v>-9.5586353550990211</c:v>
                </c:pt>
                <c:pt idx="191">
                  <c:v>-9.6130699648358302</c:v>
                </c:pt>
                <c:pt idx="192">
                  <c:v>-9.6672224322674989</c:v>
                </c:pt>
                <c:pt idx="193">
                  <c:v>-9.7210962455001866</c:v>
                </c:pt>
                <c:pt idx="194">
                  <c:v>-9.7760963640213951</c:v>
                </c:pt>
                <c:pt idx="195">
                  <c:v>-9.8308102662501646</c:v>
                </c:pt>
                <c:pt idx="196">
                  <c:v>-9.8852415193668435</c:v>
                </c:pt>
                <c:pt idx="197">
                  <c:v>-9.9393936254020581</c:v>
                </c:pt>
                <c:pt idx="198">
                  <c:v>-9.994446738677615</c:v>
                </c:pt>
                <c:pt idx="199">
                  <c:v>-10.049215538362805</c:v>
                </c:pt>
                <c:pt idx="200">
                  <c:v>-10.103703560711788</c:v>
                </c:pt>
                <c:pt idx="201">
                  <c:v>-10.157914277480335</c:v>
                </c:pt>
                <c:pt idx="202">
                  <c:v>-10.213003913759191</c:v>
                </c:pt>
                <c:pt idx="203">
                  <c:v>-10.267811355273665</c:v>
                </c:pt>
                <c:pt idx="204">
                  <c:v>-10.322340103171195</c:v>
                </c:pt>
                <c:pt idx="205">
                  <c:v>-10.376593594845659</c:v>
                </c:pt>
                <c:pt idx="206">
                  <c:v>-10.431893053194234</c:v>
                </c:pt>
                <c:pt idx="207">
                  <c:v>-10.48691072143939</c:v>
                </c:pt>
                <c:pt idx="208">
                  <c:v>-10.541650097206013</c:v>
                </c:pt>
                <c:pt idx="209">
                  <c:v>-10.596114614337349</c:v>
                </c:pt>
                <c:pt idx="210">
                  <c:v>-10.651783541594991</c:v>
                </c:pt>
                <c:pt idx="211">
                  <c:v>-10.707169542427186</c:v>
                </c:pt>
                <c:pt idx="212">
                  <c:v>-10.762276139300543</c:v>
                </c:pt>
                <c:pt idx="213">
                  <c:v>-10.817106790173332</c:v>
                </c:pt>
                <c:pt idx="214">
                  <c:v>-10.872749679217533</c:v>
                </c:pt>
                <c:pt idx="215">
                  <c:v>-10.928112579120926</c:v>
                </c:pt>
                <c:pt idx="216">
                  <c:v>-10.983198961149705</c:v>
                </c:pt>
                <c:pt idx="217">
                  <c:v>-11.038012233174177</c:v>
                </c:pt>
                <c:pt idx="218">
                  <c:v>-11.093796284554418</c:v>
                </c:pt>
                <c:pt idx="219">
                  <c:v>-11.149301644195157</c:v>
                </c:pt>
                <c:pt idx="220">
                  <c:v>-11.204531762262281</c:v>
                </c:pt>
                <c:pt idx="221">
                  <c:v>-11.25949002589816</c:v>
                </c:pt>
                <c:pt idx="222">
                  <c:v>-11.315395923934432</c:v>
                </c:pt>
                <c:pt idx="223">
                  <c:v>-11.371024674960593</c:v>
                </c:pt>
                <c:pt idx="224">
                  <c:v>-11.426379703040521</c:v>
                </c:pt>
                <c:pt idx="225">
                  <c:v>-11.481464369699619</c:v>
                </c:pt>
                <c:pt idx="226">
                  <c:v>-11.53764476352098</c:v>
                </c:pt>
                <c:pt idx="227">
                  <c:v>-11.593548107243947</c:v>
                </c:pt>
                <c:pt idx="228">
                  <c:v>-11.649177825088605</c:v>
                </c:pt>
                <c:pt idx="229">
                  <c:v>-11.704537278574351</c:v>
                </c:pt>
                <c:pt idx="230">
                  <c:v>-11.817118309480881</c:v>
                </c:pt>
                <c:pt idx="231">
                  <c:v>-11.872997307719945</c:v>
                </c:pt>
                <c:pt idx="232">
                  <c:v>-11.928606455375911</c:v>
                </c:pt>
                <c:pt idx="233">
                  <c:v>-11.98525960455482</c:v>
                </c:pt>
                <c:pt idx="234">
                  <c:v>-12.041636859985365</c:v>
                </c:pt>
                <c:pt idx="235">
                  <c:v>-12.097741626617491</c:v>
                </c:pt>
                <c:pt idx="236">
                  <c:v>-12.153577246821856</c:v>
                </c:pt>
                <c:pt idx="237">
                  <c:v>-12.210271774793583</c:v>
                </c:pt>
                <c:pt idx="238">
                  <c:v>-12.266692960295302</c:v>
                </c:pt>
                <c:pt idx="239">
                  <c:v>-12.322844161292588</c:v>
                </c:pt>
                <c:pt idx="240">
                  <c:v>-12.378728674130478</c:v>
                </c:pt>
                <c:pt idx="241">
                  <c:v>-12.435768438526907</c:v>
                </c:pt>
                <c:pt idx="242">
                  <c:v>-12.492534533102154</c:v>
                </c:pt>
                <c:pt idx="243">
                  <c:v>-12.54903032103655</c:v>
                </c:pt>
                <c:pt idx="244">
                  <c:v>-12.605259103564821</c:v>
                </c:pt>
                <c:pt idx="245">
                  <c:v>-12.66246138047264</c:v>
                </c:pt>
                <c:pt idx="246">
                  <c:v>-12.719391469813557</c:v>
                </c:pt>
                <c:pt idx="247">
                  <c:v>-12.776052705900847</c:v>
                </c:pt>
                <c:pt idx="248">
                  <c:v>-12.832448361601298</c:v>
                </c:pt>
                <c:pt idx="249">
                  <c:v>-12.889947503439931</c:v>
                </c:pt>
                <c:pt idx="250">
                  <c:v>-12.947174713017999</c:v>
                </c:pt>
                <c:pt idx="251">
                  <c:v>-13.004133317359525</c:v>
                </c:pt>
                <c:pt idx="252">
                  <c:v>-13.060826582003685</c:v>
                </c:pt>
                <c:pt idx="253">
                  <c:v>-13.118449212494468</c:v>
                </c:pt>
                <c:pt idx="254">
                  <c:v>-13.175801845831314</c:v>
                </c:pt>
                <c:pt idx="255">
                  <c:v>-13.232887770082824</c:v>
                </c:pt>
                <c:pt idx="256">
                  <c:v>-13.289710212563932</c:v>
                </c:pt>
                <c:pt idx="257">
                  <c:v>-13.347734250127907</c:v>
                </c:pt>
                <c:pt idx="258">
                  <c:v>-13.405487668475807</c:v>
                </c:pt>
                <c:pt idx="259">
                  <c:v>-13.46297376226895</c:v>
                </c:pt>
                <c:pt idx="260">
                  <c:v>-13.520195765018169</c:v>
                </c:pt>
                <c:pt idx="261">
                  <c:v>-13.578448412823139</c:v>
                </c:pt>
                <c:pt idx="262">
                  <c:v>-13.63643148060746</c:v>
                </c:pt>
                <c:pt idx="263">
                  <c:v>-13.694148238206932</c:v>
                </c:pt>
                <c:pt idx="264">
                  <c:v>-13.75160189467606</c:v>
                </c:pt>
                <c:pt idx="265">
                  <c:v>-13.810063642191349</c:v>
                </c:pt>
                <c:pt idx="266">
                  <c:v>-13.868257058112881</c:v>
                </c:pt>
                <c:pt idx="267">
                  <c:v>-13.926185382498561</c:v>
                </c:pt>
                <c:pt idx="268">
                  <c:v>-13.983851795111104</c:v>
                </c:pt>
                <c:pt idx="269">
                  <c:v>-14.042642899065489</c:v>
                </c:pt>
                <c:pt idx="270">
                  <c:v>-14.101165848998383</c:v>
                </c:pt>
                <c:pt idx="271">
                  <c:v>-14.159423873248295</c:v>
                </c:pt>
                <c:pt idx="272">
                  <c:v>-14.21742013989256</c:v>
                </c:pt>
                <c:pt idx="273">
                  <c:v>-14.276516397379851</c:v>
                </c:pt>
                <c:pt idx="274">
                  <c:v>-14.335344934145864</c:v>
                </c:pt>
                <c:pt idx="275">
                  <c:v>-14.393908960787307</c:v>
                </c:pt>
                <c:pt idx="276">
                  <c:v>-14.452211627817979</c:v>
                </c:pt>
                <c:pt idx="277">
                  <c:v>-14.511457001101487</c:v>
                </c:pt>
                <c:pt idx="278">
                  <c:v>-14.570436510487173</c:v>
                </c:pt>
                <c:pt idx="279">
                  <c:v>-14.629153321985584</c:v>
                </c:pt>
                <c:pt idx="280">
                  <c:v>-14.687610542368159</c:v>
                </c:pt>
                <c:pt idx="281">
                  <c:v>-14.747384222167248</c:v>
                </c:pt>
                <c:pt idx="282">
                  <c:v>-14.80689051430889</c:v>
                </c:pt>
                <c:pt idx="283">
                  <c:v>-14.866132598946077</c:v>
                </c:pt>
                <c:pt idx="284">
                  <c:v>-14.925113596371142</c:v>
                </c:pt>
                <c:pt idx="285">
                  <c:v>-14.9849955398572</c:v>
                </c:pt>
                <c:pt idx="286">
                  <c:v>-15.044612335325052</c:v>
                </c:pt>
                <c:pt idx="287">
                  <c:v>-15.103967108644172</c:v>
                </c:pt>
                <c:pt idx="288">
                  <c:v>-15.163062926910605</c:v>
                </c:pt>
                <c:pt idx="289">
                  <c:v>-15.223421152045557</c:v>
                </c:pt>
                <c:pt idx="290">
                  <c:v>-15.283513209940022</c:v>
                </c:pt>
                <c:pt idx="291">
                  <c:v>-15.343342228141619</c:v>
                </c:pt>
                <c:pt idx="292">
                  <c:v>-15.402911275113544</c:v>
                </c:pt>
                <c:pt idx="293">
                  <c:v>-15.463591005077689</c:v>
                </c:pt>
                <c:pt idx="294">
                  <c:v>-15.524004924237691</c:v>
                </c:pt>
                <c:pt idx="295">
                  <c:v>-15.584156135814013</c:v>
                </c:pt>
                <c:pt idx="296">
                  <c:v>-15.644047684286104</c:v>
                </c:pt>
                <c:pt idx="297">
                  <c:v>-15.705026604354991</c:v>
                </c:pt>
                <c:pt idx="298">
                  <c:v>-15.765740255740042</c:v>
                </c:pt>
                <c:pt idx="299">
                  <c:v>-15.826191712397996</c:v>
                </c:pt>
                <c:pt idx="300">
                  <c:v>-15.886383990018722</c:v>
                </c:pt>
                <c:pt idx="301">
                  <c:v>-15.947641066190014</c:v>
                </c:pt>
                <c:pt idx="302">
                  <c:v>-16.008633577305847</c:v>
                </c:pt>
                <c:pt idx="303">
                  <c:v>-16.069364563612091</c:v>
                </c:pt>
                <c:pt idx="304">
                  <c:v>-16.129837007682987</c:v>
                </c:pt>
                <c:pt idx="305">
                  <c:v>-16.191588468048813</c:v>
                </c:pt>
                <c:pt idx="306">
                  <c:v>-16.25307418477216</c:v>
                </c:pt>
                <c:pt idx="307">
                  <c:v>-16.314297194867745</c:v>
                </c:pt>
                <c:pt idx="308">
                  <c:v>-16.375260477514971</c:v>
                </c:pt>
                <c:pt idx="309">
                  <c:v>-16.437243468806649</c:v>
                </c:pt>
                <c:pt idx="310">
                  <c:v>-16.498961770172645</c:v>
                </c:pt>
                <c:pt idx="311">
                  <c:v>-16.560418375419829</c:v>
                </c:pt>
                <c:pt idx="312">
                  <c:v>-16.621616221380176</c:v>
                </c:pt>
                <c:pt idx="313">
                  <c:v>-16.684041406122944</c:v>
                </c:pt>
                <c:pt idx="314">
                  <c:v>-16.74620111674562</c:v>
                </c:pt>
                <c:pt idx="315">
                  <c:v>-16.808098333214399</c:v>
                </c:pt>
                <c:pt idx="316">
                  <c:v>-16.869735978654305</c:v>
                </c:pt>
                <c:pt idx="317">
                  <c:v>-16.932575266223992</c:v>
                </c:pt>
                <c:pt idx="318">
                  <c:v>-16.995148499393242</c:v>
                </c:pt>
                <c:pt idx="319">
                  <c:v>-17.057458638862208</c:v>
                </c:pt>
                <c:pt idx="320">
                  <c:v>-17.119508588779691</c:v>
                </c:pt>
                <c:pt idx="321">
                  <c:v>-17.182735196167936</c:v>
                </c:pt>
                <c:pt idx="322">
                  <c:v>-17.24569534835134</c:v>
                </c:pt>
                <c:pt idx="323">
                  <c:v>-17.308391981883013</c:v>
                </c:pt>
                <c:pt idx="324">
                  <c:v>-17.370827977200694</c:v>
                </c:pt>
                <c:pt idx="325">
                  <c:v>-17.434416326079496</c:v>
                </c:pt>
                <c:pt idx="326">
                  <c:v>-17.497737975343757</c:v>
                </c:pt>
                <c:pt idx="327">
                  <c:v>-17.560795833063352</c:v>
                </c:pt>
                <c:pt idx="328">
                  <c:v>-17.623592751764637</c:v>
                </c:pt>
                <c:pt idx="329">
                  <c:v>-17.687625044335476</c:v>
                </c:pt>
                <c:pt idx="330">
                  <c:v>-17.751389639452352</c:v>
                </c:pt>
                <c:pt idx="331">
                  <c:v>-17.814889427217373</c:v>
                </c:pt>
                <c:pt idx="332">
                  <c:v>-17.878127242522879</c:v>
                </c:pt>
                <c:pt idx="333">
                  <c:v>-17.942469828144748</c:v>
                </c:pt>
                <c:pt idx="334">
                  <c:v>-18.006544759193513</c:v>
                </c:pt>
                <c:pt idx="335">
                  <c:v>-18.070354889387691</c:v>
                </c:pt>
                <c:pt idx="336">
                  <c:v>-18.133903018069141</c:v>
                </c:pt>
                <c:pt idx="337">
                  <c:v>-18.198739857357005</c:v>
                </c:pt>
                <c:pt idx="338">
                  <c:v>-18.263307473882683</c:v>
                </c:pt>
                <c:pt idx="339">
                  <c:v>-18.327608709110287</c:v>
                </c:pt>
                <c:pt idx="340">
                  <c:v>-18.391646350384367</c:v>
                </c:pt>
                <c:pt idx="341">
                  <c:v>-18.456945719917591</c:v>
                </c:pt>
                <c:pt idx="342">
                  <c:v>-18.521974478967142</c:v>
                </c:pt>
                <c:pt idx="343">
                  <c:v>-18.586735452140196</c:v>
                </c:pt>
                <c:pt idx="344">
                  <c:v>-18.651231410337367</c:v>
                </c:pt>
                <c:pt idx="345">
                  <c:v>-18.716862903991501</c:v>
                </c:pt>
                <c:pt idx="346">
                  <c:v>-18.782223381853903</c:v>
                </c:pt>
                <c:pt idx="347">
                  <c:v>-18.847315634994871</c:v>
                </c:pt>
                <c:pt idx="348">
                  <c:v>-18.912142401654027</c:v>
                </c:pt>
                <c:pt idx="349">
                  <c:v>-18.978277838765361</c:v>
                </c:pt>
                <c:pt idx="350">
                  <c:v>-19.04414033366956</c:v>
                </c:pt>
                <c:pt idx="351">
                  <c:v>-19.109732666095947</c:v>
                </c:pt>
                <c:pt idx="352">
                  <c:v>-19.175057563305231</c:v>
                </c:pt>
                <c:pt idx="353">
                  <c:v>-19.241663547089235</c:v>
                </c:pt>
                <c:pt idx="354">
                  <c:v>-19.30799483168531</c:v>
                </c:pt>
                <c:pt idx="355">
                  <c:v>-19.374054181534973</c:v>
                </c:pt>
                <c:pt idx="356">
                  <c:v>-19.439844309121664</c:v>
                </c:pt>
                <c:pt idx="357">
                  <c:v>-19.506793492977931</c:v>
                </c:pt>
                <c:pt idx="358">
                  <c:v>-19.573467152858044</c:v>
                </c:pt>
                <c:pt idx="359">
                  <c:v>-19.639868022980348</c:v>
                </c:pt>
                <c:pt idx="360">
                  <c:v>-19.705998786538267</c:v>
                </c:pt>
                <c:pt idx="361">
                  <c:v>-19.773451497627303</c:v>
                </c:pt>
                <c:pt idx="362">
                  <c:v>-19.840626419446949</c:v>
                </c:pt>
                <c:pt idx="363">
                  <c:v>-19.907526276635192</c:v>
                </c:pt>
                <c:pt idx="364">
                  <c:v>-19.974153743278308</c:v>
                </c:pt>
                <c:pt idx="365">
                  <c:v>-20.041983015608306</c:v>
                </c:pt>
                <c:pt idx="366">
                  <c:v>-20.109533151198416</c:v>
                </c:pt>
                <c:pt idx="367">
                  <c:v>-20.176806850994424</c:v>
                </c:pt>
                <c:pt idx="368">
                  <c:v>-20.243806766266111</c:v>
                </c:pt>
                <c:pt idx="369">
                  <c:v>-20.312164077144587</c:v>
                </c:pt>
                <c:pt idx="370">
                  <c:v>-20.380239526946788</c:v>
                </c:pt>
                <c:pt idx="371">
                  <c:v>-20.448035812411945</c:v>
                </c:pt>
                <c:pt idx="372">
                  <c:v>-20.515555581059346</c:v>
                </c:pt>
                <c:pt idx="373">
                  <c:v>-20.584314448002239</c:v>
                </c:pt>
                <c:pt idx="374">
                  <c:v>-20.652789635527448</c:v>
                </c:pt>
                <c:pt idx="375">
                  <c:v>-20.720983822891927</c:v>
                </c:pt>
                <c:pt idx="376">
                  <c:v>-20.788899640969284</c:v>
                </c:pt>
                <c:pt idx="377">
                  <c:v>-20.858203088350322</c:v>
                </c:pt>
                <c:pt idx="378">
                  <c:v>-20.927219719543459</c:v>
                </c:pt>
                <c:pt idx="379">
                  <c:v>-20.995952214879786</c:v>
                </c:pt>
                <c:pt idx="380">
                  <c:v>-21.064403206757913</c:v>
                </c:pt>
                <c:pt idx="381">
                  <c:v>-21.134039228208991</c:v>
                </c:pt>
                <c:pt idx="382">
                  <c:v>-21.203386905865742</c:v>
                </c:pt>
                <c:pt idx="383">
                  <c:v>-21.27244889887659</c:v>
                </c:pt>
                <c:pt idx="384">
                  <c:v>-21.341227819494499</c:v>
                </c:pt>
                <c:pt idx="385">
                  <c:v>-21.411420300283346</c:v>
                </c:pt>
                <c:pt idx="386">
                  <c:v>-21.481320912913638</c:v>
                </c:pt>
                <c:pt idx="387">
                  <c:v>-21.550932323415289</c:v>
                </c:pt>
                <c:pt idx="388">
                  <c:v>-21.620257151358857</c:v>
                </c:pt>
                <c:pt idx="389">
                  <c:v>-21.690880839475884</c:v>
                </c:pt>
                <c:pt idx="390">
                  <c:v>-21.761210027537178</c:v>
                </c:pt>
                <c:pt idx="391">
                  <c:v>-21.831247376805834</c:v>
                </c:pt>
                <c:pt idx="392">
                  <c:v>-21.900995502851526</c:v>
                </c:pt>
                <c:pt idx="393">
                  <c:v>-21.972013714667256</c:v>
                </c:pt>
                <c:pt idx="394">
                  <c:v>-22.042734955388653</c:v>
                </c:pt>
                <c:pt idx="395">
                  <c:v>-22.11316188036928</c:v>
                </c:pt>
                <c:pt idx="396">
                  <c:v>-22.183297100112938</c:v>
                </c:pt>
                <c:pt idx="397">
                  <c:v>-22.254835292953366</c:v>
                </c:pt>
                <c:pt idx="398">
                  <c:v>-22.326072849840074</c:v>
                </c:pt>
                <c:pt idx="399">
                  <c:v>-22.397012437358029</c:v>
                </c:pt>
                <c:pt idx="400">
                  <c:v>-22.467656677754224</c:v>
                </c:pt>
                <c:pt idx="401">
                  <c:v>-22.539592860311473</c:v>
                </c:pt>
                <c:pt idx="402">
                  <c:v>-22.611225620228762</c:v>
                </c:pt>
                <c:pt idx="403">
                  <c:v>-22.682557625041696</c:v>
                </c:pt>
                <c:pt idx="404">
                  <c:v>-22.753591498737407</c:v>
                </c:pt>
                <c:pt idx="405">
                  <c:v>-22.825965968689637</c:v>
                </c:pt>
                <c:pt idx="406">
                  <c:v>-22.898033749746084</c:v>
                </c:pt>
                <c:pt idx="407">
                  <c:v>-22.969797518416073</c:v>
                </c:pt>
                <c:pt idx="408">
                  <c:v>-23.041259908318843</c:v>
                </c:pt>
                <c:pt idx="409">
                  <c:v>-23.114108790772608</c:v>
                </c:pt>
                <c:pt idx="410">
                  <c:v>-23.186647272607903</c:v>
                </c:pt>
                <c:pt idx="411">
                  <c:v>-23.258878046983039</c:v>
                </c:pt>
                <c:pt idx="412">
                  <c:v>-23.330803764703603</c:v>
                </c:pt>
                <c:pt idx="413">
                  <c:v>-23.404083860918764</c:v>
                </c:pt>
                <c:pt idx="414">
                  <c:v>-23.477050076256173</c:v>
                </c:pt>
                <c:pt idx="415">
                  <c:v>-23.549705119598819</c:v>
                </c:pt>
                <c:pt idx="416">
                  <c:v>-23.622051658071573</c:v>
                </c:pt>
                <c:pt idx="417">
                  <c:v>-23.695795052290531</c:v>
                </c:pt>
                <c:pt idx="418">
                  <c:v>-23.769220680206114</c:v>
                </c:pt>
                <c:pt idx="419">
                  <c:v>-23.842331273972807</c:v>
                </c:pt>
                <c:pt idx="420">
                  <c:v>-23.915129524459168</c:v>
                </c:pt>
                <c:pt idx="421">
                  <c:v>-23.989218973775909</c:v>
                </c:pt>
                <c:pt idx="422">
                  <c:v>-24.062987658123298</c:v>
                </c:pt>
                <c:pt idx="423">
                  <c:v>-24.136438324074504</c:v>
                </c:pt>
                <c:pt idx="424">
                  <c:v>-24.209573677589155</c:v>
                </c:pt>
                <c:pt idx="425">
                  <c:v>-24.284184363628313</c:v>
                </c:pt>
                <c:pt idx="426">
                  <c:v>-24.358469654106241</c:v>
                </c:pt>
                <c:pt idx="427">
                  <c:v>-24.432432333673674</c:v>
                </c:pt>
                <c:pt idx="428">
                  <c:v>-24.506075146594153</c:v>
                </c:pt>
                <c:pt idx="429">
                  <c:v>-24.581087583631529</c:v>
                </c:pt>
                <c:pt idx="430">
                  <c:v>-24.655770920752964</c:v>
                </c:pt>
                <c:pt idx="431">
                  <c:v>-24.73012797170999</c:v>
                </c:pt>
                <c:pt idx="432">
                  <c:v>-24.804161510282675</c:v>
                </c:pt>
                <c:pt idx="433">
                  <c:v>-24.87953172908318</c:v>
                </c:pt>
                <c:pt idx="434">
                  <c:v>-24.954569432445112</c:v>
                </c:pt>
                <c:pt idx="435">
                  <c:v>-25.029277462611532</c:v>
                </c:pt>
                <c:pt idx="436">
                  <c:v>-25.10365862228301</c:v>
                </c:pt>
                <c:pt idx="437">
                  <c:v>-25.179479857372229</c:v>
                </c:pt>
                <c:pt idx="438">
                  <c:v>-25.254964251010598</c:v>
                </c:pt>
                <c:pt idx="439">
                  <c:v>-25.33011468881508</c:v>
                </c:pt>
                <c:pt idx="440">
                  <c:v>-25.404934017011431</c:v>
                </c:pt>
                <c:pt idx="441">
                  <c:v>-25.481158159229643</c:v>
                </c:pt>
                <c:pt idx="442">
                  <c:v>-25.557041478136707</c:v>
                </c:pt>
                <c:pt idx="443">
                  <c:v>-25.632586901678636</c:v>
                </c:pt>
                <c:pt idx="444">
                  <c:v>-25.707797318573768</c:v>
                </c:pt>
                <c:pt idx="445">
                  <c:v>-25.784377983833707</c:v>
                </c:pt>
                <c:pt idx="446">
                  <c:v>-25.860614191785029</c:v>
                </c:pt>
                <c:pt idx="447">
                  <c:v>-25.93650891169532</c:v>
                </c:pt>
                <c:pt idx="448">
                  <c:v>-26.012065073768422</c:v>
                </c:pt>
                <c:pt idx="449">
                  <c:v>-26.089086246577811</c:v>
                </c:pt>
                <c:pt idx="450">
                  <c:v>-26.165758517549719</c:v>
                </c:pt>
                <c:pt idx="451">
                  <c:v>-26.242084911320745</c:v>
                </c:pt>
                <c:pt idx="452">
                  <c:v>-26.318068413359278</c:v>
                </c:pt>
                <c:pt idx="453">
                  <c:v>-26.395417167725927</c:v>
                </c:pt>
                <c:pt idx="454">
                  <c:v>-26.472413553344701</c:v>
                </c:pt>
                <c:pt idx="455">
                  <c:v>-26.549060641193172</c:v>
                </c:pt>
                <c:pt idx="456">
                  <c:v>-26.625361463101726</c:v>
                </c:pt>
                <c:pt idx="457">
                  <c:v>-26.703117460277998</c:v>
                </c:pt>
                <c:pt idx="458">
                  <c:v>-26.780516869860143</c:v>
                </c:pt>
                <c:pt idx="459">
                  <c:v>-26.857562822681018</c:v>
                </c:pt>
                <c:pt idx="460">
                  <c:v>-26.934258410180391</c:v>
                </c:pt>
                <c:pt idx="461">
                  <c:v>-27.012372454595962</c:v>
                </c:pt>
                <c:pt idx="462">
                  <c:v>-27.090126126624909</c:v>
                </c:pt>
                <c:pt idx="463">
                  <c:v>-27.167522615031285</c:v>
                </c:pt>
                <c:pt idx="464">
                  <c:v>-27.244565068929788</c:v>
                </c:pt>
                <c:pt idx="465">
                  <c:v>-27.323049872480055</c:v>
                </c:pt>
                <c:pt idx="466">
                  <c:v>-27.401170402203398</c:v>
                </c:pt>
                <c:pt idx="467">
                  <c:v>-27.478929910121757</c:v>
                </c:pt>
                <c:pt idx="468">
                  <c:v>-27.556331608213664</c:v>
                </c:pt>
                <c:pt idx="469">
                  <c:v>-27.635138976832412</c:v>
                </c:pt>
                <c:pt idx="470">
                  <c:v>-27.713578633414006</c:v>
                </c:pt>
                <c:pt idx="471">
                  <c:v>-27.791653890804593</c:v>
                </c:pt>
                <c:pt idx="472">
                  <c:v>-27.869368021396657</c:v>
                </c:pt>
                <c:pt idx="473">
                  <c:v>-27.948567222034018</c:v>
                </c:pt>
                <c:pt idx="474">
                  <c:v>-28.027394658539166</c:v>
                </c:pt>
                <c:pt idx="475">
                  <c:v>-28.105853716640542</c:v>
                </c:pt>
                <c:pt idx="476">
                  <c:v>-28.183947740945694</c:v>
                </c:pt>
                <c:pt idx="477">
                  <c:v>-28.263488743392227</c:v>
                </c:pt>
                <c:pt idx="478">
                  <c:v>-28.342654443677013</c:v>
                </c:pt>
                <c:pt idx="479">
                  <c:v>-28.421448297196044</c:v>
                </c:pt>
                <c:pt idx="480">
                  <c:v>-28.499873717543196</c:v>
                </c:pt>
                <c:pt idx="481">
                  <c:v>-28.579709001986764</c:v>
                </c:pt>
                <c:pt idx="482">
                  <c:v>-28.659165959945668</c:v>
                </c:pt>
                <c:pt idx="483">
                  <c:v>-28.738248113006865</c:v>
                </c:pt>
                <c:pt idx="484">
                  <c:v>-28.816958940258253</c:v>
                </c:pt>
                <c:pt idx="485">
                  <c:v>-28.897097941788338</c:v>
                </c:pt>
                <c:pt idx="486">
                  <c:v>-28.976855587304648</c:v>
                </c:pt>
                <c:pt idx="487">
                  <c:v>-29.056235468122438</c:v>
                </c:pt>
                <c:pt idx="488">
                  <c:v>-29.135241132228273</c:v>
                </c:pt>
                <c:pt idx="489">
                  <c:v>-29.215745127455289</c:v>
                </c:pt>
                <c:pt idx="490">
                  <c:v>-29.295864252380881</c:v>
                </c:pt>
                <c:pt idx="491">
                  <c:v>-29.375602178377918</c:v>
                </c:pt>
                <c:pt idx="492">
                  <c:v>-29.454962532415344</c:v>
                </c:pt>
                <c:pt idx="493">
                  <c:v>-29.53578258701619</c:v>
                </c:pt>
                <c:pt idx="494">
                  <c:v>-29.616214836715542</c:v>
                </c:pt>
                <c:pt idx="495">
                  <c:v>-29.696263028091355</c:v>
                </c:pt>
                <c:pt idx="496">
                  <c:v>-29.775930862237008</c:v>
                </c:pt>
                <c:pt idx="497">
                  <c:v>-29.85707227919541</c:v>
                </c:pt>
                <c:pt idx="498">
                  <c:v>-29.937823036845458</c:v>
                </c:pt>
                <c:pt idx="499">
                  <c:v>-30.018186959020245</c:v>
                </c:pt>
                <c:pt idx="500">
                  <c:v>-30.098167822867957</c:v>
                </c:pt>
                <c:pt idx="501">
                  <c:v>-30.179634833682549</c:v>
                </c:pt>
                <c:pt idx="502">
                  <c:v>-30.260708436904661</c:v>
                </c:pt>
                <c:pt idx="503">
                  <c:v>-30.341392535146909</c:v>
                </c:pt>
                <c:pt idx="504">
                  <c:v>-30.42169098302201</c:v>
                </c:pt>
                <c:pt idx="505">
                  <c:v>-30.503437449123517</c:v>
                </c:pt>
                <c:pt idx="506">
                  <c:v>-30.584788367388359</c:v>
                </c:pt>
                <c:pt idx="507">
                  <c:v>-30.665747713001853</c:v>
                </c:pt>
                <c:pt idx="508">
                  <c:v>-30.74631941184451</c:v>
                </c:pt>
                <c:pt idx="509">
                  <c:v>-30.82835072029253</c:v>
                </c:pt>
                <c:pt idx="510">
                  <c:v>-30.9099844678395</c:v>
                </c:pt>
                <c:pt idx="511">
                  <c:v>-30.991224702854304</c:v>
                </c:pt>
                <c:pt idx="512">
                  <c:v>-31.072075422993301</c:v>
                </c:pt>
                <c:pt idx="513">
                  <c:v>-31.154443816021541</c:v>
                </c:pt>
                <c:pt idx="514">
                  <c:v>-31.236412322662083</c:v>
                </c:pt>
                <c:pt idx="515">
                  <c:v>-31.317985071647648</c:v>
                </c:pt>
                <c:pt idx="516">
                  <c:v>-31.399166139375211</c:v>
                </c:pt>
                <c:pt idx="517">
                  <c:v>-31.48182629000242</c:v>
                </c:pt>
                <c:pt idx="518">
                  <c:v>-31.56408487469205</c:v>
                </c:pt>
                <c:pt idx="519">
                  <c:v>-31.645946094755498</c:v>
                </c:pt>
                <c:pt idx="520">
                  <c:v>-31.727414097578976</c:v>
                </c:pt>
                <c:pt idx="521">
                  <c:v>-31.810369677679478</c:v>
                </c:pt>
                <c:pt idx="522">
                  <c:v>-31.892922196609319</c:v>
                </c:pt>
                <c:pt idx="523">
                  <c:v>-31.975075927189756</c:v>
                </c:pt>
                <c:pt idx="524">
                  <c:v>-32.056835086648761</c:v>
                </c:pt>
                <c:pt idx="525">
                  <c:v>-32.140089433826525</c:v>
                </c:pt>
                <c:pt idx="526">
                  <c:v>-32.222939423916991</c:v>
                </c:pt>
                <c:pt idx="527">
                  <c:v>-32.305389399618804</c:v>
                </c:pt>
                <c:pt idx="528">
                  <c:v>-32.387443646299928</c:v>
                </c:pt>
                <c:pt idx="529">
                  <c:v>-32.470999877903338</c:v>
                </c:pt>
                <c:pt idx="530">
                  <c:v>-32.554150668610966</c:v>
                </c:pt>
                <c:pt idx="531">
                  <c:v>-32.636900428805411</c:v>
                </c:pt>
                <c:pt idx="532">
                  <c:v>-32.719253509741982</c:v>
                </c:pt>
                <c:pt idx="533">
                  <c:v>-32.803157817084582</c:v>
                </c:pt>
                <c:pt idx="534">
                  <c:v>-32.886655405015972</c:v>
                </c:pt>
                <c:pt idx="535">
                  <c:v>-32.969750755742055</c:v>
                </c:pt>
                <c:pt idx="536">
                  <c:v>-33.05244829037121</c:v>
                </c:pt>
                <c:pt idx="537">
                  <c:v>-33.136616452624324</c:v>
                </c:pt>
                <c:pt idx="538">
                  <c:v>-33.220377691466275</c:v>
                </c:pt>
                <c:pt idx="539">
                  <c:v>-33.30373654373134</c:v>
                </c:pt>
                <c:pt idx="540">
                  <c:v>-33.386697483401115</c:v>
                </c:pt>
                <c:pt idx="541">
                  <c:v>-33.471218138479777</c:v>
                </c:pt>
                <c:pt idx="542">
                  <c:v>-33.555331076345908</c:v>
                </c:pt>
                <c:pt idx="543">
                  <c:v>-33.639040898406499</c:v>
                </c:pt>
                <c:pt idx="544">
                  <c:v>-33.722352141181794</c:v>
                </c:pt>
                <c:pt idx="545">
                  <c:v>-33.807185344878562</c:v>
                </c:pt>
                <c:pt idx="546">
                  <c:v>-33.891610694481301</c:v>
                </c:pt>
                <c:pt idx="547">
                  <c:v>-33.975632844678657</c:v>
                </c:pt>
                <c:pt idx="548">
                  <c:v>-34.059256383354224</c:v>
                </c:pt>
                <c:pt idx="549">
                  <c:v>-34.14440558734772</c:v>
                </c:pt>
                <c:pt idx="550">
                  <c:v>-34.229147040172663</c:v>
                </c:pt>
                <c:pt idx="551">
                  <c:v>-34.313485444972564</c:v>
                </c:pt>
                <c:pt idx="552">
                  <c:v>-34.39742543616849</c:v>
                </c:pt>
                <c:pt idx="553">
                  <c:v>-34.482933589586722</c:v>
                </c:pt>
                <c:pt idx="554">
                  <c:v>-34.568033959681564</c:v>
                </c:pt>
                <c:pt idx="555">
                  <c:v>-34.652731299273455</c:v>
                </c:pt>
                <c:pt idx="556">
                  <c:v>-34.737030290428606</c:v>
                </c:pt>
                <c:pt idx="557">
                  <c:v>-34.90836054244879</c:v>
                </c:pt>
                <c:pt idx="558">
                  <c:v>-35.078079684008962</c:v>
                </c:pt>
                <c:pt idx="559">
                  <c:v>-35.250061185007084</c:v>
                </c:pt>
                <c:pt idx="560">
                  <c:v>-35.420435036420251</c:v>
                </c:pt>
                <c:pt idx="561">
                  <c:v>-35.593225219944159</c:v>
                </c:pt>
                <c:pt idx="562">
                  <c:v>-35.764409329388876</c:v>
                </c:pt>
                <c:pt idx="563">
                  <c:v>-35.93764828409963</c:v>
                </c:pt>
                <c:pt idx="564">
                  <c:v>-36.109290366046885</c:v>
                </c:pt>
                <c:pt idx="565">
                  <c:v>-36.28364154285277</c:v>
                </c:pt>
                <c:pt idx="566">
                  <c:v>-36.456393838605294</c:v>
                </c:pt>
                <c:pt idx="567">
                  <c:v>-36.63177586926659</c:v>
                </c:pt>
                <c:pt idx="568">
                  <c:v>-36.8055595163001</c:v>
                </c:pt>
                <c:pt idx="569">
                  <c:v>-36.981212155211175</c:v>
                </c:pt>
                <c:pt idx="570">
                  <c:v>-37.15528148703229</c:v>
                </c:pt>
                <c:pt idx="571">
                  <c:v>-37.332520254935858</c:v>
                </c:pt>
                <c:pt idx="572">
                  <c:v>-37.50816797873091</c:v>
                </c:pt>
                <c:pt idx="573">
                  <c:v>-37.685570907968781</c:v>
                </c:pt>
                <c:pt idx="574">
                  <c:v>-37.861401149263173</c:v>
                </c:pt>
                <c:pt idx="575">
                  <c:v>-38.040246078633068</c:v>
                </c:pt>
                <c:pt idx="576">
                  <c:v>-38.217514687987808</c:v>
                </c:pt>
                <c:pt idx="577">
                  <c:v>-38.951389690696075</c:v>
                </c:pt>
                <c:pt idx="578">
                  <c:v>-39.660320574360462</c:v>
                </c:pt>
                <c:pt idx="579">
                  <c:v>-41.137330354865668</c:v>
                </c:pt>
                <c:pt idx="580">
                  <c:v>-42.655253079088268</c:v>
                </c:pt>
                <c:pt idx="581">
                  <c:v>-44.215652137873889</c:v>
                </c:pt>
                <c:pt idx="582">
                  <c:v>-45.822248035038335</c:v>
                </c:pt>
                <c:pt idx="583">
                  <c:v>-47.475210792382597</c:v>
                </c:pt>
                <c:pt idx="584">
                  <c:v>-49.175550616783454</c:v>
                </c:pt>
                <c:pt idx="585">
                  <c:v>-50.920388422375794</c:v>
                </c:pt>
                <c:pt idx="586">
                  <c:v>-52.70643713896655</c:v>
                </c:pt>
                <c:pt idx="587">
                  <c:v>-54.529745090143948</c:v>
                </c:pt>
                <c:pt idx="588">
                  <c:v>-56.382544527376368</c:v>
                </c:pt>
                <c:pt idx="589">
                  <c:v>-58.259555599175492</c:v>
                </c:pt>
                <c:pt idx="590">
                  <c:v>-60.152958998989931</c:v>
                </c:pt>
                <c:pt idx="591">
                  <c:v>-62.055805634603843</c:v>
                </c:pt>
                <c:pt idx="592">
                  <c:v>-63.961052149990621</c:v>
                </c:pt>
                <c:pt idx="593">
                  <c:v>-65.863073741696951</c:v>
                </c:pt>
                <c:pt idx="594">
                  <c:v>-67.755979431964931</c:v>
                </c:pt>
                <c:pt idx="595">
                  <c:v>-69.635701379807003</c:v>
                </c:pt>
                <c:pt idx="596">
                  <c:v>-71.498415744395047</c:v>
                </c:pt>
                <c:pt idx="597">
                  <c:v>-73.342088307005852</c:v>
                </c:pt>
                <c:pt idx="598">
                  <c:v>-75.164788914997857</c:v>
                </c:pt>
                <c:pt idx="599">
                  <c:v>-76.966366059169985</c:v>
                </c:pt>
                <c:pt idx="600">
                  <c:v>-78.746651529893285</c:v>
                </c:pt>
              </c:numCache>
            </c:numRef>
          </c:yVal>
          <c:smooth val="0"/>
          <c:extLst>
            <c:ext xmlns:c16="http://schemas.microsoft.com/office/drawing/2014/chart" uri="{C3380CC4-5D6E-409C-BE32-E72D297353CC}">
              <c16:uniqueId val="{0000000B-AABE-4BC9-B8D6-5F1DC6B660E9}"/>
            </c:ext>
          </c:extLst>
        </c:ser>
        <c:dLbls>
          <c:showLegendKey val="0"/>
          <c:showVal val="0"/>
          <c:showCatName val="0"/>
          <c:showSerName val="0"/>
          <c:showPercent val="0"/>
          <c:showBubbleSize val="0"/>
        </c:dLbls>
        <c:axId val="196940928"/>
        <c:axId val="196942848"/>
      </c:scatterChart>
      <c:scatterChart>
        <c:scatterStyle val="lineMarker"/>
        <c:varyColors val="0"/>
        <c:ser>
          <c:idx val="1"/>
          <c:order val="4"/>
          <c:tx>
            <c:strRef>
              <c:f>'Stability Calculations'!$X$12</c:f>
              <c:strCache>
                <c:ptCount val="1"/>
                <c:pt idx="0">
                  <c:v>:Loop Phase Margin (°)</c:v>
                </c:pt>
              </c:strCache>
            </c:strRef>
          </c:tx>
          <c:spPr>
            <a:ln w="25400">
              <a:solidFill>
                <a:srgbClr val="0000FF"/>
              </a:solidFill>
              <a:prstDash val="solid"/>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Calculations'!$X$13:$X$613</c:f>
              <c:numCache>
                <c:formatCode>0.00</c:formatCode>
                <c:ptCount val="601"/>
                <c:pt idx="0">
                  <c:v>-74.155898715647538</c:v>
                </c:pt>
                <c:pt idx="1">
                  <c:v>-75.492090302480662</c:v>
                </c:pt>
                <c:pt idx="2">
                  <c:v>-76.725138312742075</c:v>
                </c:pt>
                <c:pt idx="3">
                  <c:v>-77.86101206279325</c:v>
                </c:pt>
                <c:pt idx="4">
                  <c:v>-78.905177365659284</c:v>
                </c:pt>
                <c:pt idx="5">
                  <c:v>-79.865447372938021</c:v>
                </c:pt>
                <c:pt idx="6">
                  <c:v>-80.746397949278602</c:v>
                </c:pt>
                <c:pt idx="7">
                  <c:v>-81.554458752342754</c:v>
                </c:pt>
                <c:pt idx="8">
                  <c:v>-82.294646790614806</c:v>
                </c:pt>
                <c:pt idx="9">
                  <c:v>-82.972844079778397</c:v>
                </c:pt>
                <c:pt idx="10">
                  <c:v>-83.593659883652222</c:v>
                </c:pt>
                <c:pt idx="11">
                  <c:v>-84.161906576363535</c:v>
                </c:pt>
                <c:pt idx="12">
                  <c:v>-84.682244376266226</c:v>
                </c:pt>
                <c:pt idx="13">
                  <c:v>-85.158258008009824</c:v>
                </c:pt>
                <c:pt idx="14">
                  <c:v>-85.594128110521353</c:v>
                </c:pt>
                <c:pt idx="15">
                  <c:v>-85.993179442482884</c:v>
                </c:pt>
                <c:pt idx="16">
                  <c:v>-86.35868835851376</c:v>
                </c:pt>
                <c:pt idx="17">
                  <c:v>-86.693599304125584</c:v>
                </c:pt>
                <c:pt idx="18">
                  <c:v>-87.000766510169882</c:v>
                </c:pt>
                <c:pt idx="19">
                  <c:v>-87.282647759589267</c:v>
                </c:pt>
                <c:pt idx="20">
                  <c:v>-87.541643856918498</c:v>
                </c:pt>
                <c:pt idx="21">
                  <c:v>-87.77986360083878</c:v>
                </c:pt>
                <c:pt idx="22">
                  <c:v>-87.999352181909117</c:v>
                </c:pt>
                <c:pt idx="23">
                  <c:v>-88.201897649128654</c:v>
                </c:pt>
                <c:pt idx="24">
                  <c:v>-88.389255361897341</c:v>
                </c:pt>
                <c:pt idx="25">
                  <c:v>-88.562972460305716</c:v>
                </c:pt>
                <c:pt idx="26">
                  <c:v>-88.724551830761214</c:v>
                </c:pt>
                <c:pt idx="27">
                  <c:v>-88.875305088269045</c:v>
                </c:pt>
                <c:pt idx="28">
                  <c:v>-89.016515475719586</c:v>
                </c:pt>
                <c:pt idx="29">
                  <c:v>-89.14929922572199</c:v>
                </c:pt>
                <c:pt idx="30">
                  <c:v>-89.275001608376741</c:v>
                </c:pt>
                <c:pt idx="31">
                  <c:v>-89.394504272753025</c:v>
                </c:pt>
                <c:pt idx="32">
                  <c:v>-89.508901862343833</c:v>
                </c:pt>
                <c:pt idx="33">
                  <c:v>-89.619082405397904</c:v>
                </c:pt>
                <c:pt idx="34">
                  <c:v>-89.726064789988214</c:v>
                </c:pt>
                <c:pt idx="35">
                  <c:v>-89.830693712721398</c:v>
                </c:pt>
                <c:pt idx="36">
                  <c:v>-89.933871398271449</c:v>
                </c:pt>
                <c:pt idx="37">
                  <c:v>-90.036525562456575</c:v>
                </c:pt>
                <c:pt idx="38">
                  <c:v>-90.139425385528213</c:v>
                </c:pt>
                <c:pt idx="39">
                  <c:v>-90.24352234331748</c:v>
                </c:pt>
                <c:pt idx="40">
                  <c:v>-90.349654609596115</c:v>
                </c:pt>
                <c:pt idx="41">
                  <c:v>-90.458723823969422</c:v>
                </c:pt>
                <c:pt idx="42">
                  <c:v>-90.571629408664336</c:v>
                </c:pt>
                <c:pt idx="43">
                  <c:v>-90.689349385259632</c:v>
                </c:pt>
                <c:pt idx="44">
                  <c:v>-90.812833898635191</c:v>
                </c:pt>
                <c:pt idx="45">
                  <c:v>-90.943132398166782</c:v>
                </c:pt>
                <c:pt idx="46">
                  <c:v>-91.081293258077878</c:v>
                </c:pt>
                <c:pt idx="47">
                  <c:v>-91.228478308424428</c:v>
                </c:pt>
                <c:pt idx="48">
                  <c:v>-91.385846393323234</c:v>
                </c:pt>
                <c:pt idx="49">
                  <c:v>-91.554702775821696</c:v>
                </c:pt>
                <c:pt idx="50">
                  <c:v>-91.736363362459556</c:v>
                </c:pt>
                <c:pt idx="51">
                  <c:v>-91.932294341140164</c:v>
                </c:pt>
                <c:pt idx="52">
                  <c:v>-92.143938292537001</c:v>
                </c:pt>
                <c:pt idx="53">
                  <c:v>-92.372885343578815</c:v>
                </c:pt>
                <c:pt idx="54">
                  <c:v>-92.620639045626419</c:v>
                </c:pt>
                <c:pt idx="55">
                  <c:v>-92.889370728545714</c:v>
                </c:pt>
                <c:pt idx="56">
                  <c:v>-93.180532253742655</c:v>
                </c:pt>
                <c:pt idx="57">
                  <c:v>-93.496174745439504</c:v>
                </c:pt>
                <c:pt idx="58">
                  <c:v>-93.837946075736738</c:v>
                </c:pt>
                <c:pt idx="59">
                  <c:v>-94.207970307044178</c:v>
                </c:pt>
                <c:pt idx="60">
                  <c:v>-94.607842429508366</c:v>
                </c:pt>
                <c:pt idx="61">
                  <c:v>-95.039276180572386</c:v>
                </c:pt>
                <c:pt idx="62">
                  <c:v>-95.503970477981738</c:v>
                </c:pt>
                <c:pt idx="63">
                  <c:v>-96.002600494980328</c:v>
                </c:pt>
                <c:pt idx="64">
                  <c:v>-96.536215532892896</c:v>
                </c:pt>
                <c:pt idx="65">
                  <c:v>-97.104660560160667</c:v>
                </c:pt>
                <c:pt idx="66">
                  <c:v>-97.707209204935864</c:v>
                </c:pt>
                <c:pt idx="67">
                  <c:v>-98.341992293332154</c:v>
                </c:pt>
                <c:pt idx="68">
                  <c:v>-99.006200574569618</c:v>
                </c:pt>
                <c:pt idx="69">
                  <c:v>-99.695249566170006</c:v>
                </c:pt>
                <c:pt idx="70">
                  <c:v>-100.40329613366463</c:v>
                </c:pt>
                <c:pt idx="71">
                  <c:v>-101.12256275037591</c:v>
                </c:pt>
                <c:pt idx="72">
                  <c:v>-101.84394823554057</c:v>
                </c:pt>
                <c:pt idx="73">
                  <c:v>-102.55659028651893</c:v>
                </c:pt>
                <c:pt idx="74">
                  <c:v>-103.24893539848442</c:v>
                </c:pt>
                <c:pt idx="75">
                  <c:v>-103.90867594534235</c:v>
                </c:pt>
                <c:pt idx="76">
                  <c:v>-104.52407070749337</c:v>
                </c:pt>
                <c:pt idx="77">
                  <c:v>-105.08426579694495</c:v>
                </c:pt>
                <c:pt idx="78">
                  <c:v>-105.58084947108625</c:v>
                </c:pt>
                <c:pt idx="79">
                  <c:v>-106.0082453554589</c:v>
                </c:pt>
                <c:pt idx="80">
                  <c:v>-106.36560519689623</c:v>
                </c:pt>
                <c:pt idx="81">
                  <c:v>-106.65504414584449</c:v>
                </c:pt>
                <c:pt idx="82">
                  <c:v>-106.8837181487099</c:v>
                </c:pt>
                <c:pt idx="83">
                  <c:v>-107.06237074950647</c:v>
                </c:pt>
                <c:pt idx="84">
                  <c:v>-107.2053686133096</c:v>
                </c:pt>
                <c:pt idx="85">
                  <c:v>-107.32933430923144</c:v>
                </c:pt>
                <c:pt idx="86">
                  <c:v>-107.4525741222532</c:v>
                </c:pt>
                <c:pt idx="87">
                  <c:v>-107.59413761444019</c:v>
                </c:pt>
                <c:pt idx="88">
                  <c:v>-107.77280110027867</c:v>
                </c:pt>
                <c:pt idx="89">
                  <c:v>-108.00698834726879</c:v>
                </c:pt>
                <c:pt idx="90">
                  <c:v>-108.31393137269268</c:v>
                </c:pt>
                <c:pt idx="91">
                  <c:v>-108.7097960565542</c:v>
                </c:pt>
                <c:pt idx="92">
                  <c:v>-109.20949195358376</c:v>
                </c:pt>
                <c:pt idx="93">
                  <c:v>-109.82710298697674</c:v>
                </c:pt>
                <c:pt idx="94">
                  <c:v>-110.00139317806466</c:v>
                </c:pt>
                <c:pt idx="95">
                  <c:v>-110.09223229955646</c:v>
                </c:pt>
                <c:pt idx="96">
                  <c:v>-110.18413948115311</c:v>
                </c:pt>
                <c:pt idx="97">
                  <c:v>-110.27925720652748</c:v>
                </c:pt>
                <c:pt idx="98">
                  <c:v>-110.3754418156548</c:v>
                </c:pt>
                <c:pt idx="99">
                  <c:v>-110.47495915334331</c:v>
                </c:pt>
                <c:pt idx="100">
                  <c:v>-110.57554113556475</c:v>
                </c:pt>
                <c:pt idx="101">
                  <c:v>-110.67950102613113</c:v>
                </c:pt>
                <c:pt idx="102">
                  <c:v>-110.78452068481842</c:v>
                </c:pt>
                <c:pt idx="103">
                  <c:v>-110.89311864528931</c:v>
                </c:pt>
                <c:pt idx="104">
                  <c:v>-111.00277205504671</c:v>
                </c:pt>
                <c:pt idx="105">
                  <c:v>-111.1160473692934</c:v>
                </c:pt>
                <c:pt idx="106">
                  <c:v>-111.23037123821626</c:v>
                </c:pt>
                <c:pt idx="107">
                  <c:v>-111.34835668302216</c:v>
                </c:pt>
                <c:pt idx="108">
                  <c:v>-111.46738137326678</c:v>
                </c:pt>
                <c:pt idx="109">
                  <c:v>-111.59018745069166</c:v>
                </c:pt>
                <c:pt idx="110">
                  <c:v>-111.71402259532688</c:v>
                </c:pt>
                <c:pt idx="111">
                  <c:v>-111.8418447107684</c:v>
                </c:pt>
                <c:pt idx="112">
                  <c:v>-111.9706861677854</c:v>
                </c:pt>
                <c:pt idx="113">
                  <c:v>-112.10355113068451</c:v>
                </c:pt>
                <c:pt idx="114">
                  <c:v>-112.23742339175435</c:v>
                </c:pt>
                <c:pt idx="115">
                  <c:v>-112.37543977997561</c:v>
                </c:pt>
                <c:pt idx="116">
                  <c:v>-112.51445051249857</c:v>
                </c:pt>
                <c:pt idx="117">
                  <c:v>-112.65772597875015</c:v>
                </c:pt>
                <c:pt idx="118">
                  <c:v>-112.80198191146066</c:v>
                </c:pt>
                <c:pt idx="119">
                  <c:v>-112.95053264289567</c:v>
                </c:pt>
                <c:pt idx="120">
                  <c:v>-113.10004787408167</c:v>
                </c:pt>
                <c:pt idx="121">
                  <c:v>-113.25397576268477</c:v>
                </c:pt>
                <c:pt idx="122">
                  <c:v>-113.40885136233686</c:v>
                </c:pt>
                <c:pt idx="123">
                  <c:v>-113.56834981272848</c:v>
                </c:pt>
                <c:pt idx="124">
                  <c:v>-113.72877940921573</c:v>
                </c:pt>
                <c:pt idx="125">
                  <c:v>-113.89385740894807</c:v>
                </c:pt>
                <c:pt idx="126">
                  <c:v>-114.05984799865215</c:v>
                </c:pt>
                <c:pt idx="127">
                  <c:v>-114.23060351008583</c:v>
                </c:pt>
                <c:pt idx="128">
                  <c:v>-114.40225219226026</c:v>
                </c:pt>
                <c:pt idx="129">
                  <c:v>-114.5787816248244</c:v>
                </c:pt>
                <c:pt idx="130">
                  <c:v>-114.7561839323435</c:v>
                </c:pt>
                <c:pt idx="131">
                  <c:v>-114.93858200402441</c:v>
                </c:pt>
                <c:pt idx="132">
                  <c:v>-115.03010231434877</c:v>
                </c:pt>
                <c:pt idx="133">
                  <c:v>-115.12183176522967</c:v>
                </c:pt>
                <c:pt idx="134">
                  <c:v>-115.21595458405172</c:v>
                </c:pt>
                <c:pt idx="135">
                  <c:v>-115.31028882761724</c:v>
                </c:pt>
                <c:pt idx="136">
                  <c:v>-115.40483066498797</c:v>
                </c:pt>
                <c:pt idx="137">
                  <c:v>-115.49957633287227</c:v>
                </c:pt>
                <c:pt idx="138">
                  <c:v>-115.59668006137721</c:v>
                </c:pt>
                <c:pt idx="139">
                  <c:v>-115.6939892299082</c:v>
                </c:pt>
                <c:pt idx="140">
                  <c:v>-115.79150002348453</c:v>
                </c:pt>
                <c:pt idx="141">
                  <c:v>-115.88920869512859</c:v>
                </c:pt>
                <c:pt idx="142">
                  <c:v>-115.98943550378316</c:v>
                </c:pt>
                <c:pt idx="143">
                  <c:v>-116.08986195198146</c:v>
                </c:pt>
                <c:pt idx="144">
                  <c:v>-116.19048423197938</c:v>
                </c:pt>
                <c:pt idx="145">
                  <c:v>-116.29129860455311</c:v>
                </c:pt>
                <c:pt idx="146">
                  <c:v>-116.39464324226728</c:v>
                </c:pt>
                <c:pt idx="147">
                  <c:v>-116.49818126868703</c:v>
                </c:pt>
                <c:pt idx="148">
                  <c:v>-116.60190889189039</c:v>
                </c:pt>
                <c:pt idx="149">
                  <c:v>-116.70582238874535</c:v>
                </c:pt>
                <c:pt idx="150">
                  <c:v>-116.81232706725014</c:v>
                </c:pt>
                <c:pt idx="151">
                  <c:v>-116.91901864345661</c:v>
                </c:pt>
                <c:pt idx="152">
                  <c:v>-117.02589334384052</c:v>
                </c:pt>
                <c:pt idx="153">
                  <c:v>-117.13294746383359</c:v>
                </c:pt>
                <c:pt idx="154">
                  <c:v>-117.2427036992643</c:v>
                </c:pt>
                <c:pt idx="155">
                  <c:v>-117.35264026228893</c:v>
                </c:pt>
                <c:pt idx="156">
                  <c:v>-117.46275339507552</c:v>
                </c:pt>
                <c:pt idx="157">
                  <c:v>-117.57303940894163</c:v>
                </c:pt>
                <c:pt idx="158">
                  <c:v>-117.68608786288144</c:v>
                </c:pt>
                <c:pt idx="159">
                  <c:v>-117.79930980130756</c:v>
                </c:pt>
                <c:pt idx="160">
                  <c:v>-117.91270148478142</c:v>
                </c:pt>
                <c:pt idx="161">
                  <c:v>-118.02625924310532</c:v>
                </c:pt>
                <c:pt idx="162">
                  <c:v>-118.1425879714087</c:v>
                </c:pt>
                <c:pt idx="163">
                  <c:v>-118.25908292144003</c:v>
                </c:pt>
                <c:pt idx="164">
                  <c:v>-118.37574037955092</c:v>
                </c:pt>
                <c:pt idx="165">
                  <c:v>-118.49255670120864</c:v>
                </c:pt>
                <c:pt idx="166">
                  <c:v>-118.61230541542841</c:v>
                </c:pt>
                <c:pt idx="167">
                  <c:v>-118.73221310641389</c:v>
                </c:pt>
                <c:pt idx="168">
                  <c:v>-118.85227607887697</c:v>
                </c:pt>
                <c:pt idx="169">
                  <c:v>-118.97249070667233</c:v>
                </c:pt>
                <c:pt idx="170">
                  <c:v>-119.09543791948957</c:v>
                </c:pt>
                <c:pt idx="171">
                  <c:v>-119.21853593197473</c:v>
                </c:pt>
                <c:pt idx="172">
                  <c:v>-119.34178109268345</c:v>
                </c:pt>
                <c:pt idx="173">
                  <c:v>-119.46516981867595</c:v>
                </c:pt>
                <c:pt idx="174">
                  <c:v>-119.59181454431564</c:v>
                </c:pt>
                <c:pt idx="175">
                  <c:v>-119.71860275239388</c:v>
                </c:pt>
                <c:pt idx="176">
                  <c:v>-119.84553079597697</c:v>
                </c:pt>
                <c:pt idx="177">
                  <c:v>-119.97259509695326</c:v>
                </c:pt>
                <c:pt idx="178">
                  <c:v>-120.10292158350218</c:v>
                </c:pt>
                <c:pt idx="179">
                  <c:v>-120.23338372071198</c:v>
                </c:pt>
                <c:pt idx="180">
                  <c:v>-120.36397787428595</c:v>
                </c:pt>
                <c:pt idx="181">
                  <c:v>-120.49470047884377</c:v>
                </c:pt>
                <c:pt idx="182">
                  <c:v>-120.62816623827342</c:v>
                </c:pt>
                <c:pt idx="183">
                  <c:v>-120.76175835710214</c:v>
                </c:pt>
                <c:pt idx="184">
                  <c:v>-120.89547326292114</c:v>
                </c:pt>
                <c:pt idx="185">
                  <c:v>-121.02930745106966</c:v>
                </c:pt>
                <c:pt idx="186">
                  <c:v>-121.16693614408288</c:v>
                </c:pt>
                <c:pt idx="187">
                  <c:v>-121.30468347000199</c:v>
                </c:pt>
                <c:pt idx="188">
                  <c:v>-121.44254584048274</c:v>
                </c:pt>
                <c:pt idx="189">
                  <c:v>-121.58051973570882</c:v>
                </c:pt>
                <c:pt idx="190">
                  <c:v>-121.72123788341692</c:v>
                </c:pt>
                <c:pt idx="191">
                  <c:v>-121.86206468272078</c:v>
                </c:pt>
                <c:pt idx="192">
                  <c:v>-122.00299661765892</c:v>
                </c:pt>
                <c:pt idx="193">
                  <c:v>-122.1440302393265</c:v>
                </c:pt>
                <c:pt idx="194">
                  <c:v>-122.28886354429106</c:v>
                </c:pt>
                <c:pt idx="195">
                  <c:v>-122.43379678819291</c:v>
                </c:pt>
                <c:pt idx="196">
                  <c:v>-122.57882645347985</c:v>
                </c:pt>
                <c:pt idx="197">
                  <c:v>-122.72394909005203</c:v>
                </c:pt>
                <c:pt idx="198">
                  <c:v>-122.87234212055431</c:v>
                </c:pt>
                <c:pt idx="199">
                  <c:v>-123.02082516257816</c:v>
                </c:pt>
                <c:pt idx="200">
                  <c:v>-123.16939474226039</c:v>
                </c:pt>
                <c:pt idx="201">
                  <c:v>-123.31804745242816</c:v>
                </c:pt>
                <c:pt idx="202">
                  <c:v>-123.46996792486205</c:v>
                </c:pt>
                <c:pt idx="203">
                  <c:v>-123.621968148882</c:v>
                </c:pt>
                <c:pt idx="204">
                  <c:v>-123.77404469875219</c:v>
                </c:pt>
                <c:pt idx="205">
                  <c:v>-123.92619421454789</c:v>
                </c:pt>
                <c:pt idx="206">
                  <c:v>-124.08213989097379</c:v>
                </c:pt>
                <c:pt idx="207">
                  <c:v>-124.23815521459123</c:v>
                </c:pt>
                <c:pt idx="208">
                  <c:v>-124.39423677728517</c:v>
                </c:pt>
                <c:pt idx="209">
                  <c:v>-124.55038123665408</c:v>
                </c:pt>
                <c:pt idx="210">
                  <c:v>-124.71085107768066</c:v>
                </c:pt>
                <c:pt idx="211">
                  <c:v>-124.87138035200836</c:v>
                </c:pt>
                <c:pt idx="212">
                  <c:v>-125.03196564216459</c:v>
                </c:pt>
                <c:pt idx="213">
                  <c:v>-125.1926035969984</c:v>
                </c:pt>
                <c:pt idx="214">
                  <c:v>-125.35649447961529</c:v>
                </c:pt>
                <c:pt idx="215">
                  <c:v>-125.52043330960582</c:v>
                </c:pt>
                <c:pt idx="216">
                  <c:v>-125.68441673435679</c:v>
                </c:pt>
                <c:pt idx="217">
                  <c:v>-125.84844146628731</c:v>
                </c:pt>
                <c:pt idx="218">
                  <c:v>-126.01624554630895</c:v>
                </c:pt>
                <c:pt idx="219">
                  <c:v>-126.18408608338474</c:v>
                </c:pt>
                <c:pt idx="220">
                  <c:v>-126.35195976089177</c:v>
                </c:pt>
                <c:pt idx="221">
                  <c:v>-126.51986332671083</c:v>
                </c:pt>
                <c:pt idx="222">
                  <c:v>-126.69153754009012</c:v>
                </c:pt>
                <c:pt idx="223">
                  <c:v>-126.86323631561086</c:v>
                </c:pt>
                <c:pt idx="224">
                  <c:v>-127.03495637781538</c:v>
                </c:pt>
                <c:pt idx="225">
                  <c:v>-127.20669451511075</c:v>
                </c:pt>
                <c:pt idx="226">
                  <c:v>-127.38272819227566</c:v>
                </c:pt>
                <c:pt idx="227">
                  <c:v>-127.55877422440899</c:v>
                </c:pt>
                <c:pt idx="228">
                  <c:v>-127.73482935263647</c:v>
                </c:pt>
                <c:pt idx="229">
                  <c:v>-127.91089038197906</c:v>
                </c:pt>
                <c:pt idx="230">
                  <c:v>-128.27157997234048</c:v>
                </c:pt>
                <c:pt idx="231">
                  <c:v>-128.45192093902352</c:v>
                </c:pt>
                <c:pt idx="232">
                  <c:v>-128.63225510356335</c:v>
                </c:pt>
                <c:pt idx="233">
                  <c:v>-128.81685990569164</c:v>
                </c:pt>
                <c:pt idx="234">
                  <c:v>-129.00145105067196</c:v>
                </c:pt>
                <c:pt idx="235">
                  <c:v>-129.18602533367735</c:v>
                </c:pt>
                <c:pt idx="236">
                  <c:v>-129.37057961342379</c:v>
                </c:pt>
                <c:pt idx="237">
                  <c:v>-129.55885466182812</c:v>
                </c:pt>
                <c:pt idx="238">
                  <c:v>-129.74710247614885</c:v>
                </c:pt>
                <c:pt idx="239">
                  <c:v>-129.93531991481825</c:v>
                </c:pt>
                <c:pt idx="240">
                  <c:v>-130.12350389875553</c:v>
                </c:pt>
                <c:pt idx="241">
                  <c:v>-130.31646149514106</c:v>
                </c:pt>
                <c:pt idx="242">
                  <c:v>-130.5093775395421</c:v>
                </c:pt>
                <c:pt idx="243">
                  <c:v>-130.70224890574593</c:v>
                </c:pt>
                <c:pt idx="244">
                  <c:v>-130.8950725302991</c:v>
                </c:pt>
                <c:pt idx="245">
                  <c:v>-131.09211678892046</c:v>
                </c:pt>
                <c:pt idx="246">
                  <c:v>-131.28910488833131</c:v>
                </c:pt>
                <c:pt idx="247">
                  <c:v>-131.48603375061933</c:v>
                </c:pt>
                <c:pt idx="248">
                  <c:v>-131.68290036009805</c:v>
                </c:pt>
                <c:pt idx="249">
                  <c:v>-131.88450095688455</c:v>
                </c:pt>
                <c:pt idx="250">
                  <c:v>-132.08603001461137</c:v>
                </c:pt>
                <c:pt idx="251">
                  <c:v>-132.28748448513778</c:v>
                </c:pt>
                <c:pt idx="252">
                  <c:v>-132.48886138259317</c:v>
                </c:pt>
                <c:pt idx="253">
                  <c:v>-132.69441713234235</c:v>
                </c:pt>
                <c:pt idx="254">
                  <c:v>-132.89988588994655</c:v>
                </c:pt>
                <c:pt idx="255">
                  <c:v>-133.10526466761073</c:v>
                </c:pt>
                <c:pt idx="256">
                  <c:v>-133.31055053911169</c:v>
                </c:pt>
                <c:pt idx="257">
                  <c:v>-133.52105514601118</c:v>
                </c:pt>
                <c:pt idx="258">
                  <c:v>-133.73145592393388</c:v>
                </c:pt>
                <c:pt idx="259">
                  <c:v>-133.94174990599487</c:v>
                </c:pt>
                <c:pt idx="260">
                  <c:v>-134.15193418736507</c:v>
                </c:pt>
                <c:pt idx="261">
                  <c:v>-134.36677895155719</c:v>
                </c:pt>
                <c:pt idx="262">
                  <c:v>-134.58150301874656</c:v>
                </c:pt>
                <c:pt idx="263">
                  <c:v>-134.79610347368143</c:v>
                </c:pt>
                <c:pt idx="264">
                  <c:v>-135.01057746291551</c:v>
                </c:pt>
                <c:pt idx="265">
                  <c:v>-135.22968392045078</c:v>
                </c:pt>
                <c:pt idx="266">
                  <c:v>-135.44865239105309</c:v>
                </c:pt>
                <c:pt idx="267">
                  <c:v>-135.66748001791771</c:v>
                </c:pt>
                <c:pt idx="268">
                  <c:v>-135.88616400571814</c:v>
                </c:pt>
                <c:pt idx="269">
                  <c:v>-136.10997847255521</c:v>
                </c:pt>
                <c:pt idx="270">
                  <c:v>-136.33363653422649</c:v>
                </c:pt>
                <c:pt idx="271">
                  <c:v>-136.55713537935895</c:v>
                </c:pt>
                <c:pt idx="272">
                  <c:v>-136.78047225823678</c:v>
                </c:pt>
                <c:pt idx="273">
                  <c:v>-137.0089059682067</c:v>
                </c:pt>
                <c:pt idx="274">
                  <c:v>-137.23716434395521</c:v>
                </c:pt>
                <c:pt idx="275">
                  <c:v>-137.46524462827031</c:v>
                </c:pt>
                <c:pt idx="276">
                  <c:v>-137.69314412567488</c:v>
                </c:pt>
                <c:pt idx="277">
                  <c:v>-137.92558046404685</c:v>
                </c:pt>
                <c:pt idx="278">
                  <c:v>-138.15782295521853</c:v>
                </c:pt>
                <c:pt idx="279">
                  <c:v>-138.38986892264791</c:v>
                </c:pt>
                <c:pt idx="280">
                  <c:v>-138.62171575096519</c:v>
                </c:pt>
                <c:pt idx="281">
                  <c:v>-138.85963286699251</c:v>
                </c:pt>
                <c:pt idx="282">
                  <c:v>-139.09733450887848</c:v>
                </c:pt>
                <c:pt idx="283">
                  <c:v>-139.33481803549904</c:v>
                </c:pt>
                <c:pt idx="284">
                  <c:v>-139.57208086789919</c:v>
                </c:pt>
                <c:pt idx="285">
                  <c:v>-139.81380691563101</c:v>
                </c:pt>
                <c:pt idx="286">
                  <c:v>-140.05529822652301</c:v>
                </c:pt>
                <c:pt idx="287">
                  <c:v>-140.29655225647335</c:v>
                </c:pt>
                <c:pt idx="288">
                  <c:v>-140.53756652281592</c:v>
                </c:pt>
                <c:pt idx="289">
                  <c:v>-140.78456223308996</c:v>
                </c:pt>
                <c:pt idx="290">
                  <c:v>-141.03130051736213</c:v>
                </c:pt>
                <c:pt idx="291">
                  <c:v>-141.27777888803388</c:v>
                </c:pt>
                <c:pt idx="292">
                  <c:v>-141.52399491971042</c:v>
                </c:pt>
                <c:pt idx="293">
                  <c:v>-141.7756268492856</c:v>
                </c:pt>
                <c:pt idx="294">
                  <c:v>-142.02697923210914</c:v>
                </c:pt>
                <c:pt idx="295">
                  <c:v>-142.27804966404304</c:v>
                </c:pt>
                <c:pt idx="296">
                  <c:v>-142.52883580327486</c:v>
                </c:pt>
                <c:pt idx="297">
                  <c:v>-142.78499014305353</c:v>
                </c:pt>
                <c:pt idx="298">
                  <c:v>-143.04084244300586</c:v>
                </c:pt>
                <c:pt idx="299">
                  <c:v>-143.29639039240917</c:v>
                </c:pt>
                <c:pt idx="300">
                  <c:v>-143.55163174288199</c:v>
                </c:pt>
                <c:pt idx="301">
                  <c:v>-143.81219184567388</c:v>
                </c:pt>
                <c:pt idx="302">
                  <c:v>-144.0724270993353</c:v>
                </c:pt>
                <c:pt idx="303">
                  <c:v>-144.3323352963121</c:v>
                </c:pt>
                <c:pt idx="304">
                  <c:v>-144.59191429130243</c:v>
                </c:pt>
                <c:pt idx="305">
                  <c:v>-144.85777890102366</c:v>
                </c:pt>
                <c:pt idx="306">
                  <c:v>-145.1232929030399</c:v>
                </c:pt>
                <c:pt idx="307">
                  <c:v>-145.38845417859329</c:v>
                </c:pt>
                <c:pt idx="308">
                  <c:v>-145.65326067193308</c:v>
                </c:pt>
                <c:pt idx="309">
                  <c:v>-145.92327923164439</c:v>
                </c:pt>
                <c:pt idx="310">
                  <c:v>-146.19292376222498</c:v>
                </c:pt>
                <c:pt idx="311">
                  <c:v>-146.46219226971573</c:v>
                </c:pt>
                <c:pt idx="312">
                  <c:v>-146.73108282281865</c:v>
                </c:pt>
                <c:pt idx="313">
                  <c:v>-147.00613783332543</c:v>
                </c:pt>
                <c:pt idx="314">
                  <c:v>-147.28079232072864</c:v>
                </c:pt>
                <c:pt idx="315">
                  <c:v>-147.55504440458284</c:v>
                </c:pt>
                <c:pt idx="316">
                  <c:v>-147.82889226756114</c:v>
                </c:pt>
                <c:pt idx="317">
                  <c:v>-148.10883971298668</c:v>
                </c:pt>
                <c:pt idx="318">
                  <c:v>-148.38835980136494</c:v>
                </c:pt>
                <c:pt idx="319">
                  <c:v>-148.66745077907632</c:v>
                </c:pt>
                <c:pt idx="320">
                  <c:v>-148.9461109559042</c:v>
                </c:pt>
                <c:pt idx="321">
                  <c:v>-149.23080395848808</c:v>
                </c:pt>
                <c:pt idx="322">
                  <c:v>-149.51504250657669</c:v>
                </c:pt>
                <c:pt idx="323">
                  <c:v>-149.79882498635169</c:v>
                </c:pt>
                <c:pt idx="324">
                  <c:v>-150.08214984750452</c:v>
                </c:pt>
                <c:pt idx="325">
                  <c:v>-150.37143902196439</c:v>
                </c:pt>
                <c:pt idx="326">
                  <c:v>-150.66024645783818</c:v>
                </c:pt>
                <c:pt idx="327">
                  <c:v>-150.94857069367785</c:v>
                </c:pt>
                <c:pt idx="328">
                  <c:v>-151.23641033146944</c:v>
                </c:pt>
                <c:pt idx="329">
                  <c:v>-151.53063491156146</c:v>
                </c:pt>
                <c:pt idx="330">
                  <c:v>-151.8243486527345</c:v>
                </c:pt>
                <c:pt idx="331">
                  <c:v>-152.11755025164578</c:v>
                </c:pt>
                <c:pt idx="332">
                  <c:v>-152.41023846854159</c:v>
                </c:pt>
                <c:pt idx="333">
                  <c:v>-152.70874741003149</c:v>
                </c:pt>
                <c:pt idx="334">
                  <c:v>-153.00671802440917</c:v>
                </c:pt>
                <c:pt idx="335">
                  <c:v>-153.30414918575536</c:v>
                </c:pt>
                <c:pt idx="336">
                  <c:v>-153.60103983126115</c:v>
                </c:pt>
                <c:pt idx="337">
                  <c:v>-153.90464561180787</c:v>
                </c:pt>
                <c:pt idx="338">
                  <c:v>-154.20768199428011</c:v>
                </c:pt>
                <c:pt idx="339">
                  <c:v>-154.5101480323672</c:v>
                </c:pt>
                <c:pt idx="340">
                  <c:v>-154.81204284298539</c:v>
                </c:pt>
                <c:pt idx="341">
                  <c:v>-155.12056727049318</c:v>
                </c:pt>
                <c:pt idx="342">
                  <c:v>-155.42849113500063</c:v>
                </c:pt>
                <c:pt idx="343">
                  <c:v>-155.73581368487442</c:v>
                </c:pt>
                <c:pt idx="344">
                  <c:v>-156.04253423155575</c:v>
                </c:pt>
                <c:pt idx="345">
                  <c:v>-156.35532089822919</c:v>
                </c:pt>
                <c:pt idx="346">
                  <c:v>-156.66747776123751</c:v>
                </c:pt>
                <c:pt idx="347">
                  <c:v>-156.97900428025</c:v>
                </c:pt>
                <c:pt idx="348">
                  <c:v>-157.28989997720413</c:v>
                </c:pt>
                <c:pt idx="349">
                  <c:v>-157.60772397162012</c:v>
                </c:pt>
                <c:pt idx="350">
                  <c:v>-157.92488517500922</c:v>
                </c:pt>
                <c:pt idx="351">
                  <c:v>-158.24138326671988</c:v>
                </c:pt>
                <c:pt idx="352">
                  <c:v>-158.55721798803933</c:v>
                </c:pt>
                <c:pt idx="353">
                  <c:v>-158.87988512669895</c:v>
                </c:pt>
                <c:pt idx="354">
                  <c:v>-159.20185657317307</c:v>
                </c:pt>
                <c:pt idx="355">
                  <c:v>-159.52313224139175</c:v>
                </c:pt>
                <c:pt idx="356">
                  <c:v>-159.84371210657054</c:v>
                </c:pt>
                <c:pt idx="357">
                  <c:v>-160.17056267137974</c:v>
                </c:pt>
                <c:pt idx="358">
                  <c:v>-160.49668689867676</c:v>
                </c:pt>
                <c:pt idx="359">
                  <c:v>-160.82208494996183</c:v>
                </c:pt>
                <c:pt idx="360">
                  <c:v>-161.14675704669983</c:v>
                </c:pt>
                <c:pt idx="361">
                  <c:v>-161.47852818231354</c:v>
                </c:pt>
                <c:pt idx="362">
                  <c:v>-161.80953848470747</c:v>
                </c:pt>
                <c:pt idx="363">
                  <c:v>-162.13978837685954</c:v>
                </c:pt>
                <c:pt idx="364">
                  <c:v>-162.46927834074143</c:v>
                </c:pt>
                <c:pt idx="365">
                  <c:v>-162.80530541883817</c:v>
                </c:pt>
                <c:pt idx="366">
                  <c:v>-163.14053961876988</c:v>
                </c:pt>
                <c:pt idx="367">
                  <c:v>-163.4749816358121</c:v>
                </c:pt>
                <c:pt idx="368">
                  <c:v>-163.80863222258137</c:v>
                </c:pt>
                <c:pt idx="369">
                  <c:v>-164.14962288712397</c:v>
                </c:pt>
                <c:pt idx="370">
                  <c:v>-164.48978471310252</c:v>
                </c:pt>
                <c:pt idx="371">
                  <c:v>-164.8291186860294</c:v>
                </c:pt>
                <c:pt idx="372">
                  <c:v>-165.1676258473554</c:v>
                </c:pt>
                <c:pt idx="373">
                  <c:v>-165.5129112906273</c:v>
                </c:pt>
                <c:pt idx="374">
                  <c:v>-165.85733459282395</c:v>
                </c:pt>
                <c:pt idx="375">
                  <c:v>-166.20089703783501</c:v>
                </c:pt>
                <c:pt idx="376">
                  <c:v>-166.5435999633967</c:v>
                </c:pt>
                <c:pt idx="377">
                  <c:v>-166.89385812819944</c:v>
                </c:pt>
                <c:pt idx="378">
                  <c:v>-167.24321689820209</c:v>
                </c:pt>
                <c:pt idx="379">
                  <c:v>-167.59167787716456</c:v>
                </c:pt>
                <c:pt idx="380">
                  <c:v>-167.93924272075094</c:v>
                </c:pt>
                <c:pt idx="381">
                  <c:v>-168.29336331321986</c:v>
                </c:pt>
                <c:pt idx="382">
                  <c:v>-168.6465524381322</c:v>
                </c:pt>
                <c:pt idx="383">
                  <c:v>-168.99881201679429</c:v>
                </c:pt>
                <c:pt idx="384">
                  <c:v>-169.3501440195482</c:v>
                </c:pt>
                <c:pt idx="385">
                  <c:v>-169.70922290280964</c:v>
                </c:pt>
                <c:pt idx="386">
                  <c:v>-170.067332003953</c:v>
                </c:pt>
                <c:pt idx="387">
                  <c:v>-170.42447359226892</c:v>
                </c:pt>
                <c:pt idx="388">
                  <c:v>-170.78064998353142</c:v>
                </c:pt>
                <c:pt idx="389">
                  <c:v>-171.14401313448488</c:v>
                </c:pt>
                <c:pt idx="390">
                  <c:v>-171.50637127260941</c:v>
                </c:pt>
                <c:pt idx="391">
                  <c:v>-171.86772701641135</c:v>
                </c:pt>
                <c:pt idx="392">
                  <c:v>-172.2280830276577</c:v>
                </c:pt>
                <c:pt idx="393">
                  <c:v>-172.59550129332524</c:v>
                </c:pt>
                <c:pt idx="394">
                  <c:v>-172.96188017547664</c:v>
                </c:pt>
                <c:pt idx="395">
                  <c:v>-173.3272226479715</c:v>
                </c:pt>
                <c:pt idx="396">
                  <c:v>-173.69153172430458</c:v>
                </c:pt>
                <c:pt idx="397">
                  <c:v>-174.06361715457524</c:v>
                </c:pt>
                <c:pt idx="398">
                  <c:v>-174.43462492281705</c:v>
                </c:pt>
                <c:pt idx="399">
                  <c:v>-174.80455838506745</c:v>
                </c:pt>
                <c:pt idx="400">
                  <c:v>-175.17342093330973</c:v>
                </c:pt>
                <c:pt idx="401">
                  <c:v>-175.54950607171588</c:v>
                </c:pt>
                <c:pt idx="402">
                  <c:v>-175.92447868325519</c:v>
                </c:pt>
                <c:pt idx="403">
                  <c:v>-176.29834249985714</c:v>
                </c:pt>
                <c:pt idx="404">
                  <c:v>-176.67110128511723</c:v>
                </c:pt>
                <c:pt idx="405">
                  <c:v>-177.05136038341493</c:v>
                </c:pt>
                <c:pt idx="406">
                  <c:v>-177.43047069543914</c:v>
                </c:pt>
                <c:pt idx="407">
                  <c:v>-177.80843634403797</c:v>
                </c:pt>
                <c:pt idx="408">
                  <c:v>-178.18526147918911</c:v>
                </c:pt>
                <c:pt idx="409">
                  <c:v>-178.56985252975869</c:v>
                </c:pt>
                <c:pt idx="410">
                  <c:v>-178.95325717144374</c:v>
                </c:pt>
                <c:pt idx="411">
                  <c:v>-179.33547993371533</c:v>
                </c:pt>
                <c:pt idx="412">
                  <c:v>-179.71652536834151</c:v>
                </c:pt>
                <c:pt idx="413">
                  <c:v>179.89480950305401</c:v>
                </c:pt>
                <c:pt idx="414">
                  <c:v>179.50736721613805</c:v>
                </c:pt>
                <c:pt idx="415">
                  <c:v>179.12114283392592</c:v>
                </c:pt>
                <c:pt idx="416">
                  <c:v>178.7361314023693</c:v>
                </c:pt>
                <c:pt idx="417">
                  <c:v>178.34325143500604</c:v>
                </c:pt>
                <c:pt idx="418">
                  <c:v>177.95163200750397</c:v>
                </c:pt>
                <c:pt idx="419">
                  <c:v>177.5612677608016</c:v>
                </c:pt>
                <c:pt idx="420">
                  <c:v>177.17215332431755</c:v>
                </c:pt>
                <c:pt idx="421">
                  <c:v>176.77571270466703</c:v>
                </c:pt>
                <c:pt idx="422">
                  <c:v>176.38056645526231</c:v>
                </c:pt>
                <c:pt idx="423">
                  <c:v>175.98670881430959</c:v>
                </c:pt>
                <c:pt idx="424">
                  <c:v>175.59413401441665</c:v>
                </c:pt>
                <c:pt idx="425">
                  <c:v>175.19322394464314</c:v>
                </c:pt>
                <c:pt idx="426">
                  <c:v>174.7936483550381</c:v>
                </c:pt>
                <c:pt idx="427">
                  <c:v>174.39540103393986</c:v>
                </c:pt>
                <c:pt idx="428">
                  <c:v>173.99847577027626</c:v>
                </c:pt>
                <c:pt idx="429">
                  <c:v>173.59376114557963</c:v>
                </c:pt>
                <c:pt idx="430">
                  <c:v>173.19041709752807</c:v>
                </c:pt>
                <c:pt idx="431">
                  <c:v>172.78843698729003</c:v>
                </c:pt>
                <c:pt idx="432">
                  <c:v>172.38781418313775</c:v>
                </c:pt>
                <c:pt idx="433">
                  <c:v>171.97955989084863</c:v>
                </c:pt>
                <c:pt idx="434">
                  <c:v>171.57271077303213</c:v>
                </c:pt>
                <c:pt idx="435">
                  <c:v>171.16725977183134</c:v>
                </c:pt>
                <c:pt idx="436">
                  <c:v>170.76319984324755</c:v>
                </c:pt>
                <c:pt idx="437">
                  <c:v>170.35092688426232</c:v>
                </c:pt>
                <c:pt idx="438">
                  <c:v>169.94009732021871</c:v>
                </c:pt>
                <c:pt idx="439">
                  <c:v>169.53070364438742</c:v>
                </c:pt>
                <c:pt idx="440">
                  <c:v>169.12273837098169</c:v>
                </c:pt>
                <c:pt idx="441">
                  <c:v>168.70673097226006</c:v>
                </c:pt>
                <c:pt idx="442">
                  <c:v>168.29220358060871</c:v>
                </c:pt>
                <c:pt idx="443">
                  <c:v>167.87914825051345</c:v>
                </c:pt>
                <c:pt idx="444">
                  <c:v>167.46755706470009</c:v>
                </c:pt>
                <c:pt idx="445">
                  <c:v>167.04809328696771</c:v>
                </c:pt>
                <c:pt idx="446">
                  <c:v>166.63014448302064</c:v>
                </c:pt>
                <c:pt idx="447">
                  <c:v>166.21370228100113</c:v>
                </c:pt>
                <c:pt idx="448">
                  <c:v>165.79875834473168</c:v>
                </c:pt>
                <c:pt idx="449">
                  <c:v>165.37540254858919</c:v>
                </c:pt>
                <c:pt idx="450">
                  <c:v>164.95360020429186</c:v>
                </c:pt>
                <c:pt idx="451">
                  <c:v>164.53334248404764</c:v>
                </c:pt>
                <c:pt idx="452">
                  <c:v>164.11462060355063</c:v>
                </c:pt>
                <c:pt idx="453">
                  <c:v>163.68801723841253</c:v>
                </c:pt>
                <c:pt idx="454">
                  <c:v>163.26300146305312</c:v>
                </c:pt>
                <c:pt idx="455">
                  <c:v>162.83956403101308</c:v>
                </c:pt>
                <c:pt idx="456">
                  <c:v>162.41769574705083</c:v>
                </c:pt>
                <c:pt idx="457">
                  <c:v>161.98743176057124</c:v>
                </c:pt>
                <c:pt idx="458">
                  <c:v>161.55879294794744</c:v>
                </c:pt>
                <c:pt idx="459">
                  <c:v>161.13176961525627</c:v>
                </c:pt>
                <c:pt idx="460">
                  <c:v>160.70635212788051</c:v>
                </c:pt>
                <c:pt idx="461">
                  <c:v>160.27272497336077</c:v>
                </c:pt>
                <c:pt idx="462">
                  <c:v>159.84075876470783</c:v>
                </c:pt>
                <c:pt idx="463">
                  <c:v>159.410443378233</c:v>
                </c:pt>
                <c:pt idx="464">
                  <c:v>158.98176875763187</c:v>
                </c:pt>
                <c:pt idx="465">
                  <c:v>158.54473555256428</c:v>
                </c:pt>
                <c:pt idx="466">
                  <c:v>158.10939983035203</c:v>
                </c:pt>
                <c:pt idx="467">
                  <c:v>157.67575103292256</c:v>
                </c:pt>
                <c:pt idx="468">
                  <c:v>157.2437786778147</c:v>
                </c:pt>
                <c:pt idx="469">
                  <c:v>156.80363744715785</c:v>
                </c:pt>
                <c:pt idx="470">
                  <c:v>156.36522837770292</c:v>
                </c:pt>
                <c:pt idx="471">
                  <c:v>155.92854049742368</c:v>
                </c:pt>
                <c:pt idx="472">
                  <c:v>155.49356291801777</c:v>
                </c:pt>
                <c:pt idx="473">
                  <c:v>155.04995858422294</c:v>
                </c:pt>
                <c:pt idx="474">
                  <c:v>154.60812438032855</c:v>
                </c:pt>
                <c:pt idx="475">
                  <c:v>154.16804889252398</c:v>
                </c:pt>
                <c:pt idx="476">
                  <c:v>153.72972079918603</c:v>
                </c:pt>
                <c:pt idx="477">
                  <c:v>153.28296659791067</c:v>
                </c:pt>
                <c:pt idx="478">
                  <c:v>152.83801855971944</c:v>
                </c:pt>
                <c:pt idx="479">
                  <c:v>152.39486485131397</c:v>
                </c:pt>
                <c:pt idx="480">
                  <c:v>151.95349373986434</c:v>
                </c:pt>
                <c:pt idx="481">
                  <c:v>151.5038947672565</c:v>
                </c:pt>
                <c:pt idx="482">
                  <c:v>151.05613606886982</c:v>
                </c:pt>
                <c:pt idx="483">
                  <c:v>150.61020541543195</c:v>
                </c:pt>
                <c:pt idx="484">
                  <c:v>150.16609068616921</c:v>
                </c:pt>
                <c:pt idx="485">
                  <c:v>149.71363645312513</c:v>
                </c:pt>
                <c:pt idx="486">
                  <c:v>149.26305725052143</c:v>
                </c:pt>
                <c:pt idx="487">
                  <c:v>148.81434045186322</c:v>
                </c:pt>
                <c:pt idx="488">
                  <c:v>148.3674735471885</c:v>
                </c:pt>
                <c:pt idx="489">
                  <c:v>147.91186330133635</c:v>
                </c:pt>
                <c:pt idx="490">
                  <c:v>147.45816598230275</c:v>
                </c:pt>
                <c:pt idx="491">
                  <c:v>147.00636853961947</c:v>
                </c:pt>
                <c:pt idx="492">
                  <c:v>146.55645804770566</c:v>
                </c:pt>
                <c:pt idx="493">
                  <c:v>146.0980175396887</c:v>
                </c:pt>
                <c:pt idx="494">
                  <c:v>145.64152584120694</c:v>
                </c:pt>
                <c:pt idx="495">
                  <c:v>145.18696950339881</c:v>
                </c:pt>
                <c:pt idx="496">
                  <c:v>144.73433521029742</c:v>
                </c:pt>
                <c:pt idx="497">
                  <c:v>144.27308923523961</c:v>
                </c:pt>
                <c:pt idx="498">
                  <c:v>143.81382847974396</c:v>
                </c:pt>
                <c:pt idx="499">
                  <c:v>143.35653909650432</c:v>
                </c:pt>
                <c:pt idx="500">
                  <c:v>142.90120737907171</c:v>
                </c:pt>
                <c:pt idx="501">
                  <c:v>142.43719201258301</c:v>
                </c:pt>
                <c:pt idx="502">
                  <c:v>141.97519876459552</c:v>
                </c:pt>
                <c:pt idx="503">
                  <c:v>141.51521338966231</c:v>
                </c:pt>
                <c:pt idx="504">
                  <c:v>141.05722179109463</c:v>
                </c:pt>
                <c:pt idx="505">
                  <c:v>140.59076638133303</c:v>
                </c:pt>
                <c:pt idx="506">
                  <c:v>140.1263679531011</c:v>
                </c:pt>
                <c:pt idx="507">
                  <c:v>139.66401188991316</c:v>
                </c:pt>
                <c:pt idx="508">
                  <c:v>139.20368373148727</c:v>
                </c:pt>
                <c:pt idx="509">
                  <c:v>138.73483127074022</c:v>
                </c:pt>
                <c:pt idx="510">
                  <c:v>138.26807113044026</c:v>
                </c:pt>
                <c:pt idx="511">
                  <c:v>137.80338832375725</c:v>
                </c:pt>
                <c:pt idx="512">
                  <c:v>137.34076802740319</c:v>
                </c:pt>
                <c:pt idx="513">
                  <c:v>136.86929980577997</c:v>
                </c:pt>
                <c:pt idx="514">
                  <c:v>136.3999621406351</c:v>
                </c:pt>
                <c:pt idx="515">
                  <c:v>135.93273964912126</c:v>
                </c:pt>
                <c:pt idx="516">
                  <c:v>135.46761711954539</c:v>
                </c:pt>
                <c:pt idx="517">
                  <c:v>134.99387942466683</c:v>
                </c:pt>
                <c:pt idx="518">
                  <c:v>134.52230841670035</c:v>
                </c:pt>
                <c:pt idx="519">
                  <c:v>134.05288834477665</c:v>
                </c:pt>
                <c:pt idx="520">
                  <c:v>133.58560363627021</c:v>
                </c:pt>
                <c:pt idx="521">
                  <c:v>133.10967064170902</c:v>
                </c:pt>
                <c:pt idx="522">
                  <c:v>132.63594083042159</c:v>
                </c:pt>
                <c:pt idx="523">
                  <c:v>132.16439808473595</c:v>
                </c:pt>
                <c:pt idx="524">
                  <c:v>131.69502647217232</c:v>
                </c:pt>
                <c:pt idx="525">
                  <c:v>131.21698225985946</c:v>
                </c:pt>
                <c:pt idx="526">
                  <c:v>130.74117805633392</c:v>
                </c:pt>
                <c:pt idx="527">
                  <c:v>130.26759737845006</c:v>
                </c:pt>
                <c:pt idx="528">
                  <c:v>129.79622393504957</c:v>
                </c:pt>
                <c:pt idx="529">
                  <c:v>129.31616223405899</c:v>
                </c:pt>
                <c:pt idx="530">
                  <c:v>128.83837765946365</c:v>
                </c:pt>
                <c:pt idx="531">
                  <c:v>128.36285336405226</c:v>
                </c:pt>
                <c:pt idx="532">
                  <c:v>127.88957269923617</c:v>
                </c:pt>
                <c:pt idx="533">
                  <c:v>127.40734839461805</c:v>
                </c:pt>
                <c:pt idx="534">
                  <c:v>126.92744097012857</c:v>
                </c:pt>
                <c:pt idx="535">
                  <c:v>126.44983318944131</c:v>
                </c:pt>
                <c:pt idx="536">
                  <c:v>125.97450802174035</c:v>
                </c:pt>
                <c:pt idx="537">
                  <c:v>125.49073455870615</c:v>
                </c:pt>
                <c:pt idx="538">
                  <c:v>125.00931314768206</c:v>
                </c:pt>
                <c:pt idx="539">
                  <c:v>124.53022621815222</c:v>
                </c:pt>
                <c:pt idx="540">
                  <c:v>124.05345641097585</c:v>
                </c:pt>
                <c:pt idx="541">
                  <c:v>123.56776304984402</c:v>
                </c:pt>
                <c:pt idx="542">
                  <c:v>123.08446185661313</c:v>
                </c:pt>
                <c:pt idx="543">
                  <c:v>122.60353487473569</c:v>
                </c:pt>
                <c:pt idx="544">
                  <c:v>122.12496436557603</c:v>
                </c:pt>
                <c:pt idx="545">
                  <c:v>121.63772889839183</c:v>
                </c:pt>
                <c:pt idx="546">
                  <c:v>121.15292345320992</c:v>
                </c:pt>
                <c:pt idx="547">
                  <c:v>120.67052971577121</c:v>
                </c:pt>
                <c:pt idx="548">
                  <c:v>120.19052959564669</c:v>
                </c:pt>
                <c:pt idx="549">
                  <c:v>119.70188984358634</c:v>
                </c:pt>
                <c:pt idx="550">
                  <c:v>119.21571806666699</c:v>
                </c:pt>
                <c:pt idx="551">
                  <c:v>118.73199559428232</c:v>
                </c:pt>
                <c:pt idx="552">
                  <c:v>118.2507039853829</c:v>
                </c:pt>
                <c:pt idx="553">
                  <c:v>117.76058089876034</c:v>
                </c:pt>
                <c:pt idx="554">
                  <c:v>117.27296609669875</c:v>
                </c:pt>
                <c:pt idx="555">
                  <c:v>116.78784052738402</c:v>
                </c:pt>
                <c:pt idx="556">
                  <c:v>116.30518537451883</c:v>
                </c:pt>
                <c:pt idx="557">
                  <c:v>115.32485560292557</c:v>
                </c:pt>
                <c:pt idx="558">
                  <c:v>114.35464250969386</c:v>
                </c:pt>
                <c:pt idx="559">
                  <c:v>113.37249894257175</c:v>
                </c:pt>
                <c:pt idx="560">
                  <c:v>112.40062222797874</c:v>
                </c:pt>
                <c:pt idx="561">
                  <c:v>111.41615989832832</c:v>
                </c:pt>
                <c:pt idx="562">
                  <c:v>110.44213207878141</c:v>
                </c:pt>
                <c:pt idx="563">
                  <c:v>109.45781038644645</c:v>
                </c:pt>
                <c:pt idx="564">
                  <c:v>108.484045773584</c:v>
                </c:pt>
                <c:pt idx="565">
                  <c:v>107.49652399426398</c:v>
                </c:pt>
                <c:pt idx="566">
                  <c:v>106.51976069619366</c:v>
                </c:pt>
                <c:pt idx="567">
                  <c:v>105.52996511638426</c:v>
                </c:pt>
                <c:pt idx="568">
                  <c:v>104.55111825705538</c:v>
                </c:pt>
                <c:pt idx="569">
                  <c:v>103.56379930521894</c:v>
                </c:pt>
                <c:pt idx="570">
                  <c:v>102.58752214033393</c:v>
                </c:pt>
                <c:pt idx="571">
                  <c:v>101.59576733351071</c:v>
                </c:pt>
                <c:pt idx="572">
                  <c:v>100.61530994640555</c:v>
                </c:pt>
                <c:pt idx="573">
                  <c:v>99.627583089800964</c:v>
                </c:pt>
                <c:pt idx="574">
                  <c:v>98.651226303295743</c:v>
                </c:pt>
                <c:pt idx="575">
                  <c:v>97.660908402652865</c:v>
                </c:pt>
                <c:pt idx="576">
                  <c:v>96.682193122572926</c:v>
                </c:pt>
                <c:pt idx="577">
                  <c:v>92.663175092320557</c:v>
                </c:pt>
                <c:pt idx="578">
                  <c:v>88.836057434048314</c:v>
                </c:pt>
                <c:pt idx="579">
                  <c:v>81.064800811679277</c:v>
                </c:pt>
                <c:pt idx="580">
                  <c:v>73.406965206980487</c:v>
                </c:pt>
                <c:pt idx="581">
                  <c:v>65.92840181245549</c:v>
                </c:pt>
                <c:pt idx="582">
                  <c:v>58.680958093948675</c:v>
                </c:pt>
                <c:pt idx="583">
                  <c:v>51.726501158596648</c:v>
                </c:pt>
                <c:pt idx="584">
                  <c:v>45.113842657339887</c:v>
                </c:pt>
                <c:pt idx="585">
                  <c:v>38.895884066058898</c:v>
                </c:pt>
                <c:pt idx="586">
                  <c:v>33.113188758578417</c:v>
                </c:pt>
                <c:pt idx="587">
                  <c:v>27.795291593064064</c:v>
                </c:pt>
                <c:pt idx="588">
                  <c:v>22.969019060178198</c:v>
                </c:pt>
                <c:pt idx="589">
                  <c:v>18.640964961677582</c:v>
                </c:pt>
                <c:pt idx="590">
                  <c:v>14.812484051241938</c:v>
                </c:pt>
                <c:pt idx="591">
                  <c:v>11.472343813360681</c:v>
                </c:pt>
                <c:pt idx="592">
                  <c:v>8.600807071722727</c:v>
                </c:pt>
                <c:pt idx="593">
                  <c:v>6.1691553380944129</c:v>
                </c:pt>
                <c:pt idx="594">
                  <c:v>4.1440883012415384</c:v>
                </c:pt>
                <c:pt idx="595">
                  <c:v>2.4869132236705127</c:v>
                </c:pt>
                <c:pt idx="596">
                  <c:v>1.1572042306650019</c:v>
                </c:pt>
                <c:pt idx="597">
                  <c:v>0.11314574693267332</c:v>
                </c:pt>
                <c:pt idx="598">
                  <c:v>-0.6857836025819779</c:v>
                </c:pt>
                <c:pt idx="599">
                  <c:v>-1.2785442162165168</c:v>
                </c:pt>
                <c:pt idx="600">
                  <c:v>-1.7007868546083955</c:v>
                </c:pt>
              </c:numCache>
            </c:numRef>
          </c:yVal>
          <c:smooth val="0"/>
          <c:extLst>
            <c:ext xmlns:c16="http://schemas.microsoft.com/office/drawing/2014/chart" uri="{C3380CC4-5D6E-409C-BE32-E72D297353CC}">
              <c16:uniqueId val="{0000000D-AABE-4BC9-B8D6-5F1DC6B660E9}"/>
            </c:ext>
          </c:extLst>
        </c:ser>
        <c:ser>
          <c:idx val="8"/>
          <c:order val="5"/>
          <c:tx>
            <c:strRef>
              <c:f>'Stability Calculations'!$Y$12</c:f>
              <c:strCache>
                <c:ptCount val="1"/>
                <c:pt idx="0">
                  <c:v>Phase (°)</c:v>
                </c:pt>
              </c:strCache>
            </c:strRef>
          </c:tx>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Calculations'!$Y$13:$Y$613</c:f>
              <c:numCache>
                <c:formatCode>0.00</c:formatCode>
                <c:ptCount val="601"/>
                <c:pt idx="0">
                  <c:v>105.84410128435246</c:v>
                </c:pt>
                <c:pt idx="1">
                  <c:v>104.50790969751934</c:v>
                </c:pt>
                <c:pt idx="2">
                  <c:v>103.27486168725792</c:v>
                </c:pt>
                <c:pt idx="3">
                  <c:v>102.13898793720675</c:v>
                </c:pt>
                <c:pt idx="4">
                  <c:v>101.09482263434072</c:v>
                </c:pt>
                <c:pt idx="5">
                  <c:v>100.13455262706198</c:v>
                </c:pt>
                <c:pt idx="6">
                  <c:v>99.253602050721398</c:v>
                </c:pt>
                <c:pt idx="7">
                  <c:v>98.445541247657246</c:v>
                </c:pt>
                <c:pt idx="8">
                  <c:v>97.705353209385194</c:v>
                </c:pt>
                <c:pt idx="9">
                  <c:v>97.027155920221603</c:v>
                </c:pt>
                <c:pt idx="10">
                  <c:v>96.406340116347778</c:v>
                </c:pt>
                <c:pt idx="11">
                  <c:v>95.838093423636465</c:v>
                </c:pt>
                <c:pt idx="12">
                  <c:v>95.317755623733774</c:v>
                </c:pt>
                <c:pt idx="13">
                  <c:v>94.841741991990176</c:v>
                </c:pt>
                <c:pt idx="14">
                  <c:v>94.405871889478647</c:v>
                </c:pt>
                <c:pt idx="15">
                  <c:v>94.006820557517116</c:v>
                </c:pt>
                <c:pt idx="16">
                  <c:v>93.64131164148624</c:v>
                </c:pt>
                <c:pt idx="17">
                  <c:v>93.306400695874416</c:v>
                </c:pt>
                <c:pt idx="18">
                  <c:v>92.999233489830118</c:v>
                </c:pt>
                <c:pt idx="19">
                  <c:v>92.717352240410733</c:v>
                </c:pt>
                <c:pt idx="20">
                  <c:v>92.458356143081502</c:v>
                </c:pt>
                <c:pt idx="21">
                  <c:v>92.22013639916122</c:v>
                </c:pt>
                <c:pt idx="22">
                  <c:v>92.000647818090883</c:v>
                </c:pt>
                <c:pt idx="23">
                  <c:v>91.798102350871346</c:v>
                </c:pt>
                <c:pt idx="24">
                  <c:v>91.610744638102659</c:v>
                </c:pt>
                <c:pt idx="25">
                  <c:v>91.437027539694284</c:v>
                </c:pt>
                <c:pt idx="26">
                  <c:v>91.275448169238786</c:v>
                </c:pt>
                <c:pt idx="27">
                  <c:v>91.124694911730955</c:v>
                </c:pt>
                <c:pt idx="28">
                  <c:v>90.983484524280414</c:v>
                </c:pt>
                <c:pt idx="29">
                  <c:v>90.85070077427801</c:v>
                </c:pt>
                <c:pt idx="30">
                  <c:v>90.724998391623259</c:v>
                </c:pt>
                <c:pt idx="31">
                  <c:v>90.605495727246975</c:v>
                </c:pt>
                <c:pt idx="32">
                  <c:v>90.491098137656167</c:v>
                </c:pt>
                <c:pt idx="33">
                  <c:v>90.380917594602096</c:v>
                </c:pt>
                <c:pt idx="34">
                  <c:v>90.273935210011786</c:v>
                </c:pt>
                <c:pt idx="35">
                  <c:v>90.169306287278602</c:v>
                </c:pt>
                <c:pt idx="36">
                  <c:v>90.066128601728551</c:v>
                </c:pt>
                <c:pt idx="37">
                  <c:v>89.963474437543425</c:v>
                </c:pt>
                <c:pt idx="38">
                  <c:v>89.860574614471787</c:v>
                </c:pt>
                <c:pt idx="39">
                  <c:v>89.75647765668252</c:v>
                </c:pt>
                <c:pt idx="40">
                  <c:v>89.650345390403885</c:v>
                </c:pt>
                <c:pt idx="41">
                  <c:v>89.541276176030578</c:v>
                </c:pt>
                <c:pt idx="42">
                  <c:v>89.428370591335664</c:v>
                </c:pt>
                <c:pt idx="43">
                  <c:v>89.310650614740368</c:v>
                </c:pt>
                <c:pt idx="44">
                  <c:v>89.187166101364809</c:v>
                </c:pt>
                <c:pt idx="45">
                  <c:v>89.056867601833218</c:v>
                </c:pt>
                <c:pt idx="46">
                  <c:v>88.918706741922122</c:v>
                </c:pt>
                <c:pt idx="47">
                  <c:v>88.771521691575572</c:v>
                </c:pt>
                <c:pt idx="48">
                  <c:v>88.614153606676766</c:v>
                </c:pt>
                <c:pt idx="49">
                  <c:v>88.445297224178304</c:v>
                </c:pt>
                <c:pt idx="50">
                  <c:v>88.263636637540444</c:v>
                </c:pt>
                <c:pt idx="51">
                  <c:v>88.067705658859836</c:v>
                </c:pt>
                <c:pt idx="52">
                  <c:v>87.856061707462999</c:v>
                </c:pt>
                <c:pt idx="53">
                  <c:v>87.627114656421185</c:v>
                </c:pt>
                <c:pt idx="54">
                  <c:v>87.379360954373581</c:v>
                </c:pt>
                <c:pt idx="55">
                  <c:v>87.110629271454286</c:v>
                </c:pt>
                <c:pt idx="56">
                  <c:v>86.819467746257345</c:v>
                </c:pt>
                <c:pt idx="57">
                  <c:v>86.503825254560496</c:v>
                </c:pt>
                <c:pt idx="58">
                  <c:v>86.162053924263262</c:v>
                </c:pt>
                <c:pt idx="59">
                  <c:v>85.792029692955822</c:v>
                </c:pt>
                <c:pt idx="60">
                  <c:v>85.392157570491634</c:v>
                </c:pt>
                <c:pt idx="61">
                  <c:v>84.960723819427614</c:v>
                </c:pt>
                <c:pt idx="62">
                  <c:v>84.496029522018262</c:v>
                </c:pt>
                <c:pt idx="63">
                  <c:v>83.997399505019672</c:v>
                </c:pt>
                <c:pt idx="64">
                  <c:v>83.463784467107104</c:v>
                </c:pt>
                <c:pt idx="65">
                  <c:v>82.895339439839333</c:v>
                </c:pt>
                <c:pt idx="66">
                  <c:v>82.292790795064136</c:v>
                </c:pt>
                <c:pt idx="67">
                  <c:v>81.658007706667846</c:v>
                </c:pt>
                <c:pt idx="68">
                  <c:v>80.993799425430382</c:v>
                </c:pt>
                <c:pt idx="69">
                  <c:v>80.304750433829994</c:v>
                </c:pt>
                <c:pt idx="70">
                  <c:v>79.596703866335375</c:v>
                </c:pt>
                <c:pt idx="71">
                  <c:v>78.877437249624094</c:v>
                </c:pt>
                <c:pt idx="72">
                  <c:v>78.156051764459434</c:v>
                </c:pt>
                <c:pt idx="73">
                  <c:v>77.443409713481074</c:v>
                </c:pt>
                <c:pt idx="74">
                  <c:v>76.75106460151558</c:v>
                </c:pt>
                <c:pt idx="75">
                  <c:v>76.091324054657647</c:v>
                </c:pt>
                <c:pt idx="76">
                  <c:v>75.475929292506635</c:v>
                </c:pt>
                <c:pt idx="77">
                  <c:v>74.915734203055052</c:v>
                </c:pt>
                <c:pt idx="78">
                  <c:v>74.419150528913747</c:v>
                </c:pt>
                <c:pt idx="79">
                  <c:v>73.991754644541103</c:v>
                </c:pt>
                <c:pt idx="80">
                  <c:v>73.634394803103774</c:v>
                </c:pt>
                <c:pt idx="81">
                  <c:v>73.344955854155515</c:v>
                </c:pt>
                <c:pt idx="82">
                  <c:v>73.116281851290097</c:v>
                </c:pt>
                <c:pt idx="83">
                  <c:v>72.937629250493529</c:v>
                </c:pt>
                <c:pt idx="84">
                  <c:v>72.794631386690398</c:v>
                </c:pt>
                <c:pt idx="85">
                  <c:v>72.670665690768558</c:v>
                </c:pt>
                <c:pt idx="86">
                  <c:v>72.547425877746804</c:v>
                </c:pt>
                <c:pt idx="87">
                  <c:v>72.405862385559814</c:v>
                </c:pt>
                <c:pt idx="88">
                  <c:v>72.22719889972133</c:v>
                </c:pt>
                <c:pt idx="89">
                  <c:v>71.993011652731212</c:v>
                </c:pt>
                <c:pt idx="90">
                  <c:v>71.686068627307321</c:v>
                </c:pt>
                <c:pt idx="91">
                  <c:v>71.290203943445803</c:v>
                </c:pt>
                <c:pt idx="92">
                  <c:v>70.790508046416235</c:v>
                </c:pt>
                <c:pt idx="93">
                  <c:v>70.17289701302326</c:v>
                </c:pt>
                <c:pt idx="94">
                  <c:v>69.99860682193534</c:v>
                </c:pt>
                <c:pt idx="95">
                  <c:v>69.907767700443543</c:v>
                </c:pt>
                <c:pt idx="96">
                  <c:v>69.81586051884689</c:v>
                </c:pt>
                <c:pt idx="97">
                  <c:v>69.720742793472525</c:v>
                </c:pt>
                <c:pt idx="98">
                  <c:v>69.624558184345204</c:v>
                </c:pt>
                <c:pt idx="99">
                  <c:v>69.525040846656694</c:v>
                </c:pt>
                <c:pt idx="100">
                  <c:v>69.424458864435252</c:v>
                </c:pt>
                <c:pt idx="101">
                  <c:v>69.320498973868865</c:v>
                </c:pt>
                <c:pt idx="102">
                  <c:v>69.215479315181582</c:v>
                </c:pt>
                <c:pt idx="103">
                  <c:v>69.106881354710694</c:v>
                </c:pt>
                <c:pt idx="104">
                  <c:v>68.997227944953295</c:v>
                </c:pt>
                <c:pt idx="105">
                  <c:v>68.883952630706602</c:v>
                </c:pt>
                <c:pt idx="106">
                  <c:v>68.769628761783736</c:v>
                </c:pt>
                <c:pt idx="107">
                  <c:v>68.65164331697784</c:v>
                </c:pt>
                <c:pt idx="108">
                  <c:v>68.532618626733225</c:v>
                </c:pt>
                <c:pt idx="109">
                  <c:v>68.409812549308342</c:v>
                </c:pt>
                <c:pt idx="110">
                  <c:v>68.285977404673119</c:v>
                </c:pt>
                <c:pt idx="111">
                  <c:v>68.158155289231601</c:v>
                </c:pt>
                <c:pt idx="112">
                  <c:v>68.029313832214598</c:v>
                </c:pt>
                <c:pt idx="113">
                  <c:v>67.896448869315492</c:v>
                </c:pt>
                <c:pt idx="114">
                  <c:v>67.762576608245652</c:v>
                </c:pt>
                <c:pt idx="115">
                  <c:v>67.624560220024392</c:v>
                </c:pt>
                <c:pt idx="116">
                  <c:v>67.48554948750143</c:v>
                </c:pt>
                <c:pt idx="117">
                  <c:v>67.34227402124985</c:v>
                </c:pt>
                <c:pt idx="118">
                  <c:v>67.198018088539342</c:v>
                </c:pt>
                <c:pt idx="119">
                  <c:v>67.049467357104334</c:v>
                </c:pt>
                <c:pt idx="120">
                  <c:v>66.899952125918333</c:v>
                </c:pt>
                <c:pt idx="121">
                  <c:v>66.746024237315225</c:v>
                </c:pt>
                <c:pt idx="122">
                  <c:v>66.591148637663139</c:v>
                </c:pt>
                <c:pt idx="123">
                  <c:v>66.431650187271515</c:v>
                </c:pt>
                <c:pt idx="124">
                  <c:v>66.271220590784267</c:v>
                </c:pt>
                <c:pt idx="125">
                  <c:v>66.106142591051935</c:v>
                </c:pt>
                <c:pt idx="126">
                  <c:v>65.940152001347855</c:v>
                </c:pt>
                <c:pt idx="127">
                  <c:v>65.769396489914172</c:v>
                </c:pt>
                <c:pt idx="128">
                  <c:v>65.597747807739736</c:v>
                </c:pt>
                <c:pt idx="129">
                  <c:v>65.421218375175599</c:v>
                </c:pt>
                <c:pt idx="130">
                  <c:v>65.243816067656496</c:v>
                </c:pt>
                <c:pt idx="131">
                  <c:v>65.061417995975589</c:v>
                </c:pt>
                <c:pt idx="132">
                  <c:v>64.969897685651233</c:v>
                </c:pt>
                <c:pt idx="133">
                  <c:v>64.878168234770328</c:v>
                </c:pt>
                <c:pt idx="134">
                  <c:v>64.784045415948285</c:v>
                </c:pt>
                <c:pt idx="135">
                  <c:v>64.689711172382758</c:v>
                </c:pt>
                <c:pt idx="136">
                  <c:v>64.595169335012031</c:v>
                </c:pt>
                <c:pt idx="137">
                  <c:v>64.500423667127734</c:v>
                </c:pt>
                <c:pt idx="138">
                  <c:v>64.403319938622786</c:v>
                </c:pt>
                <c:pt idx="139">
                  <c:v>64.306010770091802</c:v>
                </c:pt>
                <c:pt idx="140">
                  <c:v>64.208499976515469</c:v>
                </c:pt>
                <c:pt idx="141">
                  <c:v>64.110791304871412</c:v>
                </c:pt>
                <c:pt idx="142">
                  <c:v>64.010564496216844</c:v>
                </c:pt>
                <c:pt idx="143">
                  <c:v>63.910138048018538</c:v>
                </c:pt>
                <c:pt idx="144">
                  <c:v>63.809515768020617</c:v>
                </c:pt>
                <c:pt idx="145">
                  <c:v>63.708701395446894</c:v>
                </c:pt>
                <c:pt idx="146">
                  <c:v>63.605356757732721</c:v>
                </c:pt>
                <c:pt idx="147">
                  <c:v>63.501818731312966</c:v>
                </c:pt>
                <c:pt idx="148">
                  <c:v>63.398091108109611</c:v>
                </c:pt>
                <c:pt idx="149">
                  <c:v>63.294177611254653</c:v>
                </c:pt>
                <c:pt idx="150">
                  <c:v>63.187672932749862</c:v>
                </c:pt>
                <c:pt idx="151">
                  <c:v>63.08098135654339</c:v>
                </c:pt>
                <c:pt idx="152">
                  <c:v>62.974106656159478</c:v>
                </c:pt>
                <c:pt idx="153">
                  <c:v>62.867052536166412</c:v>
                </c:pt>
                <c:pt idx="154">
                  <c:v>62.757296300735703</c:v>
                </c:pt>
                <c:pt idx="155">
                  <c:v>62.647359737711071</c:v>
                </c:pt>
                <c:pt idx="156">
                  <c:v>62.537246604924476</c:v>
                </c:pt>
                <c:pt idx="157">
                  <c:v>62.426960591058375</c:v>
                </c:pt>
                <c:pt idx="158">
                  <c:v>62.313912137118564</c:v>
                </c:pt>
                <c:pt idx="159">
                  <c:v>62.200690198692442</c:v>
                </c:pt>
                <c:pt idx="160">
                  <c:v>62.087298515218578</c:v>
                </c:pt>
                <c:pt idx="161">
                  <c:v>61.973740756894685</c:v>
                </c:pt>
                <c:pt idx="162">
                  <c:v>61.857412028591298</c:v>
                </c:pt>
                <c:pt idx="163">
                  <c:v>61.740917078559974</c:v>
                </c:pt>
                <c:pt idx="164">
                  <c:v>61.624259620449081</c:v>
                </c:pt>
                <c:pt idx="165">
                  <c:v>61.507443298791358</c:v>
                </c:pt>
                <c:pt idx="166">
                  <c:v>61.387694584571591</c:v>
                </c:pt>
                <c:pt idx="167">
                  <c:v>61.267786893586106</c:v>
                </c:pt>
                <c:pt idx="168">
                  <c:v>61.147723921123031</c:v>
                </c:pt>
                <c:pt idx="169">
                  <c:v>61.027509293327668</c:v>
                </c:pt>
                <c:pt idx="170">
                  <c:v>60.904562080510431</c:v>
                </c:pt>
                <c:pt idx="171">
                  <c:v>60.781464068025272</c:v>
                </c:pt>
                <c:pt idx="172">
                  <c:v>60.658218907316552</c:v>
                </c:pt>
                <c:pt idx="173">
                  <c:v>60.534830181324054</c:v>
                </c:pt>
                <c:pt idx="174">
                  <c:v>60.408185455684361</c:v>
                </c:pt>
                <c:pt idx="175">
                  <c:v>60.281397247606122</c:v>
                </c:pt>
                <c:pt idx="176">
                  <c:v>60.15446920402303</c:v>
                </c:pt>
                <c:pt idx="177">
                  <c:v>60.027404903046744</c:v>
                </c:pt>
                <c:pt idx="178">
                  <c:v>59.89707841649782</c:v>
                </c:pt>
                <c:pt idx="179">
                  <c:v>59.766616279288016</c:v>
                </c:pt>
                <c:pt idx="180">
                  <c:v>59.636022125714049</c:v>
                </c:pt>
                <c:pt idx="181">
                  <c:v>59.505299521156232</c:v>
                </c:pt>
                <c:pt idx="182">
                  <c:v>59.371833761726577</c:v>
                </c:pt>
                <c:pt idx="183">
                  <c:v>59.238241642897862</c:v>
                </c:pt>
                <c:pt idx="184">
                  <c:v>59.104526737078857</c:v>
                </c:pt>
                <c:pt idx="185">
                  <c:v>58.970692548930344</c:v>
                </c:pt>
                <c:pt idx="186">
                  <c:v>58.833063855917118</c:v>
                </c:pt>
                <c:pt idx="187">
                  <c:v>58.69531652999801</c:v>
                </c:pt>
                <c:pt idx="188">
                  <c:v>58.557454159517263</c:v>
                </c:pt>
                <c:pt idx="189">
                  <c:v>58.419480264291181</c:v>
                </c:pt>
                <c:pt idx="190">
                  <c:v>58.278762116583081</c:v>
                </c:pt>
                <c:pt idx="191">
                  <c:v>58.137935317279215</c:v>
                </c:pt>
                <c:pt idx="192">
                  <c:v>57.997003382341077</c:v>
                </c:pt>
                <c:pt idx="193">
                  <c:v>57.855969760673503</c:v>
                </c:pt>
                <c:pt idx="194">
                  <c:v>57.711136455708939</c:v>
                </c:pt>
                <c:pt idx="195">
                  <c:v>57.566203211807093</c:v>
                </c:pt>
                <c:pt idx="196">
                  <c:v>57.421173546520151</c:v>
                </c:pt>
                <c:pt idx="197">
                  <c:v>57.276050909947969</c:v>
                </c:pt>
                <c:pt idx="198">
                  <c:v>57.127657879445692</c:v>
                </c:pt>
                <c:pt idx="199">
                  <c:v>56.979174837421837</c:v>
                </c:pt>
                <c:pt idx="200">
                  <c:v>56.830605257739606</c:v>
                </c:pt>
                <c:pt idx="201">
                  <c:v>56.681952547571839</c:v>
                </c:pt>
                <c:pt idx="202">
                  <c:v>56.530032075137953</c:v>
                </c:pt>
                <c:pt idx="203">
                  <c:v>56.378031851117996</c:v>
                </c:pt>
                <c:pt idx="204">
                  <c:v>56.225955301247808</c:v>
                </c:pt>
                <c:pt idx="205">
                  <c:v>56.073805785452109</c:v>
                </c:pt>
                <c:pt idx="206">
                  <c:v>55.917860109026208</c:v>
                </c:pt>
                <c:pt idx="207">
                  <c:v>55.761844785408769</c:v>
                </c:pt>
                <c:pt idx="208">
                  <c:v>55.605763222714828</c:v>
                </c:pt>
                <c:pt idx="209">
                  <c:v>55.449618763345924</c:v>
                </c:pt>
                <c:pt idx="210">
                  <c:v>55.289148922319342</c:v>
                </c:pt>
                <c:pt idx="211">
                  <c:v>55.128619647991641</c:v>
                </c:pt>
                <c:pt idx="212">
                  <c:v>54.968034357835407</c:v>
                </c:pt>
                <c:pt idx="213">
                  <c:v>54.807396403001604</c:v>
                </c:pt>
                <c:pt idx="214">
                  <c:v>54.643505520384707</c:v>
                </c:pt>
                <c:pt idx="215">
                  <c:v>54.479566690394179</c:v>
                </c:pt>
                <c:pt idx="216">
                  <c:v>54.315583265643212</c:v>
                </c:pt>
                <c:pt idx="217">
                  <c:v>54.151558533712688</c:v>
                </c:pt>
                <c:pt idx="218">
                  <c:v>53.983754453691049</c:v>
                </c:pt>
                <c:pt idx="219">
                  <c:v>53.815913916615258</c:v>
                </c:pt>
                <c:pt idx="220">
                  <c:v>53.648040239108227</c:v>
                </c:pt>
                <c:pt idx="221">
                  <c:v>53.480136673289167</c:v>
                </c:pt>
                <c:pt idx="222">
                  <c:v>53.308462459909876</c:v>
                </c:pt>
                <c:pt idx="223">
                  <c:v>53.136763684389138</c:v>
                </c:pt>
                <c:pt idx="224">
                  <c:v>52.965043622184623</c:v>
                </c:pt>
                <c:pt idx="225">
                  <c:v>52.793305484889245</c:v>
                </c:pt>
                <c:pt idx="226">
                  <c:v>52.617271807724336</c:v>
                </c:pt>
                <c:pt idx="227">
                  <c:v>52.441225775591008</c:v>
                </c:pt>
                <c:pt idx="228">
                  <c:v>52.265170647363533</c:v>
                </c:pt>
                <c:pt idx="229">
                  <c:v>52.089109618020942</c:v>
                </c:pt>
                <c:pt idx="230">
                  <c:v>51.728420027659524</c:v>
                </c:pt>
                <c:pt idx="231">
                  <c:v>51.548079060976477</c:v>
                </c:pt>
                <c:pt idx="232">
                  <c:v>51.367744896436648</c:v>
                </c:pt>
                <c:pt idx="233">
                  <c:v>51.183140094308357</c:v>
                </c:pt>
                <c:pt idx="234">
                  <c:v>50.99854894932804</c:v>
                </c:pt>
                <c:pt idx="235">
                  <c:v>50.81397466632265</c:v>
                </c:pt>
                <c:pt idx="236">
                  <c:v>50.629420386576214</c:v>
                </c:pt>
                <c:pt idx="237">
                  <c:v>50.441145338171879</c:v>
                </c:pt>
                <c:pt idx="238">
                  <c:v>50.252897523851146</c:v>
                </c:pt>
                <c:pt idx="239">
                  <c:v>50.064680085181749</c:v>
                </c:pt>
                <c:pt idx="240">
                  <c:v>49.87649610124447</c:v>
                </c:pt>
                <c:pt idx="241">
                  <c:v>49.683538504858944</c:v>
                </c:pt>
                <c:pt idx="242">
                  <c:v>49.490622460457899</c:v>
                </c:pt>
                <c:pt idx="243">
                  <c:v>49.297751094254068</c:v>
                </c:pt>
                <c:pt idx="244">
                  <c:v>49.104927469700897</c:v>
                </c:pt>
                <c:pt idx="245">
                  <c:v>48.907883211079536</c:v>
                </c:pt>
                <c:pt idx="246">
                  <c:v>48.710895111668691</c:v>
                </c:pt>
                <c:pt idx="247">
                  <c:v>48.513966249380672</c:v>
                </c:pt>
                <c:pt idx="248">
                  <c:v>48.317099639901954</c:v>
                </c:pt>
                <c:pt idx="249">
                  <c:v>48.115499043115449</c:v>
                </c:pt>
                <c:pt idx="250">
                  <c:v>47.913969985388633</c:v>
                </c:pt>
                <c:pt idx="251">
                  <c:v>47.712515514862218</c:v>
                </c:pt>
                <c:pt idx="252">
                  <c:v>47.511138617406829</c:v>
                </c:pt>
                <c:pt idx="253">
                  <c:v>47.305582867657648</c:v>
                </c:pt>
                <c:pt idx="254">
                  <c:v>47.100114110053454</c:v>
                </c:pt>
                <c:pt idx="255">
                  <c:v>46.894735332389274</c:v>
                </c:pt>
                <c:pt idx="256">
                  <c:v>46.689449460888312</c:v>
                </c:pt>
                <c:pt idx="257">
                  <c:v>46.478944853988821</c:v>
                </c:pt>
                <c:pt idx="258">
                  <c:v>46.268544076066121</c:v>
                </c:pt>
                <c:pt idx="259">
                  <c:v>46.058250094005132</c:v>
                </c:pt>
                <c:pt idx="260">
                  <c:v>45.848065812634928</c:v>
                </c:pt>
                <c:pt idx="261">
                  <c:v>45.633221048442806</c:v>
                </c:pt>
                <c:pt idx="262">
                  <c:v>45.41849698125344</c:v>
                </c:pt>
                <c:pt idx="263">
                  <c:v>45.203896526318573</c:v>
                </c:pt>
                <c:pt idx="264">
                  <c:v>44.989422537084494</c:v>
                </c:pt>
                <c:pt idx="265">
                  <c:v>44.770316079549218</c:v>
                </c:pt>
                <c:pt idx="266">
                  <c:v>44.551347608946912</c:v>
                </c:pt>
                <c:pt idx="267">
                  <c:v>44.332519982082289</c:v>
                </c:pt>
                <c:pt idx="268">
                  <c:v>44.113835994281857</c:v>
                </c:pt>
                <c:pt idx="269">
                  <c:v>43.890021527444787</c:v>
                </c:pt>
                <c:pt idx="270">
                  <c:v>43.666363465773514</c:v>
                </c:pt>
                <c:pt idx="271">
                  <c:v>43.442864620641046</c:v>
                </c:pt>
                <c:pt idx="272">
                  <c:v>43.219527741763216</c:v>
                </c:pt>
                <c:pt idx="273">
                  <c:v>42.991094031793295</c:v>
                </c:pt>
                <c:pt idx="274">
                  <c:v>42.762835656044786</c:v>
                </c:pt>
                <c:pt idx="275">
                  <c:v>42.534755371729688</c:v>
                </c:pt>
                <c:pt idx="276">
                  <c:v>42.306855874325123</c:v>
                </c:pt>
                <c:pt idx="277">
                  <c:v>42.074419535953155</c:v>
                </c:pt>
                <c:pt idx="278">
                  <c:v>41.842177044781465</c:v>
                </c:pt>
                <c:pt idx="279">
                  <c:v>41.610131077352094</c:v>
                </c:pt>
                <c:pt idx="280">
                  <c:v>41.378284249034806</c:v>
                </c:pt>
                <c:pt idx="281">
                  <c:v>41.140367133007487</c:v>
                </c:pt>
                <c:pt idx="282">
                  <c:v>40.902665491121525</c:v>
                </c:pt>
                <c:pt idx="283">
                  <c:v>40.66518196450096</c:v>
                </c:pt>
                <c:pt idx="284">
                  <c:v>40.427919132100811</c:v>
                </c:pt>
                <c:pt idx="285">
                  <c:v>40.186193084368995</c:v>
                </c:pt>
                <c:pt idx="286">
                  <c:v>39.944701773476993</c:v>
                </c:pt>
                <c:pt idx="287">
                  <c:v>39.703447743526652</c:v>
                </c:pt>
                <c:pt idx="288">
                  <c:v>39.462433477184078</c:v>
                </c:pt>
                <c:pt idx="289">
                  <c:v>39.215437766910043</c:v>
                </c:pt>
                <c:pt idx="290">
                  <c:v>38.968699482637874</c:v>
                </c:pt>
                <c:pt idx="291">
                  <c:v>38.722221111966121</c:v>
                </c:pt>
                <c:pt idx="292">
                  <c:v>38.476005080289582</c:v>
                </c:pt>
                <c:pt idx="293">
                  <c:v>38.224373150714399</c:v>
                </c:pt>
                <c:pt idx="294">
                  <c:v>37.973020767890858</c:v>
                </c:pt>
                <c:pt idx="295">
                  <c:v>37.721950335956961</c:v>
                </c:pt>
                <c:pt idx="296">
                  <c:v>37.471164196725141</c:v>
                </c:pt>
                <c:pt idx="297">
                  <c:v>37.215009856946466</c:v>
                </c:pt>
                <c:pt idx="298">
                  <c:v>36.959157556994143</c:v>
                </c:pt>
                <c:pt idx="299">
                  <c:v>36.703609607590835</c:v>
                </c:pt>
                <c:pt idx="300">
                  <c:v>36.448368257118005</c:v>
                </c:pt>
                <c:pt idx="301">
                  <c:v>36.18780815432612</c:v>
                </c:pt>
                <c:pt idx="302">
                  <c:v>35.9275729006647</c:v>
                </c:pt>
                <c:pt idx="303">
                  <c:v>35.667664703687905</c:v>
                </c:pt>
                <c:pt idx="304">
                  <c:v>35.40808570869757</c:v>
                </c:pt>
                <c:pt idx="305">
                  <c:v>35.142221098976336</c:v>
                </c:pt>
                <c:pt idx="306">
                  <c:v>34.876707096960104</c:v>
                </c:pt>
                <c:pt idx="307">
                  <c:v>34.611545821406708</c:v>
                </c:pt>
                <c:pt idx="308">
                  <c:v>34.346739328066917</c:v>
                </c:pt>
                <c:pt idx="309">
                  <c:v>34.076720768355614</c:v>
                </c:pt>
                <c:pt idx="310">
                  <c:v>33.807076237775021</c:v>
                </c:pt>
                <c:pt idx="311">
                  <c:v>33.537807730284271</c:v>
                </c:pt>
                <c:pt idx="312">
                  <c:v>33.268917177181351</c:v>
                </c:pt>
                <c:pt idx="313">
                  <c:v>32.993862166674575</c:v>
                </c:pt>
                <c:pt idx="314">
                  <c:v>32.719207679271364</c:v>
                </c:pt>
                <c:pt idx="315">
                  <c:v>32.444955595417156</c:v>
                </c:pt>
                <c:pt idx="316">
                  <c:v>32.171107732438855</c:v>
                </c:pt>
                <c:pt idx="317">
                  <c:v>31.891160287013321</c:v>
                </c:pt>
                <c:pt idx="318">
                  <c:v>31.611640198635058</c:v>
                </c:pt>
                <c:pt idx="319">
                  <c:v>31.332549220923681</c:v>
                </c:pt>
                <c:pt idx="320">
                  <c:v>31.053889044095797</c:v>
                </c:pt>
                <c:pt idx="321">
                  <c:v>30.769196041511918</c:v>
                </c:pt>
                <c:pt idx="322">
                  <c:v>30.484957493423309</c:v>
                </c:pt>
                <c:pt idx="323">
                  <c:v>30.20117501364831</c:v>
                </c:pt>
                <c:pt idx="324">
                  <c:v>29.917850152495475</c:v>
                </c:pt>
                <c:pt idx="325">
                  <c:v>29.628560978035608</c:v>
                </c:pt>
                <c:pt idx="326">
                  <c:v>29.339753542161816</c:v>
                </c:pt>
                <c:pt idx="327">
                  <c:v>29.051429306322149</c:v>
                </c:pt>
                <c:pt idx="328">
                  <c:v>28.763589668530557</c:v>
                </c:pt>
                <c:pt idx="329">
                  <c:v>28.469365088438536</c:v>
                </c:pt>
                <c:pt idx="330">
                  <c:v>28.1756513472655</c:v>
                </c:pt>
                <c:pt idx="331">
                  <c:v>27.882449748354219</c:v>
                </c:pt>
                <c:pt idx="332">
                  <c:v>27.589761531458407</c:v>
                </c:pt>
                <c:pt idx="333">
                  <c:v>27.291252589968508</c:v>
                </c:pt>
                <c:pt idx="334">
                  <c:v>26.993281975590833</c:v>
                </c:pt>
                <c:pt idx="335">
                  <c:v>26.695850814244636</c:v>
                </c:pt>
                <c:pt idx="336">
                  <c:v>26.398960168738853</c:v>
                </c:pt>
                <c:pt idx="337">
                  <c:v>26.095354388192135</c:v>
                </c:pt>
                <c:pt idx="338">
                  <c:v>25.792318005719892</c:v>
                </c:pt>
                <c:pt idx="339">
                  <c:v>25.489851967632802</c:v>
                </c:pt>
                <c:pt idx="340">
                  <c:v>25.187957157014608</c:v>
                </c:pt>
                <c:pt idx="341">
                  <c:v>24.879432729506817</c:v>
                </c:pt>
                <c:pt idx="342">
                  <c:v>24.571508864999373</c:v>
                </c:pt>
                <c:pt idx="343">
                  <c:v>24.264186315125585</c:v>
                </c:pt>
                <c:pt idx="344">
                  <c:v>23.957465768444251</c:v>
                </c:pt>
                <c:pt idx="345">
                  <c:v>23.644679101770805</c:v>
                </c:pt>
                <c:pt idx="346">
                  <c:v>23.332522238762493</c:v>
                </c:pt>
                <c:pt idx="347">
                  <c:v>23.020995719750005</c:v>
                </c:pt>
                <c:pt idx="348">
                  <c:v>22.710100022795871</c:v>
                </c:pt>
                <c:pt idx="349">
                  <c:v>22.392276028379882</c:v>
                </c:pt>
                <c:pt idx="350">
                  <c:v>22.075114824990777</c:v>
                </c:pt>
                <c:pt idx="351">
                  <c:v>21.758616733280121</c:v>
                </c:pt>
                <c:pt idx="352">
                  <c:v>21.442782011960674</c:v>
                </c:pt>
                <c:pt idx="353">
                  <c:v>21.120114873301048</c:v>
                </c:pt>
                <c:pt idx="354">
                  <c:v>20.798143426826925</c:v>
                </c:pt>
                <c:pt idx="355">
                  <c:v>20.47686775860825</c:v>
                </c:pt>
                <c:pt idx="356">
                  <c:v>20.156287893429464</c:v>
                </c:pt>
                <c:pt idx="357">
                  <c:v>19.829437328620259</c:v>
                </c:pt>
                <c:pt idx="358">
                  <c:v>19.503313101323243</c:v>
                </c:pt>
                <c:pt idx="359">
                  <c:v>19.177915050038166</c:v>
                </c:pt>
                <c:pt idx="360">
                  <c:v>18.853242953300168</c:v>
                </c:pt>
                <c:pt idx="361">
                  <c:v>18.521471817686461</c:v>
                </c:pt>
                <c:pt idx="362">
                  <c:v>18.190461515292526</c:v>
                </c:pt>
                <c:pt idx="363">
                  <c:v>17.860211623140458</c:v>
                </c:pt>
                <c:pt idx="364">
                  <c:v>17.530721659258575</c:v>
                </c:pt>
                <c:pt idx="365">
                  <c:v>17.194694581161826</c:v>
                </c:pt>
                <c:pt idx="366">
                  <c:v>16.859460381230122</c:v>
                </c:pt>
                <c:pt idx="367">
                  <c:v>16.5250183641879</c:v>
                </c:pt>
                <c:pt idx="368">
                  <c:v>16.191367777418634</c:v>
                </c:pt>
                <c:pt idx="369">
                  <c:v>15.850377112876032</c:v>
                </c:pt>
                <c:pt idx="370">
                  <c:v>15.510215286897477</c:v>
                </c:pt>
                <c:pt idx="371">
                  <c:v>15.170881313970597</c:v>
                </c:pt>
                <c:pt idx="372">
                  <c:v>14.832374152644604</c:v>
                </c:pt>
                <c:pt idx="373">
                  <c:v>14.487088709372699</c:v>
                </c:pt>
                <c:pt idx="374">
                  <c:v>14.142665407176054</c:v>
                </c:pt>
                <c:pt idx="375">
                  <c:v>13.799102962164994</c:v>
                </c:pt>
                <c:pt idx="376">
                  <c:v>13.456400036603299</c:v>
                </c:pt>
                <c:pt idx="377">
                  <c:v>13.10614187180056</c:v>
                </c:pt>
                <c:pt idx="378">
                  <c:v>12.756783101797907</c:v>
                </c:pt>
                <c:pt idx="379">
                  <c:v>12.408322122835443</c:v>
                </c:pt>
                <c:pt idx="380">
                  <c:v>12.06075727924906</c:v>
                </c:pt>
                <c:pt idx="381">
                  <c:v>11.706636686780143</c:v>
                </c:pt>
                <c:pt idx="382">
                  <c:v>11.353447561867796</c:v>
                </c:pt>
                <c:pt idx="383">
                  <c:v>11.00118798320571</c:v>
                </c:pt>
                <c:pt idx="384">
                  <c:v>10.649855980451804</c:v>
                </c:pt>
                <c:pt idx="385">
                  <c:v>10.290777097190357</c:v>
                </c:pt>
                <c:pt idx="386">
                  <c:v>9.9326679960470017</c:v>
                </c:pt>
                <c:pt idx="387">
                  <c:v>9.5755264077310756</c:v>
                </c:pt>
                <c:pt idx="388">
                  <c:v>9.2193500164685815</c:v>
                </c:pt>
                <c:pt idx="389">
                  <c:v>8.8559868655151206</c:v>
                </c:pt>
                <c:pt idx="390">
                  <c:v>8.4936287273905862</c:v>
                </c:pt>
                <c:pt idx="391">
                  <c:v>8.1322729835886491</c:v>
                </c:pt>
                <c:pt idx="392">
                  <c:v>7.7719169723422965</c:v>
                </c:pt>
                <c:pt idx="393">
                  <c:v>7.4044987066747581</c:v>
                </c:pt>
                <c:pt idx="394">
                  <c:v>7.0381198245233634</c:v>
                </c:pt>
                <c:pt idx="395">
                  <c:v>6.6727773520285041</c:v>
                </c:pt>
                <c:pt idx="396">
                  <c:v>6.308468275695418</c:v>
                </c:pt>
                <c:pt idx="397">
                  <c:v>5.9363828454247596</c:v>
                </c:pt>
                <c:pt idx="398">
                  <c:v>5.5653750771829493</c:v>
                </c:pt>
                <c:pt idx="399">
                  <c:v>5.1954416149325482</c:v>
                </c:pt>
                <c:pt idx="400">
                  <c:v>4.8265790666902717</c:v>
                </c:pt>
                <c:pt idx="401">
                  <c:v>4.4504939282841178</c:v>
                </c:pt>
                <c:pt idx="402">
                  <c:v>4.0755213167448119</c:v>
                </c:pt>
                <c:pt idx="403">
                  <c:v>3.7016575001428578</c:v>
                </c:pt>
                <c:pt idx="404">
                  <c:v>3.3288987148827687</c:v>
                </c:pt>
                <c:pt idx="405">
                  <c:v>2.9486396165850692</c:v>
                </c:pt>
                <c:pt idx="406">
                  <c:v>2.5695293045608594</c:v>
                </c:pt>
                <c:pt idx="407">
                  <c:v>2.1915636559620282</c:v>
                </c:pt>
                <c:pt idx="408">
                  <c:v>1.8147385208108915</c:v>
                </c:pt>
                <c:pt idx="409">
                  <c:v>1.4301474702413088</c:v>
                </c:pt>
                <c:pt idx="410">
                  <c:v>1.0467428285562619</c:v>
                </c:pt>
                <c:pt idx="411">
                  <c:v>0.6645200662846662</c:v>
                </c:pt>
                <c:pt idx="412">
                  <c:v>0.28347463165849263</c:v>
                </c:pt>
                <c:pt idx="413">
                  <c:v>-0.10519049694599403</c:v>
                </c:pt>
                <c:pt idx="414">
                  <c:v>-0.49263278386194997</c:v>
                </c:pt>
                <c:pt idx="415">
                  <c:v>-0.87885716607408426</c:v>
                </c:pt>
                <c:pt idx="416">
                  <c:v>-1.2638685976307045</c:v>
                </c:pt>
                <c:pt idx="417">
                  <c:v>-1.6567485649939613</c:v>
                </c:pt>
                <c:pt idx="418">
                  <c:v>-2.0483679924960256</c:v>
                </c:pt>
                <c:pt idx="419">
                  <c:v>-2.4387322391984014</c:v>
                </c:pt>
                <c:pt idx="420">
                  <c:v>-2.8278466756824514</c:v>
                </c:pt>
                <c:pt idx="421">
                  <c:v>-3.2242872953329709</c:v>
                </c:pt>
                <c:pt idx="422">
                  <c:v>-3.6194335447376886</c:v>
                </c:pt>
                <c:pt idx="423">
                  <c:v>-4.0132911856904059</c:v>
                </c:pt>
                <c:pt idx="424">
                  <c:v>-4.4058659855833469</c:v>
                </c:pt>
                <c:pt idx="425">
                  <c:v>-4.8067760553568633</c:v>
                </c:pt>
                <c:pt idx="426">
                  <c:v>-5.2063516449618987</c:v>
                </c:pt>
                <c:pt idx="427">
                  <c:v>-5.6045989660601379</c:v>
                </c:pt>
                <c:pt idx="428">
                  <c:v>-6.0015242297237421</c:v>
                </c:pt>
                <c:pt idx="429">
                  <c:v>-6.4062388544203657</c:v>
                </c:pt>
                <c:pt idx="430">
                  <c:v>-6.8095829024719308</c:v>
                </c:pt>
                <c:pt idx="431">
                  <c:v>-7.2115630127099735</c:v>
                </c:pt>
                <c:pt idx="432">
                  <c:v>-7.6121858168622509</c:v>
                </c:pt>
                <c:pt idx="433">
                  <c:v>-8.020440109151366</c:v>
                </c:pt>
                <c:pt idx="434">
                  <c:v>-8.4272892269678721</c:v>
                </c:pt>
                <c:pt idx="435">
                  <c:v>-8.8327402281686602</c:v>
                </c:pt>
                <c:pt idx="436">
                  <c:v>-9.2368001567524516</c:v>
                </c:pt>
                <c:pt idx="437">
                  <c:v>-9.6490731157376786</c:v>
                </c:pt>
                <c:pt idx="438">
                  <c:v>-10.059902679781288</c:v>
                </c:pt>
                <c:pt idx="439">
                  <c:v>-10.469296355612585</c:v>
                </c:pt>
                <c:pt idx="440">
                  <c:v>-10.877261629018307</c:v>
                </c:pt>
                <c:pt idx="441">
                  <c:v>-11.293269027739939</c:v>
                </c:pt>
                <c:pt idx="442">
                  <c:v>-11.707796419391286</c:v>
                </c:pt>
                <c:pt idx="443">
                  <c:v>-12.120851749486548</c:v>
                </c:pt>
                <c:pt idx="444">
                  <c:v>-12.532442935299912</c:v>
                </c:pt>
                <c:pt idx="445">
                  <c:v>-12.951906713032287</c:v>
                </c:pt>
                <c:pt idx="446">
                  <c:v>-13.369855516979356</c:v>
                </c:pt>
                <c:pt idx="447">
                  <c:v>-13.786297718998867</c:v>
                </c:pt>
                <c:pt idx="448">
                  <c:v>-14.201241655268319</c:v>
                </c:pt>
                <c:pt idx="449">
                  <c:v>-14.624597451410807</c:v>
                </c:pt>
                <c:pt idx="450">
                  <c:v>-15.04639979570814</c:v>
                </c:pt>
                <c:pt idx="451">
                  <c:v>-15.466657515952363</c:v>
                </c:pt>
                <c:pt idx="452">
                  <c:v>-15.885379396449366</c:v>
                </c:pt>
                <c:pt idx="453">
                  <c:v>-16.311982761587473</c:v>
                </c:pt>
                <c:pt idx="454">
                  <c:v>-16.736998536946885</c:v>
                </c:pt>
                <c:pt idx="455">
                  <c:v>-17.160435968986917</c:v>
                </c:pt>
                <c:pt idx="456">
                  <c:v>-17.582304252949172</c:v>
                </c:pt>
                <c:pt idx="457">
                  <c:v>-18.012568239428759</c:v>
                </c:pt>
                <c:pt idx="458">
                  <c:v>-18.441207052052562</c:v>
                </c:pt>
                <c:pt idx="459">
                  <c:v>-18.868230384743725</c:v>
                </c:pt>
                <c:pt idx="460">
                  <c:v>-19.293647872119493</c:v>
                </c:pt>
                <c:pt idx="461">
                  <c:v>-19.727275026639234</c:v>
                </c:pt>
                <c:pt idx="462">
                  <c:v>-20.159241235292171</c:v>
                </c:pt>
                <c:pt idx="463">
                  <c:v>-20.589556621767002</c:v>
                </c:pt>
                <c:pt idx="464">
                  <c:v>-21.018231242368131</c:v>
                </c:pt>
                <c:pt idx="465">
                  <c:v>-21.455264447435724</c:v>
                </c:pt>
                <c:pt idx="466">
                  <c:v>-21.890600169647968</c:v>
                </c:pt>
                <c:pt idx="467">
                  <c:v>-22.324248967077438</c:v>
                </c:pt>
                <c:pt idx="468">
                  <c:v>-22.756221322185297</c:v>
                </c:pt>
                <c:pt idx="469">
                  <c:v>-23.196362552842146</c:v>
                </c:pt>
                <c:pt idx="470">
                  <c:v>-23.63477162229708</c:v>
                </c:pt>
                <c:pt idx="471">
                  <c:v>-24.071459502576317</c:v>
                </c:pt>
                <c:pt idx="472">
                  <c:v>-24.506437081982227</c:v>
                </c:pt>
                <c:pt idx="473">
                  <c:v>-24.950041415777065</c:v>
                </c:pt>
                <c:pt idx="474">
                  <c:v>-25.391875619671453</c:v>
                </c:pt>
                <c:pt idx="475">
                  <c:v>-25.831951107476016</c:v>
                </c:pt>
                <c:pt idx="476">
                  <c:v>-26.270279200813974</c:v>
                </c:pt>
                <c:pt idx="477">
                  <c:v>-26.717033402089328</c:v>
                </c:pt>
                <c:pt idx="478">
                  <c:v>-27.161981440280556</c:v>
                </c:pt>
                <c:pt idx="479">
                  <c:v>-27.605135148686031</c:v>
                </c:pt>
                <c:pt idx="480">
                  <c:v>-28.046506260135658</c:v>
                </c:pt>
                <c:pt idx="481">
                  <c:v>-28.496105232743503</c:v>
                </c:pt>
                <c:pt idx="482">
                  <c:v>-28.943863931130181</c:v>
                </c:pt>
                <c:pt idx="483">
                  <c:v>-29.389794584568051</c:v>
                </c:pt>
                <c:pt idx="484">
                  <c:v>-29.833909313830787</c:v>
                </c:pt>
                <c:pt idx="485">
                  <c:v>-30.286363546874867</c:v>
                </c:pt>
                <c:pt idx="486">
                  <c:v>-30.736942749478573</c:v>
                </c:pt>
                <c:pt idx="487">
                  <c:v>-31.185659548136783</c:v>
                </c:pt>
                <c:pt idx="488">
                  <c:v>-31.632526452811504</c:v>
                </c:pt>
                <c:pt idx="489">
                  <c:v>-32.088136698663646</c:v>
                </c:pt>
                <c:pt idx="490">
                  <c:v>-32.541834017697255</c:v>
                </c:pt>
                <c:pt idx="491">
                  <c:v>-32.993631460380527</c:v>
                </c:pt>
                <c:pt idx="492">
                  <c:v>-33.443541952294339</c:v>
                </c:pt>
                <c:pt idx="493">
                  <c:v>-33.901982460311302</c:v>
                </c:pt>
                <c:pt idx="494">
                  <c:v>-34.358474158793058</c:v>
                </c:pt>
                <c:pt idx="495">
                  <c:v>-34.813030496601186</c:v>
                </c:pt>
                <c:pt idx="496">
                  <c:v>-35.265664789702583</c:v>
                </c:pt>
                <c:pt idx="497">
                  <c:v>-35.72691076476039</c:v>
                </c:pt>
                <c:pt idx="498">
                  <c:v>-36.186171520256039</c:v>
                </c:pt>
                <c:pt idx="499">
                  <c:v>-36.643460903495679</c:v>
                </c:pt>
                <c:pt idx="500">
                  <c:v>-37.098792620928293</c:v>
                </c:pt>
                <c:pt idx="501">
                  <c:v>-37.562807987416988</c:v>
                </c:pt>
                <c:pt idx="502">
                  <c:v>-38.024801235404482</c:v>
                </c:pt>
                <c:pt idx="503">
                  <c:v>-38.484786610337693</c:v>
                </c:pt>
                <c:pt idx="504">
                  <c:v>-38.942778208905366</c:v>
                </c:pt>
                <c:pt idx="505">
                  <c:v>-39.409233618666974</c:v>
                </c:pt>
                <c:pt idx="506">
                  <c:v>-39.873632046898905</c:v>
                </c:pt>
                <c:pt idx="507">
                  <c:v>-40.335988110086845</c:v>
                </c:pt>
                <c:pt idx="508">
                  <c:v>-40.796316268512726</c:v>
                </c:pt>
                <c:pt idx="509">
                  <c:v>-41.265168729259784</c:v>
                </c:pt>
                <c:pt idx="510">
                  <c:v>-41.731928869559738</c:v>
                </c:pt>
                <c:pt idx="511">
                  <c:v>-42.196611676242753</c:v>
                </c:pt>
                <c:pt idx="512">
                  <c:v>-42.659231972596814</c:v>
                </c:pt>
                <c:pt idx="513">
                  <c:v>-43.130700194220026</c:v>
                </c:pt>
                <c:pt idx="514">
                  <c:v>-43.600037859364903</c:v>
                </c:pt>
                <c:pt idx="515">
                  <c:v>-44.06726035087874</c:v>
                </c:pt>
                <c:pt idx="516">
                  <c:v>-44.532382880454605</c:v>
                </c:pt>
                <c:pt idx="517">
                  <c:v>-45.006120575333171</c:v>
                </c:pt>
                <c:pt idx="518">
                  <c:v>-45.477691583299645</c:v>
                </c:pt>
                <c:pt idx="519">
                  <c:v>-45.947111655223352</c:v>
                </c:pt>
                <c:pt idx="520">
                  <c:v>-46.414396363729793</c:v>
                </c:pt>
                <c:pt idx="521">
                  <c:v>-46.890329358290984</c:v>
                </c:pt>
                <c:pt idx="522">
                  <c:v>-47.364059169578411</c:v>
                </c:pt>
                <c:pt idx="523">
                  <c:v>-47.83560191526405</c:v>
                </c:pt>
                <c:pt idx="524">
                  <c:v>-48.304973527827684</c:v>
                </c:pt>
                <c:pt idx="525">
                  <c:v>-48.783017740140536</c:v>
                </c:pt>
                <c:pt idx="526">
                  <c:v>-49.258821943666078</c:v>
                </c:pt>
                <c:pt idx="527">
                  <c:v>-49.732402621549937</c:v>
                </c:pt>
                <c:pt idx="528">
                  <c:v>-50.203776064950432</c:v>
                </c:pt>
                <c:pt idx="529">
                  <c:v>-50.683837765941007</c:v>
                </c:pt>
                <c:pt idx="530">
                  <c:v>-51.161622340536354</c:v>
                </c:pt>
                <c:pt idx="531">
                  <c:v>-51.637146635947744</c:v>
                </c:pt>
                <c:pt idx="532">
                  <c:v>-52.110427300763831</c:v>
                </c:pt>
                <c:pt idx="533">
                  <c:v>-52.592651605381946</c:v>
                </c:pt>
                <c:pt idx="534">
                  <c:v>-53.072559029871428</c:v>
                </c:pt>
                <c:pt idx="535">
                  <c:v>-53.550166810558693</c:v>
                </c:pt>
                <c:pt idx="536">
                  <c:v>-54.025491978259652</c:v>
                </c:pt>
                <c:pt idx="537">
                  <c:v>-54.509265441293849</c:v>
                </c:pt>
                <c:pt idx="538">
                  <c:v>-54.990686852317936</c:v>
                </c:pt>
                <c:pt idx="539">
                  <c:v>-55.469773781847778</c:v>
                </c:pt>
                <c:pt idx="540">
                  <c:v>-55.946543589024145</c:v>
                </c:pt>
                <c:pt idx="541">
                  <c:v>-56.432236950155982</c:v>
                </c:pt>
                <c:pt idx="542">
                  <c:v>-56.915538143386868</c:v>
                </c:pt>
                <c:pt idx="543">
                  <c:v>-57.396465125264314</c:v>
                </c:pt>
                <c:pt idx="544">
                  <c:v>-57.875035634423966</c:v>
                </c:pt>
                <c:pt idx="545">
                  <c:v>-58.362271101608172</c:v>
                </c:pt>
                <c:pt idx="546">
                  <c:v>-58.847076546790078</c:v>
                </c:pt>
                <c:pt idx="547">
                  <c:v>-59.32947028422879</c:v>
                </c:pt>
                <c:pt idx="548">
                  <c:v>-59.809470404353306</c:v>
                </c:pt>
                <c:pt idx="549">
                  <c:v>-60.298110156413657</c:v>
                </c:pt>
                <c:pt idx="550">
                  <c:v>-60.784281933333006</c:v>
                </c:pt>
                <c:pt idx="551">
                  <c:v>-61.268004405717676</c:v>
                </c:pt>
                <c:pt idx="552">
                  <c:v>-61.749296014617101</c:v>
                </c:pt>
                <c:pt idx="553">
                  <c:v>-62.239419101239662</c:v>
                </c:pt>
                <c:pt idx="554">
                  <c:v>-62.727033903301248</c:v>
                </c:pt>
                <c:pt idx="555">
                  <c:v>-63.21215947261598</c:v>
                </c:pt>
                <c:pt idx="556">
                  <c:v>-63.694814625481172</c:v>
                </c:pt>
                <c:pt idx="557">
                  <c:v>-64.675144397074433</c:v>
                </c:pt>
                <c:pt idx="558">
                  <c:v>-65.645357490306139</c:v>
                </c:pt>
                <c:pt idx="559">
                  <c:v>-66.627501057428248</c:v>
                </c:pt>
                <c:pt idx="560">
                  <c:v>-67.599377772021256</c:v>
                </c:pt>
                <c:pt idx="561">
                  <c:v>-68.583840101671683</c:v>
                </c:pt>
                <c:pt idx="562">
                  <c:v>-69.557867921218588</c:v>
                </c:pt>
                <c:pt idx="563">
                  <c:v>-70.542189613553546</c:v>
                </c:pt>
                <c:pt idx="564">
                  <c:v>-71.515954226416</c:v>
                </c:pt>
                <c:pt idx="565">
                  <c:v>-72.503476005736019</c:v>
                </c:pt>
                <c:pt idx="566">
                  <c:v>-73.480239303806343</c:v>
                </c:pt>
                <c:pt idx="567">
                  <c:v>-74.470034883615739</c:v>
                </c:pt>
                <c:pt idx="568">
                  <c:v>-75.448881742944621</c:v>
                </c:pt>
                <c:pt idx="569">
                  <c:v>-76.436200694781064</c:v>
                </c:pt>
                <c:pt idx="570">
                  <c:v>-77.412477859666069</c:v>
                </c:pt>
                <c:pt idx="571">
                  <c:v>-78.404232666489293</c:v>
                </c:pt>
                <c:pt idx="572">
                  <c:v>-79.384690053594454</c:v>
                </c:pt>
                <c:pt idx="573">
                  <c:v>-80.372416910199036</c:v>
                </c:pt>
                <c:pt idx="574">
                  <c:v>-81.348773696704257</c:v>
                </c:pt>
                <c:pt idx="575">
                  <c:v>-82.339091597347135</c:v>
                </c:pt>
                <c:pt idx="576">
                  <c:v>-83.317806877427074</c:v>
                </c:pt>
                <c:pt idx="577">
                  <c:v>-87.336824907679443</c:v>
                </c:pt>
                <c:pt idx="578">
                  <c:v>-91.163942565951686</c:v>
                </c:pt>
                <c:pt idx="579">
                  <c:v>-98.935199188320723</c:v>
                </c:pt>
                <c:pt idx="580">
                  <c:v>-106.59303479301951</c:v>
                </c:pt>
                <c:pt idx="581">
                  <c:v>-114.07159818754451</c:v>
                </c:pt>
                <c:pt idx="582">
                  <c:v>-121.31904190605132</c:v>
                </c:pt>
                <c:pt idx="583">
                  <c:v>-128.27349884140335</c:v>
                </c:pt>
                <c:pt idx="584">
                  <c:v>-134.88615734266011</c:v>
                </c:pt>
                <c:pt idx="585">
                  <c:v>-141.1041159339411</c:v>
                </c:pt>
                <c:pt idx="586">
                  <c:v>-146.88681124142158</c:v>
                </c:pt>
                <c:pt idx="587">
                  <c:v>-152.20470840693594</c:v>
                </c:pt>
                <c:pt idx="588">
                  <c:v>-157.0309809398218</c:v>
                </c:pt>
                <c:pt idx="589">
                  <c:v>-161.35903503832242</c:v>
                </c:pt>
                <c:pt idx="590">
                  <c:v>-165.18751594875806</c:v>
                </c:pt>
                <c:pt idx="591">
                  <c:v>-168.52765618663932</c:v>
                </c:pt>
                <c:pt idx="592">
                  <c:v>-171.39919292827727</c:v>
                </c:pt>
                <c:pt idx="593">
                  <c:v>-173.83084466190559</c:v>
                </c:pt>
                <c:pt idx="594">
                  <c:v>-175.85591169875846</c:v>
                </c:pt>
                <c:pt idx="595">
                  <c:v>-177.51308677632949</c:v>
                </c:pt>
                <c:pt idx="596">
                  <c:v>-178.842795769335</c:v>
                </c:pt>
                <c:pt idx="597">
                  <c:v>-179.88685425306733</c:v>
                </c:pt>
                <c:pt idx="598">
                  <c:v>179.31421639741802</c:v>
                </c:pt>
                <c:pt idx="599">
                  <c:v>178.72145578378348</c:v>
                </c:pt>
                <c:pt idx="600">
                  <c:v>178.2992131453916</c:v>
                </c:pt>
              </c:numCache>
            </c:numRef>
          </c:yVal>
          <c:smooth val="0"/>
          <c:extLst>
            <c:ext xmlns:c16="http://schemas.microsoft.com/office/drawing/2014/chart" uri="{C3380CC4-5D6E-409C-BE32-E72D297353CC}">
              <c16:uniqueId val="{00000012-AABE-4BC9-B8D6-5F1DC6B660E9}"/>
            </c:ext>
          </c:extLst>
        </c:ser>
        <c:dLbls>
          <c:showLegendKey val="0"/>
          <c:showVal val="0"/>
          <c:showCatName val="0"/>
          <c:showSerName val="0"/>
          <c:showPercent val="0"/>
          <c:showBubbleSize val="0"/>
        </c:dLbls>
        <c:axId val="196945024"/>
        <c:axId val="196946560"/>
      </c:scatterChart>
      <c:valAx>
        <c:axId val="196940928"/>
        <c:scaling>
          <c:logBase val="10"/>
          <c:orientation val="minMax"/>
          <c:max val="1000000"/>
          <c:min val="1"/>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96942848"/>
        <c:crossesAt val="-40"/>
        <c:crossBetween val="midCat"/>
        <c:majorUnit val="10"/>
        <c:minorUnit val="10"/>
      </c:valAx>
      <c:valAx>
        <c:axId val="196942848"/>
        <c:scaling>
          <c:orientation val="minMax"/>
          <c:max val="80"/>
          <c:min val="-8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96940928"/>
        <c:crossesAt val="0.1"/>
        <c:crossBetween val="midCat"/>
        <c:majorUnit val="20"/>
        <c:minorUnit val="4"/>
      </c:valAx>
      <c:valAx>
        <c:axId val="196945024"/>
        <c:scaling>
          <c:logBase val="10"/>
          <c:orientation val="minMax"/>
        </c:scaling>
        <c:delete val="1"/>
        <c:axPos val="t"/>
        <c:numFmt formatCode="General" sourceLinked="1"/>
        <c:majorTickMark val="out"/>
        <c:minorTickMark val="none"/>
        <c:tickLblPos val="none"/>
        <c:crossAx val="196946560"/>
        <c:crossesAt val="0"/>
        <c:crossBetween val="midCat"/>
      </c:valAx>
      <c:valAx>
        <c:axId val="196946560"/>
        <c:scaling>
          <c:orientation val="minMax"/>
          <c:max val="180"/>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9694502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Error Amp Bode Plot</a:t>
            </a:r>
          </a:p>
        </c:rich>
      </c:tx>
      <c:layout>
        <c:manualLayout>
          <c:xMode val="edge"/>
          <c:yMode val="edge"/>
          <c:x val="0.40864917395529671"/>
          <c:y val="2.1377650374348366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4"/>
          <c:order val="0"/>
          <c:tx>
            <c:strRef>
              <c:f>'Stability Calculations'!$AB$12</c:f>
              <c:strCache>
                <c:ptCount val="1"/>
                <c:pt idx="0">
                  <c:v>Gain(dB)</c:v>
                </c:pt>
              </c:strCache>
            </c:strRef>
          </c:tx>
          <c:spPr>
            <a:ln w="25400">
              <a:solidFill>
                <a:srgbClr val="FF0000"/>
              </a:solidFill>
              <a:prstDash val="solid"/>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Calculations'!$AB$13:$AB$613</c:f>
              <c:numCache>
                <c:formatCode>0.00</c:formatCode>
                <c:ptCount val="601"/>
                <c:pt idx="0">
                  <c:v>64.297119505332049</c:v>
                </c:pt>
                <c:pt idx="1">
                  <c:v>63.551893903958671</c:v>
                </c:pt>
                <c:pt idx="2">
                  <c:v>62.798041877761108</c:v>
                </c:pt>
                <c:pt idx="3">
                  <c:v>62.036843404133208</c:v>
                </c:pt>
                <c:pt idx="4">
                  <c:v>61.269910473702112</c:v>
                </c:pt>
                <c:pt idx="5">
                  <c:v>60.496917684752944</c:v>
                </c:pt>
                <c:pt idx="6">
                  <c:v>59.71977433140006</c:v>
                </c:pt>
                <c:pt idx="7">
                  <c:v>58.938665007947066</c:v>
                </c:pt>
                <c:pt idx="8">
                  <c:v>58.154750321916268</c:v>
                </c:pt>
                <c:pt idx="9">
                  <c:v>57.367936908662564</c:v>
                </c:pt>
                <c:pt idx="10">
                  <c:v>56.579098286728765</c:v>
                </c:pt>
                <c:pt idx="11">
                  <c:v>55.788477956178397</c:v>
                </c:pt>
                <c:pt idx="12">
                  <c:v>54.995954969556713</c:v>
                </c:pt>
                <c:pt idx="13">
                  <c:v>54.202541012968581</c:v>
                </c:pt>
                <c:pt idx="14">
                  <c:v>53.407812874497779</c:v>
                </c:pt>
                <c:pt idx="15">
                  <c:v>52.612251418671605</c:v>
                </c:pt>
                <c:pt idx="16">
                  <c:v>51.815939363528102</c:v>
                </c:pt>
                <c:pt idx="17">
                  <c:v>51.019112556520064</c:v>
                </c:pt>
                <c:pt idx="18">
                  <c:v>50.221641640057172</c:v>
                </c:pt>
                <c:pt idx="19">
                  <c:v>49.423825685073908</c:v>
                </c:pt>
                <c:pt idx="20">
                  <c:v>48.625575972824464</c:v>
                </c:pt>
                <c:pt idx="21">
                  <c:v>47.827113558920821</c:v>
                </c:pt>
                <c:pt idx="22">
                  <c:v>47.028316089516515</c:v>
                </c:pt>
                <c:pt idx="23">
                  <c:v>46.229421150996401</c:v>
                </c:pt>
                <c:pt idx="24">
                  <c:v>45.430258562514197</c:v>
                </c:pt>
                <c:pt idx="25">
                  <c:v>44.630979563761727</c:v>
                </c:pt>
                <c:pt idx="26">
                  <c:v>43.831420921223881</c:v>
                </c:pt>
                <c:pt idx="27">
                  <c:v>43.031856503032493</c:v>
                </c:pt>
                <c:pt idx="28">
                  <c:v>42.232271638867061</c:v>
                </c:pt>
                <c:pt idx="29">
                  <c:v>41.433177195614029</c:v>
                </c:pt>
                <c:pt idx="30">
                  <c:v>40.633234299413871</c:v>
                </c:pt>
                <c:pt idx="31">
                  <c:v>39.833571855947028</c:v>
                </c:pt>
                <c:pt idx="32">
                  <c:v>39.033657740624804</c:v>
                </c:pt>
                <c:pt idx="33">
                  <c:v>38.234071750848969</c:v>
                </c:pt>
                <c:pt idx="34">
                  <c:v>37.434206905816858</c:v>
                </c:pt>
                <c:pt idx="35">
                  <c:v>36.634523108045911</c:v>
                </c:pt>
                <c:pt idx="36">
                  <c:v>35.834907999587308</c:v>
                </c:pt>
                <c:pt idx="37">
                  <c:v>35.034941604583878</c:v>
                </c:pt>
                <c:pt idx="38">
                  <c:v>34.235397086560283</c:v>
                </c:pt>
                <c:pt idx="39">
                  <c:v>33.435642551345076</c:v>
                </c:pt>
                <c:pt idx="40">
                  <c:v>32.635993801116861</c:v>
                </c:pt>
                <c:pt idx="41">
                  <c:v>31.836396561598839</c:v>
                </c:pt>
                <c:pt idx="42">
                  <c:v>31.036976971955951</c:v>
                </c:pt>
                <c:pt idx="43">
                  <c:v>30.237517905711861</c:v>
                </c:pt>
                <c:pt idx="44">
                  <c:v>29.438252179395171</c:v>
                </c:pt>
                <c:pt idx="45">
                  <c:v>28.639041965748024</c:v>
                </c:pt>
                <c:pt idx="46">
                  <c:v>27.840076150561302</c:v>
                </c:pt>
                <c:pt idx="47">
                  <c:v>27.041215303374635</c:v>
                </c:pt>
                <c:pt idx="48">
                  <c:v>26.242694873580319</c:v>
                </c:pt>
                <c:pt idx="49">
                  <c:v>25.444357394914512</c:v>
                </c:pt>
                <c:pt idx="50">
                  <c:v>24.646381846824479</c:v>
                </c:pt>
                <c:pt idx="51">
                  <c:v>23.848649334401983</c:v>
                </c:pt>
                <c:pt idx="52">
                  <c:v>23.051494649136586</c:v>
                </c:pt>
                <c:pt idx="53">
                  <c:v>22.254983989626002</c:v>
                </c:pt>
                <c:pt idx="54">
                  <c:v>21.459728465116342</c:v>
                </c:pt>
                <c:pt idx="55">
                  <c:v>20.664524493740736</c:v>
                </c:pt>
                <c:pt idx="56">
                  <c:v>19.870653059286237</c:v>
                </c:pt>
                <c:pt idx="57">
                  <c:v>19.077778160399866</c:v>
                </c:pt>
                <c:pt idx="58">
                  <c:v>18.286706830433786</c:v>
                </c:pt>
                <c:pt idx="59">
                  <c:v>17.497118360584452</c:v>
                </c:pt>
                <c:pt idx="60">
                  <c:v>16.709802496641242</c:v>
                </c:pt>
                <c:pt idx="61">
                  <c:v>15.925048104576263</c:v>
                </c:pt>
                <c:pt idx="62">
                  <c:v>15.142921259623847</c:v>
                </c:pt>
                <c:pt idx="63">
                  <c:v>14.364742775780906</c:v>
                </c:pt>
                <c:pt idx="64">
                  <c:v>13.590564339426681</c:v>
                </c:pt>
                <c:pt idx="65">
                  <c:v>12.821478541639657</c:v>
                </c:pt>
                <c:pt idx="66">
                  <c:v>12.05835225773143</c:v>
                </c:pt>
                <c:pt idx="67">
                  <c:v>11.302375065958932</c:v>
                </c:pt>
                <c:pt idx="68">
                  <c:v>10.55458000927068</c:v>
                </c:pt>
                <c:pt idx="69">
                  <c:v>9.8166061325729483</c:v>
                </c:pt>
                <c:pt idx="70">
                  <c:v>9.089941438850035</c:v>
                </c:pt>
                <c:pt idx="71">
                  <c:v>8.3765737814658117</c:v>
                </c:pt>
                <c:pt idx="72">
                  <c:v>7.6783948747884887</c:v>
                </c:pt>
                <c:pt idx="73">
                  <c:v>6.9978123988663787</c:v>
                </c:pt>
                <c:pt idx="74">
                  <c:v>6.3370540332204133</c:v>
                </c:pt>
                <c:pt idx="75">
                  <c:v>5.6987474739738131</c:v>
                </c:pt>
                <c:pt idx="76">
                  <c:v>5.0853316005337508</c:v>
                </c:pt>
                <c:pt idx="77">
                  <c:v>4.4995616739308675</c:v>
                </c:pt>
                <c:pt idx="78">
                  <c:v>3.9438376811055011</c:v>
                </c:pt>
                <c:pt idx="79">
                  <c:v>3.4206595083738067</c:v>
                </c:pt>
                <c:pt idx="80">
                  <c:v>2.9309946557326976</c:v>
                </c:pt>
                <c:pt idx="81">
                  <c:v>2.4769323780203321</c:v>
                </c:pt>
                <c:pt idx="82">
                  <c:v>2.0589817115766125</c:v>
                </c:pt>
                <c:pt idx="83">
                  <c:v>1.6776454188605514</c:v>
                </c:pt>
                <c:pt idx="84">
                  <c:v>1.3322078891916458</c:v>
                </c:pt>
                <c:pt idx="85">
                  <c:v>1.0218444576735581</c:v>
                </c:pt>
                <c:pt idx="86">
                  <c:v>0.74491613942452339</c:v>
                </c:pt>
                <c:pt idx="87">
                  <c:v>0.49925231452538693</c:v>
                </c:pt>
                <c:pt idx="88">
                  <c:v>0.28268681811197238</c:v>
                </c:pt>
                <c:pt idx="89">
                  <c:v>9.2389536074755654E-2</c:v>
                </c:pt>
                <c:pt idx="90">
                  <c:v>-7.4348612802509706E-2</c:v>
                </c:pt>
                <c:pt idx="91">
                  <c:v>-0.2203859340166987</c:v>
                </c:pt>
                <c:pt idx="92">
                  <c:v>-0.34852545948193253</c:v>
                </c:pt>
                <c:pt idx="93">
                  <c:v>-0.46155048391639858</c:v>
                </c:pt>
                <c:pt idx="94">
                  <c:v>-0.48774325781296335</c:v>
                </c:pt>
                <c:pt idx="95">
                  <c:v>-0.50063859768189667</c:v>
                </c:pt>
                <c:pt idx="96">
                  <c:v>-0.51320728917767033</c:v>
                </c:pt>
                <c:pt idx="97">
                  <c:v>-0.52574403995350616</c:v>
                </c:pt>
                <c:pt idx="98">
                  <c:v>-0.53796810218461055</c:v>
                </c:pt>
                <c:pt idx="99">
                  <c:v>-0.55016919145375165</c:v>
                </c:pt>
                <c:pt idx="100">
                  <c:v>-0.56207105405814684</c:v>
                </c:pt>
                <c:pt idx="101">
                  <c:v>-0.5739496879943754</c:v>
                </c:pt>
                <c:pt idx="102">
                  <c:v>-0.58554252301288146</c:v>
                </c:pt>
                <c:pt idx="103">
                  <c:v>-0.59712940441256679</c:v>
                </c:pt>
                <c:pt idx="104">
                  <c:v>-0.6084430412399785</c:v>
                </c:pt>
                <c:pt idx="105">
                  <c:v>-0.6197505333086144</c:v>
                </c:pt>
                <c:pt idx="106">
                  <c:v>-0.63079732727073967</c:v>
                </c:pt>
                <c:pt idx="107">
                  <c:v>-0.64183860880256638</c:v>
                </c:pt>
                <c:pt idx="108">
                  <c:v>-0.65263167061515814</c:v>
                </c:pt>
                <c:pt idx="109">
                  <c:v>-0.66342784577578273</c:v>
                </c:pt>
                <c:pt idx="110">
                  <c:v>-0.67398784520212263</c:v>
                </c:pt>
                <c:pt idx="111">
                  <c:v>-0.68456625585396735</c:v>
                </c:pt>
                <c:pt idx="112">
                  <c:v>-0.69491984528607986</c:v>
                </c:pt>
                <c:pt idx="113">
                  <c:v>-0.70529272070328841</c:v>
                </c:pt>
                <c:pt idx="114">
                  <c:v>-0.71545209036637525</c:v>
                </c:pt>
                <c:pt idx="115">
                  <c:v>-0.72563871096747679</c:v>
                </c:pt>
                <c:pt idx="116">
                  <c:v>-0.73562280161541205</c:v>
                </c:pt>
                <c:pt idx="117">
                  <c:v>-0.74564197693054801</c:v>
                </c:pt>
                <c:pt idx="118">
                  <c:v>-0.75546928390084134</c:v>
                </c:pt>
                <c:pt idx="119">
                  <c:v>-0.76533349320388688</c:v>
                </c:pt>
                <c:pt idx="120">
                  <c:v>-0.77501641842215463</c:v>
                </c:pt>
                <c:pt idx="121">
                  <c:v>-0.78474435249969499</c:v>
                </c:pt>
                <c:pt idx="122">
                  <c:v>-0.79430127088572045</c:v>
                </c:pt>
                <c:pt idx="123">
                  <c:v>-0.80391674868906793</c:v>
                </c:pt>
                <c:pt idx="124">
                  <c:v>-0.8133710040476595</c:v>
                </c:pt>
                <c:pt idx="125">
                  <c:v>-0.82288611236708997</c:v>
                </c:pt>
                <c:pt idx="126">
                  <c:v>-0.83224972401087638</c:v>
                </c:pt>
                <c:pt idx="127">
                  <c:v>-0.84168218175071974</c:v>
                </c:pt>
                <c:pt idx="128">
                  <c:v>-0.85097261087346165</c:v>
                </c:pt>
                <c:pt idx="129">
                  <c:v>-0.8603398899378456</c:v>
                </c:pt>
                <c:pt idx="130">
                  <c:v>-0.86957436671773181</c:v>
                </c:pt>
                <c:pt idx="131">
                  <c:v>-0.87889373088447242</c:v>
                </c:pt>
                <c:pt idx="132">
                  <c:v>-0.88350653426281345</c:v>
                </c:pt>
                <c:pt idx="133">
                  <c:v>-0.88808929161956385</c:v>
                </c:pt>
                <c:pt idx="134">
                  <c:v>-0.89275077572110129</c:v>
                </c:pt>
                <c:pt idx="135">
                  <c:v>-0.89738259588954261</c:v>
                </c:pt>
                <c:pt idx="136">
                  <c:v>-0.90198563854821889</c:v>
                </c:pt>
                <c:pt idx="137">
                  <c:v>-0.90656076558218002</c:v>
                </c:pt>
                <c:pt idx="138">
                  <c:v>-0.9112117652765851</c:v>
                </c:pt>
                <c:pt idx="139">
                  <c:v>-0.91583531555370035</c:v>
                </c:pt>
                <c:pt idx="140">
                  <c:v>-0.92043226371790055</c:v>
                </c:pt>
                <c:pt idx="141">
                  <c:v>-0.92500343350992498</c:v>
                </c:pt>
                <c:pt idx="142">
                  <c:v>-0.92965713488051205</c:v>
                </c:pt>
                <c:pt idx="143">
                  <c:v>-0.93428549537872141</c:v>
                </c:pt>
                <c:pt idx="144">
                  <c:v>-0.93888932684458504</c:v>
                </c:pt>
                <c:pt idx="145">
                  <c:v>-0.94346941840718357</c:v>
                </c:pt>
                <c:pt idx="146">
                  <c:v>-0.94813183262763723</c:v>
                </c:pt>
                <c:pt idx="147">
                  <c:v>-0.95277099604300863</c:v>
                </c:pt>
                <c:pt idx="148">
                  <c:v>-0.95738768474087865</c:v>
                </c:pt>
                <c:pt idx="149">
                  <c:v>-0.96198265297296981</c:v>
                </c:pt>
                <c:pt idx="150">
                  <c:v>-0.96666214812581575</c:v>
                </c:pt>
                <c:pt idx="151">
                  <c:v>-0.9713204371132228</c:v>
                </c:pt>
                <c:pt idx="152">
                  <c:v>-0.97595826124644525</c:v>
                </c:pt>
                <c:pt idx="153">
                  <c:v>-0.98057634085072065</c:v>
                </c:pt>
                <c:pt idx="154">
                  <c:v>-0.98528341561035315</c:v>
                </c:pt>
                <c:pt idx="155">
                  <c:v>-0.9899712678888889</c:v>
                </c:pt>
                <c:pt idx="156">
                  <c:v>-0.9946406061148052</c:v>
                </c:pt>
                <c:pt idx="157">
                  <c:v>-0.99929211851931576</c:v>
                </c:pt>
                <c:pt idx="158">
                  <c:v>-1.0040349907455302</c:v>
                </c:pt>
                <c:pt idx="159">
                  <c:v>-1.0087605876817509</c:v>
                </c:pt>
                <c:pt idx="160">
                  <c:v>-1.01346958559556</c:v>
                </c:pt>
                <c:pt idx="161">
                  <c:v>-1.0181626413275722</c:v>
                </c:pt>
                <c:pt idx="162">
                  <c:v>-1.0229474388112298</c:v>
                </c:pt>
                <c:pt idx="163">
                  <c:v>-1.0277168856958978</c:v>
                </c:pt>
                <c:pt idx="164">
                  <c:v>-1.032471625950258</c:v>
                </c:pt>
                <c:pt idx="165">
                  <c:v>-1.0372122849000234</c:v>
                </c:pt>
                <c:pt idx="166">
                  <c:v>-1.0420514674726333</c:v>
                </c:pt>
                <c:pt idx="167">
                  <c:v>-1.04687716160238</c:v>
                </c:pt>
                <c:pt idx="168">
                  <c:v>-1.0516899813399183</c:v>
                </c:pt>
                <c:pt idx="169">
                  <c:v>-1.0564905227927286</c:v>
                </c:pt>
                <c:pt idx="170">
                  <c:v>-1.0613820055091727</c:v>
                </c:pt>
                <c:pt idx="171">
                  <c:v>-1.0662618798270829</c:v>
                </c:pt>
                <c:pt idx="172">
                  <c:v>-1.071130726771917</c:v>
                </c:pt>
                <c:pt idx="173">
                  <c:v>-1.0759891102537962</c:v>
                </c:pt>
                <c:pt idx="174">
                  <c:v>-1.0809596844164955</c:v>
                </c:pt>
                <c:pt idx="175">
                  <c:v>-1.0859204084377532</c:v>
                </c:pt>
                <c:pt idx="176">
                  <c:v>-1.0908718375122399</c:v>
                </c:pt>
                <c:pt idx="177">
                  <c:v>-1.0958145102711179</c:v>
                </c:pt>
                <c:pt idx="178">
                  <c:v>-1.1008701886049437</c:v>
                </c:pt>
                <c:pt idx="179">
                  <c:v>-1.1059177684843657</c:v>
                </c:pt>
                <c:pt idx="180">
                  <c:v>-1.1109577786210392</c:v>
                </c:pt>
                <c:pt idx="181">
                  <c:v>-1.1159907317421571</c:v>
                </c:pt>
                <c:pt idx="182">
                  <c:v>-1.1211175894066021</c:v>
                </c:pt>
                <c:pt idx="183">
                  <c:v>-1.1262381339220442</c:v>
                </c:pt>
                <c:pt idx="184">
                  <c:v>-1.1313528612948345</c:v>
                </c:pt>
                <c:pt idx="185">
                  <c:v>-1.1364622523809909</c:v>
                </c:pt>
                <c:pt idx="186">
                  <c:v>-1.1417068331459062</c:v>
                </c:pt>
                <c:pt idx="187">
                  <c:v>-1.1469467627737748</c:v>
                </c:pt>
                <c:pt idx="188">
                  <c:v>-1.1521825160491148</c:v>
                </c:pt>
                <c:pt idx="189">
                  <c:v>-1.1574145529759925</c:v>
                </c:pt>
                <c:pt idx="190">
                  <c:v>-1.1627430759218875</c:v>
                </c:pt>
                <c:pt idx="191">
                  <c:v>-1.1680686590964382</c:v>
                </c:pt>
                <c:pt idx="192">
                  <c:v>-1.1733917450141775</c:v>
                </c:pt>
                <c:pt idx="193">
                  <c:v>-1.1787127622364633</c:v>
                </c:pt>
                <c:pt idx="194">
                  <c:v>-1.1841715662329166</c:v>
                </c:pt>
                <c:pt idx="195">
                  <c:v>-1.1896290629715502</c:v>
                </c:pt>
                <c:pt idx="196">
                  <c:v>-1.1950856727265822</c:v>
                </c:pt>
                <c:pt idx="197">
                  <c:v>-1.2005418022287335</c:v>
                </c:pt>
                <c:pt idx="198">
                  <c:v>-1.2061173224269179</c:v>
                </c:pt>
                <c:pt idx="199">
                  <c:v>-1.2116931585125277</c:v>
                </c:pt>
                <c:pt idx="200">
                  <c:v>-1.2172697035166362</c:v>
                </c:pt>
                <c:pt idx="201">
                  <c:v>-1.2228473375481941</c:v>
                </c:pt>
                <c:pt idx="202">
                  <c:v>-1.2285459987446439</c:v>
                </c:pt>
                <c:pt idx="203">
                  <c:v>-1.2342465583629867</c:v>
                </c:pt>
                <c:pt idx="204">
                  <c:v>-1.23994938241097</c:v>
                </c:pt>
                <c:pt idx="205">
                  <c:v>-1.2456548245896744</c:v>
                </c:pt>
                <c:pt idx="206">
                  <c:v>-1.251502982759354</c:v>
                </c:pt>
                <c:pt idx="207">
                  <c:v>-1.2573546024578721</c:v>
                </c:pt>
                <c:pt idx="208">
                  <c:v>-1.2632100264070232</c:v>
                </c:pt>
                <c:pt idx="209">
                  <c:v>-1.2690695854699108</c:v>
                </c:pt>
                <c:pt idx="210">
                  <c:v>-1.2750937740459278</c:v>
                </c:pt>
                <c:pt idx="211">
                  <c:v>-1.2811229977365386</c:v>
                </c:pt>
                <c:pt idx="212">
                  <c:v>-1.2871575786884462</c:v>
                </c:pt>
                <c:pt idx="213">
                  <c:v>-1.2931978275015474</c:v>
                </c:pt>
                <c:pt idx="214">
                  <c:v>-1.2993646288444294</c:v>
                </c:pt>
                <c:pt idx="215">
                  <c:v>-1.3055379438489887</c:v>
                </c:pt>
                <c:pt idx="216">
                  <c:v>-1.3117180673534685</c:v>
                </c:pt>
                <c:pt idx="217">
                  <c:v>-1.3179052832757976</c:v>
                </c:pt>
                <c:pt idx="218">
                  <c:v>-1.3242411974856436</c:v>
                </c:pt>
                <c:pt idx="219">
                  <c:v>-1.3305850985975489</c:v>
                </c:pt>
                <c:pt idx="220">
                  <c:v>-1.3369372572475706</c:v>
                </c:pt>
                <c:pt idx="221">
                  <c:v>-1.3432979336282516</c:v>
                </c:pt>
                <c:pt idx="222">
                  <c:v>-1.3498094735866895</c:v>
                </c:pt>
                <c:pt idx="223">
                  <c:v>-1.3563304332628379</c:v>
                </c:pt>
                <c:pt idx="224">
                  <c:v>-1.3628610589994823</c:v>
                </c:pt>
                <c:pt idx="225">
                  <c:v>-1.3694015871747467</c:v>
                </c:pt>
                <c:pt idx="226">
                  <c:v>-1.3761156320503996</c:v>
                </c:pt>
                <c:pt idx="227">
                  <c:v>-1.3828405512125128</c:v>
                </c:pt>
                <c:pt idx="228">
                  <c:v>-1.3895765686993951</c:v>
                </c:pt>
                <c:pt idx="229">
                  <c:v>-1.3963238989483926</c:v>
                </c:pt>
                <c:pt idx="230">
                  <c:v>-1.4101828788469806</c:v>
                </c:pt>
                <c:pt idx="231">
                  <c:v>-1.4171310133338566</c:v>
                </c:pt>
                <c:pt idx="232">
                  <c:v>-1.4240918365434252</c:v>
                </c:pt>
                <c:pt idx="233">
                  <c:v>-1.4312312370407847</c:v>
                </c:pt>
                <c:pt idx="234">
                  <c:v>-1.4383843147113042</c:v>
                </c:pt>
                <c:pt idx="235">
                  <c:v>-1.4455512474690466</c:v>
                </c:pt>
                <c:pt idx="236">
                  <c:v>-1.4527322043971496</c:v>
                </c:pt>
                <c:pt idx="237">
                  <c:v>-1.4600734823251815</c:v>
                </c:pt>
                <c:pt idx="238">
                  <c:v>-1.4674296880738242</c:v>
                </c:pt>
                <c:pt idx="239">
                  <c:v>-1.4748009746897837</c:v>
                </c:pt>
                <c:pt idx="240">
                  <c:v>-1.4821874868818676</c:v>
                </c:pt>
                <c:pt idx="241">
                  <c:v>-1.4897788163449821</c:v>
                </c:pt>
                <c:pt idx="242">
                  <c:v>-1.4973864425186587</c:v>
                </c:pt>
                <c:pt idx="243">
                  <c:v>-1.5050104959936119</c:v>
                </c:pt>
                <c:pt idx="244">
                  <c:v>-1.512651099331304</c:v>
                </c:pt>
                <c:pt idx="245">
                  <c:v>-1.5204782470632354</c:v>
                </c:pt>
                <c:pt idx="246">
                  <c:v>-1.5283229207442053</c:v>
                </c:pt>
                <c:pt idx="247">
                  <c:v>-1.5361852270054754</c:v>
                </c:pt>
                <c:pt idx="248">
                  <c:v>-1.5440652648579756</c:v>
                </c:pt>
                <c:pt idx="249">
                  <c:v>-1.5521559800984621</c:v>
                </c:pt>
                <c:pt idx="250">
                  <c:v>-1.5602654893791155</c:v>
                </c:pt>
                <c:pt idx="251">
                  <c:v>-1.5683938759475189</c:v>
                </c:pt>
                <c:pt idx="252">
                  <c:v>-1.5765412157658385</c:v>
                </c:pt>
                <c:pt idx="253">
                  <c:v>-1.5848806168404403</c:v>
                </c:pt>
                <c:pt idx="254">
                  <c:v>-1.5932399198626808</c:v>
                </c:pt>
                <c:pt idx="255">
                  <c:v>-1.6016191838142049</c:v>
                </c:pt>
                <c:pt idx="256">
                  <c:v>-1.6100184608097401</c:v>
                </c:pt>
                <c:pt idx="257">
                  <c:v>-1.6186561807613085</c:v>
                </c:pt>
                <c:pt idx="258">
                  <c:v>-1.6273150541122297</c:v>
                </c:pt>
                <c:pt idx="259">
                  <c:v>-1.6359951161671917</c:v>
                </c:pt>
                <c:pt idx="260">
                  <c:v>-1.6446963956508016</c:v>
                </c:pt>
                <c:pt idx="261">
                  <c:v>-1.6536174010044151</c:v>
                </c:pt>
                <c:pt idx="262">
                  <c:v>-1.6625606398863719</c:v>
                </c:pt>
                <c:pt idx="263">
                  <c:v>-1.6715261231762237</c:v>
                </c:pt>
                <c:pt idx="264">
                  <c:v>-1.6805138555420061</c:v>
                </c:pt>
                <c:pt idx="265">
                  <c:v>-1.689724310094562</c:v>
                </c:pt>
                <c:pt idx="266">
                  <c:v>-1.6989580045281079</c:v>
                </c:pt>
                <c:pt idx="267">
                  <c:v>-1.7082149251494965</c:v>
                </c:pt>
                <c:pt idx="268">
                  <c:v>-1.7174950524298691</c:v>
                </c:pt>
                <c:pt idx="269">
                  <c:v>-1.7270233653140974</c:v>
                </c:pt>
                <c:pt idx="270">
                  <c:v>-1.7365759602005366</c:v>
                </c:pt>
                <c:pt idx="271">
                  <c:v>-1.7461527984741398</c:v>
                </c:pt>
                <c:pt idx="272">
                  <c:v>-1.7557538360149754</c:v>
                </c:pt>
                <c:pt idx="273">
                  <c:v>-1.7656063236141861</c:v>
                </c:pt>
                <c:pt idx="274">
                  <c:v>-1.7754840551065287</c:v>
                </c:pt>
                <c:pt idx="275">
                  <c:v>-1.7853869666061641</c:v>
                </c:pt>
                <c:pt idx="276">
                  <c:v>-1.7953149890685138</c:v>
                </c:pt>
                <c:pt idx="277">
                  <c:v>-1.8054747127732886</c:v>
                </c:pt>
                <c:pt idx="278">
                  <c:v>-1.815660438777555</c:v>
                </c:pt>
                <c:pt idx="279">
                  <c:v>-1.825872078311229</c:v>
                </c:pt>
                <c:pt idx="280">
                  <c:v>-1.8361095378474075</c:v>
                </c:pt>
                <c:pt idx="281">
                  <c:v>-1.8466510855873672</c:v>
                </c:pt>
                <c:pt idx="282">
                  <c:v>-1.8572196565221419</c:v>
                </c:pt>
                <c:pt idx="283">
                  <c:v>-1.8678151349042273</c:v>
                </c:pt>
                <c:pt idx="284">
                  <c:v>-1.8784374005188396</c:v>
                </c:pt>
                <c:pt idx="285">
                  <c:v>-1.8892972350645354</c:v>
                </c:pt>
                <c:pt idx="286">
                  <c:v>-1.9001846611501931</c:v>
                </c:pt>
                <c:pt idx="287">
                  <c:v>-1.9110995381349249</c:v>
                </c:pt>
                <c:pt idx="288">
                  <c:v>-1.9220417213329812</c:v>
                </c:pt>
                <c:pt idx="289">
                  <c:v>-1.9332951109470853</c:v>
                </c:pt>
                <c:pt idx="290">
                  <c:v>-1.944576916669233</c:v>
                </c:pt>
                <c:pt idx="291">
                  <c:v>-1.9558869701932564</c:v>
                </c:pt>
                <c:pt idx="292">
                  <c:v>-1.9672250994993978</c:v>
                </c:pt>
                <c:pt idx="293">
                  <c:v>-1.9788541177834822</c:v>
                </c:pt>
                <c:pt idx="294">
                  <c:v>-1.9905121490281676</c:v>
                </c:pt>
                <c:pt idx="295">
                  <c:v>-2.002198998070611</c:v>
                </c:pt>
                <c:pt idx="296">
                  <c:v>-2.0139144664186563</c:v>
                </c:pt>
                <c:pt idx="297">
                  <c:v>-2.0259239413328753</c:v>
                </c:pt>
                <c:pt idx="298">
                  <c:v>-2.0379629132780384</c:v>
                </c:pt>
                <c:pt idx="299">
                  <c:v>-2.0500311602910362</c:v>
                </c:pt>
                <c:pt idx="300">
                  <c:v>-2.062128457479365</c:v>
                </c:pt>
                <c:pt idx="301">
                  <c:v>-2.0745227468069514</c:v>
                </c:pt>
                <c:pt idx="302">
                  <c:v>-2.0869469000932144</c:v>
                </c:pt>
                <c:pt idx="303">
                  <c:v>-2.0994006687659827</c:v>
                </c:pt>
                <c:pt idx="304">
                  <c:v>-2.1118838017377812</c:v>
                </c:pt>
                <c:pt idx="305">
                  <c:v>-2.1247159906993311</c:v>
                </c:pt>
                <c:pt idx="306">
                  <c:v>-2.1375785207156777</c:v>
                </c:pt>
                <c:pt idx="307">
                  <c:v>-2.1504711137333805</c:v>
                </c:pt>
                <c:pt idx="308">
                  <c:v>-2.1633934895794633</c:v>
                </c:pt>
                <c:pt idx="309">
                  <c:v>-2.1766186137039401</c:v>
                </c:pt>
                <c:pt idx="310">
                  <c:v>-2.1898741926220273</c:v>
                </c:pt>
                <c:pt idx="311">
                  <c:v>-2.2031599221992266</c:v>
                </c:pt>
                <c:pt idx="312">
                  <c:v>-2.2164754966291653</c:v>
                </c:pt>
                <c:pt idx="313">
                  <c:v>-2.2301464655133465</c:v>
                </c:pt>
                <c:pt idx="314">
                  <c:v>-2.2438480984546283</c:v>
                </c:pt>
                <c:pt idx="315">
                  <c:v>-2.2575800621937487</c:v>
                </c:pt>
                <c:pt idx="316">
                  <c:v>-2.2713420222397489</c:v>
                </c:pt>
                <c:pt idx="317">
                  <c:v>-2.2854623736785</c:v>
                </c:pt>
                <c:pt idx="318">
                  <c:v>-2.2996134539002631</c:v>
                </c:pt>
                <c:pt idx="319">
                  <c:v>-2.3137949008311525</c:v>
                </c:pt>
                <c:pt idx="320">
                  <c:v>-2.3280063516296119</c:v>
                </c:pt>
                <c:pt idx="321">
                  <c:v>-2.3425789807386765</c:v>
                </c:pt>
                <c:pt idx="322">
                  <c:v>-2.3571822549172379</c:v>
                </c:pt>
                <c:pt idx="323">
                  <c:v>-2.3718157837760785</c:v>
                </c:pt>
                <c:pt idx="324">
                  <c:v>-2.3864791766439168</c:v>
                </c:pt>
                <c:pt idx="325">
                  <c:v>-2.4015063109405923</c:v>
                </c:pt>
                <c:pt idx="326">
                  <c:v>-2.4165638552183766</c:v>
                </c:pt>
                <c:pt idx="327">
                  <c:v>-2.4316513914579012</c:v>
                </c:pt>
                <c:pt idx="328">
                  <c:v>-2.4467685018625724</c:v>
                </c:pt>
                <c:pt idx="329">
                  <c:v>-2.4622775975332338</c:v>
                </c:pt>
                <c:pt idx="330">
                  <c:v>-2.4778168145053816</c:v>
                </c:pt>
                <c:pt idx="331">
                  <c:v>-2.4933857057627238</c:v>
                </c:pt>
                <c:pt idx="332">
                  <c:v>-2.508983825038543</c:v>
                </c:pt>
                <c:pt idx="333">
                  <c:v>-2.5249501908396694</c:v>
                </c:pt>
                <c:pt idx="334">
                  <c:v>-2.5409461281610879</c:v>
                </c:pt>
                <c:pt idx="335">
                  <c:v>-2.5569711641952035</c:v>
                </c:pt>
                <c:pt idx="336">
                  <c:v>-2.5730248274234819</c:v>
                </c:pt>
                <c:pt idx="337">
                  <c:v>-2.5895011595309998</c:v>
                </c:pt>
                <c:pt idx="338">
                  <c:v>-2.6060065419658374</c:v>
                </c:pt>
                <c:pt idx="339">
                  <c:v>-2.6225404725733914</c:v>
                </c:pt>
                <c:pt idx="340">
                  <c:v>-2.6391024510627767</c:v>
                </c:pt>
                <c:pt idx="341">
                  <c:v>-2.6560891910867253</c:v>
                </c:pt>
                <c:pt idx="342">
                  <c:v>-2.6731042818835959</c:v>
                </c:pt>
                <c:pt idx="343">
                  <c:v>-2.6901471930993903</c:v>
                </c:pt>
                <c:pt idx="344">
                  <c:v>-2.7072173968407656</c:v>
                </c:pt>
                <c:pt idx="345">
                  <c:v>-2.7246874931974192</c:v>
                </c:pt>
                <c:pt idx="346">
                  <c:v>-2.7421849792780026</c:v>
                </c:pt>
                <c:pt idx="347">
                  <c:v>-2.759709300436298</c:v>
                </c:pt>
                <c:pt idx="348">
                  <c:v>-2.7772599050830937</c:v>
                </c:pt>
                <c:pt idx="349">
                  <c:v>-2.7952652528742683</c:v>
                </c:pt>
                <c:pt idx="350">
                  <c:v>-2.8132970203306513</c:v>
                </c:pt>
                <c:pt idx="351">
                  <c:v>-2.8313546250140114</c:v>
                </c:pt>
                <c:pt idx="352">
                  <c:v>-2.8494374881909694</c:v>
                </c:pt>
                <c:pt idx="353">
                  <c:v>-2.8679764631160296</c:v>
                </c:pt>
                <c:pt idx="354">
                  <c:v>-2.8865406981666992</c:v>
                </c:pt>
                <c:pt idx="355">
                  <c:v>-2.9051295848149383</c:v>
                </c:pt>
                <c:pt idx="356">
                  <c:v>-2.9237425189021544</c:v>
                </c:pt>
                <c:pt idx="357">
                  <c:v>-2.9427854738704684</c:v>
                </c:pt>
                <c:pt idx="358">
                  <c:v>-2.961852275178503</c:v>
                </c:pt>
                <c:pt idx="359">
                  <c:v>-2.9809422928195595</c:v>
                </c:pt>
                <c:pt idx="360">
                  <c:v>-3.0000549018038729</c:v>
                </c:pt>
                <c:pt idx="361">
                  <c:v>-3.0196524630387414</c:v>
                </c:pt>
                <c:pt idx="362">
                  <c:v>-3.0392724107732594</c:v>
                </c:pt>
                <c:pt idx="363">
                  <c:v>-3.0589140902664198</c:v>
                </c:pt>
                <c:pt idx="364">
                  <c:v>-3.0785768525051909</c:v>
                </c:pt>
                <c:pt idx="365">
                  <c:v>-3.0986976859904249</c:v>
                </c:pt>
                <c:pt idx="366">
                  <c:v>-3.1188391967023597</c:v>
                </c:pt>
                <c:pt idx="367">
                  <c:v>-3.1390007102050825</c:v>
                </c:pt>
                <c:pt idx="368">
                  <c:v>-3.1591815584740472</c:v>
                </c:pt>
                <c:pt idx="369">
                  <c:v>-3.17987531833412</c:v>
                </c:pt>
                <c:pt idx="370">
                  <c:v>-3.2005879716513523</c:v>
                </c:pt>
                <c:pt idx="371">
                  <c:v>-3.2213188212875563</c:v>
                </c:pt>
                <c:pt idx="372">
                  <c:v>-3.242067177270294</c:v>
                </c:pt>
                <c:pt idx="373">
                  <c:v>-3.2633007259168383</c:v>
                </c:pt>
                <c:pt idx="374">
                  <c:v>-3.2845511430770125</c:v>
                </c:pt>
                <c:pt idx="375">
                  <c:v>-3.3058177143805327</c:v>
                </c:pt>
                <c:pt idx="376">
                  <c:v>-3.3270997333372128</c:v>
                </c:pt>
                <c:pt idx="377">
                  <c:v>-3.348921504724748</c:v>
                </c:pt>
                <c:pt idx="378">
                  <c:v>-3.3707580181212808</c:v>
                </c:pt>
                <c:pt idx="379">
                  <c:v>-3.3926085392486831</c:v>
                </c:pt>
                <c:pt idx="380">
                  <c:v>-3.4144723424990464</c:v>
                </c:pt>
                <c:pt idx="381">
                  <c:v>-3.4368196010590752</c:v>
                </c:pt>
                <c:pt idx="382">
                  <c:v>-3.4591792164920383</c:v>
                </c:pt>
                <c:pt idx="383">
                  <c:v>-3.4815504432538531</c:v>
                </c:pt>
                <c:pt idx="384">
                  <c:v>-3.503932545160092</c:v>
                </c:pt>
                <c:pt idx="385">
                  <c:v>-3.5268798684957976</c:v>
                </c:pt>
                <c:pt idx="386">
                  <c:v>-3.5498370772933474</c:v>
                </c:pt>
                <c:pt idx="387">
                  <c:v>-3.5728034096513634</c:v>
                </c:pt>
                <c:pt idx="388">
                  <c:v>-3.5957781138392457</c:v>
                </c:pt>
                <c:pt idx="389">
                  <c:v>-3.6192885422001759</c:v>
                </c:pt>
                <c:pt idx="390">
                  <c:v>-3.6428061724598901</c:v>
                </c:pt>
                <c:pt idx="391">
                  <c:v>-3.6663302325967622</c:v>
                </c:pt>
                <c:pt idx="392">
                  <c:v>-3.6898599615016008</c:v>
                </c:pt>
                <c:pt idx="393">
                  <c:v>-3.7139232155519926</c:v>
                </c:pt>
                <c:pt idx="394">
                  <c:v>-3.7379908212557718</c:v>
                </c:pt>
                <c:pt idx="395">
                  <c:v>-3.7620620000146054</c:v>
                </c:pt>
                <c:pt idx="396">
                  <c:v>-3.7861359848537983</c:v>
                </c:pt>
                <c:pt idx="397">
                  <c:v>-3.8107965444784684</c:v>
                </c:pt>
                <c:pt idx="398">
                  <c:v>-3.8354584562333152</c:v>
                </c:pt>
                <c:pt idx="399">
                  <c:v>-3.8601209332852342</c:v>
                </c:pt>
                <c:pt idx="400">
                  <c:v>-3.8847832012096091</c:v>
                </c:pt>
                <c:pt idx="401">
                  <c:v>-3.9100011692316312</c:v>
                </c:pt>
                <c:pt idx="402">
                  <c:v>-3.9352173199982237</c:v>
                </c:pt>
                <c:pt idx="403">
                  <c:v>-3.9604308650152626</c:v>
                </c:pt>
                <c:pt idx="404">
                  <c:v>-3.9856410288861133</c:v>
                </c:pt>
                <c:pt idx="405">
                  <c:v>-4.0114312395379077</c:v>
                </c:pt>
                <c:pt idx="406">
                  <c:v>-4.0372163096050091</c:v>
                </c:pt>
                <c:pt idx="407">
                  <c:v>-4.0629954502712939</c:v>
                </c:pt>
                <c:pt idx="408">
                  <c:v>-4.0887678865172443</c:v>
                </c:pt>
                <c:pt idx="409">
                  <c:v>-4.1151442265236451</c:v>
                </c:pt>
                <c:pt idx="410">
                  <c:v>-4.1415119400192815</c:v>
                </c:pt>
                <c:pt idx="411">
                  <c:v>-4.167870239461978</c:v>
                </c:pt>
                <c:pt idx="412">
                  <c:v>-4.194218351812359</c:v>
                </c:pt>
                <c:pt idx="413">
                  <c:v>-4.2211659385900253</c:v>
                </c:pt>
                <c:pt idx="414">
                  <c:v>-4.2481012688980488</c:v>
                </c:pt>
                <c:pt idx="415">
                  <c:v>-4.2750235607239757</c:v>
                </c:pt>
                <c:pt idx="416">
                  <c:v>-4.3019320472054101</c:v>
                </c:pt>
                <c:pt idx="417">
                  <c:v>-4.3294628282597873</c:v>
                </c:pt>
                <c:pt idx="418">
                  <c:v>-4.3569775637517836</c:v>
                </c:pt>
                <c:pt idx="419">
                  <c:v>-4.3844754791113596</c:v>
                </c:pt>
                <c:pt idx="420">
                  <c:v>-4.411955815562755</c:v>
                </c:pt>
                <c:pt idx="421">
                  <c:v>-4.4400254282693918</c:v>
                </c:pt>
                <c:pt idx="422">
                  <c:v>-4.4680751218687744</c:v>
                </c:pt>
                <c:pt idx="423">
                  <c:v>-4.4961041358490759</c:v>
                </c:pt>
                <c:pt idx="424">
                  <c:v>-4.5241117260013457</c:v>
                </c:pt>
                <c:pt idx="425">
                  <c:v>-4.5527854969125539</c:v>
                </c:pt>
                <c:pt idx="426">
                  <c:v>-4.5814352463685895</c:v>
                </c:pt>
                <c:pt idx="427">
                  <c:v>-4.6100602255705967</c:v>
                </c:pt>
                <c:pt idx="428">
                  <c:v>-4.638659702646172</c:v>
                </c:pt>
                <c:pt idx="429">
                  <c:v>-4.6678913971199867</c:v>
                </c:pt>
                <c:pt idx="430">
                  <c:v>-4.6970949034715161</c:v>
                </c:pt>
                <c:pt idx="431">
                  <c:v>-4.7262694913343646</c:v>
                </c:pt>
                <c:pt idx="432">
                  <c:v>-4.7554144477435321</c:v>
                </c:pt>
                <c:pt idx="433">
                  <c:v>-4.7851848264475132</c:v>
                </c:pt>
                <c:pt idx="434">
                  <c:v>-4.8149227698950288</c:v>
                </c:pt>
                <c:pt idx="435">
                  <c:v>-4.8446275704246258</c:v>
                </c:pt>
                <c:pt idx="436">
                  <c:v>-4.874298538162205</c:v>
                </c:pt>
                <c:pt idx="437">
                  <c:v>-4.9046421474820052</c:v>
                </c:pt>
                <c:pt idx="438">
                  <c:v>-4.9349488813351723</c:v>
                </c:pt>
                <c:pt idx="439">
                  <c:v>-4.9652180552089051</c:v>
                </c:pt>
                <c:pt idx="440">
                  <c:v>-4.9954490028002114</c:v>
                </c:pt>
                <c:pt idx="441">
                  <c:v>-5.026344637158342</c:v>
                </c:pt>
                <c:pt idx="442">
                  <c:v>-5.0571988869326869</c:v>
                </c:pt>
                <c:pt idx="443">
                  <c:v>-5.0880110951901889</c:v>
                </c:pt>
                <c:pt idx="444">
                  <c:v>-5.1187806235303448</c:v>
                </c:pt>
                <c:pt idx="445">
                  <c:v>-5.1502065018343579</c:v>
                </c:pt>
                <c:pt idx="446">
                  <c:v>-5.1815864399267859</c:v>
                </c:pt>
                <c:pt idx="447">
                  <c:v>-5.2129198126392655</c:v>
                </c:pt>
                <c:pt idx="448">
                  <c:v>-5.2442060135558943</c:v>
                </c:pt>
                <c:pt idx="449">
                  <c:v>-5.2761933716192821</c:v>
                </c:pt>
                <c:pt idx="450">
                  <c:v>-5.3081300387952091</c:v>
                </c:pt>
                <c:pt idx="451">
                  <c:v>-5.3400154226586043</c:v>
                </c:pt>
                <c:pt idx="452">
                  <c:v>-5.3718489497777835</c:v>
                </c:pt>
                <c:pt idx="453">
                  <c:v>-5.4043475226754651</c:v>
                </c:pt>
                <c:pt idx="454">
                  <c:v>-5.4367907153099981</c:v>
                </c:pt>
                <c:pt idx="455">
                  <c:v>-5.4691779735509876</c:v>
                </c:pt>
                <c:pt idx="456">
                  <c:v>-5.5015087623284495</c:v>
                </c:pt>
                <c:pt idx="457">
                  <c:v>-5.5345477774495535</c:v>
                </c:pt>
                <c:pt idx="458">
                  <c:v>-5.5675265356593329</c:v>
                </c:pt>
                <c:pt idx="459">
                  <c:v>-5.6004445222645654</c:v>
                </c:pt>
                <c:pt idx="460">
                  <c:v>-5.6333012417116759</c:v>
                </c:pt>
                <c:pt idx="461">
                  <c:v>-5.6668557164435658</c:v>
                </c:pt>
                <c:pt idx="462">
                  <c:v>-5.7003450604478481</c:v>
                </c:pt>
                <c:pt idx="463">
                  <c:v>-5.7337688023041746</c:v>
                </c:pt>
                <c:pt idx="464">
                  <c:v>-5.7671264896951477</c:v>
                </c:pt>
                <c:pt idx="465">
                  <c:v>-5.8011971506214692</c:v>
                </c:pt>
                <c:pt idx="466">
                  <c:v>-5.8351977251995892</c:v>
                </c:pt>
                <c:pt idx="467">
                  <c:v>-5.8691277877794734</c:v>
                </c:pt>
                <c:pt idx="468">
                  <c:v>-5.9029869317203314</c:v>
                </c:pt>
                <c:pt idx="469">
                  <c:v>-5.9375476980417883</c:v>
                </c:pt>
                <c:pt idx="470">
                  <c:v>-5.9720334585324704</c:v>
                </c:pt>
                <c:pt idx="471">
                  <c:v>-6.0064438366737782</c:v>
                </c:pt>
                <c:pt idx="472">
                  <c:v>-6.0407784747461211</c:v>
                </c:pt>
                <c:pt idx="473">
                  <c:v>-6.0758542153861939</c:v>
                </c:pt>
                <c:pt idx="474">
                  <c:v>-6.1108498546685901</c:v>
                </c:pt>
                <c:pt idx="475">
                  <c:v>-6.1457650667567467</c:v>
                </c:pt>
                <c:pt idx="476">
                  <c:v>-6.1805995443969586</c:v>
                </c:pt>
                <c:pt idx="477">
                  <c:v>-6.2161626054689219</c:v>
                </c:pt>
                <c:pt idx="478">
                  <c:v>-6.2516405285919578</c:v>
                </c:pt>
                <c:pt idx="479">
                  <c:v>-6.2870330417315747</c:v>
                </c:pt>
                <c:pt idx="480">
                  <c:v>-6.3223398911006932</c:v>
                </c:pt>
                <c:pt idx="481">
                  <c:v>-6.3583625943573949</c:v>
                </c:pt>
                <c:pt idx="482">
                  <c:v>-6.3942952036753606</c:v>
                </c:pt>
                <c:pt idx="483">
                  <c:v>-6.4301375034763755</c:v>
                </c:pt>
                <c:pt idx="484">
                  <c:v>-6.4658892959803111</c:v>
                </c:pt>
                <c:pt idx="485">
                  <c:v>-6.5023688434539526</c:v>
                </c:pt>
                <c:pt idx="486">
                  <c:v>-6.5387533121374073</c:v>
                </c:pt>
                <c:pt idx="487">
                  <c:v>-6.575042544786756</c:v>
                </c:pt>
                <c:pt idx="488">
                  <c:v>-6.6112364014461722</c:v>
                </c:pt>
                <c:pt idx="489">
                  <c:v>-6.648193663021936</c:v>
                </c:pt>
                <c:pt idx="490">
                  <c:v>-6.6850507060383837</c:v>
                </c:pt>
                <c:pt idx="491">
                  <c:v>-6.72180743323878</c:v>
                </c:pt>
                <c:pt idx="492">
                  <c:v>-6.7584637641261409</c:v>
                </c:pt>
                <c:pt idx="493">
                  <c:v>-6.7958691396577597</c:v>
                </c:pt>
                <c:pt idx="494">
                  <c:v>-6.833169272747285</c:v>
                </c:pt>
                <c:pt idx="495">
                  <c:v>-6.8703641282317189</c:v>
                </c:pt>
                <c:pt idx="496">
                  <c:v>-6.9074536870685357</c:v>
                </c:pt>
                <c:pt idx="497">
                  <c:v>-6.9453018143384648</c:v>
                </c:pt>
                <c:pt idx="498">
                  <c:v>-6.9830396702639286</c:v>
                </c:pt>
                <c:pt idx="499">
                  <c:v>-7.0206672834448449</c:v>
                </c:pt>
                <c:pt idx="500">
                  <c:v>-7.0581846978987777</c:v>
                </c:pt>
                <c:pt idx="501">
                  <c:v>-7.0964694230669405</c:v>
                </c:pt>
                <c:pt idx="502">
                  <c:v>-7.1346388515913217</c:v>
                </c:pt>
                <c:pt idx="503">
                  <c:v>-7.1726930774004867</c:v>
                </c:pt>
                <c:pt idx="504">
                  <c:v>-7.2106322090743351</c:v>
                </c:pt>
                <c:pt idx="505">
                  <c:v>-7.2493231930308379</c:v>
                </c:pt>
                <c:pt idx="506">
                  <c:v>-7.2878940132549177</c:v>
                </c:pt>
                <c:pt idx="507">
                  <c:v>-7.3263448301450387</c:v>
                </c:pt>
                <c:pt idx="508">
                  <c:v>-7.3646758178889904</c:v>
                </c:pt>
                <c:pt idx="509">
                  <c:v>-7.4037663077552818</c:v>
                </c:pt>
                <c:pt idx="510">
                  <c:v>-7.442731792843281</c:v>
                </c:pt>
                <c:pt idx="511">
                  <c:v>-7.4815725010757994</c:v>
                </c:pt>
                <c:pt idx="512">
                  <c:v>-7.5202886732482224</c:v>
                </c:pt>
                <c:pt idx="513">
                  <c:v>-7.5597940981303946</c:v>
                </c:pt>
                <c:pt idx="514">
                  <c:v>-7.5991695610375452</c:v>
                </c:pt>
                <c:pt idx="515">
                  <c:v>-7.6384153588683947</c:v>
                </c:pt>
                <c:pt idx="516">
                  <c:v>-7.6775318004513062</c:v>
                </c:pt>
                <c:pt idx="517">
                  <c:v>-7.7174206885220951</c:v>
                </c:pt>
                <c:pt idx="518">
                  <c:v>-7.7571748489014176</c:v>
                </c:pt>
                <c:pt idx="519">
                  <c:v>-7.7967946478536865</c:v>
                </c:pt>
                <c:pt idx="520">
                  <c:v>-7.8362804625477986</c:v>
                </c:pt>
                <c:pt idx="521">
                  <c:v>-7.8765441939933449</c:v>
                </c:pt>
                <c:pt idx="522">
                  <c:v>-7.9166684830475909</c:v>
                </c:pt>
                <c:pt idx="523">
                  <c:v>-7.9566537659666228</c:v>
                </c:pt>
                <c:pt idx="524">
                  <c:v>-7.9965004888372135</c:v>
                </c:pt>
                <c:pt idx="525">
                  <c:v>-8.0371299041516977</c:v>
                </c:pt>
                <c:pt idx="526">
                  <c:v>-8.0776152214990731</c:v>
                </c:pt>
                <c:pt idx="527">
                  <c:v>-8.1179569475952427</c:v>
                </c:pt>
                <c:pt idx="528">
                  <c:v>-8.1581555978672196</c:v>
                </c:pt>
                <c:pt idx="529">
                  <c:v>-8.1991410386615193</c:v>
                </c:pt>
                <c:pt idx="530">
                  <c:v>-8.2399777930147948</c:v>
                </c:pt>
                <c:pt idx="531">
                  <c:v>-8.2806664384066817</c:v>
                </c:pt>
                <c:pt idx="532">
                  <c:v>-8.3212075598658775</c:v>
                </c:pt>
                <c:pt idx="533">
                  <c:v>-8.3625602087066166</c:v>
                </c:pt>
                <c:pt idx="534">
                  <c:v>-8.4037594996311302</c:v>
                </c:pt>
                <c:pt idx="535">
                  <c:v>-8.4448060820275863</c:v>
                </c:pt>
                <c:pt idx="536">
                  <c:v>-8.4857006116448126</c:v>
                </c:pt>
                <c:pt idx="537">
                  <c:v>-8.5273670225814993</c:v>
                </c:pt>
                <c:pt idx="538">
                  <c:v>-8.5688758037787771</c:v>
                </c:pt>
                <c:pt idx="539">
                  <c:v>-8.6102276744876018</c:v>
                </c:pt>
                <c:pt idx="540">
                  <c:v>-8.6514233590699625</c:v>
                </c:pt>
                <c:pt idx="541">
                  <c:v>-8.6934349098393007</c:v>
                </c:pt>
                <c:pt idx="542">
                  <c:v>-8.7352843300978442</c:v>
                </c:pt>
                <c:pt idx="543">
                  <c:v>-8.7769724109171605</c:v>
                </c:pt>
                <c:pt idx="544">
                  <c:v>-8.8184999472200882</c:v>
                </c:pt>
                <c:pt idx="545">
                  <c:v>-8.8608240991978686</c:v>
                </c:pt>
                <c:pt idx="546">
                  <c:v>-8.9029818770386697</c:v>
                </c:pt>
                <c:pt idx="547">
                  <c:v>-8.9449741421584648</c:v>
                </c:pt>
                <c:pt idx="548">
                  <c:v>-8.9868017585275943</c:v>
                </c:pt>
                <c:pt idx="549">
                  <c:v>-9.0294269876305719</c:v>
                </c:pt>
                <c:pt idx="550">
                  <c:v>-9.0718817024086675</c:v>
                </c:pt>
                <c:pt idx="551">
                  <c:v>-9.1141668340570465</c:v>
                </c:pt>
                <c:pt idx="552">
                  <c:v>-9.1562833150064922</c:v>
                </c:pt>
                <c:pt idx="553">
                  <c:v>-9.1992175600482895</c:v>
                </c:pt>
                <c:pt idx="554">
                  <c:v>-9.2419770998483983</c:v>
                </c:pt>
                <c:pt idx="555">
                  <c:v>-9.2845629360291841</c:v>
                </c:pt>
                <c:pt idx="556">
                  <c:v>-9.3269760701122664</c:v>
                </c:pt>
                <c:pt idx="557">
                  <c:v>-9.4132579398290481</c:v>
                </c:pt>
                <c:pt idx="558">
                  <c:v>-9.4988289772744334</c:v>
                </c:pt>
                <c:pt idx="559">
                  <c:v>-9.5856348740110384</c:v>
                </c:pt>
                <c:pt idx="560">
                  <c:v>-9.6717150430793133</c:v>
                </c:pt>
                <c:pt idx="561">
                  <c:v>-9.7590952480764841</c:v>
                </c:pt>
                <c:pt idx="562">
                  <c:v>-9.8457340630555734</c:v>
                </c:pt>
                <c:pt idx="563">
                  <c:v>-9.9334766453896481</c:v>
                </c:pt>
                <c:pt idx="564">
                  <c:v>-10.020465862089484</c:v>
                </c:pt>
                <c:pt idx="565">
                  <c:v>-10.108876533592108</c:v>
                </c:pt>
                <c:pt idx="566">
                  <c:v>-10.196516710486419</c:v>
                </c:pt>
                <c:pt idx="567">
                  <c:v>-10.285523949552415</c:v>
                </c:pt>
                <c:pt idx="568">
                  <c:v>-10.373744817143145</c:v>
                </c:pt>
                <c:pt idx="569">
                  <c:v>-10.462931577121445</c:v>
                </c:pt>
                <c:pt idx="570">
                  <c:v>-10.551323545751517</c:v>
                </c:pt>
                <c:pt idx="571">
                  <c:v>-10.641326295711398</c:v>
                </c:pt>
                <c:pt idx="572">
                  <c:v>-10.730514594215062</c:v>
                </c:pt>
                <c:pt idx="573">
                  <c:v>-10.820579665259045</c:v>
                </c:pt>
                <c:pt idx="574">
                  <c:v>-10.909824269112157</c:v>
                </c:pt>
                <c:pt idx="575">
                  <c:v>-11.000568723549652</c:v>
                </c:pt>
                <c:pt idx="576">
                  <c:v>-11.090475603436134</c:v>
                </c:pt>
                <c:pt idx="577">
                  <c:v>-11.462121328999457</c:v>
                </c:pt>
                <c:pt idx="578">
                  <c:v>-11.819932845512621</c:v>
                </c:pt>
                <c:pt idx="579">
                  <c:v>-12.559857653254028</c:v>
                </c:pt>
                <c:pt idx="580">
                  <c:v>-13.309916414669594</c:v>
                </c:pt>
                <c:pt idx="581">
                  <c:v>-14.067674685177366</c:v>
                </c:pt>
                <c:pt idx="582">
                  <c:v>-14.832431123470442</c:v>
                </c:pt>
                <c:pt idx="583">
                  <c:v>-15.602591592409258</c:v>
                </c:pt>
                <c:pt idx="584">
                  <c:v>-16.377849502874973</c:v>
                </c:pt>
                <c:pt idx="585">
                  <c:v>-17.157001014289428</c:v>
                </c:pt>
                <c:pt idx="586">
                  <c:v>-17.939510081807857</c:v>
                </c:pt>
                <c:pt idx="587">
                  <c:v>-18.725245668682046</c:v>
                </c:pt>
                <c:pt idx="588">
                  <c:v>-19.51299096489382</c:v>
                </c:pt>
                <c:pt idx="589">
                  <c:v>-20.302984858587159</c:v>
                </c:pt>
                <c:pt idx="590">
                  <c:v>-21.094596940990137</c:v>
                </c:pt>
                <c:pt idx="591">
                  <c:v>-21.887616243090907</c:v>
                </c:pt>
                <c:pt idx="592">
                  <c:v>-22.681699792297394</c:v>
                </c:pt>
                <c:pt idx="593">
                  <c:v>-23.476885979160503</c:v>
                </c:pt>
                <c:pt idx="594">
                  <c:v>-24.272800847870823</c:v>
                </c:pt>
                <c:pt idx="595">
                  <c:v>-25.069469559529015</c:v>
                </c:pt>
                <c:pt idx="596">
                  <c:v>-25.86661864185826</c:v>
                </c:pt>
                <c:pt idx="597">
                  <c:v>-26.664326207019759</c:v>
                </c:pt>
                <c:pt idx="598">
                  <c:v>-27.462318356819807</c:v>
                </c:pt>
                <c:pt idx="599">
                  <c:v>-28.260734666934137</c:v>
                </c:pt>
                <c:pt idx="600">
                  <c:v>-29.059398884259224</c:v>
                </c:pt>
              </c:numCache>
            </c:numRef>
          </c:yVal>
          <c:smooth val="1"/>
          <c:extLst>
            <c:ext xmlns:c16="http://schemas.microsoft.com/office/drawing/2014/chart" uri="{C3380CC4-5D6E-409C-BE32-E72D297353CC}">
              <c16:uniqueId val="{00000000-192E-4470-9DF7-A50CEEBE18B0}"/>
            </c:ext>
          </c:extLst>
        </c:ser>
        <c:dLbls>
          <c:showLegendKey val="0"/>
          <c:showVal val="0"/>
          <c:showCatName val="0"/>
          <c:showSerName val="0"/>
          <c:showPercent val="0"/>
          <c:showBubbleSize val="0"/>
        </c:dLbls>
        <c:axId val="196940928"/>
        <c:axId val="196942848"/>
      </c:scatterChart>
      <c:scatterChart>
        <c:scatterStyle val="lineMarker"/>
        <c:varyColors val="0"/>
        <c:ser>
          <c:idx val="8"/>
          <c:order val="1"/>
          <c:tx>
            <c:strRef>
              <c:f>'Stability Calculations'!$AC$12</c:f>
              <c:strCache>
                <c:ptCount val="1"/>
                <c:pt idx="0">
                  <c:v>Phase(Deg)</c:v>
                </c:pt>
              </c:strCache>
            </c:strRef>
          </c:tx>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Calculations'!$AC$13:$AC$613</c:f>
              <c:numCache>
                <c:formatCode>0.00</c:formatCode>
                <c:ptCount val="601"/>
                <c:pt idx="0">
                  <c:v>-74.108053293846652</c:v>
                </c:pt>
                <c:pt idx="1">
                  <c:v>-75.439627799784887</c:v>
                </c:pt>
                <c:pt idx="2">
                  <c:v>-76.667613767686035</c:v>
                </c:pt>
                <c:pt idx="3">
                  <c:v>-77.797937453358074</c:v>
                </c:pt>
                <c:pt idx="4">
                  <c:v>-78.836021609373773</c:v>
                </c:pt>
                <c:pt idx="5">
                  <c:v>-79.789617188865932</c:v>
                </c:pt>
                <c:pt idx="6">
                  <c:v>-80.663252211808228</c:v>
                </c:pt>
                <c:pt idx="7">
                  <c:v>-81.463289353279421</c:v>
                </c:pt>
                <c:pt idx="8">
                  <c:v>-82.194683424024049</c:v>
                </c:pt>
                <c:pt idx="9">
                  <c:v>-82.863235104268909</c:v>
                </c:pt>
                <c:pt idx="10">
                  <c:v>-83.473477107446186</c:v>
                </c:pt>
                <c:pt idx="11">
                  <c:v>-84.030130904422407</c:v>
                </c:pt>
                <c:pt idx="12">
                  <c:v>-84.537751457671035</c:v>
                </c:pt>
                <c:pt idx="13">
                  <c:v>-84.999827806226449</c:v>
                </c:pt>
                <c:pt idx="14">
                  <c:v>-85.420411413425967</c:v>
                </c:pt>
                <c:pt idx="15">
                  <c:v>-85.80270264903308</c:v>
                </c:pt>
                <c:pt idx="16">
                  <c:v>-86.149834343562446</c:v>
                </c:pt>
                <c:pt idx="17">
                  <c:v>-86.464597853159518</c:v>
                </c:pt>
                <c:pt idx="18">
                  <c:v>-86.749670401829249</c:v>
                </c:pt>
                <c:pt idx="19">
                  <c:v>-87.007327987685343</c:v>
                </c:pt>
                <c:pt idx="20">
                  <c:v>-87.239760932243883</c:v>
                </c:pt>
                <c:pt idx="21">
                  <c:v>-87.448857993557041</c:v>
                </c:pt>
                <c:pt idx="22">
                  <c:v>-87.636410845503349</c:v>
                </c:pt>
                <c:pt idx="23">
                  <c:v>-87.803944471183968</c:v>
                </c:pt>
                <c:pt idx="24">
                  <c:v>-87.952908130684875</c:v>
                </c:pt>
                <c:pt idx="25">
                  <c:v>-88.084528545912562</c:v>
                </c:pt>
                <c:pt idx="26">
                  <c:v>-88.19994038731339</c:v>
                </c:pt>
                <c:pt idx="27">
                  <c:v>-88.30007754460695</c:v>
                </c:pt>
                <c:pt idx="28">
                  <c:v>-88.385792987207424</c:v>
                </c:pt>
                <c:pt idx="29">
                  <c:v>-88.457772775350435</c:v>
                </c:pt>
                <c:pt idx="30">
                  <c:v>-88.51674078510996</c:v>
                </c:pt>
                <c:pt idx="31">
                  <c:v>-88.563100967700024</c:v>
                </c:pt>
                <c:pt idx="32">
                  <c:v>-88.597279152141752</c:v>
                </c:pt>
                <c:pt idx="33">
                  <c:v>-88.61954269732118</c:v>
                </c:pt>
                <c:pt idx="34">
                  <c:v>-88.630098895574562</c:v>
                </c:pt>
                <c:pt idx="35">
                  <c:v>-88.629029219563805</c:v>
                </c:pt>
                <c:pt idx="36">
                  <c:v>-88.616329887875779</c:v>
                </c:pt>
                <c:pt idx="37">
                  <c:v>-88.591880082119616</c:v>
                </c:pt>
                <c:pt idx="38">
                  <c:v>-88.555497314926839</c:v>
                </c:pt>
                <c:pt idx="39">
                  <c:v>-88.506848299577669</c:v>
                </c:pt>
                <c:pt idx="40">
                  <c:v>-88.445536413135372</c:v>
                </c:pt>
                <c:pt idx="41">
                  <c:v>-88.371040091367618</c:v>
                </c:pt>
                <c:pt idx="42">
                  <c:v>-88.282743667692799</c:v>
                </c:pt>
                <c:pt idx="43">
                  <c:v>-88.179876052871279</c:v>
                </c:pt>
                <c:pt idx="44">
                  <c:v>-88.06159694863733</c:v>
                </c:pt>
                <c:pt idx="45">
                  <c:v>-87.926887281718166</c:v>
                </c:pt>
                <c:pt idx="46">
                  <c:v>-87.774642568957375</c:v>
                </c:pt>
                <c:pt idx="47">
                  <c:v>-87.603552424490331</c:v>
                </c:pt>
                <c:pt idx="48">
                  <c:v>-87.41222735437897</c:v>
                </c:pt>
                <c:pt idx="49">
                  <c:v>-87.19902066772606</c:v>
                </c:pt>
                <c:pt idx="50">
                  <c:v>-86.962186787711161</c:v>
                </c:pt>
                <c:pt idx="51">
                  <c:v>-86.699698418846182</c:v>
                </c:pt>
                <c:pt idx="52">
                  <c:v>-86.409466854407825</c:v>
                </c:pt>
                <c:pt idx="53">
                  <c:v>-86.089103437380729</c:v>
                </c:pt>
                <c:pt idx="54">
                  <c:v>-85.736229417886875</c:v>
                </c:pt>
                <c:pt idx="55">
                  <c:v>-85.347372424452715</c:v>
                </c:pt>
                <c:pt idx="56">
                  <c:v>-84.919924538606182</c:v>
                </c:pt>
                <c:pt idx="57">
                  <c:v>-84.450209740915355</c:v>
                </c:pt>
                <c:pt idx="58">
                  <c:v>-83.934898597378123</c:v>
                </c:pt>
                <c:pt idx="59">
                  <c:v>-83.369633549224474</c:v>
                </c:pt>
                <c:pt idx="60">
                  <c:v>-82.750463199779873</c:v>
                </c:pt>
                <c:pt idx="61">
                  <c:v>-82.072763358354408</c:v>
                </c:pt>
                <c:pt idx="62">
                  <c:v>-81.331294807761452</c:v>
                </c:pt>
                <c:pt idx="63">
                  <c:v>-80.521667871664505</c:v>
                </c:pt>
                <c:pt idx="64">
                  <c:v>-79.637924438452558</c:v>
                </c:pt>
                <c:pt idx="65">
                  <c:v>-78.674879689862919</c:v>
                </c:pt>
                <c:pt idx="66">
                  <c:v>-77.626877264703495</c:v>
                </c:pt>
                <c:pt idx="67">
                  <c:v>-76.488520319506435</c:v>
                </c:pt>
                <c:pt idx="68">
                  <c:v>-75.25408236635279</c:v>
                </c:pt>
                <c:pt idx="69">
                  <c:v>-73.918855446252749</c:v>
                </c:pt>
                <c:pt idx="70">
                  <c:v>-72.478137996744479</c:v>
                </c:pt>
                <c:pt idx="71">
                  <c:v>-70.928670238504225</c:v>
                </c:pt>
                <c:pt idx="72">
                  <c:v>-69.267779609920538</c:v>
                </c:pt>
                <c:pt idx="73">
                  <c:v>-67.495130161046035</c:v>
                </c:pt>
                <c:pt idx="74">
                  <c:v>-65.61151211113264</c:v>
                </c:pt>
                <c:pt idx="75">
                  <c:v>-63.62083313906713</c:v>
                </c:pt>
                <c:pt idx="76">
                  <c:v>-61.528995035165053</c:v>
                </c:pt>
                <c:pt idx="77">
                  <c:v>-59.346092906456853</c:v>
                </c:pt>
                <c:pt idx="78">
                  <c:v>-57.084718966876679</c:v>
                </c:pt>
                <c:pt idx="79">
                  <c:v>-54.76219345615425</c:v>
                </c:pt>
                <c:pt idx="80">
                  <c:v>-52.393374206073133</c:v>
                </c:pt>
                <c:pt idx="81">
                  <c:v>-50.002860977687305</c:v>
                </c:pt>
                <c:pt idx="82">
                  <c:v>-47.612235076930197</c:v>
                </c:pt>
                <c:pt idx="83">
                  <c:v>-45.247419396220572</c:v>
                </c:pt>
                <c:pt idx="84">
                  <c:v>-42.930945906526148</c:v>
                </c:pt>
                <c:pt idx="85">
                  <c:v>-40.687710757708757</c:v>
                </c:pt>
                <c:pt idx="86">
                  <c:v>-38.539346401554269</c:v>
                </c:pt>
                <c:pt idx="87">
                  <c:v>-36.504569772235058</c:v>
                </c:pt>
                <c:pt idx="88">
                  <c:v>-34.602497630582988</c:v>
                </c:pt>
                <c:pt idx="89">
                  <c:v>-32.84593221037747</c:v>
                </c:pt>
                <c:pt idx="90">
                  <c:v>-31.247154970902315</c:v>
                </c:pt>
                <c:pt idx="91">
                  <c:v>-29.814957179953989</c:v>
                </c:pt>
                <c:pt idx="92">
                  <c:v>-28.55612815629668</c:v>
                </c:pt>
                <c:pt idx="93">
                  <c:v>-27.474981471558792</c:v>
                </c:pt>
                <c:pt idx="94">
                  <c:v>-27.232982928177424</c:v>
                </c:pt>
                <c:pt idx="95">
                  <c:v>-27.115522492764999</c:v>
                </c:pt>
                <c:pt idx="96">
                  <c:v>-27.002233540265902</c:v>
                </c:pt>
                <c:pt idx="97">
                  <c:v>-26.890508281247016</c:v>
                </c:pt>
                <c:pt idx="98">
                  <c:v>-26.782895522317162</c:v>
                </c:pt>
                <c:pt idx="99">
                  <c:v>-26.676891834311224</c:v>
                </c:pt>
                <c:pt idx="100">
                  <c:v>-26.574942635216068</c:v>
                </c:pt>
                <c:pt idx="101">
                  <c:v>-26.474727542870568</c:v>
                </c:pt>
                <c:pt idx="102">
                  <c:v>-26.378503757779097</c:v>
                </c:pt>
                <c:pt idx="103">
                  <c:v>-26.28399238502201</c:v>
                </c:pt>
                <c:pt idx="104">
                  <c:v>-26.193415856045814</c:v>
                </c:pt>
                <c:pt idx="105">
                  <c:v>-26.104676148216502</c:v>
                </c:pt>
                <c:pt idx="106">
                  <c:v>-26.019809605632425</c:v>
                </c:pt>
                <c:pt idx="107">
                  <c:v>-25.936892388916014</c:v>
                </c:pt>
                <c:pt idx="108">
                  <c:v>-25.857782045799009</c:v>
                </c:pt>
                <c:pt idx="109">
                  <c:v>-25.780671117489621</c:v>
                </c:pt>
                <c:pt idx="110">
                  <c:v>-25.707301745136476</c:v>
                </c:pt>
                <c:pt idx="111">
                  <c:v>-25.635940060401008</c:v>
                </c:pt>
                <c:pt idx="112">
                  <c:v>-25.568260190774225</c:v>
                </c:pt>
                <c:pt idx="113">
                  <c:v>-25.502697269515593</c:v>
                </c:pt>
                <c:pt idx="114">
                  <c:v>-25.44075183124729</c:v>
                </c:pt>
                <c:pt idx="115">
                  <c:v>-25.380984668541394</c:v>
                </c:pt>
                <c:pt idx="116">
                  <c:v>-25.324771071847408</c:v>
                </c:pt>
                <c:pt idx="117">
                  <c:v>-25.270799839861656</c:v>
                </c:pt>
                <c:pt idx="118">
                  <c:v>-25.220318521847798</c:v>
                </c:pt>
                <c:pt idx="119">
                  <c:v>-25.172174090154879</c:v>
                </c:pt>
                <c:pt idx="120">
                  <c:v>-25.127451968643499</c:v>
                </c:pt>
                <c:pt idx="121">
                  <c:v>-25.085126859680209</c:v>
                </c:pt>
                <c:pt idx="122">
                  <c:v>-25.046156945060336</c:v>
                </c:pt>
                <c:pt idx="123">
                  <c:v>-25.009625953101914</c:v>
                </c:pt>
                <c:pt idx="124">
                  <c:v>-24.976387146303008</c:v>
                </c:pt>
                <c:pt idx="125">
                  <c:v>-24.945674808817937</c:v>
                </c:pt>
                <c:pt idx="126">
                  <c:v>-24.918187860119435</c:v>
                </c:pt>
                <c:pt idx="127">
                  <c:v>-24.893292035820597</c:v>
                </c:pt>
                <c:pt idx="128">
                  <c:v>-24.871554959876473</c:v>
                </c:pt>
                <c:pt idx="129">
                  <c:v>-24.85247450246149</c:v>
                </c:pt>
                <c:pt idx="130">
                  <c:v>-24.836486220091476</c:v>
                </c:pt>
                <c:pt idx="131">
                  <c:v>-24.823220560751285</c:v>
                </c:pt>
                <c:pt idx="132">
                  <c:v>-24.817728721317927</c:v>
                </c:pt>
                <c:pt idx="133">
                  <c:v>-24.812980492859477</c:v>
                </c:pt>
                <c:pt idx="134">
                  <c:v>-24.808876720041262</c:v>
                </c:pt>
                <c:pt idx="135">
                  <c:v>-24.805526183643654</c:v>
                </c:pt>
                <c:pt idx="136">
                  <c:v>-24.802916064421563</c:v>
                </c:pt>
                <c:pt idx="137">
                  <c:v>-24.801033808752702</c:v>
                </c:pt>
                <c:pt idx="138">
                  <c:v>-24.799848846373838</c:v>
                </c:pt>
                <c:pt idx="139">
                  <c:v>-24.799399436414785</c:v>
                </c:pt>
                <c:pt idx="140">
                  <c:v>-24.799672969220438</c:v>
                </c:pt>
                <c:pt idx="141">
                  <c:v>-24.800657097072627</c:v>
                </c:pt>
                <c:pt idx="142">
                  <c:v>-24.802388009278708</c:v>
                </c:pt>
                <c:pt idx="143">
                  <c:v>-24.804838242259393</c:v>
                </c:pt>
                <c:pt idx="144">
                  <c:v>-24.807995358713448</c:v>
                </c:pt>
                <c:pt idx="145">
                  <c:v>-24.811847180547186</c:v>
                </c:pt>
                <c:pt idx="146">
                  <c:v>-24.816494819633316</c:v>
                </c:pt>
                <c:pt idx="147">
                  <c:v>-24.821844730822306</c:v>
                </c:pt>
                <c:pt idx="148">
                  <c:v>-24.827884669687137</c:v>
                </c:pt>
                <c:pt idx="149">
                  <c:v>-24.834602647643411</c:v>
                </c:pt>
                <c:pt idx="150">
                  <c:v>-24.842165448910247</c:v>
                </c:pt>
                <c:pt idx="151">
                  <c:v>-24.850413409053985</c:v>
                </c:pt>
                <c:pt idx="152">
                  <c:v>-24.859334477589513</c:v>
                </c:pt>
                <c:pt idx="153">
                  <c:v>-24.868916856411847</c:v>
                </c:pt>
                <c:pt idx="154">
                  <c:v>-24.879397598217516</c:v>
                </c:pt>
                <c:pt idx="155">
                  <c:v>-24.890546922659002</c:v>
                </c:pt>
                <c:pt idx="156">
                  <c:v>-24.902352958006215</c:v>
                </c:pt>
                <c:pt idx="157">
                  <c:v>-24.914804081805293</c:v>
                </c:pt>
                <c:pt idx="158">
                  <c:v>-24.928203389085468</c:v>
                </c:pt>
                <c:pt idx="159">
                  <c:v>-24.942254544296944</c:v>
                </c:pt>
                <c:pt idx="160">
                  <c:v>-24.956945857086733</c:v>
                </c:pt>
                <c:pt idx="161">
                  <c:v>-24.972265883140405</c:v>
                </c:pt>
                <c:pt idx="162">
                  <c:v>-24.988575879652178</c:v>
                </c:pt>
                <c:pt idx="163">
                  <c:v>-25.005520278001335</c:v>
                </c:pt>
                <c:pt idx="164">
                  <c:v>-25.023087586617791</c:v>
                </c:pt>
                <c:pt idx="165">
                  <c:v>-25.041266556185505</c:v>
                </c:pt>
                <c:pt idx="166">
                  <c:v>-25.060498941093016</c:v>
                </c:pt>
                <c:pt idx="167">
                  <c:v>-25.080349247677081</c:v>
                </c:pt>
                <c:pt idx="168">
                  <c:v>-25.100806154938837</c:v>
                </c:pt>
                <c:pt idx="169">
                  <c:v>-25.121858581082705</c:v>
                </c:pt>
                <c:pt idx="170">
                  <c:v>-25.143966321663981</c:v>
                </c:pt>
                <c:pt idx="171">
                  <c:v>-25.166672777386221</c:v>
                </c:pt>
                <c:pt idx="172">
                  <c:v>-25.189966870550109</c:v>
                </c:pt>
                <c:pt idx="173">
                  <c:v>-25.213837757511797</c:v>
                </c:pt>
                <c:pt idx="174">
                  <c:v>-25.238898108475897</c:v>
                </c:pt>
                <c:pt idx="175">
                  <c:v>-25.264542348205602</c:v>
                </c:pt>
                <c:pt idx="176">
                  <c:v>-25.290759518449004</c:v>
                </c:pt>
                <c:pt idx="177">
                  <c:v>-25.317538893291427</c:v>
                </c:pt>
                <c:pt idx="178">
                  <c:v>-25.345548910977161</c:v>
                </c:pt>
                <c:pt idx="179">
                  <c:v>-25.374127047432957</c:v>
                </c:pt>
                <c:pt idx="180">
                  <c:v>-25.403262485209158</c:v>
                </c:pt>
                <c:pt idx="181">
                  <c:v>-25.432944636835728</c:v>
                </c:pt>
                <c:pt idx="182">
                  <c:v>-25.463772909506783</c:v>
                </c:pt>
                <c:pt idx="183">
                  <c:v>-25.495148437452464</c:v>
                </c:pt>
                <c:pt idx="184">
                  <c:v>-25.527060686028413</c:v>
                </c:pt>
                <c:pt idx="185">
                  <c:v>-25.55949934415877</c:v>
                </c:pt>
                <c:pt idx="186">
                  <c:v>-25.593366151349965</c:v>
                </c:pt>
                <c:pt idx="187">
                  <c:v>-25.627767296840656</c:v>
                </c:pt>
                <c:pt idx="188">
                  <c:v>-25.662692295755253</c:v>
                </c:pt>
                <c:pt idx="189">
                  <c:v>-25.698130886920282</c:v>
                </c:pt>
                <c:pt idx="190">
                  <c:v>-25.734763777494628</c:v>
                </c:pt>
                <c:pt idx="191">
                  <c:v>-25.771909217410826</c:v>
                </c:pt>
                <c:pt idx="192">
                  <c:v>-25.809557026184898</c:v>
                </c:pt>
                <c:pt idx="193">
                  <c:v>-25.847697239929669</c:v>
                </c:pt>
                <c:pt idx="194">
                  <c:v>-25.887339095683419</c:v>
                </c:pt>
                <c:pt idx="195">
                  <c:v>-25.927478927961577</c:v>
                </c:pt>
                <c:pt idx="196">
                  <c:v>-25.968106642614934</c:v>
                </c:pt>
                <c:pt idx="197">
                  <c:v>-26.009212361127314</c:v>
                </c:pt>
                <c:pt idx="198">
                  <c:v>-26.051701963921346</c:v>
                </c:pt>
                <c:pt idx="199">
                  <c:v>-26.094670540927989</c:v>
                </c:pt>
                <c:pt idx="200">
                  <c:v>-26.138108211570067</c:v>
                </c:pt>
                <c:pt idx="201">
                  <c:v>-26.182005306309225</c:v>
                </c:pt>
                <c:pt idx="202">
                  <c:v>-26.227307510698267</c:v>
                </c:pt>
                <c:pt idx="203">
                  <c:v>-26.273069296128526</c:v>
                </c:pt>
                <c:pt idx="204">
                  <c:v>-26.319281004131781</c:v>
                </c:pt>
                <c:pt idx="205">
                  <c:v>-26.365933182417891</c:v>
                </c:pt>
                <c:pt idx="206">
                  <c:v>-26.414174299526195</c:v>
                </c:pt>
                <c:pt idx="207">
                  <c:v>-26.462858268029986</c:v>
                </c:pt>
                <c:pt idx="208">
                  <c:v>-26.511975562300329</c:v>
                </c:pt>
                <c:pt idx="209">
                  <c:v>-26.561516860542991</c:v>
                </c:pt>
                <c:pt idx="210">
                  <c:v>-26.612842764073179</c:v>
                </c:pt>
                <c:pt idx="211">
                  <c:v>-26.664596834924318</c:v>
                </c:pt>
                <c:pt idx="212">
                  <c:v>-26.716769603318912</c:v>
                </c:pt>
                <c:pt idx="213">
                  <c:v>-26.769351803165417</c:v>
                </c:pt>
                <c:pt idx="214">
                  <c:v>-26.823394506259266</c:v>
                </c:pt>
                <c:pt idx="215">
                  <c:v>-26.877844279781225</c:v>
                </c:pt>
                <c:pt idx="216">
                  <c:v>-26.932691912657173</c:v>
                </c:pt>
                <c:pt idx="217">
                  <c:v>-26.987928391561521</c:v>
                </c:pt>
                <c:pt idx="218">
                  <c:v>-27.044817387493424</c:v>
                </c:pt>
                <c:pt idx="219">
                  <c:v>-27.102094701697656</c:v>
                </c:pt>
                <c:pt idx="220">
                  <c:v>-27.159751298336104</c:v>
                </c:pt>
                <c:pt idx="221">
                  <c:v>-27.217778335763299</c:v>
                </c:pt>
                <c:pt idx="222">
                  <c:v>-27.277472880252208</c:v>
                </c:pt>
                <c:pt idx="223">
                  <c:v>-27.337536478541377</c:v>
                </c:pt>
                <c:pt idx="224">
                  <c:v>-27.397960280635811</c:v>
                </c:pt>
                <c:pt idx="225">
                  <c:v>-27.458735626882348</c:v>
                </c:pt>
                <c:pt idx="226">
                  <c:v>-27.521381552990292</c:v>
                </c:pt>
                <c:pt idx="227">
                  <c:v>-27.58437893547563</c:v>
                </c:pt>
                <c:pt idx="228">
                  <c:v>-27.647719040689164</c:v>
                </c:pt>
                <c:pt idx="229">
                  <c:v>-27.711393323479491</c:v>
                </c:pt>
                <c:pt idx="230">
                  <c:v>-27.84284702676575</c:v>
                </c:pt>
                <c:pt idx="231">
                  <c:v>-27.909064870583496</c:v>
                </c:pt>
                <c:pt idx="232">
                  <c:v>-27.975598760729536</c:v>
                </c:pt>
                <c:pt idx="233">
                  <c:v>-28.044030884241852</c:v>
                </c:pt>
                <c:pt idx="234">
                  <c:v>-28.112776966619286</c:v>
                </c:pt>
                <c:pt idx="235">
                  <c:v>-28.181828554070936</c:v>
                </c:pt>
                <c:pt idx="236">
                  <c:v>-28.251177376366456</c:v>
                </c:pt>
                <c:pt idx="237">
                  <c:v>-28.322231223554432</c:v>
                </c:pt>
                <c:pt idx="238">
                  <c:v>-28.393577659473166</c:v>
                </c:pt>
                <c:pt idx="239">
                  <c:v>-28.465208460011137</c:v>
                </c:pt>
                <c:pt idx="240">
                  <c:v>-28.537115579619066</c:v>
                </c:pt>
                <c:pt idx="241">
                  <c:v>-28.611139995655915</c:v>
                </c:pt>
                <c:pt idx="242">
                  <c:v>-28.685438456488143</c:v>
                </c:pt>
                <c:pt idx="243">
                  <c:v>-28.760002838093346</c:v>
                </c:pt>
                <c:pt idx="244">
                  <c:v>-28.834825193806815</c:v>
                </c:pt>
                <c:pt idx="245">
                  <c:v>-28.911564182729212</c:v>
                </c:pt>
                <c:pt idx="246">
                  <c:v>-28.988556463573065</c:v>
                </c:pt>
                <c:pt idx="247">
                  <c:v>-29.06579409403372</c:v>
                </c:pt>
                <c:pt idx="248">
                  <c:v>-29.143269305660457</c:v>
                </c:pt>
                <c:pt idx="249">
                  <c:v>-29.222872557945699</c:v>
                </c:pt>
                <c:pt idx="250">
                  <c:v>-29.302709158732714</c:v>
                </c:pt>
                <c:pt idx="251">
                  <c:v>-29.382771295031848</c:v>
                </c:pt>
                <c:pt idx="252">
                  <c:v>-29.463051325800947</c:v>
                </c:pt>
                <c:pt idx="253">
                  <c:v>-29.545247499319114</c:v>
                </c:pt>
                <c:pt idx="254">
                  <c:v>-29.627655312341492</c:v>
                </c:pt>
                <c:pt idx="255">
                  <c:v>-29.710267154520299</c:v>
                </c:pt>
                <c:pt idx="256">
                  <c:v>-29.793075583485887</c:v>
                </c:pt>
                <c:pt idx="257">
                  <c:v>-29.878225972340175</c:v>
                </c:pt>
                <c:pt idx="258">
                  <c:v>-29.963567920528238</c:v>
                </c:pt>
                <c:pt idx="259">
                  <c:v>-30.049093914663995</c:v>
                </c:pt>
                <c:pt idx="260">
                  <c:v>-30.134796608569459</c:v>
                </c:pt>
                <c:pt idx="261">
                  <c:v>-30.222622374780372</c:v>
                </c:pt>
                <c:pt idx="262">
                  <c:v>-30.310617938019856</c:v>
                </c:pt>
                <c:pt idx="263">
                  <c:v>-30.398775954294933</c:v>
                </c:pt>
                <c:pt idx="264">
                  <c:v>-30.487089244028187</c:v>
                </c:pt>
                <c:pt idx="265">
                  <c:v>-30.577518230868641</c:v>
                </c:pt>
                <c:pt idx="266">
                  <c:v>-30.668094805041299</c:v>
                </c:pt>
                <c:pt idx="267">
                  <c:v>-30.758811802768683</c:v>
                </c:pt>
                <c:pt idx="268">
                  <c:v>-30.849662221684063</c:v>
                </c:pt>
                <c:pt idx="269">
                  <c:v>-30.942838238037023</c:v>
                </c:pt>
                <c:pt idx="270">
                  <c:v>-31.036139832839329</c:v>
                </c:pt>
                <c:pt idx="271">
                  <c:v>-31.129559983247002</c:v>
                </c:pt>
                <c:pt idx="272">
                  <c:v>-31.223091826127565</c:v>
                </c:pt>
                <c:pt idx="273">
                  <c:v>-31.318938283200403</c:v>
                </c:pt>
                <c:pt idx="274">
                  <c:v>-31.414887707217531</c:v>
                </c:pt>
                <c:pt idx="275">
                  <c:v>-31.510933231039957</c:v>
                </c:pt>
                <c:pt idx="276">
                  <c:v>-31.607068145246064</c:v>
                </c:pt>
                <c:pt idx="277">
                  <c:v>-31.705282023739425</c:v>
                </c:pt>
                <c:pt idx="278">
                  <c:v>-31.803575397109842</c:v>
                </c:pt>
                <c:pt idx="279">
                  <c:v>-31.901941612155333</c:v>
                </c:pt>
                <c:pt idx="280">
                  <c:v>-32.000374169761429</c:v>
                </c:pt>
                <c:pt idx="281">
                  <c:v>-32.101535466632718</c:v>
                </c:pt>
                <c:pt idx="282">
                  <c:v>-32.202753333484836</c:v>
                </c:pt>
                <c:pt idx="283">
                  <c:v>-32.304021210292525</c:v>
                </c:pt>
                <c:pt idx="284">
                  <c:v>-32.405332691389575</c:v>
                </c:pt>
                <c:pt idx="285">
                  <c:v>-32.508686558579647</c:v>
                </c:pt>
                <c:pt idx="286">
                  <c:v>-32.612072790396965</c:v>
                </c:pt>
                <c:pt idx="287">
                  <c:v>-32.71548506413059</c:v>
                </c:pt>
                <c:pt idx="288">
                  <c:v>-32.818917207388168</c:v>
                </c:pt>
                <c:pt idx="289">
                  <c:v>-32.925038652108867</c:v>
                </c:pt>
                <c:pt idx="290">
                  <c:v>-33.031168316722137</c:v>
                </c:pt>
                <c:pt idx="291">
                  <c:v>-33.137300005513488</c:v>
                </c:pt>
                <c:pt idx="292">
                  <c:v>-33.243427672723278</c:v>
                </c:pt>
                <c:pt idx="293">
                  <c:v>-33.351997556085784</c:v>
                </c:pt>
                <c:pt idx="294">
                  <c:v>-33.460550890925212</c:v>
                </c:pt>
                <c:pt idx="295">
                  <c:v>-33.569081665158677</c:v>
                </c:pt>
                <c:pt idx="296">
                  <c:v>-33.677584014714512</c:v>
                </c:pt>
                <c:pt idx="297">
                  <c:v>-33.788501782227769</c:v>
                </c:pt>
                <c:pt idx="298">
                  <c:v>-33.899377881541319</c:v>
                </c:pt>
                <c:pt idx="299">
                  <c:v>-34.010206498003221</c:v>
                </c:pt>
                <c:pt idx="300">
                  <c:v>-34.120981962793557</c:v>
                </c:pt>
                <c:pt idx="301">
                  <c:v>-34.234143597078521</c:v>
                </c:pt>
                <c:pt idx="302">
                  <c:v>-34.347238181017268</c:v>
                </c:pt>
                <c:pt idx="303">
                  <c:v>-34.460260110189225</c:v>
                </c:pt>
                <c:pt idx="304">
                  <c:v>-34.573203923615338</c:v>
                </c:pt>
                <c:pt idx="305">
                  <c:v>-34.688945646300944</c:v>
                </c:pt>
                <c:pt idx="306">
                  <c:v>-34.804594025571554</c:v>
                </c:pt>
                <c:pt idx="307">
                  <c:v>-34.920143617562715</c:v>
                </c:pt>
                <c:pt idx="308">
                  <c:v>-35.035589121422987</c:v>
                </c:pt>
                <c:pt idx="309">
                  <c:v>-35.153354621103205</c:v>
                </c:pt>
                <c:pt idx="310">
                  <c:v>-35.271000870093751</c:v>
                </c:pt>
                <c:pt idx="311">
                  <c:v>-35.388522663548635</c:v>
                </c:pt>
                <c:pt idx="312">
                  <c:v>-35.505914936744169</c:v>
                </c:pt>
                <c:pt idx="313">
                  <c:v>-35.626030988149907</c:v>
                </c:pt>
                <c:pt idx="314">
                  <c:v>-35.746000800362843</c:v>
                </c:pt>
                <c:pt idx="315">
                  <c:v>-35.865819363251049</c:v>
                </c:pt>
                <c:pt idx="316">
                  <c:v>-35.985481805767314</c:v>
                </c:pt>
                <c:pt idx="317">
                  <c:v>-36.10782666960673</c:v>
                </c:pt>
                <c:pt idx="318">
                  <c:v>-36.229997988610656</c:v>
                </c:pt>
                <c:pt idx="319">
                  <c:v>-36.351990965627479</c:v>
                </c:pt>
                <c:pt idx="320">
                  <c:v>-36.47380094121722</c:v>
                </c:pt>
                <c:pt idx="321">
                  <c:v>-36.598249552395799</c:v>
                </c:pt>
                <c:pt idx="322">
                  <c:v>-36.722497107138317</c:v>
                </c:pt>
                <c:pt idx="323">
                  <c:v>-36.846539038379959</c:v>
                </c:pt>
                <c:pt idx="324">
                  <c:v>-36.970370915076742</c:v>
                </c:pt>
                <c:pt idx="325">
                  <c:v>-37.096795403776156</c:v>
                </c:pt>
                <c:pt idx="326">
                  <c:v>-37.222991227237983</c:v>
                </c:pt>
                <c:pt idx="327">
                  <c:v>-37.348954064410613</c:v>
                </c:pt>
                <c:pt idx="328">
                  <c:v>-37.474679728271198</c:v>
                </c:pt>
                <c:pt idx="329">
                  <c:v>-37.603164220331905</c:v>
                </c:pt>
                <c:pt idx="330">
                  <c:v>-37.731391582414027</c:v>
                </c:pt>
                <c:pt idx="331">
                  <c:v>-37.859357734137824</c:v>
                </c:pt>
                <c:pt idx="332">
                  <c:v>-37.987058727745314</c:v>
                </c:pt>
                <c:pt idx="333">
                  <c:v>-38.117253371141459</c:v>
                </c:pt>
                <c:pt idx="334">
                  <c:v>-38.247163299501644</c:v>
                </c:pt>
                <c:pt idx="335">
                  <c:v>-38.376784709326053</c:v>
                </c:pt>
                <c:pt idx="336">
                  <c:v>-38.506113927127068</c:v>
                </c:pt>
                <c:pt idx="337">
                  <c:v>-38.638306248962337</c:v>
                </c:pt>
                <c:pt idx="338">
                  <c:v>-38.770184477855338</c:v>
                </c:pt>
                <c:pt idx="339">
                  <c:v>-38.901745066143732</c:v>
                </c:pt>
                <c:pt idx="340">
                  <c:v>-39.032984594921857</c:v>
                </c:pt>
                <c:pt idx="341">
                  <c:v>-39.167027713559726</c:v>
                </c:pt>
                <c:pt idx="342">
                  <c:v>-39.300727371674476</c:v>
                </c:pt>
                <c:pt idx="343">
                  <c:v>-39.434080296777509</c:v>
                </c:pt>
                <c:pt idx="344">
                  <c:v>-39.567083343460986</c:v>
                </c:pt>
                <c:pt idx="345">
                  <c:v>-39.702622218600993</c:v>
                </c:pt>
                <c:pt idx="346">
                  <c:v>-39.837789541041495</c:v>
                </c:pt>
                <c:pt idx="347">
                  <c:v>-39.972582344555683</c:v>
                </c:pt>
                <c:pt idx="348">
                  <c:v>-40.106997787164303</c:v>
                </c:pt>
                <c:pt idx="349">
                  <c:v>-40.244297532540074</c:v>
                </c:pt>
                <c:pt idx="350">
                  <c:v>-40.381195632633862</c:v>
                </c:pt>
                <c:pt idx="351">
                  <c:v>-40.517689416323151</c:v>
                </c:pt>
                <c:pt idx="352">
                  <c:v>-40.65377633502132</c:v>
                </c:pt>
                <c:pt idx="353">
                  <c:v>-40.792679371133303</c:v>
                </c:pt>
                <c:pt idx="354">
                  <c:v>-40.931150909846551</c:v>
                </c:pt>
                <c:pt idx="355">
                  <c:v>-41.06918859371698</c:v>
                </c:pt>
                <c:pt idx="356">
                  <c:v>-41.206790185659372</c:v>
                </c:pt>
                <c:pt idx="357">
                  <c:v>-41.346939149826945</c:v>
                </c:pt>
                <c:pt idx="358">
                  <c:v>-41.486628446897541</c:v>
                </c:pt>
                <c:pt idx="359">
                  <c:v>-41.625856058211355</c:v>
                </c:pt>
                <c:pt idx="360">
                  <c:v>-41.764620082179832</c:v>
                </c:pt>
                <c:pt idx="361">
                  <c:v>-41.906257302343128</c:v>
                </c:pt>
                <c:pt idx="362">
                  <c:v>-42.047404567633244</c:v>
                </c:pt>
                <c:pt idx="363">
                  <c:v>-42.188060195597224</c:v>
                </c:pt>
                <c:pt idx="364">
                  <c:v>-42.328222618460934</c:v>
                </c:pt>
                <c:pt idx="365">
                  <c:v>-42.47098847893961</c:v>
                </c:pt>
                <c:pt idx="366">
                  <c:v>-42.613236010158658</c:v>
                </c:pt>
                <c:pt idx="367">
                  <c:v>-42.754963887762742</c:v>
                </c:pt>
                <c:pt idx="368">
                  <c:v>-42.896170898582739</c:v>
                </c:pt>
                <c:pt idx="369">
                  <c:v>-43.040290056468947</c:v>
                </c:pt>
                <c:pt idx="370">
                  <c:v>-43.18386032483545</c:v>
                </c:pt>
                <c:pt idx="371">
                  <c:v>-43.326880741030813</c:v>
                </c:pt>
                <c:pt idx="372">
                  <c:v>-43.469350450819903</c:v>
                </c:pt>
                <c:pt idx="373">
                  <c:v>-43.614462091463729</c:v>
                </c:pt>
                <c:pt idx="374">
                  <c:v>-43.758996439172812</c:v>
                </c:pt>
                <c:pt idx="375">
                  <c:v>-43.9029529110949</c:v>
                </c:pt>
                <c:pt idx="376">
                  <c:v>-44.046331028940635</c:v>
                </c:pt>
                <c:pt idx="377">
                  <c:v>-44.192642157508651</c:v>
                </c:pt>
                <c:pt idx="378">
                  <c:v>-44.338345381483641</c:v>
                </c:pt>
                <c:pt idx="379">
                  <c:v>-44.48344050674627</c:v>
                </c:pt>
                <c:pt idx="380">
                  <c:v>-44.627927440445205</c:v>
                </c:pt>
                <c:pt idx="381">
                  <c:v>-44.774895628632336</c:v>
                </c:pt>
                <c:pt idx="382">
                  <c:v>-44.921229281574611</c:v>
                </c:pt>
                <c:pt idx="383">
                  <c:v>-45.066928606626547</c:v>
                </c:pt>
                <c:pt idx="384">
                  <c:v>-45.211993907588436</c:v>
                </c:pt>
                <c:pt idx="385">
                  <c:v>-45.359997010704276</c:v>
                </c:pt>
                <c:pt idx="386">
                  <c:v>-45.507335216759003</c:v>
                </c:pt>
                <c:pt idx="387">
                  <c:v>-45.654009146987605</c:v>
                </c:pt>
                <c:pt idx="388">
                  <c:v>-45.800019515168344</c:v>
                </c:pt>
                <c:pt idx="389">
                  <c:v>-45.948698647240661</c:v>
                </c:pt>
                <c:pt idx="390">
                  <c:v>-46.096685170583839</c:v>
                </c:pt>
                <c:pt idx="391">
                  <c:v>-46.243980129104415</c:v>
                </c:pt>
                <c:pt idx="392">
                  <c:v>-46.390584654335512</c:v>
                </c:pt>
                <c:pt idx="393">
                  <c:v>-46.539769116603978</c:v>
                </c:pt>
                <c:pt idx="394">
                  <c:v>-46.688234444038777</c:v>
                </c:pt>
                <c:pt idx="395">
                  <c:v>-46.835982109697333</c:v>
                </c:pt>
                <c:pt idx="396">
                  <c:v>-46.983013668854333</c:v>
                </c:pt>
                <c:pt idx="397">
                  <c:v>-47.132874093430956</c:v>
                </c:pt>
                <c:pt idx="398">
                  <c:v>-47.281986772788606</c:v>
                </c:pt>
                <c:pt idx="399">
                  <c:v>-47.430353626080091</c:v>
                </c:pt>
                <c:pt idx="400">
                  <c:v>-47.577976649491802</c:v>
                </c:pt>
                <c:pt idx="401">
                  <c:v>-47.728164972779531</c:v>
                </c:pt>
                <c:pt idx="402">
                  <c:v>-47.877579960564312</c:v>
                </c:pt>
                <c:pt idx="403">
                  <c:v>-48.026223977023569</c:v>
                </c:pt>
                <c:pt idx="404">
                  <c:v>-48.174099457303733</c:v>
                </c:pt>
                <c:pt idx="405">
                  <c:v>-48.324609662818297</c:v>
                </c:pt>
                <c:pt idx="406">
                  <c:v>-48.474320663832799</c:v>
                </c:pt>
                <c:pt idx="407">
                  <c:v>-48.623235279634173</c:v>
                </c:pt>
                <c:pt idx="408">
                  <c:v>-48.771356394240868</c:v>
                </c:pt>
                <c:pt idx="409">
                  <c:v>-48.922173892446523</c:v>
                </c:pt>
                <c:pt idx="410">
                  <c:v>-49.072166090691688</c:v>
                </c:pt>
                <c:pt idx="411">
                  <c:v>-49.22133627452871</c:v>
                </c:pt>
                <c:pt idx="412">
                  <c:v>-49.369687787767333</c:v>
                </c:pt>
                <c:pt idx="413">
                  <c:v>-49.520634616990598</c:v>
                </c:pt>
                <c:pt idx="414">
                  <c:v>-49.670731634776381</c:v>
                </c:pt>
                <c:pt idx="415">
                  <c:v>-49.819982593161384</c:v>
                </c:pt>
                <c:pt idx="416">
                  <c:v>-49.968391295465764</c:v>
                </c:pt>
                <c:pt idx="417">
                  <c:v>-50.119446946300265</c:v>
                </c:pt>
                <c:pt idx="418">
                  <c:v>-50.269628185445455</c:v>
                </c:pt>
                <c:pt idx="419">
                  <c:v>-50.41893924123422</c:v>
                </c:pt>
                <c:pt idx="420">
                  <c:v>-50.567384386041539</c:v>
                </c:pt>
                <c:pt idx="421">
                  <c:v>-50.718224657410829</c:v>
                </c:pt>
                <c:pt idx="422">
                  <c:v>-50.868169418226493</c:v>
                </c:pt>
                <c:pt idx="423">
                  <c:v>-51.017223355416341</c:v>
                </c:pt>
                <c:pt idx="424">
                  <c:v>-51.165391192118584</c:v>
                </c:pt>
                <c:pt idx="425">
                  <c:v>-51.316290791011227</c:v>
                </c:pt>
                <c:pt idx="426">
                  <c:v>-51.466270289329231</c:v>
                </c:pt>
                <c:pt idx="427">
                  <c:v>-51.615334868221055</c:v>
                </c:pt>
                <c:pt idx="428">
                  <c:v>-51.76348973722029</c:v>
                </c:pt>
                <c:pt idx="429">
                  <c:v>-51.914124328553129</c:v>
                </c:pt>
                <c:pt idx="430">
                  <c:v>-52.06381789059359</c:v>
                </c:pt>
                <c:pt idx="431">
                  <c:v>-52.212576076867421</c:v>
                </c:pt>
                <c:pt idx="432">
                  <c:v>-52.36040456092627</c:v>
                </c:pt>
                <c:pt idx="433">
                  <c:v>-52.510608955428758</c:v>
                </c:pt>
                <c:pt idx="434">
                  <c:v>-52.659853324787022</c:v>
                </c:pt>
                <c:pt idx="435">
                  <c:v>-52.808143783646116</c:v>
                </c:pt>
                <c:pt idx="436">
                  <c:v>-52.955486458009773</c:v>
                </c:pt>
                <c:pt idx="437">
                  <c:v>-53.105371365370388</c:v>
                </c:pt>
                <c:pt idx="438">
                  <c:v>-53.254275714651556</c:v>
                </c:pt>
                <c:pt idx="439">
                  <c:v>-53.402206102862962</c:v>
                </c:pt>
                <c:pt idx="440">
                  <c:v>-53.549169129487773</c:v>
                </c:pt>
                <c:pt idx="441">
                  <c:v>-53.698564521511905</c:v>
                </c:pt>
                <c:pt idx="442">
                  <c:v>-53.846960892449218</c:v>
                </c:pt>
                <c:pt idx="443">
                  <c:v>-53.99436530788369</c:v>
                </c:pt>
                <c:pt idx="444">
                  <c:v>-54.140784826698045</c:v>
                </c:pt>
                <c:pt idx="445">
                  <c:v>-54.289529342896252</c:v>
                </c:pt>
                <c:pt idx="446">
                  <c:v>-54.437258471629796</c:v>
                </c:pt>
                <c:pt idx="447">
                  <c:v>-54.5839797301945</c:v>
                </c:pt>
                <c:pt idx="448">
                  <c:v>-54.729700619809556</c:v>
                </c:pt>
                <c:pt idx="449">
                  <c:v>-54.877888968501601</c:v>
                </c:pt>
                <c:pt idx="450">
                  <c:v>-55.025044228082969</c:v>
                </c:pt>
                <c:pt idx="451">
                  <c:v>-55.171174387912451</c:v>
                </c:pt>
                <c:pt idx="452">
                  <c:v>-55.316287411606901</c:v>
                </c:pt>
                <c:pt idx="453">
                  <c:v>-55.463635540584335</c:v>
                </c:pt>
                <c:pt idx="454">
                  <c:v>-55.609936804822141</c:v>
                </c:pt>
                <c:pt idx="455">
                  <c:v>-55.755199625208114</c:v>
                </c:pt>
                <c:pt idx="456">
                  <c:v>-55.899432387188391</c:v>
                </c:pt>
                <c:pt idx="457">
                  <c:v>-56.046029721854197</c:v>
                </c:pt>
                <c:pt idx="458">
                  <c:v>-56.191565192462996</c:v>
                </c:pt>
                <c:pt idx="459">
                  <c:v>-56.3360476702018</c:v>
                </c:pt>
                <c:pt idx="460">
                  <c:v>-56.479485980826382</c:v>
                </c:pt>
                <c:pt idx="461">
                  <c:v>-56.625177800992624</c:v>
                </c:pt>
                <c:pt idx="462">
                  <c:v>-56.769795024268916</c:v>
                </c:pt>
                <c:pt idx="463">
                  <c:v>-56.913346948005923</c:v>
                </c:pt>
                <c:pt idx="464">
                  <c:v>-57.055842814107841</c:v>
                </c:pt>
                <c:pt idx="465">
                  <c:v>-57.20059453700614</c:v>
                </c:pt>
                <c:pt idx="466">
                  <c:v>-57.344259523778291</c:v>
                </c:pt>
                <c:pt idx="467">
                  <c:v>-57.486847493595597</c:v>
                </c:pt>
                <c:pt idx="468">
                  <c:v>-57.62836810003553</c:v>
                </c:pt>
                <c:pt idx="469">
                  <c:v>-57.772035322129049</c:v>
                </c:pt>
                <c:pt idx="470">
                  <c:v>-57.914605952843601</c:v>
                </c:pt>
                <c:pt idx="471">
                  <c:v>-58.056090105171691</c:v>
                </c:pt>
                <c:pt idx="472">
                  <c:v>-58.196497816472693</c:v>
                </c:pt>
                <c:pt idx="473">
                  <c:v>-58.33915364299471</c:v>
                </c:pt>
                <c:pt idx="474">
                  <c:v>-58.480702052631202</c:v>
                </c:pt>
                <c:pt idx="475">
                  <c:v>-58.621153568059114</c:v>
                </c:pt>
                <c:pt idx="476">
                  <c:v>-58.760518625980175</c:v>
                </c:pt>
                <c:pt idx="477">
                  <c:v>-58.902020215587825</c:v>
                </c:pt>
                <c:pt idx="478">
                  <c:v>-59.042405911890405</c:v>
                </c:pt>
                <c:pt idx="479">
                  <c:v>-59.181686616288495</c:v>
                </c:pt>
                <c:pt idx="480">
                  <c:v>-59.319873134058568</c:v>
                </c:pt>
                <c:pt idx="481">
                  <c:v>-59.460088484529273</c:v>
                </c:pt>
                <c:pt idx="482">
                  <c:v>-59.599181758082871</c:v>
                </c:pt>
                <c:pt idx="483">
                  <c:v>-59.737164202192673</c:v>
                </c:pt>
                <c:pt idx="484">
                  <c:v>-59.874046958343996</c:v>
                </c:pt>
                <c:pt idx="485">
                  <c:v>-60.0129489690772</c:v>
                </c:pt>
                <c:pt idx="486">
                  <c:v>-60.150723415532369</c:v>
                </c:pt>
                <c:pt idx="487">
                  <c:v>-60.287381880868466</c:v>
                </c:pt>
                <c:pt idx="488">
                  <c:v>-60.422935832445795</c:v>
                </c:pt>
                <c:pt idx="489">
                  <c:v>-60.56058700847894</c:v>
                </c:pt>
                <c:pt idx="490">
                  <c:v>-60.697104368203604</c:v>
                </c:pt>
                <c:pt idx="491">
                  <c:v>-60.832499842785914</c:v>
                </c:pt>
                <c:pt idx="492">
                  <c:v>-60.966785237524661</c:v>
                </c:pt>
                <c:pt idx="493">
                  <c:v>-61.103058678759552</c:v>
                </c:pt>
                <c:pt idx="494">
                  <c:v>-61.238194381525886</c:v>
                </c:pt>
                <c:pt idx="495">
                  <c:v>-61.372204588749831</c:v>
                </c:pt>
                <c:pt idx="496">
                  <c:v>-61.505101407840371</c:v>
                </c:pt>
                <c:pt idx="497">
                  <c:v>-61.639966657308008</c:v>
                </c:pt>
                <c:pt idx="498">
                  <c:v>-61.773691047225029</c:v>
                </c:pt>
                <c:pt idx="499">
                  <c:v>-61.906287118947418</c:v>
                </c:pt>
                <c:pt idx="500">
                  <c:v>-62.03776726879483</c:v>
                </c:pt>
                <c:pt idx="501">
                  <c:v>-62.171193391812899</c:v>
                </c:pt>
                <c:pt idx="502">
                  <c:v>-62.303476361802495</c:v>
                </c:pt>
                <c:pt idx="503">
                  <c:v>-62.434629004288198</c:v>
                </c:pt>
                <c:pt idx="504">
                  <c:v>-62.564663990397747</c:v>
                </c:pt>
                <c:pt idx="505">
                  <c:v>-62.696540270107427</c:v>
                </c:pt>
                <c:pt idx="506">
                  <c:v>-62.827273332062127</c:v>
                </c:pt>
                <c:pt idx="507">
                  <c:v>-62.956876247152572</c:v>
                </c:pt>
                <c:pt idx="508">
                  <c:v>-63.085361923095221</c:v>
                </c:pt>
                <c:pt idx="509">
                  <c:v>-63.215665593238647</c:v>
                </c:pt>
                <c:pt idx="510">
                  <c:v>-63.344826753102161</c:v>
                </c:pt>
                <c:pt idx="511">
                  <c:v>-63.472858703583199</c:v>
                </c:pt>
                <c:pt idx="512">
                  <c:v>-63.599774573865695</c:v>
                </c:pt>
                <c:pt idx="513">
                  <c:v>-63.72855715232857</c:v>
                </c:pt>
                <c:pt idx="514">
                  <c:v>-63.856197398145405</c:v>
                </c:pt>
                <c:pt idx="515">
                  <c:v>-63.982708849562769</c:v>
                </c:pt>
                <c:pt idx="516">
                  <c:v>-64.108104864422316</c:v>
                </c:pt>
                <c:pt idx="517">
                  <c:v>-64.235264502168164</c:v>
                </c:pt>
                <c:pt idx="518">
                  <c:v>-64.361284156666557</c:v>
                </c:pt>
                <c:pt idx="519">
                  <c:v>-64.486177562942913</c:v>
                </c:pt>
                <c:pt idx="520">
                  <c:v>-64.609958267626723</c:v>
                </c:pt>
                <c:pt idx="521">
                  <c:v>-64.73547328356301</c:v>
                </c:pt>
                <c:pt idx="522">
                  <c:v>-64.859851462823485</c:v>
                </c:pt>
                <c:pt idx="523">
                  <c:v>-64.983106720048326</c:v>
                </c:pt>
                <c:pt idx="524">
                  <c:v>-65.105252773805589</c:v>
                </c:pt>
                <c:pt idx="525">
                  <c:v>-65.229102245403439</c:v>
                </c:pt>
                <c:pt idx="526">
                  <c:v>-65.351818824132266</c:v>
                </c:pt>
                <c:pt idx="527">
                  <c:v>-65.473416586637271</c:v>
                </c:pt>
                <c:pt idx="528">
                  <c:v>-65.593909406154523</c:v>
                </c:pt>
                <c:pt idx="529">
                  <c:v>-65.716073365980677</c:v>
                </c:pt>
                <c:pt idx="530">
                  <c:v>-65.837109170039767</c:v>
                </c:pt>
                <c:pt idx="531">
                  <c:v>-65.957031039006026</c:v>
                </c:pt>
                <c:pt idx="532">
                  <c:v>-66.075852983168545</c:v>
                </c:pt>
                <c:pt idx="533">
                  <c:v>-66.196374492517151</c:v>
                </c:pt>
                <c:pt idx="534">
                  <c:v>-66.315772216688231</c:v>
                </c:pt>
                <c:pt idx="535">
                  <c:v>-66.434060524186918</c:v>
                </c:pt>
                <c:pt idx="536">
                  <c:v>-66.551253566094417</c:v>
                </c:pt>
                <c:pt idx="537">
                  <c:v>-66.669989012701919</c:v>
                </c:pt>
                <c:pt idx="538">
                  <c:v>-66.787608152062234</c:v>
                </c:pt>
                <c:pt idx="539">
                  <c:v>-66.904125437475713</c:v>
                </c:pt>
                <c:pt idx="540">
                  <c:v>-67.019555099078516</c:v>
                </c:pt>
                <c:pt idx="541">
                  <c:v>-67.136610002534567</c:v>
                </c:pt>
                <c:pt idx="542">
                  <c:v>-67.252554566721159</c:v>
                </c:pt>
                <c:pt idx="543">
                  <c:v>-67.367403355032607</c:v>
                </c:pt>
                <c:pt idx="544">
                  <c:v>-67.481170701476699</c:v>
                </c:pt>
                <c:pt idx="545">
                  <c:v>-67.596468774305876</c:v>
                </c:pt>
                <c:pt idx="546">
                  <c:v>-67.71066436398786</c:v>
                </c:pt>
                <c:pt idx="547">
                  <c:v>-67.823772103227427</c:v>
                </c:pt>
                <c:pt idx="548">
                  <c:v>-67.935806390009347</c:v>
                </c:pt>
                <c:pt idx="549">
                  <c:v>-68.049334870069217</c:v>
                </c:pt>
                <c:pt idx="550">
                  <c:v>-68.161769440919755</c:v>
                </c:pt>
                <c:pt idx="551">
                  <c:v>-68.273124786035382</c:v>
                </c:pt>
                <c:pt idx="552">
                  <c:v>-68.383415349283894</c:v>
                </c:pt>
                <c:pt idx="553">
                  <c:v>-68.495214359488102</c:v>
                </c:pt>
                <c:pt idx="554">
                  <c:v>-68.605927736250578</c:v>
                </c:pt>
                <c:pt idx="555">
                  <c:v>-68.715570215585984</c:v>
                </c:pt>
                <c:pt idx="556">
                  <c:v>-68.82415628902649</c:v>
                </c:pt>
                <c:pt idx="557">
                  <c:v>-69.043188490384892</c:v>
                </c:pt>
                <c:pt idx="558">
                  <c:v>-69.257973111052863</c:v>
                </c:pt>
                <c:pt idx="559">
                  <c:v>-69.473406220522534</c:v>
                </c:pt>
                <c:pt idx="560">
                  <c:v>-69.684634466030857</c:v>
                </c:pt>
                <c:pt idx="561">
                  <c:v>-69.896638742946479</c:v>
                </c:pt>
                <c:pt idx="562">
                  <c:v>-70.104476166643977</c:v>
                </c:pt>
                <c:pt idx="563">
                  <c:v>-70.312591428668355</c:v>
                </c:pt>
                <c:pt idx="564">
                  <c:v>-70.516597765549605</c:v>
                </c:pt>
                <c:pt idx="565">
                  <c:v>-70.721601239081124</c:v>
                </c:pt>
                <c:pt idx="566">
                  <c:v>-70.922525175297835</c:v>
                </c:pt>
                <c:pt idx="567">
                  <c:v>-71.124278594636976</c:v>
                </c:pt>
                <c:pt idx="568">
                  <c:v>-71.321988886448523</c:v>
                </c:pt>
                <c:pt idx="569">
                  <c:v>-71.519607191296771</c:v>
                </c:pt>
                <c:pt idx="570">
                  <c:v>-71.713255914993169</c:v>
                </c:pt>
                <c:pt idx="571">
                  <c:v>-71.908204944534944</c:v>
                </c:pt>
                <c:pt idx="572">
                  <c:v>-72.099201344435727</c:v>
                </c:pt>
                <c:pt idx="573">
                  <c:v>-72.289894269473336</c:v>
                </c:pt>
                <c:pt idx="574">
                  <c:v>-72.476716959674903</c:v>
                </c:pt>
                <c:pt idx="575">
                  <c:v>-72.664531294416435</c:v>
                </c:pt>
                <c:pt idx="576">
                  <c:v>-72.848504308119445</c:v>
                </c:pt>
                <c:pt idx="577">
                  <c:v>-73.587320521057677</c:v>
                </c:pt>
                <c:pt idx="578">
                  <c:v>-74.266943360178573</c:v>
                </c:pt>
                <c:pt idx="579">
                  <c:v>-75.580351342534868</c:v>
                </c:pt>
                <c:pt idx="580">
                  <c:v>-76.795521088687309</c:v>
                </c:pt>
                <c:pt idx="581">
                  <c:v>-77.915822841310913</c:v>
                </c:pt>
                <c:pt idx="582">
                  <c:v>-78.947508116413346</c:v>
                </c:pt>
                <c:pt idx="583">
                  <c:v>-79.895468606536497</c:v>
                </c:pt>
                <c:pt idx="584">
                  <c:v>-80.766053143783225</c:v>
                </c:pt>
                <c:pt idx="585">
                  <c:v>-81.564257441152364</c:v>
                </c:pt>
                <c:pt idx="586">
                  <c:v>-82.295553839748038</c:v>
                </c:pt>
                <c:pt idx="587">
                  <c:v>-82.965387502587561</c:v>
                </c:pt>
                <c:pt idx="588">
                  <c:v>-83.577947199814659</c:v>
                </c:pt>
                <c:pt idx="589">
                  <c:v>-84.13828514467555</c:v>
                </c:pt>
                <c:pt idx="590">
                  <c:v>-84.650423612364563</c:v>
                </c:pt>
                <c:pt idx="591">
                  <c:v>-85.118374455643647</c:v>
                </c:pt>
                <c:pt idx="592">
                  <c:v>-85.545759658348928</c:v>
                </c:pt>
                <c:pt idx="593">
                  <c:v>-85.936108150656608</c:v>
                </c:pt>
                <c:pt idx="594">
                  <c:v>-86.292456368192276</c:v>
                </c:pt>
                <c:pt idx="595">
                  <c:v>-86.617772939100391</c:v>
                </c:pt>
                <c:pt idx="596">
                  <c:v>-86.914655812142897</c:v>
                </c:pt>
                <c:pt idx="597">
                  <c:v>-87.185614818452535</c:v>
                </c:pt>
                <c:pt idx="598">
                  <c:v>-87.432827536781659</c:v>
                </c:pt>
                <c:pt idx="599">
                  <c:v>-87.658413581917728</c:v>
                </c:pt>
                <c:pt idx="600">
                  <c:v>-87.86421773702159</c:v>
                </c:pt>
              </c:numCache>
            </c:numRef>
          </c:yVal>
          <c:smooth val="0"/>
          <c:extLst>
            <c:ext xmlns:c16="http://schemas.microsoft.com/office/drawing/2014/chart" uri="{C3380CC4-5D6E-409C-BE32-E72D297353CC}">
              <c16:uniqueId val="{00000005-192E-4470-9DF7-A50CEEBE18B0}"/>
            </c:ext>
          </c:extLst>
        </c:ser>
        <c:dLbls>
          <c:showLegendKey val="0"/>
          <c:showVal val="0"/>
          <c:showCatName val="0"/>
          <c:showSerName val="0"/>
          <c:showPercent val="0"/>
          <c:showBubbleSize val="0"/>
        </c:dLbls>
        <c:axId val="196945024"/>
        <c:axId val="196946560"/>
      </c:scatterChart>
      <c:valAx>
        <c:axId val="196940928"/>
        <c:scaling>
          <c:logBase val="10"/>
          <c:orientation val="minMax"/>
          <c:max val="1000000"/>
          <c:min val="1"/>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96942848"/>
        <c:crossesAt val="-40"/>
        <c:crossBetween val="midCat"/>
        <c:majorUnit val="10"/>
        <c:minorUnit val="10"/>
      </c:valAx>
      <c:valAx>
        <c:axId val="196942848"/>
        <c:scaling>
          <c:orientation val="minMax"/>
          <c:max val="8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96940928"/>
        <c:crossesAt val="0.1"/>
        <c:crossBetween val="midCat"/>
        <c:majorUnit val="20"/>
        <c:minorUnit val="4"/>
      </c:valAx>
      <c:valAx>
        <c:axId val="196945024"/>
        <c:scaling>
          <c:logBase val="10"/>
          <c:orientation val="minMax"/>
        </c:scaling>
        <c:delete val="1"/>
        <c:axPos val="t"/>
        <c:numFmt formatCode="General" sourceLinked="1"/>
        <c:majorTickMark val="out"/>
        <c:minorTickMark val="none"/>
        <c:tickLblPos val="none"/>
        <c:crossAx val="196946560"/>
        <c:crossesAt val="0"/>
        <c:crossBetween val="midCat"/>
      </c:valAx>
      <c:valAx>
        <c:axId val="196946560"/>
        <c:scaling>
          <c:orientation val="minMax"/>
          <c:max val="0"/>
          <c:min val="-27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9694502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Plant Bode Plot</a:t>
            </a:r>
          </a:p>
        </c:rich>
      </c:tx>
      <c:layout>
        <c:manualLayout>
          <c:xMode val="edge"/>
          <c:yMode val="edge"/>
          <c:x val="0.40864917395529671"/>
          <c:y val="2.1377650374348366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4"/>
          <c:order val="0"/>
          <c:tx>
            <c:strRef>
              <c:f>'Stability Calculations'!$AF$12</c:f>
              <c:strCache>
                <c:ptCount val="1"/>
                <c:pt idx="0">
                  <c:v>Gain(dB)</c:v>
                </c:pt>
              </c:strCache>
            </c:strRef>
          </c:tx>
          <c:spPr>
            <a:ln w="25400">
              <a:solidFill>
                <a:srgbClr val="FF0000"/>
              </a:solidFill>
              <a:prstDash val="solid"/>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Calculations'!$AF$13:$AF$613</c:f>
              <c:numCache>
                <c:formatCode>0.00</c:formatCode>
                <c:ptCount val="601"/>
                <c:pt idx="0">
                  <c:v>72.91476648666999</c:v>
                </c:pt>
                <c:pt idx="1">
                  <c:v>72.914765900513814</c:v>
                </c:pt>
                <c:pt idx="2">
                  <c:v>72.914765195856518</c:v>
                </c:pt>
                <c:pt idx="3">
                  <c:v>72.914764348720894</c:v>
                </c:pt>
                <c:pt idx="4">
                  <c:v>72.914763331003073</c:v>
                </c:pt>
                <c:pt idx="5">
                  <c:v>72.914762106244041</c:v>
                </c:pt>
                <c:pt idx="6">
                  <c:v>72.914760634306774</c:v>
                </c:pt>
                <c:pt idx="7">
                  <c:v>72.914758864122348</c:v>
                </c:pt>
                <c:pt idx="8">
                  <c:v>72.914756736811896</c:v>
                </c:pt>
                <c:pt idx="9">
                  <c:v>72.914754178375887</c:v>
                </c:pt>
                <c:pt idx="10">
                  <c:v>72.914751103153094</c:v>
                </c:pt>
                <c:pt idx="11">
                  <c:v>72.914747406301757</c:v>
                </c:pt>
                <c:pt idx="12">
                  <c:v>72.914742959621904</c:v>
                </c:pt>
                <c:pt idx="13">
                  <c:v>72.914737616169447</c:v>
                </c:pt>
                <c:pt idx="14">
                  <c:v>72.914731190036392</c:v>
                </c:pt>
                <c:pt idx="15">
                  <c:v>72.91472346464505</c:v>
                </c:pt>
                <c:pt idx="16">
                  <c:v>72.914714176591204</c:v>
                </c:pt>
                <c:pt idx="17">
                  <c:v>72.914703011483184</c:v>
                </c:pt>
                <c:pt idx="18">
                  <c:v>72.91468958601277</c:v>
                </c:pt>
                <c:pt idx="19">
                  <c:v>72.914673446812898</c:v>
                </c:pt>
                <c:pt idx="20">
                  <c:v>72.914654041452906</c:v>
                </c:pt>
                <c:pt idx="21">
                  <c:v>72.914630713695757</c:v>
                </c:pt>
                <c:pt idx="22">
                  <c:v>72.914602664638636</c:v>
                </c:pt>
                <c:pt idx="23">
                  <c:v>72.914568947127449</c:v>
                </c:pt>
                <c:pt idx="24">
                  <c:v>72.91452840526911</c:v>
                </c:pt>
                <c:pt idx="25">
                  <c:v>72.914479664944068</c:v>
                </c:pt>
                <c:pt idx="26">
                  <c:v>72.914421053589891</c:v>
                </c:pt>
                <c:pt idx="27">
                  <c:v>72.914350594021769</c:v>
                </c:pt>
                <c:pt idx="28">
                  <c:v>72.914265889365907</c:v>
                </c:pt>
                <c:pt idx="29">
                  <c:v>72.91416413044675</c:v>
                </c:pt>
                <c:pt idx="30">
                  <c:v>72.914041673153179</c:v>
                </c:pt>
                <c:pt idx="31">
                  <c:v>72.913894506315899</c:v>
                </c:pt>
                <c:pt idx="32">
                  <c:v>72.913717526749821</c:v>
                </c:pt>
                <c:pt idx="33">
                  <c:v>72.913504851872219</c:v>
                </c:pt>
                <c:pt idx="34">
                  <c:v>72.913249089479763</c:v>
                </c:pt>
                <c:pt idx="35">
                  <c:v>72.912941684548969</c:v>
                </c:pt>
                <c:pt idx="36">
                  <c:v>72.912572169000413</c:v>
                </c:pt>
                <c:pt idx="37">
                  <c:v>72.912127746236322</c:v>
                </c:pt>
                <c:pt idx="38">
                  <c:v>72.911593755227443</c:v>
                </c:pt>
                <c:pt idx="39">
                  <c:v>72.910951654029773</c:v>
                </c:pt>
                <c:pt idx="40">
                  <c:v>72.910179854951338</c:v>
                </c:pt>
                <c:pt idx="41">
                  <c:v>72.909252119078317</c:v>
                </c:pt>
                <c:pt idx="42">
                  <c:v>72.908137153593827</c:v>
                </c:pt>
                <c:pt idx="43">
                  <c:v>72.906796839917845</c:v>
                </c:pt>
                <c:pt idx="44">
                  <c:v>72.905186146670673</c:v>
                </c:pt>
                <c:pt idx="45">
                  <c:v>72.90325027324721</c:v>
                </c:pt>
                <c:pt idx="46">
                  <c:v>72.900924232916367</c:v>
                </c:pt>
                <c:pt idx="47">
                  <c:v>72.898129058055702</c:v>
                </c:pt>
                <c:pt idx="48">
                  <c:v>72.894771360217987</c:v>
                </c:pt>
                <c:pt idx="49">
                  <c:v>72.890737472412113</c:v>
                </c:pt>
                <c:pt idx="50">
                  <c:v>72.885892748519495</c:v>
                </c:pt>
                <c:pt idx="51">
                  <c:v>72.880073934852987</c:v>
                </c:pt>
                <c:pt idx="52">
                  <c:v>72.873089057083718</c:v>
                </c:pt>
                <c:pt idx="53">
                  <c:v>72.864706715514856</c:v>
                </c:pt>
                <c:pt idx="54">
                  <c:v>72.854657824826447</c:v>
                </c:pt>
                <c:pt idx="55">
                  <c:v>72.842595370175601</c:v>
                </c:pt>
                <c:pt idx="56">
                  <c:v>72.828142689221821</c:v>
                </c:pt>
                <c:pt idx="57">
                  <c:v>72.810825041605568</c:v>
                </c:pt>
                <c:pt idx="58">
                  <c:v>72.79010459704989</c:v>
                </c:pt>
                <c:pt idx="59">
                  <c:v>72.765315146936402</c:v>
                </c:pt>
                <c:pt idx="60">
                  <c:v>72.735704463416269</c:v>
                </c:pt>
                <c:pt idx="61">
                  <c:v>72.700373448003361</c:v>
                </c:pt>
                <c:pt idx="62">
                  <c:v>72.658253617080248</c:v>
                </c:pt>
                <c:pt idx="63">
                  <c:v>72.608173927073082</c:v>
                </c:pt>
                <c:pt idx="64">
                  <c:v>72.548702225865554</c:v>
                </c:pt>
                <c:pt idx="65">
                  <c:v>72.478267974638953</c:v>
                </c:pt>
                <c:pt idx="66">
                  <c:v>72.395071669037208</c:v>
                </c:pt>
                <c:pt idx="67">
                  <c:v>72.297126775943752</c:v>
                </c:pt>
                <c:pt idx="68">
                  <c:v>72.182205455362578</c:v>
                </c:pt>
                <c:pt idx="69">
                  <c:v>72.047963241322734</c:v>
                </c:pt>
                <c:pt idx="70">
                  <c:v>71.891862792354956</c:v>
                </c:pt>
                <c:pt idx="71">
                  <c:v>71.711347077936338</c:v>
                </c:pt>
                <c:pt idx="72">
                  <c:v>71.503786749664783</c:v>
                </c:pt>
                <c:pt idx="73">
                  <c:v>71.266738852147114</c:v>
                </c:pt>
                <c:pt idx="74">
                  <c:v>70.99785230542561</c:v>
                </c:pt>
                <c:pt idx="75">
                  <c:v>70.695192734349021</c:v>
                </c:pt>
                <c:pt idx="76">
                  <c:v>70.357138811148673</c:v>
                </c:pt>
                <c:pt idx="77">
                  <c:v>69.982775473523816</c:v>
                </c:pt>
                <c:pt idx="78">
                  <c:v>69.571670031815131</c:v>
                </c:pt>
                <c:pt idx="79">
                  <c:v>69.124309423700652</c:v>
                </c:pt>
                <c:pt idx="80">
                  <c:v>68.640715563740088</c:v>
                </c:pt>
                <c:pt idx="81">
                  <c:v>68.12288117370862</c:v>
                </c:pt>
                <c:pt idx="82">
                  <c:v>67.572281806873193</c:v>
                </c:pt>
                <c:pt idx="83">
                  <c:v>66.991502212852964</c:v>
                </c:pt>
                <c:pt idx="84">
                  <c:v>66.382535620282766</c:v>
                </c:pt>
                <c:pt idx="85">
                  <c:v>65.748294530355821</c:v>
                </c:pt>
                <c:pt idx="86">
                  <c:v>65.091303854113121</c:v>
                </c:pt>
                <c:pt idx="87">
                  <c:v>64.413760670717423</c:v>
                </c:pt>
                <c:pt idx="88">
                  <c:v>63.718760271256031</c:v>
                </c:pt>
                <c:pt idx="89">
                  <c:v>63.008038021962065</c:v>
                </c:pt>
                <c:pt idx="90">
                  <c:v>62.28395992786708</c:v>
                </c:pt>
                <c:pt idx="91">
                  <c:v>61.548367041981571</c:v>
                </c:pt>
                <c:pt idx="92">
                  <c:v>60.803062278322002</c:v>
                </c:pt>
                <c:pt idx="93">
                  <c:v>60.049330989270572</c:v>
                </c:pt>
                <c:pt idx="94">
                  <c:v>59.859836684603337</c:v>
                </c:pt>
                <c:pt idx="95">
                  <c:v>59.764344334148191</c:v>
                </c:pt>
                <c:pt idx="96">
                  <c:v>59.669843867603298</c:v>
                </c:pt>
                <c:pt idx="97">
                  <c:v>59.574159451060183</c:v>
                </c:pt>
                <c:pt idx="98">
                  <c:v>59.479473508508327</c:v>
                </c:pt>
                <c:pt idx="99">
                  <c:v>59.383581990837953</c:v>
                </c:pt>
                <c:pt idx="100">
                  <c:v>59.288695784798307</c:v>
                </c:pt>
                <c:pt idx="101">
                  <c:v>59.192656228641489</c:v>
                </c:pt>
                <c:pt idx="102">
                  <c:v>59.097627525372246</c:v>
                </c:pt>
                <c:pt idx="103">
                  <c:v>59.001356055995018</c:v>
                </c:pt>
                <c:pt idx="104">
                  <c:v>58.906102679807319</c:v>
                </c:pt>
                <c:pt idx="105">
                  <c:v>58.809660589291639</c:v>
                </c:pt>
                <c:pt idx="106">
                  <c:v>58.714242491896641</c:v>
                </c:pt>
                <c:pt idx="107">
                  <c:v>58.617687608623143</c:v>
                </c:pt>
                <c:pt idx="108">
                  <c:v>58.522161338846395</c:v>
                </c:pt>
                <c:pt idx="109">
                  <c:v>58.425482670580031</c:v>
                </c:pt>
                <c:pt idx="110">
                  <c:v>58.329837411300353</c:v>
                </c:pt>
                <c:pt idx="111">
                  <c:v>58.232962223555205</c:v>
                </c:pt>
                <c:pt idx="112">
                  <c:v>58.13712674073038</c:v>
                </c:pt>
                <c:pt idx="113">
                  <c:v>58.040115341687823</c:v>
                </c:pt>
                <c:pt idx="114">
                  <c:v>57.944148614752137</c:v>
                </c:pt>
                <c:pt idx="115">
                  <c:v>57.846996464639808</c:v>
                </c:pt>
                <c:pt idx="116">
                  <c:v>57.750894008828062</c:v>
                </c:pt>
                <c:pt idx="117">
                  <c:v>57.65359846271555</c:v>
                </c:pt>
                <c:pt idx="118">
                  <c:v>57.557357652173081</c:v>
                </c:pt>
                <c:pt idx="119">
                  <c:v>57.4599765584015</c:v>
                </c:pt>
                <c:pt idx="120">
                  <c:v>57.363653956020983</c:v>
                </c:pt>
                <c:pt idx="121">
                  <c:v>57.266184248209143</c:v>
                </c:pt>
                <c:pt idx="122">
                  <c:v>57.169776815700104</c:v>
                </c:pt>
                <c:pt idx="123">
                  <c:v>57.072160869980678</c:v>
                </c:pt>
                <c:pt idx="124">
                  <c:v>56.975612202649771</c:v>
                </c:pt>
                <c:pt idx="125">
                  <c:v>56.877908802337785</c:v>
                </c:pt>
                <c:pt idx="126">
                  <c:v>56.781276378673454</c:v>
                </c:pt>
                <c:pt idx="127">
                  <c:v>56.683486992990296</c:v>
                </c:pt>
                <c:pt idx="128">
                  <c:v>56.586772223097732</c:v>
                </c:pt>
                <c:pt idx="129">
                  <c:v>56.488899629116915</c:v>
                </c:pt>
                <c:pt idx="130">
                  <c:v>56.392105205633982</c:v>
                </c:pt>
                <c:pt idx="131">
                  <c:v>56.29415338196489</c:v>
                </c:pt>
                <c:pt idx="132">
                  <c:v>56.245584518602286</c:v>
                </c:pt>
                <c:pt idx="133">
                  <c:v>56.197283175734583</c:v>
                </c:pt>
                <c:pt idx="134">
                  <c:v>56.148107806133879</c:v>
                </c:pt>
                <c:pt idx="135">
                  <c:v>56.09920687612189</c:v>
                </c:pt>
                <c:pt idx="136">
                  <c:v>56.050577445544157</c:v>
                </c:pt>
                <c:pt idx="137">
                  <c:v>56.002216620259148</c:v>
                </c:pt>
                <c:pt idx="138">
                  <c:v>55.953032672793555</c:v>
                </c:pt>
                <c:pt idx="139">
                  <c:v>55.904123686325036</c:v>
                </c:pt>
                <c:pt idx="140">
                  <c:v>55.855486708429687</c:v>
                </c:pt>
                <c:pt idx="141">
                  <c:v>55.807118833061658</c:v>
                </c:pt>
                <c:pt idx="142">
                  <c:v>55.757879753803302</c:v>
                </c:pt>
                <c:pt idx="143">
                  <c:v>55.708916672719802</c:v>
                </c:pt>
                <c:pt idx="144">
                  <c:v>55.660226617041673</c:v>
                </c:pt>
                <c:pt idx="145">
                  <c:v>55.611806660907554</c:v>
                </c:pt>
                <c:pt idx="146">
                  <c:v>55.562541652531465</c:v>
                </c:pt>
                <c:pt idx="147">
                  <c:v>55.513553351224509</c:v>
                </c:pt>
                <c:pt idx="148">
                  <c:v>55.464838769353989</c:v>
                </c:pt>
                <c:pt idx="149">
                  <c:v>55.416394966607044</c:v>
                </c:pt>
                <c:pt idx="150">
                  <c:v>55.367108300706597</c:v>
                </c:pt>
                <c:pt idx="151">
                  <c:v>55.318099000913008</c:v>
                </c:pt>
                <c:pt idx="152">
                  <c:v>55.269364065739104</c:v>
                </c:pt>
                <c:pt idx="153">
                  <c:v>55.220900541404141</c:v>
                </c:pt>
                <c:pt idx="154">
                  <c:v>55.171574197879167</c:v>
                </c:pt>
                <c:pt idx="155">
                  <c:v>55.122526080948759</c:v>
                </c:pt>
                <c:pt idx="156">
                  <c:v>55.073753172200448</c:v>
                </c:pt>
                <c:pt idx="157">
                  <c:v>55.025252501376471</c:v>
                </c:pt>
                <c:pt idx="158">
                  <c:v>54.975892892680484</c:v>
                </c:pt>
                <c:pt idx="159">
                  <c:v>54.926812299353109</c:v>
                </c:pt>
                <c:pt idx="160">
                  <c:v>54.878007687399318</c:v>
                </c:pt>
                <c:pt idx="161">
                  <c:v>54.829476071395547</c:v>
                </c:pt>
                <c:pt idx="162">
                  <c:v>54.780111436544836</c:v>
                </c:pt>
                <c:pt idx="163">
                  <c:v>54.731026287907795</c:v>
                </c:pt>
                <c:pt idx="164">
                  <c:v>54.682217581265505</c:v>
                </c:pt>
                <c:pt idx="165">
                  <c:v>54.633682321269781</c:v>
                </c:pt>
                <c:pt idx="166">
                  <c:v>54.584275699866971</c:v>
                </c:pt>
                <c:pt idx="167">
                  <c:v>54.535149454253784</c:v>
                </c:pt>
                <c:pt idx="168">
                  <c:v>54.486300523342479</c:v>
                </c:pt>
                <c:pt idx="169">
                  <c:v>54.437725895354099</c:v>
                </c:pt>
                <c:pt idx="170">
                  <c:v>54.388389007748586</c:v>
                </c:pt>
                <c:pt idx="171">
                  <c:v>54.339332122649253</c:v>
                </c:pt>
                <c:pt idx="172">
                  <c:v>54.290552182908492</c:v>
                </c:pt>
                <c:pt idx="173">
                  <c:v>54.24204618067624</c:v>
                </c:pt>
                <c:pt idx="174">
                  <c:v>54.192598623638624</c:v>
                </c:pt>
                <c:pt idx="175">
                  <c:v>54.143432742131296</c:v>
                </c:pt>
                <c:pt idx="176">
                  <c:v>54.094545449665958</c:v>
                </c:pt>
                <c:pt idx="177">
                  <c:v>54.04593370975202</c:v>
                </c:pt>
                <c:pt idx="178">
                  <c:v>53.996409275129722</c:v>
                </c:pt>
                <c:pt idx="179">
                  <c:v>53.947167814111062</c:v>
                </c:pt>
                <c:pt idx="180">
                  <c:v>53.898206217106633</c:v>
                </c:pt>
                <c:pt idx="181">
                  <c:v>53.849521425089776</c:v>
                </c:pt>
                <c:pt idx="182">
                  <c:v>53.800144980886984</c:v>
                </c:pt>
                <c:pt idx="183">
                  <c:v>53.751050251802546</c:v>
                </c:pt>
                <c:pt idx="184">
                  <c:v>53.702234147309355</c:v>
                </c:pt>
                <c:pt idx="185">
                  <c:v>53.653693627093844</c:v>
                </c:pt>
                <c:pt idx="186">
                  <c:v>53.604104514090466</c:v>
                </c:pt>
                <c:pt idx="187">
                  <c:v>53.554799974300231</c:v>
                </c:pt>
                <c:pt idx="188">
                  <c:v>53.505776868731651</c:v>
                </c:pt>
                <c:pt idx="189">
                  <c:v>53.457032109716813</c:v>
                </c:pt>
                <c:pt idx="190">
                  <c:v>53.407640327804629</c:v>
                </c:pt>
                <c:pt idx="191">
                  <c:v>53.358531301242365</c:v>
                </c:pt>
                <c:pt idx="192">
                  <c:v>53.30970191972844</c:v>
                </c:pt>
                <c:pt idx="193">
                  <c:v>53.261149123718035</c:v>
                </c:pt>
                <c:pt idx="194">
                  <c:v>53.211607809193282</c:v>
                </c:pt>
                <c:pt idx="195">
                  <c:v>53.162351403703141</c:v>
                </c:pt>
                <c:pt idx="196">
                  <c:v>53.113376760341495</c:v>
                </c:pt>
                <c:pt idx="197">
                  <c:v>53.064680783808441</c:v>
                </c:pt>
                <c:pt idx="198">
                  <c:v>53.015203190731064</c:v>
                </c:pt>
                <c:pt idx="199">
                  <c:v>52.966010227131477</c:v>
                </c:pt>
                <c:pt idx="200">
                  <c:v>52.917098749786611</c:v>
                </c:pt>
                <c:pt idx="201">
                  <c:v>52.86846566704962</c:v>
                </c:pt>
                <c:pt idx="202">
                  <c:v>52.819074691967216</c:v>
                </c:pt>
                <c:pt idx="203">
                  <c:v>52.76996781007108</c:v>
                </c:pt>
                <c:pt idx="204">
                  <c:v>52.721141886221531</c:v>
                </c:pt>
                <c:pt idx="205">
                  <c:v>52.672593836725774</c:v>
                </c:pt>
                <c:pt idx="206">
                  <c:v>52.623142536546879</c:v>
                </c:pt>
                <c:pt idx="207">
                  <c:v>52.573976488000241</c:v>
                </c:pt>
                <c:pt idx="208">
                  <c:v>52.525092536182775</c:v>
                </c:pt>
                <c:pt idx="209">
                  <c:v>52.476487578114323</c:v>
                </c:pt>
                <c:pt idx="210">
                  <c:v>52.426842839432695</c:v>
                </c:pt>
                <c:pt idx="211">
                  <c:v>52.377486062291112</c:v>
                </c:pt>
                <c:pt idx="212">
                  <c:v>52.328414046369659</c:v>
                </c:pt>
                <c:pt idx="213">
                  <c:v>52.279623644309972</c:v>
                </c:pt>
                <c:pt idx="214">
                  <c:v>52.230147556608657</c:v>
                </c:pt>
                <c:pt idx="215">
                  <c:v>52.180957971709823</c:v>
                </c:pt>
                <c:pt idx="216">
                  <c:v>52.132051713185525</c:v>
                </c:pt>
                <c:pt idx="217">
                  <c:v>52.083425657083382</c:v>
                </c:pt>
                <c:pt idx="218">
                  <c:v>52.03397751991298</c:v>
                </c:pt>
                <c:pt idx="219">
                  <c:v>51.984816061384151</c:v>
                </c:pt>
                <c:pt idx="220">
                  <c:v>51.935938101967054</c:v>
                </c:pt>
                <c:pt idx="221">
                  <c:v>51.887340514711852</c:v>
                </c:pt>
                <c:pt idx="222">
                  <c:v>51.837946156634018</c:v>
                </c:pt>
                <c:pt idx="223">
                  <c:v>51.788838365284001</c:v>
                </c:pt>
                <c:pt idx="224">
                  <c:v>51.740013962940722</c:v>
                </c:pt>
                <c:pt idx="225">
                  <c:v>51.691469824456888</c:v>
                </c:pt>
                <c:pt idx="226">
                  <c:v>51.642003475511174</c:v>
                </c:pt>
                <c:pt idx="227">
                  <c:v>51.592825050950324</c:v>
                </c:pt>
                <c:pt idx="228">
                  <c:v>51.543931350592544</c:v>
                </c:pt>
                <c:pt idx="229">
                  <c:v>51.4953192273558</c:v>
                </c:pt>
                <c:pt idx="230">
                  <c:v>51.396597176347854</c:v>
                </c:pt>
                <c:pt idx="231">
                  <c:v>51.34766631259567</c:v>
                </c:pt>
                <c:pt idx="232">
                  <c:v>51.299017988149274</c:v>
                </c:pt>
                <c:pt idx="233">
                  <c:v>51.249504239467726</c:v>
                </c:pt>
                <c:pt idx="234">
                  <c:v>51.200280061707701</c:v>
                </c:pt>
                <c:pt idx="235">
                  <c:v>51.151342227833318</c:v>
                </c:pt>
                <c:pt idx="236">
                  <c:v>51.102687564557044</c:v>
                </c:pt>
                <c:pt idx="237">
                  <c:v>51.053334314513357</c:v>
                </c:pt>
                <c:pt idx="238">
                  <c:v>51.004269334760281</c:v>
                </c:pt>
                <c:pt idx="239">
                  <c:v>50.955489420378953</c:v>
                </c:pt>
                <c:pt idx="240">
                  <c:v>50.906991419733146</c:v>
                </c:pt>
                <c:pt idx="241">
                  <c:v>50.857542984799835</c:v>
                </c:pt>
                <c:pt idx="242">
                  <c:v>50.80838451639827</c:v>
                </c:pt>
                <c:pt idx="243">
                  <c:v>50.759512781938824</c:v>
                </c:pt>
                <c:pt idx="244">
                  <c:v>50.710924602748236</c:v>
                </c:pt>
                <c:pt idx="245">
                  <c:v>50.66154947357235</c:v>
                </c:pt>
                <c:pt idx="246">
                  <c:v>50.612464057912412</c:v>
                </c:pt>
                <c:pt idx="247">
                  <c:v>50.563665128086384</c:v>
                </c:pt>
                <c:pt idx="248">
                  <c:v>50.515149510238437</c:v>
                </c:pt>
                <c:pt idx="249">
                  <c:v>50.465741083640296</c:v>
                </c:pt>
                <c:pt idx="250">
                  <c:v>50.416623383342873</c:v>
                </c:pt>
                <c:pt idx="251">
                  <c:v>50.367793165569751</c:v>
                </c:pt>
                <c:pt idx="252">
                  <c:v>50.319247240743906</c:v>
                </c:pt>
                <c:pt idx="253">
                  <c:v>50.26996401132773</c:v>
                </c:pt>
                <c:pt idx="254">
                  <c:v>50.220970681013128</c:v>
                </c:pt>
                <c:pt idx="255">
                  <c:v>50.172264020713143</c:v>
                </c:pt>
                <c:pt idx="256">
                  <c:v>50.12384085522757</c:v>
                </c:pt>
                <c:pt idx="257">
                  <c:v>50.074454537615161</c:v>
                </c:pt>
                <c:pt idx="258">
                  <c:v>50.025359992618178</c:v>
                </c:pt>
                <c:pt idx="259">
                  <c:v>49.976553960879997</c:v>
                </c:pt>
                <c:pt idx="260">
                  <c:v>49.928033237614393</c:v>
                </c:pt>
                <c:pt idx="261">
                  <c:v>49.878701595163037</c:v>
                </c:pt>
                <c:pt idx="262">
                  <c:v>49.829661766260671</c:v>
                </c:pt>
                <c:pt idx="263">
                  <c:v>49.780910491951047</c:v>
                </c:pt>
                <c:pt idx="264">
                  <c:v>49.732444567847708</c:v>
                </c:pt>
                <c:pt idx="265">
                  <c:v>49.683193274884971</c:v>
                </c:pt>
                <c:pt idx="266">
                  <c:v>49.634233553396989</c:v>
                </c:pt>
                <c:pt idx="267">
                  <c:v>49.585562149632693</c:v>
                </c:pt>
                <c:pt idx="268">
                  <c:v>49.537175864300522</c:v>
                </c:pt>
                <c:pt idx="269">
                  <c:v>49.487913073230359</c:v>
                </c:pt>
                <c:pt idx="270">
                  <c:v>49.43894271818391</c:v>
                </c:pt>
                <c:pt idx="271">
                  <c:v>49.390261532207603</c:v>
                </c:pt>
                <c:pt idx="272">
                  <c:v>49.341866303104176</c:v>
                </c:pt>
                <c:pt idx="273">
                  <c:v>49.292622533216097</c:v>
                </c:pt>
                <c:pt idx="274">
                  <c:v>49.24367172794242</c:v>
                </c:pt>
                <c:pt idx="275">
                  <c:v>49.195010612800615</c:v>
                </c:pt>
                <c:pt idx="276">
                  <c:v>49.146635968232289</c:v>
                </c:pt>
                <c:pt idx="277">
                  <c:v>49.09755031865356</c:v>
                </c:pt>
                <c:pt idx="278">
                  <c:v>49.04875653527214</c:v>
                </c:pt>
                <c:pt idx="279">
                  <c:v>49.000251363307399</c:v>
                </c:pt>
                <c:pt idx="280">
                  <c:v>48.952031602461012</c:v>
                </c:pt>
                <c:pt idx="281">
                  <c:v>48.902799470401881</c:v>
                </c:pt>
                <c:pt idx="282">
                  <c:v>48.853861749195005</c:v>
                </c:pt>
                <c:pt idx="283">
                  <c:v>48.805215142939915</c:v>
                </c:pt>
                <c:pt idx="284">
                  <c:v>48.756856411129455</c:v>
                </c:pt>
                <c:pt idx="285">
                  <c:v>48.707834302189084</c:v>
                </c:pt>
                <c:pt idx="286">
                  <c:v>48.659104932806905</c:v>
                </c:pt>
                <c:pt idx="287">
                  <c:v>48.610665036472511</c:v>
                </c:pt>
                <c:pt idx="288">
                  <c:v>48.562511401404137</c:v>
                </c:pt>
                <c:pt idx="289">
                  <c:v>48.51340656588328</c:v>
                </c:pt>
                <c:pt idx="290">
                  <c:v>48.46459631371097</c:v>
                </c:pt>
                <c:pt idx="291">
                  <c:v>48.416077349033387</c:v>
                </c:pt>
                <c:pt idx="292">
                  <c:v>48.36784643136761</c:v>
                </c:pt>
                <c:pt idx="293">
                  <c:v>48.318795719687557</c:v>
                </c:pt>
                <c:pt idx="294">
                  <c:v>48.270039831772237</c:v>
                </c:pt>
                <c:pt idx="295">
                  <c:v>48.22157546923836</c:v>
                </c:pt>
                <c:pt idx="296">
                  <c:v>48.173399389114309</c:v>
                </c:pt>
                <c:pt idx="297">
                  <c:v>48.124429943959647</c:v>
                </c:pt>
                <c:pt idx="298">
                  <c:v>48.075755264519756</c:v>
                </c:pt>
                <c:pt idx="299">
                  <c:v>48.027372054874803</c:v>
                </c:pt>
                <c:pt idx="300">
                  <c:v>47.979277074442408</c:v>
                </c:pt>
                <c:pt idx="301">
                  <c:v>47.930414287598701</c:v>
                </c:pt>
                <c:pt idx="302">
                  <c:v>47.881845929769121</c:v>
                </c:pt>
                <c:pt idx="303">
                  <c:v>47.833568712135644</c:v>
                </c:pt>
                <c:pt idx="304">
                  <c:v>47.785579401036557</c:v>
                </c:pt>
                <c:pt idx="305">
                  <c:v>47.73666012963227</c:v>
                </c:pt>
                <c:pt idx="306">
                  <c:v>47.68803694292528</c:v>
                </c:pt>
                <c:pt idx="307">
                  <c:v>47.639706525847394</c:v>
                </c:pt>
                <c:pt idx="308">
                  <c:v>47.591665619046253</c:v>
                </c:pt>
                <c:pt idx="309">
                  <c:v>47.542907751879049</c:v>
                </c:pt>
                <c:pt idx="310">
                  <c:v>47.494445029431141</c:v>
                </c:pt>
                <c:pt idx="311">
                  <c:v>47.446274153761159</c:v>
                </c:pt>
                <c:pt idx="312">
                  <c:v>47.398391882230754</c:v>
                </c:pt>
                <c:pt idx="313">
                  <c:v>47.349637666372161</c:v>
                </c:pt>
                <c:pt idx="314">
                  <c:v>47.301179588690765</c:v>
                </c:pt>
                <c:pt idx="315">
                  <c:v>47.253014335961112</c:v>
                </c:pt>
                <c:pt idx="316">
                  <c:v>47.205138650567207</c:v>
                </c:pt>
                <c:pt idx="317">
                  <c:v>47.156419714436268</c:v>
                </c:pt>
                <c:pt idx="318">
                  <c:v>47.107997561488787</c:v>
                </c:pt>
                <c:pt idx="319">
                  <c:v>47.059868868950701</c:v>
                </c:pt>
                <c:pt idx="320">
                  <c:v>47.01203036983167</c:v>
                </c:pt>
                <c:pt idx="321">
                  <c:v>46.963376391552494</c:v>
                </c:pt>
                <c:pt idx="322">
                  <c:v>46.915019513547655</c:v>
                </c:pt>
                <c:pt idx="323">
                  <c:v>46.86695640887482</c:v>
                </c:pt>
                <c:pt idx="324">
                  <c:v>46.819183806424988</c:v>
                </c:pt>
                <c:pt idx="325">
                  <c:v>46.770622591842859</c:v>
                </c:pt>
                <c:pt idx="326">
                  <c:v>46.722358486856379</c:v>
                </c:pt>
                <c:pt idx="327">
                  <c:v>46.674388165376314</c:v>
                </c:pt>
                <c:pt idx="328">
                  <c:v>46.6267083570797</c:v>
                </c:pt>
                <c:pt idx="329">
                  <c:v>46.578185160179515</c:v>
                </c:pt>
                <c:pt idx="330">
                  <c:v>46.529959782034787</c:v>
                </c:pt>
                <c:pt idx="331">
                  <c:v>46.482028885527107</c:v>
                </c:pt>
                <c:pt idx="332">
                  <c:v>46.434389189497423</c:v>
                </c:pt>
                <c:pt idx="333">
                  <c:v>46.386012969676678</c:v>
                </c:pt>
                <c:pt idx="334">
                  <c:v>46.33793397594934</c:v>
                </c:pt>
                <c:pt idx="335">
                  <c:v>46.290148881789264</c:v>
                </c:pt>
                <c:pt idx="336">
                  <c:v>46.242654416336102</c:v>
                </c:pt>
                <c:pt idx="337">
                  <c:v>46.194293909155746</c:v>
                </c:pt>
                <c:pt idx="338">
                  <c:v>46.146231675064911</c:v>
                </c:pt>
                <c:pt idx="339">
                  <c:v>46.098464370444873</c:v>
                </c:pt>
                <c:pt idx="340">
                  <c:v>46.050988707660167</c:v>
                </c:pt>
                <c:pt idx="341">
                  <c:v>46.002676078150898</c:v>
                </c:pt>
                <c:pt idx="342">
                  <c:v>45.954662409898212</c:v>
                </c:pt>
                <c:pt idx="343">
                  <c:v>45.90694434794095</c:v>
                </c:pt>
                <c:pt idx="344">
                  <c:v>45.859518593485156</c:v>
                </c:pt>
                <c:pt idx="345">
                  <c:v>45.811357196187679</c:v>
                </c:pt>
                <c:pt idx="346">
                  <c:v>45.763494204405859</c:v>
                </c:pt>
                <c:pt idx="347">
                  <c:v>45.715926272423182</c:v>
                </c:pt>
                <c:pt idx="348">
                  <c:v>45.668650110410823</c:v>
                </c:pt>
                <c:pt idx="349">
                  <c:v>45.620520021090663</c:v>
                </c:pt>
                <c:pt idx="350">
                  <c:v>45.572689293642853</c:v>
                </c:pt>
                <c:pt idx="351">
                  <c:v>45.525154565899825</c:v>
                </c:pt>
                <c:pt idx="352">
                  <c:v>45.477912531867503</c:v>
                </c:pt>
                <c:pt idx="353">
                  <c:v>45.429845523008552</c:v>
                </c:pt>
                <c:pt idx="354">
                  <c:v>45.382078473463146</c:v>
                </c:pt>
                <c:pt idx="355">
                  <c:v>45.334608010261725</c:v>
                </c:pt>
                <c:pt idx="356">
                  <c:v>45.287430816762253</c:v>
                </c:pt>
                <c:pt idx="357">
                  <c:v>45.2395245878743</c:v>
                </c:pt>
                <c:pt idx="358">
                  <c:v>45.191917729302219</c:v>
                </c:pt>
                <c:pt idx="359">
                  <c:v>45.144606876820966</c:v>
                </c:pt>
                <c:pt idx="360">
                  <c:v>45.097588722247366</c:v>
                </c:pt>
                <c:pt idx="361">
                  <c:v>45.049733572393194</c:v>
                </c:pt>
                <c:pt idx="362">
                  <c:v>45.002178598308078</c:v>
                </c:pt>
                <c:pt idx="363">
                  <c:v>44.954920420612993</c:v>
                </c:pt>
                <c:pt idx="364">
                  <c:v>44.90795571620864</c:v>
                </c:pt>
                <c:pt idx="365">
                  <c:v>44.860247277363882</c:v>
                </c:pt>
                <c:pt idx="366">
                  <c:v>44.812838652485702</c:v>
                </c:pt>
                <c:pt idx="367">
                  <c:v>44.765726466192419</c:v>
                </c:pt>
                <c:pt idx="368">
                  <c:v>44.718907399189696</c:v>
                </c:pt>
                <c:pt idx="369">
                  <c:v>44.671243848171294</c:v>
                </c:pt>
                <c:pt idx="370">
                  <c:v>44.623881051686325</c:v>
                </c:pt>
                <c:pt idx="371">
                  <c:v>44.57681561585737</c:v>
                </c:pt>
                <c:pt idx="372">
                  <c:v>44.530044203192709</c:v>
                </c:pt>
                <c:pt idx="373">
                  <c:v>44.482518884896358</c:v>
                </c:pt>
                <c:pt idx="374">
                  <c:v>44.435294114531317</c:v>
                </c:pt>
                <c:pt idx="375">
                  <c:v>44.388366498470361</c:v>
                </c:pt>
                <c:pt idx="376">
                  <c:v>44.341732699349691</c:v>
                </c:pt>
                <c:pt idx="377">
                  <c:v>44.294251023356182</c:v>
                </c:pt>
                <c:pt idx="378">
                  <c:v>44.247070905559582</c:v>
                </c:pt>
                <c:pt idx="379">
                  <c:v>44.200188931350652</c:v>
                </c:pt>
                <c:pt idx="380">
                  <c:v>44.153601742722898</c:v>
                </c:pt>
                <c:pt idx="381">
                  <c:v>44.106312979831841</c:v>
                </c:pt>
                <c:pt idx="382">
                  <c:v>44.059324917608066</c:v>
                </c:pt>
                <c:pt idx="383">
                  <c:v>44.012634151359023</c:v>
                </c:pt>
                <c:pt idx="384">
                  <c:v>43.96623733264736</c:v>
                </c:pt>
                <c:pt idx="385">
                  <c:v>43.918992175194205</c:v>
                </c:pt>
                <c:pt idx="386">
                  <c:v>43.872048771361477</c:v>
                </c:pt>
                <c:pt idx="387">
                  <c:v>43.825403693217837</c:v>
                </c:pt>
                <c:pt idx="388">
                  <c:v>43.77905356946215</c:v>
                </c:pt>
                <c:pt idx="389">
                  <c:v>43.731940309706054</c:v>
                </c:pt>
                <c:pt idx="390">
                  <c:v>43.685128751904472</c:v>
                </c:pt>
                <c:pt idx="391">
                  <c:v>43.638615462772691</c:v>
                </c:pt>
                <c:pt idx="392">
                  <c:v>43.592397065631836</c:v>
                </c:pt>
                <c:pt idx="393">
                  <c:v>43.545442107866499</c:v>
                </c:pt>
                <c:pt idx="394">
                  <c:v>43.498788472848879</c:v>
                </c:pt>
                <c:pt idx="395">
                  <c:v>43.45243272662708</c:v>
                </c:pt>
                <c:pt idx="396">
                  <c:v>43.406371491722624</c:v>
                </c:pt>
                <c:pt idx="397">
                  <c:v>43.359493858506859</c:v>
                </c:pt>
                <c:pt idx="398">
                  <c:v>43.312918213374999</c:v>
                </c:pt>
                <c:pt idx="399">
                  <c:v>43.266641102908963</c:v>
                </c:pt>
                <c:pt idx="400">
                  <c:v>43.220659130437149</c:v>
                </c:pt>
                <c:pt idx="401">
                  <c:v>43.173940915901916</c:v>
                </c:pt>
                <c:pt idx="402">
                  <c:v>43.127524306751219</c:v>
                </c:pt>
                <c:pt idx="403">
                  <c:v>43.081405846955327</c:v>
                </c:pt>
                <c:pt idx="404">
                  <c:v>43.035582137130469</c:v>
                </c:pt>
                <c:pt idx="405">
                  <c:v>42.988997877830016</c:v>
                </c:pt>
                <c:pt idx="406">
                  <c:v>42.942715166840692</c:v>
                </c:pt>
                <c:pt idx="407">
                  <c:v>42.896730538836977</c:v>
                </c:pt>
                <c:pt idx="408">
                  <c:v>42.851040585180158</c:v>
                </c:pt>
                <c:pt idx="409">
                  <c:v>42.804568042732797</c:v>
                </c:pt>
                <c:pt idx="410">
                  <c:v>42.758397274393133</c:v>
                </c:pt>
                <c:pt idx="411">
                  <c:v>42.712524799460702</c:v>
                </c:pt>
                <c:pt idx="412">
                  <c:v>42.666947194090511</c:v>
                </c:pt>
                <c:pt idx="413">
                  <c:v>42.62061468465302</c:v>
                </c:pt>
                <c:pt idx="414">
                  <c:v>42.574583799623639</c:v>
                </c:pt>
                <c:pt idx="415">
                  <c:v>42.528851048106915</c:v>
                </c:pt>
                <c:pt idx="416">
                  <c:v>42.483412996115597</c:v>
                </c:pt>
                <c:pt idx="417">
                  <c:v>42.437200382951019</c:v>
                </c:pt>
                <c:pt idx="418">
                  <c:v>42.391289490527427</c:v>
                </c:pt>
                <c:pt idx="419">
                  <c:v>42.34567681212031</c:v>
                </c:pt>
                <c:pt idx="420">
                  <c:v>42.300358898085342</c:v>
                </c:pt>
                <c:pt idx="421">
                  <c:v>42.254339061475235</c:v>
                </c:pt>
                <c:pt idx="422">
                  <c:v>42.208620070727243</c:v>
                </c:pt>
                <c:pt idx="423">
                  <c:v>42.163198418756323</c:v>
                </c:pt>
                <c:pt idx="424">
                  <c:v>42.118070655393957</c:v>
                </c:pt>
                <c:pt idx="425">
                  <c:v>42.072133740266004</c:v>
                </c:pt>
                <c:pt idx="426">
                  <c:v>42.026498199244109</c:v>
                </c:pt>
                <c:pt idx="427">
                  <c:v>41.98116049887868</c:v>
                </c:pt>
                <c:pt idx="428">
                  <c:v>41.936117163033785</c:v>
                </c:pt>
                <c:pt idx="429">
                  <c:v>41.890336420470213</c:v>
                </c:pt>
                <c:pt idx="430">
                  <c:v>41.844856589700314</c:v>
                </c:pt>
                <c:pt idx="431">
                  <c:v>41.799674126606135</c:v>
                </c:pt>
                <c:pt idx="432">
                  <c:v>41.754785544442612</c:v>
                </c:pt>
                <c:pt idx="433">
                  <c:v>41.709185704346091</c:v>
                </c:pt>
                <c:pt idx="434">
                  <c:v>41.663885944431684</c:v>
                </c:pt>
                <c:pt idx="435">
                  <c:v>41.61888271479485</c:v>
                </c:pt>
                <c:pt idx="436">
                  <c:v>41.574172522860955</c:v>
                </c:pt>
                <c:pt idx="437">
                  <c:v>41.528694897091533</c:v>
                </c:pt>
                <c:pt idx="438">
                  <c:v>41.483517237306337</c:v>
                </c:pt>
                <c:pt idx="439">
                  <c:v>41.438635973375582</c:v>
                </c:pt>
                <c:pt idx="440">
                  <c:v>41.394047592770548</c:v>
                </c:pt>
                <c:pt idx="441">
                  <c:v>41.348719084910456</c:v>
                </c:pt>
                <c:pt idx="442">
                  <c:v>41.303690015777747</c:v>
                </c:pt>
                <c:pt idx="443">
                  <c:v>41.258956800493316</c:v>
                </c:pt>
                <c:pt idx="444">
                  <c:v>41.214515911938335</c:v>
                </c:pt>
                <c:pt idx="445">
                  <c:v>41.169361124982409</c:v>
                </c:pt>
                <c:pt idx="446">
                  <c:v>41.124504855123519</c:v>
                </c:pt>
                <c:pt idx="447">
                  <c:v>41.079943507925698</c:v>
                </c:pt>
                <c:pt idx="448">
                  <c:v>41.035673546769232</c:v>
                </c:pt>
                <c:pt idx="449">
                  <c:v>40.990639732023233</c:v>
                </c:pt>
                <c:pt idx="450">
                  <c:v>40.945904128227248</c:v>
                </c:pt>
                <c:pt idx="451">
                  <c:v>40.901463118319619</c:v>
                </c:pt>
                <c:pt idx="452">
                  <c:v>40.857313143400269</c:v>
                </c:pt>
                <c:pt idx="453">
                  <c:v>40.812462961931296</c:v>
                </c:pt>
                <c:pt idx="454">
                  <c:v>40.767909768947064</c:v>
                </c:pt>
                <c:pt idx="455">
                  <c:v>40.72364993933958</c:v>
                </c:pt>
                <c:pt idx="456">
                  <c:v>40.679679906208477</c:v>
                </c:pt>
                <c:pt idx="457">
                  <c:v>40.634962924153314</c:v>
                </c:pt>
                <c:pt idx="458">
                  <c:v>40.590542272780951</c:v>
                </c:pt>
                <c:pt idx="459">
                  <c:v>40.54641430656531</c:v>
                </c:pt>
                <c:pt idx="460">
                  <c:v>40.502575438513034</c:v>
                </c:pt>
                <c:pt idx="461">
                  <c:v>40.458015868829364</c:v>
                </c:pt>
                <c:pt idx="462">
                  <c:v>40.413751540804697</c:v>
                </c:pt>
                <c:pt idx="463">
                  <c:v>40.36977879425465</c:v>
                </c:pt>
                <c:pt idx="464">
                  <c:v>40.326094027747118</c:v>
                </c:pt>
                <c:pt idx="465">
                  <c:v>40.281679885123168</c:v>
                </c:pt>
                <c:pt idx="466">
                  <c:v>40.237559929977955</c:v>
                </c:pt>
                <c:pt idx="467">
                  <c:v>40.193730484639474</c:v>
                </c:pt>
                <c:pt idx="468">
                  <c:v>40.150187930488428</c:v>
                </c:pt>
                <c:pt idx="469">
                  <c:v>40.105941328191136</c:v>
                </c:pt>
                <c:pt idx="470">
                  <c:v>40.061987432100217</c:v>
                </c:pt>
                <c:pt idx="471">
                  <c:v>40.018322552850947</c:v>
                </c:pt>
                <c:pt idx="472">
                  <c:v>39.974943060331228</c:v>
                </c:pt>
                <c:pt idx="473">
                  <c:v>39.930819600333933</c:v>
                </c:pt>
                <c:pt idx="474">
                  <c:v>39.88698780311119</c:v>
                </c:pt>
                <c:pt idx="475">
                  <c:v>39.843443957097968</c:v>
                </c:pt>
                <c:pt idx="476">
                  <c:v>39.800184410433026</c:v>
                </c:pt>
                <c:pt idx="477">
                  <c:v>39.756206469058455</c:v>
                </c:pt>
                <c:pt idx="478">
                  <c:v>39.712518691896705</c:v>
                </c:pt>
                <c:pt idx="479">
                  <c:v>39.669117351517286</c:v>
                </c:pt>
                <c:pt idx="480">
                  <c:v>39.625998780539263</c:v>
                </c:pt>
                <c:pt idx="481">
                  <c:v>39.582186199352392</c:v>
                </c:pt>
                <c:pt idx="482">
                  <c:v>39.538661850711449</c:v>
                </c:pt>
                <c:pt idx="483">
                  <c:v>39.495421997451274</c:v>
                </c:pt>
                <c:pt idx="484">
                  <c:v>39.452462962703819</c:v>
                </c:pt>
                <c:pt idx="485">
                  <c:v>39.408803508647374</c:v>
                </c:pt>
                <c:pt idx="486">
                  <c:v>39.365430331814522</c:v>
                </c:pt>
                <c:pt idx="487">
                  <c:v>39.322339683646078</c:v>
                </c:pt>
                <c:pt idx="488">
                  <c:v>39.279527876199658</c:v>
                </c:pt>
                <c:pt idx="489">
                  <c:v>39.235981142548404</c:v>
                </c:pt>
                <c:pt idx="490">
                  <c:v>39.19271906063927</c:v>
                </c:pt>
                <c:pt idx="491">
                  <c:v>39.149737861842624</c:v>
                </c:pt>
                <c:pt idx="492">
                  <c:v>39.107033838692558</c:v>
                </c:pt>
                <c:pt idx="493">
                  <c:v>39.063619159623329</c:v>
                </c:pt>
                <c:pt idx="494">
                  <c:v>39.020487043013496</c:v>
                </c:pt>
                <c:pt idx="495">
                  <c:v>38.977633707122131</c:v>
                </c:pt>
                <c:pt idx="496">
                  <c:v>38.935055431813282</c:v>
                </c:pt>
                <c:pt idx="497">
                  <c:v>38.891762142124811</c:v>
                </c:pt>
                <c:pt idx="498">
                  <c:v>38.848749240400231</c:v>
                </c:pt>
                <c:pt idx="499">
                  <c:v>38.806012931406357</c:v>
                </c:pt>
                <c:pt idx="500">
                  <c:v>38.763549482012579</c:v>
                </c:pt>
                <c:pt idx="501">
                  <c:v>38.720367196366155</c:v>
                </c:pt>
                <c:pt idx="502">
                  <c:v>38.677463021668423</c:v>
                </c:pt>
                <c:pt idx="503">
                  <c:v>38.634833149235341</c:v>
                </c:pt>
                <c:pt idx="504">
                  <c:v>38.592473833034084</c:v>
                </c:pt>
                <c:pt idx="505">
                  <c:v>38.549418350889077</c:v>
                </c:pt>
                <c:pt idx="506">
                  <c:v>38.506638252848319</c:v>
                </c:pt>
                <c:pt idx="507">
                  <c:v>38.464129724124938</c:v>
                </c:pt>
                <c:pt idx="508">
                  <c:v>38.421889013026238</c:v>
                </c:pt>
                <c:pt idx="509">
                  <c:v>38.378948194444511</c:v>
                </c:pt>
                <c:pt idx="510">
                  <c:v>38.336279931985537</c:v>
                </c:pt>
                <c:pt idx="511">
                  <c:v>38.293880405203254</c:v>
                </c:pt>
                <c:pt idx="512">
                  <c:v>38.251745857236685</c:v>
                </c:pt>
                <c:pt idx="513">
                  <c:v>38.20888288909061</c:v>
                </c:pt>
                <c:pt idx="514">
                  <c:v>38.166289845357227</c:v>
                </c:pt>
                <c:pt idx="515">
                  <c:v>38.123962894202499</c:v>
                </c:pt>
                <c:pt idx="516">
                  <c:v>38.081898268057856</c:v>
                </c:pt>
                <c:pt idx="517">
                  <c:v>38.039127005501435</c:v>
                </c:pt>
                <c:pt idx="518">
                  <c:v>37.996622581191126</c:v>
                </c:pt>
                <c:pt idx="519">
                  <c:v>37.954381160079947</c:v>
                </c:pt>
                <c:pt idx="520">
                  <c:v>37.91239897195058</c:v>
                </c:pt>
                <c:pt idx="521">
                  <c:v>37.869707123295626</c:v>
                </c:pt>
                <c:pt idx="522">
                  <c:v>37.827278893420029</c:v>
                </c:pt>
                <c:pt idx="523">
                  <c:v>37.785110445758626</c:v>
                </c:pt>
                <c:pt idx="524">
                  <c:v>37.743198009170207</c:v>
                </c:pt>
                <c:pt idx="525">
                  <c:v>37.700573077306935</c:v>
                </c:pt>
                <c:pt idx="526">
                  <c:v>37.658208404563844</c:v>
                </c:pt>
                <c:pt idx="527">
                  <c:v>37.616100154958204</c:v>
                </c:pt>
                <c:pt idx="528">
                  <c:v>37.574244558549054</c:v>
                </c:pt>
                <c:pt idx="529">
                  <c:v>37.531673767739946</c:v>
                </c:pt>
                <c:pt idx="530">
                  <c:v>37.489359731385591</c:v>
                </c:pt>
                <c:pt idx="531">
                  <c:v>37.447298616583026</c:v>
                </c:pt>
                <c:pt idx="532">
                  <c:v>37.405486657105655</c:v>
                </c:pt>
                <c:pt idx="533">
                  <c:v>37.362934998603798</c:v>
                </c:pt>
                <c:pt idx="534">
                  <c:v>37.320636701596911</c:v>
                </c:pt>
                <c:pt idx="535">
                  <c:v>37.278587933267289</c:v>
                </c:pt>
                <c:pt idx="536">
                  <c:v>37.236784928255361</c:v>
                </c:pt>
                <c:pt idx="537">
                  <c:v>37.194283176938939</c:v>
                </c:pt>
                <c:pt idx="538">
                  <c:v>37.15203071929426</c:v>
                </c:pt>
                <c:pt idx="539">
                  <c:v>37.110023737738018</c:v>
                </c:pt>
                <c:pt idx="540">
                  <c:v>37.068258482650606</c:v>
                </c:pt>
                <c:pt idx="541">
                  <c:v>37.025749378341281</c:v>
                </c:pt>
                <c:pt idx="542">
                  <c:v>36.983485860733694</c:v>
                </c:pt>
                <c:pt idx="543">
                  <c:v>36.941464119492416</c:v>
                </c:pt>
                <c:pt idx="544">
                  <c:v>36.89968041302005</c:v>
                </c:pt>
                <c:pt idx="545">
                  <c:v>36.85717136130107</c:v>
                </c:pt>
                <c:pt idx="546">
                  <c:v>36.81490378953913</c:v>
                </c:pt>
                <c:pt idx="547">
                  <c:v>36.772873904461562</c:v>
                </c:pt>
                <c:pt idx="548">
                  <c:v>36.731077982155128</c:v>
                </c:pt>
                <c:pt idx="549">
                  <c:v>36.688554007264607</c:v>
                </c:pt>
                <c:pt idx="550">
                  <c:v>36.646267269217759</c:v>
                </c:pt>
                <c:pt idx="551">
                  <c:v>36.604213996066242</c:v>
                </c:pt>
                <c:pt idx="552">
                  <c:v>36.562390485819762</c:v>
                </c:pt>
                <c:pt idx="553">
                  <c:v>36.519816577443329</c:v>
                </c:pt>
                <c:pt idx="554">
                  <c:v>36.477475747148588</c:v>
                </c:pt>
                <c:pt idx="555">
                  <c:v>36.435364243737489</c:v>
                </c:pt>
                <c:pt idx="556">
                  <c:v>36.393478386665421</c:v>
                </c:pt>
                <c:pt idx="557">
                  <c:v>36.308430004362016</c:v>
                </c:pt>
                <c:pt idx="558">
                  <c:v>36.224281900247234</c:v>
                </c:pt>
                <c:pt idx="559">
                  <c:v>36.139106295985712</c:v>
                </c:pt>
                <c:pt idx="560">
                  <c:v>36.05481261364082</c:v>
                </c:pt>
                <c:pt idx="561">
                  <c:v>35.969402635114086</c:v>
                </c:pt>
                <c:pt idx="562">
                  <c:v>35.884857340648459</c:v>
                </c:pt>
                <c:pt idx="563">
                  <c:v>35.799360968271777</c:v>
                </c:pt>
                <c:pt idx="564">
                  <c:v>35.714708103024357</c:v>
                </c:pt>
                <c:pt idx="565">
                  <c:v>35.628767597721101</c:v>
                </c:pt>
                <c:pt idx="566">
                  <c:v>35.543655478862874</c:v>
                </c:pt>
                <c:pt idx="567">
                  <c:v>35.457280687267584</c:v>
                </c:pt>
                <c:pt idx="568">
                  <c:v>35.371717907824809</c:v>
                </c:pt>
                <c:pt idx="569">
                  <c:v>35.285252028892032</c:v>
                </c:pt>
                <c:pt idx="570">
                  <c:v>35.199574665700986</c:v>
                </c:pt>
                <c:pt idx="571">
                  <c:v>35.112338647757298</c:v>
                </c:pt>
                <c:pt idx="572">
                  <c:v>35.02587922246591</c:v>
                </c:pt>
                <c:pt idx="573">
                  <c:v>34.93854136427202</c:v>
                </c:pt>
                <c:pt idx="574">
                  <c:v>34.851955726830745</c:v>
                </c:pt>
                <c:pt idx="575">
                  <c:v>34.763855251898342</c:v>
                </c:pt>
                <c:pt idx="576">
                  <c:v>34.676493522430086</c:v>
                </c:pt>
                <c:pt idx="577">
                  <c:v>34.314264245285131</c:v>
                </c:pt>
                <c:pt idx="578">
                  <c:v>33.963144878133924</c:v>
                </c:pt>
                <c:pt idx="579">
                  <c:v>33.226059905370121</c:v>
                </c:pt>
                <c:pt idx="580">
                  <c:v>32.45819594256308</c:v>
                </c:pt>
                <c:pt idx="581">
                  <c:v>31.655555154285242</c:v>
                </c:pt>
                <c:pt idx="582">
                  <c:v>30.813715695413858</c:v>
                </c:pt>
                <c:pt idx="583">
                  <c:v>29.930913407008418</c:v>
                </c:pt>
                <c:pt idx="584">
                  <c:v>29.005831493073273</c:v>
                </c:pt>
                <c:pt idx="585">
                  <c:v>28.040145198895384</c:v>
                </c:pt>
                <c:pt idx="586">
                  <c:v>27.036605549823065</c:v>
                </c:pt>
                <c:pt idx="587">
                  <c:v>25.99903318551986</c:v>
                </c:pt>
                <c:pt idx="588">
                  <c:v>24.93397904449921</c:v>
                </c:pt>
                <c:pt idx="589">
                  <c:v>23.846961866393425</c:v>
                </c:pt>
                <c:pt idx="590">
                  <c:v>22.74517054898196</c:v>
                </c:pt>
                <c:pt idx="591">
                  <c:v>21.635343215468819</c:v>
                </c:pt>
                <c:pt idx="592">
                  <c:v>20.524180249288531</c:v>
                </c:pt>
                <c:pt idx="593">
                  <c:v>19.417344844445303</c:v>
                </c:pt>
                <c:pt idx="594">
                  <c:v>18.320354022887642</c:v>
                </c:pt>
                <c:pt idx="595">
                  <c:v>17.23730078670377</c:v>
                </c:pt>
                <c:pt idx="596">
                  <c:v>16.17173550444496</c:v>
                </c:pt>
                <c:pt idx="597">
                  <c:v>15.125770506995675</c:v>
                </c:pt>
                <c:pt idx="598">
                  <c:v>14.101062048803715</c:v>
                </c:pt>
                <c:pt idx="599">
                  <c:v>13.097901214745908</c:v>
                </c:pt>
                <c:pt idx="600">
                  <c:v>12.116279961347685</c:v>
                </c:pt>
              </c:numCache>
            </c:numRef>
          </c:yVal>
          <c:smooth val="1"/>
          <c:extLst>
            <c:ext xmlns:c16="http://schemas.microsoft.com/office/drawing/2014/chart" uri="{C3380CC4-5D6E-409C-BE32-E72D297353CC}">
              <c16:uniqueId val="{00000000-3045-44CA-A828-F3080F80A924}"/>
            </c:ext>
          </c:extLst>
        </c:ser>
        <c:dLbls>
          <c:showLegendKey val="0"/>
          <c:showVal val="0"/>
          <c:showCatName val="0"/>
          <c:showSerName val="0"/>
          <c:showPercent val="0"/>
          <c:showBubbleSize val="0"/>
        </c:dLbls>
        <c:axId val="196940928"/>
        <c:axId val="196942848"/>
      </c:scatterChart>
      <c:scatterChart>
        <c:scatterStyle val="lineMarker"/>
        <c:varyColors val="0"/>
        <c:ser>
          <c:idx val="8"/>
          <c:order val="1"/>
          <c:tx>
            <c:strRef>
              <c:f>'Stability Calculations'!$AG$12</c:f>
              <c:strCache>
                <c:ptCount val="1"/>
                <c:pt idx="0">
                  <c:v>Phase(Deg)</c:v>
                </c:pt>
              </c:strCache>
            </c:strRef>
          </c:tx>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Calculations'!$AG$13:$AG$613</c:f>
              <c:numCache>
                <c:formatCode>0.00</c:formatCode>
                <c:ptCount val="601"/>
                <c:pt idx="0">
                  <c:v>-4.7845421800879112E-2</c:v>
                </c:pt>
                <c:pt idx="1">
                  <c:v>-5.2462502695778179E-2</c:v>
                </c:pt>
                <c:pt idx="2">
                  <c:v>-5.752454505604386E-2</c:v>
                </c:pt>
                <c:pt idx="3">
                  <c:v>-6.3074609435168155E-2</c:v>
                </c:pt>
                <c:pt idx="4">
                  <c:v>-6.9155756285492587E-2</c:v>
                </c:pt>
                <c:pt idx="5">
                  <c:v>-7.5830184072087692E-2</c:v>
                </c:pt>
                <c:pt idx="6">
                  <c:v>-8.3145737470368672E-2</c:v>
                </c:pt>
                <c:pt idx="7">
                  <c:v>-9.1169399063326717E-2</c:v>
                </c:pt>
                <c:pt idx="8">
                  <c:v>-9.9963366590755762E-2</c:v>
                </c:pt>
                <c:pt idx="9">
                  <c:v>-0.10960897550948823</c:v>
                </c:pt>
                <c:pt idx="10">
                  <c:v>-0.12018277620602109</c:v>
                </c:pt>
                <c:pt idx="11">
                  <c:v>-0.13177567194114476</c:v>
                </c:pt>
                <c:pt idx="12">
                  <c:v>-0.14449291859519686</c:v>
                </c:pt>
                <c:pt idx="13">
                  <c:v>-0.15843020178336592</c:v>
                </c:pt>
                <c:pt idx="14">
                  <c:v>-0.17371669709539078</c:v>
                </c:pt>
                <c:pt idx="15">
                  <c:v>-0.19047679344981086</c:v>
                </c:pt>
                <c:pt idx="16">
                  <c:v>-0.20885401495132036</c:v>
                </c:pt>
                <c:pt idx="17">
                  <c:v>-0.22900145096607025</c:v>
                </c:pt>
                <c:pt idx="18">
                  <c:v>-0.25109610834063784</c:v>
                </c:pt>
                <c:pt idx="19">
                  <c:v>-0.2753197719039267</c:v>
                </c:pt>
                <c:pt idx="20">
                  <c:v>-0.30188292467461414</c:v>
                </c:pt>
                <c:pt idx="21">
                  <c:v>-0.331005607281736</c:v>
                </c:pt>
                <c:pt idx="22">
                  <c:v>-0.36294133640576154</c:v>
                </c:pt>
                <c:pt idx="23">
                  <c:v>-0.39795317794470397</c:v>
                </c:pt>
                <c:pt idx="24">
                  <c:v>-0.43634723121247337</c:v>
                </c:pt>
                <c:pt idx="25">
                  <c:v>-0.47844391439314793</c:v>
                </c:pt>
                <c:pt idx="26">
                  <c:v>-0.52461144344781929</c:v>
                </c:pt>
                <c:pt idx="27">
                  <c:v>-0.5752275436620764</c:v>
                </c:pt>
                <c:pt idx="28">
                  <c:v>-0.63072248851218649</c:v>
                </c:pt>
                <c:pt idx="29">
                  <c:v>-0.69152645037155425</c:v>
                </c:pt>
                <c:pt idx="30">
                  <c:v>-0.7582608232667738</c:v>
                </c:pt>
                <c:pt idx="31">
                  <c:v>-0.83140330505299931</c:v>
                </c:pt>
                <c:pt idx="32">
                  <c:v>-0.91162271020207353</c:v>
                </c:pt>
                <c:pt idx="33">
                  <c:v>-0.9995397080767281</c:v>
                </c:pt>
                <c:pt idx="34">
                  <c:v>-1.0959658944136583</c:v>
                </c:pt>
                <c:pt idx="35">
                  <c:v>-1.2016644931576015</c:v>
                </c:pt>
                <c:pt idx="36">
                  <c:v>-1.3175415103956709</c:v>
                </c:pt>
                <c:pt idx="37">
                  <c:v>-1.4446454803369702</c:v>
                </c:pt>
                <c:pt idx="38">
                  <c:v>-1.5839280706013688</c:v>
                </c:pt>
                <c:pt idx="39">
                  <c:v>-1.7366740437398072</c:v>
                </c:pt>
                <c:pt idx="40">
                  <c:v>-1.9041181964607572</c:v>
                </c:pt>
                <c:pt idx="41">
                  <c:v>-2.0876837326017981</c:v>
                </c:pt>
                <c:pt idx="42">
                  <c:v>-2.2888857409715366</c:v>
                </c:pt>
                <c:pt idx="43">
                  <c:v>-2.5094733323883491</c:v>
                </c:pt>
                <c:pt idx="44">
                  <c:v>-2.7512369499978533</c:v>
                </c:pt>
                <c:pt idx="45">
                  <c:v>-3.0162451164486068</c:v>
                </c:pt>
                <c:pt idx="46">
                  <c:v>-3.3066506891205085</c:v>
                </c:pt>
                <c:pt idx="47">
                  <c:v>-3.6249258839340914</c:v>
                </c:pt>
                <c:pt idx="48">
                  <c:v>-3.9736190389442618</c:v>
                </c:pt>
                <c:pt idx="49">
                  <c:v>-4.3556821080956301</c:v>
                </c:pt>
                <c:pt idx="50">
                  <c:v>-4.7741765747483766</c:v>
                </c:pt>
                <c:pt idx="51">
                  <c:v>-5.2325959222939922</c:v>
                </c:pt>
                <c:pt idx="52">
                  <c:v>-5.7344714381291757</c:v>
                </c:pt>
                <c:pt idx="53">
                  <c:v>-6.283781906198092</c:v>
                </c:pt>
                <c:pt idx="54">
                  <c:v>-6.8844096277395348</c:v>
                </c:pt>
                <c:pt idx="55">
                  <c:v>-7.5419983040929983</c:v>
                </c:pt>
                <c:pt idx="56">
                  <c:v>-8.2606077151364747</c:v>
                </c:pt>
                <c:pt idx="57">
                  <c:v>-9.0459650045241577</c:v>
                </c:pt>
                <c:pt idx="58">
                  <c:v>-9.9030474783586175</c:v>
                </c:pt>
                <c:pt idx="59">
                  <c:v>-10.838336757819713</c:v>
                </c:pt>
                <c:pt idx="60">
                  <c:v>-11.857379229728508</c:v>
                </c:pt>
                <c:pt idx="61">
                  <c:v>-12.96651282221799</c:v>
                </c:pt>
                <c:pt idx="62">
                  <c:v>-14.172675670220285</c:v>
                </c:pt>
                <c:pt idx="63">
                  <c:v>-15.480932623315828</c:v>
                </c:pt>
                <c:pt idx="64">
                  <c:v>-16.898291094440349</c:v>
                </c:pt>
                <c:pt idx="65">
                  <c:v>-18.429780870297755</c:v>
                </c:pt>
                <c:pt idx="66">
                  <c:v>-20.08033194023238</c:v>
                </c:pt>
                <c:pt idx="67">
                  <c:v>-21.853471973825716</c:v>
                </c:pt>
                <c:pt idx="68">
                  <c:v>-23.752118208216828</c:v>
                </c:pt>
                <c:pt idx="69">
                  <c:v>-25.776394119917232</c:v>
                </c:pt>
                <c:pt idx="70">
                  <c:v>-27.925158136920135</c:v>
                </c:pt>
                <c:pt idx="71">
                  <c:v>-30.193892511871695</c:v>
                </c:pt>
                <c:pt idx="72">
                  <c:v>-32.576168625620042</c:v>
                </c:pt>
                <c:pt idx="73">
                  <c:v>-35.061460125472891</c:v>
                </c:pt>
                <c:pt idx="74">
                  <c:v>-37.637423287351766</c:v>
                </c:pt>
                <c:pt idx="75">
                  <c:v>-40.287842806275201</c:v>
                </c:pt>
                <c:pt idx="76">
                  <c:v>-42.995075672328305</c:v>
                </c:pt>
                <c:pt idx="77">
                  <c:v>-45.738172890488094</c:v>
                </c:pt>
                <c:pt idx="78">
                  <c:v>-48.496130504209553</c:v>
                </c:pt>
                <c:pt idx="79">
                  <c:v>-51.246051899304653</c:v>
                </c:pt>
                <c:pt idx="80">
                  <c:v>-53.972230990823128</c:v>
                </c:pt>
                <c:pt idx="81">
                  <c:v>-56.65218316815718</c:v>
                </c:pt>
                <c:pt idx="82">
                  <c:v>-59.271483071779691</c:v>
                </c:pt>
                <c:pt idx="83">
                  <c:v>-61.814951353285885</c:v>
                </c:pt>
                <c:pt idx="84">
                  <c:v>-64.274422706783454</c:v>
                </c:pt>
                <c:pt idx="85">
                  <c:v>-66.64162355152267</c:v>
                </c:pt>
                <c:pt idx="86">
                  <c:v>-68.913227720698941</c:v>
                </c:pt>
                <c:pt idx="87">
                  <c:v>-71.089567842205142</c:v>
                </c:pt>
                <c:pt idx="88">
                  <c:v>-73.170303469695682</c:v>
                </c:pt>
                <c:pt idx="89">
                  <c:v>-75.161056136891304</c:v>
                </c:pt>
                <c:pt idx="90">
                  <c:v>-77.066776401790321</c:v>
                </c:pt>
                <c:pt idx="91">
                  <c:v>-78.894838876600176</c:v>
                </c:pt>
                <c:pt idx="92">
                  <c:v>-80.653363797287085</c:v>
                </c:pt>
                <c:pt idx="93">
                  <c:v>-82.352121515417934</c:v>
                </c:pt>
                <c:pt idx="94">
                  <c:v>-82.768410249887253</c:v>
                </c:pt>
                <c:pt idx="95">
                  <c:v>-82.976709806791462</c:v>
                </c:pt>
                <c:pt idx="96">
                  <c:v>-83.181905940887205</c:v>
                </c:pt>
                <c:pt idx="97">
                  <c:v>-83.388748925280495</c:v>
                </c:pt>
                <c:pt idx="98">
                  <c:v>-83.592546293337634</c:v>
                </c:pt>
                <c:pt idx="99">
                  <c:v>-83.798067319032057</c:v>
                </c:pt>
                <c:pt idx="100">
                  <c:v>-84.000598500348701</c:v>
                </c:pt>
                <c:pt idx="101">
                  <c:v>-84.204773483260595</c:v>
                </c:pt>
                <c:pt idx="102">
                  <c:v>-84.406016927039332</c:v>
                </c:pt>
                <c:pt idx="103">
                  <c:v>-84.609126260267288</c:v>
                </c:pt>
                <c:pt idx="104">
                  <c:v>-84.809356199000874</c:v>
                </c:pt>
                <c:pt idx="105">
                  <c:v>-85.011371221076899</c:v>
                </c:pt>
                <c:pt idx="106">
                  <c:v>-85.210561632583833</c:v>
                </c:pt>
                <c:pt idx="107">
                  <c:v>-85.411464294106153</c:v>
                </c:pt>
                <c:pt idx="108">
                  <c:v>-85.609599327467748</c:v>
                </c:pt>
                <c:pt idx="109">
                  <c:v>-85.809516333202026</c:v>
                </c:pt>
                <c:pt idx="110">
                  <c:v>-86.006720850190391</c:v>
                </c:pt>
                <c:pt idx="111">
                  <c:v>-86.205904650367401</c:v>
                </c:pt>
                <c:pt idx="112">
                  <c:v>-86.402425977011177</c:v>
                </c:pt>
                <c:pt idx="113">
                  <c:v>-86.600853861168915</c:v>
                </c:pt>
                <c:pt idx="114">
                  <c:v>-86.79667156050705</c:v>
                </c:pt>
                <c:pt idx="115">
                  <c:v>-86.994455111434206</c:v>
                </c:pt>
                <c:pt idx="116">
                  <c:v>-87.189679440651176</c:v>
                </c:pt>
                <c:pt idx="117">
                  <c:v>-87.386926138888512</c:v>
                </c:pt>
                <c:pt idx="118">
                  <c:v>-87.581663389612856</c:v>
                </c:pt>
                <c:pt idx="119">
                  <c:v>-87.778358552740784</c:v>
                </c:pt>
                <c:pt idx="120">
                  <c:v>-87.972595905438169</c:v>
                </c:pt>
                <c:pt idx="121">
                  <c:v>-88.168848903004587</c:v>
                </c:pt>
                <c:pt idx="122">
                  <c:v>-88.362694417276543</c:v>
                </c:pt>
                <c:pt idx="123">
                  <c:v>-88.558723859626625</c:v>
                </c:pt>
                <c:pt idx="124">
                  <c:v>-88.752392262912721</c:v>
                </c:pt>
                <c:pt idx="125">
                  <c:v>-88.948182600130124</c:v>
                </c:pt>
                <c:pt idx="126">
                  <c:v>-89.141660138532714</c:v>
                </c:pt>
                <c:pt idx="127">
                  <c:v>-89.337311474265263</c:v>
                </c:pt>
                <c:pt idx="128">
                  <c:v>-89.530697232383773</c:v>
                </c:pt>
                <c:pt idx="129">
                  <c:v>-89.726307122362925</c:v>
                </c:pt>
                <c:pt idx="130">
                  <c:v>-89.919697712251988</c:v>
                </c:pt>
                <c:pt idx="131">
                  <c:v>-90.11536144327313</c:v>
                </c:pt>
                <c:pt idx="132">
                  <c:v>-90.212373593030804</c:v>
                </c:pt>
                <c:pt idx="133">
                  <c:v>-90.308851272370219</c:v>
                </c:pt>
                <c:pt idx="134">
                  <c:v>-90.407077864010418</c:v>
                </c:pt>
                <c:pt idx="135">
                  <c:v>-90.504762643973592</c:v>
                </c:pt>
                <c:pt idx="136">
                  <c:v>-90.601914600566403</c:v>
                </c:pt>
                <c:pt idx="137">
                  <c:v>-90.69854252411956</c:v>
                </c:pt>
                <c:pt idx="138">
                  <c:v>-90.79683121500338</c:v>
                </c:pt>
                <c:pt idx="139">
                  <c:v>-90.894589793493395</c:v>
                </c:pt>
                <c:pt idx="140">
                  <c:v>-90.991827054264107</c:v>
                </c:pt>
                <c:pt idx="141">
                  <c:v>-91.088551598055957</c:v>
                </c:pt>
                <c:pt idx="142">
                  <c:v>-91.187047494504469</c:v>
                </c:pt>
                <c:pt idx="143">
                  <c:v>-91.285023709722054</c:v>
                </c:pt>
                <c:pt idx="144">
                  <c:v>-91.382488873265956</c:v>
                </c:pt>
                <c:pt idx="145">
                  <c:v>-91.479451424005887</c:v>
                </c:pt>
                <c:pt idx="146">
                  <c:v>-91.578148422633987</c:v>
                </c:pt>
                <c:pt idx="147">
                  <c:v>-91.676336537864742</c:v>
                </c:pt>
                <c:pt idx="148">
                  <c:v>-91.774024222203266</c:v>
                </c:pt>
                <c:pt idx="149">
                  <c:v>-91.871219741101953</c:v>
                </c:pt>
                <c:pt idx="150">
                  <c:v>-91.970161618339887</c:v>
                </c:pt>
                <c:pt idx="151">
                  <c:v>-92.068605234402639</c:v>
                </c:pt>
                <c:pt idx="152">
                  <c:v>-92.166558866251023</c:v>
                </c:pt>
                <c:pt idx="153">
                  <c:v>-92.264030607421716</c:v>
                </c:pt>
                <c:pt idx="154">
                  <c:v>-92.363306101046788</c:v>
                </c:pt>
                <c:pt idx="155">
                  <c:v>-92.462093339629916</c:v>
                </c:pt>
                <c:pt idx="156">
                  <c:v>-92.560400437069305</c:v>
                </c:pt>
                <c:pt idx="157">
                  <c:v>-92.65823532713631</c:v>
                </c:pt>
                <c:pt idx="158">
                  <c:v>-92.75788447379594</c:v>
                </c:pt>
                <c:pt idx="159">
                  <c:v>-92.857055257010629</c:v>
                </c:pt>
                <c:pt idx="160">
                  <c:v>-92.955755627694714</c:v>
                </c:pt>
                <c:pt idx="161">
                  <c:v>-93.053993359964878</c:v>
                </c:pt>
                <c:pt idx="162">
                  <c:v>-93.154012091756513</c:v>
                </c:pt>
                <c:pt idx="163">
                  <c:v>-93.253562643438698</c:v>
                </c:pt>
                <c:pt idx="164">
                  <c:v>-93.352652792933128</c:v>
                </c:pt>
                <c:pt idx="165">
                  <c:v>-93.451290145023151</c:v>
                </c:pt>
                <c:pt idx="166">
                  <c:v>-93.551806474335422</c:v>
                </c:pt>
                <c:pt idx="167">
                  <c:v>-93.651863858736803</c:v>
                </c:pt>
                <c:pt idx="168">
                  <c:v>-93.751469923938174</c:v>
                </c:pt>
                <c:pt idx="169">
                  <c:v>-93.850632125589598</c:v>
                </c:pt>
                <c:pt idx="170">
                  <c:v>-93.951471597825545</c:v>
                </c:pt>
                <c:pt idx="171">
                  <c:v>-94.051863154588517</c:v>
                </c:pt>
                <c:pt idx="172">
                  <c:v>-94.151814222133353</c:v>
                </c:pt>
                <c:pt idx="173">
                  <c:v>-94.251332061164135</c:v>
                </c:pt>
                <c:pt idx="174">
                  <c:v>-94.352916435839717</c:v>
                </c:pt>
                <c:pt idx="175">
                  <c:v>-94.454060404188269</c:v>
                </c:pt>
                <c:pt idx="176">
                  <c:v>-94.554771277527962</c:v>
                </c:pt>
                <c:pt idx="177">
                  <c:v>-94.655056203661815</c:v>
                </c:pt>
                <c:pt idx="178">
                  <c:v>-94.757372672525022</c:v>
                </c:pt>
                <c:pt idx="179">
                  <c:v>-94.859256673279035</c:v>
                </c:pt>
                <c:pt idx="180">
                  <c:v>-94.96071538907681</c:v>
                </c:pt>
                <c:pt idx="181">
                  <c:v>-95.061755842008068</c:v>
                </c:pt>
                <c:pt idx="182">
                  <c:v>-95.164393328766636</c:v>
                </c:pt>
                <c:pt idx="183">
                  <c:v>-95.266609919649653</c:v>
                </c:pt>
                <c:pt idx="184">
                  <c:v>-95.368412576892723</c:v>
                </c:pt>
                <c:pt idx="185">
                  <c:v>-95.469808106910889</c:v>
                </c:pt>
                <c:pt idx="186">
                  <c:v>-95.573569992732914</c:v>
                </c:pt>
                <c:pt idx="187">
                  <c:v>-95.676916173161345</c:v>
                </c:pt>
                <c:pt idx="188">
                  <c:v>-95.779853544727473</c:v>
                </c:pt>
                <c:pt idx="189">
                  <c:v>-95.88238884878858</c:v>
                </c:pt>
                <c:pt idx="190">
                  <c:v>-95.986474105922298</c:v>
                </c:pt>
                <c:pt idx="191">
                  <c:v>-96.090155465309962</c:v>
                </c:pt>
                <c:pt idx="192">
                  <c:v>-96.193439591474018</c:v>
                </c:pt>
                <c:pt idx="193">
                  <c:v>-96.296332999396839</c:v>
                </c:pt>
                <c:pt idx="194">
                  <c:v>-96.401524448607603</c:v>
                </c:pt>
                <c:pt idx="195">
                  <c:v>-96.50631786023132</c:v>
                </c:pt>
                <c:pt idx="196">
                  <c:v>-96.610719810864921</c:v>
                </c:pt>
                <c:pt idx="197">
                  <c:v>-96.71473672892472</c:v>
                </c:pt>
                <c:pt idx="198">
                  <c:v>-96.82064015663299</c:v>
                </c:pt>
                <c:pt idx="199">
                  <c:v>-96.92615462165017</c:v>
                </c:pt>
                <c:pt idx="200">
                  <c:v>-97.031286530690323</c:v>
                </c:pt>
                <c:pt idx="201">
                  <c:v>-97.136042146118925</c:v>
                </c:pt>
                <c:pt idx="202">
                  <c:v>-97.242660414163794</c:v>
                </c:pt>
                <c:pt idx="203">
                  <c:v>-97.348898852753507</c:v>
                </c:pt>
                <c:pt idx="204">
                  <c:v>-97.454763694620439</c:v>
                </c:pt>
                <c:pt idx="205">
                  <c:v>-97.560261032129986</c:v>
                </c:pt>
                <c:pt idx="206">
                  <c:v>-97.667965591447597</c:v>
                </c:pt>
                <c:pt idx="207">
                  <c:v>-97.775296946561255</c:v>
                </c:pt>
                <c:pt idx="208">
                  <c:v>-97.882261214984823</c:v>
                </c:pt>
                <c:pt idx="209">
                  <c:v>-97.988864376111081</c:v>
                </c:pt>
                <c:pt idx="210">
                  <c:v>-98.098008313607451</c:v>
                </c:pt>
                <c:pt idx="211">
                  <c:v>-98.20678351708402</c:v>
                </c:pt>
                <c:pt idx="212">
                  <c:v>-98.315196038845713</c:v>
                </c:pt>
                <c:pt idx="213">
                  <c:v>-98.423251793832961</c:v>
                </c:pt>
                <c:pt idx="214">
                  <c:v>-98.533099973356059</c:v>
                </c:pt>
                <c:pt idx="215">
                  <c:v>-98.642589029824592</c:v>
                </c:pt>
                <c:pt idx="216">
                  <c:v>-98.751724821699639</c:v>
                </c:pt>
                <c:pt idx="217">
                  <c:v>-98.860513074725787</c:v>
                </c:pt>
                <c:pt idx="218">
                  <c:v>-98.971428158815527</c:v>
                </c:pt>
                <c:pt idx="219">
                  <c:v>-99.081991381687089</c:v>
                </c:pt>
                <c:pt idx="220">
                  <c:v>-99.192208462555669</c:v>
                </c:pt>
                <c:pt idx="221">
                  <c:v>-99.302084990947534</c:v>
                </c:pt>
                <c:pt idx="222">
                  <c:v>-99.414064659837905</c:v>
                </c:pt>
                <c:pt idx="223">
                  <c:v>-99.525699837069453</c:v>
                </c:pt>
                <c:pt idx="224">
                  <c:v>-99.636996097179576</c:v>
                </c:pt>
                <c:pt idx="225">
                  <c:v>-99.747958888228411</c:v>
                </c:pt>
                <c:pt idx="226">
                  <c:v>-99.861346639285372</c:v>
                </c:pt>
                <c:pt idx="227">
                  <c:v>-99.974395288933351</c:v>
                </c:pt>
                <c:pt idx="228">
                  <c:v>-100.08711031194731</c:v>
                </c:pt>
                <c:pt idx="229">
                  <c:v>-100.19949705849956</c:v>
                </c:pt>
                <c:pt idx="230">
                  <c:v>-100.42873294557472</c:v>
                </c:pt>
                <c:pt idx="231">
                  <c:v>-100.54285606844003</c:v>
                </c:pt>
                <c:pt idx="232">
                  <c:v>-100.65665634283381</c:v>
                </c:pt>
                <c:pt idx="233">
                  <c:v>-100.77282902144978</c:v>
                </c:pt>
                <c:pt idx="234">
                  <c:v>-100.88867408405268</c:v>
                </c:pt>
                <c:pt idx="235">
                  <c:v>-101.0041967796064</c:v>
                </c:pt>
                <c:pt idx="236">
                  <c:v>-101.11940223705732</c:v>
                </c:pt>
                <c:pt idx="237">
                  <c:v>-101.23662343827365</c:v>
                </c:pt>
                <c:pt idx="238">
                  <c:v>-101.35352481667566</c:v>
                </c:pt>
                <c:pt idx="239">
                  <c:v>-101.47011145480715</c:v>
                </c:pt>
                <c:pt idx="240">
                  <c:v>-101.58638831913649</c:v>
                </c:pt>
                <c:pt idx="241">
                  <c:v>-101.70532149948518</c:v>
                </c:pt>
                <c:pt idx="242">
                  <c:v>-101.82393908305393</c:v>
                </c:pt>
                <c:pt idx="243">
                  <c:v>-101.94224606765258</c:v>
                </c:pt>
                <c:pt idx="244">
                  <c:v>-102.06024733649228</c:v>
                </c:pt>
                <c:pt idx="245">
                  <c:v>-102.18055260619126</c:v>
                </c:pt>
                <c:pt idx="246">
                  <c:v>-102.30054842475828</c:v>
                </c:pt>
                <c:pt idx="247">
                  <c:v>-102.42023965658561</c:v>
                </c:pt>
                <c:pt idx="248">
                  <c:v>-102.53963105443758</c:v>
                </c:pt>
                <c:pt idx="249">
                  <c:v>-102.66162839893882</c:v>
                </c:pt>
                <c:pt idx="250">
                  <c:v>-102.78332085587867</c:v>
                </c:pt>
                <c:pt idx="251">
                  <c:v>-102.90471319010592</c:v>
                </c:pt>
                <c:pt idx="252">
                  <c:v>-103.02581005679222</c:v>
                </c:pt>
                <c:pt idx="253">
                  <c:v>-103.14916963302325</c:v>
                </c:pt>
                <c:pt idx="254">
                  <c:v>-103.27223057760504</c:v>
                </c:pt>
                <c:pt idx="255">
                  <c:v>-103.3949975130904</c:v>
                </c:pt>
                <c:pt idx="256">
                  <c:v>-103.51747495562583</c:v>
                </c:pt>
                <c:pt idx="257">
                  <c:v>-103.64282917367103</c:v>
                </c:pt>
                <c:pt idx="258">
                  <c:v>-103.76788800340566</c:v>
                </c:pt>
                <c:pt idx="259">
                  <c:v>-103.89265599133088</c:v>
                </c:pt>
                <c:pt idx="260">
                  <c:v>-104.0171375787956</c:v>
                </c:pt>
                <c:pt idx="261">
                  <c:v>-104.14415657677685</c:v>
                </c:pt>
                <c:pt idx="262">
                  <c:v>-104.2708850807267</c:v>
                </c:pt>
                <c:pt idx="263">
                  <c:v>-104.39732751938649</c:v>
                </c:pt>
                <c:pt idx="264">
                  <c:v>-104.52348821888734</c:v>
                </c:pt>
                <c:pt idx="265">
                  <c:v>-104.65216568958213</c:v>
                </c:pt>
                <c:pt idx="266">
                  <c:v>-104.78055758601181</c:v>
                </c:pt>
                <c:pt idx="267">
                  <c:v>-104.90866821514904</c:v>
                </c:pt>
                <c:pt idx="268">
                  <c:v>-105.03650178403407</c:v>
                </c:pt>
                <c:pt idx="269">
                  <c:v>-105.16714023451817</c:v>
                </c:pt>
                <c:pt idx="270">
                  <c:v>-105.29749670138716</c:v>
                </c:pt>
                <c:pt idx="271">
                  <c:v>-105.42757539611196</c:v>
                </c:pt>
                <c:pt idx="272">
                  <c:v>-105.55738043210921</c:v>
                </c:pt>
                <c:pt idx="273">
                  <c:v>-105.68996768500629</c:v>
                </c:pt>
                <c:pt idx="274">
                  <c:v>-105.8222766367377</c:v>
                </c:pt>
                <c:pt idx="275">
                  <c:v>-105.95431139723036</c:v>
                </c:pt>
                <c:pt idx="276">
                  <c:v>-106.08607598042882</c:v>
                </c:pt>
                <c:pt idx="277">
                  <c:v>-106.22029844030743</c:v>
                </c:pt>
                <c:pt idx="278">
                  <c:v>-106.35424755810865</c:v>
                </c:pt>
                <c:pt idx="279">
                  <c:v>-106.48792731049257</c:v>
                </c:pt>
                <c:pt idx="280">
                  <c:v>-106.62134158120378</c:v>
                </c:pt>
                <c:pt idx="281">
                  <c:v>-106.75809740035979</c:v>
                </c:pt>
                <c:pt idx="282">
                  <c:v>-106.89458117539367</c:v>
                </c:pt>
                <c:pt idx="283">
                  <c:v>-107.03079682520651</c:v>
                </c:pt>
                <c:pt idx="284">
                  <c:v>-107.16674817650963</c:v>
                </c:pt>
                <c:pt idx="285">
                  <c:v>-107.30512035705132</c:v>
                </c:pt>
                <c:pt idx="286">
                  <c:v>-107.44322543612604</c:v>
                </c:pt>
                <c:pt idx="287">
                  <c:v>-107.58106719234279</c:v>
                </c:pt>
                <c:pt idx="288">
                  <c:v>-107.7186493154277</c:v>
                </c:pt>
                <c:pt idx="289">
                  <c:v>-107.8595235809811</c:v>
                </c:pt>
                <c:pt idx="290">
                  <c:v>-108.00013220063997</c:v>
                </c:pt>
                <c:pt idx="291">
                  <c:v>-108.14047888252037</c:v>
                </c:pt>
                <c:pt idx="292">
                  <c:v>-108.28056724698713</c:v>
                </c:pt>
                <c:pt idx="293">
                  <c:v>-108.42362929319982</c:v>
                </c:pt>
                <c:pt idx="294">
                  <c:v>-108.56642834118396</c:v>
                </c:pt>
                <c:pt idx="295">
                  <c:v>-108.70896799888438</c:v>
                </c:pt>
                <c:pt idx="296">
                  <c:v>-108.85125178856036</c:v>
                </c:pt>
                <c:pt idx="297">
                  <c:v>-108.99648836082574</c:v>
                </c:pt>
                <c:pt idx="298">
                  <c:v>-109.14146456146453</c:v>
                </c:pt>
                <c:pt idx="299">
                  <c:v>-109.28618389440591</c:v>
                </c:pt>
                <c:pt idx="300">
                  <c:v>-109.43064978008844</c:v>
                </c:pt>
                <c:pt idx="301">
                  <c:v>-109.57804824859538</c:v>
                </c:pt>
                <c:pt idx="302">
                  <c:v>-109.725188918318</c:v>
                </c:pt>
                <c:pt idx="303">
                  <c:v>-109.87207518612288</c:v>
                </c:pt>
                <c:pt idx="304">
                  <c:v>-110.01871036768711</c:v>
                </c:pt>
                <c:pt idx="305">
                  <c:v>-110.16883325472274</c:v>
                </c:pt>
                <c:pt idx="306">
                  <c:v>-110.31869887746832</c:v>
                </c:pt>
                <c:pt idx="307">
                  <c:v>-110.46831056103056</c:v>
                </c:pt>
                <c:pt idx="308">
                  <c:v>-110.61767155051008</c:v>
                </c:pt>
                <c:pt idx="309">
                  <c:v>-110.76992461054117</c:v>
                </c:pt>
                <c:pt idx="310">
                  <c:v>-110.92192289213124</c:v>
                </c:pt>
                <c:pt idx="311">
                  <c:v>-111.07366960616712</c:v>
                </c:pt>
                <c:pt idx="312">
                  <c:v>-111.22516788607446</c:v>
                </c:pt>
                <c:pt idx="313">
                  <c:v>-111.38010684517556</c:v>
                </c:pt>
                <c:pt idx="314">
                  <c:v>-111.53479152036577</c:v>
                </c:pt>
                <c:pt idx="315">
                  <c:v>-111.68922504133178</c:v>
                </c:pt>
                <c:pt idx="316">
                  <c:v>-111.84341046179378</c:v>
                </c:pt>
                <c:pt idx="317">
                  <c:v>-112.00101304337993</c:v>
                </c:pt>
                <c:pt idx="318">
                  <c:v>-112.15836181275426</c:v>
                </c:pt>
                <c:pt idx="319">
                  <c:v>-112.31545981344885</c:v>
                </c:pt>
                <c:pt idx="320">
                  <c:v>-112.47231001468697</c:v>
                </c:pt>
                <c:pt idx="321">
                  <c:v>-112.6325544060923</c:v>
                </c:pt>
                <c:pt idx="322">
                  <c:v>-112.79254539943838</c:v>
                </c:pt>
                <c:pt idx="323">
                  <c:v>-112.95228594797175</c:v>
                </c:pt>
                <c:pt idx="324">
                  <c:v>-113.11177893242777</c:v>
                </c:pt>
                <c:pt idx="325">
                  <c:v>-113.27464361818825</c:v>
                </c:pt>
                <c:pt idx="326">
                  <c:v>-113.43725523060021</c:v>
                </c:pt>
                <c:pt idx="327">
                  <c:v>-113.59961662926723</c:v>
                </c:pt>
                <c:pt idx="328">
                  <c:v>-113.76173060319825</c:v>
                </c:pt>
                <c:pt idx="329">
                  <c:v>-113.92747069122954</c:v>
                </c:pt>
                <c:pt idx="330">
                  <c:v>-114.09295707032045</c:v>
                </c:pt>
                <c:pt idx="331">
                  <c:v>-114.25819251750794</c:v>
                </c:pt>
                <c:pt idx="332">
                  <c:v>-114.42317974079627</c:v>
                </c:pt>
                <c:pt idx="333">
                  <c:v>-114.59149403889003</c:v>
                </c:pt>
                <c:pt idx="334">
                  <c:v>-114.75955472490755</c:v>
                </c:pt>
                <c:pt idx="335">
                  <c:v>-114.92736447642929</c:v>
                </c:pt>
                <c:pt idx="336">
                  <c:v>-115.09492590413409</c:v>
                </c:pt>
                <c:pt idx="337">
                  <c:v>-115.26633936284554</c:v>
                </c:pt>
                <c:pt idx="338">
                  <c:v>-115.4374975164248</c:v>
                </c:pt>
                <c:pt idx="339">
                  <c:v>-115.60840296622345</c:v>
                </c:pt>
                <c:pt idx="340">
                  <c:v>-115.77905824806351</c:v>
                </c:pt>
                <c:pt idx="341">
                  <c:v>-115.95353955693346</c:v>
                </c:pt>
                <c:pt idx="342">
                  <c:v>-116.12776376332612</c:v>
                </c:pt>
                <c:pt idx="343">
                  <c:v>-116.30173338809691</c:v>
                </c:pt>
                <c:pt idx="344">
                  <c:v>-116.47545088809476</c:v>
                </c:pt>
                <c:pt idx="345">
                  <c:v>-116.6526986796282</c:v>
                </c:pt>
                <c:pt idx="346">
                  <c:v>-116.82968822019603</c:v>
                </c:pt>
                <c:pt idx="347">
                  <c:v>-117.00642193569432</c:v>
                </c:pt>
                <c:pt idx="348">
                  <c:v>-117.18290219003985</c:v>
                </c:pt>
                <c:pt idx="349">
                  <c:v>-117.36342643908002</c:v>
                </c:pt>
                <c:pt idx="350">
                  <c:v>-117.54368954237538</c:v>
                </c:pt>
                <c:pt idx="351">
                  <c:v>-117.72369385039677</c:v>
                </c:pt>
                <c:pt idx="352">
                  <c:v>-117.90344165301802</c:v>
                </c:pt>
                <c:pt idx="353">
                  <c:v>-118.08720575556565</c:v>
                </c:pt>
                <c:pt idx="354">
                  <c:v>-118.27070566332655</c:v>
                </c:pt>
                <c:pt idx="355">
                  <c:v>-118.45394364767481</c:v>
                </c:pt>
                <c:pt idx="356">
                  <c:v>-118.63692192091118</c:v>
                </c:pt>
                <c:pt idx="357">
                  <c:v>-118.82362352155279</c:v>
                </c:pt>
                <c:pt idx="358">
                  <c:v>-119.01005845177922</c:v>
                </c:pt>
                <c:pt idx="359">
                  <c:v>-119.19622889175045</c:v>
                </c:pt>
                <c:pt idx="360">
                  <c:v>-119.38213696451997</c:v>
                </c:pt>
                <c:pt idx="361">
                  <c:v>-119.57227087997043</c:v>
                </c:pt>
                <c:pt idx="362">
                  <c:v>-119.76213391707421</c:v>
                </c:pt>
                <c:pt idx="363">
                  <c:v>-119.95172818126231</c:v>
                </c:pt>
                <c:pt idx="364">
                  <c:v>-120.14105572228051</c:v>
                </c:pt>
                <c:pt idx="365">
                  <c:v>-120.33431693989853</c:v>
                </c:pt>
                <c:pt idx="366">
                  <c:v>-120.52730360861126</c:v>
                </c:pt>
                <c:pt idx="367">
                  <c:v>-120.72001774804934</c:v>
                </c:pt>
                <c:pt idx="368">
                  <c:v>-120.91246132399866</c:v>
                </c:pt>
                <c:pt idx="369">
                  <c:v>-121.10933283065499</c:v>
                </c:pt>
                <c:pt idx="370">
                  <c:v>-121.3059243882671</c:v>
                </c:pt>
                <c:pt idx="371">
                  <c:v>-121.50223794499861</c:v>
                </c:pt>
                <c:pt idx="372">
                  <c:v>-121.69827539653546</c:v>
                </c:pt>
                <c:pt idx="373">
                  <c:v>-121.89844919916357</c:v>
                </c:pt>
                <c:pt idx="374">
                  <c:v>-122.09833815365118</c:v>
                </c:pt>
                <c:pt idx="375">
                  <c:v>-122.29794412674008</c:v>
                </c:pt>
                <c:pt idx="376">
                  <c:v>-122.4972689344561</c:v>
                </c:pt>
                <c:pt idx="377">
                  <c:v>-122.70121597069073</c:v>
                </c:pt>
                <c:pt idx="378">
                  <c:v>-122.90487151671844</c:v>
                </c:pt>
                <c:pt idx="379">
                  <c:v>-123.10823737041832</c:v>
                </c:pt>
                <c:pt idx="380">
                  <c:v>-123.31131528030575</c:v>
                </c:pt>
                <c:pt idx="381">
                  <c:v>-123.51846768458749</c:v>
                </c:pt>
                <c:pt idx="382">
                  <c:v>-123.72532315655755</c:v>
                </c:pt>
                <c:pt idx="383">
                  <c:v>-123.93188341016771</c:v>
                </c:pt>
                <c:pt idx="384">
                  <c:v>-124.13815011195972</c:v>
                </c:pt>
                <c:pt idx="385">
                  <c:v>-124.34922589210535</c:v>
                </c:pt>
                <c:pt idx="386">
                  <c:v>-124.55999678719402</c:v>
                </c:pt>
                <c:pt idx="387">
                  <c:v>-124.77046444528132</c:v>
                </c:pt>
                <c:pt idx="388">
                  <c:v>-124.9806304683631</c:v>
                </c:pt>
                <c:pt idx="389">
                  <c:v>-125.19531448724423</c:v>
                </c:pt>
                <c:pt idx="390">
                  <c:v>-125.40968610202559</c:v>
                </c:pt>
                <c:pt idx="391">
                  <c:v>-125.62374688730689</c:v>
                </c:pt>
                <c:pt idx="392">
                  <c:v>-125.83749837332215</c:v>
                </c:pt>
                <c:pt idx="393">
                  <c:v>-126.05573217672125</c:v>
                </c:pt>
                <c:pt idx="394">
                  <c:v>-126.27364573143785</c:v>
                </c:pt>
                <c:pt idx="395">
                  <c:v>-126.49124053827414</c:v>
                </c:pt>
                <c:pt idx="396">
                  <c:v>-126.70851805545023</c:v>
                </c:pt>
                <c:pt idx="397">
                  <c:v>-126.93074306114428</c:v>
                </c:pt>
                <c:pt idx="398">
                  <c:v>-127.15263815002847</c:v>
                </c:pt>
                <c:pt idx="399">
                  <c:v>-127.37420475898739</c:v>
                </c:pt>
                <c:pt idx="400">
                  <c:v>-127.59544428381791</c:v>
                </c:pt>
                <c:pt idx="401">
                  <c:v>-127.82134109893634</c:v>
                </c:pt>
                <c:pt idx="402">
                  <c:v>-128.04689872269091</c:v>
                </c:pt>
                <c:pt idx="403">
                  <c:v>-128.27211852283355</c:v>
                </c:pt>
                <c:pt idx="404">
                  <c:v>-128.49700182781348</c:v>
                </c:pt>
                <c:pt idx="405">
                  <c:v>-128.72675072059661</c:v>
                </c:pt>
                <c:pt idx="406">
                  <c:v>-128.95615003160634</c:v>
                </c:pt>
                <c:pt idx="407">
                  <c:v>-129.1852010644038</c:v>
                </c:pt>
                <c:pt idx="408">
                  <c:v>-129.4139050849482</c:v>
                </c:pt>
                <c:pt idx="409">
                  <c:v>-129.64767863731217</c:v>
                </c:pt>
                <c:pt idx="410">
                  <c:v>-129.88109108075201</c:v>
                </c:pt>
                <c:pt idx="411">
                  <c:v>-130.11414365918665</c:v>
                </c:pt>
                <c:pt idx="412">
                  <c:v>-130.3468375805742</c:v>
                </c:pt>
                <c:pt idx="413">
                  <c:v>-130.58455587995539</c:v>
                </c:pt>
                <c:pt idx="414">
                  <c:v>-130.82190114908559</c:v>
                </c:pt>
                <c:pt idx="415">
                  <c:v>-131.05887457291266</c:v>
                </c:pt>
                <c:pt idx="416">
                  <c:v>-131.29547730216493</c:v>
                </c:pt>
                <c:pt idx="417">
                  <c:v>-131.53730161869365</c:v>
                </c:pt>
                <c:pt idx="418">
                  <c:v>-131.77873980705061</c:v>
                </c:pt>
                <c:pt idx="419">
                  <c:v>-132.0197929979642</c:v>
                </c:pt>
                <c:pt idx="420">
                  <c:v>-132.26046228964091</c:v>
                </c:pt>
                <c:pt idx="421">
                  <c:v>-132.5060626379221</c:v>
                </c:pt>
                <c:pt idx="422">
                  <c:v>-132.75126412651119</c:v>
                </c:pt>
                <c:pt idx="423">
                  <c:v>-132.99606783027411</c:v>
                </c:pt>
                <c:pt idx="424">
                  <c:v>-133.24047479346478</c:v>
                </c:pt>
                <c:pt idx="425">
                  <c:v>-133.49048526434564</c:v>
                </c:pt>
                <c:pt idx="426">
                  <c:v>-133.74008135563267</c:v>
                </c:pt>
                <c:pt idx="427">
                  <c:v>-133.98926409783911</c:v>
                </c:pt>
                <c:pt idx="428">
                  <c:v>-134.2380344925034</c:v>
                </c:pt>
                <c:pt idx="429">
                  <c:v>-134.49211452586724</c:v>
                </c:pt>
                <c:pt idx="430">
                  <c:v>-134.74576501187835</c:v>
                </c:pt>
                <c:pt idx="431">
                  <c:v>-134.99898693584254</c:v>
                </c:pt>
                <c:pt idx="432">
                  <c:v>-135.25178125593595</c:v>
                </c:pt>
                <c:pt idx="433">
                  <c:v>-135.50983115372256</c:v>
                </c:pt>
                <c:pt idx="434">
                  <c:v>-135.76743590218089</c:v>
                </c:pt>
                <c:pt idx="435">
                  <c:v>-136.02459644452253</c:v>
                </c:pt>
                <c:pt idx="436">
                  <c:v>-136.28131369874262</c:v>
                </c:pt>
                <c:pt idx="437">
                  <c:v>-136.54370175036729</c:v>
                </c:pt>
                <c:pt idx="438">
                  <c:v>-136.80562696512973</c:v>
                </c:pt>
                <c:pt idx="439">
                  <c:v>-137.06709025274958</c:v>
                </c:pt>
                <c:pt idx="440">
                  <c:v>-137.32809249953056</c:v>
                </c:pt>
                <c:pt idx="441">
                  <c:v>-137.59470450622803</c:v>
                </c:pt>
                <c:pt idx="442">
                  <c:v>-137.86083552694208</c:v>
                </c:pt>
                <c:pt idx="443">
                  <c:v>-138.12648644160288</c:v>
                </c:pt>
                <c:pt idx="444">
                  <c:v>-138.39165810860189</c:v>
                </c:pt>
                <c:pt idx="445">
                  <c:v>-138.662377370136</c:v>
                </c:pt>
                <c:pt idx="446">
                  <c:v>-138.93259704534955</c:v>
                </c:pt>
                <c:pt idx="447">
                  <c:v>-139.2023179888044</c:v>
                </c:pt>
                <c:pt idx="448">
                  <c:v>-139.47154103545878</c:v>
                </c:pt>
                <c:pt idx="449">
                  <c:v>-139.74670848290918</c:v>
                </c:pt>
                <c:pt idx="450">
                  <c:v>-140.02135556762519</c:v>
                </c:pt>
                <c:pt idx="451">
                  <c:v>-140.29548312803996</c:v>
                </c:pt>
                <c:pt idx="452">
                  <c:v>-140.56909198484246</c:v>
                </c:pt>
                <c:pt idx="453">
                  <c:v>-140.84834722100314</c:v>
                </c:pt>
                <c:pt idx="454">
                  <c:v>-141.1270617321247</c:v>
                </c:pt>
                <c:pt idx="455">
                  <c:v>-141.40523634377877</c:v>
                </c:pt>
                <c:pt idx="456">
                  <c:v>-141.6828718657608</c:v>
                </c:pt>
                <c:pt idx="457">
                  <c:v>-141.96653851757458</c:v>
                </c:pt>
                <c:pt idx="458">
                  <c:v>-142.24964185958962</c:v>
                </c:pt>
                <c:pt idx="459">
                  <c:v>-142.5321827145419</c:v>
                </c:pt>
                <c:pt idx="460">
                  <c:v>-142.81416189129311</c:v>
                </c:pt>
                <c:pt idx="461">
                  <c:v>-143.10209722564665</c:v>
                </c:pt>
                <c:pt idx="462">
                  <c:v>-143.38944621102328</c:v>
                </c:pt>
                <c:pt idx="463">
                  <c:v>-143.67620967376109</c:v>
                </c:pt>
                <c:pt idx="464">
                  <c:v>-143.96238842826028</c:v>
                </c:pt>
                <c:pt idx="465">
                  <c:v>-144.25466991042961</c:v>
                </c:pt>
                <c:pt idx="466">
                  <c:v>-144.54634064586966</c:v>
                </c:pt>
                <c:pt idx="467">
                  <c:v>-144.83740147348189</c:v>
                </c:pt>
                <c:pt idx="468">
                  <c:v>-145.12785322214984</c:v>
                </c:pt>
                <c:pt idx="469">
                  <c:v>-145.42432723071312</c:v>
                </c:pt>
                <c:pt idx="470">
                  <c:v>-145.72016566945348</c:v>
                </c:pt>
                <c:pt idx="471">
                  <c:v>-146.01536939740458</c:v>
                </c:pt>
                <c:pt idx="472">
                  <c:v>-146.30993926550954</c:v>
                </c:pt>
                <c:pt idx="473">
                  <c:v>-146.61088777278235</c:v>
                </c:pt>
                <c:pt idx="474">
                  <c:v>-146.91117356704024</c:v>
                </c:pt>
                <c:pt idx="475">
                  <c:v>-147.21079753941694</c:v>
                </c:pt>
                <c:pt idx="476">
                  <c:v>-147.50976057483382</c:v>
                </c:pt>
                <c:pt idx="477">
                  <c:v>-147.81501318650155</c:v>
                </c:pt>
                <c:pt idx="478">
                  <c:v>-148.11957552839016</c:v>
                </c:pt>
                <c:pt idx="479">
                  <c:v>-148.42344853239754</c:v>
                </c:pt>
                <c:pt idx="480">
                  <c:v>-148.72663312607708</c:v>
                </c:pt>
                <c:pt idx="481">
                  <c:v>-149.03601674821422</c:v>
                </c:pt>
                <c:pt idx="482">
                  <c:v>-149.34468217304732</c:v>
                </c:pt>
                <c:pt idx="483">
                  <c:v>-149.65263038237535</c:v>
                </c:pt>
                <c:pt idx="484">
                  <c:v>-149.95986235548679</c:v>
                </c:pt>
                <c:pt idx="485">
                  <c:v>-150.27341457779767</c:v>
                </c:pt>
                <c:pt idx="486">
                  <c:v>-150.58621933394619</c:v>
                </c:pt>
                <c:pt idx="487">
                  <c:v>-150.8982776672683</c:v>
                </c:pt>
                <c:pt idx="488">
                  <c:v>-151.20959062036573</c:v>
                </c:pt>
                <c:pt idx="489">
                  <c:v>-151.52754969018477</c:v>
                </c:pt>
                <c:pt idx="490">
                  <c:v>-151.84472964949367</c:v>
                </c:pt>
                <c:pt idx="491">
                  <c:v>-152.16113161759458</c:v>
                </c:pt>
                <c:pt idx="492">
                  <c:v>-152.47675671476969</c:v>
                </c:pt>
                <c:pt idx="493">
                  <c:v>-152.79892378155176</c:v>
                </c:pt>
                <c:pt idx="494">
                  <c:v>-153.12027977726717</c:v>
                </c:pt>
                <c:pt idx="495">
                  <c:v>-153.44082590785135</c:v>
                </c:pt>
                <c:pt idx="496">
                  <c:v>-153.76056338186217</c:v>
                </c:pt>
                <c:pt idx="497">
                  <c:v>-154.08694410745235</c:v>
                </c:pt>
                <c:pt idx="498">
                  <c:v>-154.412480473031</c:v>
                </c:pt>
                <c:pt idx="499">
                  <c:v>-154.73717378454825</c:v>
                </c:pt>
                <c:pt idx="500">
                  <c:v>-155.06102535213347</c:v>
                </c:pt>
                <c:pt idx="501">
                  <c:v>-155.39161459560407</c:v>
                </c:pt>
                <c:pt idx="502">
                  <c:v>-155.72132487360201</c:v>
                </c:pt>
                <c:pt idx="503">
                  <c:v>-156.05015760604951</c:v>
                </c:pt>
                <c:pt idx="504">
                  <c:v>-156.37811421850762</c:v>
                </c:pt>
                <c:pt idx="505">
                  <c:v>-156.71269334855958</c:v>
                </c:pt>
                <c:pt idx="506">
                  <c:v>-157.0463587148368</c:v>
                </c:pt>
                <c:pt idx="507">
                  <c:v>-157.37911186293425</c:v>
                </c:pt>
                <c:pt idx="508">
                  <c:v>-157.71095434541755</c:v>
                </c:pt>
                <c:pt idx="509">
                  <c:v>-158.04950313602114</c:v>
                </c:pt>
                <c:pt idx="510">
                  <c:v>-158.38710211645761</c:v>
                </c:pt>
                <c:pt idx="511">
                  <c:v>-158.72375297265953</c:v>
                </c:pt>
                <c:pt idx="512">
                  <c:v>-159.0594573987311</c:v>
                </c:pt>
                <c:pt idx="513">
                  <c:v>-159.40214304189146</c:v>
                </c:pt>
                <c:pt idx="514">
                  <c:v>-159.74384046121952</c:v>
                </c:pt>
                <c:pt idx="515">
                  <c:v>-160.08455150131599</c:v>
                </c:pt>
                <c:pt idx="516">
                  <c:v>-160.4242780160323</c:v>
                </c:pt>
                <c:pt idx="517">
                  <c:v>-160.77085607316496</c:v>
                </c:pt>
                <c:pt idx="518">
                  <c:v>-161.11640742663306</c:v>
                </c:pt>
                <c:pt idx="519">
                  <c:v>-161.46093409228047</c:v>
                </c:pt>
                <c:pt idx="520">
                  <c:v>-161.80443809610304</c:v>
                </c:pt>
                <c:pt idx="521">
                  <c:v>-162.15485607472795</c:v>
                </c:pt>
                <c:pt idx="522">
                  <c:v>-162.50420770675498</c:v>
                </c:pt>
                <c:pt idx="523">
                  <c:v>-162.85249519521571</c:v>
                </c:pt>
                <c:pt idx="524">
                  <c:v>-163.19972075402208</c:v>
                </c:pt>
                <c:pt idx="525">
                  <c:v>-163.55391549473708</c:v>
                </c:pt>
                <c:pt idx="526">
                  <c:v>-163.90700311953381</c:v>
                </c:pt>
                <c:pt idx="527">
                  <c:v>-164.25898603491268</c:v>
                </c:pt>
                <c:pt idx="528">
                  <c:v>-164.60986665879588</c:v>
                </c:pt>
                <c:pt idx="529">
                  <c:v>-164.96776439996034</c:v>
                </c:pt>
                <c:pt idx="530">
                  <c:v>-165.32451317049657</c:v>
                </c:pt>
                <c:pt idx="531">
                  <c:v>-165.68011559694168</c:v>
                </c:pt>
                <c:pt idx="532">
                  <c:v>-166.03457431759531</c:v>
                </c:pt>
                <c:pt idx="533">
                  <c:v>-166.39627711286477</c:v>
                </c:pt>
                <c:pt idx="534">
                  <c:v>-166.75678681318317</c:v>
                </c:pt>
                <c:pt idx="535">
                  <c:v>-167.11610628637175</c:v>
                </c:pt>
                <c:pt idx="536">
                  <c:v>-167.47423841216522</c:v>
                </c:pt>
                <c:pt idx="537">
                  <c:v>-167.83927642859194</c:v>
                </c:pt>
                <c:pt idx="538">
                  <c:v>-168.2030787002557</c:v>
                </c:pt>
                <c:pt idx="539">
                  <c:v>-168.56564834437205</c:v>
                </c:pt>
                <c:pt idx="540">
                  <c:v>-168.92698848994561</c:v>
                </c:pt>
                <c:pt idx="541">
                  <c:v>-169.29562694762143</c:v>
                </c:pt>
                <c:pt idx="542">
                  <c:v>-169.66298357666577</c:v>
                </c:pt>
                <c:pt idx="543">
                  <c:v>-170.02906177023172</c:v>
                </c:pt>
                <c:pt idx="544">
                  <c:v>-170.39386493294728</c:v>
                </c:pt>
                <c:pt idx="545">
                  <c:v>-170.76580232730225</c:v>
                </c:pt>
                <c:pt idx="546">
                  <c:v>-171.13641218280216</c:v>
                </c:pt>
                <c:pt idx="547">
                  <c:v>-171.50569818100141</c:v>
                </c:pt>
                <c:pt idx="548">
                  <c:v>-171.87366401434394</c:v>
                </c:pt>
                <c:pt idx="549">
                  <c:v>-172.2487752863444</c:v>
                </c:pt>
                <c:pt idx="550">
                  <c:v>-172.62251249241322</c:v>
                </c:pt>
                <c:pt idx="551">
                  <c:v>-172.99487961968228</c:v>
                </c:pt>
                <c:pt idx="552">
                  <c:v>-173.36588066533321</c:v>
                </c:pt>
                <c:pt idx="553">
                  <c:v>-173.74420474175156</c:v>
                </c:pt>
                <c:pt idx="554">
                  <c:v>-174.12110616705067</c:v>
                </c:pt>
                <c:pt idx="555">
                  <c:v>-174.49658925703</c:v>
                </c:pt>
                <c:pt idx="556">
                  <c:v>-174.87065833645468</c:v>
                </c:pt>
                <c:pt idx="557">
                  <c:v>-175.63195590668954</c:v>
                </c:pt>
                <c:pt idx="558">
                  <c:v>-176.38738437925332</c:v>
                </c:pt>
                <c:pt idx="559">
                  <c:v>-177.15409483690573</c:v>
                </c:pt>
                <c:pt idx="560">
                  <c:v>-177.91474330599044</c:v>
                </c:pt>
                <c:pt idx="561">
                  <c:v>-178.68720135872522</c:v>
                </c:pt>
                <c:pt idx="562">
                  <c:v>-179.45339175457462</c:v>
                </c:pt>
                <c:pt idx="563">
                  <c:v>-180.22959818488522</c:v>
                </c:pt>
                <c:pt idx="564">
                  <c:v>-180.99935646086641</c:v>
                </c:pt>
                <c:pt idx="565">
                  <c:v>-181.78187476665494</c:v>
                </c:pt>
                <c:pt idx="566">
                  <c:v>-182.55771412850856</c:v>
                </c:pt>
                <c:pt idx="567">
                  <c:v>-183.34575628897881</c:v>
                </c:pt>
                <c:pt idx="568">
                  <c:v>-184.12689285649608</c:v>
                </c:pt>
                <c:pt idx="569">
                  <c:v>-184.91659350348434</c:v>
                </c:pt>
                <c:pt idx="570">
                  <c:v>-185.69922194467287</c:v>
                </c:pt>
                <c:pt idx="571">
                  <c:v>-186.49602772195439</c:v>
                </c:pt>
                <c:pt idx="572">
                  <c:v>-187.2854887091587</c:v>
                </c:pt>
                <c:pt idx="573">
                  <c:v>-188.0825226407257</c:v>
                </c:pt>
                <c:pt idx="574">
                  <c:v>-188.87205673702931</c:v>
                </c:pt>
                <c:pt idx="575">
                  <c:v>-189.6745603029307</c:v>
                </c:pt>
                <c:pt idx="576">
                  <c:v>-190.46930256930764</c:v>
                </c:pt>
                <c:pt idx="577">
                  <c:v>-193.74950438662174</c:v>
                </c:pt>
                <c:pt idx="578">
                  <c:v>-196.89699920577306</c:v>
                </c:pt>
                <c:pt idx="579">
                  <c:v>-203.35484784578586</c:v>
                </c:pt>
                <c:pt idx="580">
                  <c:v>-209.7975137043322</c:v>
                </c:pt>
                <c:pt idx="581">
                  <c:v>-216.15577534623358</c:v>
                </c:pt>
                <c:pt idx="582">
                  <c:v>-222.37153378963799</c:v>
                </c:pt>
                <c:pt idx="583">
                  <c:v>-228.3780302348668</c:v>
                </c:pt>
                <c:pt idx="584">
                  <c:v>-234.12010419887693</c:v>
                </c:pt>
                <c:pt idx="585">
                  <c:v>-239.53985849278874</c:v>
                </c:pt>
                <c:pt idx="586">
                  <c:v>-244.59125740167349</c:v>
                </c:pt>
                <c:pt idx="587">
                  <c:v>-249.23932090434832</c:v>
                </c:pt>
                <c:pt idx="588">
                  <c:v>-253.4530337400071</c:v>
                </c:pt>
                <c:pt idx="589">
                  <c:v>-257.22074989364683</c:v>
                </c:pt>
                <c:pt idx="590">
                  <c:v>-260.53709233639353</c:v>
                </c:pt>
                <c:pt idx="591">
                  <c:v>-263.40928173099564</c:v>
                </c:pt>
                <c:pt idx="592">
                  <c:v>-265.85343326992847</c:v>
                </c:pt>
                <c:pt idx="593">
                  <c:v>-267.89473651124888</c:v>
                </c:pt>
                <c:pt idx="594">
                  <c:v>-269.56345533056611</c:v>
                </c:pt>
                <c:pt idx="595">
                  <c:v>-270.89531383722908</c:v>
                </c:pt>
                <c:pt idx="596">
                  <c:v>-271.92813995719206</c:v>
                </c:pt>
                <c:pt idx="597">
                  <c:v>-272.70123943461471</c:v>
                </c:pt>
                <c:pt idx="598">
                  <c:v>-273.25295606580033</c:v>
                </c:pt>
                <c:pt idx="599">
                  <c:v>-273.62013063429879</c:v>
                </c:pt>
                <c:pt idx="600">
                  <c:v>-273.83656911758681</c:v>
                </c:pt>
              </c:numCache>
            </c:numRef>
          </c:yVal>
          <c:smooth val="0"/>
          <c:extLst>
            <c:ext xmlns:c16="http://schemas.microsoft.com/office/drawing/2014/chart" uri="{C3380CC4-5D6E-409C-BE32-E72D297353CC}">
              <c16:uniqueId val="{00000001-3045-44CA-A828-F3080F80A924}"/>
            </c:ext>
          </c:extLst>
        </c:ser>
        <c:dLbls>
          <c:showLegendKey val="0"/>
          <c:showVal val="0"/>
          <c:showCatName val="0"/>
          <c:showSerName val="0"/>
          <c:showPercent val="0"/>
          <c:showBubbleSize val="0"/>
        </c:dLbls>
        <c:axId val="196945024"/>
        <c:axId val="196946560"/>
      </c:scatterChart>
      <c:valAx>
        <c:axId val="196940928"/>
        <c:scaling>
          <c:logBase val="10"/>
          <c:orientation val="minMax"/>
          <c:max val="1000000"/>
          <c:min val="1"/>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96942848"/>
        <c:crossesAt val="-40"/>
        <c:crossBetween val="midCat"/>
        <c:majorUnit val="10"/>
        <c:minorUnit val="10"/>
      </c:valAx>
      <c:valAx>
        <c:axId val="196942848"/>
        <c:scaling>
          <c:orientation val="minMax"/>
          <c:max val="8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96940928"/>
        <c:crossesAt val="0.1"/>
        <c:crossBetween val="midCat"/>
        <c:majorUnit val="20"/>
        <c:minorUnit val="4"/>
      </c:valAx>
      <c:valAx>
        <c:axId val="196945024"/>
        <c:scaling>
          <c:logBase val="10"/>
          <c:orientation val="minMax"/>
        </c:scaling>
        <c:delete val="1"/>
        <c:axPos val="t"/>
        <c:numFmt formatCode="General" sourceLinked="1"/>
        <c:majorTickMark val="out"/>
        <c:minorTickMark val="none"/>
        <c:tickLblPos val="none"/>
        <c:crossAx val="196946560"/>
        <c:crossesAt val="0"/>
        <c:crossBetween val="midCat"/>
      </c:valAx>
      <c:valAx>
        <c:axId val="196946560"/>
        <c:scaling>
          <c:orientation val="minMax"/>
          <c:max val="0"/>
          <c:min val="-27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9694502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LM5177 Bode Plot</a:t>
            </a:r>
          </a:p>
        </c:rich>
      </c:tx>
      <c:layout>
        <c:manualLayout>
          <c:xMode val="edge"/>
          <c:yMode val="edge"/>
          <c:x val="0.40864917395529671"/>
          <c:y val="2.1377650374348366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4"/>
          <c:order val="0"/>
          <c:tx>
            <c:strRef>
              <c:f>'IL Stability Calculations'!$AW$12</c:f>
              <c:strCache>
                <c:ptCount val="1"/>
                <c:pt idx="0">
                  <c:v>Gain(dB)</c:v>
                </c:pt>
              </c:strCache>
            </c:strRef>
          </c:tx>
          <c:spPr>
            <a:ln w="25400">
              <a:solidFill>
                <a:srgbClr val="FF0000"/>
              </a:solidFill>
              <a:prstDash val="solid"/>
            </a:ln>
          </c:spPr>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Calculations'!$AW$13:$AW$613</c:f>
              <c:numCache>
                <c:formatCode>0.0000</c:formatCode>
                <c:ptCount val="601"/>
                <c:pt idx="0">
                  <c:v>53.301693918165824</c:v>
                </c:pt>
                <c:pt idx="1">
                  <c:v>53.239748324832263</c:v>
                </c:pt>
                <c:pt idx="2">
                  <c:v>53.16643036699395</c:v>
                </c:pt>
                <c:pt idx="3">
                  <c:v>53.079895592729542</c:v>
                </c:pt>
                <c:pt idx="4">
                  <c:v>52.978165581215954</c:v>
                </c:pt>
                <c:pt idx="5">
                  <c:v>52.858817701551651</c:v>
                </c:pt>
                <c:pt idx="6">
                  <c:v>52.719591905694287</c:v>
                </c:pt>
                <c:pt idx="7">
                  <c:v>52.557860438473305</c:v>
                </c:pt>
                <c:pt idx="8">
                  <c:v>52.371146720827966</c:v>
                </c:pt>
                <c:pt idx="9">
                  <c:v>52.156732879016488</c:v>
                </c:pt>
                <c:pt idx="10">
                  <c:v>51.912278325094114</c:v>
                </c:pt>
                <c:pt idx="11">
                  <c:v>51.635534839826988</c:v>
                </c:pt>
                <c:pt idx="12">
                  <c:v>51.324455837274883</c:v>
                </c:pt>
                <c:pt idx="13">
                  <c:v>50.977915854884259</c:v>
                </c:pt>
                <c:pt idx="14">
                  <c:v>50.594764153352749</c:v>
                </c:pt>
                <c:pt idx="15">
                  <c:v>50.174850700819619</c:v>
                </c:pt>
                <c:pt idx="16">
                  <c:v>49.718478789654682</c:v>
                </c:pt>
                <c:pt idx="17">
                  <c:v>49.226649319401346</c:v>
                </c:pt>
                <c:pt idx="18">
                  <c:v>48.700683243681283</c:v>
                </c:pt>
                <c:pt idx="19">
                  <c:v>48.14263011644843</c:v>
                </c:pt>
                <c:pt idx="20">
                  <c:v>47.554627678729553</c:v>
                </c:pt>
                <c:pt idx="21">
                  <c:v>46.939266438095892</c:v>
                </c:pt>
                <c:pt idx="22">
                  <c:v>46.298996308623863</c:v>
                </c:pt>
                <c:pt idx="23">
                  <c:v>45.636570464133392</c:v>
                </c:pt>
                <c:pt idx="24">
                  <c:v>44.954347181110272</c:v>
                </c:pt>
                <c:pt idx="25">
                  <c:v>44.254827150455746</c:v>
                </c:pt>
                <c:pt idx="26">
                  <c:v>43.540071252569234</c:v>
                </c:pt>
                <c:pt idx="27">
                  <c:v>42.812338309138902</c:v>
                </c:pt>
                <c:pt idx="28">
                  <c:v>42.073431316785573</c:v>
                </c:pt>
                <c:pt idx="29">
                  <c:v>41.325442642861823</c:v>
                </c:pt>
                <c:pt idx="30">
                  <c:v>40.568528697379087</c:v>
                </c:pt>
                <c:pt idx="31">
                  <c:v>39.804981542257806</c:v>
                </c:pt>
                <c:pt idx="32">
                  <c:v>39.0353590500062</c:v>
                </c:pt>
                <c:pt idx="33">
                  <c:v>38.261134392118528</c:v>
                </c:pt>
                <c:pt idx="34">
                  <c:v>37.482501960520068</c:v>
                </c:pt>
                <c:pt idx="35">
                  <c:v>36.700573630965401</c:v>
                </c:pt>
                <c:pt idx="36">
                  <c:v>35.915804970307569</c:v>
                </c:pt>
                <c:pt idx="37">
                  <c:v>35.128259498387003</c:v>
                </c:pt>
                <c:pt idx="38">
                  <c:v>34.339101399958103</c:v>
                </c:pt>
                <c:pt idx="39">
                  <c:v>33.548047493198695</c:v>
                </c:pt>
                <c:pt idx="40">
                  <c:v>32.755696144619996</c:v>
                </c:pt>
                <c:pt idx="41">
                  <c:v>31.9622354775607</c:v>
                </c:pt>
                <c:pt idx="42">
                  <c:v>31.167995080843664</c:v>
                </c:pt>
                <c:pt idx="43">
                  <c:v>30.372932252563984</c:v>
                </c:pt>
                <c:pt idx="44">
                  <c:v>29.577425769478978</c:v>
                </c:pt>
                <c:pt idx="45">
                  <c:v>28.781464737739295</c:v>
                </c:pt>
                <c:pt idx="46">
                  <c:v>27.985346547163026</c:v>
                </c:pt>
                <c:pt idx="47">
                  <c:v>27.189028074359594</c:v>
                </c:pt>
                <c:pt idx="48">
                  <c:v>26.392829453902596</c:v>
                </c:pt>
                <c:pt idx="49">
                  <c:v>25.596671488990278</c:v>
                </c:pt>
                <c:pt idx="50">
                  <c:v>24.800805296395559</c:v>
                </c:pt>
                <c:pt idx="51">
                  <c:v>24.005182037300109</c:v>
                </c:pt>
                <c:pt idx="52">
                  <c:v>23.210204541651827</c:v>
                </c:pt>
                <c:pt idx="53">
                  <c:v>22.416008832086156</c:v>
                </c:pt>
                <c:pt idx="54">
                  <c:v>21.623276940061519</c:v>
                </c:pt>
                <c:pt idx="55">
                  <c:v>20.830886776324018</c:v>
                </c:pt>
                <c:pt idx="56">
                  <c:v>20.040198771132207</c:v>
                </c:pt>
                <c:pt idx="57">
                  <c:v>19.250969397429365</c:v>
                </c:pt>
                <c:pt idx="58">
                  <c:v>18.464101317502926</c:v>
                </c:pt>
                <c:pt idx="59">
                  <c:v>17.679383525959409</c:v>
                </c:pt>
                <c:pt idx="60">
                  <c:v>16.897717004834185</c:v>
                </c:pt>
                <c:pt idx="61">
                  <c:v>16.119510054612412</c:v>
                </c:pt>
                <c:pt idx="62">
                  <c:v>15.344952503104794</c:v>
                </c:pt>
                <c:pt idx="63">
                  <c:v>14.575470882565625</c:v>
                </c:pt>
                <c:pt idx="64">
                  <c:v>13.81121845003479</c:v>
                </c:pt>
                <c:pt idx="65">
                  <c:v>13.053344280734212</c:v>
                </c:pt>
                <c:pt idx="66">
                  <c:v>12.302716835035572</c:v>
                </c:pt>
                <c:pt idx="67">
                  <c:v>11.560432690214807</c:v>
                </c:pt>
                <c:pt idx="68">
                  <c:v>10.827303049973775</c:v>
                </c:pt>
                <c:pt idx="69">
                  <c:v>10.104548006414262</c:v>
                </c:pt>
                <c:pt idx="70">
                  <c:v>9.3929884329074174</c:v>
                </c:pt>
                <c:pt idx="71">
                  <c:v>8.6936088683760779</c:v>
                </c:pt>
                <c:pt idx="72">
                  <c:v>8.0068931093460129</c:v>
                </c:pt>
                <c:pt idx="73">
                  <c:v>7.3333473662054152</c:v>
                </c:pt>
                <c:pt idx="74">
                  <c:v>6.6727501036333559</c:v>
                </c:pt>
                <c:pt idx="75">
                  <c:v>6.0246887364561621</c:v>
                </c:pt>
                <c:pt idx="76">
                  <c:v>5.3879751801707352</c:v>
                </c:pt>
                <c:pt idx="77">
                  <c:v>4.7612300960688252</c:v>
                </c:pt>
                <c:pt idx="78">
                  <c:v>4.1423272374887183</c:v>
                </c:pt>
                <c:pt idx="79">
                  <c:v>3.5291101366330091</c:v>
                </c:pt>
                <c:pt idx="80">
                  <c:v>2.9177008738274282</c:v>
                </c:pt>
                <c:pt idx="81">
                  <c:v>2.3059692939195435</c:v>
                </c:pt>
                <c:pt idx="82">
                  <c:v>1.6905511665142912</c:v>
                </c:pt>
                <c:pt idx="83">
                  <c:v>1.0691552419408294</c:v>
                </c:pt>
                <c:pt idx="84">
                  <c:v>0.43894047338946834</c:v>
                </c:pt>
                <c:pt idx="85">
                  <c:v>-0.20162373793281216</c:v>
                </c:pt>
                <c:pt idx="86">
                  <c:v>-0.85397745160060834</c:v>
                </c:pt>
                <c:pt idx="87">
                  <c:v>-1.5192814807381418</c:v>
                </c:pt>
                <c:pt idx="88">
                  <c:v>-2.1971947060390633</c:v>
                </c:pt>
                <c:pt idx="89">
                  <c:v>-2.8881105867253871</c:v>
                </c:pt>
                <c:pt idx="90">
                  <c:v>-3.59126599028327</c:v>
                </c:pt>
                <c:pt idx="91">
                  <c:v>-4.3059470334908019</c:v>
                </c:pt>
                <c:pt idx="92">
                  <c:v>-5.0310991841719854</c:v>
                </c:pt>
                <c:pt idx="93">
                  <c:v>-5.7658756068314299</c:v>
                </c:pt>
                <c:pt idx="94">
                  <c:v>-5.9508501404244374</c:v>
                </c:pt>
                <c:pt idx="95">
                  <c:v>-6.044102903210451</c:v>
                </c:pt>
                <c:pt idx="96">
                  <c:v>-6.1364121764063206</c:v>
                </c:pt>
                <c:pt idx="97">
                  <c:v>-6.2299033889387276</c:v>
                </c:pt>
                <c:pt idx="98">
                  <c:v>-6.3224441542832732</c:v>
                </c:pt>
                <c:pt idx="99">
                  <c:v>-6.4161885795629985</c:v>
                </c:pt>
                <c:pt idx="100">
                  <c:v>-6.5089752447699789</c:v>
                </c:pt>
                <c:pt idx="101">
                  <c:v>-6.6029149614242799</c:v>
                </c:pt>
                <c:pt idx="102">
                  <c:v>-6.6958907346265564</c:v>
                </c:pt>
                <c:pt idx="103">
                  <c:v>-6.7901073956562747</c:v>
                </c:pt>
                <c:pt idx="104">
                  <c:v>-6.8833522154927049</c:v>
                </c:pt>
                <c:pt idx="105">
                  <c:v>-6.977785296694937</c:v>
                </c:pt>
                <c:pt idx="106">
                  <c:v>-7.0712398346908696</c:v>
                </c:pt>
                <c:pt idx="107">
                  <c:v>-7.1658319094271921</c:v>
                </c:pt>
                <c:pt idx="108">
                  <c:v>-7.2594398913413807</c:v>
                </c:pt>
                <c:pt idx="109">
                  <c:v>-7.3542007297366343</c:v>
                </c:pt>
                <c:pt idx="110">
                  <c:v>-7.4479716985537774</c:v>
                </c:pt>
                <c:pt idx="111">
                  <c:v>-7.5429715106361588</c:v>
                </c:pt>
                <c:pt idx="112">
                  <c:v>-7.6369741854585893</c:v>
                </c:pt>
                <c:pt idx="113">
                  <c:v>-7.7321526483717573</c:v>
                </c:pt>
                <c:pt idx="114">
                  <c:v>-7.8263279341938468</c:v>
                </c:pt>
                <c:pt idx="115">
                  <c:v>-7.921688160249718</c:v>
                </c:pt>
                <c:pt idx="116">
                  <c:v>-8.0160390787250542</c:v>
                </c:pt>
                <c:pt idx="117">
                  <c:v>-8.1115822265989639</c:v>
                </c:pt>
                <c:pt idx="118">
                  <c:v>-8.2061098861785524</c:v>
                </c:pt>
                <c:pt idx="119">
                  <c:v>-8.3017775925978761</c:v>
                </c:pt>
                <c:pt idx="120">
                  <c:v>-8.3964248431900206</c:v>
                </c:pt>
                <c:pt idx="121">
                  <c:v>-8.492218444394128</c:v>
                </c:pt>
                <c:pt idx="122">
                  <c:v>-8.5869865775912828</c:v>
                </c:pt>
                <c:pt idx="123">
                  <c:v>-8.6829609907057943</c:v>
                </c:pt>
                <c:pt idx="124">
                  <c:v>-8.7779037314347406</c:v>
                </c:pt>
                <c:pt idx="125">
                  <c:v>-8.87399939118567</c:v>
                </c:pt>
                <c:pt idx="126">
                  <c:v>-8.9690584241147846</c:v>
                </c:pt>
                <c:pt idx="127">
                  <c:v>-9.0652720188440821</c:v>
                </c:pt>
                <c:pt idx="128">
                  <c:v>-9.1604440836786996</c:v>
                </c:pt>
                <c:pt idx="129">
                  <c:v>-9.2567709616200382</c:v>
                </c:pt>
                <c:pt idx="130">
                  <c:v>-9.3520514856586221</c:v>
                </c:pt>
                <c:pt idx="131">
                  <c:v>-9.4484857623667775</c:v>
                </c:pt>
                <c:pt idx="132">
                  <c:v>-9.496307389473893</c:v>
                </c:pt>
                <c:pt idx="133">
                  <c:v>-9.5438689657300468</c:v>
                </c:pt>
                <c:pt idx="134">
                  <c:v>-9.592294552381853</c:v>
                </c:pt>
                <c:pt idx="135">
                  <c:v>-9.6404531892799774</c:v>
                </c:pt>
                <c:pt idx="136">
                  <c:v>-9.6883476507850688</c:v>
                </c:pt>
                <c:pt idx="137">
                  <c:v>-9.7359806690062083</c:v>
                </c:pt>
                <c:pt idx="138">
                  <c:v>-9.7844275281546071</c:v>
                </c:pt>
                <c:pt idx="139">
                  <c:v>-9.8326065860672163</c:v>
                </c:pt>
                <c:pt idx="140">
                  <c:v>-9.8805206334560776</c:v>
                </c:pt>
                <c:pt idx="141">
                  <c:v>-9.9281724183740785</c:v>
                </c:pt>
                <c:pt idx="142">
                  <c:v>-9.9766853503648729</c:v>
                </c:pt>
                <c:pt idx="143">
                  <c:v>-10.024929128946013</c:v>
                </c:pt>
                <c:pt idx="144">
                  <c:v>-10.072906568888932</c:v>
                </c:pt>
                <c:pt idx="145">
                  <c:v>-10.120620441738621</c:v>
                </c:pt>
                <c:pt idx="146">
                  <c:v>-10.169169615023621</c:v>
                </c:pt>
                <c:pt idx="147">
                  <c:v>-10.217448604391357</c:v>
                </c:pt>
                <c:pt idx="148">
                  <c:v>-10.2654602435403</c:v>
                </c:pt>
                <c:pt idx="149">
                  <c:v>-10.313207322479583</c:v>
                </c:pt>
                <c:pt idx="150">
                  <c:v>-10.361787438563573</c:v>
                </c:pt>
                <c:pt idx="151">
                  <c:v>-10.410096391278516</c:v>
                </c:pt>
                <c:pt idx="152">
                  <c:v>-10.458137032321424</c:v>
                </c:pt>
                <c:pt idx="153">
                  <c:v>-10.505912169254625</c:v>
                </c:pt>
                <c:pt idx="154">
                  <c:v>-10.554539888375686</c:v>
                </c:pt>
                <c:pt idx="155">
                  <c:v>-10.602895270075985</c:v>
                </c:pt>
                <c:pt idx="156">
                  <c:v>-10.650981186984232</c:v>
                </c:pt>
                <c:pt idx="157">
                  <c:v>-10.698800467087384</c:v>
                </c:pt>
                <c:pt idx="158">
                  <c:v>-10.74746835514922</c:v>
                </c:pt>
                <c:pt idx="159">
                  <c:v>-10.795862804152916</c:v>
                </c:pt>
                <c:pt idx="160">
                  <c:v>-10.84398670638619</c:v>
                </c:pt>
                <c:pt idx="161">
                  <c:v>-10.891842909012635</c:v>
                </c:pt>
                <c:pt idx="162">
                  <c:v>-10.940521988306052</c:v>
                </c:pt>
                <c:pt idx="163">
                  <c:v>-10.98892684129008</c:v>
                </c:pt>
                <c:pt idx="164">
                  <c:v>-11.0370603747823</c:v>
                </c:pt>
                <c:pt idx="165">
                  <c:v>-11.084925450101142</c:v>
                </c:pt>
                <c:pt idx="166">
                  <c:v>-11.133651017053086</c:v>
                </c:pt>
                <c:pt idx="167">
                  <c:v>-11.182101162366653</c:v>
                </c:pt>
                <c:pt idx="168">
                  <c:v>-11.230278813704832</c:v>
                </c:pt>
                <c:pt idx="169">
                  <c:v>-11.278186852724719</c:v>
                </c:pt>
                <c:pt idx="170">
                  <c:v>-11.326847557600617</c:v>
                </c:pt>
                <c:pt idx="171">
                  <c:v>-11.375232889741332</c:v>
                </c:pt>
                <c:pt idx="172">
                  <c:v>-11.423345777691177</c:v>
                </c:pt>
                <c:pt idx="173">
                  <c:v>-11.471189103899446</c:v>
                </c:pt>
                <c:pt idx="174">
                  <c:v>-11.519961693423467</c:v>
                </c:pt>
                <c:pt idx="175">
                  <c:v>-11.568456949596925</c:v>
                </c:pt>
                <c:pt idx="176">
                  <c:v>-11.616677833673927</c:v>
                </c:pt>
                <c:pt idx="177">
                  <c:v>-11.664627260059204</c:v>
                </c:pt>
                <c:pt idx="178">
                  <c:v>-11.713477217443501</c:v>
                </c:pt>
                <c:pt idx="179">
                  <c:v>-11.762048250207753</c:v>
                </c:pt>
                <c:pt idx="180">
                  <c:v>-11.810343346319961</c:v>
                </c:pt>
                <c:pt idx="181">
                  <c:v>-11.858365446267882</c:v>
                </c:pt>
                <c:pt idx="182">
                  <c:v>-11.907069748595593</c:v>
                </c:pt>
                <c:pt idx="183">
                  <c:v>-11.955496058793251</c:v>
                </c:pt>
                <c:pt idx="184">
                  <c:v>-12.003647350933054</c:v>
                </c:pt>
                <c:pt idx="185">
                  <c:v>-12.051526551834604</c:v>
                </c:pt>
                <c:pt idx="186">
                  <c:v>-12.100439713596822</c:v>
                </c:pt>
                <c:pt idx="187">
                  <c:v>-12.149071755914216</c:v>
                </c:pt>
                <c:pt idx="188">
                  <c:v>-12.197425703878951</c:v>
                </c:pt>
                <c:pt idx="189">
                  <c:v>-12.245504534186125</c:v>
                </c:pt>
                <c:pt idx="190">
                  <c:v>-12.294220888798503</c:v>
                </c:pt>
                <c:pt idx="191">
                  <c:v>-12.342657617580359</c:v>
                </c:pt>
                <c:pt idx="192">
                  <c:v>-12.390817722213948</c:v>
                </c:pt>
                <c:pt idx="193">
                  <c:v>-12.438704156420277</c:v>
                </c:pt>
                <c:pt idx="194">
                  <c:v>-12.4875645615769</c:v>
                </c:pt>
                <c:pt idx="195">
                  <c:v>-12.53614291049653</c:v>
                </c:pt>
                <c:pt idx="196">
                  <c:v>-12.584442244359657</c:v>
                </c:pt>
                <c:pt idx="197">
                  <c:v>-12.632465555484309</c:v>
                </c:pt>
                <c:pt idx="198">
                  <c:v>-12.681258380446785</c:v>
                </c:pt>
                <c:pt idx="199">
                  <c:v>-12.729769128065673</c:v>
                </c:pt>
                <c:pt idx="200">
                  <c:v>-12.778000840022063</c:v>
                </c:pt>
                <c:pt idx="201">
                  <c:v>-12.825956509067233</c:v>
                </c:pt>
                <c:pt idx="202">
                  <c:v>-12.874657882132478</c:v>
                </c:pt>
                <c:pt idx="203">
                  <c:v>-12.923077415106388</c:v>
                </c:pt>
                <c:pt idx="204">
                  <c:v>-12.971218145778892</c:v>
                </c:pt>
                <c:pt idx="205">
                  <c:v>-13.019083063038856</c:v>
                </c:pt>
                <c:pt idx="206">
                  <c:v>-13.067836551666041</c:v>
                </c:pt>
                <c:pt idx="207">
                  <c:v>-13.116306758143676</c:v>
                </c:pt>
                <c:pt idx="208">
                  <c:v>-13.164496743252091</c:v>
                </c:pt>
                <c:pt idx="209">
                  <c:v>-13.212409518325497</c:v>
                </c:pt>
                <c:pt idx="210">
                  <c:v>-13.261344938487309</c:v>
                </c:pt>
                <c:pt idx="211">
                  <c:v>-13.309994091183695</c:v>
                </c:pt>
                <c:pt idx="212">
                  <c:v>-13.35836008504759</c:v>
                </c:pt>
                <c:pt idx="213">
                  <c:v>-13.406445978183184</c:v>
                </c:pt>
                <c:pt idx="214">
                  <c:v>-13.455204982177463</c:v>
                </c:pt>
                <c:pt idx="215">
                  <c:v>-13.503678877296597</c:v>
                </c:pt>
                <c:pt idx="216">
                  <c:v>-13.551870752618767</c:v>
                </c:pt>
                <c:pt idx="217">
                  <c:v>-13.599783647069145</c:v>
                </c:pt>
                <c:pt idx="218">
                  <c:v>-13.648503538953156</c:v>
                </c:pt>
                <c:pt idx="219">
                  <c:v>-13.696937857291662</c:v>
                </c:pt>
                <c:pt idx="220">
                  <c:v>-13.745089697717244</c:v>
                </c:pt>
                <c:pt idx="221">
                  <c:v>-13.792962105522628</c:v>
                </c:pt>
                <c:pt idx="222">
                  <c:v>-13.841616006160059</c:v>
                </c:pt>
                <c:pt idx="223">
                  <c:v>-13.8899841562563</c:v>
                </c:pt>
                <c:pt idx="224">
                  <c:v>-13.938069653106879</c:v>
                </c:pt>
                <c:pt idx="225">
                  <c:v>-13.985875543589408</c:v>
                </c:pt>
                <c:pt idx="226">
                  <c:v>-14.034585848407444</c:v>
                </c:pt>
                <c:pt idx="227">
                  <c:v>-14.08300875967937</c:v>
                </c:pt>
                <c:pt idx="228">
                  <c:v>-14.131147399933695</c:v>
                </c:pt>
                <c:pt idx="229">
                  <c:v>-14.179004840693125</c:v>
                </c:pt>
                <c:pt idx="230">
                  <c:v>-14.276181696391232</c:v>
                </c:pt>
                <c:pt idx="231">
                  <c:v>-14.324340250970975</c:v>
                </c:pt>
                <c:pt idx="232">
                  <c:v>-14.372216360870276</c:v>
                </c:pt>
                <c:pt idx="233">
                  <c:v>-14.420939587613756</c:v>
                </c:pt>
                <c:pt idx="234">
                  <c:v>-14.469373194516029</c:v>
                </c:pt>
                <c:pt idx="235">
                  <c:v>-14.517520336739189</c:v>
                </c:pt>
                <c:pt idx="236">
                  <c:v>-14.565384117657246</c:v>
                </c:pt>
                <c:pt idx="237">
                  <c:v>-14.61393017133933</c:v>
                </c:pt>
                <c:pt idx="238">
                  <c:v>-14.662187615139825</c:v>
                </c:pt>
                <c:pt idx="239">
                  <c:v>-14.710159585636474</c:v>
                </c:pt>
                <c:pt idx="240">
                  <c:v>-14.757849167992344</c:v>
                </c:pt>
                <c:pt idx="241">
                  <c:v>-14.806467954367758</c:v>
                </c:pt>
                <c:pt idx="242">
                  <c:v>-14.854796139389334</c:v>
                </c:pt>
                <c:pt idx="243">
                  <c:v>-14.902836889681449</c:v>
                </c:pt>
                <c:pt idx="244">
                  <c:v>-14.950593319767549</c:v>
                </c:pt>
                <c:pt idx="245">
                  <c:v>-14.999117412226132</c:v>
                </c:pt>
                <c:pt idx="246">
                  <c:v>-15.047350861976987</c:v>
                </c:pt>
                <c:pt idx="247">
                  <c:v>-15.095296833706231</c:v>
                </c:pt>
                <c:pt idx="248">
                  <c:v>-15.142958440015168</c:v>
                </c:pt>
                <c:pt idx="249">
                  <c:v>-15.191490870970769</c:v>
                </c:pt>
                <c:pt idx="250">
                  <c:v>-15.239731345407412</c:v>
                </c:pt>
                <c:pt idx="251">
                  <c:v>-15.287683046582707</c:v>
                </c:pt>
                <c:pt idx="252">
                  <c:v>-15.3353491052388</c:v>
                </c:pt>
                <c:pt idx="253">
                  <c:v>-15.383732394820562</c:v>
                </c:pt>
                <c:pt idx="254">
                  <c:v>-15.43182425913875</c:v>
                </c:pt>
                <c:pt idx="255">
                  <c:v>-15.479627869726318</c:v>
                </c:pt>
                <c:pt idx="256">
                  <c:v>-15.527146345837483</c:v>
                </c:pt>
                <c:pt idx="257">
                  <c:v>-15.575602775598718</c:v>
                </c:pt>
                <c:pt idx="258">
                  <c:v>-15.623765592710093</c:v>
                </c:pt>
                <c:pt idx="259">
                  <c:v>-15.671638001065649</c:v>
                </c:pt>
                <c:pt idx="260">
                  <c:v>-15.719223151552598</c:v>
                </c:pt>
                <c:pt idx="261">
                  <c:v>-15.767595887265172</c:v>
                </c:pt>
                <c:pt idx="262">
                  <c:v>-15.815674661175516</c:v>
                </c:pt>
                <c:pt idx="263">
                  <c:v>-15.86346267933777</c:v>
                </c:pt>
                <c:pt idx="264">
                  <c:v>-15.910963094737625</c:v>
                </c:pt>
                <c:pt idx="265">
                  <c:v>-15.959225043051365</c:v>
                </c:pt>
                <c:pt idx="266">
                  <c:v>-16.00719296208888</c:v>
                </c:pt>
                <c:pt idx="267">
                  <c:v>-16.054870055255133</c:v>
                </c:pt>
                <c:pt idx="268">
                  <c:v>-16.102259472933923</c:v>
                </c:pt>
                <c:pt idx="269">
                  <c:v>-16.15049861733554</c:v>
                </c:pt>
                <c:pt idx="270">
                  <c:v>-16.198442544227809</c:v>
                </c:pt>
                <c:pt idx="271">
                  <c:v>-16.246094472422694</c:v>
                </c:pt>
                <c:pt idx="272">
                  <c:v>-16.293457567364506</c:v>
                </c:pt>
                <c:pt idx="273">
                  <c:v>-16.341641833975743</c:v>
                </c:pt>
                <c:pt idx="274">
                  <c:v>-16.3895300274568</c:v>
                </c:pt>
                <c:pt idx="275">
                  <c:v>-16.437125376385836</c:v>
                </c:pt>
                <c:pt idx="276">
                  <c:v>-16.484431055753884</c:v>
                </c:pt>
                <c:pt idx="277">
                  <c:v>-16.532422228538568</c:v>
                </c:pt>
                <c:pt idx="278">
                  <c:v>-16.580118112329366</c:v>
                </c:pt>
                <c:pt idx="279">
                  <c:v>-16.627521918548339</c:v>
                </c:pt>
                <c:pt idx="280">
                  <c:v>-16.674636805408603</c:v>
                </c:pt>
                <c:pt idx="281">
                  <c:v>-16.722730439638326</c:v>
                </c:pt>
                <c:pt idx="282">
                  <c:v>-16.770525876096823</c:v>
                </c:pt>
                <c:pt idx="283">
                  <c:v>-16.818026369017389</c:v>
                </c:pt>
                <c:pt idx="284">
                  <c:v>-16.865235118483454</c:v>
                </c:pt>
                <c:pt idx="285">
                  <c:v>-16.913080472962729</c:v>
                </c:pt>
                <c:pt idx="286">
                  <c:v>-16.96062898317129</c:v>
                </c:pt>
                <c:pt idx="287">
                  <c:v>-17.007883876492592</c:v>
                </c:pt>
                <c:pt idx="288">
                  <c:v>-17.054848326761135</c:v>
                </c:pt>
                <c:pt idx="289">
                  <c:v>-17.102728838725998</c:v>
                </c:pt>
                <c:pt idx="290">
                  <c:v>-17.15031028920486</c:v>
                </c:pt>
                <c:pt idx="291">
                  <c:v>-17.197595936710165</c:v>
                </c:pt>
                <c:pt idx="292">
                  <c:v>-17.244588985530356</c:v>
                </c:pt>
                <c:pt idx="293">
                  <c:v>-17.292368474901281</c:v>
                </c:pt>
                <c:pt idx="294">
                  <c:v>-17.339848302901192</c:v>
                </c:pt>
                <c:pt idx="295">
                  <c:v>-17.387031732642665</c:v>
                </c:pt>
                <c:pt idx="296">
                  <c:v>-17.433921972929046</c:v>
                </c:pt>
                <c:pt idx="297">
                  <c:v>-17.481571425600674</c:v>
                </c:pt>
                <c:pt idx="298">
                  <c:v>-17.528920912448093</c:v>
                </c:pt>
                <c:pt idx="299">
                  <c:v>-17.575973696206077</c:v>
                </c:pt>
                <c:pt idx="300">
                  <c:v>-17.622732985330472</c:v>
                </c:pt>
                <c:pt idx="301">
                  <c:v>-17.670225104111079</c:v>
                </c:pt>
                <c:pt idx="302">
                  <c:v>-17.717417228652302</c:v>
                </c:pt>
                <c:pt idx="303">
                  <c:v>-17.764312616681401</c:v>
                </c:pt>
                <c:pt idx="304">
                  <c:v>-17.810914471783214</c:v>
                </c:pt>
                <c:pt idx="305">
                  <c:v>-17.858404976935134</c:v>
                </c:pt>
                <c:pt idx="306">
                  <c:v>-17.905593418988307</c:v>
                </c:pt>
                <c:pt idx="307">
                  <c:v>-17.952483083685454</c:v>
                </c:pt>
                <c:pt idx="308">
                  <c:v>-17.999077202039086</c:v>
                </c:pt>
                <c:pt idx="309">
                  <c:v>-18.046351536226194</c:v>
                </c:pt>
                <c:pt idx="310">
                  <c:v>-18.093324375844315</c:v>
                </c:pt>
                <c:pt idx="311">
                  <c:v>-18.139998991646824</c:v>
                </c:pt>
                <c:pt idx="312">
                  <c:v>-18.186378600025606</c:v>
                </c:pt>
                <c:pt idx="313">
                  <c:v>-18.233586836479493</c:v>
                </c:pt>
                <c:pt idx="314">
                  <c:v>-18.280492162452276</c:v>
                </c:pt>
                <c:pt idx="315">
                  <c:v>-18.32709786583737</c:v>
                </c:pt>
                <c:pt idx="316">
                  <c:v>-18.373407179830679</c:v>
                </c:pt>
                <c:pt idx="317">
                  <c:v>-18.42051535779661</c:v>
                </c:pt>
                <c:pt idx="318">
                  <c:v>-18.467319552798315</c:v>
                </c:pt>
                <c:pt idx="319">
                  <c:v>-18.51382306419012</c:v>
                </c:pt>
                <c:pt idx="320">
                  <c:v>-18.560029136424109</c:v>
                </c:pt>
                <c:pt idx="321">
                  <c:v>-18.607005201330558</c:v>
                </c:pt>
                <c:pt idx="322">
                  <c:v>-18.653676534257158</c:v>
                </c:pt>
                <c:pt idx="323">
                  <c:v>-18.700046440689395</c:v>
                </c:pt>
                <c:pt idx="324">
                  <c:v>-18.746118171130224</c:v>
                </c:pt>
                <c:pt idx="325">
                  <c:v>-18.792931899554432</c:v>
                </c:pt>
                <c:pt idx="326">
                  <c:v>-18.839440450860092</c:v>
                </c:pt>
                <c:pt idx="327">
                  <c:v>-18.885647131687509</c:v>
                </c:pt>
                <c:pt idx="328">
                  <c:v>-18.931555193732343</c:v>
                </c:pt>
                <c:pt idx="329">
                  <c:v>-18.978255826105645</c:v>
                </c:pt>
                <c:pt idx="330">
                  <c:v>-19.024650104524703</c:v>
                </c:pt>
                <c:pt idx="331">
                  <c:v>-19.070741348624992</c:v>
                </c:pt>
                <c:pt idx="332">
                  <c:v>-19.116532822879233</c:v>
                </c:pt>
                <c:pt idx="333">
                  <c:v>-19.163011842360778</c:v>
                </c:pt>
                <c:pt idx="334">
                  <c:v>-19.209184657611186</c:v>
                </c:pt>
                <c:pt idx="335">
                  <c:v>-19.255054579782399</c:v>
                </c:pt>
                <c:pt idx="336">
                  <c:v>-19.300624865128519</c:v>
                </c:pt>
                <c:pt idx="337">
                  <c:v>-19.347004674430835</c:v>
                </c:pt>
                <c:pt idx="338">
                  <c:v>-19.393076726871538</c:v>
                </c:pt>
                <c:pt idx="339">
                  <c:v>-19.438844352719908</c:v>
                </c:pt>
                <c:pt idx="340">
                  <c:v>-19.484310827010273</c:v>
                </c:pt>
                <c:pt idx="341">
                  <c:v>-19.530556335214705</c:v>
                </c:pt>
                <c:pt idx="342">
                  <c:v>-19.57649288755751</c:v>
                </c:pt>
                <c:pt idx="343">
                  <c:v>-19.622123827768842</c:v>
                </c:pt>
                <c:pt idx="344">
                  <c:v>-19.667452444141592</c:v>
                </c:pt>
                <c:pt idx="345">
                  <c:v>-19.713460614831227</c:v>
                </c:pt>
                <c:pt idx="346">
                  <c:v>-19.759159902126115</c:v>
                </c:pt>
                <c:pt idx="347">
                  <c:v>-19.804553642763636</c:v>
                </c:pt>
                <c:pt idx="348">
                  <c:v>-19.849645118299314</c:v>
                </c:pt>
                <c:pt idx="349">
                  <c:v>-19.895526345959485</c:v>
                </c:pt>
                <c:pt idx="350">
                  <c:v>-19.941097183026198</c:v>
                </c:pt>
                <c:pt idx="351">
                  <c:v>-19.986360984949304</c:v>
                </c:pt>
                <c:pt idx="352">
                  <c:v>-20.031321051698136</c:v>
                </c:pt>
                <c:pt idx="353">
                  <c:v>-20.077040316203369</c:v>
                </c:pt>
                <c:pt idx="354">
                  <c:v>-20.122448037247977</c:v>
                </c:pt>
                <c:pt idx="355">
                  <c:v>-20.167547583466728</c:v>
                </c:pt>
                <c:pt idx="356">
                  <c:v>-20.212342267846289</c:v>
                </c:pt>
                <c:pt idx="357">
                  <c:v>-20.257802066266422</c:v>
                </c:pt>
                <c:pt idx="358">
                  <c:v>-20.302950385624193</c:v>
                </c:pt>
                <c:pt idx="359">
                  <c:v>-20.347790588322653</c:v>
                </c:pt>
                <c:pt idx="360">
                  <c:v>-20.392325981384975</c:v>
                </c:pt>
                <c:pt idx="361">
                  <c:v>-20.437625776263758</c:v>
                </c:pt>
                <c:pt idx="362">
                  <c:v>-20.48261269037927</c:v>
                </c:pt>
                <c:pt idx="363">
                  <c:v>-20.527290103910559</c:v>
                </c:pt>
                <c:pt idx="364">
                  <c:v>-20.571661341410756</c:v>
                </c:pt>
                <c:pt idx="365">
                  <c:v>-20.616705553632507</c:v>
                </c:pt>
                <c:pt idx="366">
                  <c:v>-20.66143668339782</c:v>
                </c:pt>
                <c:pt idx="367">
                  <c:v>-20.705858109651345</c:v>
                </c:pt>
                <c:pt idx="368">
                  <c:v>-20.749973155892253</c:v>
                </c:pt>
                <c:pt idx="369">
                  <c:v>-20.794852809106867</c:v>
                </c:pt>
                <c:pt idx="370">
                  <c:v>-20.839417801444931</c:v>
                </c:pt>
                <c:pt idx="371">
                  <c:v>-20.883671533298411</c:v>
                </c:pt>
                <c:pt idx="372">
                  <c:v>-20.927617349313131</c:v>
                </c:pt>
                <c:pt idx="373">
                  <c:v>-20.97223900592876</c:v>
                </c:pt>
                <c:pt idx="374">
                  <c:v>-21.016545605524016</c:v>
                </c:pt>
                <c:pt idx="375">
                  <c:v>-21.06054055134797</c:v>
                </c:pt>
                <c:pt idx="376">
                  <c:v>-21.104227191019586</c:v>
                </c:pt>
                <c:pt idx="377">
                  <c:v>-21.148674061940067</c:v>
                </c:pt>
                <c:pt idx="378">
                  <c:v>-21.192804186301526</c:v>
                </c:pt>
                <c:pt idx="379">
                  <c:v>-21.236620991718041</c:v>
                </c:pt>
                <c:pt idx="380">
                  <c:v>-21.280127849835853</c:v>
                </c:pt>
                <c:pt idx="381">
                  <c:v>-21.324254356831275</c:v>
                </c:pt>
                <c:pt idx="382">
                  <c:v>-21.368064372628019</c:v>
                </c:pt>
                <c:pt idx="383">
                  <c:v>-21.41156131841808</c:v>
                </c:pt>
                <c:pt idx="384">
                  <c:v>-21.454748559769421</c:v>
                </c:pt>
                <c:pt idx="385">
                  <c:v>-21.498688267503589</c:v>
                </c:pt>
                <c:pt idx="386">
                  <c:v>-21.542309712426601</c:v>
                </c:pt>
                <c:pt idx="387">
                  <c:v>-21.585616342879987</c:v>
                </c:pt>
                <c:pt idx="388">
                  <c:v>-21.628611551213641</c:v>
                </c:pt>
                <c:pt idx="389">
                  <c:v>-21.67227580069796</c:v>
                </c:pt>
                <c:pt idx="390">
                  <c:v>-21.715621161671002</c:v>
                </c:pt>
                <c:pt idx="391">
                  <c:v>-21.758651091937885</c:v>
                </c:pt>
                <c:pt idx="392">
                  <c:v>-21.801368993340326</c:v>
                </c:pt>
                <c:pt idx="393">
                  <c:v>-21.844727147403628</c:v>
                </c:pt>
                <c:pt idx="394">
                  <c:v>-21.887766118666026</c:v>
                </c:pt>
                <c:pt idx="395">
                  <c:v>-21.930489369979497</c:v>
                </c:pt>
                <c:pt idx="396">
                  <c:v>-21.972900308372083</c:v>
                </c:pt>
                <c:pt idx="397">
                  <c:v>-22.016020601595837</c:v>
                </c:pt>
                <c:pt idx="398">
                  <c:v>-22.058820295075009</c:v>
                </c:pt>
                <c:pt idx="399">
                  <c:v>-22.101302876021023</c:v>
                </c:pt>
                <c:pt idx="400">
                  <c:v>-22.14347177556202</c:v>
                </c:pt>
                <c:pt idx="401">
                  <c:v>-22.186271703850938</c:v>
                </c:pt>
                <c:pt idx="402">
                  <c:v>-22.228750711663711</c:v>
                </c:pt>
                <c:pt idx="403">
                  <c:v>-22.270912293946523</c:v>
                </c:pt>
                <c:pt idx="404">
                  <c:v>-22.312759889674968</c:v>
                </c:pt>
                <c:pt idx="405">
                  <c:v>-22.355256004712277</c:v>
                </c:pt>
                <c:pt idx="406">
                  <c:v>-22.397430518728932</c:v>
                </c:pt>
                <c:pt idx="407">
                  <c:v>-22.439286941579066</c:v>
                </c:pt>
                <c:pt idx="408">
                  <c:v>-22.480828727120986</c:v>
                </c:pt>
                <c:pt idx="409">
                  <c:v>-22.523034023865129</c:v>
                </c:pt>
                <c:pt idx="410">
                  <c:v>-22.564916722835346</c:v>
                </c:pt>
                <c:pt idx="411">
                  <c:v>-22.606480355427578</c:v>
                </c:pt>
                <c:pt idx="412">
                  <c:v>-22.647728396894333</c:v>
                </c:pt>
                <c:pt idx="413">
                  <c:v>-22.689609579855698</c:v>
                </c:pt>
                <c:pt idx="414">
                  <c:v>-22.731167556083175</c:v>
                </c:pt>
                <c:pt idx="415">
                  <c:v>-22.77240587378277</c:v>
                </c:pt>
                <c:pt idx="416">
                  <c:v>-22.813328024986085</c:v>
                </c:pt>
                <c:pt idx="417">
                  <c:v>-22.854895595213776</c:v>
                </c:pt>
                <c:pt idx="418">
                  <c:v>-22.896139074117727</c:v>
                </c:pt>
                <c:pt idx="419">
                  <c:v>-22.937062033011749</c:v>
                </c:pt>
                <c:pt idx="420">
                  <c:v>-22.977667986889866</c:v>
                </c:pt>
                <c:pt idx="421">
                  <c:v>-23.01884865884249</c:v>
                </c:pt>
                <c:pt idx="422">
                  <c:v>-23.059705389345488</c:v>
                </c:pt>
                <c:pt idx="423">
                  <c:v>-23.100241757665128</c:v>
                </c:pt>
                <c:pt idx="424">
                  <c:v>-23.140461286937011</c:v>
                </c:pt>
                <c:pt idx="425">
                  <c:v>-23.181345467140684</c:v>
                </c:pt>
                <c:pt idx="426">
                  <c:v>-23.221904337024046</c:v>
                </c:pt>
                <c:pt idx="427">
                  <c:v>-23.262141511021333</c:v>
                </c:pt>
                <c:pt idx="428">
                  <c:v>-23.302060547073346</c:v>
                </c:pt>
                <c:pt idx="429">
                  <c:v>-23.342574334645057</c:v>
                </c:pt>
                <c:pt idx="430">
                  <c:v>-23.382762503980924</c:v>
                </c:pt>
                <c:pt idx="431">
                  <c:v>-23.422628689391559</c:v>
                </c:pt>
                <c:pt idx="432">
                  <c:v>-23.462176468668304</c:v>
                </c:pt>
                <c:pt idx="433">
                  <c:v>-23.502289885042657</c:v>
                </c:pt>
                <c:pt idx="434">
                  <c:v>-23.542077773439082</c:v>
                </c:pt>
                <c:pt idx="435">
                  <c:v>-23.581543783803692</c:v>
                </c:pt>
                <c:pt idx="436">
                  <c:v>-23.620691509639716</c:v>
                </c:pt>
                <c:pt idx="437">
                  <c:v>-23.660447812942564</c:v>
                </c:pt>
                <c:pt idx="438">
                  <c:v>-23.699877900444459</c:v>
                </c:pt>
                <c:pt idx="439">
                  <c:v>-23.738985453428093</c:v>
                </c:pt>
                <c:pt idx="440">
                  <c:v>-23.777774096503638</c:v>
                </c:pt>
                <c:pt idx="441">
                  <c:v>-23.817140800209128</c:v>
                </c:pt>
                <c:pt idx="442">
                  <c:v>-23.856181051061615</c:v>
                </c:pt>
                <c:pt idx="443">
                  <c:v>-23.89489855699248</c:v>
                </c:pt>
                <c:pt idx="444">
                  <c:v>-23.933296969141917</c:v>
                </c:pt>
                <c:pt idx="445">
                  <c:v>-23.97224403096477</c:v>
                </c:pt>
                <c:pt idx="446">
                  <c:v>-24.010864840341881</c:v>
                </c:pt>
                <c:pt idx="447">
                  <c:v>-24.049163127473648</c:v>
                </c:pt>
                <c:pt idx="448">
                  <c:v>-24.087142565753858</c:v>
                </c:pt>
                <c:pt idx="449">
                  <c:v>-24.1257066130208</c:v>
                </c:pt>
                <c:pt idx="450">
                  <c:v>-24.163943946343295</c:v>
                </c:pt>
                <c:pt idx="451">
                  <c:v>-24.201858332850911</c:v>
                </c:pt>
                <c:pt idx="452">
                  <c:v>-24.239453482567363</c:v>
                </c:pt>
                <c:pt idx="453">
                  <c:v>-24.277571731939389</c:v>
                </c:pt>
                <c:pt idx="454">
                  <c:v>-24.315363825189372</c:v>
                </c:pt>
                <c:pt idx="455">
                  <c:v>-24.352833552366114</c:v>
                </c:pt>
                <c:pt idx="456">
                  <c:v>-24.389984646407928</c:v>
                </c:pt>
                <c:pt idx="457">
                  <c:v>-24.427691168329162</c:v>
                </c:pt>
                <c:pt idx="458">
                  <c:v>-24.465071493605691</c:v>
                </c:pt>
                <c:pt idx="459">
                  <c:v>-24.502129449387038</c:v>
                </c:pt>
                <c:pt idx="460">
                  <c:v>-24.538868805432848</c:v>
                </c:pt>
                <c:pt idx="461">
                  <c:v>-24.576133942575815</c:v>
                </c:pt>
                <c:pt idx="462">
                  <c:v>-24.613073343566001</c:v>
                </c:pt>
                <c:pt idx="463">
                  <c:v>-24.649690867977192</c:v>
                </c:pt>
                <c:pt idx="464">
                  <c:v>-24.685990317816632</c:v>
                </c:pt>
                <c:pt idx="465">
                  <c:v>-24.722815100138167</c:v>
                </c:pt>
                <c:pt idx="466">
                  <c:v>-24.7593146020685</c:v>
                </c:pt>
                <c:pt idx="467">
                  <c:v>-24.795492720037927</c:v>
                </c:pt>
                <c:pt idx="468">
                  <c:v>-24.831353292650995</c:v>
                </c:pt>
                <c:pt idx="469">
                  <c:v>-24.867710505559884</c:v>
                </c:pt>
                <c:pt idx="470">
                  <c:v>-24.903743407483219</c:v>
                </c:pt>
                <c:pt idx="471">
                  <c:v>-24.939455927096628</c:v>
                </c:pt>
                <c:pt idx="472">
                  <c:v>-24.974851935084882</c:v>
                </c:pt>
                <c:pt idx="473">
                  <c:v>-25.010769264028628</c:v>
                </c:pt>
                <c:pt idx="474">
                  <c:v>-25.046362815378181</c:v>
                </c:pt>
                <c:pt idx="475">
                  <c:v>-25.081636562899323</c:v>
                </c:pt>
                <c:pt idx="476">
                  <c:v>-25.116594421950666</c:v>
                </c:pt>
                <c:pt idx="477">
                  <c:v>-25.152044623717625</c:v>
                </c:pt>
                <c:pt idx="478">
                  <c:v>-25.187172143782295</c:v>
                </c:pt>
                <c:pt idx="479">
                  <c:v>-25.221980996011869</c:v>
                </c:pt>
                <c:pt idx="480">
                  <c:v>-25.25647513554582</c:v>
                </c:pt>
                <c:pt idx="481">
                  <c:v>-25.291433974672472</c:v>
                </c:pt>
                <c:pt idx="482">
                  <c:v>-25.326071778295905</c:v>
                </c:pt>
                <c:pt idx="483">
                  <c:v>-25.360392595593133</c:v>
                </c:pt>
                <c:pt idx="484">
                  <c:v>-25.394400416779281</c:v>
                </c:pt>
                <c:pt idx="485">
                  <c:v>-25.428869986702523</c:v>
                </c:pt>
                <c:pt idx="486">
                  <c:v>-25.463020273416124</c:v>
                </c:pt>
                <c:pt idx="487">
                  <c:v>-25.496855365081686</c:v>
                </c:pt>
                <c:pt idx="488">
                  <c:v>-25.530379290581347</c:v>
                </c:pt>
                <c:pt idx="489">
                  <c:v>-25.564383719215602</c:v>
                </c:pt>
                <c:pt idx="490">
                  <c:v>-25.598070339394333</c:v>
                </c:pt>
                <c:pt idx="491">
                  <c:v>-25.631443289793413</c:v>
                </c:pt>
                <c:pt idx="492">
                  <c:v>-25.664506649255252</c:v>
                </c:pt>
                <c:pt idx="493">
                  <c:v>-25.698023147280871</c:v>
                </c:pt>
                <c:pt idx="494">
                  <c:v>-25.731223932199985</c:v>
                </c:pt>
                <c:pt idx="495">
                  <c:v>-25.764113187759925</c:v>
                </c:pt>
                <c:pt idx="496">
                  <c:v>-25.796695037405485</c:v>
                </c:pt>
                <c:pt idx="497">
                  <c:v>-25.829724999958962</c:v>
                </c:pt>
                <c:pt idx="498">
                  <c:v>-25.862441556970129</c:v>
                </c:pt>
                <c:pt idx="499">
                  <c:v>-25.894848939928647</c:v>
                </c:pt>
                <c:pt idx="500">
                  <c:v>-25.926951319474792</c:v>
                </c:pt>
                <c:pt idx="501">
                  <c:v>-25.959496304859066</c:v>
                </c:pt>
                <c:pt idx="502">
                  <c:v>-25.991730438707275</c:v>
                </c:pt>
                <c:pt idx="503">
                  <c:v>-26.023658002566968</c:v>
                </c:pt>
                <c:pt idx="504">
                  <c:v>-26.055283216513825</c:v>
                </c:pt>
                <c:pt idx="505">
                  <c:v>-26.087325816863665</c:v>
                </c:pt>
                <c:pt idx="506">
                  <c:v>-26.119060770227264</c:v>
                </c:pt>
                <c:pt idx="507">
                  <c:v>-26.150492402338621</c:v>
                </c:pt>
                <c:pt idx="508">
                  <c:v>-26.181624976910665</c:v>
                </c:pt>
                <c:pt idx="509">
                  <c:v>-26.213169887007801</c:v>
                </c:pt>
                <c:pt idx="510">
                  <c:v>-26.244410632006513</c:v>
                </c:pt>
                <c:pt idx="511">
                  <c:v>-26.275351583716674</c:v>
                </c:pt>
                <c:pt idx="512">
                  <c:v>-26.30599705129406</c:v>
                </c:pt>
                <c:pt idx="513">
                  <c:v>-26.337067503259032</c:v>
                </c:pt>
                <c:pt idx="514">
                  <c:v>-26.367837235777912</c:v>
                </c:pt>
                <c:pt idx="515">
                  <c:v>-26.398310675832594</c:v>
                </c:pt>
                <c:pt idx="516">
                  <c:v>-26.428492186890171</c:v>
                </c:pt>
                <c:pt idx="517">
                  <c:v>-26.459075084771367</c:v>
                </c:pt>
                <c:pt idx="518">
                  <c:v>-26.489361417390462</c:v>
                </c:pt>
                <c:pt idx="519">
                  <c:v>-26.519355660053151</c:v>
                </c:pt>
                <c:pt idx="520">
                  <c:v>-26.549062223754547</c:v>
                </c:pt>
                <c:pt idx="521">
                  <c:v>-26.579164839744461</c:v>
                </c:pt>
                <c:pt idx="522">
                  <c:v>-26.608975414206185</c:v>
                </c:pt>
                <c:pt idx="523">
                  <c:v>-26.638498471317323</c:v>
                </c:pt>
                <c:pt idx="524">
                  <c:v>-26.667738470064325</c:v>
                </c:pt>
                <c:pt idx="525">
                  <c:v>-26.697369302845186</c:v>
                </c:pt>
                <c:pt idx="526">
                  <c:v>-26.726713015456586</c:v>
                </c:pt>
                <c:pt idx="527">
                  <c:v>-26.755774180988215</c:v>
                </c:pt>
                <c:pt idx="528">
                  <c:v>-26.784557306370495</c:v>
                </c:pt>
                <c:pt idx="529">
                  <c:v>-26.813726269179487</c:v>
                </c:pt>
                <c:pt idx="530">
                  <c:v>-26.8426134571707</c:v>
                </c:pt>
                <c:pt idx="531">
                  <c:v>-26.871223491839942</c:v>
                </c:pt>
                <c:pt idx="532">
                  <c:v>-26.899560927468016</c:v>
                </c:pt>
                <c:pt idx="533">
                  <c:v>-26.928294284441403</c:v>
                </c:pt>
                <c:pt idx="534">
                  <c:v>-26.956751377753019</c:v>
                </c:pt>
                <c:pt idx="535">
                  <c:v>-26.984936883394415</c:v>
                </c:pt>
                <c:pt idx="536">
                  <c:v>-27.012855408854925</c:v>
                </c:pt>
                <c:pt idx="537">
                  <c:v>-27.04113638143572</c:v>
                </c:pt>
                <c:pt idx="538">
                  <c:v>-27.069147646914388</c:v>
                </c:pt>
                <c:pt idx="539">
                  <c:v>-27.096893919550531</c:v>
                </c:pt>
                <c:pt idx="540">
                  <c:v>-27.124379844003595</c:v>
                </c:pt>
                <c:pt idx="541">
                  <c:v>-27.152252649184341</c:v>
                </c:pt>
                <c:pt idx="542">
                  <c:v>-27.179862244753046</c:v>
                </c:pt>
                <c:pt idx="543">
                  <c:v>-27.207213395146916</c:v>
                </c:pt>
                <c:pt idx="544">
                  <c:v>-27.234310793727495</c:v>
                </c:pt>
                <c:pt idx="545">
                  <c:v>-27.261778064887391</c:v>
                </c:pt>
                <c:pt idx="546">
                  <c:v>-27.288989410218697</c:v>
                </c:pt>
                <c:pt idx="547">
                  <c:v>-27.315949633970877</c:v>
                </c:pt>
                <c:pt idx="548">
                  <c:v>-27.342663467886062</c:v>
                </c:pt>
                <c:pt idx="549">
                  <c:v>-27.369744821830466</c:v>
                </c:pt>
                <c:pt idx="550">
                  <c:v>-27.396578054185156</c:v>
                </c:pt>
                <c:pt idx="551">
                  <c:v>-27.423168005087312</c:v>
                </c:pt>
                <c:pt idx="552">
                  <c:v>-27.449519440634074</c:v>
                </c:pt>
                <c:pt idx="553">
                  <c:v>-27.4762490963383</c:v>
                </c:pt>
                <c:pt idx="554">
                  <c:v>-27.50273874664941</c:v>
                </c:pt>
                <c:pt idx="555">
                  <c:v>-27.52899326949986</c:v>
                </c:pt>
                <c:pt idx="556">
                  <c:v>-27.555017467006849</c:v>
                </c:pt>
                <c:pt idx="557">
                  <c:v>-27.607588429470681</c:v>
                </c:pt>
                <c:pt idx="558">
                  <c:v>-27.659253680504197</c:v>
                </c:pt>
                <c:pt idx="559">
                  <c:v>-27.711206056839387</c:v>
                </c:pt>
                <c:pt idx="560">
                  <c:v>-27.762290602092353</c:v>
                </c:pt>
                <c:pt idx="561">
                  <c:v>-27.813728375385729</c:v>
                </c:pt>
                <c:pt idx="562">
                  <c:v>-27.864336913590147</c:v>
                </c:pt>
                <c:pt idx="563">
                  <c:v>-27.915215521210275</c:v>
                </c:pt>
                <c:pt idx="564">
                  <c:v>-27.965309044202456</c:v>
                </c:pt>
                <c:pt idx="565">
                  <c:v>-28.015890680872133</c:v>
                </c:pt>
                <c:pt idx="566">
                  <c:v>-28.065727642315874</c:v>
                </c:pt>
                <c:pt idx="567">
                  <c:v>-28.116058165008621</c:v>
                </c:pt>
                <c:pt idx="568">
                  <c:v>-28.165687668120967</c:v>
                </c:pt>
                <c:pt idx="569">
                  <c:v>-28.215627707267323</c:v>
                </c:pt>
                <c:pt idx="570">
                  <c:v>-28.264918267345291</c:v>
                </c:pt>
                <c:pt idx="571">
                  <c:v>-28.314925514286081</c:v>
                </c:pt>
                <c:pt idx="572">
                  <c:v>-28.36432721460822</c:v>
                </c:pt>
                <c:pt idx="573">
                  <c:v>-28.414088352809603</c:v>
                </c:pt>
                <c:pt idx="574">
                  <c:v>-28.46329934683029</c:v>
                </c:pt>
                <c:pt idx="575">
                  <c:v>-28.513267785051553</c:v>
                </c:pt>
                <c:pt idx="576">
                  <c:v>-28.562735066615605</c:v>
                </c:pt>
                <c:pt idx="577">
                  <c:v>-28.767434445338171</c:v>
                </c:pt>
                <c:pt idx="578">
                  <c:v>-28.966307830525825</c:v>
                </c:pt>
                <c:pt idx="579">
                  <c:v>-29.391386963916275</c:v>
                </c:pt>
                <c:pt idx="580">
                  <c:v>-29.855351512229706</c:v>
                </c:pt>
                <c:pt idx="581">
                  <c:v>-30.374052219798191</c:v>
                </c:pt>
                <c:pt idx="582">
                  <c:v>-30.962195508517564</c:v>
                </c:pt>
                <c:pt idx="583">
                  <c:v>-31.629772783029235</c:v>
                </c:pt>
                <c:pt idx="584">
                  <c:v>-32.382608057931648</c:v>
                </c:pt>
                <c:pt idx="585">
                  <c:v>-33.22032347581009</c:v>
                </c:pt>
                <c:pt idx="586">
                  <c:v>-34.138551365573392</c:v>
                </c:pt>
                <c:pt idx="587">
                  <c:v>-35.130272151513289</c:v>
                </c:pt>
                <c:pt idx="588">
                  <c:v>-36.185363412135921</c:v>
                </c:pt>
                <c:pt idx="589">
                  <c:v>-37.295048059340957</c:v>
                </c:pt>
                <c:pt idx="590">
                  <c:v>-38.449624337509064</c:v>
                </c:pt>
                <c:pt idx="591">
                  <c:v>-39.640526364225842</c:v>
                </c:pt>
                <c:pt idx="592">
                  <c:v>-40.859622525651069</c:v>
                </c:pt>
                <c:pt idx="593">
                  <c:v>-42.099926493628814</c:v>
                </c:pt>
                <c:pt idx="594">
                  <c:v>-43.35426403127542</c:v>
                </c:pt>
                <c:pt idx="595">
                  <c:v>-44.616445860417173</c:v>
                </c:pt>
                <c:pt idx="596">
                  <c:v>-45.880135886661996</c:v>
                </c:pt>
                <c:pt idx="597">
                  <c:v>-47.139892245797661</c:v>
                </c:pt>
                <c:pt idx="598">
                  <c:v>-48.390112779998617</c:v>
                </c:pt>
                <c:pt idx="599">
                  <c:v>-49.6263284586433</c:v>
                </c:pt>
                <c:pt idx="600">
                  <c:v>-50.844161910882207</c:v>
                </c:pt>
              </c:numCache>
            </c:numRef>
          </c:yVal>
          <c:smooth val="1"/>
          <c:extLst>
            <c:ext xmlns:c16="http://schemas.microsoft.com/office/drawing/2014/chart" uri="{C3380CC4-5D6E-409C-BE32-E72D297353CC}">
              <c16:uniqueId val="{00000000-5922-4F18-8E00-ECB0DEBA2AF6}"/>
            </c:ext>
          </c:extLst>
        </c:ser>
        <c:ser>
          <c:idx val="6"/>
          <c:order val="1"/>
          <c:tx>
            <c:strRef>
              <c:f>'IL Stability Calculations'!$AW$12</c:f>
              <c:strCache>
                <c:ptCount val="1"/>
                <c:pt idx="0">
                  <c:v>Gain(dB)</c:v>
                </c:pt>
              </c:strCache>
            </c:strRef>
          </c:tx>
          <c:spPr>
            <a:ln w="25400">
              <a:solidFill>
                <a:srgbClr val="FF0000"/>
              </a:solidFill>
              <a:prstDash val="solid"/>
            </a:ln>
          </c:spPr>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Calculations'!$AW$13:$AW$613</c:f>
              <c:numCache>
                <c:formatCode>0.0000</c:formatCode>
                <c:ptCount val="601"/>
                <c:pt idx="0">
                  <c:v>53.301693918165824</c:v>
                </c:pt>
                <c:pt idx="1">
                  <c:v>53.239748324832263</c:v>
                </c:pt>
                <c:pt idx="2">
                  <c:v>53.16643036699395</c:v>
                </c:pt>
                <c:pt idx="3">
                  <c:v>53.079895592729542</c:v>
                </c:pt>
                <c:pt idx="4">
                  <c:v>52.978165581215954</c:v>
                </c:pt>
                <c:pt idx="5">
                  <c:v>52.858817701551651</c:v>
                </c:pt>
                <c:pt idx="6">
                  <c:v>52.719591905694287</c:v>
                </c:pt>
                <c:pt idx="7">
                  <c:v>52.557860438473305</c:v>
                </c:pt>
                <c:pt idx="8">
                  <c:v>52.371146720827966</c:v>
                </c:pt>
                <c:pt idx="9">
                  <c:v>52.156732879016488</c:v>
                </c:pt>
                <c:pt idx="10">
                  <c:v>51.912278325094114</c:v>
                </c:pt>
                <c:pt idx="11">
                  <c:v>51.635534839826988</c:v>
                </c:pt>
                <c:pt idx="12">
                  <c:v>51.324455837274883</c:v>
                </c:pt>
                <c:pt idx="13">
                  <c:v>50.977915854884259</c:v>
                </c:pt>
                <c:pt idx="14">
                  <c:v>50.594764153352749</c:v>
                </c:pt>
                <c:pt idx="15">
                  <c:v>50.174850700819619</c:v>
                </c:pt>
                <c:pt idx="16">
                  <c:v>49.718478789654682</c:v>
                </c:pt>
                <c:pt idx="17">
                  <c:v>49.226649319401346</c:v>
                </c:pt>
                <c:pt idx="18">
                  <c:v>48.700683243681283</c:v>
                </c:pt>
                <c:pt idx="19">
                  <c:v>48.14263011644843</c:v>
                </c:pt>
                <c:pt idx="20">
                  <c:v>47.554627678729553</c:v>
                </c:pt>
                <c:pt idx="21">
                  <c:v>46.939266438095892</c:v>
                </c:pt>
                <c:pt idx="22">
                  <c:v>46.298996308623863</c:v>
                </c:pt>
                <c:pt idx="23">
                  <c:v>45.636570464133392</c:v>
                </c:pt>
                <c:pt idx="24">
                  <c:v>44.954347181110272</c:v>
                </c:pt>
                <c:pt idx="25">
                  <c:v>44.254827150455746</c:v>
                </c:pt>
                <c:pt idx="26">
                  <c:v>43.540071252569234</c:v>
                </c:pt>
                <c:pt idx="27">
                  <c:v>42.812338309138902</c:v>
                </c:pt>
                <c:pt idx="28">
                  <c:v>42.073431316785573</c:v>
                </c:pt>
                <c:pt idx="29">
                  <c:v>41.325442642861823</c:v>
                </c:pt>
                <c:pt idx="30">
                  <c:v>40.568528697379087</c:v>
                </c:pt>
                <c:pt idx="31">
                  <c:v>39.804981542257806</c:v>
                </c:pt>
                <c:pt idx="32">
                  <c:v>39.0353590500062</c:v>
                </c:pt>
                <c:pt idx="33">
                  <c:v>38.261134392118528</c:v>
                </c:pt>
                <c:pt idx="34">
                  <c:v>37.482501960520068</c:v>
                </c:pt>
                <c:pt idx="35">
                  <c:v>36.700573630965401</c:v>
                </c:pt>
                <c:pt idx="36">
                  <c:v>35.915804970307569</c:v>
                </c:pt>
                <c:pt idx="37">
                  <c:v>35.128259498387003</c:v>
                </c:pt>
                <c:pt idx="38">
                  <c:v>34.339101399958103</c:v>
                </c:pt>
                <c:pt idx="39">
                  <c:v>33.548047493198695</c:v>
                </c:pt>
                <c:pt idx="40">
                  <c:v>32.755696144619996</c:v>
                </c:pt>
                <c:pt idx="41">
                  <c:v>31.9622354775607</c:v>
                </c:pt>
                <c:pt idx="42">
                  <c:v>31.167995080843664</c:v>
                </c:pt>
                <c:pt idx="43">
                  <c:v>30.372932252563984</c:v>
                </c:pt>
                <c:pt idx="44">
                  <c:v>29.577425769478978</c:v>
                </c:pt>
                <c:pt idx="45">
                  <c:v>28.781464737739295</c:v>
                </c:pt>
                <c:pt idx="46">
                  <c:v>27.985346547163026</c:v>
                </c:pt>
                <c:pt idx="47">
                  <c:v>27.189028074359594</c:v>
                </c:pt>
                <c:pt idx="48">
                  <c:v>26.392829453902596</c:v>
                </c:pt>
                <c:pt idx="49">
                  <c:v>25.596671488990278</c:v>
                </c:pt>
                <c:pt idx="50">
                  <c:v>24.800805296395559</c:v>
                </c:pt>
                <c:pt idx="51">
                  <c:v>24.005182037300109</c:v>
                </c:pt>
                <c:pt idx="52">
                  <c:v>23.210204541651827</c:v>
                </c:pt>
                <c:pt idx="53">
                  <c:v>22.416008832086156</c:v>
                </c:pt>
                <c:pt idx="54">
                  <c:v>21.623276940061519</c:v>
                </c:pt>
                <c:pt idx="55">
                  <c:v>20.830886776324018</c:v>
                </c:pt>
                <c:pt idx="56">
                  <c:v>20.040198771132207</c:v>
                </c:pt>
                <c:pt idx="57">
                  <c:v>19.250969397429365</c:v>
                </c:pt>
                <c:pt idx="58">
                  <c:v>18.464101317502926</c:v>
                </c:pt>
                <c:pt idx="59">
                  <c:v>17.679383525959409</c:v>
                </c:pt>
                <c:pt idx="60">
                  <c:v>16.897717004834185</c:v>
                </c:pt>
                <c:pt idx="61">
                  <c:v>16.119510054612412</c:v>
                </c:pt>
                <c:pt idx="62">
                  <c:v>15.344952503104794</c:v>
                </c:pt>
                <c:pt idx="63">
                  <c:v>14.575470882565625</c:v>
                </c:pt>
                <c:pt idx="64">
                  <c:v>13.81121845003479</c:v>
                </c:pt>
                <c:pt idx="65">
                  <c:v>13.053344280734212</c:v>
                </c:pt>
                <c:pt idx="66">
                  <c:v>12.302716835035572</c:v>
                </c:pt>
                <c:pt idx="67">
                  <c:v>11.560432690214807</c:v>
                </c:pt>
                <c:pt idx="68">
                  <c:v>10.827303049973775</c:v>
                </c:pt>
                <c:pt idx="69">
                  <c:v>10.104548006414262</c:v>
                </c:pt>
                <c:pt idx="70">
                  <c:v>9.3929884329074174</c:v>
                </c:pt>
                <c:pt idx="71">
                  <c:v>8.6936088683760779</c:v>
                </c:pt>
                <c:pt idx="72">
                  <c:v>8.0068931093460129</c:v>
                </c:pt>
                <c:pt idx="73">
                  <c:v>7.3333473662054152</c:v>
                </c:pt>
                <c:pt idx="74">
                  <c:v>6.6727501036333559</c:v>
                </c:pt>
                <c:pt idx="75">
                  <c:v>6.0246887364561621</c:v>
                </c:pt>
                <c:pt idx="76">
                  <c:v>5.3879751801707352</c:v>
                </c:pt>
                <c:pt idx="77">
                  <c:v>4.7612300960688252</c:v>
                </c:pt>
                <c:pt idx="78">
                  <c:v>4.1423272374887183</c:v>
                </c:pt>
                <c:pt idx="79">
                  <c:v>3.5291101366330091</c:v>
                </c:pt>
                <c:pt idx="80">
                  <c:v>2.9177008738274282</c:v>
                </c:pt>
                <c:pt idx="81">
                  <c:v>2.3059692939195435</c:v>
                </c:pt>
                <c:pt idx="82">
                  <c:v>1.6905511665142912</c:v>
                </c:pt>
                <c:pt idx="83">
                  <c:v>1.0691552419408294</c:v>
                </c:pt>
                <c:pt idx="84">
                  <c:v>0.43894047338946834</c:v>
                </c:pt>
                <c:pt idx="85">
                  <c:v>-0.20162373793281216</c:v>
                </c:pt>
                <c:pt idx="86">
                  <c:v>-0.85397745160060834</c:v>
                </c:pt>
                <c:pt idx="87">
                  <c:v>-1.5192814807381418</c:v>
                </c:pt>
                <c:pt idx="88">
                  <c:v>-2.1971947060390633</c:v>
                </c:pt>
                <c:pt idx="89">
                  <c:v>-2.8881105867253871</c:v>
                </c:pt>
                <c:pt idx="90">
                  <c:v>-3.59126599028327</c:v>
                </c:pt>
                <c:pt idx="91">
                  <c:v>-4.3059470334908019</c:v>
                </c:pt>
                <c:pt idx="92">
                  <c:v>-5.0310991841719854</c:v>
                </c:pt>
                <c:pt idx="93">
                  <c:v>-5.7658756068314299</c:v>
                </c:pt>
                <c:pt idx="94">
                  <c:v>-5.9508501404244374</c:v>
                </c:pt>
                <c:pt idx="95">
                  <c:v>-6.044102903210451</c:v>
                </c:pt>
                <c:pt idx="96">
                  <c:v>-6.1364121764063206</c:v>
                </c:pt>
                <c:pt idx="97">
                  <c:v>-6.2299033889387276</c:v>
                </c:pt>
                <c:pt idx="98">
                  <c:v>-6.3224441542832732</c:v>
                </c:pt>
                <c:pt idx="99">
                  <c:v>-6.4161885795629985</c:v>
                </c:pt>
                <c:pt idx="100">
                  <c:v>-6.5089752447699789</c:v>
                </c:pt>
                <c:pt idx="101">
                  <c:v>-6.6029149614242799</c:v>
                </c:pt>
                <c:pt idx="102">
                  <c:v>-6.6958907346265564</c:v>
                </c:pt>
                <c:pt idx="103">
                  <c:v>-6.7901073956562747</c:v>
                </c:pt>
                <c:pt idx="104">
                  <c:v>-6.8833522154927049</c:v>
                </c:pt>
                <c:pt idx="105">
                  <c:v>-6.977785296694937</c:v>
                </c:pt>
                <c:pt idx="106">
                  <c:v>-7.0712398346908696</c:v>
                </c:pt>
                <c:pt idx="107">
                  <c:v>-7.1658319094271921</c:v>
                </c:pt>
                <c:pt idx="108">
                  <c:v>-7.2594398913413807</c:v>
                </c:pt>
                <c:pt idx="109">
                  <c:v>-7.3542007297366343</c:v>
                </c:pt>
                <c:pt idx="110">
                  <c:v>-7.4479716985537774</c:v>
                </c:pt>
                <c:pt idx="111">
                  <c:v>-7.5429715106361588</c:v>
                </c:pt>
                <c:pt idx="112">
                  <c:v>-7.6369741854585893</c:v>
                </c:pt>
                <c:pt idx="113">
                  <c:v>-7.7321526483717573</c:v>
                </c:pt>
                <c:pt idx="114">
                  <c:v>-7.8263279341938468</c:v>
                </c:pt>
                <c:pt idx="115">
                  <c:v>-7.921688160249718</c:v>
                </c:pt>
                <c:pt idx="116">
                  <c:v>-8.0160390787250542</c:v>
                </c:pt>
                <c:pt idx="117">
                  <c:v>-8.1115822265989639</c:v>
                </c:pt>
                <c:pt idx="118">
                  <c:v>-8.2061098861785524</c:v>
                </c:pt>
                <c:pt idx="119">
                  <c:v>-8.3017775925978761</c:v>
                </c:pt>
                <c:pt idx="120">
                  <c:v>-8.3964248431900206</c:v>
                </c:pt>
                <c:pt idx="121">
                  <c:v>-8.492218444394128</c:v>
                </c:pt>
                <c:pt idx="122">
                  <c:v>-8.5869865775912828</c:v>
                </c:pt>
                <c:pt idx="123">
                  <c:v>-8.6829609907057943</c:v>
                </c:pt>
                <c:pt idx="124">
                  <c:v>-8.7779037314347406</c:v>
                </c:pt>
                <c:pt idx="125">
                  <c:v>-8.87399939118567</c:v>
                </c:pt>
                <c:pt idx="126">
                  <c:v>-8.9690584241147846</c:v>
                </c:pt>
                <c:pt idx="127">
                  <c:v>-9.0652720188440821</c:v>
                </c:pt>
                <c:pt idx="128">
                  <c:v>-9.1604440836786996</c:v>
                </c:pt>
                <c:pt idx="129">
                  <c:v>-9.2567709616200382</c:v>
                </c:pt>
                <c:pt idx="130">
                  <c:v>-9.3520514856586221</c:v>
                </c:pt>
                <c:pt idx="131">
                  <c:v>-9.4484857623667775</c:v>
                </c:pt>
                <c:pt idx="132">
                  <c:v>-9.496307389473893</c:v>
                </c:pt>
                <c:pt idx="133">
                  <c:v>-9.5438689657300468</c:v>
                </c:pt>
                <c:pt idx="134">
                  <c:v>-9.592294552381853</c:v>
                </c:pt>
                <c:pt idx="135">
                  <c:v>-9.6404531892799774</c:v>
                </c:pt>
                <c:pt idx="136">
                  <c:v>-9.6883476507850688</c:v>
                </c:pt>
                <c:pt idx="137">
                  <c:v>-9.7359806690062083</c:v>
                </c:pt>
                <c:pt idx="138">
                  <c:v>-9.7844275281546071</c:v>
                </c:pt>
                <c:pt idx="139">
                  <c:v>-9.8326065860672163</c:v>
                </c:pt>
                <c:pt idx="140">
                  <c:v>-9.8805206334560776</c:v>
                </c:pt>
                <c:pt idx="141">
                  <c:v>-9.9281724183740785</c:v>
                </c:pt>
                <c:pt idx="142">
                  <c:v>-9.9766853503648729</c:v>
                </c:pt>
                <c:pt idx="143">
                  <c:v>-10.024929128946013</c:v>
                </c:pt>
                <c:pt idx="144">
                  <c:v>-10.072906568888932</c:v>
                </c:pt>
                <c:pt idx="145">
                  <c:v>-10.120620441738621</c:v>
                </c:pt>
                <c:pt idx="146">
                  <c:v>-10.169169615023621</c:v>
                </c:pt>
                <c:pt idx="147">
                  <c:v>-10.217448604391357</c:v>
                </c:pt>
                <c:pt idx="148">
                  <c:v>-10.2654602435403</c:v>
                </c:pt>
                <c:pt idx="149">
                  <c:v>-10.313207322479583</c:v>
                </c:pt>
                <c:pt idx="150">
                  <c:v>-10.361787438563573</c:v>
                </c:pt>
                <c:pt idx="151">
                  <c:v>-10.410096391278516</c:v>
                </c:pt>
                <c:pt idx="152">
                  <c:v>-10.458137032321424</c:v>
                </c:pt>
                <c:pt idx="153">
                  <c:v>-10.505912169254625</c:v>
                </c:pt>
                <c:pt idx="154">
                  <c:v>-10.554539888375686</c:v>
                </c:pt>
                <c:pt idx="155">
                  <c:v>-10.602895270075985</c:v>
                </c:pt>
                <c:pt idx="156">
                  <c:v>-10.650981186984232</c:v>
                </c:pt>
                <c:pt idx="157">
                  <c:v>-10.698800467087384</c:v>
                </c:pt>
                <c:pt idx="158">
                  <c:v>-10.74746835514922</c:v>
                </c:pt>
                <c:pt idx="159">
                  <c:v>-10.795862804152916</c:v>
                </c:pt>
                <c:pt idx="160">
                  <c:v>-10.84398670638619</c:v>
                </c:pt>
                <c:pt idx="161">
                  <c:v>-10.891842909012635</c:v>
                </c:pt>
                <c:pt idx="162">
                  <c:v>-10.940521988306052</c:v>
                </c:pt>
                <c:pt idx="163">
                  <c:v>-10.98892684129008</c:v>
                </c:pt>
                <c:pt idx="164">
                  <c:v>-11.0370603747823</c:v>
                </c:pt>
                <c:pt idx="165">
                  <c:v>-11.084925450101142</c:v>
                </c:pt>
                <c:pt idx="166">
                  <c:v>-11.133651017053086</c:v>
                </c:pt>
                <c:pt idx="167">
                  <c:v>-11.182101162366653</c:v>
                </c:pt>
                <c:pt idx="168">
                  <c:v>-11.230278813704832</c:v>
                </c:pt>
                <c:pt idx="169">
                  <c:v>-11.278186852724719</c:v>
                </c:pt>
                <c:pt idx="170">
                  <c:v>-11.326847557600617</c:v>
                </c:pt>
                <c:pt idx="171">
                  <c:v>-11.375232889741332</c:v>
                </c:pt>
                <c:pt idx="172">
                  <c:v>-11.423345777691177</c:v>
                </c:pt>
                <c:pt idx="173">
                  <c:v>-11.471189103899446</c:v>
                </c:pt>
                <c:pt idx="174">
                  <c:v>-11.519961693423467</c:v>
                </c:pt>
                <c:pt idx="175">
                  <c:v>-11.568456949596925</c:v>
                </c:pt>
                <c:pt idx="176">
                  <c:v>-11.616677833673927</c:v>
                </c:pt>
                <c:pt idx="177">
                  <c:v>-11.664627260059204</c:v>
                </c:pt>
                <c:pt idx="178">
                  <c:v>-11.713477217443501</c:v>
                </c:pt>
                <c:pt idx="179">
                  <c:v>-11.762048250207753</c:v>
                </c:pt>
                <c:pt idx="180">
                  <c:v>-11.810343346319961</c:v>
                </c:pt>
                <c:pt idx="181">
                  <c:v>-11.858365446267882</c:v>
                </c:pt>
                <c:pt idx="182">
                  <c:v>-11.907069748595593</c:v>
                </c:pt>
                <c:pt idx="183">
                  <c:v>-11.955496058793251</c:v>
                </c:pt>
                <c:pt idx="184">
                  <c:v>-12.003647350933054</c:v>
                </c:pt>
                <c:pt idx="185">
                  <c:v>-12.051526551834604</c:v>
                </c:pt>
                <c:pt idx="186">
                  <c:v>-12.100439713596822</c:v>
                </c:pt>
                <c:pt idx="187">
                  <c:v>-12.149071755914216</c:v>
                </c:pt>
                <c:pt idx="188">
                  <c:v>-12.197425703878951</c:v>
                </c:pt>
                <c:pt idx="189">
                  <c:v>-12.245504534186125</c:v>
                </c:pt>
                <c:pt idx="190">
                  <c:v>-12.294220888798503</c:v>
                </c:pt>
                <c:pt idx="191">
                  <c:v>-12.342657617580359</c:v>
                </c:pt>
                <c:pt idx="192">
                  <c:v>-12.390817722213948</c:v>
                </c:pt>
                <c:pt idx="193">
                  <c:v>-12.438704156420277</c:v>
                </c:pt>
                <c:pt idx="194">
                  <c:v>-12.4875645615769</c:v>
                </c:pt>
                <c:pt idx="195">
                  <c:v>-12.53614291049653</c:v>
                </c:pt>
                <c:pt idx="196">
                  <c:v>-12.584442244359657</c:v>
                </c:pt>
                <c:pt idx="197">
                  <c:v>-12.632465555484309</c:v>
                </c:pt>
                <c:pt idx="198">
                  <c:v>-12.681258380446785</c:v>
                </c:pt>
                <c:pt idx="199">
                  <c:v>-12.729769128065673</c:v>
                </c:pt>
                <c:pt idx="200">
                  <c:v>-12.778000840022063</c:v>
                </c:pt>
                <c:pt idx="201">
                  <c:v>-12.825956509067233</c:v>
                </c:pt>
                <c:pt idx="202">
                  <c:v>-12.874657882132478</c:v>
                </c:pt>
                <c:pt idx="203">
                  <c:v>-12.923077415106388</c:v>
                </c:pt>
                <c:pt idx="204">
                  <c:v>-12.971218145778892</c:v>
                </c:pt>
                <c:pt idx="205">
                  <c:v>-13.019083063038856</c:v>
                </c:pt>
                <c:pt idx="206">
                  <c:v>-13.067836551666041</c:v>
                </c:pt>
                <c:pt idx="207">
                  <c:v>-13.116306758143676</c:v>
                </c:pt>
                <c:pt idx="208">
                  <c:v>-13.164496743252091</c:v>
                </c:pt>
                <c:pt idx="209">
                  <c:v>-13.212409518325497</c:v>
                </c:pt>
                <c:pt idx="210">
                  <c:v>-13.261344938487309</c:v>
                </c:pt>
                <c:pt idx="211">
                  <c:v>-13.309994091183695</c:v>
                </c:pt>
                <c:pt idx="212">
                  <c:v>-13.35836008504759</c:v>
                </c:pt>
                <c:pt idx="213">
                  <c:v>-13.406445978183184</c:v>
                </c:pt>
                <c:pt idx="214">
                  <c:v>-13.455204982177463</c:v>
                </c:pt>
                <c:pt idx="215">
                  <c:v>-13.503678877296597</c:v>
                </c:pt>
                <c:pt idx="216">
                  <c:v>-13.551870752618767</c:v>
                </c:pt>
                <c:pt idx="217">
                  <c:v>-13.599783647069145</c:v>
                </c:pt>
                <c:pt idx="218">
                  <c:v>-13.648503538953156</c:v>
                </c:pt>
                <c:pt idx="219">
                  <c:v>-13.696937857291662</c:v>
                </c:pt>
                <c:pt idx="220">
                  <c:v>-13.745089697717244</c:v>
                </c:pt>
                <c:pt idx="221">
                  <c:v>-13.792962105522628</c:v>
                </c:pt>
                <c:pt idx="222">
                  <c:v>-13.841616006160059</c:v>
                </c:pt>
                <c:pt idx="223">
                  <c:v>-13.8899841562563</c:v>
                </c:pt>
                <c:pt idx="224">
                  <c:v>-13.938069653106879</c:v>
                </c:pt>
                <c:pt idx="225">
                  <c:v>-13.985875543589408</c:v>
                </c:pt>
                <c:pt idx="226">
                  <c:v>-14.034585848407444</c:v>
                </c:pt>
                <c:pt idx="227">
                  <c:v>-14.08300875967937</c:v>
                </c:pt>
                <c:pt idx="228">
                  <c:v>-14.131147399933695</c:v>
                </c:pt>
                <c:pt idx="229">
                  <c:v>-14.179004840693125</c:v>
                </c:pt>
                <c:pt idx="230">
                  <c:v>-14.276181696391232</c:v>
                </c:pt>
                <c:pt idx="231">
                  <c:v>-14.324340250970975</c:v>
                </c:pt>
                <c:pt idx="232">
                  <c:v>-14.372216360870276</c:v>
                </c:pt>
                <c:pt idx="233">
                  <c:v>-14.420939587613756</c:v>
                </c:pt>
                <c:pt idx="234">
                  <c:v>-14.469373194516029</c:v>
                </c:pt>
                <c:pt idx="235">
                  <c:v>-14.517520336739189</c:v>
                </c:pt>
                <c:pt idx="236">
                  <c:v>-14.565384117657246</c:v>
                </c:pt>
                <c:pt idx="237">
                  <c:v>-14.61393017133933</c:v>
                </c:pt>
                <c:pt idx="238">
                  <c:v>-14.662187615139825</c:v>
                </c:pt>
                <c:pt idx="239">
                  <c:v>-14.710159585636474</c:v>
                </c:pt>
                <c:pt idx="240">
                  <c:v>-14.757849167992344</c:v>
                </c:pt>
                <c:pt idx="241">
                  <c:v>-14.806467954367758</c:v>
                </c:pt>
                <c:pt idx="242">
                  <c:v>-14.854796139389334</c:v>
                </c:pt>
                <c:pt idx="243">
                  <c:v>-14.902836889681449</c:v>
                </c:pt>
                <c:pt idx="244">
                  <c:v>-14.950593319767549</c:v>
                </c:pt>
                <c:pt idx="245">
                  <c:v>-14.999117412226132</c:v>
                </c:pt>
                <c:pt idx="246">
                  <c:v>-15.047350861976987</c:v>
                </c:pt>
                <c:pt idx="247">
                  <c:v>-15.095296833706231</c:v>
                </c:pt>
                <c:pt idx="248">
                  <c:v>-15.142958440015168</c:v>
                </c:pt>
                <c:pt idx="249">
                  <c:v>-15.191490870970769</c:v>
                </c:pt>
                <c:pt idx="250">
                  <c:v>-15.239731345407412</c:v>
                </c:pt>
                <c:pt idx="251">
                  <c:v>-15.287683046582707</c:v>
                </c:pt>
                <c:pt idx="252">
                  <c:v>-15.3353491052388</c:v>
                </c:pt>
                <c:pt idx="253">
                  <c:v>-15.383732394820562</c:v>
                </c:pt>
                <c:pt idx="254">
                  <c:v>-15.43182425913875</c:v>
                </c:pt>
                <c:pt idx="255">
                  <c:v>-15.479627869726318</c:v>
                </c:pt>
                <c:pt idx="256">
                  <c:v>-15.527146345837483</c:v>
                </c:pt>
                <c:pt idx="257">
                  <c:v>-15.575602775598718</c:v>
                </c:pt>
                <c:pt idx="258">
                  <c:v>-15.623765592710093</c:v>
                </c:pt>
                <c:pt idx="259">
                  <c:v>-15.671638001065649</c:v>
                </c:pt>
                <c:pt idx="260">
                  <c:v>-15.719223151552598</c:v>
                </c:pt>
                <c:pt idx="261">
                  <c:v>-15.767595887265172</c:v>
                </c:pt>
                <c:pt idx="262">
                  <c:v>-15.815674661175516</c:v>
                </c:pt>
                <c:pt idx="263">
                  <c:v>-15.86346267933777</c:v>
                </c:pt>
                <c:pt idx="264">
                  <c:v>-15.910963094737625</c:v>
                </c:pt>
                <c:pt idx="265">
                  <c:v>-15.959225043051365</c:v>
                </c:pt>
                <c:pt idx="266">
                  <c:v>-16.00719296208888</c:v>
                </c:pt>
                <c:pt idx="267">
                  <c:v>-16.054870055255133</c:v>
                </c:pt>
                <c:pt idx="268">
                  <c:v>-16.102259472933923</c:v>
                </c:pt>
                <c:pt idx="269">
                  <c:v>-16.15049861733554</c:v>
                </c:pt>
                <c:pt idx="270">
                  <c:v>-16.198442544227809</c:v>
                </c:pt>
                <c:pt idx="271">
                  <c:v>-16.246094472422694</c:v>
                </c:pt>
                <c:pt idx="272">
                  <c:v>-16.293457567364506</c:v>
                </c:pt>
                <c:pt idx="273">
                  <c:v>-16.341641833975743</c:v>
                </c:pt>
                <c:pt idx="274">
                  <c:v>-16.3895300274568</c:v>
                </c:pt>
                <c:pt idx="275">
                  <c:v>-16.437125376385836</c:v>
                </c:pt>
                <c:pt idx="276">
                  <c:v>-16.484431055753884</c:v>
                </c:pt>
                <c:pt idx="277">
                  <c:v>-16.532422228538568</c:v>
                </c:pt>
                <c:pt idx="278">
                  <c:v>-16.580118112329366</c:v>
                </c:pt>
                <c:pt idx="279">
                  <c:v>-16.627521918548339</c:v>
                </c:pt>
                <c:pt idx="280">
                  <c:v>-16.674636805408603</c:v>
                </c:pt>
                <c:pt idx="281">
                  <c:v>-16.722730439638326</c:v>
                </c:pt>
                <c:pt idx="282">
                  <c:v>-16.770525876096823</c:v>
                </c:pt>
                <c:pt idx="283">
                  <c:v>-16.818026369017389</c:v>
                </c:pt>
                <c:pt idx="284">
                  <c:v>-16.865235118483454</c:v>
                </c:pt>
                <c:pt idx="285">
                  <c:v>-16.913080472962729</c:v>
                </c:pt>
                <c:pt idx="286">
                  <c:v>-16.96062898317129</c:v>
                </c:pt>
                <c:pt idx="287">
                  <c:v>-17.007883876492592</c:v>
                </c:pt>
                <c:pt idx="288">
                  <c:v>-17.054848326761135</c:v>
                </c:pt>
                <c:pt idx="289">
                  <c:v>-17.102728838725998</c:v>
                </c:pt>
                <c:pt idx="290">
                  <c:v>-17.15031028920486</c:v>
                </c:pt>
                <c:pt idx="291">
                  <c:v>-17.197595936710165</c:v>
                </c:pt>
                <c:pt idx="292">
                  <c:v>-17.244588985530356</c:v>
                </c:pt>
                <c:pt idx="293">
                  <c:v>-17.292368474901281</c:v>
                </c:pt>
                <c:pt idx="294">
                  <c:v>-17.339848302901192</c:v>
                </c:pt>
                <c:pt idx="295">
                  <c:v>-17.387031732642665</c:v>
                </c:pt>
                <c:pt idx="296">
                  <c:v>-17.433921972929046</c:v>
                </c:pt>
                <c:pt idx="297">
                  <c:v>-17.481571425600674</c:v>
                </c:pt>
                <c:pt idx="298">
                  <c:v>-17.528920912448093</c:v>
                </c:pt>
                <c:pt idx="299">
                  <c:v>-17.575973696206077</c:v>
                </c:pt>
                <c:pt idx="300">
                  <c:v>-17.622732985330472</c:v>
                </c:pt>
                <c:pt idx="301">
                  <c:v>-17.670225104111079</c:v>
                </c:pt>
                <c:pt idx="302">
                  <c:v>-17.717417228652302</c:v>
                </c:pt>
                <c:pt idx="303">
                  <c:v>-17.764312616681401</c:v>
                </c:pt>
                <c:pt idx="304">
                  <c:v>-17.810914471783214</c:v>
                </c:pt>
                <c:pt idx="305">
                  <c:v>-17.858404976935134</c:v>
                </c:pt>
                <c:pt idx="306">
                  <c:v>-17.905593418988307</c:v>
                </c:pt>
                <c:pt idx="307">
                  <c:v>-17.952483083685454</c:v>
                </c:pt>
                <c:pt idx="308">
                  <c:v>-17.999077202039086</c:v>
                </c:pt>
                <c:pt idx="309">
                  <c:v>-18.046351536226194</c:v>
                </c:pt>
                <c:pt idx="310">
                  <c:v>-18.093324375844315</c:v>
                </c:pt>
                <c:pt idx="311">
                  <c:v>-18.139998991646824</c:v>
                </c:pt>
                <c:pt idx="312">
                  <c:v>-18.186378600025606</c:v>
                </c:pt>
                <c:pt idx="313">
                  <c:v>-18.233586836479493</c:v>
                </c:pt>
                <c:pt idx="314">
                  <c:v>-18.280492162452276</c:v>
                </c:pt>
                <c:pt idx="315">
                  <c:v>-18.32709786583737</c:v>
                </c:pt>
                <c:pt idx="316">
                  <c:v>-18.373407179830679</c:v>
                </c:pt>
                <c:pt idx="317">
                  <c:v>-18.42051535779661</c:v>
                </c:pt>
                <c:pt idx="318">
                  <c:v>-18.467319552798315</c:v>
                </c:pt>
                <c:pt idx="319">
                  <c:v>-18.51382306419012</c:v>
                </c:pt>
                <c:pt idx="320">
                  <c:v>-18.560029136424109</c:v>
                </c:pt>
                <c:pt idx="321">
                  <c:v>-18.607005201330558</c:v>
                </c:pt>
                <c:pt idx="322">
                  <c:v>-18.653676534257158</c:v>
                </c:pt>
                <c:pt idx="323">
                  <c:v>-18.700046440689395</c:v>
                </c:pt>
                <c:pt idx="324">
                  <c:v>-18.746118171130224</c:v>
                </c:pt>
                <c:pt idx="325">
                  <c:v>-18.792931899554432</c:v>
                </c:pt>
                <c:pt idx="326">
                  <c:v>-18.839440450860092</c:v>
                </c:pt>
                <c:pt idx="327">
                  <c:v>-18.885647131687509</c:v>
                </c:pt>
                <c:pt idx="328">
                  <c:v>-18.931555193732343</c:v>
                </c:pt>
                <c:pt idx="329">
                  <c:v>-18.978255826105645</c:v>
                </c:pt>
                <c:pt idx="330">
                  <c:v>-19.024650104524703</c:v>
                </c:pt>
                <c:pt idx="331">
                  <c:v>-19.070741348624992</c:v>
                </c:pt>
                <c:pt idx="332">
                  <c:v>-19.116532822879233</c:v>
                </c:pt>
                <c:pt idx="333">
                  <c:v>-19.163011842360778</c:v>
                </c:pt>
                <c:pt idx="334">
                  <c:v>-19.209184657611186</c:v>
                </c:pt>
                <c:pt idx="335">
                  <c:v>-19.255054579782399</c:v>
                </c:pt>
                <c:pt idx="336">
                  <c:v>-19.300624865128519</c:v>
                </c:pt>
                <c:pt idx="337">
                  <c:v>-19.347004674430835</c:v>
                </c:pt>
                <c:pt idx="338">
                  <c:v>-19.393076726871538</c:v>
                </c:pt>
                <c:pt idx="339">
                  <c:v>-19.438844352719908</c:v>
                </c:pt>
                <c:pt idx="340">
                  <c:v>-19.484310827010273</c:v>
                </c:pt>
                <c:pt idx="341">
                  <c:v>-19.530556335214705</c:v>
                </c:pt>
                <c:pt idx="342">
                  <c:v>-19.57649288755751</c:v>
                </c:pt>
                <c:pt idx="343">
                  <c:v>-19.622123827768842</c:v>
                </c:pt>
                <c:pt idx="344">
                  <c:v>-19.667452444141592</c:v>
                </c:pt>
                <c:pt idx="345">
                  <c:v>-19.713460614831227</c:v>
                </c:pt>
                <c:pt idx="346">
                  <c:v>-19.759159902126115</c:v>
                </c:pt>
                <c:pt idx="347">
                  <c:v>-19.804553642763636</c:v>
                </c:pt>
                <c:pt idx="348">
                  <c:v>-19.849645118299314</c:v>
                </c:pt>
                <c:pt idx="349">
                  <c:v>-19.895526345959485</c:v>
                </c:pt>
                <c:pt idx="350">
                  <c:v>-19.941097183026198</c:v>
                </c:pt>
                <c:pt idx="351">
                  <c:v>-19.986360984949304</c:v>
                </c:pt>
                <c:pt idx="352">
                  <c:v>-20.031321051698136</c:v>
                </c:pt>
                <c:pt idx="353">
                  <c:v>-20.077040316203369</c:v>
                </c:pt>
                <c:pt idx="354">
                  <c:v>-20.122448037247977</c:v>
                </c:pt>
                <c:pt idx="355">
                  <c:v>-20.167547583466728</c:v>
                </c:pt>
                <c:pt idx="356">
                  <c:v>-20.212342267846289</c:v>
                </c:pt>
                <c:pt idx="357">
                  <c:v>-20.257802066266422</c:v>
                </c:pt>
                <c:pt idx="358">
                  <c:v>-20.302950385624193</c:v>
                </c:pt>
                <c:pt idx="359">
                  <c:v>-20.347790588322653</c:v>
                </c:pt>
                <c:pt idx="360">
                  <c:v>-20.392325981384975</c:v>
                </c:pt>
                <c:pt idx="361">
                  <c:v>-20.437625776263758</c:v>
                </c:pt>
                <c:pt idx="362">
                  <c:v>-20.48261269037927</c:v>
                </c:pt>
                <c:pt idx="363">
                  <c:v>-20.527290103910559</c:v>
                </c:pt>
                <c:pt idx="364">
                  <c:v>-20.571661341410756</c:v>
                </c:pt>
                <c:pt idx="365">
                  <c:v>-20.616705553632507</c:v>
                </c:pt>
                <c:pt idx="366">
                  <c:v>-20.66143668339782</c:v>
                </c:pt>
                <c:pt idx="367">
                  <c:v>-20.705858109651345</c:v>
                </c:pt>
                <c:pt idx="368">
                  <c:v>-20.749973155892253</c:v>
                </c:pt>
                <c:pt idx="369">
                  <c:v>-20.794852809106867</c:v>
                </c:pt>
                <c:pt idx="370">
                  <c:v>-20.839417801444931</c:v>
                </c:pt>
                <c:pt idx="371">
                  <c:v>-20.883671533298411</c:v>
                </c:pt>
                <c:pt idx="372">
                  <c:v>-20.927617349313131</c:v>
                </c:pt>
                <c:pt idx="373">
                  <c:v>-20.97223900592876</c:v>
                </c:pt>
                <c:pt idx="374">
                  <c:v>-21.016545605524016</c:v>
                </c:pt>
                <c:pt idx="375">
                  <c:v>-21.06054055134797</c:v>
                </c:pt>
                <c:pt idx="376">
                  <c:v>-21.104227191019586</c:v>
                </c:pt>
                <c:pt idx="377">
                  <c:v>-21.148674061940067</c:v>
                </c:pt>
                <c:pt idx="378">
                  <c:v>-21.192804186301526</c:v>
                </c:pt>
                <c:pt idx="379">
                  <c:v>-21.236620991718041</c:v>
                </c:pt>
                <c:pt idx="380">
                  <c:v>-21.280127849835853</c:v>
                </c:pt>
                <c:pt idx="381">
                  <c:v>-21.324254356831275</c:v>
                </c:pt>
                <c:pt idx="382">
                  <c:v>-21.368064372628019</c:v>
                </c:pt>
                <c:pt idx="383">
                  <c:v>-21.41156131841808</c:v>
                </c:pt>
                <c:pt idx="384">
                  <c:v>-21.454748559769421</c:v>
                </c:pt>
                <c:pt idx="385">
                  <c:v>-21.498688267503589</c:v>
                </c:pt>
                <c:pt idx="386">
                  <c:v>-21.542309712426601</c:v>
                </c:pt>
                <c:pt idx="387">
                  <c:v>-21.585616342879987</c:v>
                </c:pt>
                <c:pt idx="388">
                  <c:v>-21.628611551213641</c:v>
                </c:pt>
                <c:pt idx="389">
                  <c:v>-21.67227580069796</c:v>
                </c:pt>
                <c:pt idx="390">
                  <c:v>-21.715621161671002</c:v>
                </c:pt>
                <c:pt idx="391">
                  <c:v>-21.758651091937885</c:v>
                </c:pt>
                <c:pt idx="392">
                  <c:v>-21.801368993340326</c:v>
                </c:pt>
                <c:pt idx="393">
                  <c:v>-21.844727147403628</c:v>
                </c:pt>
                <c:pt idx="394">
                  <c:v>-21.887766118666026</c:v>
                </c:pt>
                <c:pt idx="395">
                  <c:v>-21.930489369979497</c:v>
                </c:pt>
                <c:pt idx="396">
                  <c:v>-21.972900308372083</c:v>
                </c:pt>
                <c:pt idx="397">
                  <c:v>-22.016020601595837</c:v>
                </c:pt>
                <c:pt idx="398">
                  <c:v>-22.058820295075009</c:v>
                </c:pt>
                <c:pt idx="399">
                  <c:v>-22.101302876021023</c:v>
                </c:pt>
                <c:pt idx="400">
                  <c:v>-22.14347177556202</c:v>
                </c:pt>
                <c:pt idx="401">
                  <c:v>-22.186271703850938</c:v>
                </c:pt>
                <c:pt idx="402">
                  <c:v>-22.228750711663711</c:v>
                </c:pt>
                <c:pt idx="403">
                  <c:v>-22.270912293946523</c:v>
                </c:pt>
                <c:pt idx="404">
                  <c:v>-22.312759889674968</c:v>
                </c:pt>
                <c:pt idx="405">
                  <c:v>-22.355256004712277</c:v>
                </c:pt>
                <c:pt idx="406">
                  <c:v>-22.397430518728932</c:v>
                </c:pt>
                <c:pt idx="407">
                  <c:v>-22.439286941579066</c:v>
                </c:pt>
                <c:pt idx="408">
                  <c:v>-22.480828727120986</c:v>
                </c:pt>
                <c:pt idx="409">
                  <c:v>-22.523034023865129</c:v>
                </c:pt>
                <c:pt idx="410">
                  <c:v>-22.564916722835346</c:v>
                </c:pt>
                <c:pt idx="411">
                  <c:v>-22.606480355427578</c:v>
                </c:pt>
                <c:pt idx="412">
                  <c:v>-22.647728396894333</c:v>
                </c:pt>
                <c:pt idx="413">
                  <c:v>-22.689609579855698</c:v>
                </c:pt>
                <c:pt idx="414">
                  <c:v>-22.731167556083175</c:v>
                </c:pt>
                <c:pt idx="415">
                  <c:v>-22.77240587378277</c:v>
                </c:pt>
                <c:pt idx="416">
                  <c:v>-22.813328024986085</c:v>
                </c:pt>
                <c:pt idx="417">
                  <c:v>-22.854895595213776</c:v>
                </c:pt>
                <c:pt idx="418">
                  <c:v>-22.896139074117727</c:v>
                </c:pt>
                <c:pt idx="419">
                  <c:v>-22.937062033011749</c:v>
                </c:pt>
                <c:pt idx="420">
                  <c:v>-22.977667986889866</c:v>
                </c:pt>
                <c:pt idx="421">
                  <c:v>-23.01884865884249</c:v>
                </c:pt>
                <c:pt idx="422">
                  <c:v>-23.059705389345488</c:v>
                </c:pt>
                <c:pt idx="423">
                  <c:v>-23.100241757665128</c:v>
                </c:pt>
                <c:pt idx="424">
                  <c:v>-23.140461286937011</c:v>
                </c:pt>
                <c:pt idx="425">
                  <c:v>-23.181345467140684</c:v>
                </c:pt>
                <c:pt idx="426">
                  <c:v>-23.221904337024046</c:v>
                </c:pt>
                <c:pt idx="427">
                  <c:v>-23.262141511021333</c:v>
                </c:pt>
                <c:pt idx="428">
                  <c:v>-23.302060547073346</c:v>
                </c:pt>
                <c:pt idx="429">
                  <c:v>-23.342574334645057</c:v>
                </c:pt>
                <c:pt idx="430">
                  <c:v>-23.382762503980924</c:v>
                </c:pt>
                <c:pt idx="431">
                  <c:v>-23.422628689391559</c:v>
                </c:pt>
                <c:pt idx="432">
                  <c:v>-23.462176468668304</c:v>
                </c:pt>
                <c:pt idx="433">
                  <c:v>-23.502289885042657</c:v>
                </c:pt>
                <c:pt idx="434">
                  <c:v>-23.542077773439082</c:v>
                </c:pt>
                <c:pt idx="435">
                  <c:v>-23.581543783803692</c:v>
                </c:pt>
                <c:pt idx="436">
                  <c:v>-23.620691509639716</c:v>
                </c:pt>
                <c:pt idx="437">
                  <c:v>-23.660447812942564</c:v>
                </c:pt>
                <c:pt idx="438">
                  <c:v>-23.699877900444459</c:v>
                </c:pt>
                <c:pt idx="439">
                  <c:v>-23.738985453428093</c:v>
                </c:pt>
                <c:pt idx="440">
                  <c:v>-23.777774096503638</c:v>
                </c:pt>
                <c:pt idx="441">
                  <c:v>-23.817140800209128</c:v>
                </c:pt>
                <c:pt idx="442">
                  <c:v>-23.856181051061615</c:v>
                </c:pt>
                <c:pt idx="443">
                  <c:v>-23.89489855699248</c:v>
                </c:pt>
                <c:pt idx="444">
                  <c:v>-23.933296969141917</c:v>
                </c:pt>
                <c:pt idx="445">
                  <c:v>-23.97224403096477</c:v>
                </c:pt>
                <c:pt idx="446">
                  <c:v>-24.010864840341881</c:v>
                </c:pt>
                <c:pt idx="447">
                  <c:v>-24.049163127473648</c:v>
                </c:pt>
                <c:pt idx="448">
                  <c:v>-24.087142565753858</c:v>
                </c:pt>
                <c:pt idx="449">
                  <c:v>-24.1257066130208</c:v>
                </c:pt>
                <c:pt idx="450">
                  <c:v>-24.163943946343295</c:v>
                </c:pt>
                <c:pt idx="451">
                  <c:v>-24.201858332850911</c:v>
                </c:pt>
                <c:pt idx="452">
                  <c:v>-24.239453482567363</c:v>
                </c:pt>
                <c:pt idx="453">
                  <c:v>-24.277571731939389</c:v>
                </c:pt>
                <c:pt idx="454">
                  <c:v>-24.315363825189372</c:v>
                </c:pt>
                <c:pt idx="455">
                  <c:v>-24.352833552366114</c:v>
                </c:pt>
                <c:pt idx="456">
                  <c:v>-24.389984646407928</c:v>
                </c:pt>
                <c:pt idx="457">
                  <c:v>-24.427691168329162</c:v>
                </c:pt>
                <c:pt idx="458">
                  <c:v>-24.465071493605691</c:v>
                </c:pt>
                <c:pt idx="459">
                  <c:v>-24.502129449387038</c:v>
                </c:pt>
                <c:pt idx="460">
                  <c:v>-24.538868805432848</c:v>
                </c:pt>
                <c:pt idx="461">
                  <c:v>-24.576133942575815</c:v>
                </c:pt>
                <c:pt idx="462">
                  <c:v>-24.613073343566001</c:v>
                </c:pt>
                <c:pt idx="463">
                  <c:v>-24.649690867977192</c:v>
                </c:pt>
                <c:pt idx="464">
                  <c:v>-24.685990317816632</c:v>
                </c:pt>
                <c:pt idx="465">
                  <c:v>-24.722815100138167</c:v>
                </c:pt>
                <c:pt idx="466">
                  <c:v>-24.7593146020685</c:v>
                </c:pt>
                <c:pt idx="467">
                  <c:v>-24.795492720037927</c:v>
                </c:pt>
                <c:pt idx="468">
                  <c:v>-24.831353292650995</c:v>
                </c:pt>
                <c:pt idx="469">
                  <c:v>-24.867710505559884</c:v>
                </c:pt>
                <c:pt idx="470">
                  <c:v>-24.903743407483219</c:v>
                </c:pt>
                <c:pt idx="471">
                  <c:v>-24.939455927096628</c:v>
                </c:pt>
                <c:pt idx="472">
                  <c:v>-24.974851935084882</c:v>
                </c:pt>
                <c:pt idx="473">
                  <c:v>-25.010769264028628</c:v>
                </c:pt>
                <c:pt idx="474">
                  <c:v>-25.046362815378181</c:v>
                </c:pt>
                <c:pt idx="475">
                  <c:v>-25.081636562899323</c:v>
                </c:pt>
                <c:pt idx="476">
                  <c:v>-25.116594421950666</c:v>
                </c:pt>
                <c:pt idx="477">
                  <c:v>-25.152044623717625</c:v>
                </c:pt>
                <c:pt idx="478">
                  <c:v>-25.187172143782295</c:v>
                </c:pt>
                <c:pt idx="479">
                  <c:v>-25.221980996011869</c:v>
                </c:pt>
                <c:pt idx="480">
                  <c:v>-25.25647513554582</c:v>
                </c:pt>
                <c:pt idx="481">
                  <c:v>-25.291433974672472</c:v>
                </c:pt>
                <c:pt idx="482">
                  <c:v>-25.326071778295905</c:v>
                </c:pt>
                <c:pt idx="483">
                  <c:v>-25.360392595593133</c:v>
                </c:pt>
                <c:pt idx="484">
                  <c:v>-25.394400416779281</c:v>
                </c:pt>
                <c:pt idx="485">
                  <c:v>-25.428869986702523</c:v>
                </c:pt>
                <c:pt idx="486">
                  <c:v>-25.463020273416124</c:v>
                </c:pt>
                <c:pt idx="487">
                  <c:v>-25.496855365081686</c:v>
                </c:pt>
                <c:pt idx="488">
                  <c:v>-25.530379290581347</c:v>
                </c:pt>
                <c:pt idx="489">
                  <c:v>-25.564383719215602</c:v>
                </c:pt>
                <c:pt idx="490">
                  <c:v>-25.598070339394333</c:v>
                </c:pt>
                <c:pt idx="491">
                  <c:v>-25.631443289793413</c:v>
                </c:pt>
                <c:pt idx="492">
                  <c:v>-25.664506649255252</c:v>
                </c:pt>
                <c:pt idx="493">
                  <c:v>-25.698023147280871</c:v>
                </c:pt>
                <c:pt idx="494">
                  <c:v>-25.731223932199985</c:v>
                </c:pt>
                <c:pt idx="495">
                  <c:v>-25.764113187759925</c:v>
                </c:pt>
                <c:pt idx="496">
                  <c:v>-25.796695037405485</c:v>
                </c:pt>
                <c:pt idx="497">
                  <c:v>-25.829724999958962</c:v>
                </c:pt>
                <c:pt idx="498">
                  <c:v>-25.862441556970129</c:v>
                </c:pt>
                <c:pt idx="499">
                  <c:v>-25.894848939928647</c:v>
                </c:pt>
                <c:pt idx="500">
                  <c:v>-25.926951319474792</c:v>
                </c:pt>
                <c:pt idx="501">
                  <c:v>-25.959496304859066</c:v>
                </c:pt>
                <c:pt idx="502">
                  <c:v>-25.991730438707275</c:v>
                </c:pt>
                <c:pt idx="503">
                  <c:v>-26.023658002566968</c:v>
                </c:pt>
                <c:pt idx="504">
                  <c:v>-26.055283216513825</c:v>
                </c:pt>
                <c:pt idx="505">
                  <c:v>-26.087325816863665</c:v>
                </c:pt>
                <c:pt idx="506">
                  <c:v>-26.119060770227264</c:v>
                </c:pt>
                <c:pt idx="507">
                  <c:v>-26.150492402338621</c:v>
                </c:pt>
                <c:pt idx="508">
                  <c:v>-26.181624976910665</c:v>
                </c:pt>
                <c:pt idx="509">
                  <c:v>-26.213169887007801</c:v>
                </c:pt>
                <c:pt idx="510">
                  <c:v>-26.244410632006513</c:v>
                </c:pt>
                <c:pt idx="511">
                  <c:v>-26.275351583716674</c:v>
                </c:pt>
                <c:pt idx="512">
                  <c:v>-26.30599705129406</c:v>
                </c:pt>
                <c:pt idx="513">
                  <c:v>-26.337067503259032</c:v>
                </c:pt>
                <c:pt idx="514">
                  <c:v>-26.367837235777912</c:v>
                </c:pt>
                <c:pt idx="515">
                  <c:v>-26.398310675832594</c:v>
                </c:pt>
                <c:pt idx="516">
                  <c:v>-26.428492186890171</c:v>
                </c:pt>
                <c:pt idx="517">
                  <c:v>-26.459075084771367</c:v>
                </c:pt>
                <c:pt idx="518">
                  <c:v>-26.489361417390462</c:v>
                </c:pt>
                <c:pt idx="519">
                  <c:v>-26.519355660053151</c:v>
                </c:pt>
                <c:pt idx="520">
                  <c:v>-26.549062223754547</c:v>
                </c:pt>
                <c:pt idx="521">
                  <c:v>-26.579164839744461</c:v>
                </c:pt>
                <c:pt idx="522">
                  <c:v>-26.608975414206185</c:v>
                </c:pt>
                <c:pt idx="523">
                  <c:v>-26.638498471317323</c:v>
                </c:pt>
                <c:pt idx="524">
                  <c:v>-26.667738470064325</c:v>
                </c:pt>
                <c:pt idx="525">
                  <c:v>-26.697369302845186</c:v>
                </c:pt>
                <c:pt idx="526">
                  <c:v>-26.726713015456586</c:v>
                </c:pt>
                <c:pt idx="527">
                  <c:v>-26.755774180988215</c:v>
                </c:pt>
                <c:pt idx="528">
                  <c:v>-26.784557306370495</c:v>
                </c:pt>
                <c:pt idx="529">
                  <c:v>-26.813726269179487</c:v>
                </c:pt>
                <c:pt idx="530">
                  <c:v>-26.8426134571707</c:v>
                </c:pt>
                <c:pt idx="531">
                  <c:v>-26.871223491839942</c:v>
                </c:pt>
                <c:pt idx="532">
                  <c:v>-26.899560927468016</c:v>
                </c:pt>
                <c:pt idx="533">
                  <c:v>-26.928294284441403</c:v>
                </c:pt>
                <c:pt idx="534">
                  <c:v>-26.956751377753019</c:v>
                </c:pt>
                <c:pt idx="535">
                  <c:v>-26.984936883394415</c:v>
                </c:pt>
                <c:pt idx="536">
                  <c:v>-27.012855408854925</c:v>
                </c:pt>
                <c:pt idx="537">
                  <c:v>-27.04113638143572</c:v>
                </c:pt>
                <c:pt idx="538">
                  <c:v>-27.069147646914388</c:v>
                </c:pt>
                <c:pt idx="539">
                  <c:v>-27.096893919550531</c:v>
                </c:pt>
                <c:pt idx="540">
                  <c:v>-27.124379844003595</c:v>
                </c:pt>
                <c:pt idx="541">
                  <c:v>-27.152252649184341</c:v>
                </c:pt>
                <c:pt idx="542">
                  <c:v>-27.179862244753046</c:v>
                </c:pt>
                <c:pt idx="543">
                  <c:v>-27.207213395146916</c:v>
                </c:pt>
                <c:pt idx="544">
                  <c:v>-27.234310793727495</c:v>
                </c:pt>
                <c:pt idx="545">
                  <c:v>-27.261778064887391</c:v>
                </c:pt>
                <c:pt idx="546">
                  <c:v>-27.288989410218697</c:v>
                </c:pt>
                <c:pt idx="547">
                  <c:v>-27.315949633970877</c:v>
                </c:pt>
                <c:pt idx="548">
                  <c:v>-27.342663467886062</c:v>
                </c:pt>
                <c:pt idx="549">
                  <c:v>-27.369744821830466</c:v>
                </c:pt>
                <c:pt idx="550">
                  <c:v>-27.396578054185156</c:v>
                </c:pt>
                <c:pt idx="551">
                  <c:v>-27.423168005087312</c:v>
                </c:pt>
                <c:pt idx="552">
                  <c:v>-27.449519440634074</c:v>
                </c:pt>
                <c:pt idx="553">
                  <c:v>-27.4762490963383</c:v>
                </c:pt>
                <c:pt idx="554">
                  <c:v>-27.50273874664941</c:v>
                </c:pt>
                <c:pt idx="555">
                  <c:v>-27.52899326949986</c:v>
                </c:pt>
                <c:pt idx="556">
                  <c:v>-27.555017467006849</c:v>
                </c:pt>
                <c:pt idx="557">
                  <c:v>-27.607588429470681</c:v>
                </c:pt>
                <c:pt idx="558">
                  <c:v>-27.659253680504197</c:v>
                </c:pt>
                <c:pt idx="559">
                  <c:v>-27.711206056839387</c:v>
                </c:pt>
                <c:pt idx="560">
                  <c:v>-27.762290602092353</c:v>
                </c:pt>
                <c:pt idx="561">
                  <c:v>-27.813728375385729</c:v>
                </c:pt>
                <c:pt idx="562">
                  <c:v>-27.864336913590147</c:v>
                </c:pt>
                <c:pt idx="563">
                  <c:v>-27.915215521210275</c:v>
                </c:pt>
                <c:pt idx="564">
                  <c:v>-27.965309044202456</c:v>
                </c:pt>
                <c:pt idx="565">
                  <c:v>-28.015890680872133</c:v>
                </c:pt>
                <c:pt idx="566">
                  <c:v>-28.065727642315874</c:v>
                </c:pt>
                <c:pt idx="567">
                  <c:v>-28.116058165008621</c:v>
                </c:pt>
                <c:pt idx="568">
                  <c:v>-28.165687668120967</c:v>
                </c:pt>
                <c:pt idx="569">
                  <c:v>-28.215627707267323</c:v>
                </c:pt>
                <c:pt idx="570">
                  <c:v>-28.264918267345291</c:v>
                </c:pt>
                <c:pt idx="571">
                  <c:v>-28.314925514286081</c:v>
                </c:pt>
                <c:pt idx="572">
                  <c:v>-28.36432721460822</c:v>
                </c:pt>
                <c:pt idx="573">
                  <c:v>-28.414088352809603</c:v>
                </c:pt>
                <c:pt idx="574">
                  <c:v>-28.46329934683029</c:v>
                </c:pt>
                <c:pt idx="575">
                  <c:v>-28.513267785051553</c:v>
                </c:pt>
                <c:pt idx="576">
                  <c:v>-28.562735066615605</c:v>
                </c:pt>
                <c:pt idx="577">
                  <c:v>-28.767434445338171</c:v>
                </c:pt>
                <c:pt idx="578">
                  <c:v>-28.966307830525825</c:v>
                </c:pt>
                <c:pt idx="579">
                  <c:v>-29.391386963916275</c:v>
                </c:pt>
                <c:pt idx="580">
                  <c:v>-29.855351512229706</c:v>
                </c:pt>
                <c:pt idx="581">
                  <c:v>-30.374052219798191</c:v>
                </c:pt>
                <c:pt idx="582">
                  <c:v>-30.962195508517564</c:v>
                </c:pt>
                <c:pt idx="583">
                  <c:v>-31.629772783029235</c:v>
                </c:pt>
                <c:pt idx="584">
                  <c:v>-32.382608057931648</c:v>
                </c:pt>
                <c:pt idx="585">
                  <c:v>-33.22032347581009</c:v>
                </c:pt>
                <c:pt idx="586">
                  <c:v>-34.138551365573392</c:v>
                </c:pt>
                <c:pt idx="587">
                  <c:v>-35.130272151513289</c:v>
                </c:pt>
                <c:pt idx="588">
                  <c:v>-36.185363412135921</c:v>
                </c:pt>
                <c:pt idx="589">
                  <c:v>-37.295048059340957</c:v>
                </c:pt>
                <c:pt idx="590">
                  <c:v>-38.449624337509064</c:v>
                </c:pt>
                <c:pt idx="591">
                  <c:v>-39.640526364225842</c:v>
                </c:pt>
                <c:pt idx="592">
                  <c:v>-40.859622525651069</c:v>
                </c:pt>
                <c:pt idx="593">
                  <c:v>-42.099926493628814</c:v>
                </c:pt>
                <c:pt idx="594">
                  <c:v>-43.35426403127542</c:v>
                </c:pt>
                <c:pt idx="595">
                  <c:v>-44.616445860417173</c:v>
                </c:pt>
                <c:pt idx="596">
                  <c:v>-45.880135886661996</c:v>
                </c:pt>
                <c:pt idx="597">
                  <c:v>-47.139892245797661</c:v>
                </c:pt>
                <c:pt idx="598">
                  <c:v>-48.390112779998617</c:v>
                </c:pt>
                <c:pt idx="599">
                  <c:v>-49.6263284586433</c:v>
                </c:pt>
                <c:pt idx="600">
                  <c:v>-50.844161910882207</c:v>
                </c:pt>
              </c:numCache>
            </c:numRef>
          </c:yVal>
          <c:smooth val="1"/>
          <c:extLst>
            <c:ext xmlns:c16="http://schemas.microsoft.com/office/drawing/2014/chart" uri="{C3380CC4-5D6E-409C-BE32-E72D297353CC}">
              <c16:uniqueId val="{00000001-5922-4F18-8E00-ECB0DEBA2AF6}"/>
            </c:ext>
          </c:extLst>
        </c:ser>
        <c:ser>
          <c:idx val="2"/>
          <c:order val="2"/>
          <c:tx>
            <c:strRef>
              <c:f>'IL Stability Calculations'!$AW$12</c:f>
              <c:strCache>
                <c:ptCount val="1"/>
                <c:pt idx="0">
                  <c:v>Gain(dB)</c:v>
                </c:pt>
              </c:strCache>
            </c:strRef>
          </c:tx>
          <c:spPr>
            <a:ln w="25400">
              <a:solidFill>
                <a:srgbClr val="FF0000"/>
              </a:solidFill>
              <a:prstDash val="solid"/>
            </a:ln>
          </c:spPr>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Calculations'!$AW$13:$AW$613</c:f>
              <c:numCache>
                <c:formatCode>0.0000</c:formatCode>
                <c:ptCount val="601"/>
                <c:pt idx="0">
                  <c:v>53.301693918165824</c:v>
                </c:pt>
                <c:pt idx="1">
                  <c:v>53.239748324832263</c:v>
                </c:pt>
                <c:pt idx="2">
                  <c:v>53.16643036699395</c:v>
                </c:pt>
                <c:pt idx="3">
                  <c:v>53.079895592729542</c:v>
                </c:pt>
                <c:pt idx="4">
                  <c:v>52.978165581215954</c:v>
                </c:pt>
                <c:pt idx="5">
                  <c:v>52.858817701551651</c:v>
                </c:pt>
                <c:pt idx="6">
                  <c:v>52.719591905694287</c:v>
                </c:pt>
                <c:pt idx="7">
                  <c:v>52.557860438473305</c:v>
                </c:pt>
                <c:pt idx="8">
                  <c:v>52.371146720827966</c:v>
                </c:pt>
                <c:pt idx="9">
                  <c:v>52.156732879016488</c:v>
                </c:pt>
                <c:pt idx="10">
                  <c:v>51.912278325094114</c:v>
                </c:pt>
                <c:pt idx="11">
                  <c:v>51.635534839826988</c:v>
                </c:pt>
                <c:pt idx="12">
                  <c:v>51.324455837274883</c:v>
                </c:pt>
                <c:pt idx="13">
                  <c:v>50.977915854884259</c:v>
                </c:pt>
                <c:pt idx="14">
                  <c:v>50.594764153352749</c:v>
                </c:pt>
                <c:pt idx="15">
                  <c:v>50.174850700819619</c:v>
                </c:pt>
                <c:pt idx="16">
                  <c:v>49.718478789654682</c:v>
                </c:pt>
                <c:pt idx="17">
                  <c:v>49.226649319401346</c:v>
                </c:pt>
                <c:pt idx="18">
                  <c:v>48.700683243681283</c:v>
                </c:pt>
                <c:pt idx="19">
                  <c:v>48.14263011644843</c:v>
                </c:pt>
                <c:pt idx="20">
                  <c:v>47.554627678729553</c:v>
                </c:pt>
                <c:pt idx="21">
                  <c:v>46.939266438095892</c:v>
                </c:pt>
                <c:pt idx="22">
                  <c:v>46.298996308623863</c:v>
                </c:pt>
                <c:pt idx="23">
                  <c:v>45.636570464133392</c:v>
                </c:pt>
                <c:pt idx="24">
                  <c:v>44.954347181110272</c:v>
                </c:pt>
                <c:pt idx="25">
                  <c:v>44.254827150455746</c:v>
                </c:pt>
                <c:pt idx="26">
                  <c:v>43.540071252569234</c:v>
                </c:pt>
                <c:pt idx="27">
                  <c:v>42.812338309138902</c:v>
                </c:pt>
                <c:pt idx="28">
                  <c:v>42.073431316785573</c:v>
                </c:pt>
                <c:pt idx="29">
                  <c:v>41.325442642861823</c:v>
                </c:pt>
                <c:pt idx="30">
                  <c:v>40.568528697379087</c:v>
                </c:pt>
                <c:pt idx="31">
                  <c:v>39.804981542257806</c:v>
                </c:pt>
                <c:pt idx="32">
                  <c:v>39.0353590500062</c:v>
                </c:pt>
                <c:pt idx="33">
                  <c:v>38.261134392118528</c:v>
                </c:pt>
                <c:pt idx="34">
                  <c:v>37.482501960520068</c:v>
                </c:pt>
                <c:pt idx="35">
                  <c:v>36.700573630965401</c:v>
                </c:pt>
                <c:pt idx="36">
                  <c:v>35.915804970307569</c:v>
                </c:pt>
                <c:pt idx="37">
                  <c:v>35.128259498387003</c:v>
                </c:pt>
                <c:pt idx="38">
                  <c:v>34.339101399958103</c:v>
                </c:pt>
                <c:pt idx="39">
                  <c:v>33.548047493198695</c:v>
                </c:pt>
                <c:pt idx="40">
                  <c:v>32.755696144619996</c:v>
                </c:pt>
                <c:pt idx="41">
                  <c:v>31.9622354775607</c:v>
                </c:pt>
                <c:pt idx="42">
                  <c:v>31.167995080843664</c:v>
                </c:pt>
                <c:pt idx="43">
                  <c:v>30.372932252563984</c:v>
                </c:pt>
                <c:pt idx="44">
                  <c:v>29.577425769478978</c:v>
                </c:pt>
                <c:pt idx="45">
                  <c:v>28.781464737739295</c:v>
                </c:pt>
                <c:pt idx="46">
                  <c:v>27.985346547163026</c:v>
                </c:pt>
                <c:pt idx="47">
                  <c:v>27.189028074359594</c:v>
                </c:pt>
                <c:pt idx="48">
                  <c:v>26.392829453902596</c:v>
                </c:pt>
                <c:pt idx="49">
                  <c:v>25.596671488990278</c:v>
                </c:pt>
                <c:pt idx="50">
                  <c:v>24.800805296395559</c:v>
                </c:pt>
                <c:pt idx="51">
                  <c:v>24.005182037300109</c:v>
                </c:pt>
                <c:pt idx="52">
                  <c:v>23.210204541651827</c:v>
                </c:pt>
                <c:pt idx="53">
                  <c:v>22.416008832086156</c:v>
                </c:pt>
                <c:pt idx="54">
                  <c:v>21.623276940061519</c:v>
                </c:pt>
                <c:pt idx="55">
                  <c:v>20.830886776324018</c:v>
                </c:pt>
                <c:pt idx="56">
                  <c:v>20.040198771132207</c:v>
                </c:pt>
                <c:pt idx="57">
                  <c:v>19.250969397429365</c:v>
                </c:pt>
                <c:pt idx="58">
                  <c:v>18.464101317502926</c:v>
                </c:pt>
                <c:pt idx="59">
                  <c:v>17.679383525959409</c:v>
                </c:pt>
                <c:pt idx="60">
                  <c:v>16.897717004834185</c:v>
                </c:pt>
                <c:pt idx="61">
                  <c:v>16.119510054612412</c:v>
                </c:pt>
                <c:pt idx="62">
                  <c:v>15.344952503104794</c:v>
                </c:pt>
                <c:pt idx="63">
                  <c:v>14.575470882565625</c:v>
                </c:pt>
                <c:pt idx="64">
                  <c:v>13.81121845003479</c:v>
                </c:pt>
                <c:pt idx="65">
                  <c:v>13.053344280734212</c:v>
                </c:pt>
                <c:pt idx="66">
                  <c:v>12.302716835035572</c:v>
                </c:pt>
                <c:pt idx="67">
                  <c:v>11.560432690214807</c:v>
                </c:pt>
                <c:pt idx="68">
                  <c:v>10.827303049973775</c:v>
                </c:pt>
                <c:pt idx="69">
                  <c:v>10.104548006414262</c:v>
                </c:pt>
                <c:pt idx="70">
                  <c:v>9.3929884329074174</c:v>
                </c:pt>
                <c:pt idx="71">
                  <c:v>8.6936088683760779</c:v>
                </c:pt>
                <c:pt idx="72">
                  <c:v>8.0068931093460129</c:v>
                </c:pt>
                <c:pt idx="73">
                  <c:v>7.3333473662054152</c:v>
                </c:pt>
                <c:pt idx="74">
                  <c:v>6.6727501036333559</c:v>
                </c:pt>
                <c:pt idx="75">
                  <c:v>6.0246887364561621</c:v>
                </c:pt>
                <c:pt idx="76">
                  <c:v>5.3879751801707352</c:v>
                </c:pt>
                <c:pt idx="77">
                  <c:v>4.7612300960688252</c:v>
                </c:pt>
                <c:pt idx="78">
                  <c:v>4.1423272374887183</c:v>
                </c:pt>
                <c:pt idx="79">
                  <c:v>3.5291101366330091</c:v>
                </c:pt>
                <c:pt idx="80">
                  <c:v>2.9177008738274282</c:v>
                </c:pt>
                <c:pt idx="81">
                  <c:v>2.3059692939195435</c:v>
                </c:pt>
                <c:pt idx="82">
                  <c:v>1.6905511665142912</c:v>
                </c:pt>
                <c:pt idx="83">
                  <c:v>1.0691552419408294</c:v>
                </c:pt>
                <c:pt idx="84">
                  <c:v>0.43894047338946834</c:v>
                </c:pt>
                <c:pt idx="85">
                  <c:v>-0.20162373793281216</c:v>
                </c:pt>
                <c:pt idx="86">
                  <c:v>-0.85397745160060834</c:v>
                </c:pt>
                <c:pt idx="87">
                  <c:v>-1.5192814807381418</c:v>
                </c:pt>
                <c:pt idx="88">
                  <c:v>-2.1971947060390633</c:v>
                </c:pt>
                <c:pt idx="89">
                  <c:v>-2.8881105867253871</c:v>
                </c:pt>
                <c:pt idx="90">
                  <c:v>-3.59126599028327</c:v>
                </c:pt>
                <c:pt idx="91">
                  <c:v>-4.3059470334908019</c:v>
                </c:pt>
                <c:pt idx="92">
                  <c:v>-5.0310991841719854</c:v>
                </c:pt>
                <c:pt idx="93">
                  <c:v>-5.7658756068314299</c:v>
                </c:pt>
                <c:pt idx="94">
                  <c:v>-5.9508501404244374</c:v>
                </c:pt>
                <c:pt idx="95">
                  <c:v>-6.044102903210451</c:v>
                </c:pt>
                <c:pt idx="96">
                  <c:v>-6.1364121764063206</c:v>
                </c:pt>
                <c:pt idx="97">
                  <c:v>-6.2299033889387276</c:v>
                </c:pt>
                <c:pt idx="98">
                  <c:v>-6.3224441542832732</c:v>
                </c:pt>
                <c:pt idx="99">
                  <c:v>-6.4161885795629985</c:v>
                </c:pt>
                <c:pt idx="100">
                  <c:v>-6.5089752447699789</c:v>
                </c:pt>
                <c:pt idx="101">
                  <c:v>-6.6029149614242799</c:v>
                </c:pt>
                <c:pt idx="102">
                  <c:v>-6.6958907346265564</c:v>
                </c:pt>
                <c:pt idx="103">
                  <c:v>-6.7901073956562747</c:v>
                </c:pt>
                <c:pt idx="104">
                  <c:v>-6.8833522154927049</c:v>
                </c:pt>
                <c:pt idx="105">
                  <c:v>-6.977785296694937</c:v>
                </c:pt>
                <c:pt idx="106">
                  <c:v>-7.0712398346908696</c:v>
                </c:pt>
                <c:pt idx="107">
                  <c:v>-7.1658319094271921</c:v>
                </c:pt>
                <c:pt idx="108">
                  <c:v>-7.2594398913413807</c:v>
                </c:pt>
                <c:pt idx="109">
                  <c:v>-7.3542007297366343</c:v>
                </c:pt>
                <c:pt idx="110">
                  <c:v>-7.4479716985537774</c:v>
                </c:pt>
                <c:pt idx="111">
                  <c:v>-7.5429715106361588</c:v>
                </c:pt>
                <c:pt idx="112">
                  <c:v>-7.6369741854585893</c:v>
                </c:pt>
                <c:pt idx="113">
                  <c:v>-7.7321526483717573</c:v>
                </c:pt>
                <c:pt idx="114">
                  <c:v>-7.8263279341938468</c:v>
                </c:pt>
                <c:pt idx="115">
                  <c:v>-7.921688160249718</c:v>
                </c:pt>
                <c:pt idx="116">
                  <c:v>-8.0160390787250542</c:v>
                </c:pt>
                <c:pt idx="117">
                  <c:v>-8.1115822265989639</c:v>
                </c:pt>
                <c:pt idx="118">
                  <c:v>-8.2061098861785524</c:v>
                </c:pt>
                <c:pt idx="119">
                  <c:v>-8.3017775925978761</c:v>
                </c:pt>
                <c:pt idx="120">
                  <c:v>-8.3964248431900206</c:v>
                </c:pt>
                <c:pt idx="121">
                  <c:v>-8.492218444394128</c:v>
                </c:pt>
                <c:pt idx="122">
                  <c:v>-8.5869865775912828</c:v>
                </c:pt>
                <c:pt idx="123">
                  <c:v>-8.6829609907057943</c:v>
                </c:pt>
                <c:pt idx="124">
                  <c:v>-8.7779037314347406</c:v>
                </c:pt>
                <c:pt idx="125">
                  <c:v>-8.87399939118567</c:v>
                </c:pt>
                <c:pt idx="126">
                  <c:v>-8.9690584241147846</c:v>
                </c:pt>
                <c:pt idx="127">
                  <c:v>-9.0652720188440821</c:v>
                </c:pt>
                <c:pt idx="128">
                  <c:v>-9.1604440836786996</c:v>
                </c:pt>
                <c:pt idx="129">
                  <c:v>-9.2567709616200382</c:v>
                </c:pt>
                <c:pt idx="130">
                  <c:v>-9.3520514856586221</c:v>
                </c:pt>
                <c:pt idx="131">
                  <c:v>-9.4484857623667775</c:v>
                </c:pt>
                <c:pt idx="132">
                  <c:v>-9.496307389473893</c:v>
                </c:pt>
                <c:pt idx="133">
                  <c:v>-9.5438689657300468</c:v>
                </c:pt>
                <c:pt idx="134">
                  <c:v>-9.592294552381853</c:v>
                </c:pt>
                <c:pt idx="135">
                  <c:v>-9.6404531892799774</c:v>
                </c:pt>
                <c:pt idx="136">
                  <c:v>-9.6883476507850688</c:v>
                </c:pt>
                <c:pt idx="137">
                  <c:v>-9.7359806690062083</c:v>
                </c:pt>
                <c:pt idx="138">
                  <c:v>-9.7844275281546071</c:v>
                </c:pt>
                <c:pt idx="139">
                  <c:v>-9.8326065860672163</c:v>
                </c:pt>
                <c:pt idx="140">
                  <c:v>-9.8805206334560776</c:v>
                </c:pt>
                <c:pt idx="141">
                  <c:v>-9.9281724183740785</c:v>
                </c:pt>
                <c:pt idx="142">
                  <c:v>-9.9766853503648729</c:v>
                </c:pt>
                <c:pt idx="143">
                  <c:v>-10.024929128946013</c:v>
                </c:pt>
                <c:pt idx="144">
                  <c:v>-10.072906568888932</c:v>
                </c:pt>
                <c:pt idx="145">
                  <c:v>-10.120620441738621</c:v>
                </c:pt>
                <c:pt idx="146">
                  <c:v>-10.169169615023621</c:v>
                </c:pt>
                <c:pt idx="147">
                  <c:v>-10.217448604391357</c:v>
                </c:pt>
                <c:pt idx="148">
                  <c:v>-10.2654602435403</c:v>
                </c:pt>
                <c:pt idx="149">
                  <c:v>-10.313207322479583</c:v>
                </c:pt>
                <c:pt idx="150">
                  <c:v>-10.361787438563573</c:v>
                </c:pt>
                <c:pt idx="151">
                  <c:v>-10.410096391278516</c:v>
                </c:pt>
                <c:pt idx="152">
                  <c:v>-10.458137032321424</c:v>
                </c:pt>
                <c:pt idx="153">
                  <c:v>-10.505912169254625</c:v>
                </c:pt>
                <c:pt idx="154">
                  <c:v>-10.554539888375686</c:v>
                </c:pt>
                <c:pt idx="155">
                  <c:v>-10.602895270075985</c:v>
                </c:pt>
                <c:pt idx="156">
                  <c:v>-10.650981186984232</c:v>
                </c:pt>
                <c:pt idx="157">
                  <c:v>-10.698800467087384</c:v>
                </c:pt>
                <c:pt idx="158">
                  <c:v>-10.74746835514922</c:v>
                </c:pt>
                <c:pt idx="159">
                  <c:v>-10.795862804152916</c:v>
                </c:pt>
                <c:pt idx="160">
                  <c:v>-10.84398670638619</c:v>
                </c:pt>
                <c:pt idx="161">
                  <c:v>-10.891842909012635</c:v>
                </c:pt>
                <c:pt idx="162">
                  <c:v>-10.940521988306052</c:v>
                </c:pt>
                <c:pt idx="163">
                  <c:v>-10.98892684129008</c:v>
                </c:pt>
                <c:pt idx="164">
                  <c:v>-11.0370603747823</c:v>
                </c:pt>
                <c:pt idx="165">
                  <c:v>-11.084925450101142</c:v>
                </c:pt>
                <c:pt idx="166">
                  <c:v>-11.133651017053086</c:v>
                </c:pt>
                <c:pt idx="167">
                  <c:v>-11.182101162366653</c:v>
                </c:pt>
                <c:pt idx="168">
                  <c:v>-11.230278813704832</c:v>
                </c:pt>
                <c:pt idx="169">
                  <c:v>-11.278186852724719</c:v>
                </c:pt>
                <c:pt idx="170">
                  <c:v>-11.326847557600617</c:v>
                </c:pt>
                <c:pt idx="171">
                  <c:v>-11.375232889741332</c:v>
                </c:pt>
                <c:pt idx="172">
                  <c:v>-11.423345777691177</c:v>
                </c:pt>
                <c:pt idx="173">
                  <c:v>-11.471189103899446</c:v>
                </c:pt>
                <c:pt idx="174">
                  <c:v>-11.519961693423467</c:v>
                </c:pt>
                <c:pt idx="175">
                  <c:v>-11.568456949596925</c:v>
                </c:pt>
                <c:pt idx="176">
                  <c:v>-11.616677833673927</c:v>
                </c:pt>
                <c:pt idx="177">
                  <c:v>-11.664627260059204</c:v>
                </c:pt>
                <c:pt idx="178">
                  <c:v>-11.713477217443501</c:v>
                </c:pt>
                <c:pt idx="179">
                  <c:v>-11.762048250207753</c:v>
                </c:pt>
                <c:pt idx="180">
                  <c:v>-11.810343346319961</c:v>
                </c:pt>
                <c:pt idx="181">
                  <c:v>-11.858365446267882</c:v>
                </c:pt>
                <c:pt idx="182">
                  <c:v>-11.907069748595593</c:v>
                </c:pt>
                <c:pt idx="183">
                  <c:v>-11.955496058793251</c:v>
                </c:pt>
                <c:pt idx="184">
                  <c:v>-12.003647350933054</c:v>
                </c:pt>
                <c:pt idx="185">
                  <c:v>-12.051526551834604</c:v>
                </c:pt>
                <c:pt idx="186">
                  <c:v>-12.100439713596822</c:v>
                </c:pt>
                <c:pt idx="187">
                  <c:v>-12.149071755914216</c:v>
                </c:pt>
                <c:pt idx="188">
                  <c:v>-12.197425703878951</c:v>
                </c:pt>
                <c:pt idx="189">
                  <c:v>-12.245504534186125</c:v>
                </c:pt>
                <c:pt idx="190">
                  <c:v>-12.294220888798503</c:v>
                </c:pt>
                <c:pt idx="191">
                  <c:v>-12.342657617580359</c:v>
                </c:pt>
                <c:pt idx="192">
                  <c:v>-12.390817722213948</c:v>
                </c:pt>
                <c:pt idx="193">
                  <c:v>-12.438704156420277</c:v>
                </c:pt>
                <c:pt idx="194">
                  <c:v>-12.4875645615769</c:v>
                </c:pt>
                <c:pt idx="195">
                  <c:v>-12.53614291049653</c:v>
                </c:pt>
                <c:pt idx="196">
                  <c:v>-12.584442244359657</c:v>
                </c:pt>
                <c:pt idx="197">
                  <c:v>-12.632465555484309</c:v>
                </c:pt>
                <c:pt idx="198">
                  <c:v>-12.681258380446785</c:v>
                </c:pt>
                <c:pt idx="199">
                  <c:v>-12.729769128065673</c:v>
                </c:pt>
                <c:pt idx="200">
                  <c:v>-12.778000840022063</c:v>
                </c:pt>
                <c:pt idx="201">
                  <c:v>-12.825956509067233</c:v>
                </c:pt>
                <c:pt idx="202">
                  <c:v>-12.874657882132478</c:v>
                </c:pt>
                <c:pt idx="203">
                  <c:v>-12.923077415106388</c:v>
                </c:pt>
                <c:pt idx="204">
                  <c:v>-12.971218145778892</c:v>
                </c:pt>
                <c:pt idx="205">
                  <c:v>-13.019083063038856</c:v>
                </c:pt>
                <c:pt idx="206">
                  <c:v>-13.067836551666041</c:v>
                </c:pt>
                <c:pt idx="207">
                  <c:v>-13.116306758143676</c:v>
                </c:pt>
                <c:pt idx="208">
                  <c:v>-13.164496743252091</c:v>
                </c:pt>
                <c:pt idx="209">
                  <c:v>-13.212409518325497</c:v>
                </c:pt>
                <c:pt idx="210">
                  <c:v>-13.261344938487309</c:v>
                </c:pt>
                <c:pt idx="211">
                  <c:v>-13.309994091183695</c:v>
                </c:pt>
                <c:pt idx="212">
                  <c:v>-13.35836008504759</c:v>
                </c:pt>
                <c:pt idx="213">
                  <c:v>-13.406445978183184</c:v>
                </c:pt>
                <c:pt idx="214">
                  <c:v>-13.455204982177463</c:v>
                </c:pt>
                <c:pt idx="215">
                  <c:v>-13.503678877296597</c:v>
                </c:pt>
                <c:pt idx="216">
                  <c:v>-13.551870752618767</c:v>
                </c:pt>
                <c:pt idx="217">
                  <c:v>-13.599783647069145</c:v>
                </c:pt>
                <c:pt idx="218">
                  <c:v>-13.648503538953156</c:v>
                </c:pt>
                <c:pt idx="219">
                  <c:v>-13.696937857291662</c:v>
                </c:pt>
                <c:pt idx="220">
                  <c:v>-13.745089697717244</c:v>
                </c:pt>
                <c:pt idx="221">
                  <c:v>-13.792962105522628</c:v>
                </c:pt>
                <c:pt idx="222">
                  <c:v>-13.841616006160059</c:v>
                </c:pt>
                <c:pt idx="223">
                  <c:v>-13.8899841562563</c:v>
                </c:pt>
                <c:pt idx="224">
                  <c:v>-13.938069653106879</c:v>
                </c:pt>
                <c:pt idx="225">
                  <c:v>-13.985875543589408</c:v>
                </c:pt>
                <c:pt idx="226">
                  <c:v>-14.034585848407444</c:v>
                </c:pt>
                <c:pt idx="227">
                  <c:v>-14.08300875967937</c:v>
                </c:pt>
                <c:pt idx="228">
                  <c:v>-14.131147399933695</c:v>
                </c:pt>
                <c:pt idx="229">
                  <c:v>-14.179004840693125</c:v>
                </c:pt>
                <c:pt idx="230">
                  <c:v>-14.276181696391232</c:v>
                </c:pt>
                <c:pt idx="231">
                  <c:v>-14.324340250970975</c:v>
                </c:pt>
                <c:pt idx="232">
                  <c:v>-14.372216360870276</c:v>
                </c:pt>
                <c:pt idx="233">
                  <c:v>-14.420939587613756</c:v>
                </c:pt>
                <c:pt idx="234">
                  <c:v>-14.469373194516029</c:v>
                </c:pt>
                <c:pt idx="235">
                  <c:v>-14.517520336739189</c:v>
                </c:pt>
                <c:pt idx="236">
                  <c:v>-14.565384117657246</c:v>
                </c:pt>
                <c:pt idx="237">
                  <c:v>-14.61393017133933</c:v>
                </c:pt>
                <c:pt idx="238">
                  <c:v>-14.662187615139825</c:v>
                </c:pt>
                <c:pt idx="239">
                  <c:v>-14.710159585636474</c:v>
                </c:pt>
                <c:pt idx="240">
                  <c:v>-14.757849167992344</c:v>
                </c:pt>
                <c:pt idx="241">
                  <c:v>-14.806467954367758</c:v>
                </c:pt>
                <c:pt idx="242">
                  <c:v>-14.854796139389334</c:v>
                </c:pt>
                <c:pt idx="243">
                  <c:v>-14.902836889681449</c:v>
                </c:pt>
                <c:pt idx="244">
                  <c:v>-14.950593319767549</c:v>
                </c:pt>
                <c:pt idx="245">
                  <c:v>-14.999117412226132</c:v>
                </c:pt>
                <c:pt idx="246">
                  <c:v>-15.047350861976987</c:v>
                </c:pt>
                <c:pt idx="247">
                  <c:v>-15.095296833706231</c:v>
                </c:pt>
                <c:pt idx="248">
                  <c:v>-15.142958440015168</c:v>
                </c:pt>
                <c:pt idx="249">
                  <c:v>-15.191490870970769</c:v>
                </c:pt>
                <c:pt idx="250">
                  <c:v>-15.239731345407412</c:v>
                </c:pt>
                <c:pt idx="251">
                  <c:v>-15.287683046582707</c:v>
                </c:pt>
                <c:pt idx="252">
                  <c:v>-15.3353491052388</c:v>
                </c:pt>
                <c:pt idx="253">
                  <c:v>-15.383732394820562</c:v>
                </c:pt>
                <c:pt idx="254">
                  <c:v>-15.43182425913875</c:v>
                </c:pt>
                <c:pt idx="255">
                  <c:v>-15.479627869726318</c:v>
                </c:pt>
                <c:pt idx="256">
                  <c:v>-15.527146345837483</c:v>
                </c:pt>
                <c:pt idx="257">
                  <c:v>-15.575602775598718</c:v>
                </c:pt>
                <c:pt idx="258">
                  <c:v>-15.623765592710093</c:v>
                </c:pt>
                <c:pt idx="259">
                  <c:v>-15.671638001065649</c:v>
                </c:pt>
                <c:pt idx="260">
                  <c:v>-15.719223151552598</c:v>
                </c:pt>
                <c:pt idx="261">
                  <c:v>-15.767595887265172</c:v>
                </c:pt>
                <c:pt idx="262">
                  <c:v>-15.815674661175516</c:v>
                </c:pt>
                <c:pt idx="263">
                  <c:v>-15.86346267933777</c:v>
                </c:pt>
                <c:pt idx="264">
                  <c:v>-15.910963094737625</c:v>
                </c:pt>
                <c:pt idx="265">
                  <c:v>-15.959225043051365</c:v>
                </c:pt>
                <c:pt idx="266">
                  <c:v>-16.00719296208888</c:v>
                </c:pt>
                <c:pt idx="267">
                  <c:v>-16.054870055255133</c:v>
                </c:pt>
                <c:pt idx="268">
                  <c:v>-16.102259472933923</c:v>
                </c:pt>
                <c:pt idx="269">
                  <c:v>-16.15049861733554</c:v>
                </c:pt>
                <c:pt idx="270">
                  <c:v>-16.198442544227809</c:v>
                </c:pt>
                <c:pt idx="271">
                  <c:v>-16.246094472422694</c:v>
                </c:pt>
                <c:pt idx="272">
                  <c:v>-16.293457567364506</c:v>
                </c:pt>
                <c:pt idx="273">
                  <c:v>-16.341641833975743</c:v>
                </c:pt>
                <c:pt idx="274">
                  <c:v>-16.3895300274568</c:v>
                </c:pt>
                <c:pt idx="275">
                  <c:v>-16.437125376385836</c:v>
                </c:pt>
                <c:pt idx="276">
                  <c:v>-16.484431055753884</c:v>
                </c:pt>
                <c:pt idx="277">
                  <c:v>-16.532422228538568</c:v>
                </c:pt>
                <c:pt idx="278">
                  <c:v>-16.580118112329366</c:v>
                </c:pt>
                <c:pt idx="279">
                  <c:v>-16.627521918548339</c:v>
                </c:pt>
                <c:pt idx="280">
                  <c:v>-16.674636805408603</c:v>
                </c:pt>
                <c:pt idx="281">
                  <c:v>-16.722730439638326</c:v>
                </c:pt>
                <c:pt idx="282">
                  <c:v>-16.770525876096823</c:v>
                </c:pt>
                <c:pt idx="283">
                  <c:v>-16.818026369017389</c:v>
                </c:pt>
                <c:pt idx="284">
                  <c:v>-16.865235118483454</c:v>
                </c:pt>
                <c:pt idx="285">
                  <c:v>-16.913080472962729</c:v>
                </c:pt>
                <c:pt idx="286">
                  <c:v>-16.96062898317129</c:v>
                </c:pt>
                <c:pt idx="287">
                  <c:v>-17.007883876492592</c:v>
                </c:pt>
                <c:pt idx="288">
                  <c:v>-17.054848326761135</c:v>
                </c:pt>
                <c:pt idx="289">
                  <c:v>-17.102728838725998</c:v>
                </c:pt>
                <c:pt idx="290">
                  <c:v>-17.15031028920486</c:v>
                </c:pt>
                <c:pt idx="291">
                  <c:v>-17.197595936710165</c:v>
                </c:pt>
                <c:pt idx="292">
                  <c:v>-17.244588985530356</c:v>
                </c:pt>
                <c:pt idx="293">
                  <c:v>-17.292368474901281</c:v>
                </c:pt>
                <c:pt idx="294">
                  <c:v>-17.339848302901192</c:v>
                </c:pt>
                <c:pt idx="295">
                  <c:v>-17.387031732642665</c:v>
                </c:pt>
                <c:pt idx="296">
                  <c:v>-17.433921972929046</c:v>
                </c:pt>
                <c:pt idx="297">
                  <c:v>-17.481571425600674</c:v>
                </c:pt>
                <c:pt idx="298">
                  <c:v>-17.528920912448093</c:v>
                </c:pt>
                <c:pt idx="299">
                  <c:v>-17.575973696206077</c:v>
                </c:pt>
                <c:pt idx="300">
                  <c:v>-17.622732985330472</c:v>
                </c:pt>
                <c:pt idx="301">
                  <c:v>-17.670225104111079</c:v>
                </c:pt>
                <c:pt idx="302">
                  <c:v>-17.717417228652302</c:v>
                </c:pt>
                <c:pt idx="303">
                  <c:v>-17.764312616681401</c:v>
                </c:pt>
                <c:pt idx="304">
                  <c:v>-17.810914471783214</c:v>
                </c:pt>
                <c:pt idx="305">
                  <c:v>-17.858404976935134</c:v>
                </c:pt>
                <c:pt idx="306">
                  <c:v>-17.905593418988307</c:v>
                </c:pt>
                <c:pt idx="307">
                  <c:v>-17.952483083685454</c:v>
                </c:pt>
                <c:pt idx="308">
                  <c:v>-17.999077202039086</c:v>
                </c:pt>
                <c:pt idx="309">
                  <c:v>-18.046351536226194</c:v>
                </c:pt>
                <c:pt idx="310">
                  <c:v>-18.093324375844315</c:v>
                </c:pt>
                <c:pt idx="311">
                  <c:v>-18.139998991646824</c:v>
                </c:pt>
                <c:pt idx="312">
                  <c:v>-18.186378600025606</c:v>
                </c:pt>
                <c:pt idx="313">
                  <c:v>-18.233586836479493</c:v>
                </c:pt>
                <c:pt idx="314">
                  <c:v>-18.280492162452276</c:v>
                </c:pt>
                <c:pt idx="315">
                  <c:v>-18.32709786583737</c:v>
                </c:pt>
                <c:pt idx="316">
                  <c:v>-18.373407179830679</c:v>
                </c:pt>
                <c:pt idx="317">
                  <c:v>-18.42051535779661</c:v>
                </c:pt>
                <c:pt idx="318">
                  <c:v>-18.467319552798315</c:v>
                </c:pt>
                <c:pt idx="319">
                  <c:v>-18.51382306419012</c:v>
                </c:pt>
                <c:pt idx="320">
                  <c:v>-18.560029136424109</c:v>
                </c:pt>
                <c:pt idx="321">
                  <c:v>-18.607005201330558</c:v>
                </c:pt>
                <c:pt idx="322">
                  <c:v>-18.653676534257158</c:v>
                </c:pt>
                <c:pt idx="323">
                  <c:v>-18.700046440689395</c:v>
                </c:pt>
                <c:pt idx="324">
                  <c:v>-18.746118171130224</c:v>
                </c:pt>
                <c:pt idx="325">
                  <c:v>-18.792931899554432</c:v>
                </c:pt>
                <c:pt idx="326">
                  <c:v>-18.839440450860092</c:v>
                </c:pt>
                <c:pt idx="327">
                  <c:v>-18.885647131687509</c:v>
                </c:pt>
                <c:pt idx="328">
                  <c:v>-18.931555193732343</c:v>
                </c:pt>
                <c:pt idx="329">
                  <c:v>-18.978255826105645</c:v>
                </c:pt>
                <c:pt idx="330">
                  <c:v>-19.024650104524703</c:v>
                </c:pt>
                <c:pt idx="331">
                  <c:v>-19.070741348624992</c:v>
                </c:pt>
                <c:pt idx="332">
                  <c:v>-19.116532822879233</c:v>
                </c:pt>
                <c:pt idx="333">
                  <c:v>-19.163011842360778</c:v>
                </c:pt>
                <c:pt idx="334">
                  <c:v>-19.209184657611186</c:v>
                </c:pt>
                <c:pt idx="335">
                  <c:v>-19.255054579782399</c:v>
                </c:pt>
                <c:pt idx="336">
                  <c:v>-19.300624865128519</c:v>
                </c:pt>
                <c:pt idx="337">
                  <c:v>-19.347004674430835</c:v>
                </c:pt>
                <c:pt idx="338">
                  <c:v>-19.393076726871538</c:v>
                </c:pt>
                <c:pt idx="339">
                  <c:v>-19.438844352719908</c:v>
                </c:pt>
                <c:pt idx="340">
                  <c:v>-19.484310827010273</c:v>
                </c:pt>
                <c:pt idx="341">
                  <c:v>-19.530556335214705</c:v>
                </c:pt>
                <c:pt idx="342">
                  <c:v>-19.57649288755751</c:v>
                </c:pt>
                <c:pt idx="343">
                  <c:v>-19.622123827768842</c:v>
                </c:pt>
                <c:pt idx="344">
                  <c:v>-19.667452444141592</c:v>
                </c:pt>
                <c:pt idx="345">
                  <c:v>-19.713460614831227</c:v>
                </c:pt>
                <c:pt idx="346">
                  <c:v>-19.759159902126115</c:v>
                </c:pt>
                <c:pt idx="347">
                  <c:v>-19.804553642763636</c:v>
                </c:pt>
                <c:pt idx="348">
                  <c:v>-19.849645118299314</c:v>
                </c:pt>
                <c:pt idx="349">
                  <c:v>-19.895526345959485</c:v>
                </c:pt>
                <c:pt idx="350">
                  <c:v>-19.941097183026198</c:v>
                </c:pt>
                <c:pt idx="351">
                  <c:v>-19.986360984949304</c:v>
                </c:pt>
                <c:pt idx="352">
                  <c:v>-20.031321051698136</c:v>
                </c:pt>
                <c:pt idx="353">
                  <c:v>-20.077040316203369</c:v>
                </c:pt>
                <c:pt idx="354">
                  <c:v>-20.122448037247977</c:v>
                </c:pt>
                <c:pt idx="355">
                  <c:v>-20.167547583466728</c:v>
                </c:pt>
                <c:pt idx="356">
                  <c:v>-20.212342267846289</c:v>
                </c:pt>
                <c:pt idx="357">
                  <c:v>-20.257802066266422</c:v>
                </c:pt>
                <c:pt idx="358">
                  <c:v>-20.302950385624193</c:v>
                </c:pt>
                <c:pt idx="359">
                  <c:v>-20.347790588322653</c:v>
                </c:pt>
                <c:pt idx="360">
                  <c:v>-20.392325981384975</c:v>
                </c:pt>
                <c:pt idx="361">
                  <c:v>-20.437625776263758</c:v>
                </c:pt>
                <c:pt idx="362">
                  <c:v>-20.48261269037927</c:v>
                </c:pt>
                <c:pt idx="363">
                  <c:v>-20.527290103910559</c:v>
                </c:pt>
                <c:pt idx="364">
                  <c:v>-20.571661341410756</c:v>
                </c:pt>
                <c:pt idx="365">
                  <c:v>-20.616705553632507</c:v>
                </c:pt>
                <c:pt idx="366">
                  <c:v>-20.66143668339782</c:v>
                </c:pt>
                <c:pt idx="367">
                  <c:v>-20.705858109651345</c:v>
                </c:pt>
                <c:pt idx="368">
                  <c:v>-20.749973155892253</c:v>
                </c:pt>
                <c:pt idx="369">
                  <c:v>-20.794852809106867</c:v>
                </c:pt>
                <c:pt idx="370">
                  <c:v>-20.839417801444931</c:v>
                </c:pt>
                <c:pt idx="371">
                  <c:v>-20.883671533298411</c:v>
                </c:pt>
                <c:pt idx="372">
                  <c:v>-20.927617349313131</c:v>
                </c:pt>
                <c:pt idx="373">
                  <c:v>-20.97223900592876</c:v>
                </c:pt>
                <c:pt idx="374">
                  <c:v>-21.016545605524016</c:v>
                </c:pt>
                <c:pt idx="375">
                  <c:v>-21.06054055134797</c:v>
                </c:pt>
                <c:pt idx="376">
                  <c:v>-21.104227191019586</c:v>
                </c:pt>
                <c:pt idx="377">
                  <c:v>-21.148674061940067</c:v>
                </c:pt>
                <c:pt idx="378">
                  <c:v>-21.192804186301526</c:v>
                </c:pt>
                <c:pt idx="379">
                  <c:v>-21.236620991718041</c:v>
                </c:pt>
                <c:pt idx="380">
                  <c:v>-21.280127849835853</c:v>
                </c:pt>
                <c:pt idx="381">
                  <c:v>-21.324254356831275</c:v>
                </c:pt>
                <c:pt idx="382">
                  <c:v>-21.368064372628019</c:v>
                </c:pt>
                <c:pt idx="383">
                  <c:v>-21.41156131841808</c:v>
                </c:pt>
                <c:pt idx="384">
                  <c:v>-21.454748559769421</c:v>
                </c:pt>
                <c:pt idx="385">
                  <c:v>-21.498688267503589</c:v>
                </c:pt>
                <c:pt idx="386">
                  <c:v>-21.542309712426601</c:v>
                </c:pt>
                <c:pt idx="387">
                  <c:v>-21.585616342879987</c:v>
                </c:pt>
                <c:pt idx="388">
                  <c:v>-21.628611551213641</c:v>
                </c:pt>
                <c:pt idx="389">
                  <c:v>-21.67227580069796</c:v>
                </c:pt>
                <c:pt idx="390">
                  <c:v>-21.715621161671002</c:v>
                </c:pt>
                <c:pt idx="391">
                  <c:v>-21.758651091937885</c:v>
                </c:pt>
                <c:pt idx="392">
                  <c:v>-21.801368993340326</c:v>
                </c:pt>
                <c:pt idx="393">
                  <c:v>-21.844727147403628</c:v>
                </c:pt>
                <c:pt idx="394">
                  <c:v>-21.887766118666026</c:v>
                </c:pt>
                <c:pt idx="395">
                  <c:v>-21.930489369979497</c:v>
                </c:pt>
                <c:pt idx="396">
                  <c:v>-21.972900308372083</c:v>
                </c:pt>
                <c:pt idx="397">
                  <c:v>-22.016020601595837</c:v>
                </c:pt>
                <c:pt idx="398">
                  <c:v>-22.058820295075009</c:v>
                </c:pt>
                <c:pt idx="399">
                  <c:v>-22.101302876021023</c:v>
                </c:pt>
                <c:pt idx="400">
                  <c:v>-22.14347177556202</c:v>
                </c:pt>
                <c:pt idx="401">
                  <c:v>-22.186271703850938</c:v>
                </c:pt>
                <c:pt idx="402">
                  <c:v>-22.228750711663711</c:v>
                </c:pt>
                <c:pt idx="403">
                  <c:v>-22.270912293946523</c:v>
                </c:pt>
                <c:pt idx="404">
                  <c:v>-22.312759889674968</c:v>
                </c:pt>
                <c:pt idx="405">
                  <c:v>-22.355256004712277</c:v>
                </c:pt>
                <c:pt idx="406">
                  <c:v>-22.397430518728932</c:v>
                </c:pt>
                <c:pt idx="407">
                  <c:v>-22.439286941579066</c:v>
                </c:pt>
                <c:pt idx="408">
                  <c:v>-22.480828727120986</c:v>
                </c:pt>
                <c:pt idx="409">
                  <c:v>-22.523034023865129</c:v>
                </c:pt>
                <c:pt idx="410">
                  <c:v>-22.564916722835346</c:v>
                </c:pt>
                <c:pt idx="411">
                  <c:v>-22.606480355427578</c:v>
                </c:pt>
                <c:pt idx="412">
                  <c:v>-22.647728396894333</c:v>
                </c:pt>
                <c:pt idx="413">
                  <c:v>-22.689609579855698</c:v>
                </c:pt>
                <c:pt idx="414">
                  <c:v>-22.731167556083175</c:v>
                </c:pt>
                <c:pt idx="415">
                  <c:v>-22.77240587378277</c:v>
                </c:pt>
                <c:pt idx="416">
                  <c:v>-22.813328024986085</c:v>
                </c:pt>
                <c:pt idx="417">
                  <c:v>-22.854895595213776</c:v>
                </c:pt>
                <c:pt idx="418">
                  <c:v>-22.896139074117727</c:v>
                </c:pt>
                <c:pt idx="419">
                  <c:v>-22.937062033011749</c:v>
                </c:pt>
                <c:pt idx="420">
                  <c:v>-22.977667986889866</c:v>
                </c:pt>
                <c:pt idx="421">
                  <c:v>-23.01884865884249</c:v>
                </c:pt>
                <c:pt idx="422">
                  <c:v>-23.059705389345488</c:v>
                </c:pt>
                <c:pt idx="423">
                  <c:v>-23.100241757665128</c:v>
                </c:pt>
                <c:pt idx="424">
                  <c:v>-23.140461286937011</c:v>
                </c:pt>
                <c:pt idx="425">
                  <c:v>-23.181345467140684</c:v>
                </c:pt>
                <c:pt idx="426">
                  <c:v>-23.221904337024046</c:v>
                </c:pt>
                <c:pt idx="427">
                  <c:v>-23.262141511021333</c:v>
                </c:pt>
                <c:pt idx="428">
                  <c:v>-23.302060547073346</c:v>
                </c:pt>
                <c:pt idx="429">
                  <c:v>-23.342574334645057</c:v>
                </c:pt>
                <c:pt idx="430">
                  <c:v>-23.382762503980924</c:v>
                </c:pt>
                <c:pt idx="431">
                  <c:v>-23.422628689391559</c:v>
                </c:pt>
                <c:pt idx="432">
                  <c:v>-23.462176468668304</c:v>
                </c:pt>
                <c:pt idx="433">
                  <c:v>-23.502289885042657</c:v>
                </c:pt>
                <c:pt idx="434">
                  <c:v>-23.542077773439082</c:v>
                </c:pt>
                <c:pt idx="435">
                  <c:v>-23.581543783803692</c:v>
                </c:pt>
                <c:pt idx="436">
                  <c:v>-23.620691509639716</c:v>
                </c:pt>
                <c:pt idx="437">
                  <c:v>-23.660447812942564</c:v>
                </c:pt>
                <c:pt idx="438">
                  <c:v>-23.699877900444459</c:v>
                </c:pt>
                <c:pt idx="439">
                  <c:v>-23.738985453428093</c:v>
                </c:pt>
                <c:pt idx="440">
                  <c:v>-23.777774096503638</c:v>
                </c:pt>
                <c:pt idx="441">
                  <c:v>-23.817140800209128</c:v>
                </c:pt>
                <c:pt idx="442">
                  <c:v>-23.856181051061615</c:v>
                </c:pt>
                <c:pt idx="443">
                  <c:v>-23.89489855699248</c:v>
                </c:pt>
                <c:pt idx="444">
                  <c:v>-23.933296969141917</c:v>
                </c:pt>
                <c:pt idx="445">
                  <c:v>-23.97224403096477</c:v>
                </c:pt>
                <c:pt idx="446">
                  <c:v>-24.010864840341881</c:v>
                </c:pt>
                <c:pt idx="447">
                  <c:v>-24.049163127473648</c:v>
                </c:pt>
                <c:pt idx="448">
                  <c:v>-24.087142565753858</c:v>
                </c:pt>
                <c:pt idx="449">
                  <c:v>-24.1257066130208</c:v>
                </c:pt>
                <c:pt idx="450">
                  <c:v>-24.163943946343295</c:v>
                </c:pt>
                <c:pt idx="451">
                  <c:v>-24.201858332850911</c:v>
                </c:pt>
                <c:pt idx="452">
                  <c:v>-24.239453482567363</c:v>
                </c:pt>
                <c:pt idx="453">
                  <c:v>-24.277571731939389</c:v>
                </c:pt>
                <c:pt idx="454">
                  <c:v>-24.315363825189372</c:v>
                </c:pt>
                <c:pt idx="455">
                  <c:v>-24.352833552366114</c:v>
                </c:pt>
                <c:pt idx="456">
                  <c:v>-24.389984646407928</c:v>
                </c:pt>
                <c:pt idx="457">
                  <c:v>-24.427691168329162</c:v>
                </c:pt>
                <c:pt idx="458">
                  <c:v>-24.465071493605691</c:v>
                </c:pt>
                <c:pt idx="459">
                  <c:v>-24.502129449387038</c:v>
                </c:pt>
                <c:pt idx="460">
                  <c:v>-24.538868805432848</c:v>
                </c:pt>
                <c:pt idx="461">
                  <c:v>-24.576133942575815</c:v>
                </c:pt>
                <c:pt idx="462">
                  <c:v>-24.613073343566001</c:v>
                </c:pt>
                <c:pt idx="463">
                  <c:v>-24.649690867977192</c:v>
                </c:pt>
                <c:pt idx="464">
                  <c:v>-24.685990317816632</c:v>
                </c:pt>
                <c:pt idx="465">
                  <c:v>-24.722815100138167</c:v>
                </c:pt>
                <c:pt idx="466">
                  <c:v>-24.7593146020685</c:v>
                </c:pt>
                <c:pt idx="467">
                  <c:v>-24.795492720037927</c:v>
                </c:pt>
                <c:pt idx="468">
                  <c:v>-24.831353292650995</c:v>
                </c:pt>
                <c:pt idx="469">
                  <c:v>-24.867710505559884</c:v>
                </c:pt>
                <c:pt idx="470">
                  <c:v>-24.903743407483219</c:v>
                </c:pt>
                <c:pt idx="471">
                  <c:v>-24.939455927096628</c:v>
                </c:pt>
                <c:pt idx="472">
                  <c:v>-24.974851935084882</c:v>
                </c:pt>
                <c:pt idx="473">
                  <c:v>-25.010769264028628</c:v>
                </c:pt>
                <c:pt idx="474">
                  <c:v>-25.046362815378181</c:v>
                </c:pt>
                <c:pt idx="475">
                  <c:v>-25.081636562899323</c:v>
                </c:pt>
                <c:pt idx="476">
                  <c:v>-25.116594421950666</c:v>
                </c:pt>
                <c:pt idx="477">
                  <c:v>-25.152044623717625</c:v>
                </c:pt>
                <c:pt idx="478">
                  <c:v>-25.187172143782295</c:v>
                </c:pt>
                <c:pt idx="479">
                  <c:v>-25.221980996011869</c:v>
                </c:pt>
                <c:pt idx="480">
                  <c:v>-25.25647513554582</c:v>
                </c:pt>
                <c:pt idx="481">
                  <c:v>-25.291433974672472</c:v>
                </c:pt>
                <c:pt idx="482">
                  <c:v>-25.326071778295905</c:v>
                </c:pt>
                <c:pt idx="483">
                  <c:v>-25.360392595593133</c:v>
                </c:pt>
                <c:pt idx="484">
                  <c:v>-25.394400416779281</c:v>
                </c:pt>
                <c:pt idx="485">
                  <c:v>-25.428869986702523</c:v>
                </c:pt>
                <c:pt idx="486">
                  <c:v>-25.463020273416124</c:v>
                </c:pt>
                <c:pt idx="487">
                  <c:v>-25.496855365081686</c:v>
                </c:pt>
                <c:pt idx="488">
                  <c:v>-25.530379290581347</c:v>
                </c:pt>
                <c:pt idx="489">
                  <c:v>-25.564383719215602</c:v>
                </c:pt>
                <c:pt idx="490">
                  <c:v>-25.598070339394333</c:v>
                </c:pt>
                <c:pt idx="491">
                  <c:v>-25.631443289793413</c:v>
                </c:pt>
                <c:pt idx="492">
                  <c:v>-25.664506649255252</c:v>
                </c:pt>
                <c:pt idx="493">
                  <c:v>-25.698023147280871</c:v>
                </c:pt>
                <c:pt idx="494">
                  <c:v>-25.731223932199985</c:v>
                </c:pt>
                <c:pt idx="495">
                  <c:v>-25.764113187759925</c:v>
                </c:pt>
                <c:pt idx="496">
                  <c:v>-25.796695037405485</c:v>
                </c:pt>
                <c:pt idx="497">
                  <c:v>-25.829724999958962</c:v>
                </c:pt>
                <c:pt idx="498">
                  <c:v>-25.862441556970129</c:v>
                </c:pt>
                <c:pt idx="499">
                  <c:v>-25.894848939928647</c:v>
                </c:pt>
                <c:pt idx="500">
                  <c:v>-25.926951319474792</c:v>
                </c:pt>
                <c:pt idx="501">
                  <c:v>-25.959496304859066</c:v>
                </c:pt>
                <c:pt idx="502">
                  <c:v>-25.991730438707275</c:v>
                </c:pt>
                <c:pt idx="503">
                  <c:v>-26.023658002566968</c:v>
                </c:pt>
                <c:pt idx="504">
                  <c:v>-26.055283216513825</c:v>
                </c:pt>
                <c:pt idx="505">
                  <c:v>-26.087325816863665</c:v>
                </c:pt>
                <c:pt idx="506">
                  <c:v>-26.119060770227264</c:v>
                </c:pt>
                <c:pt idx="507">
                  <c:v>-26.150492402338621</c:v>
                </c:pt>
                <c:pt idx="508">
                  <c:v>-26.181624976910665</c:v>
                </c:pt>
                <c:pt idx="509">
                  <c:v>-26.213169887007801</c:v>
                </c:pt>
                <c:pt idx="510">
                  <c:v>-26.244410632006513</c:v>
                </c:pt>
                <c:pt idx="511">
                  <c:v>-26.275351583716674</c:v>
                </c:pt>
                <c:pt idx="512">
                  <c:v>-26.30599705129406</c:v>
                </c:pt>
                <c:pt idx="513">
                  <c:v>-26.337067503259032</c:v>
                </c:pt>
                <c:pt idx="514">
                  <c:v>-26.367837235777912</c:v>
                </c:pt>
                <c:pt idx="515">
                  <c:v>-26.398310675832594</c:v>
                </c:pt>
                <c:pt idx="516">
                  <c:v>-26.428492186890171</c:v>
                </c:pt>
                <c:pt idx="517">
                  <c:v>-26.459075084771367</c:v>
                </c:pt>
                <c:pt idx="518">
                  <c:v>-26.489361417390462</c:v>
                </c:pt>
                <c:pt idx="519">
                  <c:v>-26.519355660053151</c:v>
                </c:pt>
                <c:pt idx="520">
                  <c:v>-26.549062223754547</c:v>
                </c:pt>
                <c:pt idx="521">
                  <c:v>-26.579164839744461</c:v>
                </c:pt>
                <c:pt idx="522">
                  <c:v>-26.608975414206185</c:v>
                </c:pt>
                <c:pt idx="523">
                  <c:v>-26.638498471317323</c:v>
                </c:pt>
                <c:pt idx="524">
                  <c:v>-26.667738470064325</c:v>
                </c:pt>
                <c:pt idx="525">
                  <c:v>-26.697369302845186</c:v>
                </c:pt>
                <c:pt idx="526">
                  <c:v>-26.726713015456586</c:v>
                </c:pt>
                <c:pt idx="527">
                  <c:v>-26.755774180988215</c:v>
                </c:pt>
                <c:pt idx="528">
                  <c:v>-26.784557306370495</c:v>
                </c:pt>
                <c:pt idx="529">
                  <c:v>-26.813726269179487</c:v>
                </c:pt>
                <c:pt idx="530">
                  <c:v>-26.8426134571707</c:v>
                </c:pt>
                <c:pt idx="531">
                  <c:v>-26.871223491839942</c:v>
                </c:pt>
                <c:pt idx="532">
                  <c:v>-26.899560927468016</c:v>
                </c:pt>
                <c:pt idx="533">
                  <c:v>-26.928294284441403</c:v>
                </c:pt>
                <c:pt idx="534">
                  <c:v>-26.956751377753019</c:v>
                </c:pt>
                <c:pt idx="535">
                  <c:v>-26.984936883394415</c:v>
                </c:pt>
                <c:pt idx="536">
                  <c:v>-27.012855408854925</c:v>
                </c:pt>
                <c:pt idx="537">
                  <c:v>-27.04113638143572</c:v>
                </c:pt>
                <c:pt idx="538">
                  <c:v>-27.069147646914388</c:v>
                </c:pt>
                <c:pt idx="539">
                  <c:v>-27.096893919550531</c:v>
                </c:pt>
                <c:pt idx="540">
                  <c:v>-27.124379844003595</c:v>
                </c:pt>
                <c:pt idx="541">
                  <c:v>-27.152252649184341</c:v>
                </c:pt>
                <c:pt idx="542">
                  <c:v>-27.179862244753046</c:v>
                </c:pt>
                <c:pt idx="543">
                  <c:v>-27.207213395146916</c:v>
                </c:pt>
                <c:pt idx="544">
                  <c:v>-27.234310793727495</c:v>
                </c:pt>
                <c:pt idx="545">
                  <c:v>-27.261778064887391</c:v>
                </c:pt>
                <c:pt idx="546">
                  <c:v>-27.288989410218697</c:v>
                </c:pt>
                <c:pt idx="547">
                  <c:v>-27.315949633970877</c:v>
                </c:pt>
                <c:pt idx="548">
                  <c:v>-27.342663467886062</c:v>
                </c:pt>
                <c:pt idx="549">
                  <c:v>-27.369744821830466</c:v>
                </c:pt>
                <c:pt idx="550">
                  <c:v>-27.396578054185156</c:v>
                </c:pt>
                <c:pt idx="551">
                  <c:v>-27.423168005087312</c:v>
                </c:pt>
                <c:pt idx="552">
                  <c:v>-27.449519440634074</c:v>
                </c:pt>
                <c:pt idx="553">
                  <c:v>-27.4762490963383</c:v>
                </c:pt>
                <c:pt idx="554">
                  <c:v>-27.50273874664941</c:v>
                </c:pt>
                <c:pt idx="555">
                  <c:v>-27.52899326949986</c:v>
                </c:pt>
                <c:pt idx="556">
                  <c:v>-27.555017467006849</c:v>
                </c:pt>
                <c:pt idx="557">
                  <c:v>-27.607588429470681</c:v>
                </c:pt>
                <c:pt idx="558">
                  <c:v>-27.659253680504197</c:v>
                </c:pt>
                <c:pt idx="559">
                  <c:v>-27.711206056839387</c:v>
                </c:pt>
                <c:pt idx="560">
                  <c:v>-27.762290602092353</c:v>
                </c:pt>
                <c:pt idx="561">
                  <c:v>-27.813728375385729</c:v>
                </c:pt>
                <c:pt idx="562">
                  <c:v>-27.864336913590147</c:v>
                </c:pt>
                <c:pt idx="563">
                  <c:v>-27.915215521210275</c:v>
                </c:pt>
                <c:pt idx="564">
                  <c:v>-27.965309044202456</c:v>
                </c:pt>
                <c:pt idx="565">
                  <c:v>-28.015890680872133</c:v>
                </c:pt>
                <c:pt idx="566">
                  <c:v>-28.065727642315874</c:v>
                </c:pt>
                <c:pt idx="567">
                  <c:v>-28.116058165008621</c:v>
                </c:pt>
                <c:pt idx="568">
                  <c:v>-28.165687668120967</c:v>
                </c:pt>
                <c:pt idx="569">
                  <c:v>-28.215627707267323</c:v>
                </c:pt>
                <c:pt idx="570">
                  <c:v>-28.264918267345291</c:v>
                </c:pt>
                <c:pt idx="571">
                  <c:v>-28.314925514286081</c:v>
                </c:pt>
                <c:pt idx="572">
                  <c:v>-28.36432721460822</c:v>
                </c:pt>
                <c:pt idx="573">
                  <c:v>-28.414088352809603</c:v>
                </c:pt>
                <c:pt idx="574">
                  <c:v>-28.46329934683029</c:v>
                </c:pt>
                <c:pt idx="575">
                  <c:v>-28.513267785051553</c:v>
                </c:pt>
                <c:pt idx="576">
                  <c:v>-28.562735066615605</c:v>
                </c:pt>
                <c:pt idx="577">
                  <c:v>-28.767434445338171</c:v>
                </c:pt>
                <c:pt idx="578">
                  <c:v>-28.966307830525825</c:v>
                </c:pt>
                <c:pt idx="579">
                  <c:v>-29.391386963916275</c:v>
                </c:pt>
                <c:pt idx="580">
                  <c:v>-29.855351512229706</c:v>
                </c:pt>
                <c:pt idx="581">
                  <c:v>-30.374052219798191</c:v>
                </c:pt>
                <c:pt idx="582">
                  <c:v>-30.962195508517564</c:v>
                </c:pt>
                <c:pt idx="583">
                  <c:v>-31.629772783029235</c:v>
                </c:pt>
                <c:pt idx="584">
                  <c:v>-32.382608057931648</c:v>
                </c:pt>
                <c:pt idx="585">
                  <c:v>-33.22032347581009</c:v>
                </c:pt>
                <c:pt idx="586">
                  <c:v>-34.138551365573392</c:v>
                </c:pt>
                <c:pt idx="587">
                  <c:v>-35.130272151513289</c:v>
                </c:pt>
                <c:pt idx="588">
                  <c:v>-36.185363412135921</c:v>
                </c:pt>
                <c:pt idx="589">
                  <c:v>-37.295048059340957</c:v>
                </c:pt>
                <c:pt idx="590">
                  <c:v>-38.449624337509064</c:v>
                </c:pt>
                <c:pt idx="591">
                  <c:v>-39.640526364225842</c:v>
                </c:pt>
                <c:pt idx="592">
                  <c:v>-40.859622525651069</c:v>
                </c:pt>
                <c:pt idx="593">
                  <c:v>-42.099926493628814</c:v>
                </c:pt>
                <c:pt idx="594">
                  <c:v>-43.35426403127542</c:v>
                </c:pt>
                <c:pt idx="595">
                  <c:v>-44.616445860417173</c:v>
                </c:pt>
                <c:pt idx="596">
                  <c:v>-45.880135886661996</c:v>
                </c:pt>
                <c:pt idx="597">
                  <c:v>-47.139892245797661</c:v>
                </c:pt>
                <c:pt idx="598">
                  <c:v>-48.390112779998617</c:v>
                </c:pt>
                <c:pt idx="599">
                  <c:v>-49.6263284586433</c:v>
                </c:pt>
                <c:pt idx="600">
                  <c:v>-50.844161910882207</c:v>
                </c:pt>
              </c:numCache>
            </c:numRef>
          </c:yVal>
          <c:smooth val="1"/>
          <c:extLst>
            <c:ext xmlns:c16="http://schemas.microsoft.com/office/drawing/2014/chart" uri="{C3380CC4-5D6E-409C-BE32-E72D297353CC}">
              <c16:uniqueId val="{00000002-5922-4F18-8E00-ECB0DEBA2AF6}"/>
            </c:ext>
          </c:extLst>
        </c:ser>
        <c:ser>
          <c:idx val="0"/>
          <c:order val="3"/>
          <c:tx>
            <c:strRef>
              <c:f>'IL Stability Calculations'!$AW$12</c:f>
              <c:strCache>
                <c:ptCount val="1"/>
                <c:pt idx="0">
                  <c:v>Gain(dB)</c:v>
                </c:pt>
              </c:strCache>
            </c:strRef>
          </c:tx>
          <c:spPr>
            <a:ln w="25400">
              <a:solidFill>
                <a:srgbClr val="FF0000"/>
              </a:solidFill>
              <a:prstDash val="solid"/>
            </a:ln>
          </c:spPr>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Calculations'!$AW$13:$AW$613</c:f>
              <c:numCache>
                <c:formatCode>0.0000</c:formatCode>
                <c:ptCount val="601"/>
                <c:pt idx="0">
                  <c:v>53.301693918165824</c:v>
                </c:pt>
                <c:pt idx="1">
                  <c:v>53.239748324832263</c:v>
                </c:pt>
                <c:pt idx="2">
                  <c:v>53.16643036699395</c:v>
                </c:pt>
                <c:pt idx="3">
                  <c:v>53.079895592729542</c:v>
                </c:pt>
                <c:pt idx="4">
                  <c:v>52.978165581215954</c:v>
                </c:pt>
                <c:pt idx="5">
                  <c:v>52.858817701551651</c:v>
                </c:pt>
                <c:pt idx="6">
                  <c:v>52.719591905694287</c:v>
                </c:pt>
                <c:pt idx="7">
                  <c:v>52.557860438473305</c:v>
                </c:pt>
                <c:pt idx="8">
                  <c:v>52.371146720827966</c:v>
                </c:pt>
                <c:pt idx="9">
                  <c:v>52.156732879016488</c:v>
                </c:pt>
                <c:pt idx="10">
                  <c:v>51.912278325094114</c:v>
                </c:pt>
                <c:pt idx="11">
                  <c:v>51.635534839826988</c:v>
                </c:pt>
                <c:pt idx="12">
                  <c:v>51.324455837274883</c:v>
                </c:pt>
                <c:pt idx="13">
                  <c:v>50.977915854884259</c:v>
                </c:pt>
                <c:pt idx="14">
                  <c:v>50.594764153352749</c:v>
                </c:pt>
                <c:pt idx="15">
                  <c:v>50.174850700819619</c:v>
                </c:pt>
                <c:pt idx="16">
                  <c:v>49.718478789654682</c:v>
                </c:pt>
                <c:pt idx="17">
                  <c:v>49.226649319401346</c:v>
                </c:pt>
                <c:pt idx="18">
                  <c:v>48.700683243681283</c:v>
                </c:pt>
                <c:pt idx="19">
                  <c:v>48.14263011644843</c:v>
                </c:pt>
                <c:pt idx="20">
                  <c:v>47.554627678729553</c:v>
                </c:pt>
                <c:pt idx="21">
                  <c:v>46.939266438095892</c:v>
                </c:pt>
                <c:pt idx="22">
                  <c:v>46.298996308623863</c:v>
                </c:pt>
                <c:pt idx="23">
                  <c:v>45.636570464133392</c:v>
                </c:pt>
                <c:pt idx="24">
                  <c:v>44.954347181110272</c:v>
                </c:pt>
                <c:pt idx="25">
                  <c:v>44.254827150455746</c:v>
                </c:pt>
                <c:pt idx="26">
                  <c:v>43.540071252569234</c:v>
                </c:pt>
                <c:pt idx="27">
                  <c:v>42.812338309138902</c:v>
                </c:pt>
                <c:pt idx="28">
                  <c:v>42.073431316785573</c:v>
                </c:pt>
                <c:pt idx="29">
                  <c:v>41.325442642861823</c:v>
                </c:pt>
                <c:pt idx="30">
                  <c:v>40.568528697379087</c:v>
                </c:pt>
                <c:pt idx="31">
                  <c:v>39.804981542257806</c:v>
                </c:pt>
                <c:pt idx="32">
                  <c:v>39.0353590500062</c:v>
                </c:pt>
                <c:pt idx="33">
                  <c:v>38.261134392118528</c:v>
                </c:pt>
                <c:pt idx="34">
                  <c:v>37.482501960520068</c:v>
                </c:pt>
                <c:pt idx="35">
                  <c:v>36.700573630965401</c:v>
                </c:pt>
                <c:pt idx="36">
                  <c:v>35.915804970307569</c:v>
                </c:pt>
                <c:pt idx="37">
                  <c:v>35.128259498387003</c:v>
                </c:pt>
                <c:pt idx="38">
                  <c:v>34.339101399958103</c:v>
                </c:pt>
                <c:pt idx="39">
                  <c:v>33.548047493198695</c:v>
                </c:pt>
                <c:pt idx="40">
                  <c:v>32.755696144619996</c:v>
                </c:pt>
                <c:pt idx="41">
                  <c:v>31.9622354775607</c:v>
                </c:pt>
                <c:pt idx="42">
                  <c:v>31.167995080843664</c:v>
                </c:pt>
                <c:pt idx="43">
                  <c:v>30.372932252563984</c:v>
                </c:pt>
                <c:pt idx="44">
                  <c:v>29.577425769478978</c:v>
                </c:pt>
                <c:pt idx="45">
                  <c:v>28.781464737739295</c:v>
                </c:pt>
                <c:pt idx="46">
                  <c:v>27.985346547163026</c:v>
                </c:pt>
                <c:pt idx="47">
                  <c:v>27.189028074359594</c:v>
                </c:pt>
                <c:pt idx="48">
                  <c:v>26.392829453902596</c:v>
                </c:pt>
                <c:pt idx="49">
                  <c:v>25.596671488990278</c:v>
                </c:pt>
                <c:pt idx="50">
                  <c:v>24.800805296395559</c:v>
                </c:pt>
                <c:pt idx="51">
                  <c:v>24.005182037300109</c:v>
                </c:pt>
                <c:pt idx="52">
                  <c:v>23.210204541651827</c:v>
                </c:pt>
                <c:pt idx="53">
                  <c:v>22.416008832086156</c:v>
                </c:pt>
                <c:pt idx="54">
                  <c:v>21.623276940061519</c:v>
                </c:pt>
                <c:pt idx="55">
                  <c:v>20.830886776324018</c:v>
                </c:pt>
                <c:pt idx="56">
                  <c:v>20.040198771132207</c:v>
                </c:pt>
                <c:pt idx="57">
                  <c:v>19.250969397429365</c:v>
                </c:pt>
                <c:pt idx="58">
                  <c:v>18.464101317502926</c:v>
                </c:pt>
                <c:pt idx="59">
                  <c:v>17.679383525959409</c:v>
                </c:pt>
                <c:pt idx="60">
                  <c:v>16.897717004834185</c:v>
                </c:pt>
                <c:pt idx="61">
                  <c:v>16.119510054612412</c:v>
                </c:pt>
                <c:pt idx="62">
                  <c:v>15.344952503104794</c:v>
                </c:pt>
                <c:pt idx="63">
                  <c:v>14.575470882565625</c:v>
                </c:pt>
                <c:pt idx="64">
                  <c:v>13.81121845003479</c:v>
                </c:pt>
                <c:pt idx="65">
                  <c:v>13.053344280734212</c:v>
                </c:pt>
                <c:pt idx="66">
                  <c:v>12.302716835035572</c:v>
                </c:pt>
                <c:pt idx="67">
                  <c:v>11.560432690214807</c:v>
                </c:pt>
                <c:pt idx="68">
                  <c:v>10.827303049973775</c:v>
                </c:pt>
                <c:pt idx="69">
                  <c:v>10.104548006414262</c:v>
                </c:pt>
                <c:pt idx="70">
                  <c:v>9.3929884329074174</c:v>
                </c:pt>
                <c:pt idx="71">
                  <c:v>8.6936088683760779</c:v>
                </c:pt>
                <c:pt idx="72">
                  <c:v>8.0068931093460129</c:v>
                </c:pt>
                <c:pt idx="73">
                  <c:v>7.3333473662054152</c:v>
                </c:pt>
                <c:pt idx="74">
                  <c:v>6.6727501036333559</c:v>
                </c:pt>
                <c:pt idx="75">
                  <c:v>6.0246887364561621</c:v>
                </c:pt>
                <c:pt idx="76">
                  <c:v>5.3879751801707352</c:v>
                </c:pt>
                <c:pt idx="77">
                  <c:v>4.7612300960688252</c:v>
                </c:pt>
                <c:pt idx="78">
                  <c:v>4.1423272374887183</c:v>
                </c:pt>
                <c:pt idx="79">
                  <c:v>3.5291101366330091</c:v>
                </c:pt>
                <c:pt idx="80">
                  <c:v>2.9177008738274282</c:v>
                </c:pt>
                <c:pt idx="81">
                  <c:v>2.3059692939195435</c:v>
                </c:pt>
                <c:pt idx="82">
                  <c:v>1.6905511665142912</c:v>
                </c:pt>
                <c:pt idx="83">
                  <c:v>1.0691552419408294</c:v>
                </c:pt>
                <c:pt idx="84">
                  <c:v>0.43894047338946834</c:v>
                </c:pt>
                <c:pt idx="85">
                  <c:v>-0.20162373793281216</c:v>
                </c:pt>
                <c:pt idx="86">
                  <c:v>-0.85397745160060834</c:v>
                </c:pt>
                <c:pt idx="87">
                  <c:v>-1.5192814807381418</c:v>
                </c:pt>
                <c:pt idx="88">
                  <c:v>-2.1971947060390633</c:v>
                </c:pt>
                <c:pt idx="89">
                  <c:v>-2.8881105867253871</c:v>
                </c:pt>
                <c:pt idx="90">
                  <c:v>-3.59126599028327</c:v>
                </c:pt>
                <c:pt idx="91">
                  <c:v>-4.3059470334908019</c:v>
                </c:pt>
                <c:pt idx="92">
                  <c:v>-5.0310991841719854</c:v>
                </c:pt>
                <c:pt idx="93">
                  <c:v>-5.7658756068314299</c:v>
                </c:pt>
                <c:pt idx="94">
                  <c:v>-5.9508501404244374</c:v>
                </c:pt>
                <c:pt idx="95">
                  <c:v>-6.044102903210451</c:v>
                </c:pt>
                <c:pt idx="96">
                  <c:v>-6.1364121764063206</c:v>
                </c:pt>
                <c:pt idx="97">
                  <c:v>-6.2299033889387276</c:v>
                </c:pt>
                <c:pt idx="98">
                  <c:v>-6.3224441542832732</c:v>
                </c:pt>
                <c:pt idx="99">
                  <c:v>-6.4161885795629985</c:v>
                </c:pt>
                <c:pt idx="100">
                  <c:v>-6.5089752447699789</c:v>
                </c:pt>
                <c:pt idx="101">
                  <c:v>-6.6029149614242799</c:v>
                </c:pt>
                <c:pt idx="102">
                  <c:v>-6.6958907346265564</c:v>
                </c:pt>
                <c:pt idx="103">
                  <c:v>-6.7901073956562747</c:v>
                </c:pt>
                <c:pt idx="104">
                  <c:v>-6.8833522154927049</c:v>
                </c:pt>
                <c:pt idx="105">
                  <c:v>-6.977785296694937</c:v>
                </c:pt>
                <c:pt idx="106">
                  <c:v>-7.0712398346908696</c:v>
                </c:pt>
                <c:pt idx="107">
                  <c:v>-7.1658319094271921</c:v>
                </c:pt>
                <c:pt idx="108">
                  <c:v>-7.2594398913413807</c:v>
                </c:pt>
                <c:pt idx="109">
                  <c:v>-7.3542007297366343</c:v>
                </c:pt>
                <c:pt idx="110">
                  <c:v>-7.4479716985537774</c:v>
                </c:pt>
                <c:pt idx="111">
                  <c:v>-7.5429715106361588</c:v>
                </c:pt>
                <c:pt idx="112">
                  <c:v>-7.6369741854585893</c:v>
                </c:pt>
                <c:pt idx="113">
                  <c:v>-7.7321526483717573</c:v>
                </c:pt>
                <c:pt idx="114">
                  <c:v>-7.8263279341938468</c:v>
                </c:pt>
                <c:pt idx="115">
                  <c:v>-7.921688160249718</c:v>
                </c:pt>
                <c:pt idx="116">
                  <c:v>-8.0160390787250542</c:v>
                </c:pt>
                <c:pt idx="117">
                  <c:v>-8.1115822265989639</c:v>
                </c:pt>
                <c:pt idx="118">
                  <c:v>-8.2061098861785524</c:v>
                </c:pt>
                <c:pt idx="119">
                  <c:v>-8.3017775925978761</c:v>
                </c:pt>
                <c:pt idx="120">
                  <c:v>-8.3964248431900206</c:v>
                </c:pt>
                <c:pt idx="121">
                  <c:v>-8.492218444394128</c:v>
                </c:pt>
                <c:pt idx="122">
                  <c:v>-8.5869865775912828</c:v>
                </c:pt>
                <c:pt idx="123">
                  <c:v>-8.6829609907057943</c:v>
                </c:pt>
                <c:pt idx="124">
                  <c:v>-8.7779037314347406</c:v>
                </c:pt>
                <c:pt idx="125">
                  <c:v>-8.87399939118567</c:v>
                </c:pt>
                <c:pt idx="126">
                  <c:v>-8.9690584241147846</c:v>
                </c:pt>
                <c:pt idx="127">
                  <c:v>-9.0652720188440821</c:v>
                </c:pt>
                <c:pt idx="128">
                  <c:v>-9.1604440836786996</c:v>
                </c:pt>
                <c:pt idx="129">
                  <c:v>-9.2567709616200382</c:v>
                </c:pt>
                <c:pt idx="130">
                  <c:v>-9.3520514856586221</c:v>
                </c:pt>
                <c:pt idx="131">
                  <c:v>-9.4484857623667775</c:v>
                </c:pt>
                <c:pt idx="132">
                  <c:v>-9.496307389473893</c:v>
                </c:pt>
                <c:pt idx="133">
                  <c:v>-9.5438689657300468</c:v>
                </c:pt>
                <c:pt idx="134">
                  <c:v>-9.592294552381853</c:v>
                </c:pt>
                <c:pt idx="135">
                  <c:v>-9.6404531892799774</c:v>
                </c:pt>
                <c:pt idx="136">
                  <c:v>-9.6883476507850688</c:v>
                </c:pt>
                <c:pt idx="137">
                  <c:v>-9.7359806690062083</c:v>
                </c:pt>
                <c:pt idx="138">
                  <c:v>-9.7844275281546071</c:v>
                </c:pt>
                <c:pt idx="139">
                  <c:v>-9.8326065860672163</c:v>
                </c:pt>
                <c:pt idx="140">
                  <c:v>-9.8805206334560776</c:v>
                </c:pt>
                <c:pt idx="141">
                  <c:v>-9.9281724183740785</c:v>
                </c:pt>
                <c:pt idx="142">
                  <c:v>-9.9766853503648729</c:v>
                </c:pt>
                <c:pt idx="143">
                  <c:v>-10.024929128946013</c:v>
                </c:pt>
                <c:pt idx="144">
                  <c:v>-10.072906568888932</c:v>
                </c:pt>
                <c:pt idx="145">
                  <c:v>-10.120620441738621</c:v>
                </c:pt>
                <c:pt idx="146">
                  <c:v>-10.169169615023621</c:v>
                </c:pt>
                <c:pt idx="147">
                  <c:v>-10.217448604391357</c:v>
                </c:pt>
                <c:pt idx="148">
                  <c:v>-10.2654602435403</c:v>
                </c:pt>
                <c:pt idx="149">
                  <c:v>-10.313207322479583</c:v>
                </c:pt>
                <c:pt idx="150">
                  <c:v>-10.361787438563573</c:v>
                </c:pt>
                <c:pt idx="151">
                  <c:v>-10.410096391278516</c:v>
                </c:pt>
                <c:pt idx="152">
                  <c:v>-10.458137032321424</c:v>
                </c:pt>
                <c:pt idx="153">
                  <c:v>-10.505912169254625</c:v>
                </c:pt>
                <c:pt idx="154">
                  <c:v>-10.554539888375686</c:v>
                </c:pt>
                <c:pt idx="155">
                  <c:v>-10.602895270075985</c:v>
                </c:pt>
                <c:pt idx="156">
                  <c:v>-10.650981186984232</c:v>
                </c:pt>
                <c:pt idx="157">
                  <c:v>-10.698800467087384</c:v>
                </c:pt>
                <c:pt idx="158">
                  <c:v>-10.74746835514922</c:v>
                </c:pt>
                <c:pt idx="159">
                  <c:v>-10.795862804152916</c:v>
                </c:pt>
                <c:pt idx="160">
                  <c:v>-10.84398670638619</c:v>
                </c:pt>
                <c:pt idx="161">
                  <c:v>-10.891842909012635</c:v>
                </c:pt>
                <c:pt idx="162">
                  <c:v>-10.940521988306052</c:v>
                </c:pt>
                <c:pt idx="163">
                  <c:v>-10.98892684129008</c:v>
                </c:pt>
                <c:pt idx="164">
                  <c:v>-11.0370603747823</c:v>
                </c:pt>
                <c:pt idx="165">
                  <c:v>-11.084925450101142</c:v>
                </c:pt>
                <c:pt idx="166">
                  <c:v>-11.133651017053086</c:v>
                </c:pt>
                <c:pt idx="167">
                  <c:v>-11.182101162366653</c:v>
                </c:pt>
                <c:pt idx="168">
                  <c:v>-11.230278813704832</c:v>
                </c:pt>
                <c:pt idx="169">
                  <c:v>-11.278186852724719</c:v>
                </c:pt>
                <c:pt idx="170">
                  <c:v>-11.326847557600617</c:v>
                </c:pt>
                <c:pt idx="171">
                  <c:v>-11.375232889741332</c:v>
                </c:pt>
                <c:pt idx="172">
                  <c:v>-11.423345777691177</c:v>
                </c:pt>
                <c:pt idx="173">
                  <c:v>-11.471189103899446</c:v>
                </c:pt>
                <c:pt idx="174">
                  <c:v>-11.519961693423467</c:v>
                </c:pt>
                <c:pt idx="175">
                  <c:v>-11.568456949596925</c:v>
                </c:pt>
                <c:pt idx="176">
                  <c:v>-11.616677833673927</c:v>
                </c:pt>
                <c:pt idx="177">
                  <c:v>-11.664627260059204</c:v>
                </c:pt>
                <c:pt idx="178">
                  <c:v>-11.713477217443501</c:v>
                </c:pt>
                <c:pt idx="179">
                  <c:v>-11.762048250207753</c:v>
                </c:pt>
                <c:pt idx="180">
                  <c:v>-11.810343346319961</c:v>
                </c:pt>
                <c:pt idx="181">
                  <c:v>-11.858365446267882</c:v>
                </c:pt>
                <c:pt idx="182">
                  <c:v>-11.907069748595593</c:v>
                </c:pt>
                <c:pt idx="183">
                  <c:v>-11.955496058793251</c:v>
                </c:pt>
                <c:pt idx="184">
                  <c:v>-12.003647350933054</c:v>
                </c:pt>
                <c:pt idx="185">
                  <c:v>-12.051526551834604</c:v>
                </c:pt>
                <c:pt idx="186">
                  <c:v>-12.100439713596822</c:v>
                </c:pt>
                <c:pt idx="187">
                  <c:v>-12.149071755914216</c:v>
                </c:pt>
                <c:pt idx="188">
                  <c:v>-12.197425703878951</c:v>
                </c:pt>
                <c:pt idx="189">
                  <c:v>-12.245504534186125</c:v>
                </c:pt>
                <c:pt idx="190">
                  <c:v>-12.294220888798503</c:v>
                </c:pt>
                <c:pt idx="191">
                  <c:v>-12.342657617580359</c:v>
                </c:pt>
                <c:pt idx="192">
                  <c:v>-12.390817722213948</c:v>
                </c:pt>
                <c:pt idx="193">
                  <c:v>-12.438704156420277</c:v>
                </c:pt>
                <c:pt idx="194">
                  <c:v>-12.4875645615769</c:v>
                </c:pt>
                <c:pt idx="195">
                  <c:v>-12.53614291049653</c:v>
                </c:pt>
                <c:pt idx="196">
                  <c:v>-12.584442244359657</c:v>
                </c:pt>
                <c:pt idx="197">
                  <c:v>-12.632465555484309</c:v>
                </c:pt>
                <c:pt idx="198">
                  <c:v>-12.681258380446785</c:v>
                </c:pt>
                <c:pt idx="199">
                  <c:v>-12.729769128065673</c:v>
                </c:pt>
                <c:pt idx="200">
                  <c:v>-12.778000840022063</c:v>
                </c:pt>
                <c:pt idx="201">
                  <c:v>-12.825956509067233</c:v>
                </c:pt>
                <c:pt idx="202">
                  <c:v>-12.874657882132478</c:v>
                </c:pt>
                <c:pt idx="203">
                  <c:v>-12.923077415106388</c:v>
                </c:pt>
                <c:pt idx="204">
                  <c:v>-12.971218145778892</c:v>
                </c:pt>
                <c:pt idx="205">
                  <c:v>-13.019083063038856</c:v>
                </c:pt>
                <c:pt idx="206">
                  <c:v>-13.067836551666041</c:v>
                </c:pt>
                <c:pt idx="207">
                  <c:v>-13.116306758143676</c:v>
                </c:pt>
                <c:pt idx="208">
                  <c:v>-13.164496743252091</c:v>
                </c:pt>
                <c:pt idx="209">
                  <c:v>-13.212409518325497</c:v>
                </c:pt>
                <c:pt idx="210">
                  <c:v>-13.261344938487309</c:v>
                </c:pt>
                <c:pt idx="211">
                  <c:v>-13.309994091183695</c:v>
                </c:pt>
                <c:pt idx="212">
                  <c:v>-13.35836008504759</c:v>
                </c:pt>
                <c:pt idx="213">
                  <c:v>-13.406445978183184</c:v>
                </c:pt>
                <c:pt idx="214">
                  <c:v>-13.455204982177463</c:v>
                </c:pt>
                <c:pt idx="215">
                  <c:v>-13.503678877296597</c:v>
                </c:pt>
                <c:pt idx="216">
                  <c:v>-13.551870752618767</c:v>
                </c:pt>
                <c:pt idx="217">
                  <c:v>-13.599783647069145</c:v>
                </c:pt>
                <c:pt idx="218">
                  <c:v>-13.648503538953156</c:v>
                </c:pt>
                <c:pt idx="219">
                  <c:v>-13.696937857291662</c:v>
                </c:pt>
                <c:pt idx="220">
                  <c:v>-13.745089697717244</c:v>
                </c:pt>
                <c:pt idx="221">
                  <c:v>-13.792962105522628</c:v>
                </c:pt>
                <c:pt idx="222">
                  <c:v>-13.841616006160059</c:v>
                </c:pt>
                <c:pt idx="223">
                  <c:v>-13.8899841562563</c:v>
                </c:pt>
                <c:pt idx="224">
                  <c:v>-13.938069653106879</c:v>
                </c:pt>
                <c:pt idx="225">
                  <c:v>-13.985875543589408</c:v>
                </c:pt>
                <c:pt idx="226">
                  <c:v>-14.034585848407444</c:v>
                </c:pt>
                <c:pt idx="227">
                  <c:v>-14.08300875967937</c:v>
                </c:pt>
                <c:pt idx="228">
                  <c:v>-14.131147399933695</c:v>
                </c:pt>
                <c:pt idx="229">
                  <c:v>-14.179004840693125</c:v>
                </c:pt>
                <c:pt idx="230">
                  <c:v>-14.276181696391232</c:v>
                </c:pt>
                <c:pt idx="231">
                  <c:v>-14.324340250970975</c:v>
                </c:pt>
                <c:pt idx="232">
                  <c:v>-14.372216360870276</c:v>
                </c:pt>
                <c:pt idx="233">
                  <c:v>-14.420939587613756</c:v>
                </c:pt>
                <c:pt idx="234">
                  <c:v>-14.469373194516029</c:v>
                </c:pt>
                <c:pt idx="235">
                  <c:v>-14.517520336739189</c:v>
                </c:pt>
                <c:pt idx="236">
                  <c:v>-14.565384117657246</c:v>
                </c:pt>
                <c:pt idx="237">
                  <c:v>-14.61393017133933</c:v>
                </c:pt>
                <c:pt idx="238">
                  <c:v>-14.662187615139825</c:v>
                </c:pt>
                <c:pt idx="239">
                  <c:v>-14.710159585636474</c:v>
                </c:pt>
                <c:pt idx="240">
                  <c:v>-14.757849167992344</c:v>
                </c:pt>
                <c:pt idx="241">
                  <c:v>-14.806467954367758</c:v>
                </c:pt>
                <c:pt idx="242">
                  <c:v>-14.854796139389334</c:v>
                </c:pt>
                <c:pt idx="243">
                  <c:v>-14.902836889681449</c:v>
                </c:pt>
                <c:pt idx="244">
                  <c:v>-14.950593319767549</c:v>
                </c:pt>
                <c:pt idx="245">
                  <c:v>-14.999117412226132</c:v>
                </c:pt>
                <c:pt idx="246">
                  <c:v>-15.047350861976987</c:v>
                </c:pt>
                <c:pt idx="247">
                  <c:v>-15.095296833706231</c:v>
                </c:pt>
                <c:pt idx="248">
                  <c:v>-15.142958440015168</c:v>
                </c:pt>
                <c:pt idx="249">
                  <c:v>-15.191490870970769</c:v>
                </c:pt>
                <c:pt idx="250">
                  <c:v>-15.239731345407412</c:v>
                </c:pt>
                <c:pt idx="251">
                  <c:v>-15.287683046582707</c:v>
                </c:pt>
                <c:pt idx="252">
                  <c:v>-15.3353491052388</c:v>
                </c:pt>
                <c:pt idx="253">
                  <c:v>-15.383732394820562</c:v>
                </c:pt>
                <c:pt idx="254">
                  <c:v>-15.43182425913875</c:v>
                </c:pt>
                <c:pt idx="255">
                  <c:v>-15.479627869726318</c:v>
                </c:pt>
                <c:pt idx="256">
                  <c:v>-15.527146345837483</c:v>
                </c:pt>
                <c:pt idx="257">
                  <c:v>-15.575602775598718</c:v>
                </c:pt>
                <c:pt idx="258">
                  <c:v>-15.623765592710093</c:v>
                </c:pt>
                <c:pt idx="259">
                  <c:v>-15.671638001065649</c:v>
                </c:pt>
                <c:pt idx="260">
                  <c:v>-15.719223151552598</c:v>
                </c:pt>
                <c:pt idx="261">
                  <c:v>-15.767595887265172</c:v>
                </c:pt>
                <c:pt idx="262">
                  <c:v>-15.815674661175516</c:v>
                </c:pt>
                <c:pt idx="263">
                  <c:v>-15.86346267933777</c:v>
                </c:pt>
                <c:pt idx="264">
                  <c:v>-15.910963094737625</c:v>
                </c:pt>
                <c:pt idx="265">
                  <c:v>-15.959225043051365</c:v>
                </c:pt>
                <c:pt idx="266">
                  <c:v>-16.00719296208888</c:v>
                </c:pt>
                <c:pt idx="267">
                  <c:v>-16.054870055255133</c:v>
                </c:pt>
                <c:pt idx="268">
                  <c:v>-16.102259472933923</c:v>
                </c:pt>
                <c:pt idx="269">
                  <c:v>-16.15049861733554</c:v>
                </c:pt>
                <c:pt idx="270">
                  <c:v>-16.198442544227809</c:v>
                </c:pt>
                <c:pt idx="271">
                  <c:v>-16.246094472422694</c:v>
                </c:pt>
                <c:pt idx="272">
                  <c:v>-16.293457567364506</c:v>
                </c:pt>
                <c:pt idx="273">
                  <c:v>-16.341641833975743</c:v>
                </c:pt>
                <c:pt idx="274">
                  <c:v>-16.3895300274568</c:v>
                </c:pt>
                <c:pt idx="275">
                  <c:v>-16.437125376385836</c:v>
                </c:pt>
                <c:pt idx="276">
                  <c:v>-16.484431055753884</c:v>
                </c:pt>
                <c:pt idx="277">
                  <c:v>-16.532422228538568</c:v>
                </c:pt>
                <c:pt idx="278">
                  <c:v>-16.580118112329366</c:v>
                </c:pt>
                <c:pt idx="279">
                  <c:v>-16.627521918548339</c:v>
                </c:pt>
                <c:pt idx="280">
                  <c:v>-16.674636805408603</c:v>
                </c:pt>
                <c:pt idx="281">
                  <c:v>-16.722730439638326</c:v>
                </c:pt>
                <c:pt idx="282">
                  <c:v>-16.770525876096823</c:v>
                </c:pt>
                <c:pt idx="283">
                  <c:v>-16.818026369017389</c:v>
                </c:pt>
                <c:pt idx="284">
                  <c:v>-16.865235118483454</c:v>
                </c:pt>
                <c:pt idx="285">
                  <c:v>-16.913080472962729</c:v>
                </c:pt>
                <c:pt idx="286">
                  <c:v>-16.96062898317129</c:v>
                </c:pt>
                <c:pt idx="287">
                  <c:v>-17.007883876492592</c:v>
                </c:pt>
                <c:pt idx="288">
                  <c:v>-17.054848326761135</c:v>
                </c:pt>
                <c:pt idx="289">
                  <c:v>-17.102728838725998</c:v>
                </c:pt>
                <c:pt idx="290">
                  <c:v>-17.15031028920486</c:v>
                </c:pt>
                <c:pt idx="291">
                  <c:v>-17.197595936710165</c:v>
                </c:pt>
                <c:pt idx="292">
                  <c:v>-17.244588985530356</c:v>
                </c:pt>
                <c:pt idx="293">
                  <c:v>-17.292368474901281</c:v>
                </c:pt>
                <c:pt idx="294">
                  <c:v>-17.339848302901192</c:v>
                </c:pt>
                <c:pt idx="295">
                  <c:v>-17.387031732642665</c:v>
                </c:pt>
                <c:pt idx="296">
                  <c:v>-17.433921972929046</c:v>
                </c:pt>
                <c:pt idx="297">
                  <c:v>-17.481571425600674</c:v>
                </c:pt>
                <c:pt idx="298">
                  <c:v>-17.528920912448093</c:v>
                </c:pt>
                <c:pt idx="299">
                  <c:v>-17.575973696206077</c:v>
                </c:pt>
                <c:pt idx="300">
                  <c:v>-17.622732985330472</c:v>
                </c:pt>
                <c:pt idx="301">
                  <c:v>-17.670225104111079</c:v>
                </c:pt>
                <c:pt idx="302">
                  <c:v>-17.717417228652302</c:v>
                </c:pt>
                <c:pt idx="303">
                  <c:v>-17.764312616681401</c:v>
                </c:pt>
                <c:pt idx="304">
                  <c:v>-17.810914471783214</c:v>
                </c:pt>
                <c:pt idx="305">
                  <c:v>-17.858404976935134</c:v>
                </c:pt>
                <c:pt idx="306">
                  <c:v>-17.905593418988307</c:v>
                </c:pt>
                <c:pt idx="307">
                  <c:v>-17.952483083685454</c:v>
                </c:pt>
                <c:pt idx="308">
                  <c:v>-17.999077202039086</c:v>
                </c:pt>
                <c:pt idx="309">
                  <c:v>-18.046351536226194</c:v>
                </c:pt>
                <c:pt idx="310">
                  <c:v>-18.093324375844315</c:v>
                </c:pt>
                <c:pt idx="311">
                  <c:v>-18.139998991646824</c:v>
                </c:pt>
                <c:pt idx="312">
                  <c:v>-18.186378600025606</c:v>
                </c:pt>
                <c:pt idx="313">
                  <c:v>-18.233586836479493</c:v>
                </c:pt>
                <c:pt idx="314">
                  <c:v>-18.280492162452276</c:v>
                </c:pt>
                <c:pt idx="315">
                  <c:v>-18.32709786583737</c:v>
                </c:pt>
                <c:pt idx="316">
                  <c:v>-18.373407179830679</c:v>
                </c:pt>
                <c:pt idx="317">
                  <c:v>-18.42051535779661</c:v>
                </c:pt>
                <c:pt idx="318">
                  <c:v>-18.467319552798315</c:v>
                </c:pt>
                <c:pt idx="319">
                  <c:v>-18.51382306419012</c:v>
                </c:pt>
                <c:pt idx="320">
                  <c:v>-18.560029136424109</c:v>
                </c:pt>
                <c:pt idx="321">
                  <c:v>-18.607005201330558</c:v>
                </c:pt>
                <c:pt idx="322">
                  <c:v>-18.653676534257158</c:v>
                </c:pt>
                <c:pt idx="323">
                  <c:v>-18.700046440689395</c:v>
                </c:pt>
                <c:pt idx="324">
                  <c:v>-18.746118171130224</c:v>
                </c:pt>
                <c:pt idx="325">
                  <c:v>-18.792931899554432</c:v>
                </c:pt>
                <c:pt idx="326">
                  <c:v>-18.839440450860092</c:v>
                </c:pt>
                <c:pt idx="327">
                  <c:v>-18.885647131687509</c:v>
                </c:pt>
                <c:pt idx="328">
                  <c:v>-18.931555193732343</c:v>
                </c:pt>
                <c:pt idx="329">
                  <c:v>-18.978255826105645</c:v>
                </c:pt>
                <c:pt idx="330">
                  <c:v>-19.024650104524703</c:v>
                </c:pt>
                <c:pt idx="331">
                  <c:v>-19.070741348624992</c:v>
                </c:pt>
                <c:pt idx="332">
                  <c:v>-19.116532822879233</c:v>
                </c:pt>
                <c:pt idx="333">
                  <c:v>-19.163011842360778</c:v>
                </c:pt>
                <c:pt idx="334">
                  <c:v>-19.209184657611186</c:v>
                </c:pt>
                <c:pt idx="335">
                  <c:v>-19.255054579782399</c:v>
                </c:pt>
                <c:pt idx="336">
                  <c:v>-19.300624865128519</c:v>
                </c:pt>
                <c:pt idx="337">
                  <c:v>-19.347004674430835</c:v>
                </c:pt>
                <c:pt idx="338">
                  <c:v>-19.393076726871538</c:v>
                </c:pt>
                <c:pt idx="339">
                  <c:v>-19.438844352719908</c:v>
                </c:pt>
                <c:pt idx="340">
                  <c:v>-19.484310827010273</c:v>
                </c:pt>
                <c:pt idx="341">
                  <c:v>-19.530556335214705</c:v>
                </c:pt>
                <c:pt idx="342">
                  <c:v>-19.57649288755751</c:v>
                </c:pt>
                <c:pt idx="343">
                  <c:v>-19.622123827768842</c:v>
                </c:pt>
                <c:pt idx="344">
                  <c:v>-19.667452444141592</c:v>
                </c:pt>
                <c:pt idx="345">
                  <c:v>-19.713460614831227</c:v>
                </c:pt>
                <c:pt idx="346">
                  <c:v>-19.759159902126115</c:v>
                </c:pt>
                <c:pt idx="347">
                  <c:v>-19.804553642763636</c:v>
                </c:pt>
                <c:pt idx="348">
                  <c:v>-19.849645118299314</c:v>
                </c:pt>
                <c:pt idx="349">
                  <c:v>-19.895526345959485</c:v>
                </c:pt>
                <c:pt idx="350">
                  <c:v>-19.941097183026198</c:v>
                </c:pt>
                <c:pt idx="351">
                  <c:v>-19.986360984949304</c:v>
                </c:pt>
                <c:pt idx="352">
                  <c:v>-20.031321051698136</c:v>
                </c:pt>
                <c:pt idx="353">
                  <c:v>-20.077040316203369</c:v>
                </c:pt>
                <c:pt idx="354">
                  <c:v>-20.122448037247977</c:v>
                </c:pt>
                <c:pt idx="355">
                  <c:v>-20.167547583466728</c:v>
                </c:pt>
                <c:pt idx="356">
                  <c:v>-20.212342267846289</c:v>
                </c:pt>
                <c:pt idx="357">
                  <c:v>-20.257802066266422</c:v>
                </c:pt>
                <c:pt idx="358">
                  <c:v>-20.302950385624193</c:v>
                </c:pt>
                <c:pt idx="359">
                  <c:v>-20.347790588322653</c:v>
                </c:pt>
                <c:pt idx="360">
                  <c:v>-20.392325981384975</c:v>
                </c:pt>
                <c:pt idx="361">
                  <c:v>-20.437625776263758</c:v>
                </c:pt>
                <c:pt idx="362">
                  <c:v>-20.48261269037927</c:v>
                </c:pt>
                <c:pt idx="363">
                  <c:v>-20.527290103910559</c:v>
                </c:pt>
                <c:pt idx="364">
                  <c:v>-20.571661341410756</c:v>
                </c:pt>
                <c:pt idx="365">
                  <c:v>-20.616705553632507</c:v>
                </c:pt>
                <c:pt idx="366">
                  <c:v>-20.66143668339782</c:v>
                </c:pt>
                <c:pt idx="367">
                  <c:v>-20.705858109651345</c:v>
                </c:pt>
                <c:pt idx="368">
                  <c:v>-20.749973155892253</c:v>
                </c:pt>
                <c:pt idx="369">
                  <c:v>-20.794852809106867</c:v>
                </c:pt>
                <c:pt idx="370">
                  <c:v>-20.839417801444931</c:v>
                </c:pt>
                <c:pt idx="371">
                  <c:v>-20.883671533298411</c:v>
                </c:pt>
                <c:pt idx="372">
                  <c:v>-20.927617349313131</c:v>
                </c:pt>
                <c:pt idx="373">
                  <c:v>-20.97223900592876</c:v>
                </c:pt>
                <c:pt idx="374">
                  <c:v>-21.016545605524016</c:v>
                </c:pt>
                <c:pt idx="375">
                  <c:v>-21.06054055134797</c:v>
                </c:pt>
                <c:pt idx="376">
                  <c:v>-21.104227191019586</c:v>
                </c:pt>
                <c:pt idx="377">
                  <c:v>-21.148674061940067</c:v>
                </c:pt>
                <c:pt idx="378">
                  <c:v>-21.192804186301526</c:v>
                </c:pt>
                <c:pt idx="379">
                  <c:v>-21.236620991718041</c:v>
                </c:pt>
                <c:pt idx="380">
                  <c:v>-21.280127849835853</c:v>
                </c:pt>
                <c:pt idx="381">
                  <c:v>-21.324254356831275</c:v>
                </c:pt>
                <c:pt idx="382">
                  <c:v>-21.368064372628019</c:v>
                </c:pt>
                <c:pt idx="383">
                  <c:v>-21.41156131841808</c:v>
                </c:pt>
                <c:pt idx="384">
                  <c:v>-21.454748559769421</c:v>
                </c:pt>
                <c:pt idx="385">
                  <c:v>-21.498688267503589</c:v>
                </c:pt>
                <c:pt idx="386">
                  <c:v>-21.542309712426601</c:v>
                </c:pt>
                <c:pt idx="387">
                  <c:v>-21.585616342879987</c:v>
                </c:pt>
                <c:pt idx="388">
                  <c:v>-21.628611551213641</c:v>
                </c:pt>
                <c:pt idx="389">
                  <c:v>-21.67227580069796</c:v>
                </c:pt>
                <c:pt idx="390">
                  <c:v>-21.715621161671002</c:v>
                </c:pt>
                <c:pt idx="391">
                  <c:v>-21.758651091937885</c:v>
                </c:pt>
                <c:pt idx="392">
                  <c:v>-21.801368993340326</c:v>
                </c:pt>
                <c:pt idx="393">
                  <c:v>-21.844727147403628</c:v>
                </c:pt>
                <c:pt idx="394">
                  <c:v>-21.887766118666026</c:v>
                </c:pt>
                <c:pt idx="395">
                  <c:v>-21.930489369979497</c:v>
                </c:pt>
                <c:pt idx="396">
                  <c:v>-21.972900308372083</c:v>
                </c:pt>
                <c:pt idx="397">
                  <c:v>-22.016020601595837</c:v>
                </c:pt>
                <c:pt idx="398">
                  <c:v>-22.058820295075009</c:v>
                </c:pt>
                <c:pt idx="399">
                  <c:v>-22.101302876021023</c:v>
                </c:pt>
                <c:pt idx="400">
                  <c:v>-22.14347177556202</c:v>
                </c:pt>
                <c:pt idx="401">
                  <c:v>-22.186271703850938</c:v>
                </c:pt>
                <c:pt idx="402">
                  <c:v>-22.228750711663711</c:v>
                </c:pt>
                <c:pt idx="403">
                  <c:v>-22.270912293946523</c:v>
                </c:pt>
                <c:pt idx="404">
                  <c:v>-22.312759889674968</c:v>
                </c:pt>
                <c:pt idx="405">
                  <c:v>-22.355256004712277</c:v>
                </c:pt>
                <c:pt idx="406">
                  <c:v>-22.397430518728932</c:v>
                </c:pt>
                <c:pt idx="407">
                  <c:v>-22.439286941579066</c:v>
                </c:pt>
                <c:pt idx="408">
                  <c:v>-22.480828727120986</c:v>
                </c:pt>
                <c:pt idx="409">
                  <c:v>-22.523034023865129</c:v>
                </c:pt>
                <c:pt idx="410">
                  <c:v>-22.564916722835346</c:v>
                </c:pt>
                <c:pt idx="411">
                  <c:v>-22.606480355427578</c:v>
                </c:pt>
                <c:pt idx="412">
                  <c:v>-22.647728396894333</c:v>
                </c:pt>
                <c:pt idx="413">
                  <c:v>-22.689609579855698</c:v>
                </c:pt>
                <c:pt idx="414">
                  <c:v>-22.731167556083175</c:v>
                </c:pt>
                <c:pt idx="415">
                  <c:v>-22.77240587378277</c:v>
                </c:pt>
                <c:pt idx="416">
                  <c:v>-22.813328024986085</c:v>
                </c:pt>
                <c:pt idx="417">
                  <c:v>-22.854895595213776</c:v>
                </c:pt>
                <c:pt idx="418">
                  <c:v>-22.896139074117727</c:v>
                </c:pt>
                <c:pt idx="419">
                  <c:v>-22.937062033011749</c:v>
                </c:pt>
                <c:pt idx="420">
                  <c:v>-22.977667986889866</c:v>
                </c:pt>
                <c:pt idx="421">
                  <c:v>-23.01884865884249</c:v>
                </c:pt>
                <c:pt idx="422">
                  <c:v>-23.059705389345488</c:v>
                </c:pt>
                <c:pt idx="423">
                  <c:v>-23.100241757665128</c:v>
                </c:pt>
                <c:pt idx="424">
                  <c:v>-23.140461286937011</c:v>
                </c:pt>
                <c:pt idx="425">
                  <c:v>-23.181345467140684</c:v>
                </c:pt>
                <c:pt idx="426">
                  <c:v>-23.221904337024046</c:v>
                </c:pt>
                <c:pt idx="427">
                  <c:v>-23.262141511021333</c:v>
                </c:pt>
                <c:pt idx="428">
                  <c:v>-23.302060547073346</c:v>
                </c:pt>
                <c:pt idx="429">
                  <c:v>-23.342574334645057</c:v>
                </c:pt>
                <c:pt idx="430">
                  <c:v>-23.382762503980924</c:v>
                </c:pt>
                <c:pt idx="431">
                  <c:v>-23.422628689391559</c:v>
                </c:pt>
                <c:pt idx="432">
                  <c:v>-23.462176468668304</c:v>
                </c:pt>
                <c:pt idx="433">
                  <c:v>-23.502289885042657</c:v>
                </c:pt>
                <c:pt idx="434">
                  <c:v>-23.542077773439082</c:v>
                </c:pt>
                <c:pt idx="435">
                  <c:v>-23.581543783803692</c:v>
                </c:pt>
                <c:pt idx="436">
                  <c:v>-23.620691509639716</c:v>
                </c:pt>
                <c:pt idx="437">
                  <c:v>-23.660447812942564</c:v>
                </c:pt>
                <c:pt idx="438">
                  <c:v>-23.699877900444459</c:v>
                </c:pt>
                <c:pt idx="439">
                  <c:v>-23.738985453428093</c:v>
                </c:pt>
                <c:pt idx="440">
                  <c:v>-23.777774096503638</c:v>
                </c:pt>
                <c:pt idx="441">
                  <c:v>-23.817140800209128</c:v>
                </c:pt>
                <c:pt idx="442">
                  <c:v>-23.856181051061615</c:v>
                </c:pt>
                <c:pt idx="443">
                  <c:v>-23.89489855699248</c:v>
                </c:pt>
                <c:pt idx="444">
                  <c:v>-23.933296969141917</c:v>
                </c:pt>
                <c:pt idx="445">
                  <c:v>-23.97224403096477</c:v>
                </c:pt>
                <c:pt idx="446">
                  <c:v>-24.010864840341881</c:v>
                </c:pt>
                <c:pt idx="447">
                  <c:v>-24.049163127473648</c:v>
                </c:pt>
                <c:pt idx="448">
                  <c:v>-24.087142565753858</c:v>
                </c:pt>
                <c:pt idx="449">
                  <c:v>-24.1257066130208</c:v>
                </c:pt>
                <c:pt idx="450">
                  <c:v>-24.163943946343295</c:v>
                </c:pt>
                <c:pt idx="451">
                  <c:v>-24.201858332850911</c:v>
                </c:pt>
                <c:pt idx="452">
                  <c:v>-24.239453482567363</c:v>
                </c:pt>
                <c:pt idx="453">
                  <c:v>-24.277571731939389</c:v>
                </c:pt>
                <c:pt idx="454">
                  <c:v>-24.315363825189372</c:v>
                </c:pt>
                <c:pt idx="455">
                  <c:v>-24.352833552366114</c:v>
                </c:pt>
                <c:pt idx="456">
                  <c:v>-24.389984646407928</c:v>
                </c:pt>
                <c:pt idx="457">
                  <c:v>-24.427691168329162</c:v>
                </c:pt>
                <c:pt idx="458">
                  <c:v>-24.465071493605691</c:v>
                </c:pt>
                <c:pt idx="459">
                  <c:v>-24.502129449387038</c:v>
                </c:pt>
                <c:pt idx="460">
                  <c:v>-24.538868805432848</c:v>
                </c:pt>
                <c:pt idx="461">
                  <c:v>-24.576133942575815</c:v>
                </c:pt>
                <c:pt idx="462">
                  <c:v>-24.613073343566001</c:v>
                </c:pt>
                <c:pt idx="463">
                  <c:v>-24.649690867977192</c:v>
                </c:pt>
                <c:pt idx="464">
                  <c:v>-24.685990317816632</c:v>
                </c:pt>
                <c:pt idx="465">
                  <c:v>-24.722815100138167</c:v>
                </c:pt>
                <c:pt idx="466">
                  <c:v>-24.7593146020685</c:v>
                </c:pt>
                <c:pt idx="467">
                  <c:v>-24.795492720037927</c:v>
                </c:pt>
                <c:pt idx="468">
                  <c:v>-24.831353292650995</c:v>
                </c:pt>
                <c:pt idx="469">
                  <c:v>-24.867710505559884</c:v>
                </c:pt>
                <c:pt idx="470">
                  <c:v>-24.903743407483219</c:v>
                </c:pt>
                <c:pt idx="471">
                  <c:v>-24.939455927096628</c:v>
                </c:pt>
                <c:pt idx="472">
                  <c:v>-24.974851935084882</c:v>
                </c:pt>
                <c:pt idx="473">
                  <c:v>-25.010769264028628</c:v>
                </c:pt>
                <c:pt idx="474">
                  <c:v>-25.046362815378181</c:v>
                </c:pt>
                <c:pt idx="475">
                  <c:v>-25.081636562899323</c:v>
                </c:pt>
                <c:pt idx="476">
                  <c:v>-25.116594421950666</c:v>
                </c:pt>
                <c:pt idx="477">
                  <c:v>-25.152044623717625</c:v>
                </c:pt>
                <c:pt idx="478">
                  <c:v>-25.187172143782295</c:v>
                </c:pt>
                <c:pt idx="479">
                  <c:v>-25.221980996011869</c:v>
                </c:pt>
                <c:pt idx="480">
                  <c:v>-25.25647513554582</c:v>
                </c:pt>
                <c:pt idx="481">
                  <c:v>-25.291433974672472</c:v>
                </c:pt>
                <c:pt idx="482">
                  <c:v>-25.326071778295905</c:v>
                </c:pt>
                <c:pt idx="483">
                  <c:v>-25.360392595593133</c:v>
                </c:pt>
                <c:pt idx="484">
                  <c:v>-25.394400416779281</c:v>
                </c:pt>
                <c:pt idx="485">
                  <c:v>-25.428869986702523</c:v>
                </c:pt>
                <c:pt idx="486">
                  <c:v>-25.463020273416124</c:v>
                </c:pt>
                <c:pt idx="487">
                  <c:v>-25.496855365081686</c:v>
                </c:pt>
                <c:pt idx="488">
                  <c:v>-25.530379290581347</c:v>
                </c:pt>
                <c:pt idx="489">
                  <c:v>-25.564383719215602</c:v>
                </c:pt>
                <c:pt idx="490">
                  <c:v>-25.598070339394333</c:v>
                </c:pt>
                <c:pt idx="491">
                  <c:v>-25.631443289793413</c:v>
                </c:pt>
                <c:pt idx="492">
                  <c:v>-25.664506649255252</c:v>
                </c:pt>
                <c:pt idx="493">
                  <c:v>-25.698023147280871</c:v>
                </c:pt>
                <c:pt idx="494">
                  <c:v>-25.731223932199985</c:v>
                </c:pt>
                <c:pt idx="495">
                  <c:v>-25.764113187759925</c:v>
                </c:pt>
                <c:pt idx="496">
                  <c:v>-25.796695037405485</c:v>
                </c:pt>
                <c:pt idx="497">
                  <c:v>-25.829724999958962</c:v>
                </c:pt>
                <c:pt idx="498">
                  <c:v>-25.862441556970129</c:v>
                </c:pt>
                <c:pt idx="499">
                  <c:v>-25.894848939928647</c:v>
                </c:pt>
                <c:pt idx="500">
                  <c:v>-25.926951319474792</c:v>
                </c:pt>
                <c:pt idx="501">
                  <c:v>-25.959496304859066</c:v>
                </c:pt>
                <c:pt idx="502">
                  <c:v>-25.991730438707275</c:v>
                </c:pt>
                <c:pt idx="503">
                  <c:v>-26.023658002566968</c:v>
                </c:pt>
                <c:pt idx="504">
                  <c:v>-26.055283216513825</c:v>
                </c:pt>
                <c:pt idx="505">
                  <c:v>-26.087325816863665</c:v>
                </c:pt>
                <c:pt idx="506">
                  <c:v>-26.119060770227264</c:v>
                </c:pt>
                <c:pt idx="507">
                  <c:v>-26.150492402338621</c:v>
                </c:pt>
                <c:pt idx="508">
                  <c:v>-26.181624976910665</c:v>
                </c:pt>
                <c:pt idx="509">
                  <c:v>-26.213169887007801</c:v>
                </c:pt>
                <c:pt idx="510">
                  <c:v>-26.244410632006513</c:v>
                </c:pt>
                <c:pt idx="511">
                  <c:v>-26.275351583716674</c:v>
                </c:pt>
                <c:pt idx="512">
                  <c:v>-26.30599705129406</c:v>
                </c:pt>
                <c:pt idx="513">
                  <c:v>-26.337067503259032</c:v>
                </c:pt>
                <c:pt idx="514">
                  <c:v>-26.367837235777912</c:v>
                </c:pt>
                <c:pt idx="515">
                  <c:v>-26.398310675832594</c:v>
                </c:pt>
                <c:pt idx="516">
                  <c:v>-26.428492186890171</c:v>
                </c:pt>
                <c:pt idx="517">
                  <c:v>-26.459075084771367</c:v>
                </c:pt>
                <c:pt idx="518">
                  <c:v>-26.489361417390462</c:v>
                </c:pt>
                <c:pt idx="519">
                  <c:v>-26.519355660053151</c:v>
                </c:pt>
                <c:pt idx="520">
                  <c:v>-26.549062223754547</c:v>
                </c:pt>
                <c:pt idx="521">
                  <c:v>-26.579164839744461</c:v>
                </c:pt>
                <c:pt idx="522">
                  <c:v>-26.608975414206185</c:v>
                </c:pt>
                <c:pt idx="523">
                  <c:v>-26.638498471317323</c:v>
                </c:pt>
                <c:pt idx="524">
                  <c:v>-26.667738470064325</c:v>
                </c:pt>
                <c:pt idx="525">
                  <c:v>-26.697369302845186</c:v>
                </c:pt>
                <c:pt idx="526">
                  <c:v>-26.726713015456586</c:v>
                </c:pt>
                <c:pt idx="527">
                  <c:v>-26.755774180988215</c:v>
                </c:pt>
                <c:pt idx="528">
                  <c:v>-26.784557306370495</c:v>
                </c:pt>
                <c:pt idx="529">
                  <c:v>-26.813726269179487</c:v>
                </c:pt>
                <c:pt idx="530">
                  <c:v>-26.8426134571707</c:v>
                </c:pt>
                <c:pt idx="531">
                  <c:v>-26.871223491839942</c:v>
                </c:pt>
                <c:pt idx="532">
                  <c:v>-26.899560927468016</c:v>
                </c:pt>
                <c:pt idx="533">
                  <c:v>-26.928294284441403</c:v>
                </c:pt>
                <c:pt idx="534">
                  <c:v>-26.956751377753019</c:v>
                </c:pt>
                <c:pt idx="535">
                  <c:v>-26.984936883394415</c:v>
                </c:pt>
                <c:pt idx="536">
                  <c:v>-27.012855408854925</c:v>
                </c:pt>
                <c:pt idx="537">
                  <c:v>-27.04113638143572</c:v>
                </c:pt>
                <c:pt idx="538">
                  <c:v>-27.069147646914388</c:v>
                </c:pt>
                <c:pt idx="539">
                  <c:v>-27.096893919550531</c:v>
                </c:pt>
                <c:pt idx="540">
                  <c:v>-27.124379844003595</c:v>
                </c:pt>
                <c:pt idx="541">
                  <c:v>-27.152252649184341</c:v>
                </c:pt>
                <c:pt idx="542">
                  <c:v>-27.179862244753046</c:v>
                </c:pt>
                <c:pt idx="543">
                  <c:v>-27.207213395146916</c:v>
                </c:pt>
                <c:pt idx="544">
                  <c:v>-27.234310793727495</c:v>
                </c:pt>
                <c:pt idx="545">
                  <c:v>-27.261778064887391</c:v>
                </c:pt>
                <c:pt idx="546">
                  <c:v>-27.288989410218697</c:v>
                </c:pt>
                <c:pt idx="547">
                  <c:v>-27.315949633970877</c:v>
                </c:pt>
                <c:pt idx="548">
                  <c:v>-27.342663467886062</c:v>
                </c:pt>
                <c:pt idx="549">
                  <c:v>-27.369744821830466</c:v>
                </c:pt>
                <c:pt idx="550">
                  <c:v>-27.396578054185156</c:v>
                </c:pt>
                <c:pt idx="551">
                  <c:v>-27.423168005087312</c:v>
                </c:pt>
                <c:pt idx="552">
                  <c:v>-27.449519440634074</c:v>
                </c:pt>
                <c:pt idx="553">
                  <c:v>-27.4762490963383</c:v>
                </c:pt>
                <c:pt idx="554">
                  <c:v>-27.50273874664941</c:v>
                </c:pt>
                <c:pt idx="555">
                  <c:v>-27.52899326949986</c:v>
                </c:pt>
                <c:pt idx="556">
                  <c:v>-27.555017467006849</c:v>
                </c:pt>
                <c:pt idx="557">
                  <c:v>-27.607588429470681</c:v>
                </c:pt>
                <c:pt idx="558">
                  <c:v>-27.659253680504197</c:v>
                </c:pt>
                <c:pt idx="559">
                  <c:v>-27.711206056839387</c:v>
                </c:pt>
                <c:pt idx="560">
                  <c:v>-27.762290602092353</c:v>
                </c:pt>
                <c:pt idx="561">
                  <c:v>-27.813728375385729</c:v>
                </c:pt>
                <c:pt idx="562">
                  <c:v>-27.864336913590147</c:v>
                </c:pt>
                <c:pt idx="563">
                  <c:v>-27.915215521210275</c:v>
                </c:pt>
                <c:pt idx="564">
                  <c:v>-27.965309044202456</c:v>
                </c:pt>
                <c:pt idx="565">
                  <c:v>-28.015890680872133</c:v>
                </c:pt>
                <c:pt idx="566">
                  <c:v>-28.065727642315874</c:v>
                </c:pt>
                <c:pt idx="567">
                  <c:v>-28.116058165008621</c:v>
                </c:pt>
                <c:pt idx="568">
                  <c:v>-28.165687668120967</c:v>
                </c:pt>
                <c:pt idx="569">
                  <c:v>-28.215627707267323</c:v>
                </c:pt>
                <c:pt idx="570">
                  <c:v>-28.264918267345291</c:v>
                </c:pt>
                <c:pt idx="571">
                  <c:v>-28.314925514286081</c:v>
                </c:pt>
                <c:pt idx="572">
                  <c:v>-28.36432721460822</c:v>
                </c:pt>
                <c:pt idx="573">
                  <c:v>-28.414088352809603</c:v>
                </c:pt>
                <c:pt idx="574">
                  <c:v>-28.46329934683029</c:v>
                </c:pt>
                <c:pt idx="575">
                  <c:v>-28.513267785051553</c:v>
                </c:pt>
                <c:pt idx="576">
                  <c:v>-28.562735066615605</c:v>
                </c:pt>
                <c:pt idx="577">
                  <c:v>-28.767434445338171</c:v>
                </c:pt>
                <c:pt idx="578">
                  <c:v>-28.966307830525825</c:v>
                </c:pt>
                <c:pt idx="579">
                  <c:v>-29.391386963916275</c:v>
                </c:pt>
                <c:pt idx="580">
                  <c:v>-29.855351512229706</c:v>
                </c:pt>
                <c:pt idx="581">
                  <c:v>-30.374052219798191</c:v>
                </c:pt>
                <c:pt idx="582">
                  <c:v>-30.962195508517564</c:v>
                </c:pt>
                <c:pt idx="583">
                  <c:v>-31.629772783029235</c:v>
                </c:pt>
                <c:pt idx="584">
                  <c:v>-32.382608057931648</c:v>
                </c:pt>
                <c:pt idx="585">
                  <c:v>-33.22032347581009</c:v>
                </c:pt>
                <c:pt idx="586">
                  <c:v>-34.138551365573392</c:v>
                </c:pt>
                <c:pt idx="587">
                  <c:v>-35.130272151513289</c:v>
                </c:pt>
                <c:pt idx="588">
                  <c:v>-36.185363412135921</c:v>
                </c:pt>
                <c:pt idx="589">
                  <c:v>-37.295048059340957</c:v>
                </c:pt>
                <c:pt idx="590">
                  <c:v>-38.449624337509064</c:v>
                </c:pt>
                <c:pt idx="591">
                  <c:v>-39.640526364225842</c:v>
                </c:pt>
                <c:pt idx="592">
                  <c:v>-40.859622525651069</c:v>
                </c:pt>
                <c:pt idx="593">
                  <c:v>-42.099926493628814</c:v>
                </c:pt>
                <c:pt idx="594">
                  <c:v>-43.35426403127542</c:v>
                </c:pt>
                <c:pt idx="595">
                  <c:v>-44.616445860417173</c:v>
                </c:pt>
                <c:pt idx="596">
                  <c:v>-45.880135886661996</c:v>
                </c:pt>
                <c:pt idx="597">
                  <c:v>-47.139892245797661</c:v>
                </c:pt>
                <c:pt idx="598">
                  <c:v>-48.390112779998617</c:v>
                </c:pt>
                <c:pt idx="599">
                  <c:v>-49.6263284586433</c:v>
                </c:pt>
                <c:pt idx="600">
                  <c:v>-50.844161910882207</c:v>
                </c:pt>
              </c:numCache>
            </c:numRef>
          </c:yVal>
          <c:smooth val="0"/>
          <c:extLst>
            <c:ext xmlns:c16="http://schemas.microsoft.com/office/drawing/2014/chart" uri="{C3380CC4-5D6E-409C-BE32-E72D297353CC}">
              <c16:uniqueId val="{00000003-5922-4F18-8E00-ECB0DEBA2AF6}"/>
            </c:ext>
          </c:extLst>
        </c:ser>
        <c:dLbls>
          <c:showLegendKey val="0"/>
          <c:showVal val="0"/>
          <c:showCatName val="0"/>
          <c:showSerName val="0"/>
          <c:showPercent val="0"/>
          <c:showBubbleSize val="0"/>
        </c:dLbls>
        <c:axId val="196940928"/>
        <c:axId val="196942848"/>
      </c:scatterChart>
      <c:scatterChart>
        <c:scatterStyle val="lineMarker"/>
        <c:varyColors val="0"/>
        <c:ser>
          <c:idx val="1"/>
          <c:order val="4"/>
          <c:tx>
            <c:strRef>
              <c:f>'IL Stability Calculations'!$AX$12</c:f>
              <c:strCache>
                <c:ptCount val="1"/>
                <c:pt idx="0">
                  <c:v>:Loop Phase Margin (°)</c:v>
                </c:pt>
              </c:strCache>
            </c:strRef>
          </c:tx>
          <c:spPr>
            <a:ln w="25400">
              <a:solidFill>
                <a:srgbClr val="0000FF"/>
              </a:solidFill>
              <a:prstDash val="solid"/>
            </a:ln>
          </c:spPr>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Calculations'!$AX$13:$AX$613</c:f>
              <c:numCache>
                <c:formatCode>0.0000</c:formatCode>
                <c:ptCount val="601"/>
                <c:pt idx="0">
                  <c:v>-15.437003375525331</c:v>
                </c:pt>
                <c:pt idx="1">
                  <c:v>-16.845433832177299</c:v>
                </c:pt>
                <c:pt idx="2">
                  <c:v>-18.365734963720168</c:v>
                </c:pt>
                <c:pt idx="3">
                  <c:v>-20.002203060859202</c:v>
                </c:pt>
                <c:pt idx="4">
                  <c:v>-21.756806050455989</c:v>
                </c:pt>
                <c:pt idx="5">
                  <c:v>-23.634173268473802</c:v>
                </c:pt>
                <c:pt idx="6">
                  <c:v>-25.631490089389768</c:v>
                </c:pt>
                <c:pt idx="7">
                  <c:v>-27.747486192805521</c:v>
                </c:pt>
                <c:pt idx="8">
                  <c:v>-29.975362269503798</c:v>
                </c:pt>
                <c:pt idx="9">
                  <c:v>-32.30860827946367</c:v>
                </c:pt>
                <c:pt idx="10">
                  <c:v>-34.734619666954309</c:v>
                </c:pt>
                <c:pt idx="11">
                  <c:v>-37.239342322637619</c:v>
                </c:pt>
                <c:pt idx="12">
                  <c:v>-39.806930789365218</c:v>
                </c:pt>
                <c:pt idx="13">
                  <c:v>-42.415320453472184</c:v>
                </c:pt>
                <c:pt idx="14">
                  <c:v>-45.045261512199254</c:v>
                </c:pt>
                <c:pt idx="15">
                  <c:v>-47.673543495789211</c:v>
                </c:pt>
                <c:pt idx="16">
                  <c:v>-50.27820355913061</c:v>
                </c:pt>
                <c:pt idx="17">
                  <c:v>-52.837654433704174</c:v>
                </c:pt>
                <c:pt idx="18">
                  <c:v>-55.333181438096943</c:v>
                </c:pt>
                <c:pt idx="19">
                  <c:v>-57.747076990500929</c:v>
                </c:pt>
                <c:pt idx="20">
                  <c:v>-60.065652000202</c:v>
                </c:pt>
                <c:pt idx="21">
                  <c:v>-62.2773413134435</c:v>
                </c:pt>
                <c:pt idx="22">
                  <c:v>-64.374601909209247</c:v>
                </c:pt>
                <c:pt idx="23">
                  <c:v>-66.351818291671876</c:v>
                </c:pt>
                <c:pt idx="24">
                  <c:v>-68.207016131720223</c:v>
                </c:pt>
                <c:pt idx="25">
                  <c:v>-69.939667888374757</c:v>
                </c:pt>
                <c:pt idx="26">
                  <c:v>-71.551782240216767</c:v>
                </c:pt>
                <c:pt idx="27">
                  <c:v>-73.045933561923263</c:v>
                </c:pt>
                <c:pt idx="28">
                  <c:v>-74.426417583127503</c:v>
                </c:pt>
                <c:pt idx="29">
                  <c:v>-75.697481829982536</c:v>
                </c:pt>
                <c:pt idx="30">
                  <c:v>-76.866706929250753</c:v>
                </c:pt>
                <c:pt idx="31">
                  <c:v>-77.938119321601619</c:v>
                </c:pt>
                <c:pt idx="32">
                  <c:v>-78.918310002192896</c:v>
                </c:pt>
                <c:pt idx="33">
                  <c:v>-79.812394447702133</c:v>
                </c:pt>
                <c:pt idx="34">
                  <c:v>-80.626713686625294</c:v>
                </c:pt>
                <c:pt idx="35">
                  <c:v>-81.366201510522004</c:v>
                </c:pt>
                <c:pt idx="36">
                  <c:v>-82.036123847700324</c:v>
                </c:pt>
                <c:pt idx="37">
                  <c:v>-82.641603551257958</c:v>
                </c:pt>
                <c:pt idx="38">
                  <c:v>-83.186526547660208</c:v>
                </c:pt>
                <c:pt idx="39">
                  <c:v>-83.675459128975305</c:v>
                </c:pt>
                <c:pt idx="40">
                  <c:v>-84.111954815610559</c:v>
                </c:pt>
                <c:pt idx="41">
                  <c:v>-84.499466265189852</c:v>
                </c:pt>
                <c:pt idx="42">
                  <c:v>-84.841017409278464</c:v>
                </c:pt>
                <c:pt idx="43">
                  <c:v>-85.139444531269419</c:v>
                </c:pt>
                <c:pt idx="44">
                  <c:v>-85.397082668612171</c:v>
                </c:pt>
                <c:pt idx="45">
                  <c:v>-85.616094860392096</c:v>
                </c:pt>
                <c:pt idx="46">
                  <c:v>-85.798251882570725</c:v>
                </c:pt>
                <c:pt idx="47">
                  <c:v>-85.945123644959978</c:v>
                </c:pt>
                <c:pt idx="48">
                  <c:v>-86.057934010514032</c:v>
                </c:pt>
                <c:pt idx="49">
                  <c:v>-86.137710899705581</c:v>
                </c:pt>
                <c:pt idx="50">
                  <c:v>-86.185186931180652</c:v>
                </c:pt>
                <c:pt idx="51">
                  <c:v>-86.200877070634576</c:v>
                </c:pt>
                <c:pt idx="52">
                  <c:v>-86.185059141171308</c:v>
                </c:pt>
                <c:pt idx="53">
                  <c:v>-86.13781703070633</c:v>
                </c:pt>
                <c:pt idx="54">
                  <c:v>-86.059096573107212</c:v>
                </c:pt>
                <c:pt idx="55">
                  <c:v>-85.94845417208424</c:v>
                </c:pt>
                <c:pt idx="56">
                  <c:v>-85.805567370334401</c:v>
                </c:pt>
                <c:pt idx="57">
                  <c:v>-85.629774033563905</c:v>
                </c:pt>
                <c:pt idx="58">
                  <c:v>-85.420552916657783</c:v>
                </c:pt>
                <c:pt idx="59">
                  <c:v>-85.177059540545002</c:v>
                </c:pt>
                <c:pt idx="60">
                  <c:v>-84.898767732237005</c:v>
                </c:pt>
                <c:pt idx="61">
                  <c:v>-84.585104632807145</c:v>
                </c:pt>
                <c:pt idx="62">
                  <c:v>-84.235547882935776</c:v>
                </c:pt>
                <c:pt idx="63">
                  <c:v>-83.850438761182787</c:v>
                </c:pt>
                <c:pt idx="64">
                  <c:v>-83.42997600196118</c:v>
                </c:pt>
                <c:pt idx="65">
                  <c:v>-82.975478503349478</c:v>
                </c:pt>
                <c:pt idx="66">
                  <c:v>-82.488963498468593</c:v>
                </c:pt>
                <c:pt idx="67">
                  <c:v>-81.973665353900714</c:v>
                </c:pt>
                <c:pt idx="68">
                  <c:v>-81.433940797650123</c:v>
                </c:pt>
                <c:pt idx="69">
                  <c:v>-80.876016563632589</c:v>
                </c:pt>
                <c:pt idx="70">
                  <c:v>-80.307635061492746</c:v>
                </c:pt>
                <c:pt idx="71">
                  <c:v>-79.738651741395486</c:v>
                </c:pt>
                <c:pt idx="72">
                  <c:v>-79.180575350543847</c:v>
                </c:pt>
                <c:pt idx="73">
                  <c:v>-78.646901709746459</c:v>
                </c:pt>
                <c:pt idx="74">
                  <c:v>-78.152227053200988</c:v>
                </c:pt>
                <c:pt idx="75">
                  <c:v>-77.712162028068448</c:v>
                </c:pt>
                <c:pt idx="76">
                  <c:v>-77.342164935897983</c:v>
                </c:pt>
                <c:pt idx="77">
                  <c:v>-77.05697665453684</c:v>
                </c:pt>
                <c:pt idx="78">
                  <c:v>-76.869226122501345</c:v>
                </c:pt>
                <c:pt idx="79">
                  <c:v>-76.788654623333258</c:v>
                </c:pt>
                <c:pt idx="80">
                  <c:v>-76.821223337087446</c:v>
                </c:pt>
                <c:pt idx="81">
                  <c:v>-76.968847661216316</c:v>
                </c:pt>
                <c:pt idx="82">
                  <c:v>-77.229162685080297</c:v>
                </c:pt>
                <c:pt idx="83">
                  <c:v>-77.595492505419273</c:v>
                </c:pt>
                <c:pt idx="84">
                  <c:v>-78.058245564181348</c:v>
                </c:pt>
                <c:pt idx="85">
                  <c:v>-78.6048148791145</c:v>
                </c:pt>
                <c:pt idx="86">
                  <c:v>-79.221392334536489</c:v>
                </c:pt>
                <c:pt idx="87">
                  <c:v>-79.894002400115042</c:v>
                </c:pt>
                <c:pt idx="88">
                  <c:v>-80.608076660355351</c:v>
                </c:pt>
                <c:pt idx="89">
                  <c:v>-81.351381038021998</c:v>
                </c:pt>
                <c:pt idx="90">
                  <c:v>-82.112479913608198</c:v>
                </c:pt>
                <c:pt idx="91">
                  <c:v>-82.882192427082472</c:v>
                </c:pt>
                <c:pt idx="92">
                  <c:v>-83.653193172986732</c:v>
                </c:pt>
                <c:pt idx="93">
                  <c:v>-84.420476469961685</c:v>
                </c:pt>
                <c:pt idx="94">
                  <c:v>-84.611184683133857</c:v>
                </c:pt>
                <c:pt idx="95">
                  <c:v>-84.706943996233079</c:v>
                </c:pt>
                <c:pt idx="96">
                  <c:v>-84.801479997290784</c:v>
                </c:pt>
                <c:pt idx="97">
                  <c:v>-84.896968146670119</c:v>
                </c:pt>
                <c:pt idx="98">
                  <c:v>-84.991229656955397</c:v>
                </c:pt>
                <c:pt idx="99">
                  <c:v>-85.086458090022944</c:v>
                </c:pt>
                <c:pt idx="100">
                  <c:v>-85.18045757149828</c:v>
                </c:pt>
                <c:pt idx="101">
                  <c:v>-85.275366814231333</c:v>
                </c:pt>
                <c:pt idx="102">
                  <c:v>-85.369047615153036</c:v>
                </c:pt>
                <c:pt idx="103">
                  <c:v>-85.46372214030562</c:v>
                </c:pt>
                <c:pt idx="104">
                  <c:v>-85.55716784034216</c:v>
                </c:pt>
                <c:pt idx="105">
                  <c:v>-85.651550950469854</c:v>
                </c:pt>
                <c:pt idx="106">
                  <c:v>-85.744707578249788</c:v>
                </c:pt>
                <c:pt idx="107">
                  <c:v>-85.838749350594568</c:v>
                </c:pt>
                <c:pt idx="108">
                  <c:v>-85.931569528401923</c:v>
                </c:pt>
                <c:pt idx="109">
                  <c:v>-86.025289882128135</c:v>
                </c:pt>
                <c:pt idx="110">
                  <c:v>-86.117794253982652</c:v>
                </c:pt>
                <c:pt idx="111">
                  <c:v>-86.211274459308811</c:v>
                </c:pt>
                <c:pt idx="112">
                  <c:v>-86.303543423777967</c:v>
                </c:pt>
                <c:pt idx="113">
                  <c:v>-86.396737808102998</c:v>
                </c:pt>
                <c:pt idx="114">
                  <c:v>-86.488728078970752</c:v>
                </c:pt>
                <c:pt idx="115">
                  <c:v>-86.581655873103927</c:v>
                </c:pt>
                <c:pt idx="116">
                  <c:v>-86.673387381462973</c:v>
                </c:pt>
                <c:pt idx="117">
                  <c:v>-86.766067773009524</c:v>
                </c:pt>
                <c:pt idx="118">
                  <c:v>-86.857560396376925</c:v>
                </c:pt>
                <c:pt idx="119">
                  <c:v>-86.949956963527669</c:v>
                </c:pt>
                <c:pt idx="120">
                  <c:v>-87.041176366724983</c:v>
                </c:pt>
                <c:pt idx="121">
                  <c:v>-87.133312732525297</c:v>
                </c:pt>
                <c:pt idx="122">
                  <c:v>-87.224283075096366</c:v>
                </c:pt>
                <c:pt idx="123">
                  <c:v>-87.316235750140052</c:v>
                </c:pt>
                <c:pt idx="124">
                  <c:v>-87.407032748255659</c:v>
                </c:pt>
                <c:pt idx="125">
                  <c:v>-87.49876987020842</c:v>
                </c:pt>
                <c:pt idx="126">
                  <c:v>-87.58936357313496</c:v>
                </c:pt>
                <c:pt idx="127">
                  <c:v>-87.680909094527152</c:v>
                </c:pt>
                <c:pt idx="128">
                  <c:v>-87.771323949657472</c:v>
                </c:pt>
                <c:pt idx="129">
                  <c:v>-87.862702041254295</c:v>
                </c:pt>
                <c:pt idx="130">
                  <c:v>-87.952962698073804</c:v>
                </c:pt>
                <c:pt idx="131">
                  <c:v>-88.044197813737583</c:v>
                </c:pt>
                <c:pt idx="132">
                  <c:v>-88.089399457255311</c:v>
                </c:pt>
                <c:pt idx="133">
                  <c:v>-88.134329187276819</c:v>
                </c:pt>
                <c:pt idx="134">
                  <c:v>-88.180049397100134</c:v>
                </c:pt>
                <c:pt idx="135">
                  <c:v>-88.225492877505957</c:v>
                </c:pt>
                <c:pt idx="136">
                  <c:v>-88.270663697322576</c:v>
                </c:pt>
                <c:pt idx="137">
                  <c:v>-88.31556585176736</c:v>
                </c:pt>
                <c:pt idx="138">
                  <c:v>-88.3612136603778</c:v>
                </c:pt>
                <c:pt idx="139">
                  <c:v>-88.406588688702257</c:v>
                </c:pt>
                <c:pt idx="140">
                  <c:v>-88.451694981130416</c:v>
                </c:pt>
                <c:pt idx="141">
                  <c:v>-88.496536507981659</c:v>
                </c:pt>
                <c:pt idx="142">
                  <c:v>-88.542171192074079</c:v>
                </c:pt>
                <c:pt idx="143">
                  <c:v>-88.587536593913029</c:v>
                </c:pt>
                <c:pt idx="144">
                  <c:v>-88.632636741830325</c:v>
                </c:pt>
                <c:pt idx="145">
                  <c:v>-88.677475589468273</c:v>
                </c:pt>
                <c:pt idx="146">
                  <c:v>-88.723086686994222</c:v>
                </c:pt>
                <c:pt idx="147">
                  <c:v>-88.768432379581043</c:v>
                </c:pt>
                <c:pt idx="148">
                  <c:v>-88.813516669551831</c:v>
                </c:pt>
                <c:pt idx="149">
                  <c:v>-88.858343484206003</c:v>
                </c:pt>
                <c:pt idx="150">
                  <c:v>-88.903944301987821</c:v>
                </c:pt>
                <c:pt idx="151">
                  <c:v>-88.949283684015953</c:v>
                </c:pt>
                <c:pt idx="152">
                  <c:v>-88.994365603052913</c:v>
                </c:pt>
                <c:pt idx="153">
                  <c:v>-89.039193956632786</c:v>
                </c:pt>
                <c:pt idx="154">
                  <c:v>-89.084818992995707</c:v>
                </c:pt>
                <c:pt idx="155">
                  <c:v>-89.13018641350294</c:v>
                </c:pt>
                <c:pt idx="156">
                  <c:v>-89.175300163375042</c:v>
                </c:pt>
                <c:pt idx="157">
                  <c:v>-89.220164112388062</c:v>
                </c:pt>
                <c:pt idx="158">
                  <c:v>-89.265825828750536</c:v>
                </c:pt>
                <c:pt idx="159">
                  <c:v>-89.311233853830359</c:v>
                </c:pt>
                <c:pt idx="160">
                  <c:v>-89.356392101648765</c:v>
                </c:pt>
                <c:pt idx="161">
                  <c:v>-89.401304410695602</c:v>
                </c:pt>
                <c:pt idx="162">
                  <c:v>-89.446995635602946</c:v>
                </c:pt>
                <c:pt idx="163">
                  <c:v>-89.492437408434</c:v>
                </c:pt>
                <c:pt idx="164">
                  <c:v>-89.537633603497767</c:v>
                </c:pt>
                <c:pt idx="165">
                  <c:v>-89.582588019738509</c:v>
                </c:pt>
                <c:pt idx="166">
                  <c:v>-89.628362454569114</c:v>
                </c:pt>
                <c:pt idx="167">
                  <c:v>-89.673891324300314</c:v>
                </c:pt>
                <c:pt idx="168">
                  <c:v>-89.719178470528661</c:v>
                </c:pt>
                <c:pt idx="169">
                  <c:v>-89.764227659506162</c:v>
                </c:pt>
                <c:pt idx="170">
                  <c:v>-89.810001736915936</c:v>
                </c:pt>
                <c:pt idx="171">
                  <c:v>-89.855535245447953</c:v>
                </c:pt>
                <c:pt idx="172">
                  <c:v>-89.900831966844493</c:v>
                </c:pt>
                <c:pt idx="173">
                  <c:v>-89.945895608268174</c:v>
                </c:pt>
                <c:pt idx="174">
                  <c:v>-89.991857144051707</c:v>
                </c:pt>
                <c:pt idx="175">
                  <c:v>-90.037581357997084</c:v>
                </c:pt>
                <c:pt idx="176">
                  <c:v>-90.083072012057471</c:v>
                </c:pt>
                <c:pt idx="177">
                  <c:v>-90.128332793350268</c:v>
                </c:pt>
                <c:pt idx="178">
                  <c:v>-90.174471902224667</c:v>
                </c:pt>
                <c:pt idx="179">
                  <c:v>-90.220377297462733</c:v>
                </c:pt>
                <c:pt idx="180">
                  <c:v>-90.266052712047795</c:v>
                </c:pt>
                <c:pt idx="181">
                  <c:v>-90.311501804137706</c:v>
                </c:pt>
                <c:pt idx="182">
                  <c:v>-90.357630438295033</c:v>
                </c:pt>
                <c:pt idx="183">
                  <c:v>-90.403531064468453</c:v>
                </c:pt>
                <c:pt idx="184">
                  <c:v>-90.449207335614958</c:v>
                </c:pt>
                <c:pt idx="185">
                  <c:v>-90.494662831269665</c:v>
                </c:pt>
                <c:pt idx="186">
                  <c:v>-90.541139861997408</c:v>
                </c:pt>
                <c:pt idx="187">
                  <c:v>-90.587391260586031</c:v>
                </c:pt>
                <c:pt idx="188">
                  <c:v>-90.633420678997183</c:v>
                </c:pt>
                <c:pt idx="189">
                  <c:v>-90.679231695086145</c:v>
                </c:pt>
                <c:pt idx="190">
                  <c:v>-90.725695902289715</c:v>
                </c:pt>
                <c:pt idx="191">
                  <c:v>-90.771940566872075</c:v>
                </c:pt>
                <c:pt idx="192">
                  <c:v>-90.817969249464369</c:v>
                </c:pt>
                <c:pt idx="193">
                  <c:v>-90.863785438365937</c:v>
                </c:pt>
                <c:pt idx="194">
                  <c:v>-90.910585461457487</c:v>
                </c:pt>
                <c:pt idx="195">
                  <c:v>-90.957168920150494</c:v>
                </c:pt>
                <c:pt idx="196">
                  <c:v>-91.003539358390967</c:v>
                </c:pt>
                <c:pt idx="197">
                  <c:v>-91.049700247580319</c:v>
                </c:pt>
                <c:pt idx="198">
                  <c:v>-91.0966590152983</c:v>
                </c:pt>
                <c:pt idx="199">
                  <c:v>-91.143406061705448</c:v>
                </c:pt>
                <c:pt idx="200">
                  <c:v>-91.189944868064529</c:v>
                </c:pt>
                <c:pt idx="201">
                  <c:v>-91.236278844153205</c:v>
                </c:pt>
                <c:pt idx="202">
                  <c:v>-91.283397702489722</c:v>
                </c:pt>
                <c:pt idx="203">
                  <c:v>-91.330309828828931</c:v>
                </c:pt>
                <c:pt idx="204">
                  <c:v>-91.377018637336462</c:v>
                </c:pt>
                <c:pt idx="205">
                  <c:v>-91.423527471903441</c:v>
                </c:pt>
                <c:pt idx="206">
                  <c:v>-91.470970682948362</c:v>
                </c:pt>
                <c:pt idx="207">
                  <c:v>-91.518210897862133</c:v>
                </c:pt>
                <c:pt idx="208">
                  <c:v>-91.565251494098732</c:v>
                </c:pt>
                <c:pt idx="209">
                  <c:v>-91.612095779242225</c:v>
                </c:pt>
                <c:pt idx="210">
                  <c:v>-91.660018068514702</c:v>
                </c:pt>
                <c:pt idx="211">
                  <c:v>-91.707740037982902</c:v>
                </c:pt>
                <c:pt idx="212">
                  <c:v>-91.755265054840834</c:v>
                </c:pt>
                <c:pt idx="213">
                  <c:v>-91.802596416105629</c:v>
                </c:pt>
                <c:pt idx="214">
                  <c:v>-91.850675122788203</c:v>
                </c:pt>
                <c:pt idx="215">
                  <c:v>-91.898559089036098</c:v>
                </c:pt>
                <c:pt idx="216">
                  <c:v>-91.946251598791392</c:v>
                </c:pt>
                <c:pt idx="217">
                  <c:v>-91.993755867553446</c:v>
                </c:pt>
                <c:pt idx="218">
                  <c:v>-92.04215184909603</c:v>
                </c:pt>
                <c:pt idx="219">
                  <c:v>-92.090357500123588</c:v>
                </c:pt>
                <c:pt idx="220">
                  <c:v>-92.138376050206688</c:v>
                </c:pt>
                <c:pt idx="221">
                  <c:v>-92.186210661433279</c:v>
                </c:pt>
                <c:pt idx="222">
                  <c:v>-92.234924738021235</c:v>
                </c:pt>
                <c:pt idx="223">
                  <c:v>-92.283453057817979</c:v>
                </c:pt>
                <c:pt idx="224">
                  <c:v>-92.331798791570222</c:v>
                </c:pt>
                <c:pt idx="225">
                  <c:v>-92.379965043650898</c:v>
                </c:pt>
                <c:pt idx="226">
                  <c:v>-92.429148633844861</c:v>
                </c:pt>
                <c:pt idx="227">
                  <c:v>-92.478150081641488</c:v>
                </c:pt>
                <c:pt idx="228">
                  <c:v>-92.526972523393255</c:v>
                </c:pt>
                <c:pt idx="229">
                  <c:v>-92.575619029526806</c:v>
                </c:pt>
                <c:pt idx="230">
                  <c:v>-92.674741024094061</c:v>
                </c:pt>
                <c:pt idx="231">
                  <c:v>-92.72403769871039</c:v>
                </c:pt>
                <c:pt idx="232">
                  <c:v>-92.773162220693735</c:v>
                </c:pt>
                <c:pt idx="233">
                  <c:v>-92.823277669607435</c:v>
                </c:pt>
                <c:pt idx="234">
                  <c:v>-92.873218920786698</c:v>
                </c:pt>
                <c:pt idx="235">
                  <c:v>-92.922989024109327</c:v>
                </c:pt>
                <c:pt idx="236">
                  <c:v>-92.972590964979361</c:v>
                </c:pt>
                <c:pt idx="237">
                  <c:v>-93.023029039206435</c:v>
                </c:pt>
                <c:pt idx="238">
                  <c:v>-93.073298138542512</c:v>
                </c:pt>
                <c:pt idx="239">
                  <c:v>-93.123401237052519</c:v>
                </c:pt>
                <c:pt idx="240">
                  <c:v>-93.173341245998287</c:v>
                </c:pt>
                <c:pt idx="241">
                  <c:v>-93.224391717620776</c:v>
                </c:pt>
                <c:pt idx="242">
                  <c:v>-93.275276660015734</c:v>
                </c:pt>
                <c:pt idx="243">
                  <c:v>-93.325999018370595</c:v>
                </c:pt>
                <c:pt idx="244">
                  <c:v>-93.37656167544263</c:v>
                </c:pt>
                <c:pt idx="245">
                  <c:v>-93.42808272315699</c:v>
                </c:pt>
                <c:pt idx="246">
                  <c:v>-93.479442811074577</c:v>
                </c:pt>
                <c:pt idx="247">
                  <c:v>-93.530644826195967</c:v>
                </c:pt>
                <c:pt idx="248">
                  <c:v>-93.581691594308765</c:v>
                </c:pt>
                <c:pt idx="249">
                  <c:v>-93.633825323757975</c:v>
                </c:pt>
                <c:pt idx="250">
                  <c:v>-93.685801953804713</c:v>
                </c:pt>
                <c:pt idx="251">
                  <c:v>-93.737624332723456</c:v>
                </c:pt>
                <c:pt idx="252">
                  <c:v>-93.78929524826566</c:v>
                </c:pt>
                <c:pt idx="253">
                  <c:v>-93.841906258121369</c:v>
                </c:pt>
                <c:pt idx="254">
                  <c:v>-93.894365015032434</c:v>
                </c:pt>
                <c:pt idx="255">
                  <c:v>-93.94667430237314</c:v>
                </c:pt>
                <c:pt idx="256">
                  <c:v>-93.998836844439424</c:v>
                </c:pt>
                <c:pt idx="257">
                  <c:v>-94.05220104550537</c:v>
                </c:pt>
                <c:pt idx="258">
                  <c:v>-94.105416424166648</c:v>
                </c:pt>
                <c:pt idx="259">
                  <c:v>-94.158485738322995</c:v>
                </c:pt>
                <c:pt idx="260">
                  <c:v>-94.211411687144931</c:v>
                </c:pt>
                <c:pt idx="261">
                  <c:v>-94.265394961757849</c:v>
                </c:pt>
                <c:pt idx="262">
                  <c:v>-94.31923380971206</c:v>
                </c:pt>
                <c:pt idx="263">
                  <c:v>-94.372930937867793</c:v>
                </c:pt>
                <c:pt idx="264">
                  <c:v>-94.426488995446604</c:v>
                </c:pt>
                <c:pt idx="265">
                  <c:v>-94.481096191218811</c:v>
                </c:pt>
                <c:pt idx="266">
                  <c:v>-94.535563487176077</c:v>
                </c:pt>
                <c:pt idx="267">
                  <c:v>-94.589893536222135</c:v>
                </c:pt>
                <c:pt idx="268">
                  <c:v>-94.644088934811052</c:v>
                </c:pt>
                <c:pt idx="269">
                  <c:v>-94.699456487836443</c:v>
                </c:pt>
                <c:pt idx="270">
                  <c:v>-94.754688144594525</c:v>
                </c:pt>
                <c:pt idx="271">
                  <c:v>-94.809786519903128</c:v>
                </c:pt>
                <c:pt idx="272">
                  <c:v>-94.864754172890457</c:v>
                </c:pt>
                <c:pt idx="273">
                  <c:v>-94.920885463816063</c:v>
                </c:pt>
                <c:pt idx="274">
                  <c:v>-94.976885046988684</c:v>
                </c:pt>
                <c:pt idx="275">
                  <c:v>-95.032755495245624</c:v>
                </c:pt>
                <c:pt idx="276">
                  <c:v>-95.088499326618887</c:v>
                </c:pt>
                <c:pt idx="277">
                  <c:v>-95.145271112597555</c:v>
                </c:pt>
                <c:pt idx="278">
                  <c:v>-95.201916109126373</c:v>
                </c:pt>
                <c:pt idx="279">
                  <c:v>-95.258436826871119</c:v>
                </c:pt>
                <c:pt idx="280">
                  <c:v>-95.314835723164322</c:v>
                </c:pt>
                <c:pt idx="281">
                  <c:v>-95.372638065097178</c:v>
                </c:pt>
                <c:pt idx="282">
                  <c:v>-95.430316984453725</c:v>
                </c:pt>
                <c:pt idx="283">
                  <c:v>-95.48787497735583</c:v>
                </c:pt>
                <c:pt idx="284">
                  <c:v>-95.545314486733659</c:v>
                </c:pt>
                <c:pt idx="285">
                  <c:v>-95.603770618647431</c:v>
                </c:pt>
                <c:pt idx="286">
                  <c:v>-95.662108501914133</c:v>
                </c:pt>
                <c:pt idx="287">
                  <c:v>-95.720330565511389</c:v>
                </c:pt>
                <c:pt idx="288">
                  <c:v>-95.778439186866137</c:v>
                </c:pt>
                <c:pt idx="289">
                  <c:v>-95.837935175277153</c:v>
                </c:pt>
                <c:pt idx="290">
                  <c:v>-95.897316686012758</c:v>
                </c:pt>
                <c:pt idx="291">
                  <c:v>-95.956586125655775</c:v>
                </c:pt>
                <c:pt idx="292">
                  <c:v>-96.015745849630122</c:v>
                </c:pt>
                <c:pt idx="293">
                  <c:v>-96.076161566222936</c:v>
                </c:pt>
                <c:pt idx="294">
                  <c:v>-96.13646726766676</c:v>
                </c:pt>
                <c:pt idx="295">
                  <c:v>-96.196665319100703</c:v>
                </c:pt>
                <c:pt idx="296">
                  <c:v>-96.256758035446495</c:v>
                </c:pt>
                <c:pt idx="297">
                  <c:v>-96.318101512116002</c:v>
                </c:pt>
                <c:pt idx="298">
                  <c:v>-96.379339582607045</c:v>
                </c:pt>
                <c:pt idx="299">
                  <c:v>-96.440474568069206</c:v>
                </c:pt>
                <c:pt idx="300">
                  <c:v>-96.501508740462398</c:v>
                </c:pt>
                <c:pt idx="301">
                  <c:v>-96.563789194357852</c:v>
                </c:pt>
                <c:pt idx="302">
                  <c:v>-96.625968980166988</c:v>
                </c:pt>
                <c:pt idx="303">
                  <c:v>-96.688050372952134</c:v>
                </c:pt>
                <c:pt idx="304">
                  <c:v>-96.750035599684722</c:v>
                </c:pt>
                <c:pt idx="305">
                  <c:v>-96.813506347961663</c:v>
                </c:pt>
                <c:pt idx="306">
                  <c:v>-96.87688054980201</c:v>
                </c:pt>
                <c:pt idx="307">
                  <c:v>-96.940160458018752</c:v>
                </c:pt>
                <c:pt idx="308">
                  <c:v>-97.003348277770144</c:v>
                </c:pt>
                <c:pt idx="309">
                  <c:v>-97.067774864769888</c:v>
                </c:pt>
                <c:pt idx="310">
                  <c:v>-97.132109941501383</c:v>
                </c:pt>
                <c:pt idx="311">
                  <c:v>-97.196355709907465</c:v>
                </c:pt>
                <c:pt idx="312">
                  <c:v>-97.260514325526529</c:v>
                </c:pt>
                <c:pt idx="313">
                  <c:v>-97.326149623936146</c:v>
                </c:pt>
                <c:pt idx="314">
                  <c:v>-97.391697901567554</c:v>
                </c:pt>
                <c:pt idx="315">
                  <c:v>-97.457161332170031</c:v>
                </c:pt>
                <c:pt idx="316">
                  <c:v>-97.522542043711056</c:v>
                </c:pt>
                <c:pt idx="317">
                  <c:v>-97.589395917382276</c:v>
                </c:pt>
                <c:pt idx="318">
                  <c:v>-97.656167458483694</c:v>
                </c:pt>
                <c:pt idx="319">
                  <c:v>-97.722858809447089</c:v>
                </c:pt>
                <c:pt idx="320">
                  <c:v>-97.789472067638897</c:v>
                </c:pt>
                <c:pt idx="321">
                  <c:v>-97.857555775243654</c:v>
                </c:pt>
                <c:pt idx="322">
                  <c:v>-97.92556201950336</c:v>
                </c:pt>
                <c:pt idx="323">
                  <c:v>-97.993492908831954</c:v>
                </c:pt>
                <c:pt idx="324">
                  <c:v>-98.06135050737781</c:v>
                </c:pt>
                <c:pt idx="325">
                  <c:v>-98.130676621898289</c:v>
                </c:pt>
                <c:pt idx="326">
                  <c:v>-98.199930306899262</c:v>
                </c:pt>
                <c:pt idx="327">
                  <c:v>-98.269113634471324</c:v>
                </c:pt>
                <c:pt idx="328">
                  <c:v>-98.33822863330623</c:v>
                </c:pt>
                <c:pt idx="329">
                  <c:v>-98.40892893967262</c:v>
                </c:pt>
                <c:pt idx="330">
                  <c:v>-98.479561778120953</c:v>
                </c:pt>
                <c:pt idx="331">
                  <c:v>-98.550129192588287</c:v>
                </c:pt>
                <c:pt idx="332">
                  <c:v>-98.620633184253819</c:v>
                </c:pt>
                <c:pt idx="333">
                  <c:v>-98.692603848447661</c:v>
                </c:pt>
                <c:pt idx="334">
                  <c:v>-98.764512398750782</c:v>
                </c:pt>
                <c:pt idx="335">
                  <c:v>-98.836360838531633</c:v>
                </c:pt>
                <c:pt idx="336">
                  <c:v>-98.908151129386638</c:v>
                </c:pt>
                <c:pt idx="337">
                  <c:v>-98.981642690137036</c:v>
                </c:pt>
                <c:pt idx="338">
                  <c:v>-99.055077255301541</c:v>
                </c:pt>
                <c:pt idx="339">
                  <c:v>-99.128456805085349</c:v>
                </c:pt>
                <c:pt idx="340">
                  <c:v>-99.201783278424074</c:v>
                </c:pt>
                <c:pt idx="341">
                  <c:v>-99.276810960213282</c:v>
                </c:pt>
                <c:pt idx="342">
                  <c:v>-99.351786982042867</c:v>
                </c:pt>
                <c:pt idx="343">
                  <c:v>-99.426713297963673</c:v>
                </c:pt>
                <c:pt idx="344">
                  <c:v>-99.501591821334742</c:v>
                </c:pt>
                <c:pt idx="345">
                  <c:v>-99.578055791818841</c:v>
                </c:pt>
                <c:pt idx="346">
                  <c:v>-99.654473776290388</c:v>
                </c:pt>
                <c:pt idx="347">
                  <c:v>-99.730847691305385</c:v>
                </c:pt>
                <c:pt idx="348">
                  <c:v>-99.80717941361371</c:v>
                </c:pt>
                <c:pt idx="349">
                  <c:v>-99.88533105739775</c:v>
                </c:pt>
                <c:pt idx="350">
                  <c:v>-99.963442288540364</c:v>
                </c:pt>
                <c:pt idx="351">
                  <c:v>-100.04151500136747</c:v>
                </c:pt>
                <c:pt idx="352">
                  <c:v>-100.11955105085165</c:v>
                </c:pt>
                <c:pt idx="353">
                  <c:v>-100.1994090151337</c:v>
                </c:pt>
                <c:pt idx="354">
                  <c:v>-100.27923236249555</c:v>
                </c:pt>
                <c:pt idx="355">
                  <c:v>-100.35902296208531</c:v>
                </c:pt>
                <c:pt idx="356">
                  <c:v>-100.43878264421912</c:v>
                </c:pt>
                <c:pt idx="357">
                  <c:v>-100.52025120179916</c:v>
                </c:pt>
                <c:pt idx="358">
                  <c:v>-100.60169122308844</c:v>
                </c:pt>
                <c:pt idx="359">
                  <c:v>-100.68310454164448</c:v>
                </c:pt>
                <c:pt idx="360">
                  <c:v>-100.764492952982</c:v>
                </c:pt>
                <c:pt idx="361">
                  <c:v>-100.84782552440474</c:v>
                </c:pt>
                <c:pt idx="362">
                  <c:v>-100.93113566374981</c:v>
                </c:pt>
                <c:pt idx="363">
                  <c:v>-101.01442518229624</c:v>
                </c:pt>
                <c:pt idx="364">
                  <c:v>-101.09769585368529</c:v>
                </c:pt>
                <c:pt idx="365">
                  <c:v>-101.18279931279211</c:v>
                </c:pt>
                <c:pt idx="366">
                  <c:v>-101.26788670950228</c:v>
                </c:pt>
                <c:pt idx="367">
                  <c:v>-101.35295982266648</c:v>
                </c:pt>
                <c:pt idx="368">
                  <c:v>-101.43802039415536</c:v>
                </c:pt>
                <c:pt idx="369">
                  <c:v>-101.52515002897475</c:v>
                </c:pt>
                <c:pt idx="370">
                  <c:v>-101.61227008721913</c:v>
                </c:pt>
                <c:pt idx="371">
                  <c:v>-101.6993823271368</c:v>
                </c:pt>
                <c:pt idx="372">
                  <c:v>-101.78648847029635</c:v>
                </c:pt>
                <c:pt idx="373">
                  <c:v>-101.87555399673897</c:v>
                </c:pt>
                <c:pt idx="374">
                  <c:v>-101.96461667578069</c:v>
                </c:pt>
                <c:pt idx="375">
                  <c:v>-102.05367823513856</c:v>
                </c:pt>
                <c:pt idx="376">
                  <c:v>-102.14274036639144</c:v>
                </c:pt>
                <c:pt idx="377">
                  <c:v>-102.23399960946666</c:v>
                </c:pt>
                <c:pt idx="378">
                  <c:v>-102.32526293630809</c:v>
                </c:pt>
                <c:pt idx="379">
                  <c:v>-102.41653205453125</c:v>
                </c:pt>
                <c:pt idx="380">
                  <c:v>-102.50780863582368</c:v>
                </c:pt>
                <c:pt idx="381">
                  <c:v>-102.6010588042091</c:v>
                </c:pt>
                <c:pt idx="382">
                  <c:v>-102.69432017588402</c:v>
                </c:pt>
                <c:pt idx="383">
                  <c:v>-102.78759442244888</c:v>
                </c:pt>
                <c:pt idx="384">
                  <c:v>-102.88088318018217</c:v>
                </c:pt>
                <c:pt idx="385">
                  <c:v>-102.97650065741736</c:v>
                </c:pt>
                <c:pt idx="386">
                  <c:v>-103.07213674339819</c:v>
                </c:pt>
                <c:pt idx="387">
                  <c:v>-103.16779308934312</c:v>
                </c:pt>
                <c:pt idx="388">
                  <c:v>-103.26347131126016</c:v>
                </c:pt>
                <c:pt idx="389">
                  <c:v>-103.36137198728807</c:v>
                </c:pt>
                <c:pt idx="390">
                  <c:v>-103.45929886802067</c:v>
                </c:pt>
                <c:pt idx="391">
                  <c:v>-103.55725357464263</c:v>
                </c:pt>
                <c:pt idx="392">
                  <c:v>-103.65523769345651</c:v>
                </c:pt>
                <c:pt idx="393">
                  <c:v>-103.75545442844788</c:v>
                </c:pt>
                <c:pt idx="394">
                  <c:v>-103.85570515756777</c:v>
                </c:pt>
                <c:pt idx="395">
                  <c:v>-103.95599146875776</c:v>
                </c:pt>
                <c:pt idx="396">
                  <c:v>-104.0563149154242</c:v>
                </c:pt>
                <c:pt idx="397">
                  <c:v>-104.1591140470038</c:v>
                </c:pt>
                <c:pt idx="398">
                  <c:v>-104.26195533063124</c:v>
                </c:pt>
                <c:pt idx="399">
                  <c:v>-104.36484032830531</c:v>
                </c:pt>
                <c:pt idx="400">
                  <c:v>-104.46777056754799</c:v>
                </c:pt>
                <c:pt idx="401">
                  <c:v>-104.57307262972307</c:v>
                </c:pt>
                <c:pt idx="402">
                  <c:v>-104.67842512277484</c:v>
                </c:pt>
                <c:pt idx="403">
                  <c:v>-104.78382957344371</c:v>
                </c:pt>
                <c:pt idx="404">
                  <c:v>-104.88928747423412</c:v>
                </c:pt>
                <c:pt idx="405">
                  <c:v>-104.99724660796251</c:v>
                </c:pt>
                <c:pt idx="406">
                  <c:v>-105.10526475324242</c:v>
                </c:pt>
                <c:pt idx="407">
                  <c:v>-105.21334340266331</c:v>
                </c:pt>
                <c:pt idx="408">
                  <c:v>-105.32148401469115</c:v>
                </c:pt>
                <c:pt idx="409">
                  <c:v>-105.43225674417315</c:v>
                </c:pt>
                <c:pt idx="410">
                  <c:v>-105.54309739933223</c:v>
                </c:pt>
                <c:pt idx="411">
                  <c:v>-105.65400743890783</c:v>
                </c:pt>
                <c:pt idx="412">
                  <c:v>-105.76498828750496</c:v>
                </c:pt>
                <c:pt idx="413">
                  <c:v>-105.87861666836746</c:v>
                </c:pt>
                <c:pt idx="414">
                  <c:v>-105.99232209065848</c:v>
                </c:pt>
                <c:pt idx="415">
                  <c:v>-106.10610597441811</c:v>
                </c:pt>
                <c:pt idx="416">
                  <c:v>-106.21996970556859</c:v>
                </c:pt>
                <c:pt idx="417">
                  <c:v>-106.33661463655187</c:v>
                </c:pt>
                <c:pt idx="418">
                  <c:v>-106.45334607525842</c:v>
                </c:pt>
                <c:pt idx="419">
                  <c:v>-106.57016540227254</c:v>
                </c:pt>
                <c:pt idx="420">
                  <c:v>-106.68707396395591</c:v>
                </c:pt>
                <c:pt idx="421">
                  <c:v>-106.80666362474543</c:v>
                </c:pt>
                <c:pt idx="422">
                  <c:v>-106.92634925214732</c:v>
                </c:pt>
                <c:pt idx="423">
                  <c:v>-107.0461321779034</c:v>
                </c:pt>
                <c:pt idx="424">
                  <c:v>-107.16601369958248</c:v>
                </c:pt>
                <c:pt idx="425">
                  <c:v>-107.28894864847246</c:v>
                </c:pt>
                <c:pt idx="426">
                  <c:v>-107.41198975628342</c:v>
                </c:pt>
                <c:pt idx="427">
                  <c:v>-107.53513831191624</c:v>
                </c:pt>
                <c:pt idx="428">
                  <c:v>-107.6583955697661</c:v>
                </c:pt>
                <c:pt idx="429">
                  <c:v>-107.78460825644015</c:v>
                </c:pt>
                <c:pt idx="430">
                  <c:v>-107.91093726397111</c:v>
                </c:pt>
                <c:pt idx="431">
                  <c:v>-108.03738382815718</c:v>
                </c:pt>
                <c:pt idx="432">
                  <c:v>-108.16394915011686</c:v>
                </c:pt>
                <c:pt idx="433">
                  <c:v>-108.29349066641235</c:v>
                </c:pt>
                <c:pt idx="434">
                  <c:v>-108.42315878542499</c:v>
                </c:pt>
                <c:pt idx="435">
                  <c:v>-108.5529546835122</c:v>
                </c:pt>
                <c:pt idx="436">
                  <c:v>-108.68287950219536</c:v>
                </c:pt>
                <c:pt idx="437">
                  <c:v>-108.8160410214706</c:v>
                </c:pt>
                <c:pt idx="438">
                  <c:v>-108.94934000393258</c:v>
                </c:pt>
                <c:pt idx="439">
                  <c:v>-109.08277756595609</c:v>
                </c:pt>
                <c:pt idx="440">
                  <c:v>-109.21635478868822</c:v>
                </c:pt>
                <c:pt idx="441">
                  <c:v>-109.35319249202762</c:v>
                </c:pt>
                <c:pt idx="442">
                  <c:v>-109.49017862612988</c:v>
                </c:pt>
                <c:pt idx="443">
                  <c:v>-109.62731423958154</c:v>
                </c:pt>
                <c:pt idx="444">
                  <c:v>-109.7646003453723</c:v>
                </c:pt>
                <c:pt idx="445">
                  <c:v>-109.90517148821822</c:v>
                </c:pt>
                <c:pt idx="446">
                  <c:v>-110.04590209265243</c:v>
                </c:pt>
                <c:pt idx="447">
                  <c:v>-110.18679313151465</c:v>
                </c:pt>
                <c:pt idx="448">
                  <c:v>-110.32784554170254</c:v>
                </c:pt>
                <c:pt idx="449">
                  <c:v>-110.47245040990734</c:v>
                </c:pt>
                <c:pt idx="450">
                  <c:v>-110.61722636185414</c:v>
                </c:pt>
                <c:pt idx="451">
                  <c:v>-110.76217429091349</c:v>
                </c:pt>
                <c:pt idx="452">
                  <c:v>-110.9072950539519</c:v>
                </c:pt>
                <c:pt idx="453">
                  <c:v>-111.05587428709848</c:v>
                </c:pt>
                <c:pt idx="454">
                  <c:v>-111.20463595101269</c:v>
                </c:pt>
                <c:pt idx="455">
                  <c:v>-111.35358084808912</c:v>
                </c:pt>
                <c:pt idx="456">
                  <c:v>-111.50270974380481</c:v>
                </c:pt>
                <c:pt idx="457">
                  <c:v>-111.65556906648139</c:v>
                </c:pt>
                <c:pt idx="458">
                  <c:v>-111.80862273260982</c:v>
                </c:pt>
                <c:pt idx="459">
                  <c:v>-111.9618714478064</c:v>
                </c:pt>
                <c:pt idx="460">
                  <c:v>-112.11531588015512</c:v>
                </c:pt>
                <c:pt idx="461">
                  <c:v>-112.27252061114622</c:v>
                </c:pt>
                <c:pt idx="462">
                  <c:v>-112.42993153624913</c:v>
                </c:pt>
                <c:pt idx="463">
                  <c:v>-112.58754925366632</c:v>
                </c:pt>
                <c:pt idx="464">
                  <c:v>-112.74537432349051</c:v>
                </c:pt>
                <c:pt idx="465">
                  <c:v>-112.90711366269963</c:v>
                </c:pt>
                <c:pt idx="466">
                  <c:v>-113.06907125571932</c:v>
                </c:pt>
                <c:pt idx="467">
                  <c:v>-113.23124758357034</c:v>
                </c:pt>
                <c:pt idx="468">
                  <c:v>-113.39364308851346</c:v>
                </c:pt>
                <c:pt idx="469">
                  <c:v>-113.55998475921247</c:v>
                </c:pt>
                <c:pt idx="470">
                  <c:v>-113.7265565756075</c:v>
                </c:pt>
                <c:pt idx="471">
                  <c:v>-113.89335888980764</c:v>
                </c:pt>
                <c:pt idx="472">
                  <c:v>-114.06039201455789</c:v>
                </c:pt>
                <c:pt idx="473">
                  <c:v>-114.23165342028575</c:v>
                </c:pt>
                <c:pt idx="474">
                  <c:v>-114.40315733221604</c:v>
                </c:pt>
                <c:pt idx="475">
                  <c:v>-114.57490396248761</c:v>
                </c:pt>
                <c:pt idx="476">
                  <c:v>-114.74689348309805</c:v>
                </c:pt>
                <c:pt idx="477">
                  <c:v>-114.92314601322872</c:v>
                </c:pt>
                <c:pt idx="478">
                  <c:v>-115.09965313486128</c:v>
                </c:pt>
                <c:pt idx="479">
                  <c:v>-115.27641490654879</c:v>
                </c:pt>
                <c:pt idx="480">
                  <c:v>-115.45343134599528</c:v>
                </c:pt>
                <c:pt idx="481">
                  <c:v>-115.63474576508669</c:v>
                </c:pt>
                <c:pt idx="482">
                  <c:v>-115.81632650289656</c:v>
                </c:pt>
                <c:pt idx="483">
                  <c:v>-115.99817345061385</c:v>
                </c:pt>
                <c:pt idx="484">
                  <c:v>-116.18028645794777</c:v>
                </c:pt>
                <c:pt idx="485">
                  <c:v>-116.36685961524935</c:v>
                </c:pt>
                <c:pt idx="486">
                  <c:v>-116.55371075324206</c:v>
                </c:pt>
                <c:pt idx="487">
                  <c:v>-116.74083958122765</c:v>
                </c:pt>
                <c:pt idx="488">
                  <c:v>-116.92824576635866</c:v>
                </c:pt>
                <c:pt idx="489">
                  <c:v>-117.12040399819219</c:v>
                </c:pt>
                <c:pt idx="490">
                  <c:v>-117.31285212298171</c:v>
                </c:pt>
                <c:pt idx="491">
                  <c:v>-117.50558965127659</c:v>
                </c:pt>
                <c:pt idx="492">
                  <c:v>-117.69861605068164</c:v>
                </c:pt>
                <c:pt idx="493">
                  <c:v>-117.89643285413453</c:v>
                </c:pt>
                <c:pt idx="494">
                  <c:v>-118.09455086777874</c:v>
                </c:pt>
                <c:pt idx="495">
                  <c:v>-118.29296938673843</c:v>
                </c:pt>
                <c:pt idx="496">
                  <c:v>-118.49168766250759</c:v>
                </c:pt>
                <c:pt idx="497">
                  <c:v>-118.69536384966254</c:v>
                </c:pt>
                <c:pt idx="498">
                  <c:v>-118.89935225874704</c:v>
                </c:pt>
                <c:pt idx="499">
                  <c:v>-119.10365195090837</c:v>
                </c:pt>
                <c:pt idx="500">
                  <c:v>-119.3082619429925</c:v>
                </c:pt>
                <c:pt idx="501">
                  <c:v>-119.51799889427087</c:v>
                </c:pt>
                <c:pt idx="502">
                  <c:v>-119.72805867341069</c:v>
                </c:pt>
                <c:pt idx="503">
                  <c:v>-119.93844008766678</c:v>
                </c:pt>
                <c:pt idx="504">
                  <c:v>-120.14914189934372</c:v>
                </c:pt>
                <c:pt idx="505">
                  <c:v>-120.36501009508623</c:v>
                </c:pt>
                <c:pt idx="506">
                  <c:v>-120.58121080481028</c:v>
                </c:pt>
                <c:pt idx="507">
                  <c:v>-120.79774256330037</c:v>
                </c:pt>
                <c:pt idx="508">
                  <c:v>-121.01460385989269</c:v>
                </c:pt>
                <c:pt idx="509">
                  <c:v>-121.23680196114901</c:v>
                </c:pt>
                <c:pt idx="510">
                  <c:v>-121.45934162308373</c:v>
                </c:pt>
                <c:pt idx="511">
                  <c:v>-121.68222108638849</c:v>
                </c:pt>
                <c:pt idx="512">
                  <c:v>-121.90543854587929</c:v>
                </c:pt>
                <c:pt idx="513">
                  <c:v>-122.13429683461992</c:v>
                </c:pt>
                <c:pt idx="514">
                  <c:v>-122.3635053661158</c:v>
                </c:pt>
                <c:pt idx="515">
                  <c:v>-122.59306206039614</c:v>
                </c:pt>
                <c:pt idx="516">
                  <c:v>-122.82296479115877</c:v>
                </c:pt>
                <c:pt idx="517">
                  <c:v>-123.05854831203153</c:v>
                </c:pt>
                <c:pt idx="518">
                  <c:v>-123.29448943672347</c:v>
                </c:pt>
                <c:pt idx="519">
                  <c:v>-123.53078574345163</c:v>
                </c:pt>
                <c:pt idx="520">
                  <c:v>-123.76743476386089</c:v>
                </c:pt>
                <c:pt idx="521">
                  <c:v>-124.00993725379099</c:v>
                </c:pt>
                <c:pt idx="522">
                  <c:v>-124.25280364205015</c:v>
                </c:pt>
                <c:pt idx="523">
                  <c:v>-124.49603113959708</c:v>
                </c:pt>
                <c:pt idx="524">
                  <c:v>-124.73961691070789</c:v>
                </c:pt>
                <c:pt idx="525">
                  <c:v>-124.98922904926138</c:v>
                </c:pt>
                <c:pt idx="526">
                  <c:v>-125.23921014803238</c:v>
                </c:pt>
                <c:pt idx="527">
                  <c:v>-125.48955702409393</c:v>
                </c:pt>
                <c:pt idx="528">
                  <c:v>-125.74026644788826</c:v>
                </c:pt>
                <c:pt idx="529">
                  <c:v>-125.99717504094401</c:v>
                </c:pt>
                <c:pt idx="530">
                  <c:v>-126.2544562448855</c:v>
                </c:pt>
                <c:pt idx="531">
                  <c:v>-126.51210645516882</c:v>
                </c:pt>
                <c:pt idx="532">
                  <c:v>-126.77012202086368</c:v>
                </c:pt>
                <c:pt idx="533">
                  <c:v>-127.03464570534355</c:v>
                </c:pt>
                <c:pt idx="534">
                  <c:v>-127.29954443383147</c:v>
                </c:pt>
                <c:pt idx="535">
                  <c:v>-127.56481414511161</c:v>
                </c:pt>
                <c:pt idx="536">
                  <c:v>-127.83045073195355</c:v>
                </c:pt>
                <c:pt idx="537">
                  <c:v>-128.10249342066697</c:v>
                </c:pt>
                <c:pt idx="538">
                  <c:v>-128.37491100159053</c:v>
                </c:pt>
                <c:pt idx="539">
                  <c:v>-128.6476989397573</c:v>
                </c:pt>
                <c:pt idx="540">
                  <c:v>-128.92085265502052</c:v>
                </c:pt>
                <c:pt idx="541">
                  <c:v>-129.20085784196371</c:v>
                </c:pt>
                <c:pt idx="542">
                  <c:v>-129.48123650592999</c:v>
                </c:pt>
                <c:pt idx="543">
                  <c:v>-129.76198359412496</c:v>
                </c:pt>
                <c:pt idx="544">
                  <c:v>-130.04309400953809</c:v>
                </c:pt>
                <c:pt idx="545">
                  <c:v>-130.3310867881255</c:v>
                </c:pt>
                <c:pt idx="546">
                  <c:v>-130.61944898970285</c:v>
                </c:pt>
                <c:pt idx="547">
                  <c:v>-130.90817501955624</c:v>
                </c:pt>
                <c:pt idx="548">
                  <c:v>-131.19725924017433</c:v>
                </c:pt>
                <c:pt idx="549">
                  <c:v>-131.49339227537425</c:v>
                </c:pt>
                <c:pt idx="550">
                  <c:v>-131.78988818639422</c:v>
                </c:pt>
                <c:pt idx="551">
                  <c:v>-132.08674080538864</c:v>
                </c:pt>
                <c:pt idx="552">
                  <c:v>-132.38394392355593</c:v>
                </c:pt>
                <c:pt idx="553">
                  <c:v>-132.68849979963204</c:v>
                </c:pt>
                <c:pt idx="554">
                  <c:v>-132.99340958348128</c:v>
                </c:pt>
                <c:pt idx="555">
                  <c:v>-133.29866649350029</c:v>
                </c:pt>
                <c:pt idx="556">
                  <c:v>-133.6042637093876</c:v>
                </c:pt>
                <c:pt idx="557">
                  <c:v>-134.23082851129453</c:v>
                </c:pt>
                <c:pt idx="558">
                  <c:v>-134.85873111197293</c:v>
                </c:pt>
                <c:pt idx="559">
                  <c:v>-135.50234784166179</c:v>
                </c:pt>
                <c:pt idx="560">
                  <c:v>-136.14723716440349</c:v>
                </c:pt>
                <c:pt idx="561">
                  <c:v>-136.80867725792376</c:v>
                </c:pt>
                <c:pt idx="562">
                  <c:v>-137.47131239871104</c:v>
                </c:pt>
                <c:pt idx="563">
                  <c:v>-138.14932731108928</c:v>
                </c:pt>
                <c:pt idx="564">
                  <c:v>-138.82843928619386</c:v>
                </c:pt>
                <c:pt idx="565">
                  <c:v>-139.52573077023149</c:v>
                </c:pt>
                <c:pt idx="566">
                  <c:v>-140.22401262080717</c:v>
                </c:pt>
                <c:pt idx="567">
                  <c:v>-140.94040594681678</c:v>
                </c:pt>
                <c:pt idx="568">
                  <c:v>-141.65766273582628</c:v>
                </c:pt>
                <c:pt idx="569">
                  <c:v>-142.39006144337174</c:v>
                </c:pt>
                <c:pt idx="570">
                  <c:v>-143.12317043549331</c:v>
                </c:pt>
                <c:pt idx="571">
                  <c:v>-143.87704390643395</c:v>
                </c:pt>
                <c:pt idx="572">
                  <c:v>-144.63146386848987</c:v>
                </c:pt>
                <c:pt idx="573">
                  <c:v>-145.40073688884189</c:v>
                </c:pt>
                <c:pt idx="574">
                  <c:v>-146.17036199278212</c:v>
                </c:pt>
                <c:pt idx="575">
                  <c:v>-146.96041699558106</c:v>
                </c:pt>
                <c:pt idx="576">
                  <c:v>-147.75061211347023</c:v>
                </c:pt>
                <c:pt idx="577">
                  <c:v>-151.09485666234573</c:v>
                </c:pt>
                <c:pt idx="578">
                  <c:v>-154.43089396454911</c:v>
                </c:pt>
                <c:pt idx="579">
                  <c:v>-161.67258212881941</c:v>
                </c:pt>
                <c:pt idx="580">
                  <c:v>-169.43532643704444</c:v>
                </c:pt>
                <c:pt idx="581">
                  <c:v>-177.62133486925413</c:v>
                </c:pt>
                <c:pt idx="582">
                  <c:v>173.8836417708205</c:v>
                </c:pt>
                <c:pt idx="583">
                  <c:v>165.22914741265518</c:v>
                </c:pt>
                <c:pt idx="584">
                  <c:v>156.56224138493775</c:v>
                </c:pt>
                <c:pt idx="585">
                  <c:v>148.03641326846886</c:v>
                </c:pt>
                <c:pt idx="586">
                  <c:v>139.78087671606926</c:v>
                </c:pt>
                <c:pt idx="587">
                  <c:v>131.89625809553817</c:v>
                </c:pt>
                <c:pt idx="588">
                  <c:v>124.46718112366327</c:v>
                </c:pt>
                <c:pt idx="589">
                  <c:v>117.53931863855217</c:v>
                </c:pt>
                <c:pt idx="590">
                  <c:v>111.14642025998533</c:v>
                </c:pt>
                <c:pt idx="591">
                  <c:v>105.30288803373601</c:v>
                </c:pt>
                <c:pt idx="592">
                  <c:v>100.01260950911947</c:v>
                </c:pt>
                <c:pt idx="593">
                  <c:v>95.268426292300958</c:v>
                </c:pt>
                <c:pt idx="594">
                  <c:v>91.059157574240132</c:v>
                </c:pt>
                <c:pt idx="595">
                  <c:v>87.365750596540195</c:v>
                </c:pt>
                <c:pt idx="596">
                  <c:v>84.165694498364701</c:v>
                </c:pt>
                <c:pt idx="597">
                  <c:v>81.430388282275757</c:v>
                </c:pt>
                <c:pt idx="598">
                  <c:v>79.128241734208842</c:v>
                </c:pt>
                <c:pt idx="599">
                  <c:v>77.222456685698305</c:v>
                </c:pt>
                <c:pt idx="600">
                  <c:v>75.673754134959367</c:v>
                </c:pt>
              </c:numCache>
            </c:numRef>
          </c:yVal>
          <c:smooth val="0"/>
          <c:extLst>
            <c:ext xmlns:c16="http://schemas.microsoft.com/office/drawing/2014/chart" uri="{C3380CC4-5D6E-409C-BE32-E72D297353CC}">
              <c16:uniqueId val="{00000004-5922-4F18-8E00-ECB0DEBA2AF6}"/>
            </c:ext>
          </c:extLst>
        </c:ser>
        <c:ser>
          <c:idx val="8"/>
          <c:order val="5"/>
          <c:tx>
            <c:strRef>
              <c:f>'IL Stability Calculations'!$AY$12</c:f>
              <c:strCache>
                <c:ptCount val="1"/>
                <c:pt idx="0">
                  <c:v>Phase (°)</c:v>
                </c:pt>
              </c:strCache>
            </c:strRef>
          </c:tx>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Calculations'!$AY$13:$AY$613</c:f>
              <c:numCache>
                <c:formatCode>0.00</c:formatCode>
                <c:ptCount val="601"/>
                <c:pt idx="0">
                  <c:v>164.56299662447466</c:v>
                </c:pt>
                <c:pt idx="1">
                  <c:v>163.15456616782271</c:v>
                </c:pt>
                <c:pt idx="2">
                  <c:v>161.63426503627983</c:v>
                </c:pt>
                <c:pt idx="3">
                  <c:v>159.99779693914081</c:v>
                </c:pt>
                <c:pt idx="4">
                  <c:v>158.24319394954401</c:v>
                </c:pt>
                <c:pt idx="5">
                  <c:v>156.3658267315262</c:v>
                </c:pt>
                <c:pt idx="6">
                  <c:v>154.36850991061024</c:v>
                </c:pt>
                <c:pt idx="7">
                  <c:v>152.25251380719448</c:v>
                </c:pt>
                <c:pt idx="8">
                  <c:v>150.02463773049621</c:v>
                </c:pt>
                <c:pt idx="9">
                  <c:v>147.69139172053633</c:v>
                </c:pt>
                <c:pt idx="10">
                  <c:v>145.2653803330457</c:v>
                </c:pt>
                <c:pt idx="11">
                  <c:v>142.76065767736239</c:v>
                </c:pt>
                <c:pt idx="12">
                  <c:v>140.19306921063477</c:v>
                </c:pt>
                <c:pt idx="13">
                  <c:v>137.58467954652781</c:v>
                </c:pt>
                <c:pt idx="14">
                  <c:v>134.95473848780074</c:v>
                </c:pt>
                <c:pt idx="15">
                  <c:v>132.3264565042108</c:v>
                </c:pt>
                <c:pt idx="16">
                  <c:v>129.72179644086938</c:v>
                </c:pt>
                <c:pt idx="17">
                  <c:v>127.16234556629583</c:v>
                </c:pt>
                <c:pt idx="18">
                  <c:v>124.66681856190306</c:v>
                </c:pt>
                <c:pt idx="19">
                  <c:v>122.25292300949907</c:v>
                </c:pt>
                <c:pt idx="20">
                  <c:v>119.93434799979801</c:v>
                </c:pt>
                <c:pt idx="21">
                  <c:v>117.7226586865565</c:v>
                </c:pt>
                <c:pt idx="22">
                  <c:v>115.62539809079075</c:v>
                </c:pt>
                <c:pt idx="23">
                  <c:v>113.64818170832812</c:v>
                </c:pt>
                <c:pt idx="24">
                  <c:v>111.79298386827978</c:v>
                </c:pt>
                <c:pt idx="25">
                  <c:v>110.06033211162524</c:v>
                </c:pt>
                <c:pt idx="26">
                  <c:v>108.44821775978323</c:v>
                </c:pt>
                <c:pt idx="27">
                  <c:v>106.95406643807674</c:v>
                </c:pt>
                <c:pt idx="28">
                  <c:v>105.5735824168725</c:v>
                </c:pt>
                <c:pt idx="29">
                  <c:v>104.30251817001746</c:v>
                </c:pt>
                <c:pt idx="30">
                  <c:v>103.13329307074925</c:v>
                </c:pt>
                <c:pt idx="31">
                  <c:v>102.06188067839838</c:v>
                </c:pt>
                <c:pt idx="32">
                  <c:v>101.0816899978071</c:v>
                </c:pt>
                <c:pt idx="33">
                  <c:v>100.18760555229787</c:v>
                </c:pt>
                <c:pt idx="34">
                  <c:v>99.373286313374706</c:v>
                </c:pt>
                <c:pt idx="35">
                  <c:v>98.633798489477996</c:v>
                </c:pt>
                <c:pt idx="36">
                  <c:v>97.963876152299676</c:v>
                </c:pt>
                <c:pt idx="37">
                  <c:v>97.358396448742042</c:v>
                </c:pt>
                <c:pt idx="38">
                  <c:v>96.813473452339792</c:v>
                </c:pt>
                <c:pt idx="39">
                  <c:v>96.324540871024695</c:v>
                </c:pt>
                <c:pt idx="40">
                  <c:v>95.888045184389441</c:v>
                </c:pt>
                <c:pt idx="41">
                  <c:v>95.500533734810148</c:v>
                </c:pt>
                <c:pt idx="42">
                  <c:v>95.158982590721536</c:v>
                </c:pt>
                <c:pt idx="43">
                  <c:v>94.860555468730581</c:v>
                </c:pt>
                <c:pt idx="44">
                  <c:v>94.602917331387829</c:v>
                </c:pt>
                <c:pt idx="45">
                  <c:v>94.383905139607904</c:v>
                </c:pt>
                <c:pt idx="46">
                  <c:v>94.201748117429275</c:v>
                </c:pt>
                <c:pt idx="47">
                  <c:v>94.054876355040022</c:v>
                </c:pt>
                <c:pt idx="48">
                  <c:v>93.942065989485968</c:v>
                </c:pt>
                <c:pt idx="49">
                  <c:v>93.862289100294419</c:v>
                </c:pt>
                <c:pt idx="50">
                  <c:v>93.814813068819348</c:v>
                </c:pt>
                <c:pt idx="51">
                  <c:v>93.799122929365424</c:v>
                </c:pt>
                <c:pt idx="52">
                  <c:v>93.814940858828692</c:v>
                </c:pt>
                <c:pt idx="53">
                  <c:v>93.86218296929367</c:v>
                </c:pt>
                <c:pt idx="54">
                  <c:v>93.940903426892788</c:v>
                </c:pt>
                <c:pt idx="55">
                  <c:v>94.05154582791576</c:v>
                </c:pt>
                <c:pt idx="56">
                  <c:v>94.194432629665599</c:v>
                </c:pt>
                <c:pt idx="57">
                  <c:v>94.370225966436095</c:v>
                </c:pt>
                <c:pt idx="58">
                  <c:v>94.579447083342217</c:v>
                </c:pt>
                <c:pt idx="59">
                  <c:v>94.822940459454998</c:v>
                </c:pt>
                <c:pt idx="60">
                  <c:v>95.101232267762995</c:v>
                </c:pt>
                <c:pt idx="61">
                  <c:v>95.414895367192855</c:v>
                </c:pt>
                <c:pt idx="62">
                  <c:v>95.764452117064224</c:v>
                </c:pt>
                <c:pt idx="63">
                  <c:v>96.149561238817213</c:v>
                </c:pt>
                <c:pt idx="64">
                  <c:v>96.57002399803882</c:v>
                </c:pt>
                <c:pt idx="65">
                  <c:v>97.024521496650522</c:v>
                </c:pt>
                <c:pt idx="66">
                  <c:v>97.511036501531407</c:v>
                </c:pt>
                <c:pt idx="67">
                  <c:v>98.026334646099286</c:v>
                </c:pt>
                <c:pt idx="68">
                  <c:v>98.566059202349877</c:v>
                </c:pt>
                <c:pt idx="69">
                  <c:v>99.123983436367411</c:v>
                </c:pt>
                <c:pt idx="70">
                  <c:v>99.692364938507254</c:v>
                </c:pt>
                <c:pt idx="71">
                  <c:v>100.26134825860451</c:v>
                </c:pt>
                <c:pt idx="72">
                  <c:v>100.81942464945615</c:v>
                </c:pt>
                <c:pt idx="73">
                  <c:v>101.35309829025354</c:v>
                </c:pt>
                <c:pt idx="74">
                  <c:v>101.84777294679901</c:v>
                </c:pt>
                <c:pt idx="75">
                  <c:v>102.28783797193155</c:v>
                </c:pt>
                <c:pt idx="76">
                  <c:v>102.65783506410202</c:v>
                </c:pt>
                <c:pt idx="77">
                  <c:v>102.94302334546316</c:v>
                </c:pt>
                <c:pt idx="78">
                  <c:v>103.13077387749865</c:v>
                </c:pt>
                <c:pt idx="79">
                  <c:v>103.21134537666674</c:v>
                </c:pt>
                <c:pt idx="80">
                  <c:v>103.17877666291255</c:v>
                </c:pt>
                <c:pt idx="81">
                  <c:v>103.03115233878368</c:v>
                </c:pt>
                <c:pt idx="82">
                  <c:v>102.7708373149197</c:v>
                </c:pt>
                <c:pt idx="83">
                  <c:v>102.40450749458073</c:v>
                </c:pt>
                <c:pt idx="84">
                  <c:v>101.94175443581865</c:v>
                </c:pt>
                <c:pt idx="85">
                  <c:v>101.3951851208855</c:v>
                </c:pt>
                <c:pt idx="86">
                  <c:v>100.77860766546351</c:v>
                </c:pt>
                <c:pt idx="87">
                  <c:v>100.10599759988496</c:v>
                </c:pt>
                <c:pt idx="88">
                  <c:v>99.391923339644649</c:v>
                </c:pt>
                <c:pt idx="89">
                  <c:v>98.648618961978002</c:v>
                </c:pt>
                <c:pt idx="90">
                  <c:v>97.887520086391802</c:v>
                </c:pt>
                <c:pt idx="91">
                  <c:v>97.117807572917528</c:v>
                </c:pt>
                <c:pt idx="92">
                  <c:v>96.346806827013268</c:v>
                </c:pt>
                <c:pt idx="93">
                  <c:v>95.579523530038315</c:v>
                </c:pt>
                <c:pt idx="94">
                  <c:v>95.388815316866143</c:v>
                </c:pt>
                <c:pt idx="95">
                  <c:v>95.293056003766921</c:v>
                </c:pt>
                <c:pt idx="96">
                  <c:v>95.198520002709216</c:v>
                </c:pt>
                <c:pt idx="97">
                  <c:v>95.103031853329881</c:v>
                </c:pt>
                <c:pt idx="98">
                  <c:v>95.008770343044603</c:v>
                </c:pt>
                <c:pt idx="99">
                  <c:v>94.913541909977056</c:v>
                </c:pt>
                <c:pt idx="100">
                  <c:v>94.81954242850172</c:v>
                </c:pt>
                <c:pt idx="101">
                  <c:v>94.724633185768667</c:v>
                </c:pt>
                <c:pt idx="102">
                  <c:v>94.630952384846964</c:v>
                </c:pt>
                <c:pt idx="103">
                  <c:v>94.53627785969438</c:v>
                </c:pt>
                <c:pt idx="104">
                  <c:v>94.44283215965784</c:v>
                </c:pt>
                <c:pt idx="105">
                  <c:v>94.348449049530146</c:v>
                </c:pt>
                <c:pt idx="106">
                  <c:v>94.255292421750212</c:v>
                </c:pt>
                <c:pt idx="107">
                  <c:v>94.161250649405432</c:v>
                </c:pt>
                <c:pt idx="108">
                  <c:v>94.068430471598077</c:v>
                </c:pt>
                <c:pt idx="109">
                  <c:v>93.974710117871865</c:v>
                </c:pt>
                <c:pt idx="110">
                  <c:v>93.882205746017348</c:v>
                </c:pt>
                <c:pt idx="111">
                  <c:v>93.788725540691189</c:v>
                </c:pt>
                <c:pt idx="112">
                  <c:v>93.696456576222033</c:v>
                </c:pt>
                <c:pt idx="113">
                  <c:v>93.603262191897002</c:v>
                </c:pt>
                <c:pt idx="114">
                  <c:v>93.511271921029248</c:v>
                </c:pt>
                <c:pt idx="115">
                  <c:v>93.418344126896073</c:v>
                </c:pt>
                <c:pt idx="116">
                  <c:v>93.326612618537027</c:v>
                </c:pt>
                <c:pt idx="117">
                  <c:v>93.233932226990476</c:v>
                </c:pt>
                <c:pt idx="118">
                  <c:v>93.142439603623075</c:v>
                </c:pt>
                <c:pt idx="119">
                  <c:v>93.050043036472331</c:v>
                </c:pt>
                <c:pt idx="120">
                  <c:v>92.958823633275017</c:v>
                </c:pt>
                <c:pt idx="121">
                  <c:v>92.866687267474703</c:v>
                </c:pt>
                <c:pt idx="122">
                  <c:v>92.775716924903634</c:v>
                </c:pt>
                <c:pt idx="123">
                  <c:v>92.683764249859948</c:v>
                </c:pt>
                <c:pt idx="124">
                  <c:v>92.592967251744341</c:v>
                </c:pt>
                <c:pt idx="125">
                  <c:v>92.50123012979158</c:v>
                </c:pt>
                <c:pt idx="126">
                  <c:v>92.41063642686504</c:v>
                </c:pt>
                <c:pt idx="127">
                  <c:v>92.319090905472848</c:v>
                </c:pt>
                <c:pt idx="128">
                  <c:v>92.228676050342528</c:v>
                </c:pt>
                <c:pt idx="129">
                  <c:v>92.137297958745705</c:v>
                </c:pt>
                <c:pt idx="130">
                  <c:v>92.047037301926196</c:v>
                </c:pt>
                <c:pt idx="131">
                  <c:v>91.955802186262417</c:v>
                </c:pt>
                <c:pt idx="132">
                  <c:v>91.910600542744689</c:v>
                </c:pt>
                <c:pt idx="133">
                  <c:v>91.865670812723181</c:v>
                </c:pt>
                <c:pt idx="134">
                  <c:v>91.819950602899866</c:v>
                </c:pt>
                <c:pt idx="135">
                  <c:v>91.774507122494043</c:v>
                </c:pt>
                <c:pt idx="136">
                  <c:v>91.729336302677424</c:v>
                </c:pt>
                <c:pt idx="137">
                  <c:v>91.68443414823264</c:v>
                </c:pt>
                <c:pt idx="138">
                  <c:v>91.6387863396222</c:v>
                </c:pt>
                <c:pt idx="139">
                  <c:v>91.593411311297743</c:v>
                </c:pt>
                <c:pt idx="140">
                  <c:v>91.548305018869584</c:v>
                </c:pt>
                <c:pt idx="141">
                  <c:v>91.503463492018341</c:v>
                </c:pt>
                <c:pt idx="142">
                  <c:v>91.457828807925921</c:v>
                </c:pt>
                <c:pt idx="143">
                  <c:v>91.412463406086971</c:v>
                </c:pt>
                <c:pt idx="144">
                  <c:v>91.367363258169675</c:v>
                </c:pt>
                <c:pt idx="145">
                  <c:v>91.322524410531727</c:v>
                </c:pt>
                <c:pt idx="146">
                  <c:v>91.276913313005778</c:v>
                </c:pt>
                <c:pt idx="147">
                  <c:v>91.231567620418957</c:v>
                </c:pt>
                <c:pt idx="148">
                  <c:v>91.186483330448169</c:v>
                </c:pt>
                <c:pt idx="149">
                  <c:v>91.141656515793997</c:v>
                </c:pt>
                <c:pt idx="150">
                  <c:v>91.096055698012179</c:v>
                </c:pt>
                <c:pt idx="151">
                  <c:v>91.050716315984047</c:v>
                </c:pt>
                <c:pt idx="152">
                  <c:v>91.005634396947087</c:v>
                </c:pt>
                <c:pt idx="153">
                  <c:v>90.960806043367214</c:v>
                </c:pt>
                <c:pt idx="154">
                  <c:v>90.915181007004293</c:v>
                </c:pt>
                <c:pt idx="155">
                  <c:v>90.86981358649706</c:v>
                </c:pt>
                <c:pt idx="156">
                  <c:v>90.824699836624958</c:v>
                </c:pt>
                <c:pt idx="157">
                  <c:v>90.779835887611938</c:v>
                </c:pt>
                <c:pt idx="158">
                  <c:v>90.734174171249464</c:v>
                </c:pt>
                <c:pt idx="159">
                  <c:v>90.688766146169641</c:v>
                </c:pt>
                <c:pt idx="160">
                  <c:v>90.643607898351235</c:v>
                </c:pt>
                <c:pt idx="161">
                  <c:v>90.598695589304398</c:v>
                </c:pt>
                <c:pt idx="162">
                  <c:v>90.553004364397054</c:v>
                </c:pt>
                <c:pt idx="163">
                  <c:v>90.507562591566</c:v>
                </c:pt>
                <c:pt idx="164">
                  <c:v>90.462366396502233</c:v>
                </c:pt>
                <c:pt idx="165">
                  <c:v>90.417411980261491</c:v>
                </c:pt>
                <c:pt idx="166">
                  <c:v>90.371637545430886</c:v>
                </c:pt>
                <c:pt idx="167">
                  <c:v>90.326108675699686</c:v>
                </c:pt>
                <c:pt idx="168">
                  <c:v>90.280821529471339</c:v>
                </c:pt>
                <c:pt idx="169">
                  <c:v>90.235772340493838</c:v>
                </c:pt>
                <c:pt idx="170">
                  <c:v>90.189998263084064</c:v>
                </c:pt>
                <c:pt idx="171">
                  <c:v>90.144464754552047</c:v>
                </c:pt>
                <c:pt idx="172">
                  <c:v>90.099168033155507</c:v>
                </c:pt>
                <c:pt idx="173">
                  <c:v>90.054104391731826</c:v>
                </c:pt>
                <c:pt idx="174">
                  <c:v>90.008142855948293</c:v>
                </c:pt>
                <c:pt idx="175">
                  <c:v>89.962418642002916</c:v>
                </c:pt>
                <c:pt idx="176">
                  <c:v>89.916927987942529</c:v>
                </c:pt>
                <c:pt idx="177">
                  <c:v>89.871667206649732</c:v>
                </c:pt>
                <c:pt idx="178">
                  <c:v>89.825528097775333</c:v>
                </c:pt>
                <c:pt idx="179">
                  <c:v>89.779622702537267</c:v>
                </c:pt>
                <c:pt idx="180">
                  <c:v>89.733947287952205</c:v>
                </c:pt>
                <c:pt idx="181">
                  <c:v>89.688498195862294</c:v>
                </c:pt>
                <c:pt idx="182">
                  <c:v>89.642369561704967</c:v>
                </c:pt>
                <c:pt idx="183">
                  <c:v>89.596468935531547</c:v>
                </c:pt>
                <c:pt idx="184">
                  <c:v>89.550792664385042</c:v>
                </c:pt>
                <c:pt idx="185">
                  <c:v>89.505337168730335</c:v>
                </c:pt>
                <c:pt idx="186">
                  <c:v>89.458860138002592</c:v>
                </c:pt>
                <c:pt idx="187">
                  <c:v>89.412608739413969</c:v>
                </c:pt>
                <c:pt idx="188">
                  <c:v>89.366579321002817</c:v>
                </c:pt>
                <c:pt idx="189">
                  <c:v>89.320768304913855</c:v>
                </c:pt>
                <c:pt idx="190">
                  <c:v>89.274304097710285</c:v>
                </c:pt>
                <c:pt idx="191">
                  <c:v>89.228059433127925</c:v>
                </c:pt>
                <c:pt idx="192">
                  <c:v>89.182030750535631</c:v>
                </c:pt>
                <c:pt idx="193">
                  <c:v>89.136214561634063</c:v>
                </c:pt>
                <c:pt idx="194">
                  <c:v>89.089414538542513</c:v>
                </c:pt>
                <c:pt idx="195">
                  <c:v>89.042831079849506</c:v>
                </c:pt>
                <c:pt idx="196">
                  <c:v>88.996460641609033</c:v>
                </c:pt>
                <c:pt idx="197">
                  <c:v>88.950299752419681</c:v>
                </c:pt>
                <c:pt idx="198">
                  <c:v>88.9033409847017</c:v>
                </c:pt>
                <c:pt idx="199">
                  <c:v>88.856593938294552</c:v>
                </c:pt>
                <c:pt idx="200">
                  <c:v>88.810055131935471</c:v>
                </c:pt>
                <c:pt idx="201">
                  <c:v>88.763721155846795</c:v>
                </c:pt>
                <c:pt idx="202">
                  <c:v>88.716602297510278</c:v>
                </c:pt>
                <c:pt idx="203">
                  <c:v>88.669690171171069</c:v>
                </c:pt>
                <c:pt idx="204">
                  <c:v>88.622981362663538</c:v>
                </c:pt>
                <c:pt idx="205">
                  <c:v>88.576472528096559</c:v>
                </c:pt>
                <c:pt idx="206">
                  <c:v>88.529029317051638</c:v>
                </c:pt>
                <c:pt idx="207">
                  <c:v>88.481789102137867</c:v>
                </c:pt>
                <c:pt idx="208">
                  <c:v>88.434748505901268</c:v>
                </c:pt>
                <c:pt idx="209">
                  <c:v>88.387904220757775</c:v>
                </c:pt>
                <c:pt idx="210">
                  <c:v>88.339981931485298</c:v>
                </c:pt>
                <c:pt idx="211">
                  <c:v>88.292259962017098</c:v>
                </c:pt>
                <c:pt idx="212">
                  <c:v>88.244734945159166</c:v>
                </c:pt>
                <c:pt idx="213">
                  <c:v>88.197403583894371</c:v>
                </c:pt>
                <c:pt idx="214">
                  <c:v>88.149324877211797</c:v>
                </c:pt>
                <c:pt idx="215">
                  <c:v>88.101440910963902</c:v>
                </c:pt>
                <c:pt idx="216">
                  <c:v>88.053748401208608</c:v>
                </c:pt>
                <c:pt idx="217">
                  <c:v>88.006244132446554</c:v>
                </c:pt>
                <c:pt idx="218">
                  <c:v>87.95784815090397</c:v>
                </c:pt>
                <c:pt idx="219">
                  <c:v>87.909642499876412</c:v>
                </c:pt>
                <c:pt idx="220">
                  <c:v>87.861623949793312</c:v>
                </c:pt>
                <c:pt idx="221">
                  <c:v>87.813789338566721</c:v>
                </c:pt>
                <c:pt idx="222">
                  <c:v>87.765075261978765</c:v>
                </c:pt>
                <c:pt idx="223">
                  <c:v>87.716546942182021</c:v>
                </c:pt>
                <c:pt idx="224">
                  <c:v>87.668201208429778</c:v>
                </c:pt>
                <c:pt idx="225">
                  <c:v>87.620034956349102</c:v>
                </c:pt>
                <c:pt idx="226">
                  <c:v>87.570851366155139</c:v>
                </c:pt>
                <c:pt idx="227">
                  <c:v>87.521849918358512</c:v>
                </c:pt>
                <c:pt idx="228">
                  <c:v>87.473027476606745</c:v>
                </c:pt>
                <c:pt idx="229">
                  <c:v>87.424380970473194</c:v>
                </c:pt>
                <c:pt idx="230">
                  <c:v>87.325258975905939</c:v>
                </c:pt>
                <c:pt idx="231">
                  <c:v>87.27596230128961</c:v>
                </c:pt>
                <c:pt idx="232">
                  <c:v>87.226837779306265</c:v>
                </c:pt>
                <c:pt idx="233">
                  <c:v>87.176722330392565</c:v>
                </c:pt>
                <c:pt idx="234">
                  <c:v>87.126781079213302</c:v>
                </c:pt>
                <c:pt idx="235">
                  <c:v>87.077010975890673</c:v>
                </c:pt>
                <c:pt idx="236">
                  <c:v>87.027409035020639</c:v>
                </c:pt>
                <c:pt idx="237">
                  <c:v>86.976970960793565</c:v>
                </c:pt>
                <c:pt idx="238">
                  <c:v>86.926701861457488</c:v>
                </c:pt>
                <c:pt idx="239">
                  <c:v>86.876598762947481</c:v>
                </c:pt>
                <c:pt idx="240">
                  <c:v>86.826658754001713</c:v>
                </c:pt>
                <c:pt idx="241">
                  <c:v>86.775608282379224</c:v>
                </c:pt>
                <c:pt idx="242">
                  <c:v>86.724723339984266</c:v>
                </c:pt>
                <c:pt idx="243">
                  <c:v>86.674000981629405</c:v>
                </c:pt>
                <c:pt idx="244">
                  <c:v>86.62343832455737</c:v>
                </c:pt>
                <c:pt idx="245">
                  <c:v>86.57191727684301</c:v>
                </c:pt>
                <c:pt idx="246">
                  <c:v>86.520557188925423</c:v>
                </c:pt>
                <c:pt idx="247">
                  <c:v>86.469355173804033</c:v>
                </c:pt>
                <c:pt idx="248">
                  <c:v>86.418308405691235</c:v>
                </c:pt>
                <c:pt idx="249">
                  <c:v>86.366174676242025</c:v>
                </c:pt>
                <c:pt idx="250">
                  <c:v>86.314198046195287</c:v>
                </c:pt>
                <c:pt idx="251">
                  <c:v>86.262375667276544</c:v>
                </c:pt>
                <c:pt idx="252">
                  <c:v>86.21070475173434</c:v>
                </c:pt>
                <c:pt idx="253">
                  <c:v>86.158093741878631</c:v>
                </c:pt>
                <c:pt idx="254">
                  <c:v>86.105634984967566</c:v>
                </c:pt>
                <c:pt idx="255">
                  <c:v>86.05332569762686</c:v>
                </c:pt>
                <c:pt idx="256">
                  <c:v>86.001163155560576</c:v>
                </c:pt>
                <c:pt idx="257">
                  <c:v>85.94779895449463</c:v>
                </c:pt>
                <c:pt idx="258">
                  <c:v>85.894583575833352</c:v>
                </c:pt>
                <c:pt idx="259">
                  <c:v>85.841514261677005</c:v>
                </c:pt>
                <c:pt idx="260">
                  <c:v>85.788588312855069</c:v>
                </c:pt>
                <c:pt idx="261">
                  <c:v>85.734605038242151</c:v>
                </c:pt>
                <c:pt idx="262">
                  <c:v>85.68076619028794</c:v>
                </c:pt>
                <c:pt idx="263">
                  <c:v>85.627069062132207</c:v>
                </c:pt>
                <c:pt idx="264">
                  <c:v>85.573511004553396</c:v>
                </c:pt>
                <c:pt idx="265">
                  <c:v>85.518903808781189</c:v>
                </c:pt>
                <c:pt idx="266">
                  <c:v>85.464436512823923</c:v>
                </c:pt>
                <c:pt idx="267">
                  <c:v>85.410106463777865</c:v>
                </c:pt>
                <c:pt idx="268">
                  <c:v>85.355911065188948</c:v>
                </c:pt>
                <c:pt idx="269">
                  <c:v>85.300543512163557</c:v>
                </c:pt>
                <c:pt idx="270">
                  <c:v>85.245311855405475</c:v>
                </c:pt>
                <c:pt idx="271">
                  <c:v>85.190213480096872</c:v>
                </c:pt>
                <c:pt idx="272">
                  <c:v>85.135245827109543</c:v>
                </c:pt>
                <c:pt idx="273">
                  <c:v>85.079114536183937</c:v>
                </c:pt>
                <c:pt idx="274">
                  <c:v>85.023114953011316</c:v>
                </c:pt>
                <c:pt idx="275">
                  <c:v>84.967244504754376</c:v>
                </c:pt>
                <c:pt idx="276">
                  <c:v>84.911500673381113</c:v>
                </c:pt>
                <c:pt idx="277">
                  <c:v>84.854728887402445</c:v>
                </c:pt>
                <c:pt idx="278">
                  <c:v>84.798083890873627</c:v>
                </c:pt>
                <c:pt idx="279">
                  <c:v>84.741563173128881</c:v>
                </c:pt>
                <c:pt idx="280">
                  <c:v>84.685164276835678</c:v>
                </c:pt>
                <c:pt idx="281">
                  <c:v>84.627361934902822</c:v>
                </c:pt>
                <c:pt idx="282">
                  <c:v>84.569683015546275</c:v>
                </c:pt>
                <c:pt idx="283">
                  <c:v>84.51212502264417</c:v>
                </c:pt>
                <c:pt idx="284">
                  <c:v>84.454685513266341</c:v>
                </c:pt>
                <c:pt idx="285">
                  <c:v>84.396229381352569</c:v>
                </c:pt>
                <c:pt idx="286">
                  <c:v>84.337891498085867</c:v>
                </c:pt>
                <c:pt idx="287">
                  <c:v>84.279669434488611</c:v>
                </c:pt>
                <c:pt idx="288">
                  <c:v>84.221560813133863</c:v>
                </c:pt>
                <c:pt idx="289">
                  <c:v>84.162064824722847</c:v>
                </c:pt>
                <c:pt idx="290">
                  <c:v>84.102683313987242</c:v>
                </c:pt>
                <c:pt idx="291">
                  <c:v>84.043413874344225</c:v>
                </c:pt>
                <c:pt idx="292">
                  <c:v>83.984254150369878</c:v>
                </c:pt>
                <c:pt idx="293">
                  <c:v>83.923838433777064</c:v>
                </c:pt>
                <c:pt idx="294">
                  <c:v>83.86353273233324</c:v>
                </c:pt>
                <c:pt idx="295">
                  <c:v>83.803334680899297</c:v>
                </c:pt>
                <c:pt idx="296">
                  <c:v>83.743241964553505</c:v>
                </c:pt>
                <c:pt idx="297">
                  <c:v>83.681898487883998</c:v>
                </c:pt>
                <c:pt idx="298">
                  <c:v>83.620660417392955</c:v>
                </c:pt>
                <c:pt idx="299">
                  <c:v>83.559525431930794</c:v>
                </c:pt>
                <c:pt idx="300">
                  <c:v>83.498491259537602</c:v>
                </c:pt>
                <c:pt idx="301">
                  <c:v>83.436210805642148</c:v>
                </c:pt>
                <c:pt idx="302">
                  <c:v>83.374031019833012</c:v>
                </c:pt>
                <c:pt idx="303">
                  <c:v>83.311949627047866</c:v>
                </c:pt>
                <c:pt idx="304">
                  <c:v>83.249964400315278</c:v>
                </c:pt>
                <c:pt idx="305">
                  <c:v>83.186493652038337</c:v>
                </c:pt>
                <c:pt idx="306">
                  <c:v>83.12311945019799</c:v>
                </c:pt>
                <c:pt idx="307">
                  <c:v>83.059839541981248</c:v>
                </c:pt>
                <c:pt idx="308">
                  <c:v>82.996651722229856</c:v>
                </c:pt>
                <c:pt idx="309">
                  <c:v>82.932225135230112</c:v>
                </c:pt>
                <c:pt idx="310">
                  <c:v>82.867890058498617</c:v>
                </c:pt>
                <c:pt idx="311">
                  <c:v>82.803644290092535</c:v>
                </c:pt>
                <c:pt idx="312">
                  <c:v>82.739485674473471</c:v>
                </c:pt>
                <c:pt idx="313">
                  <c:v>82.673850376063854</c:v>
                </c:pt>
                <c:pt idx="314">
                  <c:v>82.608302098432446</c:v>
                </c:pt>
                <c:pt idx="315">
                  <c:v>82.542838667829969</c:v>
                </c:pt>
                <c:pt idx="316">
                  <c:v>82.477457956288944</c:v>
                </c:pt>
                <c:pt idx="317">
                  <c:v>82.410604082617724</c:v>
                </c:pt>
                <c:pt idx="318">
                  <c:v>82.343832541516306</c:v>
                </c:pt>
                <c:pt idx="319">
                  <c:v>82.277141190552911</c:v>
                </c:pt>
                <c:pt idx="320">
                  <c:v>82.210527932361103</c:v>
                </c:pt>
                <c:pt idx="321">
                  <c:v>82.142444224756346</c:v>
                </c:pt>
                <c:pt idx="322">
                  <c:v>82.07443798049664</c:v>
                </c:pt>
                <c:pt idx="323">
                  <c:v>82.006507091168046</c:v>
                </c:pt>
                <c:pt idx="324">
                  <c:v>81.93864949262219</c:v>
                </c:pt>
                <c:pt idx="325">
                  <c:v>81.869323378101711</c:v>
                </c:pt>
                <c:pt idx="326">
                  <c:v>81.800069693100738</c:v>
                </c:pt>
                <c:pt idx="327">
                  <c:v>81.730886365528676</c:v>
                </c:pt>
                <c:pt idx="328">
                  <c:v>81.66177136669377</c:v>
                </c:pt>
                <c:pt idx="329">
                  <c:v>81.59107106032738</c:v>
                </c:pt>
                <c:pt idx="330">
                  <c:v>81.520438221879047</c:v>
                </c:pt>
                <c:pt idx="331">
                  <c:v>81.449870807411713</c:v>
                </c:pt>
                <c:pt idx="332">
                  <c:v>81.379366815746181</c:v>
                </c:pt>
                <c:pt idx="333">
                  <c:v>81.307396151552339</c:v>
                </c:pt>
                <c:pt idx="334">
                  <c:v>81.235487601249218</c:v>
                </c:pt>
                <c:pt idx="335">
                  <c:v>81.163639161468367</c:v>
                </c:pt>
                <c:pt idx="336">
                  <c:v>81.091848870613362</c:v>
                </c:pt>
                <c:pt idx="337">
                  <c:v>81.018357309862964</c:v>
                </c:pt>
                <c:pt idx="338">
                  <c:v>80.944922744698459</c:v>
                </c:pt>
                <c:pt idx="339">
                  <c:v>80.871543194914651</c:v>
                </c:pt>
                <c:pt idx="340">
                  <c:v>80.798216721575926</c:v>
                </c:pt>
                <c:pt idx="341">
                  <c:v>80.723189039786718</c:v>
                </c:pt>
                <c:pt idx="342">
                  <c:v>80.648213017957133</c:v>
                </c:pt>
                <c:pt idx="343">
                  <c:v>80.573286702036327</c:v>
                </c:pt>
                <c:pt idx="344">
                  <c:v>80.498408178665258</c:v>
                </c:pt>
                <c:pt idx="345">
                  <c:v>80.421944208181159</c:v>
                </c:pt>
                <c:pt idx="346">
                  <c:v>80.345526223709612</c:v>
                </c:pt>
                <c:pt idx="347">
                  <c:v>80.269152308694615</c:v>
                </c:pt>
                <c:pt idx="348">
                  <c:v>80.19282058638629</c:v>
                </c:pt>
                <c:pt idx="349">
                  <c:v>80.11466894260225</c:v>
                </c:pt>
                <c:pt idx="350">
                  <c:v>80.036557711459636</c:v>
                </c:pt>
                <c:pt idx="351">
                  <c:v>79.958484998632528</c:v>
                </c:pt>
                <c:pt idx="352">
                  <c:v>79.880448949148345</c:v>
                </c:pt>
                <c:pt idx="353">
                  <c:v>79.800590984866304</c:v>
                </c:pt>
                <c:pt idx="354">
                  <c:v>79.720767637504451</c:v>
                </c:pt>
                <c:pt idx="355">
                  <c:v>79.640977037914695</c:v>
                </c:pt>
                <c:pt idx="356">
                  <c:v>79.561217355780883</c:v>
                </c:pt>
                <c:pt idx="357">
                  <c:v>79.479748798200845</c:v>
                </c:pt>
                <c:pt idx="358">
                  <c:v>79.398308776911563</c:v>
                </c:pt>
                <c:pt idx="359">
                  <c:v>79.316895458355518</c:v>
                </c:pt>
                <c:pt idx="360">
                  <c:v>79.235507047018004</c:v>
                </c:pt>
                <c:pt idx="361">
                  <c:v>79.15217447559526</c:v>
                </c:pt>
                <c:pt idx="362">
                  <c:v>79.068864336250186</c:v>
                </c:pt>
                <c:pt idx="363">
                  <c:v>78.985574817703764</c:v>
                </c:pt>
                <c:pt idx="364">
                  <c:v>78.902304146314705</c:v>
                </c:pt>
                <c:pt idx="365">
                  <c:v>78.817200687207887</c:v>
                </c:pt>
                <c:pt idx="366">
                  <c:v>78.732113290497722</c:v>
                </c:pt>
                <c:pt idx="367">
                  <c:v>78.647040177333523</c:v>
                </c:pt>
                <c:pt idx="368">
                  <c:v>78.561979605844641</c:v>
                </c:pt>
                <c:pt idx="369">
                  <c:v>78.47484997102525</c:v>
                </c:pt>
                <c:pt idx="370">
                  <c:v>78.38772991278087</c:v>
                </c:pt>
                <c:pt idx="371">
                  <c:v>78.300617672863197</c:v>
                </c:pt>
                <c:pt idx="372">
                  <c:v>78.213511529703652</c:v>
                </c:pt>
                <c:pt idx="373">
                  <c:v>78.124446003261028</c:v>
                </c:pt>
                <c:pt idx="374">
                  <c:v>78.03538332421931</c:v>
                </c:pt>
                <c:pt idx="375">
                  <c:v>77.946321764861437</c:v>
                </c:pt>
                <c:pt idx="376">
                  <c:v>77.857259633608564</c:v>
                </c:pt>
                <c:pt idx="377">
                  <c:v>77.766000390533335</c:v>
                </c:pt>
                <c:pt idx="378">
                  <c:v>77.674737063691907</c:v>
                </c:pt>
                <c:pt idx="379">
                  <c:v>77.583467945468755</c:v>
                </c:pt>
                <c:pt idx="380">
                  <c:v>77.492191364176321</c:v>
                </c:pt>
                <c:pt idx="381">
                  <c:v>77.398941195790897</c:v>
                </c:pt>
                <c:pt idx="382">
                  <c:v>77.305679824115984</c:v>
                </c:pt>
                <c:pt idx="383">
                  <c:v>77.212405577551124</c:v>
                </c:pt>
                <c:pt idx="384">
                  <c:v>77.119116819817833</c:v>
                </c:pt>
                <c:pt idx="385">
                  <c:v>77.023499342582639</c:v>
                </c:pt>
                <c:pt idx="386">
                  <c:v>76.92786325660181</c:v>
                </c:pt>
                <c:pt idx="387">
                  <c:v>76.832206910656879</c:v>
                </c:pt>
                <c:pt idx="388">
                  <c:v>76.736528688739838</c:v>
                </c:pt>
                <c:pt idx="389">
                  <c:v>76.638628012711933</c:v>
                </c:pt>
                <c:pt idx="390">
                  <c:v>76.540701131979333</c:v>
                </c:pt>
                <c:pt idx="391">
                  <c:v>76.44274642535737</c:v>
                </c:pt>
                <c:pt idx="392">
                  <c:v>76.344762306543487</c:v>
                </c:pt>
                <c:pt idx="393">
                  <c:v>76.244545571552123</c:v>
                </c:pt>
                <c:pt idx="394">
                  <c:v>76.144294842432231</c:v>
                </c:pt>
                <c:pt idx="395">
                  <c:v>76.044008531242241</c:v>
                </c:pt>
                <c:pt idx="396">
                  <c:v>75.943685084575804</c:v>
                </c:pt>
                <c:pt idx="397">
                  <c:v>75.840885952996203</c:v>
                </c:pt>
                <c:pt idx="398">
                  <c:v>75.738044669368762</c:v>
                </c:pt>
                <c:pt idx="399">
                  <c:v>75.635159671694694</c:v>
                </c:pt>
                <c:pt idx="400">
                  <c:v>75.532229432452013</c:v>
                </c:pt>
                <c:pt idx="401">
                  <c:v>75.426927370276928</c:v>
                </c:pt>
                <c:pt idx="402">
                  <c:v>75.32157487722516</c:v>
                </c:pt>
                <c:pt idx="403">
                  <c:v>75.216170426556289</c:v>
                </c:pt>
                <c:pt idx="404">
                  <c:v>75.110712525765877</c:v>
                </c:pt>
                <c:pt idx="405">
                  <c:v>75.002753392037491</c:v>
                </c:pt>
                <c:pt idx="406">
                  <c:v>74.894735246757577</c:v>
                </c:pt>
                <c:pt idx="407">
                  <c:v>74.786656597336687</c:v>
                </c:pt>
                <c:pt idx="408">
                  <c:v>74.678515985308849</c:v>
                </c:pt>
                <c:pt idx="409">
                  <c:v>74.567743255826855</c:v>
                </c:pt>
                <c:pt idx="410">
                  <c:v>74.456902600667775</c:v>
                </c:pt>
                <c:pt idx="411">
                  <c:v>74.345992561092174</c:v>
                </c:pt>
                <c:pt idx="412">
                  <c:v>74.235011712495037</c:v>
                </c:pt>
                <c:pt idx="413">
                  <c:v>74.121383331632543</c:v>
                </c:pt>
                <c:pt idx="414">
                  <c:v>74.007677909341524</c:v>
                </c:pt>
                <c:pt idx="415">
                  <c:v>73.893894025581886</c:v>
                </c:pt>
                <c:pt idx="416">
                  <c:v>73.780030294431413</c:v>
                </c:pt>
                <c:pt idx="417">
                  <c:v>73.663385363448128</c:v>
                </c:pt>
                <c:pt idx="418">
                  <c:v>73.546653924741577</c:v>
                </c:pt>
                <c:pt idx="419">
                  <c:v>73.429834597727464</c:v>
                </c:pt>
                <c:pt idx="420">
                  <c:v>73.31292603604409</c:v>
                </c:pt>
                <c:pt idx="421">
                  <c:v>73.193336375254574</c:v>
                </c:pt>
                <c:pt idx="422">
                  <c:v>73.073650747852682</c:v>
                </c:pt>
                <c:pt idx="423">
                  <c:v>72.953867822096598</c:v>
                </c:pt>
                <c:pt idx="424">
                  <c:v>72.833986300417521</c:v>
                </c:pt>
                <c:pt idx="425">
                  <c:v>72.711051351527544</c:v>
                </c:pt>
                <c:pt idx="426">
                  <c:v>72.588010243716582</c:v>
                </c:pt>
                <c:pt idx="427">
                  <c:v>72.464861688083758</c:v>
                </c:pt>
                <c:pt idx="428">
                  <c:v>72.3416044302339</c:v>
                </c:pt>
                <c:pt idx="429">
                  <c:v>72.215391743559849</c:v>
                </c:pt>
                <c:pt idx="430">
                  <c:v>72.089062736028893</c:v>
                </c:pt>
                <c:pt idx="431">
                  <c:v>71.962616171842825</c:v>
                </c:pt>
                <c:pt idx="432">
                  <c:v>71.836050849883136</c:v>
                </c:pt>
                <c:pt idx="433">
                  <c:v>71.706509333587647</c:v>
                </c:pt>
                <c:pt idx="434">
                  <c:v>71.576841214575012</c:v>
                </c:pt>
                <c:pt idx="435">
                  <c:v>71.447045316487802</c:v>
                </c:pt>
                <c:pt idx="436">
                  <c:v>71.317120497804638</c:v>
                </c:pt>
                <c:pt idx="437">
                  <c:v>71.183958978529404</c:v>
                </c:pt>
                <c:pt idx="438">
                  <c:v>71.050659996067424</c:v>
                </c:pt>
                <c:pt idx="439">
                  <c:v>70.917222434043907</c:v>
                </c:pt>
                <c:pt idx="440">
                  <c:v>70.783645211311779</c:v>
                </c:pt>
                <c:pt idx="441">
                  <c:v>70.646807507972383</c:v>
                </c:pt>
                <c:pt idx="442">
                  <c:v>70.509821373870125</c:v>
                </c:pt>
                <c:pt idx="443">
                  <c:v>70.372685760418463</c:v>
                </c:pt>
                <c:pt idx="444">
                  <c:v>70.235399654627699</c:v>
                </c:pt>
                <c:pt idx="445">
                  <c:v>70.094828511781785</c:v>
                </c:pt>
                <c:pt idx="446">
                  <c:v>69.954097907347574</c:v>
                </c:pt>
                <c:pt idx="447">
                  <c:v>69.813206868485352</c:v>
                </c:pt>
                <c:pt idx="448">
                  <c:v>69.672154458297456</c:v>
                </c:pt>
                <c:pt idx="449">
                  <c:v>69.527549590092661</c:v>
                </c:pt>
                <c:pt idx="450">
                  <c:v>69.382773638145864</c:v>
                </c:pt>
                <c:pt idx="451">
                  <c:v>69.237825709086508</c:v>
                </c:pt>
                <c:pt idx="452">
                  <c:v>69.092704946048102</c:v>
                </c:pt>
                <c:pt idx="453">
                  <c:v>68.944125712901524</c:v>
                </c:pt>
                <c:pt idx="454">
                  <c:v>68.79536404898731</c:v>
                </c:pt>
                <c:pt idx="455">
                  <c:v>68.646419151910877</c:v>
                </c:pt>
                <c:pt idx="456">
                  <c:v>68.497290256195186</c:v>
                </c:pt>
                <c:pt idx="457">
                  <c:v>68.344430933518609</c:v>
                </c:pt>
                <c:pt idx="458">
                  <c:v>68.19137726739018</c:v>
                </c:pt>
                <c:pt idx="459">
                  <c:v>68.038128552193598</c:v>
                </c:pt>
                <c:pt idx="460">
                  <c:v>67.884684119844877</c:v>
                </c:pt>
                <c:pt idx="461">
                  <c:v>67.72747938885378</c:v>
                </c:pt>
                <c:pt idx="462">
                  <c:v>67.570068463750872</c:v>
                </c:pt>
                <c:pt idx="463">
                  <c:v>67.412450746333676</c:v>
                </c:pt>
                <c:pt idx="464">
                  <c:v>67.254625676509491</c:v>
                </c:pt>
                <c:pt idx="465">
                  <c:v>67.092886337300371</c:v>
                </c:pt>
                <c:pt idx="466">
                  <c:v>66.930928744280678</c:v>
                </c:pt>
                <c:pt idx="467">
                  <c:v>66.768752416429663</c:v>
                </c:pt>
                <c:pt idx="468">
                  <c:v>66.606356911486543</c:v>
                </c:pt>
                <c:pt idx="469">
                  <c:v>66.440015240787531</c:v>
                </c:pt>
                <c:pt idx="470">
                  <c:v>66.273443424392497</c:v>
                </c:pt>
                <c:pt idx="471">
                  <c:v>66.106641110192356</c:v>
                </c:pt>
                <c:pt idx="472">
                  <c:v>65.939607985442109</c:v>
                </c:pt>
                <c:pt idx="473">
                  <c:v>65.768346579714247</c:v>
                </c:pt>
                <c:pt idx="474">
                  <c:v>65.59684266778396</c:v>
                </c:pt>
                <c:pt idx="475">
                  <c:v>65.42509603751239</c:v>
                </c:pt>
                <c:pt idx="476">
                  <c:v>65.253106516901951</c:v>
                </c:pt>
                <c:pt idx="477">
                  <c:v>65.076853986771283</c:v>
                </c:pt>
                <c:pt idx="478">
                  <c:v>64.900346865138715</c:v>
                </c:pt>
                <c:pt idx="479">
                  <c:v>64.723585093451206</c:v>
                </c:pt>
                <c:pt idx="480">
                  <c:v>64.546568654004716</c:v>
                </c:pt>
                <c:pt idx="481">
                  <c:v>64.365254234913309</c:v>
                </c:pt>
                <c:pt idx="482">
                  <c:v>64.183673497103442</c:v>
                </c:pt>
                <c:pt idx="483">
                  <c:v>64.001826549386152</c:v>
                </c:pt>
                <c:pt idx="484">
                  <c:v>63.819713542052227</c:v>
                </c:pt>
                <c:pt idx="485">
                  <c:v>63.633140384750646</c:v>
                </c:pt>
                <c:pt idx="486">
                  <c:v>63.446289246757942</c:v>
                </c:pt>
                <c:pt idx="487">
                  <c:v>63.259160418772353</c:v>
                </c:pt>
                <c:pt idx="488">
                  <c:v>63.071754233641343</c:v>
                </c:pt>
                <c:pt idx="489">
                  <c:v>62.879596001807812</c:v>
                </c:pt>
                <c:pt idx="490">
                  <c:v>62.68714787701829</c:v>
                </c:pt>
                <c:pt idx="491">
                  <c:v>62.494410348723406</c:v>
                </c:pt>
                <c:pt idx="492">
                  <c:v>62.301383949318364</c:v>
                </c:pt>
                <c:pt idx="493">
                  <c:v>62.103567145865469</c:v>
                </c:pt>
                <c:pt idx="494">
                  <c:v>61.905449132221264</c:v>
                </c:pt>
                <c:pt idx="495">
                  <c:v>61.707030613261566</c:v>
                </c:pt>
                <c:pt idx="496">
                  <c:v>61.508312337492413</c:v>
                </c:pt>
                <c:pt idx="497">
                  <c:v>61.304636150337458</c:v>
                </c:pt>
                <c:pt idx="498">
                  <c:v>61.100647741252956</c:v>
                </c:pt>
                <c:pt idx="499">
                  <c:v>60.896348049091628</c:v>
                </c:pt>
                <c:pt idx="500">
                  <c:v>60.691738057007498</c:v>
                </c:pt>
                <c:pt idx="501">
                  <c:v>60.482001105729125</c:v>
                </c:pt>
                <c:pt idx="502">
                  <c:v>60.271941326589314</c:v>
                </c:pt>
                <c:pt idx="503">
                  <c:v>60.061559912333223</c:v>
                </c:pt>
                <c:pt idx="504">
                  <c:v>59.850858100656282</c:v>
                </c:pt>
                <c:pt idx="505">
                  <c:v>59.634989904913766</c:v>
                </c:pt>
                <c:pt idx="506">
                  <c:v>59.418789195189717</c:v>
                </c:pt>
                <c:pt idx="507">
                  <c:v>59.202257436699625</c:v>
                </c:pt>
                <c:pt idx="508">
                  <c:v>58.985396140107312</c:v>
                </c:pt>
                <c:pt idx="509">
                  <c:v>58.763198038850987</c:v>
                </c:pt>
                <c:pt idx="510">
                  <c:v>58.540658376916269</c:v>
                </c:pt>
                <c:pt idx="511">
                  <c:v>58.317778913611505</c:v>
                </c:pt>
                <c:pt idx="512">
                  <c:v>58.094561454120708</c:v>
                </c:pt>
                <c:pt idx="513">
                  <c:v>57.865703165380083</c:v>
                </c:pt>
                <c:pt idx="514">
                  <c:v>57.636494633884197</c:v>
                </c:pt>
                <c:pt idx="515">
                  <c:v>57.406937939603864</c:v>
                </c:pt>
                <c:pt idx="516">
                  <c:v>57.177035208841232</c:v>
                </c:pt>
                <c:pt idx="517">
                  <c:v>56.941451687968467</c:v>
                </c:pt>
                <c:pt idx="518">
                  <c:v>56.705510563276533</c:v>
                </c:pt>
                <c:pt idx="519">
                  <c:v>56.469214256548369</c:v>
                </c:pt>
                <c:pt idx="520">
                  <c:v>56.232565236139109</c:v>
                </c:pt>
                <c:pt idx="521">
                  <c:v>55.990062746209006</c:v>
                </c:pt>
                <c:pt idx="522">
                  <c:v>55.747196357949846</c:v>
                </c:pt>
                <c:pt idx="523">
                  <c:v>55.503968860402921</c:v>
                </c:pt>
                <c:pt idx="524">
                  <c:v>55.260383089292105</c:v>
                </c:pt>
                <c:pt idx="525">
                  <c:v>55.010770950738618</c:v>
                </c:pt>
                <c:pt idx="526">
                  <c:v>54.760789851967616</c:v>
                </c:pt>
                <c:pt idx="527">
                  <c:v>54.510442975906074</c:v>
                </c:pt>
                <c:pt idx="528">
                  <c:v>54.25973355211174</c:v>
                </c:pt>
                <c:pt idx="529">
                  <c:v>54.002824959055985</c:v>
                </c:pt>
                <c:pt idx="530">
                  <c:v>53.745543755114497</c:v>
                </c:pt>
                <c:pt idx="531">
                  <c:v>53.487893544831181</c:v>
                </c:pt>
                <c:pt idx="532">
                  <c:v>53.229877979136319</c:v>
                </c:pt>
                <c:pt idx="533">
                  <c:v>52.96535429465645</c:v>
                </c:pt>
                <c:pt idx="534">
                  <c:v>52.700455566168529</c:v>
                </c:pt>
                <c:pt idx="535">
                  <c:v>52.435185854888388</c:v>
                </c:pt>
                <c:pt idx="536">
                  <c:v>52.169549268046453</c:v>
                </c:pt>
                <c:pt idx="537">
                  <c:v>51.897506579333026</c:v>
                </c:pt>
                <c:pt idx="538">
                  <c:v>51.625088998409467</c:v>
                </c:pt>
                <c:pt idx="539">
                  <c:v>51.352301060242695</c:v>
                </c:pt>
                <c:pt idx="540">
                  <c:v>51.079147344979475</c:v>
                </c:pt>
                <c:pt idx="541">
                  <c:v>50.79914215803629</c:v>
                </c:pt>
                <c:pt idx="542">
                  <c:v>50.518763494070015</c:v>
                </c:pt>
                <c:pt idx="543">
                  <c:v>50.238016405875044</c:v>
                </c:pt>
                <c:pt idx="544">
                  <c:v>49.956905990461905</c:v>
                </c:pt>
                <c:pt idx="545">
                  <c:v>49.668913211874496</c:v>
                </c:pt>
                <c:pt idx="546">
                  <c:v>49.380551010297154</c:v>
                </c:pt>
                <c:pt idx="547">
                  <c:v>49.091824980443761</c:v>
                </c:pt>
                <c:pt idx="548">
                  <c:v>48.802740759825667</c:v>
                </c:pt>
                <c:pt idx="549">
                  <c:v>48.506607724625752</c:v>
                </c:pt>
                <c:pt idx="550">
                  <c:v>48.210111813605778</c:v>
                </c:pt>
                <c:pt idx="551">
                  <c:v>47.913259194611356</c:v>
                </c:pt>
                <c:pt idx="552">
                  <c:v>47.616056076444067</c:v>
                </c:pt>
                <c:pt idx="553">
                  <c:v>47.311500200367959</c:v>
                </c:pt>
                <c:pt idx="554">
                  <c:v>47.006590416518719</c:v>
                </c:pt>
                <c:pt idx="555">
                  <c:v>46.701333506499708</c:v>
                </c:pt>
                <c:pt idx="556">
                  <c:v>46.395736290612405</c:v>
                </c:pt>
                <c:pt idx="557">
                  <c:v>45.769171488705467</c:v>
                </c:pt>
                <c:pt idx="558">
                  <c:v>45.141268888027071</c:v>
                </c:pt>
                <c:pt idx="559">
                  <c:v>44.497652158338212</c:v>
                </c:pt>
                <c:pt idx="560">
                  <c:v>43.852762835596508</c:v>
                </c:pt>
                <c:pt idx="561">
                  <c:v>43.191322742076238</c:v>
                </c:pt>
                <c:pt idx="562">
                  <c:v>42.528687601288965</c:v>
                </c:pt>
                <c:pt idx="563">
                  <c:v>41.85067268891072</c:v>
                </c:pt>
                <c:pt idx="564">
                  <c:v>41.171560713806144</c:v>
                </c:pt>
                <c:pt idx="565">
                  <c:v>40.47426922976851</c:v>
                </c:pt>
                <c:pt idx="566">
                  <c:v>39.775987379192827</c:v>
                </c:pt>
                <c:pt idx="567">
                  <c:v>39.059594053183218</c:v>
                </c:pt>
                <c:pt idx="568">
                  <c:v>38.342337264173722</c:v>
                </c:pt>
                <c:pt idx="569">
                  <c:v>37.609938556628265</c:v>
                </c:pt>
                <c:pt idx="570">
                  <c:v>36.876829564506693</c:v>
                </c:pt>
                <c:pt idx="571">
                  <c:v>36.122956093566046</c:v>
                </c:pt>
                <c:pt idx="572">
                  <c:v>35.368536131510126</c:v>
                </c:pt>
                <c:pt idx="573">
                  <c:v>34.599263111158109</c:v>
                </c:pt>
                <c:pt idx="574">
                  <c:v>33.829638007217881</c:v>
                </c:pt>
                <c:pt idx="575">
                  <c:v>33.039583004418944</c:v>
                </c:pt>
                <c:pt idx="576">
                  <c:v>32.249387886529775</c:v>
                </c:pt>
                <c:pt idx="577">
                  <c:v>28.905143337654266</c:v>
                </c:pt>
                <c:pt idx="578">
                  <c:v>25.569106035450886</c:v>
                </c:pt>
                <c:pt idx="579">
                  <c:v>18.327417871180586</c:v>
                </c:pt>
                <c:pt idx="580">
                  <c:v>10.564673562955562</c:v>
                </c:pt>
                <c:pt idx="581">
                  <c:v>2.3786651307458726</c:v>
                </c:pt>
                <c:pt idx="582">
                  <c:v>-6.1163582291794967</c:v>
                </c:pt>
                <c:pt idx="583">
                  <c:v>-14.77085258734482</c:v>
                </c:pt>
                <c:pt idx="584">
                  <c:v>-23.437758615062251</c:v>
                </c:pt>
                <c:pt idx="585">
                  <c:v>-31.963586731531137</c:v>
                </c:pt>
                <c:pt idx="586">
                  <c:v>-40.219123283930742</c:v>
                </c:pt>
                <c:pt idx="587">
                  <c:v>-48.103741904461828</c:v>
                </c:pt>
                <c:pt idx="588">
                  <c:v>-55.532818876336734</c:v>
                </c:pt>
                <c:pt idx="589">
                  <c:v>-62.460681361447826</c:v>
                </c:pt>
                <c:pt idx="590">
                  <c:v>-68.853579740014666</c:v>
                </c:pt>
                <c:pt idx="591">
                  <c:v>-74.697111966263989</c:v>
                </c:pt>
                <c:pt idx="592">
                  <c:v>-79.987390490880529</c:v>
                </c:pt>
                <c:pt idx="593">
                  <c:v>-84.731573707699042</c:v>
                </c:pt>
                <c:pt idx="594">
                  <c:v>-88.940842425759868</c:v>
                </c:pt>
                <c:pt idx="595">
                  <c:v>-92.634249403459805</c:v>
                </c:pt>
                <c:pt idx="596">
                  <c:v>-95.834305501635299</c:v>
                </c:pt>
                <c:pt idx="597">
                  <c:v>-98.569611717724243</c:v>
                </c:pt>
                <c:pt idx="598">
                  <c:v>-100.87175826579116</c:v>
                </c:pt>
                <c:pt idx="599">
                  <c:v>-102.7775433143017</c:v>
                </c:pt>
                <c:pt idx="600">
                  <c:v>-104.32624586504063</c:v>
                </c:pt>
              </c:numCache>
            </c:numRef>
          </c:yVal>
          <c:smooth val="0"/>
          <c:extLst>
            <c:ext xmlns:c16="http://schemas.microsoft.com/office/drawing/2014/chart" uri="{C3380CC4-5D6E-409C-BE32-E72D297353CC}">
              <c16:uniqueId val="{00000005-5922-4F18-8E00-ECB0DEBA2AF6}"/>
            </c:ext>
          </c:extLst>
        </c:ser>
        <c:dLbls>
          <c:showLegendKey val="0"/>
          <c:showVal val="0"/>
          <c:showCatName val="0"/>
          <c:showSerName val="0"/>
          <c:showPercent val="0"/>
          <c:showBubbleSize val="0"/>
        </c:dLbls>
        <c:axId val="196945024"/>
        <c:axId val="196946560"/>
      </c:scatterChart>
      <c:valAx>
        <c:axId val="196940928"/>
        <c:scaling>
          <c:logBase val="10"/>
          <c:orientation val="minMax"/>
          <c:max val="1000000"/>
          <c:min val="1"/>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96942848"/>
        <c:crossesAt val="-40"/>
        <c:crossBetween val="midCat"/>
        <c:majorUnit val="10"/>
        <c:minorUnit val="10"/>
      </c:valAx>
      <c:valAx>
        <c:axId val="196942848"/>
        <c:scaling>
          <c:orientation val="minMax"/>
          <c:max val="80"/>
          <c:min val="-8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96940928"/>
        <c:crossesAt val="0.1"/>
        <c:crossBetween val="midCat"/>
        <c:majorUnit val="20"/>
        <c:minorUnit val="4"/>
      </c:valAx>
      <c:valAx>
        <c:axId val="196945024"/>
        <c:scaling>
          <c:logBase val="10"/>
          <c:orientation val="minMax"/>
        </c:scaling>
        <c:delete val="1"/>
        <c:axPos val="t"/>
        <c:numFmt formatCode="General" sourceLinked="1"/>
        <c:majorTickMark val="out"/>
        <c:minorTickMark val="none"/>
        <c:tickLblPos val="none"/>
        <c:crossAx val="196946560"/>
        <c:crossesAt val="0"/>
        <c:crossBetween val="midCat"/>
      </c:valAx>
      <c:valAx>
        <c:axId val="196946560"/>
        <c:scaling>
          <c:orientation val="minMax"/>
          <c:max val="180"/>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9694502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I Limit Amp Bode Plot</a:t>
            </a:r>
          </a:p>
        </c:rich>
      </c:tx>
      <c:layout>
        <c:manualLayout>
          <c:xMode val="edge"/>
          <c:yMode val="edge"/>
          <c:x val="0.24573738419465352"/>
          <c:y val="1.8427405125765264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4"/>
          <c:order val="0"/>
          <c:tx>
            <c:strRef>
              <c:f>'IL Stability Calculations'!$BB$12</c:f>
              <c:strCache>
                <c:ptCount val="1"/>
                <c:pt idx="0">
                  <c:v>Gain(dB)</c:v>
                </c:pt>
              </c:strCache>
            </c:strRef>
          </c:tx>
          <c:spPr>
            <a:ln w="25400">
              <a:solidFill>
                <a:srgbClr val="FF0000"/>
              </a:solidFill>
              <a:prstDash val="solid"/>
            </a:ln>
          </c:spPr>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Calculations'!$BB$13:$BB$613</c:f>
              <c:numCache>
                <c:formatCode>0.0000</c:formatCode>
                <c:ptCount val="601"/>
                <c:pt idx="0">
                  <c:v>31.721319437698842</c:v>
                </c:pt>
                <c:pt idx="1">
                  <c:v>31.659373481332075</c:v>
                </c:pt>
                <c:pt idx="2">
                  <c:v>31.586055087067546</c:v>
                </c:pt>
                <c:pt idx="3">
                  <c:v>31.499519788133302</c:v>
                </c:pt>
                <c:pt idx="4">
                  <c:v>31.397789146301029</c:v>
                </c:pt>
                <c:pt idx="5">
                  <c:v>31.27844050808784</c:v>
                </c:pt>
                <c:pt idx="6">
                  <c:v>31.139213800593257</c:v>
                </c:pt>
                <c:pt idx="7">
                  <c:v>30.977481237016924</c:v>
                </c:pt>
                <c:pt idx="8">
                  <c:v>30.79076620183239</c:v>
                </c:pt>
                <c:pt idx="9">
                  <c:v>30.576350775466491</c:v>
                </c:pt>
                <c:pt idx="10">
                  <c:v>30.331894316921119</c:v>
                </c:pt>
                <c:pt idx="11">
                  <c:v>30.055148542029162</c:v>
                </c:pt>
                <c:pt idx="12">
                  <c:v>29.744066785450887</c:v>
                </c:pt>
                <c:pt idx="13">
                  <c:v>29.397523493624362</c:v>
                </c:pt>
                <c:pt idx="14">
                  <c:v>29.014367812107388</c:v>
                </c:pt>
                <c:pt idx="15">
                  <c:v>28.594449574904402</c:v>
                </c:pt>
                <c:pt idx="16">
                  <c:v>28.138071911248925</c:v>
                </c:pt>
                <c:pt idx="17">
                  <c:v>27.646235525971235</c:v>
                </c:pt>
                <c:pt idx="18">
                  <c:v>27.120261135297781</c:v>
                </c:pt>
                <c:pt idx="19">
                  <c:v>26.562198012398884</c:v>
                </c:pt>
                <c:pt idx="20">
                  <c:v>25.974183556166285</c:v>
                </c:pt>
                <c:pt idx="21">
                  <c:v>25.358807867749107</c:v>
                </c:pt>
                <c:pt idx="22">
                  <c:v>24.718520366449273</c:v>
                </c:pt>
                <c:pt idx="23">
                  <c:v>24.056073639502959</c:v>
                </c:pt>
                <c:pt idx="24">
                  <c:v>23.373825247545259</c:v>
                </c:pt>
                <c:pt idx="25">
                  <c:v>22.674275030489738</c:v>
                </c:pt>
                <c:pt idx="26">
                  <c:v>21.95948283293907</c:v>
                </c:pt>
                <c:pt idx="27">
                  <c:v>21.231706252160972</c:v>
                </c:pt>
                <c:pt idx="28">
                  <c:v>20.492746800486323</c:v>
                </c:pt>
                <c:pt idx="29">
                  <c:v>19.744695105708526</c:v>
                </c:pt>
                <c:pt idx="30">
                  <c:v>18.98770532130516</c:v>
                </c:pt>
                <c:pt idx="31">
                  <c:v>18.224067025505203</c:v>
                </c:pt>
                <c:pt idx="32">
                  <c:v>17.454334931073561</c:v>
                </c:pt>
                <c:pt idx="33">
                  <c:v>16.679978567427483</c:v>
                </c:pt>
                <c:pt idx="34">
                  <c:v>15.901187750027015</c:v>
                </c:pt>
                <c:pt idx="35">
                  <c:v>15.119069058779193</c:v>
                </c:pt>
                <c:pt idx="36">
                  <c:v>14.334071581048436</c:v>
                </c:pt>
                <c:pt idx="37">
                  <c:v>13.546250916784279</c:v>
                </c:pt>
                <c:pt idx="38">
                  <c:v>12.75676217852279</c:v>
                </c:pt>
                <c:pt idx="39">
                  <c:v>11.965310712314231</c:v>
                </c:pt>
                <c:pt idx="40">
                  <c:v>11.172481531273702</c:v>
                </c:pt>
                <c:pt idx="41">
                  <c:v>10.378446532180883</c:v>
                </c:pt>
                <c:pt idx="42">
                  <c:v>9.5835159579599178</c:v>
                </c:pt>
                <c:pt idx="43">
                  <c:v>8.787623549126188</c:v>
                </c:pt>
                <c:pt idx="44">
                  <c:v>7.9911202657926843</c:v>
                </c:pt>
                <c:pt idx="45">
                  <c:v>7.193961379850319</c:v>
                </c:pt>
                <c:pt idx="46">
                  <c:v>6.3964041847823241</c:v>
                </c:pt>
                <c:pt idx="47">
                  <c:v>5.5983568703489173</c:v>
                </c:pt>
                <c:pt idx="48">
                  <c:v>4.8000820496536303</c:v>
                </c:pt>
                <c:pt idx="49">
                  <c:v>4.0014305875069232</c:v>
                </c:pt>
                <c:pt idx="50">
                  <c:v>3.2025708706553098</c:v>
                </c:pt>
                <c:pt idx="51">
                  <c:v>2.4033539076505108</c:v>
                </c:pt>
                <c:pt idx="52">
                  <c:v>1.6040650030881485</c:v>
                </c:pt>
                <c:pt idx="53">
                  <c:v>0.80469884180200868</c:v>
                </c:pt>
                <c:pt idx="54">
                  <c:v>5.773618779523578E-3</c:v>
                </c:pt>
                <c:pt idx="55">
                  <c:v>-0.79404353801379157</c:v>
                </c:pt>
                <c:pt idx="56">
                  <c:v>-1.5936196775740137</c:v>
                </c:pt>
                <c:pt idx="57">
                  <c:v>-2.3934839317923364</c:v>
                </c:pt>
                <c:pt idx="58">
                  <c:v>-3.1930548418377338</c:v>
                </c:pt>
                <c:pt idx="59">
                  <c:v>-3.992938863088813</c:v>
                </c:pt>
                <c:pt idx="60">
                  <c:v>-4.7926767425587391</c:v>
                </c:pt>
                <c:pt idx="61">
                  <c:v>-5.5923826706425359</c:v>
                </c:pt>
                <c:pt idx="62">
                  <c:v>-6.3924797838076577</c:v>
                </c:pt>
                <c:pt idx="63">
                  <c:v>-7.1921992340739473</c:v>
                </c:pt>
                <c:pt idx="64">
                  <c:v>-7.9921789920785136</c:v>
                </c:pt>
                <c:pt idx="65">
                  <c:v>-8.7921108420183511</c:v>
                </c:pt>
                <c:pt idx="66">
                  <c:v>-9.5920586969175901</c:v>
                </c:pt>
                <c:pt idx="67">
                  <c:v>-10.391908265298522</c:v>
                </c:pt>
                <c:pt idx="68">
                  <c:v>-11.191891408259378</c:v>
                </c:pt>
                <c:pt idx="69">
                  <c:v>-11.991792967901251</c:v>
                </c:pt>
                <c:pt idx="70">
                  <c:v>-12.791772478266218</c:v>
                </c:pt>
                <c:pt idx="71">
                  <c:v>-13.591666986421451</c:v>
                </c:pt>
                <c:pt idx="72">
                  <c:v>-14.391647608263847</c:v>
                </c:pt>
                <c:pt idx="73">
                  <c:v>-15.191516534112715</c:v>
                </c:pt>
                <c:pt idx="74">
                  <c:v>-15.991477209747229</c:v>
                </c:pt>
                <c:pt idx="75">
                  <c:v>-16.791405312505677</c:v>
                </c:pt>
                <c:pt idx="76">
                  <c:v>-17.591486221296183</c:v>
                </c:pt>
                <c:pt idx="77">
                  <c:v>-18.391463614948659</c:v>
                </c:pt>
                <c:pt idx="78">
                  <c:v>-19.191366234804264</c:v>
                </c:pt>
                <c:pt idx="79">
                  <c:v>-19.990693906222727</c:v>
                </c:pt>
                <c:pt idx="80">
                  <c:v>-20.790793787974167</c:v>
                </c:pt>
                <c:pt idx="81">
                  <c:v>-21.590542018616851</c:v>
                </c:pt>
                <c:pt idx="82">
                  <c:v>-22.390473712066342</c:v>
                </c:pt>
                <c:pt idx="83">
                  <c:v>-23.190009674241715</c:v>
                </c:pt>
                <c:pt idx="84">
                  <c:v>-23.989755161346533</c:v>
                </c:pt>
                <c:pt idx="85">
                  <c:v>-24.789246279219324</c:v>
                </c:pt>
                <c:pt idx="86">
                  <c:v>-25.588588855943151</c:v>
                </c:pt>
                <c:pt idx="87">
                  <c:v>-26.388193427354686</c:v>
                </c:pt>
                <c:pt idx="88">
                  <c:v>-27.187274919633836</c:v>
                </c:pt>
                <c:pt idx="89">
                  <c:v>-27.98644918961201</c:v>
                </c:pt>
                <c:pt idx="90">
                  <c:v>-28.785380966659595</c:v>
                </c:pt>
                <c:pt idx="91">
                  <c:v>-29.584100218025277</c:v>
                </c:pt>
                <c:pt idx="92">
                  <c:v>-30.382451286210141</c:v>
                </c:pt>
                <c:pt idx="93">
                  <c:v>-31.180614900326962</c:v>
                </c:pt>
                <c:pt idx="94">
                  <c:v>-31.380017522055674</c:v>
                </c:pt>
                <c:pt idx="95">
                  <c:v>-31.480326816253566</c:v>
                </c:pt>
                <c:pt idx="96">
                  <c:v>-31.579481514030459</c:v>
                </c:pt>
                <c:pt idx="97">
                  <c:v>-31.679766888998525</c:v>
                </c:pt>
                <c:pt idx="98">
                  <c:v>-31.778897772897135</c:v>
                </c:pt>
                <c:pt idx="99">
                  <c:v>-31.879183826350896</c:v>
                </c:pt>
                <c:pt idx="100">
                  <c:v>-31.978314910302327</c:v>
                </c:pt>
                <c:pt idx="101">
                  <c:v>-32.078548395341272</c:v>
                </c:pt>
                <c:pt idx="102">
                  <c:v>-32.177627630295362</c:v>
                </c:pt>
                <c:pt idx="103">
                  <c:v>-32.27790419844942</c:v>
                </c:pt>
                <c:pt idx="104">
                  <c:v>-32.37702502231619</c:v>
                </c:pt>
                <c:pt idx="105">
                  <c:v>-32.47728841614488</c:v>
                </c:pt>
                <c:pt idx="106">
                  <c:v>-32.57639583623321</c:v>
                </c:pt>
                <c:pt idx="107">
                  <c:v>-32.676593503297823</c:v>
                </c:pt>
                <c:pt idx="108">
                  <c:v>-32.775636147435577</c:v>
                </c:pt>
                <c:pt idx="109">
                  <c:v>-32.875786851096251</c:v>
                </c:pt>
                <c:pt idx="110">
                  <c:v>-32.974783027129099</c:v>
                </c:pt>
                <c:pt idx="111">
                  <c:v>-33.074968912439317</c:v>
                </c:pt>
                <c:pt idx="112">
                  <c:v>-33.173998854689543</c:v>
                </c:pt>
                <c:pt idx="113">
                  <c:v>-33.274163928771614</c:v>
                </c:pt>
                <c:pt idx="114">
                  <c:v>-33.373172899823246</c:v>
                </c:pt>
                <c:pt idx="115">
                  <c:v>-33.473328075172773</c:v>
                </c:pt>
                <c:pt idx="116">
                  <c:v>-33.572326707345475</c:v>
                </c:pt>
                <c:pt idx="117">
                  <c:v>-33.672480607009291</c:v>
                </c:pt>
                <c:pt idx="118">
                  <c:v>-33.77147729394148</c:v>
                </c:pt>
                <c:pt idx="119">
                  <c:v>-33.871576069007283</c:v>
                </c:pt>
                <c:pt idx="120">
                  <c:v>-33.970518166585485</c:v>
                </c:pt>
                <c:pt idx="121">
                  <c:v>-34.070570514337639</c:v>
                </c:pt>
                <c:pt idx="122">
                  <c:v>-34.169466486701545</c:v>
                </c:pt>
                <c:pt idx="123">
                  <c:v>-34.269536708321006</c:v>
                </c:pt>
                <c:pt idx="124">
                  <c:v>-34.368449342936238</c:v>
                </c:pt>
                <c:pt idx="125">
                  <c:v>-34.468482021352649</c:v>
                </c:pt>
                <c:pt idx="126">
                  <c:v>-34.567357138151642</c:v>
                </c:pt>
                <c:pt idx="127">
                  <c:v>-34.667355489271344</c:v>
                </c:pt>
                <c:pt idx="128">
                  <c:v>-34.766196191702555</c:v>
                </c:pt>
                <c:pt idx="129">
                  <c:v>-34.866161847535473</c:v>
                </c:pt>
                <c:pt idx="130">
                  <c:v>-34.964969689739739</c:v>
                </c:pt>
                <c:pt idx="131">
                  <c:v>-35.064902823956793</c:v>
                </c:pt>
                <c:pt idx="132">
                  <c:v>-35.114433482787419</c:v>
                </c:pt>
                <c:pt idx="133">
                  <c:v>-35.163677933412117</c:v>
                </c:pt>
                <c:pt idx="134">
                  <c:v>-35.213799888189804</c:v>
                </c:pt>
                <c:pt idx="135">
                  <c:v>-35.263628652748338</c:v>
                </c:pt>
                <c:pt idx="136">
                  <c:v>-35.313167572685195</c:v>
                </c:pt>
                <c:pt idx="137">
                  <c:v>-35.362419936310459</c:v>
                </c:pt>
                <c:pt idx="138">
                  <c:v>-35.412497495816318</c:v>
                </c:pt>
                <c:pt idx="139">
                  <c:v>-35.462282118334009</c:v>
                </c:pt>
                <c:pt idx="140">
                  <c:v>-35.511777143707903</c:v>
                </c:pt>
                <c:pt idx="141">
                  <c:v>-35.560985854627567</c:v>
                </c:pt>
                <c:pt idx="142">
                  <c:v>-35.611068261816449</c:v>
                </c:pt>
                <c:pt idx="143">
                  <c:v>-35.660857398636772</c:v>
                </c:pt>
                <c:pt idx="144">
                  <c:v>-35.710356609124318</c:v>
                </c:pt>
                <c:pt idx="145">
                  <c:v>-35.759569180065554</c:v>
                </c:pt>
                <c:pt idx="146">
                  <c:v>-35.809628410292149</c:v>
                </c:pt>
                <c:pt idx="147">
                  <c:v>-35.859394351046994</c:v>
                </c:pt>
                <c:pt idx="148">
                  <c:v>-35.908870345131881</c:v>
                </c:pt>
                <c:pt idx="149">
                  <c:v>-35.958059678128961</c:v>
                </c:pt>
                <c:pt idx="150">
                  <c:v>-36.008093024995354</c:v>
                </c:pt>
                <c:pt idx="151">
                  <c:v>-36.057833081738465</c:v>
                </c:pt>
                <c:pt idx="152">
                  <c:v>-36.107283189545029</c:v>
                </c:pt>
                <c:pt idx="153">
                  <c:v>-36.156446632420568</c:v>
                </c:pt>
                <c:pt idx="154">
                  <c:v>-36.206473909003648</c:v>
                </c:pt>
                <c:pt idx="155">
                  <c:v>-36.256207649259892</c:v>
                </c:pt>
                <c:pt idx="156">
                  <c:v>-36.305651196875317</c:v>
                </c:pt>
                <c:pt idx="157">
                  <c:v>-36.35480783829918</c:v>
                </c:pt>
                <c:pt idx="158">
                  <c:v>-36.404823938340812</c:v>
                </c:pt>
                <c:pt idx="159">
                  <c:v>-36.454546300787513</c:v>
                </c:pt>
                <c:pt idx="160">
                  <c:v>-36.503978270984753</c:v>
                </c:pt>
                <c:pt idx="161">
                  <c:v>-36.553123137005059</c:v>
                </c:pt>
                <c:pt idx="162">
                  <c:v>-36.603100788094942</c:v>
                </c:pt>
                <c:pt idx="163">
                  <c:v>-36.652784804555139</c:v>
                </c:pt>
                <c:pt idx="164">
                  <c:v>-36.702178528133508</c:v>
                </c:pt>
                <c:pt idx="165">
                  <c:v>-36.751285243389063</c:v>
                </c:pt>
                <c:pt idx="166">
                  <c:v>-36.801263123678318</c:v>
                </c:pt>
                <c:pt idx="167">
                  <c:v>-36.8509470032037</c:v>
                </c:pt>
                <c:pt idx="168">
                  <c:v>-36.900340228023765</c:v>
                </c:pt>
                <c:pt idx="169">
                  <c:v>-36.949446086912239</c:v>
                </c:pt>
                <c:pt idx="170">
                  <c:v>-36.99931239868414</c:v>
                </c:pt>
                <c:pt idx="171">
                  <c:v>-37.048885638186363</c:v>
                </c:pt>
                <c:pt idx="172">
                  <c:v>-37.098169133691016</c:v>
                </c:pt>
                <c:pt idx="173">
                  <c:v>-37.147166156592036</c:v>
                </c:pt>
                <c:pt idx="174">
                  <c:v>-37.197104368050468</c:v>
                </c:pt>
                <c:pt idx="175">
                  <c:v>-37.246748266518509</c:v>
                </c:pt>
                <c:pt idx="176">
                  <c:v>-37.29610119927861</c:v>
                </c:pt>
                <c:pt idx="177">
                  <c:v>-37.345166456305478</c:v>
                </c:pt>
                <c:pt idx="178">
                  <c:v>-37.395143243719204</c:v>
                </c:pt>
                <c:pt idx="179">
                  <c:v>-37.444824847062065</c:v>
                </c:pt>
                <c:pt idx="180">
                  <c:v>-37.494214626260039</c:v>
                </c:pt>
                <c:pt idx="181">
                  <c:v>-37.543315883646301</c:v>
                </c:pt>
                <c:pt idx="182">
                  <c:v>-37.593105297097779</c:v>
                </c:pt>
                <c:pt idx="183">
                  <c:v>-37.642601295239395</c:v>
                </c:pt>
                <c:pt idx="184">
                  <c:v>-37.691807205676071</c:v>
                </c:pt>
                <c:pt idx="185">
                  <c:v>-37.740726299158226</c:v>
                </c:pt>
                <c:pt idx="186">
                  <c:v>-37.790692913620489</c:v>
                </c:pt>
                <c:pt idx="187">
                  <c:v>-37.840363569642641</c:v>
                </c:pt>
                <c:pt idx="188">
                  <c:v>-37.889741635689262</c:v>
                </c:pt>
                <c:pt idx="189">
                  <c:v>-37.938830422443807</c:v>
                </c:pt>
                <c:pt idx="190">
                  <c:v>-37.98856177422887</c:v>
                </c:pt>
                <c:pt idx="191">
                  <c:v>-38.037999464749539</c:v>
                </c:pt>
                <c:pt idx="192">
                  <c:v>-38.087146820998257</c:v>
                </c:pt>
                <c:pt idx="193">
                  <c:v>-38.136007113134184</c:v>
                </c:pt>
                <c:pt idx="194">
                  <c:v>-38.185853305873138</c:v>
                </c:pt>
                <c:pt idx="195">
                  <c:v>-38.235403984969317</c:v>
                </c:pt>
                <c:pt idx="196">
                  <c:v>-38.284662506297735</c:v>
                </c:pt>
                <c:pt idx="197">
                  <c:v>-38.333632168246538</c:v>
                </c:pt>
                <c:pt idx="198">
                  <c:v>-38.383379115457984</c:v>
                </c:pt>
                <c:pt idx="199">
                  <c:v>-38.432831200222054</c:v>
                </c:pt>
                <c:pt idx="200">
                  <c:v>-38.481991764707189</c:v>
                </c:pt>
                <c:pt idx="201">
                  <c:v>-38.530864093911632</c:v>
                </c:pt>
                <c:pt idx="202">
                  <c:v>-38.580489478317048</c:v>
                </c:pt>
                <c:pt idx="203">
                  <c:v>-38.629820893326631</c:v>
                </c:pt>
                <c:pt idx="204">
                  <c:v>-38.678861663242031</c:v>
                </c:pt>
                <c:pt idx="205">
                  <c:v>-38.727615055605256</c:v>
                </c:pt>
                <c:pt idx="206">
                  <c:v>-38.777267056396511</c:v>
                </c:pt>
                <c:pt idx="207">
                  <c:v>-38.826624205779787</c:v>
                </c:pt>
                <c:pt idx="208">
                  <c:v>-38.87568984013371</c:v>
                </c:pt>
                <c:pt idx="209">
                  <c:v>-38.924467238808049</c:v>
                </c:pt>
                <c:pt idx="210">
                  <c:v>-38.974279682597185</c:v>
                </c:pt>
                <c:pt idx="211">
                  <c:v>-39.023794772871717</c:v>
                </c:pt>
                <c:pt idx="212">
                  <c:v>-39.073015885442544</c:v>
                </c:pt>
                <c:pt idx="213">
                  <c:v>-39.121946338199294</c:v>
                </c:pt>
                <c:pt idx="214">
                  <c:v>-39.171556121917234</c:v>
                </c:pt>
                <c:pt idx="215">
                  <c:v>-39.220870335932773</c:v>
                </c:pt>
                <c:pt idx="216">
                  <c:v>-39.269892322717219</c:v>
                </c:pt>
                <c:pt idx="217">
                  <c:v>-39.318625367586613</c:v>
                </c:pt>
                <c:pt idx="218">
                  <c:v>-39.368174055787641</c:v>
                </c:pt>
                <c:pt idx="219">
                  <c:v>-39.417427249909373</c:v>
                </c:pt>
                <c:pt idx="220">
                  <c:v>-39.466388287944767</c:v>
                </c:pt>
                <c:pt idx="221">
                  <c:v>-39.515060450839783</c:v>
                </c:pt>
                <c:pt idx="222">
                  <c:v>-39.564522413491652</c:v>
                </c:pt>
                <c:pt idx="223">
                  <c:v>-39.613689234915306</c:v>
                </c:pt>
                <c:pt idx="224">
                  <c:v>-39.662564243835618</c:v>
                </c:pt>
                <c:pt idx="225">
                  <c:v>-39.711150712148068</c:v>
                </c:pt>
                <c:pt idx="226">
                  <c:v>-39.760652006356594</c:v>
                </c:pt>
                <c:pt idx="227">
                  <c:v>-39.8098569807944</c:v>
                </c:pt>
                <c:pt idx="228">
                  <c:v>-39.858768980640363</c:v>
                </c:pt>
                <c:pt idx="229">
                  <c:v>-39.907391293878383</c:v>
                </c:pt>
                <c:pt idx="230">
                  <c:v>-40.006109469343997</c:v>
                </c:pt>
                <c:pt idx="231">
                  <c:v>-40.05502620131</c:v>
                </c:pt>
                <c:pt idx="232">
                  <c:v>-40.10365244596278</c:v>
                </c:pt>
                <c:pt idx="233">
                  <c:v>-40.153135494421825</c:v>
                </c:pt>
                <c:pt idx="234">
                  <c:v>-40.202320916432477</c:v>
                </c:pt>
                <c:pt idx="235">
                  <c:v>-40.251212071938482</c:v>
                </c:pt>
                <c:pt idx="236">
                  <c:v>-40.299812263371066</c:v>
                </c:pt>
                <c:pt idx="237">
                  <c:v>-40.349102034280762</c:v>
                </c:pt>
                <c:pt idx="238">
                  <c:v>-40.398095682127675</c:v>
                </c:pt>
                <c:pt idx="239">
                  <c:v>-40.4467965376801</c:v>
                </c:pt>
                <c:pt idx="240">
                  <c:v>-40.49520787486702</c:v>
                </c:pt>
                <c:pt idx="241">
                  <c:v>-40.544559656226028</c:v>
                </c:pt>
                <c:pt idx="242">
                  <c:v>-40.593613722152888</c:v>
                </c:pt>
                <c:pt idx="243">
                  <c:v>-40.642373426264939</c:v>
                </c:pt>
                <c:pt idx="244">
                  <c:v>-40.690842064832289</c:v>
                </c:pt>
                <c:pt idx="245">
                  <c:v>-40.740087361478402</c:v>
                </c:pt>
                <c:pt idx="246">
                  <c:v>-40.789035335758953</c:v>
                </c:pt>
                <c:pt idx="247">
                  <c:v>-40.837689330566363</c:v>
                </c:pt>
                <c:pt idx="248">
                  <c:v>-40.886052631702022</c:v>
                </c:pt>
                <c:pt idx="249">
                  <c:v>-40.935297486294516</c:v>
                </c:pt>
                <c:pt idx="250">
                  <c:v>-40.984244096195567</c:v>
                </c:pt>
                <c:pt idx="251">
                  <c:v>-41.032895815566221</c:v>
                </c:pt>
                <c:pt idx="252">
                  <c:v>-41.081255941233081</c:v>
                </c:pt>
                <c:pt idx="253">
                  <c:v>-41.130342013366914</c:v>
                </c:pt>
                <c:pt idx="254">
                  <c:v>-41.179130789843803</c:v>
                </c:pt>
                <c:pt idx="255">
                  <c:v>-41.227625604505143</c:v>
                </c:pt>
                <c:pt idx="256">
                  <c:v>-41.275829734333847</c:v>
                </c:pt>
                <c:pt idx="257">
                  <c:v>-41.324983973611538</c:v>
                </c:pt>
                <c:pt idx="258">
                  <c:v>-41.373839080744702</c:v>
                </c:pt>
                <c:pt idx="259">
                  <c:v>-41.422398415885027</c:v>
                </c:pt>
                <c:pt idx="260">
                  <c:v>-41.470665281744004</c:v>
                </c:pt>
                <c:pt idx="261">
                  <c:v>-41.519729989676293</c:v>
                </c:pt>
                <c:pt idx="262">
                  <c:v>-41.568495592467457</c:v>
                </c:pt>
                <c:pt idx="263">
                  <c:v>-41.616965445132344</c:v>
                </c:pt>
                <c:pt idx="264">
                  <c:v>-41.665142845379677</c:v>
                </c:pt>
                <c:pt idx="265">
                  <c:v>-41.714091956542426</c:v>
                </c:pt>
                <c:pt idx="266">
                  <c:v>-41.762742263700957</c:v>
                </c:pt>
                <c:pt idx="267">
                  <c:v>-41.811097112010607</c:v>
                </c:pt>
                <c:pt idx="268">
                  <c:v>-41.859159789563172</c:v>
                </c:pt>
                <c:pt idx="269">
                  <c:v>-41.908083936478988</c:v>
                </c:pt>
                <c:pt idx="270">
                  <c:v>-41.95670843077599</c:v>
                </c:pt>
                <c:pt idx="271">
                  <c:v>-42.005036626867785</c:v>
                </c:pt>
                <c:pt idx="272">
                  <c:v>-42.053071821914322</c:v>
                </c:pt>
                <c:pt idx="273">
                  <c:v>-42.101939857190906</c:v>
                </c:pt>
                <c:pt idx="274">
                  <c:v>-42.150507719968843</c:v>
                </c:pt>
                <c:pt idx="275">
                  <c:v>-42.198778768256993</c:v>
                </c:pt>
                <c:pt idx="276">
                  <c:v>-42.246756302750853</c:v>
                </c:pt>
                <c:pt idx="277">
                  <c:v>-42.295429425279181</c:v>
                </c:pt>
                <c:pt idx="278">
                  <c:v>-42.34380350680717</c:v>
                </c:pt>
                <c:pt idx="279">
                  <c:v>-42.391881881213749</c:v>
                </c:pt>
                <c:pt idx="280">
                  <c:v>-42.439667825635013</c:v>
                </c:pt>
                <c:pt idx="281">
                  <c:v>-42.488447161801133</c:v>
                </c:pt>
                <c:pt idx="282">
                  <c:v>-42.536924840152935</c:v>
                </c:pt>
                <c:pt idx="283">
                  <c:v>-42.585104232889066</c:v>
                </c:pt>
                <c:pt idx="284">
                  <c:v>-42.632988654622082</c:v>
                </c:pt>
                <c:pt idx="285">
                  <c:v>-42.681519837639058</c:v>
                </c:pt>
                <c:pt idx="286">
                  <c:v>-42.729751050028135</c:v>
                </c:pt>
                <c:pt idx="287">
                  <c:v>-42.777685630312902</c:v>
                </c:pt>
                <c:pt idx="288">
                  <c:v>-42.825326860221949</c:v>
                </c:pt>
                <c:pt idx="289">
                  <c:v>-42.873898743441217</c:v>
                </c:pt>
                <c:pt idx="290">
                  <c:v>-42.922168725533901</c:v>
                </c:pt>
                <c:pt idx="291">
                  <c:v>-42.970140171539313</c:v>
                </c:pt>
                <c:pt idx="292">
                  <c:v>-43.017816389131305</c:v>
                </c:pt>
                <c:pt idx="293">
                  <c:v>-43.066292217836889</c:v>
                </c:pt>
                <c:pt idx="294">
                  <c:v>-43.114465841812489</c:v>
                </c:pt>
                <c:pt idx="295">
                  <c:v>-43.162340625347753</c:v>
                </c:pt>
                <c:pt idx="296">
                  <c:v>-43.209919875416844</c:v>
                </c:pt>
                <c:pt idx="297">
                  <c:v>-43.258271575935332</c:v>
                </c:pt>
                <c:pt idx="298">
                  <c:v>-43.306321057965185</c:v>
                </c:pt>
                <c:pt idx="299">
                  <c:v>-43.35407168009786</c:v>
                </c:pt>
                <c:pt idx="300">
                  <c:v>-43.401526743773537</c:v>
                </c:pt>
                <c:pt idx="301">
                  <c:v>-43.449727966802271</c:v>
                </c:pt>
                <c:pt idx="302">
                  <c:v>-43.497627227234673</c:v>
                </c:pt>
                <c:pt idx="303">
                  <c:v>-43.545227873384952</c:v>
                </c:pt>
                <c:pt idx="304">
                  <c:v>-43.592533196686219</c:v>
                </c:pt>
                <c:pt idx="305">
                  <c:v>-43.64074336695866</c:v>
                </c:pt>
                <c:pt idx="306">
                  <c:v>-43.688649770308302</c:v>
                </c:pt>
                <c:pt idx="307">
                  <c:v>-43.736255778838881</c:v>
                </c:pt>
                <c:pt idx="308">
                  <c:v>-43.78356470727649</c:v>
                </c:pt>
                <c:pt idx="309">
                  <c:v>-43.831567416336725</c:v>
                </c:pt>
                <c:pt idx="310">
                  <c:v>-43.879267200088648</c:v>
                </c:pt>
                <c:pt idx="311">
                  <c:v>-43.926667410415604</c:v>
                </c:pt>
                <c:pt idx="312">
                  <c:v>-43.973771342324497</c:v>
                </c:pt>
                <c:pt idx="313">
                  <c:v>-44.021720330483696</c:v>
                </c:pt>
                <c:pt idx="314">
                  <c:v>-44.069365233681822</c:v>
                </c:pt>
                <c:pt idx="315">
                  <c:v>-44.116709416644369</c:v>
                </c:pt>
                <c:pt idx="316">
                  <c:v>-44.163756186978389</c:v>
                </c:pt>
                <c:pt idx="317">
                  <c:v>-44.211618394941269</c:v>
                </c:pt>
                <c:pt idx="318">
                  <c:v>-44.259175697814413</c:v>
                </c:pt>
                <c:pt idx="319">
                  <c:v>-44.306431467430741</c:v>
                </c:pt>
                <c:pt idx="320">
                  <c:v>-44.353389018395731</c:v>
                </c:pt>
                <c:pt idx="321">
                  <c:v>-44.401133302210212</c:v>
                </c:pt>
                <c:pt idx="322">
                  <c:v>-44.44857217936179</c:v>
                </c:pt>
                <c:pt idx="323">
                  <c:v>-44.495709023426969</c:v>
                </c:pt>
                <c:pt idx="324">
                  <c:v>-44.542547150771199</c:v>
                </c:pt>
                <c:pt idx="325">
                  <c:v>-44.590144201288702</c:v>
                </c:pt>
                <c:pt idx="326">
                  <c:v>-44.637435641621181</c:v>
                </c:pt>
                <c:pt idx="327">
                  <c:v>-44.684424842097698</c:v>
                </c:pt>
                <c:pt idx="328">
                  <c:v>-44.731115115969104</c:v>
                </c:pt>
                <c:pt idx="329">
                  <c:v>-44.778616422931883</c:v>
                </c:pt>
                <c:pt idx="330">
                  <c:v>-44.825811177273053</c:v>
                </c:pt>
                <c:pt idx="331">
                  <c:v>-44.872702758205932</c:v>
                </c:pt>
                <c:pt idx="332">
                  <c:v>-44.919294487729864</c:v>
                </c:pt>
                <c:pt idx="333">
                  <c:v>-44.966591103821742</c:v>
                </c:pt>
                <c:pt idx="334">
                  <c:v>-45.013581545681205</c:v>
                </c:pt>
                <c:pt idx="335">
                  <c:v>-45.060269179606024</c:v>
                </c:pt>
                <c:pt idx="336">
                  <c:v>-45.106657315039186</c:v>
                </c:pt>
                <c:pt idx="337">
                  <c:v>-45.153875216855141</c:v>
                </c:pt>
                <c:pt idx="338">
                  <c:v>-45.200785614009021</c:v>
                </c:pt>
                <c:pt idx="339">
                  <c:v>-45.247391887987106</c:v>
                </c:pt>
                <c:pt idx="340">
                  <c:v>-45.293697363152965</c:v>
                </c:pt>
                <c:pt idx="341">
                  <c:v>-45.340802359132255</c:v>
                </c:pt>
                <c:pt idx="342">
                  <c:v>-45.387598867946828</c:v>
                </c:pt>
                <c:pt idx="343">
                  <c:v>-45.434090280524174</c:v>
                </c:pt>
                <c:pt idx="344">
                  <c:v>-45.480279930536668</c:v>
                </c:pt>
                <c:pt idx="345">
                  <c:v>-45.527168536443696</c:v>
                </c:pt>
                <c:pt idx="346">
                  <c:v>-45.573748935216763</c:v>
                </c:pt>
                <c:pt idx="347">
                  <c:v>-45.620024506501586</c:v>
                </c:pt>
                <c:pt idx="348">
                  <c:v>-45.665998573026066</c:v>
                </c:pt>
                <c:pt idx="349">
                  <c:v>-45.712784747939821</c:v>
                </c:pt>
                <c:pt idx="350">
                  <c:v>-45.759261412261345</c:v>
                </c:pt>
                <c:pt idx="351">
                  <c:v>-45.805431960390941</c:v>
                </c:pt>
                <c:pt idx="352">
                  <c:v>-45.851299729571423</c:v>
                </c:pt>
                <c:pt idx="353">
                  <c:v>-45.897949336335707</c:v>
                </c:pt>
                <c:pt idx="354">
                  <c:v>-45.94428847585619</c:v>
                </c:pt>
                <c:pt idx="355">
                  <c:v>-45.990320551650463</c:v>
                </c:pt>
                <c:pt idx="356">
                  <c:v>-46.036048909971427</c:v>
                </c:pt>
                <c:pt idx="357">
                  <c:v>-46.082463953634011</c:v>
                </c:pt>
                <c:pt idx="358">
                  <c:v>-46.128568778324315</c:v>
                </c:pt>
                <c:pt idx="359">
                  <c:v>-46.174366777034201</c:v>
                </c:pt>
                <c:pt idx="360">
                  <c:v>-46.219861285828621</c:v>
                </c:pt>
                <c:pt idx="361">
                  <c:v>-46.266144786598446</c:v>
                </c:pt>
                <c:pt idx="362">
                  <c:v>-46.312116847823781</c:v>
                </c:pt>
                <c:pt idx="363">
                  <c:v>-46.357780876151963</c:v>
                </c:pt>
                <c:pt idx="364">
                  <c:v>-46.403140221108352</c:v>
                </c:pt>
                <c:pt idx="365">
                  <c:v>-46.449196065998237</c:v>
                </c:pt>
                <c:pt idx="366">
                  <c:v>-46.494940436355421</c:v>
                </c:pt>
                <c:pt idx="367">
                  <c:v>-46.540376733252216</c:v>
                </c:pt>
                <c:pt idx="368">
                  <c:v>-46.585508300879262</c:v>
                </c:pt>
                <c:pt idx="369">
                  <c:v>-46.631431068018799</c:v>
                </c:pt>
                <c:pt idx="370">
                  <c:v>-46.677040946287192</c:v>
                </c:pt>
                <c:pt idx="371">
                  <c:v>-46.722341353921706</c:v>
                </c:pt>
                <c:pt idx="372">
                  <c:v>-46.767335652019753</c:v>
                </c:pt>
                <c:pt idx="373">
                  <c:v>-46.813031313811557</c:v>
                </c:pt>
                <c:pt idx="374">
                  <c:v>-46.858413837773128</c:v>
                </c:pt>
                <c:pt idx="375">
                  <c:v>-46.903486640501143</c:v>
                </c:pt>
                <c:pt idx="376">
                  <c:v>-46.948253081619995</c:v>
                </c:pt>
                <c:pt idx="377">
                  <c:v>-46.993808392080787</c:v>
                </c:pt>
                <c:pt idx="378">
                  <c:v>-47.039049018922618</c:v>
                </c:pt>
                <c:pt idx="379">
                  <c:v>-47.08397839855585</c:v>
                </c:pt>
                <c:pt idx="380">
                  <c:v>-47.128599910118027</c:v>
                </c:pt>
                <c:pt idx="381">
                  <c:v>-47.173867210062177</c:v>
                </c:pt>
                <c:pt idx="382">
                  <c:v>-47.218820200291916</c:v>
                </c:pt>
                <c:pt idx="383">
                  <c:v>-47.263462306020187</c:v>
                </c:pt>
                <c:pt idx="384">
                  <c:v>-47.307796895581227</c:v>
                </c:pt>
                <c:pt idx="385">
                  <c:v>-47.352914658329659</c:v>
                </c:pt>
                <c:pt idx="386">
                  <c:v>-47.397716458350303</c:v>
                </c:pt>
                <c:pt idx="387">
                  <c:v>-47.442205743104395</c:v>
                </c:pt>
                <c:pt idx="388">
                  <c:v>-47.486385902837362</c:v>
                </c:pt>
                <c:pt idx="389">
                  <c:v>-47.531264700942529</c:v>
                </c:pt>
                <c:pt idx="390">
                  <c:v>-47.575827006178606</c:v>
                </c:pt>
                <c:pt idx="391">
                  <c:v>-47.62007627035743</c:v>
                </c:pt>
                <c:pt idx="392">
                  <c:v>-47.664015888141151</c:v>
                </c:pt>
                <c:pt idx="393">
                  <c:v>-47.708625651306555</c:v>
                </c:pt>
                <c:pt idx="394">
                  <c:v>-47.752918703530376</c:v>
                </c:pt>
                <c:pt idx="395">
                  <c:v>-47.796898496368044</c:v>
                </c:pt>
                <c:pt idx="396">
                  <c:v>-47.840568424401269</c:v>
                </c:pt>
                <c:pt idx="397">
                  <c:v>-47.884980796140731</c:v>
                </c:pt>
                <c:pt idx="398">
                  <c:v>-47.929075106578686</c:v>
                </c:pt>
                <c:pt idx="399">
                  <c:v>-47.97285482601788</c:v>
                </c:pt>
                <c:pt idx="400">
                  <c:v>-48.016323367554747</c:v>
                </c:pt>
                <c:pt idx="401">
                  <c:v>-48.060454844110325</c:v>
                </c:pt>
                <c:pt idx="402">
                  <c:v>-48.104267976402262</c:v>
                </c:pt>
                <c:pt idx="403">
                  <c:v>-48.147766236661482</c:v>
                </c:pt>
                <c:pt idx="404">
                  <c:v>-48.190953040056321</c:v>
                </c:pt>
                <c:pt idx="405">
                  <c:v>-48.234821996376205</c:v>
                </c:pt>
                <c:pt idx="406">
                  <c:v>-48.278371946204992</c:v>
                </c:pt>
                <c:pt idx="407">
                  <c:v>-48.321606370548302</c:v>
                </c:pt>
                <c:pt idx="408">
                  <c:v>-48.364528693350863</c:v>
                </c:pt>
                <c:pt idx="409">
                  <c:v>-48.408149885348479</c:v>
                </c:pt>
                <c:pt idx="410">
                  <c:v>-48.451451070393873</c:v>
                </c:pt>
                <c:pt idx="411">
                  <c:v>-48.494435744514647</c:v>
                </c:pt>
                <c:pt idx="412">
                  <c:v>-48.537107346552901</c:v>
                </c:pt>
                <c:pt idx="413">
                  <c:v>-48.580447659764836</c:v>
                </c:pt>
                <c:pt idx="414">
                  <c:v>-48.623467323097103</c:v>
                </c:pt>
                <c:pt idx="415">
                  <c:v>-48.666169842552478</c:v>
                </c:pt>
                <c:pt idx="416">
                  <c:v>-48.708558666940284</c:v>
                </c:pt>
                <c:pt idx="417">
                  <c:v>-48.751630165092045</c:v>
                </c:pt>
                <c:pt idx="418">
                  <c:v>-48.79438006700336</c:v>
                </c:pt>
                <c:pt idx="419">
                  <c:v>-48.836811894482878</c:v>
                </c:pt>
                <c:pt idx="420">
                  <c:v>-48.878929112019506</c:v>
                </c:pt>
                <c:pt idx="421">
                  <c:v>-48.921656917699003</c:v>
                </c:pt>
                <c:pt idx="422">
                  <c:v>-48.964063174415941</c:v>
                </c:pt>
                <c:pt idx="423">
                  <c:v>-49.006151404439777</c:v>
                </c:pt>
                <c:pt idx="424">
                  <c:v>-49.047925072932692</c:v>
                </c:pt>
                <c:pt idx="425">
                  <c:v>-49.090403934617441</c:v>
                </c:pt>
                <c:pt idx="426">
                  <c:v>-49.132559750711877</c:v>
                </c:pt>
                <c:pt idx="427">
                  <c:v>-49.174396070273858</c:v>
                </c:pt>
                <c:pt idx="428">
                  <c:v>-49.215916384905192</c:v>
                </c:pt>
                <c:pt idx="429">
                  <c:v>-49.258070505326245</c:v>
                </c:pt>
                <c:pt idx="430">
                  <c:v>-49.299901096570537</c:v>
                </c:pt>
                <c:pt idx="431">
                  <c:v>-49.341411718953381</c:v>
                </c:pt>
                <c:pt idx="432">
                  <c:v>-49.382605875326647</c:v>
                </c:pt>
                <c:pt idx="433">
                  <c:v>-49.424404697415142</c:v>
                </c:pt>
                <c:pt idx="434">
                  <c:v>-49.465879858687941</c:v>
                </c:pt>
                <c:pt idx="435">
                  <c:v>-49.507034926070219</c:v>
                </c:pt>
                <c:pt idx="436">
                  <c:v>-49.547873409120051</c:v>
                </c:pt>
                <c:pt idx="437">
                  <c:v>-49.589362509615384</c:v>
                </c:pt>
                <c:pt idx="438">
                  <c:v>-49.630526995691973</c:v>
                </c:pt>
                <c:pt idx="439">
                  <c:v>-49.671370455677952</c:v>
                </c:pt>
                <c:pt idx="440">
                  <c:v>-49.711896420318666</c:v>
                </c:pt>
                <c:pt idx="441">
                  <c:v>-49.753042322691613</c:v>
                </c:pt>
                <c:pt idx="442">
                  <c:v>-49.793863051823351</c:v>
                </c:pt>
                <c:pt idx="443">
                  <c:v>-49.834362212259947</c:v>
                </c:pt>
                <c:pt idx="444">
                  <c:v>-49.874543350863604</c:v>
                </c:pt>
                <c:pt idx="445">
                  <c:v>-49.915314761447782</c:v>
                </c:pt>
                <c:pt idx="446">
                  <c:v>-49.955760817535847</c:v>
                </c:pt>
                <c:pt idx="447">
                  <c:v>-49.995885135017488</c:v>
                </c:pt>
                <c:pt idx="448">
                  <c:v>-50.035691272103165</c:v>
                </c:pt>
                <c:pt idx="449">
                  <c:v>-50.076126417922147</c:v>
                </c:pt>
                <c:pt idx="450">
                  <c:v>-50.11623530356264</c:v>
                </c:pt>
                <c:pt idx="451">
                  <c:v>-50.156021569791982</c:v>
                </c:pt>
                <c:pt idx="452">
                  <c:v>-50.195488799416339</c:v>
                </c:pt>
                <c:pt idx="453">
                  <c:v>-50.235521500335203</c:v>
                </c:pt>
                <c:pt idx="454">
                  <c:v>-50.275227982765536</c:v>
                </c:pt>
                <c:pt idx="455">
                  <c:v>-50.314611898102029</c:v>
                </c:pt>
                <c:pt idx="456">
                  <c:v>-50.353676839797707</c:v>
                </c:pt>
                <c:pt idx="457">
                  <c:v>-50.393342128813217</c:v>
                </c:pt>
                <c:pt idx="458">
                  <c:v>-50.432680565924251</c:v>
                </c:pt>
                <c:pt idx="459">
                  <c:v>-50.47169582607939</c:v>
                </c:pt>
                <c:pt idx="460">
                  <c:v>-50.510391526029785</c:v>
                </c:pt>
                <c:pt idx="461">
                  <c:v>-50.549657203435949</c:v>
                </c:pt>
                <c:pt idx="462">
                  <c:v>-50.588595812610144</c:v>
                </c:pt>
                <c:pt idx="463">
                  <c:v>-50.627211046765126</c:v>
                </c:pt>
                <c:pt idx="464">
                  <c:v>-50.665506540768995</c:v>
                </c:pt>
                <c:pt idx="465">
                  <c:v>-50.704372249745077</c:v>
                </c:pt>
                <c:pt idx="466">
                  <c:v>-50.742910577141018</c:v>
                </c:pt>
                <c:pt idx="467">
                  <c:v>-50.781125237852507</c:v>
                </c:pt>
                <c:pt idx="468">
                  <c:v>-50.819019888204977</c:v>
                </c:pt>
                <c:pt idx="469">
                  <c:v>-50.85745501968119</c:v>
                </c:pt>
                <c:pt idx="470">
                  <c:v>-50.895562872889855</c:v>
                </c:pt>
                <c:pt idx="471">
                  <c:v>-50.933347179168358</c:v>
                </c:pt>
                <c:pt idx="472">
                  <c:v>-50.970811611160755</c:v>
                </c:pt>
                <c:pt idx="473">
                  <c:v>-51.008843067701349</c:v>
                </c:pt>
                <c:pt idx="474">
                  <c:v>-51.046546799141296</c:v>
                </c:pt>
                <c:pt idx="475">
                  <c:v>-51.083926564562574</c:v>
                </c:pt>
                <c:pt idx="476">
                  <c:v>-51.120986063984247</c:v>
                </c:pt>
                <c:pt idx="477">
                  <c:v>-51.158582166779532</c:v>
                </c:pt>
                <c:pt idx="478">
                  <c:v>-51.19585054551743</c:v>
                </c:pt>
                <c:pt idx="479">
                  <c:v>-51.232794981354495</c:v>
                </c:pt>
                <c:pt idx="480">
                  <c:v>-51.269419196121866</c:v>
                </c:pt>
                <c:pt idx="481">
                  <c:v>-51.306550717305825</c:v>
                </c:pt>
                <c:pt idx="482">
                  <c:v>-51.343354945177396</c:v>
                </c:pt>
                <c:pt idx="483">
                  <c:v>-51.379835677536782</c:v>
                </c:pt>
                <c:pt idx="484">
                  <c:v>-51.415996652694943</c:v>
                </c:pt>
                <c:pt idx="485">
                  <c:v>-51.452661598041857</c:v>
                </c:pt>
                <c:pt idx="486">
                  <c:v>-51.488999649927187</c:v>
                </c:pt>
                <c:pt idx="487">
                  <c:v>-51.525014625326904</c:v>
                </c:pt>
                <c:pt idx="488">
                  <c:v>-51.560710281493684</c:v>
                </c:pt>
                <c:pt idx="489">
                  <c:v>-51.596929453025631</c:v>
                </c:pt>
                <c:pt idx="490">
                  <c:v>-51.632821692376396</c:v>
                </c:pt>
                <c:pt idx="491">
                  <c:v>-51.66839084547572</c:v>
                </c:pt>
                <c:pt idx="492">
                  <c:v>-51.703640698073876</c:v>
                </c:pt>
                <c:pt idx="493">
                  <c:v>-51.739384214515063</c:v>
                </c:pt>
                <c:pt idx="494">
                  <c:v>-51.774801229230775</c:v>
                </c:pt>
                <c:pt idx="495">
                  <c:v>-51.809895611033205</c:v>
                </c:pt>
                <c:pt idx="496">
                  <c:v>-51.844671168202566</c:v>
                </c:pt>
                <c:pt idx="497">
                  <c:v>-51.879934001521065</c:v>
                </c:pt>
                <c:pt idx="498">
                  <c:v>-51.914870801660825</c:v>
                </c:pt>
                <c:pt idx="499">
                  <c:v>-51.949485461803604</c:v>
                </c:pt>
                <c:pt idx="500">
                  <c:v>-51.98378181419173</c:v>
                </c:pt>
                <c:pt idx="501">
                  <c:v>-52.018558183321019</c:v>
                </c:pt>
                <c:pt idx="502">
                  <c:v>-52.053009046720753</c:v>
                </c:pt>
                <c:pt idx="503">
                  <c:v>-52.087138323090876</c:v>
                </c:pt>
                <c:pt idx="504">
                  <c:v>-52.120949869733025</c:v>
                </c:pt>
                <c:pt idx="505">
                  <c:v>-52.155212693860733</c:v>
                </c:pt>
                <c:pt idx="506">
                  <c:v>-52.189151009531606</c:v>
                </c:pt>
                <c:pt idx="507">
                  <c:v>-52.222768754664763</c:v>
                </c:pt>
                <c:pt idx="508">
                  <c:v>-52.256069805424666</c:v>
                </c:pt>
                <c:pt idx="509">
                  <c:v>-52.289814507699774</c:v>
                </c:pt>
                <c:pt idx="510">
                  <c:v>-52.32323576629291</c:v>
                </c:pt>
                <c:pt idx="511">
                  <c:v>-52.356337539216035</c:v>
                </c:pt>
                <c:pt idx="512">
                  <c:v>-52.389123722319148</c:v>
                </c:pt>
                <c:pt idx="513">
                  <c:v>-52.422364390379911</c:v>
                </c:pt>
                <c:pt idx="514">
                  <c:v>-52.455282393810791</c:v>
                </c:pt>
                <c:pt idx="515">
                  <c:v>-52.487881718112632</c:v>
                </c:pt>
                <c:pt idx="516">
                  <c:v>-52.520166286028584</c:v>
                </c:pt>
                <c:pt idx="517">
                  <c:v>-52.552876865416287</c:v>
                </c:pt>
                <c:pt idx="518">
                  <c:v>-52.585266051692862</c:v>
                </c:pt>
                <c:pt idx="519">
                  <c:v>-52.617337850914573</c:v>
                </c:pt>
                <c:pt idx="520">
                  <c:v>-52.649096205891645</c:v>
                </c:pt>
                <c:pt idx="521">
                  <c:v>-52.681271065068678</c:v>
                </c:pt>
                <c:pt idx="522">
                  <c:v>-52.713125919853226</c:v>
                </c:pt>
                <c:pt idx="523">
                  <c:v>-52.744664796727356</c:v>
                </c:pt>
                <c:pt idx="524">
                  <c:v>-52.775891658402863</c:v>
                </c:pt>
                <c:pt idx="525">
                  <c:v>-52.807525019340318</c:v>
                </c:pt>
                <c:pt idx="526">
                  <c:v>-52.838839895866549</c:v>
                </c:pt>
                <c:pt idx="527">
                  <c:v>-52.869840334433398</c:v>
                </c:pt>
                <c:pt idx="528">
                  <c:v>-52.900530317166769</c:v>
                </c:pt>
                <c:pt idx="529">
                  <c:v>-52.931616358809904</c:v>
                </c:pt>
                <c:pt idx="530">
                  <c:v>-52.962385579977358</c:v>
                </c:pt>
                <c:pt idx="531">
                  <c:v>-52.992842046313974</c:v>
                </c:pt>
                <c:pt idx="532">
                  <c:v>-53.022989758557102</c:v>
                </c:pt>
                <c:pt idx="533">
                  <c:v>-53.053538395708991</c:v>
                </c:pt>
                <c:pt idx="534">
                  <c:v>-53.083771708362931</c:v>
                </c:pt>
                <c:pt idx="535">
                  <c:v>-53.113693786543081</c:v>
                </c:pt>
                <c:pt idx="536">
                  <c:v>-53.143308654628989</c:v>
                </c:pt>
                <c:pt idx="537">
                  <c:v>-53.173282268345552</c:v>
                </c:pt>
                <c:pt idx="538">
                  <c:v>-53.202942873431731</c:v>
                </c:pt>
                <c:pt idx="539">
                  <c:v>-53.232294570205021</c:v>
                </c:pt>
                <c:pt idx="540">
                  <c:v>-53.261341392856295</c:v>
                </c:pt>
                <c:pt idx="541">
                  <c:v>-53.290765354604154</c:v>
                </c:pt>
                <c:pt idx="542">
                  <c:v>-53.319878160857073</c:v>
                </c:pt>
                <c:pt idx="543">
                  <c:v>-53.348683932986475</c:v>
                </c:pt>
                <c:pt idx="544">
                  <c:v>-53.377186725476761</c:v>
                </c:pt>
                <c:pt idx="545">
                  <c:v>-53.406040331885968</c:v>
                </c:pt>
                <c:pt idx="546">
                  <c:v>-53.434585138280717</c:v>
                </c:pt>
                <c:pt idx="547">
                  <c:v>-53.462825278813931</c:v>
                </c:pt>
                <c:pt idx="548">
                  <c:v>-53.490764820122195</c:v>
                </c:pt>
                <c:pt idx="549">
                  <c:v>-53.519043429225377</c:v>
                </c:pt>
                <c:pt idx="550">
                  <c:v>-53.547015779463464</c:v>
                </c:pt>
                <c:pt idx="551">
                  <c:v>-53.574686015518161</c:v>
                </c:pt>
                <c:pt idx="552">
                  <c:v>-53.602058213926327</c:v>
                </c:pt>
                <c:pt idx="553">
                  <c:v>-53.629770307785734</c:v>
                </c:pt>
                <c:pt idx="554">
                  <c:v>-53.657178596153685</c:v>
                </c:pt>
                <c:pt idx="555">
                  <c:v>-53.684287237415404</c:v>
                </c:pt>
                <c:pt idx="556">
                  <c:v>-53.711100321064009</c:v>
                </c:pt>
                <c:pt idx="557">
                  <c:v>-53.765079688525475</c:v>
                </c:pt>
                <c:pt idx="558">
                  <c:v>-53.817871123850765</c:v>
                </c:pt>
                <c:pt idx="559">
                  <c:v>-53.870677424575675</c:v>
                </c:pt>
                <c:pt idx="560">
                  <c:v>-53.922308395155063</c:v>
                </c:pt>
                <c:pt idx="561">
                  <c:v>-53.973980822959142</c:v>
                </c:pt>
                <c:pt idx="562">
                  <c:v>-54.024489310183135</c:v>
                </c:pt>
                <c:pt idx="563">
                  <c:v>-54.074913884151208</c:v>
                </c:pt>
                <c:pt idx="564">
                  <c:v>-54.124191600194031</c:v>
                </c:pt>
                <c:pt idx="565">
                  <c:v>-54.173554960677791</c:v>
                </c:pt>
                <c:pt idx="566">
                  <c:v>-54.221780739138268</c:v>
                </c:pt>
                <c:pt idx="567">
                  <c:v>-54.27004658668109</c:v>
                </c:pt>
                <c:pt idx="568">
                  <c:v>-54.317186277316331</c:v>
                </c:pt>
                <c:pt idx="569">
                  <c:v>-54.364142475153344</c:v>
                </c:pt>
                <c:pt idx="570">
                  <c:v>-54.409994479251431</c:v>
                </c:pt>
                <c:pt idx="571">
                  <c:v>-54.455989031814873</c:v>
                </c:pt>
                <c:pt idx="572">
                  <c:v>-54.50088583234475</c:v>
                </c:pt>
                <c:pt idx="573">
                  <c:v>-54.54554381971586</c:v>
                </c:pt>
                <c:pt idx="574">
                  <c:v>-54.58912890007862</c:v>
                </c:pt>
                <c:pt idx="575">
                  <c:v>-54.632774847830518</c:v>
                </c:pt>
                <c:pt idx="576">
                  <c:v>-54.675358139596035</c:v>
                </c:pt>
                <c:pt idx="577">
                  <c:v>-54.844586283440357</c:v>
                </c:pt>
                <c:pt idx="578">
                  <c:v>-54.997548325251884</c:v>
                </c:pt>
                <c:pt idx="579">
                  <c:v>-55.284860630788529</c:v>
                </c:pt>
                <c:pt idx="580">
                  <c:v>-55.539514257351158</c:v>
                </c:pt>
                <c:pt idx="581">
                  <c:v>-55.763255290725262</c:v>
                </c:pt>
                <c:pt idx="582">
                  <c:v>-55.958642410240884</c:v>
                </c:pt>
                <c:pt idx="583">
                  <c:v>-56.128097596334818</c:v>
                </c:pt>
                <c:pt idx="584">
                  <c:v>-56.274361739894118</c:v>
                </c:pt>
                <c:pt idx="585">
                  <c:v>-56.399917433303798</c:v>
                </c:pt>
                <c:pt idx="586">
                  <c:v>-56.507255876490127</c:v>
                </c:pt>
                <c:pt idx="587">
                  <c:v>-56.598734045861136</c:v>
                </c:pt>
                <c:pt idx="588">
                  <c:v>-56.676388737834522</c:v>
                </c:pt>
                <c:pt idx="589">
                  <c:v>-56.742209336159497</c:v>
                </c:pt>
                <c:pt idx="590">
                  <c:v>-56.797885646386028</c:v>
                </c:pt>
                <c:pt idx="591">
                  <c:v>-56.844944161021189</c:v>
                </c:pt>
                <c:pt idx="592">
                  <c:v>-56.884714031146174</c:v>
                </c:pt>
                <c:pt idx="593">
                  <c:v>-56.918370373889999</c:v>
                </c:pt>
                <c:pt idx="594">
                  <c:v>-56.946914598117857</c:v>
                </c:pt>
                <c:pt idx="595">
                  <c:v>-56.971229238883694</c:v>
                </c:pt>
                <c:pt idx="596">
                  <c:v>-56.992070046478169</c:v>
                </c:pt>
                <c:pt idx="597">
                  <c:v>-57.010103814531242</c:v>
                </c:pt>
                <c:pt idx="598">
                  <c:v>-57.025906661407113</c:v>
                </c:pt>
                <c:pt idx="599">
                  <c:v>-57.039996956459156</c:v>
                </c:pt>
                <c:pt idx="600">
                  <c:v>-57.052834780631237</c:v>
                </c:pt>
              </c:numCache>
            </c:numRef>
          </c:yVal>
          <c:smooth val="1"/>
          <c:extLst>
            <c:ext xmlns:c16="http://schemas.microsoft.com/office/drawing/2014/chart" uri="{C3380CC4-5D6E-409C-BE32-E72D297353CC}">
              <c16:uniqueId val="{00000000-DE72-4EAD-8BDC-71A0CEBE354C}"/>
            </c:ext>
          </c:extLst>
        </c:ser>
        <c:dLbls>
          <c:showLegendKey val="0"/>
          <c:showVal val="0"/>
          <c:showCatName val="0"/>
          <c:showSerName val="0"/>
          <c:showPercent val="0"/>
          <c:showBubbleSize val="0"/>
        </c:dLbls>
        <c:axId val="196940928"/>
        <c:axId val="196942848"/>
      </c:scatterChart>
      <c:scatterChart>
        <c:scatterStyle val="lineMarker"/>
        <c:varyColors val="0"/>
        <c:ser>
          <c:idx val="8"/>
          <c:order val="1"/>
          <c:tx>
            <c:strRef>
              <c:f>'IL Stability Calculations'!$BC$12</c:f>
              <c:strCache>
                <c:ptCount val="1"/>
                <c:pt idx="0">
                  <c:v>Phase(Deg)</c:v>
                </c:pt>
              </c:strCache>
            </c:strRef>
          </c:tx>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Calculations'!$BC$13:$BC$613</c:f>
              <c:numCache>
                <c:formatCode>0.0000</c:formatCode>
                <c:ptCount val="601"/>
                <c:pt idx="0">
                  <c:v>-15.453965447098348</c:v>
                </c:pt>
                <c:pt idx="1">
                  <c:v>-16.864032741887989</c:v>
                </c:pt>
                <c:pt idx="2">
                  <c:v>-18.386128458100629</c:v>
                </c:pt>
                <c:pt idx="3">
                  <c:v>-20.02456415205609</c:v>
                </c:pt>
                <c:pt idx="4">
                  <c:v>-21.781323016152843</c:v>
                </c:pt>
                <c:pt idx="5">
                  <c:v>-23.661056436600383</c:v>
                </c:pt>
                <c:pt idx="6">
                  <c:v>-25.660966749375564</c:v>
                </c:pt>
                <c:pt idx="7">
                  <c:v>-27.779807380208222</c:v>
                </c:pt>
                <c:pt idx="8">
                  <c:v>-30.0108010695714</c:v>
                </c:pt>
                <c:pt idx="9">
                  <c:v>-32.347466611617371</c:v>
                </c:pt>
                <c:pt idx="10">
                  <c:v>-34.777226588176156</c:v>
                </c:pt>
                <c:pt idx="11">
                  <c:v>-37.286059115516174</c:v>
                </c:pt>
                <c:pt idx="12">
                  <c:v>-39.858156049944853</c:v>
                </c:pt>
                <c:pt idx="13">
                  <c:v>-42.471486697934488</c:v>
                </c:pt>
                <c:pt idx="14">
                  <c:v>-45.106847048918041</c:v>
                </c:pt>
                <c:pt idx="15">
                  <c:v>-47.741070727492001</c:v>
                </c:pt>
                <c:pt idx="16">
                  <c:v>-50.352245765441722</c:v>
                </c:pt>
                <c:pt idx="17">
                  <c:v>-52.918839160630512</c:v>
                </c:pt>
                <c:pt idx="18">
                  <c:v>-55.422198975055608</c:v>
                </c:pt>
                <c:pt idx="19">
                  <c:v>-57.844682061500365</c:v>
                </c:pt>
                <c:pt idx="20">
                  <c:v>-60.172673934141002</c:v>
                </c:pt>
                <c:pt idx="21">
                  <c:v>-62.394687427733444</c:v>
                </c:pt>
                <c:pt idx="22">
                  <c:v>-64.503269371162204</c:v>
                </c:pt>
                <c:pt idx="23">
                  <c:v>-66.492897495692389</c:v>
                </c:pt>
                <c:pt idx="24">
                  <c:v>-68.361705944127706</c:v>
                </c:pt>
                <c:pt idx="25">
                  <c:v>-70.109280709395378</c:v>
                </c:pt>
                <c:pt idx="26">
                  <c:v>-71.737760929550504</c:v>
                </c:pt>
                <c:pt idx="27">
                  <c:v>-73.249854785372591</c:v>
                </c:pt>
                <c:pt idx="28">
                  <c:v>-74.650010408224446</c:v>
                </c:pt>
                <c:pt idx="29">
                  <c:v>-75.942627648529921</c:v>
                </c:pt>
                <c:pt idx="30">
                  <c:v>-77.135507182999561</c:v>
                </c:pt>
                <c:pt idx="31">
                  <c:v>-78.232844493531871</c:v>
                </c:pt>
                <c:pt idx="32">
                  <c:v>-79.24146726172863</c:v>
                </c:pt>
                <c:pt idx="33">
                  <c:v>-80.166710459060084</c:v>
                </c:pt>
                <c:pt idx="34">
                  <c:v>-81.015202108307349</c:v>
                </c:pt>
                <c:pt idx="35">
                  <c:v>-81.792145630044374</c:v>
                </c:pt>
                <c:pt idx="36">
                  <c:v>-82.503126890170762</c:v>
                </c:pt>
                <c:pt idx="37">
                  <c:v>-83.153638793427604</c:v>
                </c:pt>
                <c:pt idx="38">
                  <c:v>-83.747902493354133</c:v>
                </c:pt>
                <c:pt idx="39">
                  <c:v>-84.290936847502479</c:v>
                </c:pt>
                <c:pt idx="40">
                  <c:v>-84.786729356128973</c:v>
                </c:pt>
                <c:pt idx="41">
                  <c:v>-85.239232227659144</c:v>
                </c:pt>
                <c:pt idx="42">
                  <c:v>-85.651999955345474</c:v>
                </c:pt>
                <c:pt idx="43">
                  <c:v>-86.028480210970443</c:v>
                </c:pt>
                <c:pt idx="44">
                  <c:v>-86.371631399162766</c:v>
                </c:pt>
                <c:pt idx="45">
                  <c:v>-86.684334819456581</c:v>
                </c:pt>
                <c:pt idx="46">
                  <c:v>-86.969104749105952</c:v>
                </c:pt>
                <c:pt idx="47">
                  <c:v>-87.228361440479972</c:v>
                </c:pt>
                <c:pt idx="48">
                  <c:v>-87.464198074189326</c:v>
                </c:pt>
                <c:pt idx="49">
                  <c:v>-87.678643936228397</c:v>
                </c:pt>
                <c:pt idx="50">
                  <c:v>-87.873457952543021</c:v>
                </c:pt>
                <c:pt idx="51">
                  <c:v>-88.050315601670164</c:v>
                </c:pt>
                <c:pt idx="52">
                  <c:v>-88.21064506861461</c:v>
                </c:pt>
                <c:pt idx="53">
                  <c:v>-88.355807248345698</c:v>
                </c:pt>
                <c:pt idx="54">
                  <c:v>-88.486951739637078</c:v>
                </c:pt>
                <c:pt idx="55">
                  <c:v>-88.605401542307476</c:v>
                </c:pt>
                <c:pt idx="56">
                  <c:v>-88.711979772940595</c:v>
                </c:pt>
                <c:pt idx="57">
                  <c:v>-88.807662260976301</c:v>
                </c:pt>
                <c:pt idx="58">
                  <c:v>-88.893192308548606</c:v>
                </c:pt>
                <c:pt idx="59">
                  <c:v>-88.96936138659494</c:v>
                </c:pt>
                <c:pt idx="60">
                  <c:v>-89.036769745735043</c:v>
                </c:pt>
                <c:pt idx="61">
                  <c:v>-89.096002403647219</c:v>
                </c:pt>
                <c:pt idx="62">
                  <c:v>-89.147588569110042</c:v>
                </c:pt>
                <c:pt idx="63">
                  <c:v>-89.191916401366967</c:v>
                </c:pt>
                <c:pt idx="64">
                  <c:v>-89.229399443122318</c:v>
                </c:pt>
                <c:pt idx="65">
                  <c:v>-89.260338825183084</c:v>
                </c:pt>
                <c:pt idx="66">
                  <c:v>-89.285000173988493</c:v>
                </c:pt>
                <c:pt idx="67">
                  <c:v>-89.303590317819967</c:v>
                </c:pt>
                <c:pt idx="68">
                  <c:v>-89.316272125572013</c:v>
                </c:pt>
                <c:pt idx="69">
                  <c:v>-89.323149282796052</c:v>
                </c:pt>
                <c:pt idx="70">
                  <c:v>-89.324281604125972</c:v>
                </c:pt>
                <c:pt idx="71">
                  <c:v>-89.319678548678667</c:v>
                </c:pt>
                <c:pt idx="72">
                  <c:v>-89.309300028945444</c:v>
                </c:pt>
                <c:pt idx="73">
                  <c:v>-89.29306077655751</c:v>
                </c:pt>
                <c:pt idx="74">
                  <c:v>-89.270818971611448</c:v>
                </c:pt>
                <c:pt idx="75">
                  <c:v>-89.242388539412957</c:v>
                </c:pt>
                <c:pt idx="76">
                  <c:v>-89.207519972617632</c:v>
                </c:pt>
                <c:pt idx="77">
                  <c:v>-89.165927698812368</c:v>
                </c:pt>
                <c:pt idx="78">
                  <c:v>-89.11725922605433</c:v>
                </c:pt>
                <c:pt idx="79">
                  <c:v>-89.061140791564014</c:v>
                </c:pt>
                <c:pt idx="80">
                  <c:v>-88.996998073793264</c:v>
                </c:pt>
                <c:pt idx="81">
                  <c:v>-88.924370293050046</c:v>
                </c:pt>
                <c:pt idx="82">
                  <c:v>-88.842594311311046</c:v>
                </c:pt>
                <c:pt idx="83">
                  <c:v>-88.751038616931552</c:v>
                </c:pt>
                <c:pt idx="84">
                  <c:v>-88.648859246716242</c:v>
                </c:pt>
                <c:pt idx="85">
                  <c:v>-88.535248416467823</c:v>
                </c:pt>
                <c:pt idx="86">
                  <c:v>-88.409234563985436</c:v>
                </c:pt>
                <c:pt idx="87">
                  <c:v>-88.269678721863386</c:v>
                </c:pt>
                <c:pt idx="88">
                  <c:v>-88.115538720302965</c:v>
                </c:pt>
                <c:pt idx="89">
                  <c:v>-87.94539651783623</c:v>
                </c:pt>
                <c:pt idx="90">
                  <c:v>-87.757880824252368</c:v>
                </c:pt>
                <c:pt idx="91">
                  <c:v>-87.551403770398466</c:v>
                </c:pt>
                <c:pt idx="92">
                  <c:v>-87.324268935158784</c:v>
                </c:pt>
                <c:pt idx="93">
                  <c:v>-87.074511684170247</c:v>
                </c:pt>
                <c:pt idx="94">
                  <c:v>-87.008331030685667</c:v>
                </c:pt>
                <c:pt idx="95">
                  <c:v>-86.974442969456021</c:v>
                </c:pt>
                <c:pt idx="96">
                  <c:v>-86.94054698849861</c:v>
                </c:pt>
                <c:pt idx="97">
                  <c:v>-86.905857434291221</c:v>
                </c:pt>
                <c:pt idx="98">
                  <c:v>-86.871160348581569</c:v>
                </c:pt>
                <c:pt idx="99">
                  <c:v>-86.835642627504697</c:v>
                </c:pt>
                <c:pt idx="100">
                  <c:v>-86.800117765284412</c:v>
                </c:pt>
                <c:pt idx="101">
                  <c:v>-86.763772338055446</c:v>
                </c:pt>
                <c:pt idx="102">
                  <c:v>-86.727420174020551</c:v>
                </c:pt>
                <c:pt idx="103">
                  <c:v>-86.69019328293345</c:v>
                </c:pt>
                <c:pt idx="104">
                  <c:v>-86.652960054426131</c:v>
                </c:pt>
                <c:pt idx="105">
                  <c:v>-86.614852210883427</c:v>
                </c:pt>
                <c:pt idx="106">
                  <c:v>-86.576738445641851</c:v>
                </c:pt>
                <c:pt idx="107">
                  <c:v>-86.537750218926433</c:v>
                </c:pt>
                <c:pt idx="108">
                  <c:v>-86.498756501645772</c:v>
                </c:pt>
                <c:pt idx="109">
                  <c:v>-86.458861356896378</c:v>
                </c:pt>
                <c:pt idx="110">
                  <c:v>-86.418961160686237</c:v>
                </c:pt>
                <c:pt idx="111">
                  <c:v>-86.378105424584902</c:v>
                </c:pt>
                <c:pt idx="112">
                  <c:v>-86.337245080210039</c:v>
                </c:pt>
                <c:pt idx="113">
                  <c:v>-86.295429434238741</c:v>
                </c:pt>
                <c:pt idx="114">
                  <c:v>-86.253609642228881</c:v>
                </c:pt>
                <c:pt idx="115">
                  <c:v>-86.210807654450974</c:v>
                </c:pt>
                <c:pt idx="116">
                  <c:v>-86.168001996792299</c:v>
                </c:pt>
                <c:pt idx="117">
                  <c:v>-86.124187280265119</c:v>
                </c:pt>
                <c:pt idx="118">
                  <c:v>-86.080369385925252</c:v>
                </c:pt>
                <c:pt idx="119">
                  <c:v>-86.035542789422337</c:v>
                </c:pt>
                <c:pt idx="120">
                  <c:v>-85.99071352812517</c:v>
                </c:pt>
                <c:pt idx="121">
                  <c:v>-85.944848780550487</c:v>
                </c:pt>
                <c:pt idx="122">
                  <c:v>-85.898981899365438</c:v>
                </c:pt>
                <c:pt idx="123">
                  <c:v>-85.852025597934812</c:v>
                </c:pt>
                <c:pt idx="124">
                  <c:v>-85.805067712701643</c:v>
                </c:pt>
                <c:pt idx="125">
                  <c:v>-85.757020896249998</c:v>
                </c:pt>
                <c:pt idx="126">
                  <c:v>-85.708973070919782</c:v>
                </c:pt>
                <c:pt idx="127">
                  <c:v>-85.659809663774453</c:v>
                </c:pt>
                <c:pt idx="128">
                  <c:v>-85.610645847264635</c:v>
                </c:pt>
                <c:pt idx="129">
                  <c:v>-85.56033985071312</c:v>
                </c:pt>
                <c:pt idx="130">
                  <c:v>-85.510034071151196</c:v>
                </c:pt>
                <c:pt idx="131">
                  <c:v>-85.458559569969296</c:v>
                </c:pt>
                <c:pt idx="132">
                  <c:v>-85.432822626937721</c:v>
                </c:pt>
                <c:pt idx="133">
                  <c:v>-85.407085941286937</c:v>
                </c:pt>
                <c:pt idx="134">
                  <c:v>-85.38073775529196</c:v>
                </c:pt>
                <c:pt idx="135">
                  <c:v>-85.354389919906268</c:v>
                </c:pt>
                <c:pt idx="136">
                  <c:v>-85.32804247501636</c:v>
                </c:pt>
                <c:pt idx="137">
                  <c:v>-85.30169545985386</c:v>
                </c:pt>
                <c:pt idx="138">
                  <c:v>-85.274750751534825</c:v>
                </c:pt>
                <c:pt idx="139">
                  <c:v>-85.247806573656689</c:v>
                </c:pt>
                <c:pt idx="140">
                  <c:v>-85.220862966175787</c:v>
                </c:pt>
                <c:pt idx="141">
                  <c:v>-85.193919968409119</c:v>
                </c:pt>
                <c:pt idx="142">
                  <c:v>-85.166338731968253</c:v>
                </c:pt>
                <c:pt idx="143">
                  <c:v>-85.13875821590959</c:v>
                </c:pt>
                <c:pt idx="144">
                  <c:v>-85.111178460446567</c:v>
                </c:pt>
                <c:pt idx="145">
                  <c:v>-85.083599505166035</c:v>
                </c:pt>
                <c:pt idx="146">
                  <c:v>-85.05538257649944</c:v>
                </c:pt>
                <c:pt idx="147">
                  <c:v>-85.027166567425397</c:v>
                </c:pt>
                <c:pt idx="148">
                  <c:v>-84.998951518420952</c:v>
                </c:pt>
                <c:pt idx="149">
                  <c:v>-84.970737469350112</c:v>
                </c:pt>
                <c:pt idx="150">
                  <c:v>-84.941872148154673</c:v>
                </c:pt>
                <c:pt idx="151">
                  <c:v>-84.913007956197276</c:v>
                </c:pt>
                <c:pt idx="152">
                  <c:v>-84.884144934288614</c:v>
                </c:pt>
                <c:pt idx="153">
                  <c:v>-84.855283122639548</c:v>
                </c:pt>
                <c:pt idx="154">
                  <c:v>-84.825743184498862</c:v>
                </c:pt>
                <c:pt idx="155">
                  <c:v>-84.796204597659596</c:v>
                </c:pt>
                <c:pt idx="156">
                  <c:v>-84.766667403394763</c:v>
                </c:pt>
                <c:pt idx="157">
                  <c:v>-84.737131642389485</c:v>
                </c:pt>
                <c:pt idx="158">
                  <c:v>-84.706904526092231</c:v>
                </c:pt>
                <c:pt idx="159">
                  <c:v>-84.676678995505597</c:v>
                </c:pt>
                <c:pt idx="160">
                  <c:v>-84.646455092437563</c:v>
                </c:pt>
                <c:pt idx="161">
                  <c:v>-84.616232858120256</c:v>
                </c:pt>
                <c:pt idx="162">
                  <c:v>-84.585319658406533</c:v>
                </c:pt>
                <c:pt idx="163">
                  <c:v>-84.554408290319259</c:v>
                </c:pt>
                <c:pt idx="164">
                  <c:v>-84.523498796222142</c:v>
                </c:pt>
                <c:pt idx="165">
                  <c:v>-84.492591217915205</c:v>
                </c:pt>
                <c:pt idx="166">
                  <c:v>-84.460952359087543</c:v>
                </c:pt>
                <c:pt idx="167">
                  <c:v>-84.429315594945976</c:v>
                </c:pt>
                <c:pt idx="168">
                  <c:v>-84.397680968601009</c:v>
                </c:pt>
                <c:pt idx="169">
                  <c:v>-84.366048522609816</c:v>
                </c:pt>
                <c:pt idx="170">
                  <c:v>-84.333739563491918</c:v>
                </c:pt>
                <c:pt idx="171">
                  <c:v>-84.301432967367475</c:v>
                </c:pt>
                <c:pt idx="172">
                  <c:v>-84.269128777900988</c:v>
                </c:pt>
                <c:pt idx="173">
                  <c:v>-84.236827038218252</c:v>
                </c:pt>
                <c:pt idx="174">
                  <c:v>-84.203713556759013</c:v>
                </c:pt>
                <c:pt idx="175">
                  <c:v>-84.170602740282689</c:v>
                </c:pt>
                <c:pt idx="176">
                  <c:v>-84.137494633590819</c:v>
                </c:pt>
                <c:pt idx="177">
                  <c:v>-84.104389280952461</c:v>
                </c:pt>
                <c:pt idx="178">
                  <c:v>-84.070472764482403</c:v>
                </c:pt>
                <c:pt idx="179">
                  <c:v>-84.036559231613168</c:v>
                </c:pt>
                <c:pt idx="180">
                  <c:v>-84.002648728314284</c:v>
                </c:pt>
                <c:pt idx="181">
                  <c:v>-83.968741300030189</c:v>
                </c:pt>
                <c:pt idx="182">
                  <c:v>-83.934158937656463</c:v>
                </c:pt>
                <c:pt idx="183">
                  <c:v>-83.899579868425249</c:v>
                </c:pt>
                <c:pt idx="184">
                  <c:v>-83.865004138963215</c:v>
                </c:pt>
                <c:pt idx="185">
                  <c:v>-83.83043179538771</c:v>
                </c:pt>
                <c:pt idx="186">
                  <c:v>-83.79491398161656</c:v>
                </c:pt>
                <c:pt idx="187">
                  <c:v>-83.759399839286218</c:v>
                </c:pt>
                <c:pt idx="188">
                  <c:v>-83.723889416826324</c:v>
                </c:pt>
                <c:pt idx="189">
                  <c:v>-83.688382762157516</c:v>
                </c:pt>
                <c:pt idx="190">
                  <c:v>-83.652202425008795</c:v>
                </c:pt>
                <c:pt idx="191">
                  <c:v>-83.61602609976147</c:v>
                </c:pt>
                <c:pt idx="192">
                  <c:v>-83.579853835587997</c:v>
                </c:pt>
                <c:pt idx="193">
                  <c:v>-83.543685681167901</c:v>
                </c:pt>
                <c:pt idx="194">
                  <c:v>-83.506573621313194</c:v>
                </c:pt>
                <c:pt idx="195">
                  <c:v>-83.469465991869669</c:v>
                </c:pt>
                <c:pt idx="196">
                  <c:v>-83.432362843914674</c:v>
                </c:pt>
                <c:pt idx="197">
                  <c:v>-83.395264228035828</c:v>
                </c:pt>
                <c:pt idx="198">
                  <c:v>-83.357357967876453</c:v>
                </c:pt>
                <c:pt idx="199">
                  <c:v>-83.319456545751279</c:v>
                </c:pt>
                <c:pt idx="200">
                  <c:v>-83.28156001413997</c:v>
                </c:pt>
                <c:pt idx="201">
                  <c:v>-83.243668425041591</c:v>
                </c:pt>
                <c:pt idx="202">
                  <c:v>-83.204970029410859</c:v>
                </c:pt>
                <c:pt idx="203">
                  <c:v>-83.166276898571013</c:v>
                </c:pt>
                <c:pt idx="204">
                  <c:v>-83.127589086463274</c:v>
                </c:pt>
                <c:pt idx="205">
                  <c:v>-83.088906646558698</c:v>
                </c:pt>
                <c:pt idx="206">
                  <c:v>-83.049283060112742</c:v>
                </c:pt>
                <c:pt idx="207">
                  <c:v>-83.009665224214771</c:v>
                </c:pt>
                <c:pt idx="208">
                  <c:v>-82.970053194899947</c:v>
                </c:pt>
                <c:pt idx="209">
                  <c:v>-82.930447027736378</c:v>
                </c:pt>
                <c:pt idx="210">
                  <c:v>-82.889765625851339</c:v>
                </c:pt>
                <c:pt idx="211">
                  <c:v>-82.849090528030757</c:v>
                </c:pt>
                <c:pt idx="212">
                  <c:v>-82.808421793057065</c:v>
                </c:pt>
                <c:pt idx="213">
                  <c:v>-82.76775947924358</c:v>
                </c:pt>
                <c:pt idx="214">
                  <c:v>-82.726293295390377</c:v>
                </c:pt>
                <c:pt idx="215">
                  <c:v>-82.684833912332749</c:v>
                </c:pt>
                <c:pt idx="216">
                  <c:v>-82.643381390507315</c:v>
                </c:pt>
                <c:pt idx="217">
                  <c:v>-82.601935789891812</c:v>
                </c:pt>
                <c:pt idx="218">
                  <c:v>-82.559552397356711</c:v>
                </c:pt>
                <c:pt idx="219">
                  <c:v>-82.517176370753077</c:v>
                </c:pt>
                <c:pt idx="220">
                  <c:v>-82.474807772838517</c:v>
                </c:pt>
                <c:pt idx="221">
                  <c:v>-82.432446665916359</c:v>
                </c:pt>
                <c:pt idx="222">
                  <c:v>-82.38914901087243</c:v>
                </c:pt>
                <c:pt idx="223">
                  <c:v>-82.345859314806432</c:v>
                </c:pt>
                <c:pt idx="224">
                  <c:v>-82.302577642879314</c:v>
                </c:pt>
                <c:pt idx="225">
                  <c:v>-82.259304059801863</c:v>
                </c:pt>
                <c:pt idx="226">
                  <c:v>-82.214960468358299</c:v>
                </c:pt>
                <c:pt idx="227">
                  <c:v>-82.170625510213654</c:v>
                </c:pt>
                <c:pt idx="228">
                  <c:v>-82.126299253635466</c:v>
                </c:pt>
                <c:pt idx="229">
                  <c:v>-82.081981766439597</c:v>
                </c:pt>
                <c:pt idx="230">
                  <c:v>-81.991219202477438</c:v>
                </c:pt>
                <c:pt idx="231">
                  <c:v>-81.945852007484078</c:v>
                </c:pt>
                <c:pt idx="232">
                  <c:v>-81.900494298667553</c:v>
                </c:pt>
                <c:pt idx="233">
                  <c:v>-81.854069749317631</c:v>
                </c:pt>
                <c:pt idx="234">
                  <c:v>-81.807655291105505</c:v>
                </c:pt>
                <c:pt idx="235">
                  <c:v>-81.761250998827521</c:v>
                </c:pt>
                <c:pt idx="236">
                  <c:v>-81.714856946825876</c:v>
                </c:pt>
                <c:pt idx="237">
                  <c:v>-81.667532196953132</c:v>
                </c:pt>
                <c:pt idx="238">
                  <c:v>-81.620218262068263</c:v>
                </c:pt>
                <c:pt idx="239">
                  <c:v>-81.57291521973336</c:v>
                </c:pt>
                <c:pt idx="240">
                  <c:v>-81.525623147059946</c:v>
                </c:pt>
                <c:pt idx="241">
                  <c:v>-81.47713337634454</c:v>
                </c:pt>
                <c:pt idx="242">
                  <c:v>-81.428655306281755</c:v>
                </c:pt>
                <c:pt idx="243">
                  <c:v>-81.380189018636344</c:v>
                </c:pt>
                <c:pt idx="244">
                  <c:v>-81.331734594714931</c:v>
                </c:pt>
                <c:pt idx="245">
                  <c:v>-81.282218733726282</c:v>
                </c:pt>
                <c:pt idx="246">
                  <c:v>-81.232715438464751</c:v>
                </c:pt>
                <c:pt idx="247">
                  <c:v>-81.183224794340802</c:v>
                </c:pt>
                <c:pt idx="248">
                  <c:v>-81.133746886304863</c:v>
                </c:pt>
                <c:pt idx="249">
                  <c:v>-81.083075494180378</c:v>
                </c:pt>
                <c:pt idx="250">
                  <c:v>-81.032417646015844</c:v>
                </c:pt>
                <c:pt idx="251">
                  <c:v>-80.981773431686491</c:v>
                </c:pt>
                <c:pt idx="252">
                  <c:v>-80.931142940599855</c:v>
                </c:pt>
                <c:pt idx="253">
                  <c:v>-80.879455159139226</c:v>
                </c:pt>
                <c:pt idx="254">
                  <c:v>-80.827781874927126</c:v>
                </c:pt>
                <c:pt idx="255">
                  <c:v>-80.776123181712862</c:v>
                </c:pt>
                <c:pt idx="256">
                  <c:v>-80.724479172773201</c:v>
                </c:pt>
                <c:pt idx="257">
                  <c:v>-80.671512593256168</c:v>
                </c:pt>
                <c:pt idx="258">
                  <c:v>-80.618561666111077</c:v>
                </c:pt>
                <c:pt idx="259">
                  <c:v>-80.565626490558742</c:v>
                </c:pt>
                <c:pt idx="260">
                  <c:v>-80.512707165332827</c:v>
                </c:pt>
                <c:pt idx="261">
                  <c:v>-80.458601625338986</c:v>
                </c:pt>
                <c:pt idx="262">
                  <c:v>-80.404512871696468</c:v>
                </c:pt>
                <c:pt idx="263">
                  <c:v>-80.350441008497</c:v>
                </c:pt>
                <c:pt idx="264">
                  <c:v>-80.296386139334714</c:v>
                </c:pt>
                <c:pt idx="265">
                  <c:v>-80.241147722911677</c:v>
                </c:pt>
                <c:pt idx="266">
                  <c:v>-80.18592728155464</c:v>
                </c:pt>
                <c:pt idx="267">
                  <c:v>-80.130724924356386</c:v>
                </c:pt>
                <c:pt idx="268">
                  <c:v>-80.075540759899098</c:v>
                </c:pt>
                <c:pt idx="269">
                  <c:v>-80.01904261474148</c:v>
                </c:pt>
                <c:pt idx="270">
                  <c:v>-79.962563780742641</c:v>
                </c:pt>
                <c:pt idx="271">
                  <c:v>-79.906104372930656</c:v>
                </c:pt>
                <c:pt idx="272">
                  <c:v>-79.849664505804881</c:v>
                </c:pt>
                <c:pt idx="273">
                  <c:v>-79.791913866123309</c:v>
                </c:pt>
                <c:pt idx="274">
                  <c:v>-79.734183940820557</c:v>
                </c:pt>
                <c:pt idx="275">
                  <c:v>-79.676474851016948</c:v>
                </c:pt>
                <c:pt idx="276">
                  <c:v>-79.618786717283882</c:v>
                </c:pt>
                <c:pt idx="277">
                  <c:v>-79.559924022924562</c:v>
                </c:pt>
                <c:pt idx="278">
                  <c:v>-79.501083414929596</c:v>
                </c:pt>
                <c:pt idx="279">
                  <c:v>-79.442265019804239</c:v>
                </c:pt>
                <c:pt idx="280">
                  <c:v>-79.383468963488028</c:v>
                </c:pt>
                <c:pt idx="281">
                  <c:v>-79.323103623846848</c:v>
                </c:pt>
                <c:pt idx="282">
                  <c:v>-79.262762117138806</c:v>
                </c:pt>
                <c:pt idx="283">
                  <c:v>-79.20244457799744</c:v>
                </c:pt>
                <c:pt idx="284">
                  <c:v>-79.142151140456221</c:v>
                </c:pt>
                <c:pt idx="285">
                  <c:v>-79.08069004521407</c:v>
                </c:pt>
                <c:pt idx="286">
                  <c:v>-79.01925429412654</c:v>
                </c:pt>
                <c:pt idx="287">
                  <c:v>-78.957844027451586</c:v>
                </c:pt>
                <c:pt idx="288">
                  <c:v>-78.896459384825491</c:v>
                </c:pt>
                <c:pt idx="289">
                  <c:v>-78.833513980694363</c:v>
                </c:pt>
                <c:pt idx="290">
                  <c:v>-78.770595838855996</c:v>
                </c:pt>
                <c:pt idx="291">
                  <c:v>-78.70770510806355</c:v>
                </c:pt>
                <c:pt idx="292">
                  <c:v>-78.64484193640908</c:v>
                </c:pt>
                <c:pt idx="293">
                  <c:v>-78.580554719961583</c:v>
                </c:pt>
                <c:pt idx="294">
                  <c:v>-78.516296662628562</c:v>
                </c:pt>
                <c:pt idx="295">
                  <c:v>-78.452067920895772</c:v>
                </c:pt>
                <c:pt idx="296">
                  <c:v>-78.387868650548967</c:v>
                </c:pt>
                <c:pt idx="297">
                  <c:v>-78.322249933024864</c:v>
                </c:pt>
                <c:pt idx="298">
                  <c:v>-78.256662360549939</c:v>
                </c:pt>
                <c:pt idx="299">
                  <c:v>-78.191106097474147</c:v>
                </c:pt>
                <c:pt idx="300">
                  <c:v>-78.125581307406833</c:v>
                </c:pt>
                <c:pt idx="301">
                  <c:v>-78.058641875631011</c:v>
                </c:pt>
                <c:pt idx="302">
                  <c:v>-77.99173566585813</c:v>
                </c:pt>
                <c:pt idx="303">
                  <c:v>-77.924862850416375</c:v>
                </c:pt>
                <c:pt idx="304">
                  <c:v>-77.858023600848753</c:v>
                </c:pt>
                <c:pt idx="305">
                  <c:v>-77.789512300072602</c:v>
                </c:pt>
                <c:pt idx="306">
                  <c:v>-77.721036664559776</c:v>
                </c:pt>
                <c:pt idx="307">
                  <c:v>-77.652596876795371</c:v>
                </c:pt>
                <c:pt idx="308">
                  <c:v>-77.584193118418</c:v>
                </c:pt>
                <c:pt idx="309">
                  <c:v>-77.514385265634914</c:v>
                </c:pt>
                <c:pt idx="310">
                  <c:v>-77.444615356780815</c:v>
                </c:pt>
                <c:pt idx="311">
                  <c:v>-77.374883582519857</c:v>
                </c:pt>
                <c:pt idx="312">
                  <c:v>-77.305190132616659</c:v>
                </c:pt>
                <c:pt idx="313">
                  <c:v>-77.233836777761766</c:v>
                </c:pt>
                <c:pt idx="314">
                  <c:v>-77.1625240397955</c:v>
                </c:pt>
                <c:pt idx="315">
                  <c:v>-77.09125211980249</c:v>
                </c:pt>
                <c:pt idx="316">
                  <c:v>-77.02002121789603</c:v>
                </c:pt>
                <c:pt idx="317">
                  <c:v>-76.947137044726261</c:v>
                </c:pt>
                <c:pt idx="318">
                  <c:v>-76.87429628754451</c:v>
                </c:pt>
                <c:pt idx="319">
                  <c:v>-76.801499157965836</c:v>
                </c:pt>
                <c:pt idx="320">
                  <c:v>-76.728745866556849</c:v>
                </c:pt>
                <c:pt idx="321">
                  <c:v>-76.654346235963786</c:v>
                </c:pt>
                <c:pt idx="322">
                  <c:v>-76.579992948965824</c:v>
                </c:pt>
                <c:pt idx="323">
                  <c:v>-76.505686227782107</c:v>
                </c:pt>
                <c:pt idx="324">
                  <c:v>-76.431426293499854</c:v>
                </c:pt>
                <c:pt idx="325">
                  <c:v>-76.355527256662768</c:v>
                </c:pt>
                <c:pt idx="326">
                  <c:v>-76.27967762172085</c:v>
                </c:pt>
                <c:pt idx="327">
                  <c:v>-76.203877621531717</c:v>
                </c:pt>
                <c:pt idx="328">
                  <c:v>-76.12812748773041</c:v>
                </c:pt>
                <c:pt idx="329">
                  <c:v>-76.050616441608611</c:v>
                </c:pt>
                <c:pt idx="330">
                  <c:v>-75.973158164812347</c:v>
                </c:pt>
                <c:pt idx="331">
                  <c:v>-75.895752902048969</c:v>
                </c:pt>
                <c:pt idx="332">
                  <c:v>-75.818400896697611</c:v>
                </c:pt>
                <c:pt idx="333">
                  <c:v>-75.739425388802545</c:v>
                </c:pt>
                <c:pt idx="334">
                  <c:v>-75.660505984482768</c:v>
                </c:pt>
                <c:pt idx="335">
                  <c:v>-75.581642939036939</c:v>
                </c:pt>
                <c:pt idx="336">
                  <c:v>-75.502836506330468</c:v>
                </c:pt>
                <c:pt idx="337">
                  <c:v>-75.422157518427554</c:v>
                </c:pt>
                <c:pt idx="338">
                  <c:v>-75.341538487267044</c:v>
                </c:pt>
                <c:pt idx="339">
                  <c:v>-75.260979681184395</c:v>
                </c:pt>
                <c:pt idx="340">
                  <c:v>-75.180481366950744</c:v>
                </c:pt>
                <c:pt idx="341">
                  <c:v>-75.098120212629198</c:v>
                </c:pt>
                <c:pt idx="342">
                  <c:v>-75.015823040177423</c:v>
                </c:pt>
                <c:pt idx="343">
                  <c:v>-74.93359013089453</c:v>
                </c:pt>
                <c:pt idx="344">
                  <c:v>-74.85142176437229</c:v>
                </c:pt>
                <c:pt idx="345">
                  <c:v>-74.767528522751945</c:v>
                </c:pt>
                <c:pt idx="346">
                  <c:v>-74.68370325429953</c:v>
                </c:pt>
                <c:pt idx="347">
                  <c:v>-74.599946251795913</c:v>
                </c:pt>
                <c:pt idx="348">
                  <c:v>-74.516257806173883</c:v>
                </c:pt>
                <c:pt idx="349">
                  <c:v>-74.430599566577712</c:v>
                </c:pt>
                <c:pt idx="350">
                  <c:v>-74.34501388099234</c:v>
                </c:pt>
                <c:pt idx="351">
                  <c:v>-74.259501056146505</c:v>
                </c:pt>
                <c:pt idx="352">
                  <c:v>-74.174061396745643</c:v>
                </c:pt>
                <c:pt idx="353">
                  <c:v>-74.086663575032716</c:v>
                </c:pt>
                <c:pt idx="354">
                  <c:v>-73.999343084205918</c:v>
                </c:pt>
                <c:pt idx="355">
                  <c:v>-73.912100244685618</c:v>
                </c:pt>
                <c:pt idx="356">
                  <c:v>-73.82493537468082</c:v>
                </c:pt>
                <c:pt idx="357">
                  <c:v>-73.735950974493377</c:v>
                </c:pt>
                <c:pt idx="358">
                  <c:v>-73.647048645385539</c:v>
                </c:pt>
                <c:pt idx="359">
                  <c:v>-73.558228719703123</c:v>
                </c:pt>
                <c:pt idx="360">
                  <c:v>-73.469491527394325</c:v>
                </c:pt>
                <c:pt idx="361">
                  <c:v>-73.378694586298451</c:v>
                </c:pt>
                <c:pt idx="362">
                  <c:v>-73.28798512115813</c:v>
                </c:pt>
                <c:pt idx="363">
                  <c:v>-73.19736347864098</c:v>
                </c:pt>
                <c:pt idx="364">
                  <c:v>-73.106830002789422</c:v>
                </c:pt>
                <c:pt idx="365">
                  <c:v>-73.014376154727657</c:v>
                </c:pt>
                <c:pt idx="366">
                  <c:v>-72.922015154006445</c:v>
                </c:pt>
                <c:pt idx="367">
                  <c:v>-72.829747359633856</c:v>
                </c:pt>
                <c:pt idx="368">
                  <c:v>-72.737573127766765</c:v>
                </c:pt>
                <c:pt idx="369">
                  <c:v>-72.643242026943369</c:v>
                </c:pt>
                <c:pt idx="370">
                  <c:v>-72.549009868575084</c:v>
                </c:pt>
                <c:pt idx="371">
                  <c:v>-72.454877026304715</c:v>
                </c:pt>
                <c:pt idx="372">
                  <c:v>-72.360843870650427</c:v>
                </c:pt>
                <c:pt idx="373">
                  <c:v>-72.264794070128659</c:v>
                </c:pt>
                <c:pt idx="374">
                  <c:v>-72.168849275626968</c:v>
                </c:pt>
                <c:pt idx="375">
                  <c:v>-72.073009873181931</c:v>
                </c:pt>
                <c:pt idx="376">
                  <c:v>-71.977276245430161</c:v>
                </c:pt>
                <c:pt idx="377">
                  <c:v>-71.879293536576768</c:v>
                </c:pt>
                <c:pt idx="378">
                  <c:v>-71.781422682365928</c:v>
                </c:pt>
                <c:pt idx="379">
                  <c:v>-71.683664083350664</c:v>
                </c:pt>
                <c:pt idx="380">
                  <c:v>-71.586018136358049</c:v>
                </c:pt>
                <c:pt idx="381">
                  <c:v>-71.486387670586382</c:v>
                </c:pt>
                <c:pt idx="382">
                  <c:v>-71.38687558254226</c:v>
                </c:pt>
                <c:pt idx="383">
                  <c:v>-71.287482283218381</c:v>
                </c:pt>
                <c:pt idx="384">
                  <c:v>-71.188208179574474</c:v>
                </c:pt>
                <c:pt idx="385">
                  <c:v>-71.086597835996614</c:v>
                </c:pt>
                <c:pt idx="386">
                  <c:v>-70.985113521794261</c:v>
                </c:pt>
                <c:pt idx="387">
                  <c:v>-70.883755661802411</c:v>
                </c:pt>
                <c:pt idx="388">
                  <c:v>-70.782524676438356</c:v>
                </c:pt>
                <c:pt idx="389">
                  <c:v>-70.67909966314545</c:v>
                </c:pt>
                <c:pt idx="390">
                  <c:v>-70.57580829713946</c:v>
                </c:pt>
                <c:pt idx="391">
                  <c:v>-70.47265101418472</c:v>
                </c:pt>
                <c:pt idx="392">
                  <c:v>-70.369628245243916</c:v>
                </c:pt>
                <c:pt idx="393">
                  <c:v>-70.264431249514772</c:v>
                </c:pt>
                <c:pt idx="394">
                  <c:v>-70.159375773515876</c:v>
                </c:pt>
                <c:pt idx="395">
                  <c:v>-70.054462262390828</c:v>
                </c:pt>
                <c:pt idx="396">
                  <c:v>-69.949691156077151</c:v>
                </c:pt>
                <c:pt idx="397">
                  <c:v>-69.842524560705826</c:v>
                </c:pt>
                <c:pt idx="398">
                  <c:v>-69.735508286158975</c:v>
                </c:pt>
                <c:pt idx="399">
                  <c:v>-69.628642788286356</c:v>
                </c:pt>
                <c:pt idx="400">
                  <c:v>-69.521928517258829</c:v>
                </c:pt>
                <c:pt idx="401">
                  <c:v>-69.412962195224708</c:v>
                </c:pt>
                <c:pt idx="402">
                  <c:v>-69.304154938448278</c:v>
                </c:pt>
                <c:pt idx="403">
                  <c:v>-69.195507209945859</c:v>
                </c:pt>
                <c:pt idx="404">
                  <c:v>-69.087019466585957</c:v>
                </c:pt>
                <c:pt idx="405">
                  <c:v>-68.976183167272112</c:v>
                </c:pt>
                <c:pt idx="406">
                  <c:v>-68.86551530361902</c:v>
                </c:pt>
                <c:pt idx="407">
                  <c:v>-68.755016345130173</c:v>
                </c:pt>
                <c:pt idx="408">
                  <c:v>-68.644686754645122</c:v>
                </c:pt>
                <c:pt idx="409">
                  <c:v>-68.531914691670138</c:v>
                </c:pt>
                <c:pt idx="410">
                  <c:v>-68.419321091473023</c:v>
                </c:pt>
                <c:pt idx="411">
                  <c:v>-68.306906429061968</c:v>
                </c:pt>
                <c:pt idx="412">
                  <c:v>-68.194671172214868</c:v>
                </c:pt>
                <c:pt idx="413">
                  <c:v>-68.080020216964996</c:v>
                </c:pt>
                <c:pt idx="414">
                  <c:v>-67.965558049472833</c:v>
                </c:pt>
                <c:pt idx="415">
                  <c:v>-67.851285147461411</c:v>
                </c:pt>
                <c:pt idx="416">
                  <c:v>-67.737201980835707</c:v>
                </c:pt>
                <c:pt idx="417">
                  <c:v>-67.620613547667901</c:v>
                </c:pt>
                <c:pt idx="418">
                  <c:v>-67.504224916381588</c:v>
                </c:pt>
                <c:pt idx="419">
                  <c:v>-67.388036565798629</c:v>
                </c:pt>
                <c:pt idx="420">
                  <c:v>-67.272048966281602</c:v>
                </c:pt>
                <c:pt idx="421">
                  <c:v>-67.153702182665526</c:v>
                </c:pt>
                <c:pt idx="422">
                  <c:v>-67.035566101632966</c:v>
                </c:pt>
                <c:pt idx="423">
                  <c:v>-66.917641198295073</c:v>
                </c:pt>
                <c:pt idx="424">
                  <c:v>-66.799927938679545</c:v>
                </c:pt>
                <c:pt idx="425">
                  <c:v>-66.679538188642482</c:v>
                </c:pt>
                <c:pt idx="426">
                  <c:v>-66.559371587468362</c:v>
                </c:pt>
                <c:pt idx="427">
                  <c:v>-66.439428607026926</c:v>
                </c:pt>
                <c:pt idx="428">
                  <c:v>-66.319709709353759</c:v>
                </c:pt>
                <c:pt idx="429">
                  <c:v>-66.197463084946463</c:v>
                </c:pt>
                <c:pt idx="430">
                  <c:v>-66.075451941763006</c:v>
                </c:pt>
                <c:pt idx="431">
                  <c:v>-65.953676742887851</c:v>
                </c:pt>
                <c:pt idx="432">
                  <c:v>-65.832137940840425</c:v>
                </c:pt>
                <c:pt idx="433">
                  <c:v>-65.708105144376574</c:v>
                </c:pt>
                <c:pt idx="434">
                  <c:v>-65.584320442672265</c:v>
                </c:pt>
                <c:pt idx="435">
                  <c:v>-65.46078428562069</c:v>
                </c:pt>
                <c:pt idx="436">
                  <c:v>-65.337497111807579</c:v>
                </c:pt>
                <c:pt idx="437">
                  <c:v>-65.211524859743747</c:v>
                </c:pt>
                <c:pt idx="438">
                  <c:v>-65.085814516332036</c:v>
                </c:pt>
                <c:pt idx="439">
                  <c:v>-64.960366515894464</c:v>
                </c:pt>
                <c:pt idx="440">
                  <c:v>-64.835181280608566</c:v>
                </c:pt>
                <c:pt idx="441">
                  <c:v>-64.707349382996327</c:v>
                </c:pt>
                <c:pt idx="442">
                  <c:v>-64.579793503798712</c:v>
                </c:pt>
                <c:pt idx="443">
                  <c:v>-64.452514056404112</c:v>
                </c:pt>
                <c:pt idx="444">
                  <c:v>-64.325511441210381</c:v>
                </c:pt>
                <c:pt idx="445">
                  <c:v>-64.195901583905027</c:v>
                </c:pt>
                <c:pt idx="446">
                  <c:v>-64.066582124930349</c:v>
                </c:pt>
                <c:pt idx="447">
                  <c:v>-63.937553451069419</c:v>
                </c:pt>
                <c:pt idx="448">
                  <c:v>-63.808815935267823</c:v>
                </c:pt>
                <c:pt idx="449">
                  <c:v>-63.677291697295253</c:v>
                </c:pt>
                <c:pt idx="450">
                  <c:v>-63.546073504042226</c:v>
                </c:pt>
                <c:pt idx="451">
                  <c:v>-63.415161711481801</c:v>
                </c:pt>
                <c:pt idx="452">
                  <c:v>-63.28455666080945</c:v>
                </c:pt>
                <c:pt idx="453">
                  <c:v>-63.151318257216865</c:v>
                </c:pt>
                <c:pt idx="454">
                  <c:v>-63.018401288063856</c:v>
                </c:pt>
                <c:pt idx="455">
                  <c:v>-62.885806070991102</c:v>
                </c:pt>
                <c:pt idx="456">
                  <c:v>-62.753532907977203</c:v>
                </c:pt>
                <c:pt idx="457">
                  <c:v>-62.618454600816094</c:v>
                </c:pt>
                <c:pt idx="458">
                  <c:v>-62.483714405539907</c:v>
                </c:pt>
                <c:pt idx="459">
                  <c:v>-62.349312595974602</c:v>
                </c:pt>
                <c:pt idx="460">
                  <c:v>-62.215249429314746</c:v>
                </c:pt>
                <c:pt idx="461">
                  <c:v>-62.07842924362928</c:v>
                </c:pt>
                <c:pt idx="462">
                  <c:v>-61.941964075364787</c:v>
                </c:pt>
                <c:pt idx="463">
                  <c:v>-61.805854146911898</c:v>
                </c:pt>
                <c:pt idx="464">
                  <c:v>-61.670099663080059</c:v>
                </c:pt>
                <c:pt idx="465">
                  <c:v>-61.531531667324636</c:v>
                </c:pt>
                <c:pt idx="466">
                  <c:v>-61.393336351295062</c:v>
                </c:pt>
                <c:pt idx="467">
                  <c:v>-61.25551387842826</c:v>
                </c:pt>
                <c:pt idx="468">
                  <c:v>-61.118064393609757</c:v>
                </c:pt>
                <c:pt idx="469">
                  <c:v>-60.977853240875575</c:v>
                </c:pt>
                <c:pt idx="470">
                  <c:v>-60.838032603265845</c:v>
                </c:pt>
                <c:pt idx="471">
                  <c:v>-60.698602576823589</c:v>
                </c:pt>
                <c:pt idx="472">
                  <c:v>-60.559563238109355</c:v>
                </c:pt>
                <c:pt idx="473">
                  <c:v>-60.41760841060087</c:v>
                </c:pt>
                <c:pt idx="474">
                  <c:v>-60.276063254098695</c:v>
                </c:pt>
                <c:pt idx="475">
                  <c:v>-60.134927788676897</c:v>
                </c:pt>
                <c:pt idx="476">
                  <c:v>-59.994202013931663</c:v>
                </c:pt>
                <c:pt idx="477">
                  <c:v>-59.850618119024666</c:v>
                </c:pt>
                <c:pt idx="478">
                  <c:v>-59.707463183088308</c:v>
                </c:pt>
                <c:pt idx="479">
                  <c:v>-59.564737140640872</c:v>
                </c:pt>
                <c:pt idx="480">
                  <c:v>-59.422439904792526</c:v>
                </c:pt>
                <c:pt idx="481">
                  <c:v>-59.277342892403261</c:v>
                </c:pt>
                <c:pt idx="482">
                  <c:v>-59.132694204823906</c:v>
                </c:pt>
                <c:pt idx="483">
                  <c:v>-58.988493681314026</c:v>
                </c:pt>
                <c:pt idx="484">
                  <c:v>-58.84474113887164</c:v>
                </c:pt>
                <c:pt idx="485">
                  <c:v>-58.698148418684561</c:v>
                </c:pt>
                <c:pt idx="486">
                  <c:v>-58.552024048320661</c:v>
                </c:pt>
                <c:pt idx="487">
                  <c:v>-58.406367761472389</c:v>
                </c:pt>
                <c:pt idx="488">
                  <c:v>-58.261179268747924</c:v>
                </c:pt>
                <c:pt idx="489">
                  <c:v>-58.113015873036993</c:v>
                </c:pt>
                <c:pt idx="490">
                  <c:v>-57.965342141417864</c:v>
                </c:pt>
                <c:pt idx="491">
                  <c:v>-57.81815769024243</c:v>
                </c:pt>
                <c:pt idx="492">
                  <c:v>-57.671462111937224</c:v>
                </c:pt>
                <c:pt idx="493">
                  <c:v>-57.521858360633189</c:v>
                </c:pt>
                <c:pt idx="494">
                  <c:v>-57.372765561710672</c:v>
                </c:pt>
                <c:pt idx="495">
                  <c:v>-57.224183203031657</c:v>
                </c:pt>
                <c:pt idx="496">
                  <c:v>-57.07611074781358</c:v>
                </c:pt>
                <c:pt idx="497">
                  <c:v>-56.925101958202205</c:v>
                </c:pt>
                <c:pt idx="498">
                  <c:v>-56.774625991320733</c:v>
                </c:pt>
                <c:pt idx="499">
                  <c:v>-56.624682194256529</c:v>
                </c:pt>
                <c:pt idx="500">
                  <c:v>-56.475269888813067</c:v>
                </c:pt>
                <c:pt idx="501">
                  <c:v>-56.322897213169526</c:v>
                </c:pt>
                <c:pt idx="502">
                  <c:v>-56.17107977731866</c:v>
                </c:pt>
                <c:pt idx="503">
                  <c:v>-56.019816774702171</c:v>
                </c:pt>
                <c:pt idx="504">
                  <c:v>-55.869107372931659</c:v>
                </c:pt>
                <c:pt idx="505">
                  <c:v>-55.715510672640157</c:v>
                </c:pt>
                <c:pt idx="506">
                  <c:v>-55.562491435514389</c:v>
                </c:pt>
                <c:pt idx="507">
                  <c:v>-55.410048689731404</c:v>
                </c:pt>
                <c:pt idx="508">
                  <c:v>-55.258181437270594</c:v>
                </c:pt>
                <c:pt idx="509">
                  <c:v>-55.103408986169306</c:v>
                </c:pt>
                <c:pt idx="510">
                  <c:v>-54.949236662756135</c:v>
                </c:pt>
                <c:pt idx="511">
                  <c:v>-54.795663316671977</c:v>
                </c:pt>
                <c:pt idx="512">
                  <c:v>-54.642687771127228</c:v>
                </c:pt>
                <c:pt idx="513">
                  <c:v>-54.486703038099364</c:v>
                </c:pt>
                <c:pt idx="514">
                  <c:v>-54.331342212071768</c:v>
                </c:pt>
                <c:pt idx="515">
                  <c:v>-54.176603948138492</c:v>
                </c:pt>
                <c:pt idx="516">
                  <c:v>-54.022486874825205</c:v>
                </c:pt>
                <c:pt idx="517">
                  <c:v>-53.865441692097512</c:v>
                </c:pt>
                <c:pt idx="518">
                  <c:v>-53.709043821407732</c:v>
                </c:pt>
                <c:pt idx="519">
                  <c:v>-53.553291711350397</c:v>
                </c:pt>
                <c:pt idx="520">
                  <c:v>-53.398183784050893</c:v>
                </c:pt>
                <c:pt idx="521">
                  <c:v>-53.240141965126654</c:v>
                </c:pt>
                <c:pt idx="522">
                  <c:v>-53.082771145658576</c:v>
                </c:pt>
                <c:pt idx="523">
                  <c:v>-52.926069553565917</c:v>
                </c:pt>
                <c:pt idx="524">
                  <c:v>-52.770035390597172</c:v>
                </c:pt>
                <c:pt idx="525">
                  <c:v>-52.61106550354787</c:v>
                </c:pt>
                <c:pt idx="526">
                  <c:v>-52.452790524483319</c:v>
                </c:pt>
                <c:pt idx="527">
                  <c:v>-52.295208446354884</c:v>
                </c:pt>
                <c:pt idx="528">
                  <c:v>-52.138317236464623</c:v>
                </c:pt>
                <c:pt idx="529">
                  <c:v>-51.978492361358086</c:v>
                </c:pt>
                <c:pt idx="530">
                  <c:v>-51.819386458669833</c:v>
                </c:pt>
                <c:pt idx="531">
                  <c:v>-51.660997272081673</c:v>
                </c:pt>
                <c:pt idx="532">
                  <c:v>-51.503322520389155</c:v>
                </c:pt>
                <c:pt idx="533">
                  <c:v>-51.342637262112667</c:v>
                </c:pt>
                <c:pt idx="534">
                  <c:v>-51.182695893990136</c:v>
                </c:pt>
                <c:pt idx="535">
                  <c:v>-51.023495892311765</c:v>
                </c:pt>
                <c:pt idx="536">
                  <c:v>-50.865034709459707</c:v>
                </c:pt>
                <c:pt idx="537">
                  <c:v>-50.70373734379671</c:v>
                </c:pt>
                <c:pt idx="538">
                  <c:v>-50.543207263134242</c:v>
                </c:pt>
                <c:pt idx="539">
                  <c:v>-50.383441670192639</c:v>
                </c:pt>
                <c:pt idx="540">
                  <c:v>-50.224437745152443</c:v>
                </c:pt>
                <c:pt idx="541">
                  <c:v>-50.062449301058706</c:v>
                </c:pt>
                <c:pt idx="542">
                  <c:v>-49.901253027704946</c:v>
                </c:pt>
                <c:pt idx="543">
                  <c:v>-49.740845832159032</c:v>
                </c:pt>
                <c:pt idx="544">
                  <c:v>-49.581224600526383</c:v>
                </c:pt>
                <c:pt idx="545">
                  <c:v>-49.418716098678232</c:v>
                </c:pt>
                <c:pt idx="546">
                  <c:v>-49.257023736377022</c:v>
                </c:pt>
                <c:pt idx="547">
                  <c:v>-49.096144116103474</c:v>
                </c:pt>
                <c:pt idx="548">
                  <c:v>-48.936073821328179</c:v>
                </c:pt>
                <c:pt idx="549">
                  <c:v>-48.773136508076291</c:v>
                </c:pt>
                <c:pt idx="550">
                  <c:v>-48.611039086222974</c:v>
                </c:pt>
                <c:pt idx="551">
                  <c:v>-48.449777841135578</c:v>
                </c:pt>
                <c:pt idx="552">
                  <c:v>-48.28934904146314</c:v>
                </c:pt>
                <c:pt idx="553">
                  <c:v>-48.126001828647844</c:v>
                </c:pt>
                <c:pt idx="554">
                  <c:v>-47.963518755275956</c:v>
                </c:pt>
                <c:pt idx="555">
                  <c:v>-47.801895772224164</c:v>
                </c:pt>
                <c:pt idx="556">
                  <c:v>-47.641128816272747</c:v>
                </c:pt>
                <c:pt idx="557">
                  <c:v>-47.314704291201316</c:v>
                </c:pt>
                <c:pt idx="558">
                  <c:v>-46.991814208159056</c:v>
                </c:pt>
                <c:pt idx="559">
                  <c:v>-46.665143149827443</c:v>
                </c:pt>
                <c:pt idx="560">
                  <c:v>-46.342095565933839</c:v>
                </c:pt>
                <c:pt idx="561">
                  <c:v>-46.015097129712785</c:v>
                </c:pt>
                <c:pt idx="562">
                  <c:v>-45.69181534849713</c:v>
                </c:pt>
                <c:pt idx="563">
                  <c:v>-45.365390720165081</c:v>
                </c:pt>
                <c:pt idx="564">
                  <c:v>-45.042757499238292</c:v>
                </c:pt>
                <c:pt idx="565">
                  <c:v>-44.71588089821919</c:v>
                </c:pt>
                <c:pt idx="566">
                  <c:v>-44.39289628502398</c:v>
                </c:pt>
                <c:pt idx="567">
                  <c:v>-44.065957025348524</c:v>
                </c:pt>
                <c:pt idx="568">
                  <c:v>-43.743003792136726</c:v>
                </c:pt>
                <c:pt idx="569">
                  <c:v>-43.417645786699978</c:v>
                </c:pt>
                <c:pt idx="570">
                  <c:v>-43.09632944256613</c:v>
                </c:pt>
                <c:pt idx="571">
                  <c:v>-42.770346676135262</c:v>
                </c:pt>
                <c:pt idx="572">
                  <c:v>-42.448517635916161</c:v>
                </c:pt>
                <c:pt idx="573">
                  <c:v>-42.124761487729238</c:v>
                </c:pt>
                <c:pt idx="574">
                  <c:v>-41.805200587182753</c:v>
                </c:pt>
                <c:pt idx="575">
                  <c:v>-41.481561273688342</c:v>
                </c:pt>
                <c:pt idx="576">
                  <c:v>-41.162214249359181</c:v>
                </c:pt>
                <c:pt idx="577">
                  <c:v>-39.856347787871186</c:v>
                </c:pt>
                <c:pt idx="578">
                  <c:v>-38.62164381104698</c:v>
                </c:pt>
                <c:pt idx="579">
                  <c:v>-36.143390059324204</c:v>
                </c:pt>
                <c:pt idx="580">
                  <c:v>-33.741728199591066</c:v>
                </c:pt>
                <c:pt idx="581">
                  <c:v>-31.435843772573911</c:v>
                </c:pt>
                <c:pt idx="582">
                  <c:v>-29.236943296244412</c:v>
                </c:pt>
                <c:pt idx="583">
                  <c:v>-27.156289429536134</c:v>
                </c:pt>
                <c:pt idx="584">
                  <c:v>-25.19903367295808</c:v>
                </c:pt>
                <c:pt idx="585">
                  <c:v>-23.370370825270392</c:v>
                </c:pt>
                <c:pt idx="586">
                  <c:v>-21.671683039324407</c:v>
                </c:pt>
                <c:pt idx="587">
                  <c:v>-20.101892437033342</c:v>
                </c:pt>
                <c:pt idx="588">
                  <c:v>-18.660694203867298</c:v>
                </c:pt>
                <c:pt idx="589">
                  <c:v>-17.343927069023131</c:v>
                </c:pt>
                <c:pt idx="590">
                  <c:v>-16.148346742906845</c:v>
                </c:pt>
                <c:pt idx="591">
                  <c:v>-15.069533595738273</c:v>
                </c:pt>
                <c:pt idx="592">
                  <c:v>-14.103047270231578</c:v>
                </c:pt>
                <c:pt idx="593">
                  <c:v>-13.24398479549726</c:v>
                </c:pt>
                <c:pt idx="594">
                  <c:v>-12.488070601082235</c:v>
                </c:pt>
                <c:pt idx="595">
                  <c:v>-11.830876999317118</c:v>
                </c:pt>
                <c:pt idx="596">
                  <c:v>-11.268600592324088</c:v>
                </c:pt>
                <c:pt idx="597">
                  <c:v>-10.797597659695446</c:v>
                </c:pt>
                <c:pt idx="598">
                  <c:v>-10.414923616325874</c:v>
                </c:pt>
                <c:pt idx="599">
                  <c:v>-10.117925286752584</c:v>
                </c:pt>
                <c:pt idx="600">
                  <c:v>-9.9046370146495359</c:v>
                </c:pt>
              </c:numCache>
            </c:numRef>
          </c:yVal>
          <c:smooth val="0"/>
          <c:extLst>
            <c:ext xmlns:c16="http://schemas.microsoft.com/office/drawing/2014/chart" uri="{C3380CC4-5D6E-409C-BE32-E72D297353CC}">
              <c16:uniqueId val="{00000001-DE72-4EAD-8BDC-71A0CEBE354C}"/>
            </c:ext>
          </c:extLst>
        </c:ser>
        <c:dLbls>
          <c:showLegendKey val="0"/>
          <c:showVal val="0"/>
          <c:showCatName val="0"/>
          <c:showSerName val="0"/>
          <c:showPercent val="0"/>
          <c:showBubbleSize val="0"/>
        </c:dLbls>
        <c:axId val="196945024"/>
        <c:axId val="196946560"/>
      </c:scatterChart>
      <c:valAx>
        <c:axId val="196940928"/>
        <c:scaling>
          <c:logBase val="10"/>
          <c:orientation val="minMax"/>
          <c:max val="1000000"/>
          <c:min val="1"/>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96942848"/>
        <c:crossesAt val="-40"/>
        <c:crossBetween val="midCat"/>
        <c:majorUnit val="10"/>
        <c:minorUnit val="10"/>
      </c:valAx>
      <c:valAx>
        <c:axId val="196942848"/>
        <c:scaling>
          <c:orientation val="minMax"/>
          <c:max val="80"/>
          <c:min val="-8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96940928"/>
        <c:crossesAt val="0.1"/>
        <c:crossBetween val="midCat"/>
        <c:majorUnit val="20"/>
        <c:minorUnit val="4"/>
      </c:valAx>
      <c:valAx>
        <c:axId val="196945024"/>
        <c:scaling>
          <c:logBase val="10"/>
          <c:orientation val="minMax"/>
        </c:scaling>
        <c:delete val="1"/>
        <c:axPos val="t"/>
        <c:numFmt formatCode="General" sourceLinked="1"/>
        <c:majorTickMark val="out"/>
        <c:minorTickMark val="none"/>
        <c:tickLblPos val="none"/>
        <c:crossAx val="196946560"/>
        <c:crossesAt val="0"/>
        <c:crossBetween val="midCat"/>
      </c:valAx>
      <c:valAx>
        <c:axId val="196946560"/>
        <c:scaling>
          <c:orientation val="minMax"/>
          <c:max val="180"/>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9694502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Plant Bode Plot</a:t>
            </a:r>
          </a:p>
        </c:rich>
      </c:tx>
      <c:layout>
        <c:manualLayout>
          <c:xMode val="edge"/>
          <c:yMode val="edge"/>
          <c:x val="0.40864917395529671"/>
          <c:y val="2.1377650374348366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4"/>
          <c:order val="0"/>
          <c:tx>
            <c:strRef>
              <c:f>'IL Stability Calculations'!$BE$12</c:f>
              <c:strCache>
                <c:ptCount val="1"/>
                <c:pt idx="0">
                  <c:v>Gain(dB)</c:v>
                </c:pt>
              </c:strCache>
            </c:strRef>
          </c:tx>
          <c:spPr>
            <a:ln w="25400">
              <a:solidFill>
                <a:srgbClr val="FF0000"/>
              </a:solidFill>
              <a:prstDash val="solid"/>
            </a:ln>
          </c:spPr>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Calculations'!$BE$13:$BE$613</c:f>
              <c:numCache>
                <c:formatCode>0.0000</c:formatCode>
                <c:ptCount val="601"/>
                <c:pt idx="0">
                  <c:v>21.580374480466986</c:v>
                </c:pt>
                <c:pt idx="1">
                  <c:v>21.580374843500188</c:v>
                </c:pt>
                <c:pt idx="2">
                  <c:v>21.580375279926386</c:v>
                </c:pt>
                <c:pt idx="3">
                  <c:v>21.580375804596237</c:v>
                </c:pt>
                <c:pt idx="4">
                  <c:v>21.580376434914903</c:v>
                </c:pt>
                <c:pt idx="5">
                  <c:v>21.580377193463811</c:v>
                </c:pt>
                <c:pt idx="6">
                  <c:v>21.580378105101019</c:v>
                </c:pt>
                <c:pt idx="7">
                  <c:v>21.580379201456378</c:v>
                </c:pt>
                <c:pt idx="8">
                  <c:v>21.580380518995575</c:v>
                </c:pt>
                <c:pt idx="9">
                  <c:v>21.58038210354999</c:v>
                </c:pt>
                <c:pt idx="10">
                  <c:v>21.580384008172999</c:v>
                </c:pt>
                <c:pt idx="11">
                  <c:v>21.580386297797819</c:v>
                </c:pt>
                <c:pt idx="12">
                  <c:v>21.580389051823985</c:v>
                </c:pt>
                <c:pt idx="13">
                  <c:v>21.580392361259896</c:v>
                </c:pt>
                <c:pt idx="14">
                  <c:v>21.580396341245343</c:v>
                </c:pt>
                <c:pt idx="15">
                  <c:v>21.58040112591522</c:v>
                </c:pt>
                <c:pt idx="16">
                  <c:v>21.580406878405753</c:v>
                </c:pt>
                <c:pt idx="17">
                  <c:v>21.580413793430111</c:v>
                </c:pt>
                <c:pt idx="18">
                  <c:v>21.580422108383498</c:v>
                </c:pt>
                <c:pt idx="19">
                  <c:v>21.580432104049553</c:v>
                </c:pt>
                <c:pt idx="20">
                  <c:v>21.58044412256325</c:v>
                </c:pt>
                <c:pt idx="21">
                  <c:v>21.580458570346771</c:v>
                </c:pt>
                <c:pt idx="22">
                  <c:v>21.580475942174601</c:v>
                </c:pt>
                <c:pt idx="23">
                  <c:v>21.580496824630437</c:v>
                </c:pt>
                <c:pt idx="24">
                  <c:v>21.580521933565016</c:v>
                </c:pt>
                <c:pt idx="25">
                  <c:v>21.580552119966022</c:v>
                </c:pt>
                <c:pt idx="26">
                  <c:v>21.580588419630157</c:v>
                </c:pt>
                <c:pt idx="27">
                  <c:v>21.580632056977947</c:v>
                </c:pt>
                <c:pt idx="28">
                  <c:v>21.580684516299225</c:v>
                </c:pt>
                <c:pt idx="29">
                  <c:v>21.5807475371533</c:v>
                </c:pt>
                <c:pt idx="30">
                  <c:v>21.580823376073958</c:v>
                </c:pt>
                <c:pt idx="31">
                  <c:v>21.5809145167526</c:v>
                </c:pt>
                <c:pt idx="32">
                  <c:v>21.581024118932636</c:v>
                </c:pt>
                <c:pt idx="33">
                  <c:v>21.581155824691045</c:v>
                </c:pt>
                <c:pt idx="34">
                  <c:v>21.581314210493048</c:v>
                </c:pt>
                <c:pt idx="35">
                  <c:v>21.581504572186205</c:v>
                </c:pt>
                <c:pt idx="36">
                  <c:v>21.581733389259128</c:v>
                </c:pt>
                <c:pt idx="37">
                  <c:v>21.582008581602725</c:v>
                </c:pt>
                <c:pt idx="38">
                  <c:v>21.582339221435323</c:v>
                </c:pt>
                <c:pt idx="39">
                  <c:v>21.58273678088446</c:v>
                </c:pt>
                <c:pt idx="40">
                  <c:v>21.583214613346293</c:v>
                </c:pt>
                <c:pt idx="41">
                  <c:v>21.583788945379816</c:v>
                </c:pt>
                <c:pt idx="42">
                  <c:v>21.584479122883742</c:v>
                </c:pt>
                <c:pt idx="43">
                  <c:v>21.585308703437811</c:v>
                </c:pt>
                <c:pt idx="44">
                  <c:v>21.586305503686283</c:v>
                </c:pt>
                <c:pt idx="45">
                  <c:v>21.587503357888981</c:v>
                </c:pt>
                <c:pt idx="46">
                  <c:v>21.588942362380692</c:v>
                </c:pt>
                <c:pt idx="47">
                  <c:v>21.59067120401069</c:v>
                </c:pt>
                <c:pt idx="48">
                  <c:v>21.592747404248978</c:v>
                </c:pt>
                <c:pt idx="49">
                  <c:v>21.595240901483361</c:v>
                </c:pt>
                <c:pt idx="50">
                  <c:v>21.598234425740237</c:v>
                </c:pt>
                <c:pt idx="51">
                  <c:v>21.601828129649569</c:v>
                </c:pt>
                <c:pt idx="52">
                  <c:v>21.606139538563703</c:v>
                </c:pt>
                <c:pt idx="53">
                  <c:v>21.611309990284148</c:v>
                </c:pt>
                <c:pt idx="54">
                  <c:v>21.617503321281998</c:v>
                </c:pt>
                <c:pt idx="55">
                  <c:v>21.624930314337792</c:v>
                </c:pt>
                <c:pt idx="56">
                  <c:v>21.633818448706261</c:v>
                </c:pt>
                <c:pt idx="57">
                  <c:v>21.644453329221705</c:v>
                </c:pt>
                <c:pt idx="58">
                  <c:v>21.657156159340666</c:v>
                </c:pt>
                <c:pt idx="59">
                  <c:v>21.672322389048215</c:v>
                </c:pt>
                <c:pt idx="60">
                  <c:v>21.690393747392932</c:v>
                </c:pt>
                <c:pt idx="61">
                  <c:v>21.711892725254955</c:v>
                </c:pt>
                <c:pt idx="62">
                  <c:v>21.737432286912455</c:v>
                </c:pt>
                <c:pt idx="63">
                  <c:v>21.767670116639565</c:v>
                </c:pt>
                <c:pt idx="64">
                  <c:v>21.803397442113294</c:v>
                </c:pt>
                <c:pt idx="65">
                  <c:v>21.845455122752568</c:v>
                </c:pt>
                <c:pt idx="66">
                  <c:v>21.894775531953169</c:v>
                </c:pt>
                <c:pt idx="67">
                  <c:v>21.952340955513321</c:v>
                </c:pt>
                <c:pt idx="68">
                  <c:v>22.019194458233152</c:v>
                </c:pt>
                <c:pt idx="69">
                  <c:v>22.096340974315506</c:v>
                </c:pt>
                <c:pt idx="70">
                  <c:v>22.184760911173626</c:v>
                </c:pt>
                <c:pt idx="71">
                  <c:v>22.28527585479754</c:v>
                </c:pt>
                <c:pt idx="72">
                  <c:v>22.398540717609869</c:v>
                </c:pt>
                <c:pt idx="73">
                  <c:v>22.524863900318138</c:v>
                </c:pt>
                <c:pt idx="74">
                  <c:v>22.664227313380586</c:v>
                </c:pt>
                <c:pt idx="75">
                  <c:v>22.816094048961855</c:v>
                </c:pt>
                <c:pt idx="76">
                  <c:v>22.979461401466917</c:v>
                </c:pt>
                <c:pt idx="77">
                  <c:v>23.152693711017506</c:v>
                </c:pt>
                <c:pt idx="78">
                  <c:v>23.333693472293007</c:v>
                </c:pt>
                <c:pt idx="79">
                  <c:v>23.519804042855739</c:v>
                </c:pt>
                <c:pt idx="80">
                  <c:v>23.708494661801623</c:v>
                </c:pt>
                <c:pt idx="81">
                  <c:v>23.896511312536383</c:v>
                </c:pt>
                <c:pt idx="82">
                  <c:v>24.08102487858066</c:v>
                </c:pt>
                <c:pt idx="83">
                  <c:v>24.259164916182549</c:v>
                </c:pt>
                <c:pt idx="84">
                  <c:v>24.428695634736016</c:v>
                </c:pt>
                <c:pt idx="85">
                  <c:v>24.587622541286514</c:v>
                </c:pt>
                <c:pt idx="86">
                  <c:v>24.734611404342544</c:v>
                </c:pt>
                <c:pt idx="87">
                  <c:v>24.868911946616549</c:v>
                </c:pt>
                <c:pt idx="88">
                  <c:v>24.990080213594773</c:v>
                </c:pt>
                <c:pt idx="89">
                  <c:v>25.098338602886614</c:v>
                </c:pt>
                <c:pt idx="90">
                  <c:v>25.194114976376333</c:v>
                </c:pt>
                <c:pt idx="91">
                  <c:v>25.278153184534471</c:v>
                </c:pt>
                <c:pt idx="92">
                  <c:v>25.351352102038149</c:v>
                </c:pt>
                <c:pt idx="93">
                  <c:v>25.414739293495529</c:v>
                </c:pt>
                <c:pt idx="94">
                  <c:v>25.429167381631235</c:v>
                </c:pt>
                <c:pt idx="95">
                  <c:v>25.436223913043108</c:v>
                </c:pt>
                <c:pt idx="96">
                  <c:v>25.443069337624138</c:v>
                </c:pt>
                <c:pt idx="97">
                  <c:v>25.449863500059795</c:v>
                </c:pt>
                <c:pt idx="98">
                  <c:v>25.456453618613871</c:v>
                </c:pt>
                <c:pt idx="99">
                  <c:v>25.462995246787901</c:v>
                </c:pt>
                <c:pt idx="100">
                  <c:v>25.469339665532349</c:v>
                </c:pt>
                <c:pt idx="101">
                  <c:v>25.475633433917004</c:v>
                </c:pt>
                <c:pt idx="102">
                  <c:v>25.481736895668799</c:v>
                </c:pt>
                <c:pt idx="103">
                  <c:v>25.487796802793149</c:v>
                </c:pt>
                <c:pt idx="104">
                  <c:v>25.493672806823472</c:v>
                </c:pt>
                <c:pt idx="105">
                  <c:v>25.49950311944994</c:v>
                </c:pt>
                <c:pt idx="106">
                  <c:v>25.505156001542339</c:v>
                </c:pt>
                <c:pt idx="107">
                  <c:v>25.51076159387064</c:v>
                </c:pt>
                <c:pt idx="108">
                  <c:v>25.51619625609419</c:v>
                </c:pt>
                <c:pt idx="109">
                  <c:v>25.521586121359615</c:v>
                </c:pt>
                <c:pt idx="110">
                  <c:v>25.526811328575324</c:v>
                </c:pt>
                <c:pt idx="111">
                  <c:v>25.531997401803164</c:v>
                </c:pt>
                <c:pt idx="112">
                  <c:v>25.537024669230949</c:v>
                </c:pt>
                <c:pt idx="113">
                  <c:v>25.542011280399851</c:v>
                </c:pt>
                <c:pt idx="114">
                  <c:v>25.546844965629415</c:v>
                </c:pt>
                <c:pt idx="115">
                  <c:v>25.551639914923051</c:v>
                </c:pt>
                <c:pt idx="116">
                  <c:v>25.556287628620421</c:v>
                </c:pt>
                <c:pt idx="117">
                  <c:v>25.560898380410318</c:v>
                </c:pt>
                <c:pt idx="118">
                  <c:v>25.565367407762913</c:v>
                </c:pt>
                <c:pt idx="119">
                  <c:v>25.569798476409392</c:v>
                </c:pt>
                <c:pt idx="120">
                  <c:v>25.574093323395459</c:v>
                </c:pt>
                <c:pt idx="121">
                  <c:v>25.57835206994352</c:v>
                </c:pt>
                <c:pt idx="122">
                  <c:v>25.582479909110273</c:v>
                </c:pt>
                <c:pt idx="123">
                  <c:v>25.586575717615212</c:v>
                </c:pt>
                <c:pt idx="124">
                  <c:v>25.590545611501515</c:v>
                </c:pt>
                <c:pt idx="125">
                  <c:v>25.594482630166965</c:v>
                </c:pt>
                <c:pt idx="126">
                  <c:v>25.598298714036872</c:v>
                </c:pt>
                <c:pt idx="127">
                  <c:v>25.602083470427264</c:v>
                </c:pt>
                <c:pt idx="128">
                  <c:v>25.605752108023868</c:v>
                </c:pt>
                <c:pt idx="129">
                  <c:v>25.609390885915442</c:v>
                </c:pt>
                <c:pt idx="130">
                  <c:v>25.612918204081119</c:v>
                </c:pt>
                <c:pt idx="131">
                  <c:v>25.616417061590028</c:v>
                </c:pt>
                <c:pt idx="132">
                  <c:v>25.618126093313531</c:v>
                </c:pt>
                <c:pt idx="133">
                  <c:v>25.619808967682069</c:v>
                </c:pt>
                <c:pt idx="134">
                  <c:v>25.621505335807942</c:v>
                </c:pt>
                <c:pt idx="135">
                  <c:v>25.62317546346835</c:v>
                </c:pt>
                <c:pt idx="136">
                  <c:v>25.624819921900123</c:v>
                </c:pt>
                <c:pt idx="137">
                  <c:v>25.626439267304249</c:v>
                </c:pt>
                <c:pt idx="138">
                  <c:v>25.628069967661705</c:v>
                </c:pt>
                <c:pt idx="139">
                  <c:v>25.629675532266806</c:v>
                </c:pt>
                <c:pt idx="140">
                  <c:v>25.631256510251823</c:v>
                </c:pt>
                <c:pt idx="141">
                  <c:v>25.632813436253482</c:v>
                </c:pt>
                <c:pt idx="142">
                  <c:v>25.634382911451567</c:v>
                </c:pt>
                <c:pt idx="143">
                  <c:v>25.635928269690744</c:v>
                </c:pt>
                <c:pt idx="144">
                  <c:v>25.637450040235379</c:v>
                </c:pt>
                <c:pt idx="145">
                  <c:v>25.638948738326949</c:v>
                </c:pt>
                <c:pt idx="146">
                  <c:v>25.640458795268543</c:v>
                </c:pt>
                <c:pt idx="147">
                  <c:v>25.641945746655633</c:v>
                </c:pt>
                <c:pt idx="148">
                  <c:v>25.643410101591574</c:v>
                </c:pt>
                <c:pt idx="149">
                  <c:v>25.644852355649377</c:v>
                </c:pt>
                <c:pt idx="150">
                  <c:v>25.646305586431776</c:v>
                </c:pt>
                <c:pt idx="151">
                  <c:v>25.647736690459951</c:v>
                </c:pt>
                <c:pt idx="152">
                  <c:v>25.649146157223591</c:v>
                </c:pt>
                <c:pt idx="153">
                  <c:v>25.650534463165936</c:v>
                </c:pt>
                <c:pt idx="154">
                  <c:v>25.651934020627941</c:v>
                </c:pt>
                <c:pt idx="155">
                  <c:v>25.653312379183895</c:v>
                </c:pt>
                <c:pt idx="156">
                  <c:v>25.654670009891092</c:v>
                </c:pt>
                <c:pt idx="157">
                  <c:v>25.656007371211807</c:v>
                </c:pt>
                <c:pt idx="158">
                  <c:v>25.657355583191595</c:v>
                </c:pt>
                <c:pt idx="159">
                  <c:v>25.658683496634595</c:v>
                </c:pt>
                <c:pt idx="160">
                  <c:v>25.659991564598545</c:v>
                </c:pt>
                <c:pt idx="161">
                  <c:v>25.66128022799241</c:v>
                </c:pt>
                <c:pt idx="162">
                  <c:v>25.662578799788903</c:v>
                </c:pt>
                <c:pt idx="163">
                  <c:v>25.663857963265073</c:v>
                </c:pt>
                <c:pt idx="164">
                  <c:v>25.665118153351205</c:v>
                </c:pt>
                <c:pt idx="165">
                  <c:v>25.666359793287931</c:v>
                </c:pt>
                <c:pt idx="166">
                  <c:v>25.667612106625235</c:v>
                </c:pt>
                <c:pt idx="167">
                  <c:v>25.668845840837054</c:v>
                </c:pt>
                <c:pt idx="168">
                  <c:v>25.670061414318933</c:v>
                </c:pt>
                <c:pt idx="169">
                  <c:v>25.671259234187531</c:v>
                </c:pt>
                <c:pt idx="170">
                  <c:v>25.672464841083521</c:v>
                </c:pt>
                <c:pt idx="171">
                  <c:v>25.673652748445033</c:v>
                </c:pt>
                <c:pt idx="172">
                  <c:v>25.674823355999834</c:v>
                </c:pt>
                <c:pt idx="173">
                  <c:v>25.675977052692581</c:v>
                </c:pt>
                <c:pt idx="174">
                  <c:v>25.677142674626985</c:v>
                </c:pt>
                <c:pt idx="175">
                  <c:v>25.678291316921573</c:v>
                </c:pt>
                <c:pt idx="176">
                  <c:v>25.679423365604691</c:v>
                </c:pt>
                <c:pt idx="177">
                  <c:v>25.680539196246276</c:v>
                </c:pt>
                <c:pt idx="178">
                  <c:v>25.681666026275721</c:v>
                </c:pt>
                <c:pt idx="179">
                  <c:v>25.682776596854303</c:v>
                </c:pt>
                <c:pt idx="180">
                  <c:v>25.683871279940078</c:v>
                </c:pt>
                <c:pt idx="181">
                  <c:v>25.684950437378419</c:v>
                </c:pt>
                <c:pt idx="182">
                  <c:v>25.686035548502197</c:v>
                </c:pt>
                <c:pt idx="183">
                  <c:v>25.687105236446158</c:v>
                </c:pt>
                <c:pt idx="184">
                  <c:v>25.688159854743006</c:v>
                </c:pt>
                <c:pt idx="185">
                  <c:v>25.689199747323627</c:v>
                </c:pt>
                <c:pt idx="186">
                  <c:v>25.690253200023673</c:v>
                </c:pt>
                <c:pt idx="187">
                  <c:v>25.691291813728441</c:v>
                </c:pt>
                <c:pt idx="188">
                  <c:v>25.69231593181032</c:v>
                </c:pt>
                <c:pt idx="189">
                  <c:v>25.693325888257668</c:v>
                </c:pt>
                <c:pt idx="190">
                  <c:v>25.694340885430375</c:v>
                </c:pt>
                <c:pt idx="191">
                  <c:v>25.695341847169185</c:v>
                </c:pt>
                <c:pt idx="192">
                  <c:v>25.696329098784322</c:v>
                </c:pt>
                <c:pt idx="193">
                  <c:v>25.697302956713909</c:v>
                </c:pt>
                <c:pt idx="194">
                  <c:v>25.698288744296235</c:v>
                </c:pt>
                <c:pt idx="195">
                  <c:v>25.699261074472794</c:v>
                </c:pt>
                <c:pt idx="196">
                  <c:v>25.700220261938075</c:v>
                </c:pt>
                <c:pt idx="197">
                  <c:v>25.701166612762229</c:v>
                </c:pt>
                <c:pt idx="198">
                  <c:v>25.702120735011214</c:v>
                </c:pt>
                <c:pt idx="199">
                  <c:v>25.703062072156406</c:v>
                </c:pt>
                <c:pt idx="200">
                  <c:v>25.703990924685129</c:v>
                </c:pt>
                <c:pt idx="201">
                  <c:v>25.70490758484441</c:v>
                </c:pt>
                <c:pt idx="202">
                  <c:v>25.705831596184588</c:v>
                </c:pt>
                <c:pt idx="203">
                  <c:v>25.70674347822024</c:v>
                </c:pt>
                <c:pt idx="204">
                  <c:v>25.707643517463158</c:v>
                </c:pt>
                <c:pt idx="205">
                  <c:v>25.708531992566396</c:v>
                </c:pt>
                <c:pt idx="206">
                  <c:v>25.70943050473047</c:v>
                </c:pt>
                <c:pt idx="207">
                  <c:v>25.710317447636093</c:v>
                </c:pt>
                <c:pt idx="208">
                  <c:v>25.711193096881622</c:v>
                </c:pt>
                <c:pt idx="209">
                  <c:v>25.712057720482555</c:v>
                </c:pt>
                <c:pt idx="210">
                  <c:v>25.712934744109894</c:v>
                </c:pt>
                <c:pt idx="211">
                  <c:v>25.713800681688031</c:v>
                </c:pt>
                <c:pt idx="212">
                  <c:v>25.714655800394954</c:v>
                </c:pt>
                <c:pt idx="213">
                  <c:v>25.715500360016129</c:v>
                </c:pt>
                <c:pt idx="214">
                  <c:v>25.716351139739789</c:v>
                </c:pt>
                <c:pt idx="215">
                  <c:v>25.717191458636183</c:v>
                </c:pt>
                <c:pt idx="216">
                  <c:v>25.718021570098479</c:v>
                </c:pt>
                <c:pt idx="217">
                  <c:v>25.718841720517464</c:v>
                </c:pt>
                <c:pt idx="218">
                  <c:v>25.719670516834462</c:v>
                </c:pt>
                <c:pt idx="219">
                  <c:v>25.720489392617701</c:v>
                </c:pt>
                <c:pt idx="220">
                  <c:v>25.721298590227541</c:v>
                </c:pt>
                <c:pt idx="221">
                  <c:v>25.72209834531715</c:v>
                </c:pt>
                <c:pt idx="222">
                  <c:v>25.722906407331575</c:v>
                </c:pt>
                <c:pt idx="223">
                  <c:v>25.723705078659023</c:v>
                </c:pt>
                <c:pt idx="224">
                  <c:v>25.724494590728717</c:v>
                </c:pt>
                <c:pt idx="225">
                  <c:v>25.725275168558671</c:v>
                </c:pt>
                <c:pt idx="226">
                  <c:v>25.726066157949163</c:v>
                </c:pt>
                <c:pt idx="227">
                  <c:v>25.726848221115048</c:v>
                </c:pt>
                <c:pt idx="228">
                  <c:v>25.72762158070665</c:v>
                </c:pt>
                <c:pt idx="229">
                  <c:v>25.728386453185269</c:v>
                </c:pt>
                <c:pt idx="230">
                  <c:v>25.729927772952742</c:v>
                </c:pt>
                <c:pt idx="231">
                  <c:v>25.730685950339009</c:v>
                </c:pt>
                <c:pt idx="232">
                  <c:v>25.73143608509249</c:v>
                </c:pt>
                <c:pt idx="233">
                  <c:v>25.732195906808045</c:v>
                </c:pt>
                <c:pt idx="234">
                  <c:v>25.732947721916425</c:v>
                </c:pt>
                <c:pt idx="235">
                  <c:v>25.733691735199283</c:v>
                </c:pt>
                <c:pt idx="236">
                  <c:v>25.734428145713835</c:v>
                </c:pt>
                <c:pt idx="237">
                  <c:v>25.735171862941428</c:v>
                </c:pt>
                <c:pt idx="238">
                  <c:v>25.735908066987857</c:v>
                </c:pt>
                <c:pt idx="239">
                  <c:v>25.736636952043618</c:v>
                </c:pt>
                <c:pt idx="240">
                  <c:v>25.737358706874677</c:v>
                </c:pt>
                <c:pt idx="241">
                  <c:v>25.738091701858281</c:v>
                </c:pt>
                <c:pt idx="242">
                  <c:v>25.738817582763534</c:v>
                </c:pt>
                <c:pt idx="243">
                  <c:v>25.739536536583465</c:v>
                </c:pt>
                <c:pt idx="244">
                  <c:v>25.740248745064733</c:v>
                </c:pt>
                <c:pt idx="245">
                  <c:v>25.740969949252293</c:v>
                </c:pt>
                <c:pt idx="246">
                  <c:v>25.741684473781987</c:v>
                </c:pt>
                <c:pt idx="247">
                  <c:v>25.742392496860145</c:v>
                </c:pt>
                <c:pt idx="248">
                  <c:v>25.743094191686879</c:v>
                </c:pt>
                <c:pt idx="249">
                  <c:v>25.74380661532377</c:v>
                </c:pt>
                <c:pt idx="250">
                  <c:v>25.744512750788175</c:v>
                </c:pt>
                <c:pt idx="251">
                  <c:v>25.745212768983489</c:v>
                </c:pt>
                <c:pt idx="252">
                  <c:v>25.745906835994251</c:v>
                </c:pt>
                <c:pt idx="253">
                  <c:v>25.746609618546369</c:v>
                </c:pt>
                <c:pt idx="254">
                  <c:v>25.747306530705067</c:v>
                </c:pt>
                <c:pt idx="255">
                  <c:v>25.747997734778821</c:v>
                </c:pt>
                <c:pt idx="256">
                  <c:v>25.74868338849635</c:v>
                </c:pt>
                <c:pt idx="257">
                  <c:v>25.749381198012827</c:v>
                </c:pt>
                <c:pt idx="258">
                  <c:v>25.750073488034623</c:v>
                </c:pt>
                <c:pt idx="259">
                  <c:v>25.750760414819382</c:v>
                </c:pt>
                <c:pt idx="260">
                  <c:v>25.751442130191421</c:v>
                </c:pt>
                <c:pt idx="261">
                  <c:v>25.752134102411134</c:v>
                </c:pt>
                <c:pt idx="262">
                  <c:v>25.752820931291971</c:v>
                </c:pt>
                <c:pt idx="263">
                  <c:v>25.753502765794558</c:v>
                </c:pt>
                <c:pt idx="264">
                  <c:v>25.75417975064202</c:v>
                </c:pt>
                <c:pt idx="265">
                  <c:v>25.754866913491071</c:v>
                </c:pt>
                <c:pt idx="266">
                  <c:v>25.755549301612074</c:v>
                </c:pt>
                <c:pt idx="267">
                  <c:v>25.756227056755478</c:v>
                </c:pt>
                <c:pt idx="268">
                  <c:v>25.756900316629277</c:v>
                </c:pt>
                <c:pt idx="269">
                  <c:v>25.757585319143438</c:v>
                </c:pt>
                <c:pt idx="270">
                  <c:v>25.75826588654818</c:v>
                </c:pt>
                <c:pt idx="271">
                  <c:v>25.758942154445105</c:v>
                </c:pt>
                <c:pt idx="272">
                  <c:v>25.759614254549788</c:v>
                </c:pt>
                <c:pt idx="273">
                  <c:v>25.76029802321516</c:v>
                </c:pt>
                <c:pt idx="274">
                  <c:v>25.760977692512057</c:v>
                </c:pt>
                <c:pt idx="275">
                  <c:v>25.761653391871178</c:v>
                </c:pt>
                <c:pt idx="276">
                  <c:v>25.762325246996987</c:v>
                </c:pt>
                <c:pt idx="277">
                  <c:v>25.763007196740627</c:v>
                </c:pt>
                <c:pt idx="278">
                  <c:v>25.763685394477793</c:v>
                </c:pt>
                <c:pt idx="279">
                  <c:v>25.764359962665427</c:v>
                </c:pt>
                <c:pt idx="280">
                  <c:v>25.765031020226388</c:v>
                </c:pt>
                <c:pt idx="281">
                  <c:v>25.765716722162782</c:v>
                </c:pt>
                <c:pt idx="282">
                  <c:v>25.766398964056112</c:v>
                </c:pt>
                <c:pt idx="283">
                  <c:v>25.767077863871645</c:v>
                </c:pt>
                <c:pt idx="284">
                  <c:v>25.767753536138631</c:v>
                </c:pt>
                <c:pt idx="285">
                  <c:v>25.768439364676308</c:v>
                </c:pt>
                <c:pt idx="286">
                  <c:v>25.769122066856823</c:v>
                </c:pt>
                <c:pt idx="287">
                  <c:v>25.769801753820332</c:v>
                </c:pt>
                <c:pt idx="288">
                  <c:v>25.770478533460786</c:v>
                </c:pt>
                <c:pt idx="289">
                  <c:v>25.771169904715229</c:v>
                </c:pt>
                <c:pt idx="290">
                  <c:v>25.771858436329012</c:v>
                </c:pt>
                <c:pt idx="291">
                  <c:v>25.772544234829123</c:v>
                </c:pt>
                <c:pt idx="292">
                  <c:v>25.773227403600941</c:v>
                </c:pt>
                <c:pt idx="293">
                  <c:v>25.773923742935597</c:v>
                </c:pt>
                <c:pt idx="294">
                  <c:v>25.774617538911272</c:v>
                </c:pt>
                <c:pt idx="295">
                  <c:v>25.775308892705105</c:v>
                </c:pt>
                <c:pt idx="296">
                  <c:v>25.775997902487813</c:v>
                </c:pt>
                <c:pt idx="297">
                  <c:v>25.776700150334641</c:v>
                </c:pt>
                <c:pt idx="298">
                  <c:v>25.77740014551706</c:v>
                </c:pt>
                <c:pt idx="299">
                  <c:v>25.778097983891769</c:v>
                </c:pt>
                <c:pt idx="300">
                  <c:v>25.778793758443047</c:v>
                </c:pt>
                <c:pt idx="301">
                  <c:v>25.779502862691185</c:v>
                </c:pt>
                <c:pt idx="302">
                  <c:v>25.780209998582336</c:v>
                </c:pt>
                <c:pt idx="303">
                  <c:v>25.780915256703558</c:v>
                </c:pt>
                <c:pt idx="304">
                  <c:v>25.781618724903005</c:v>
                </c:pt>
                <c:pt idx="305">
                  <c:v>25.782338390023543</c:v>
                </c:pt>
                <c:pt idx="306">
                  <c:v>25.78305635132002</c:v>
                </c:pt>
                <c:pt idx="307">
                  <c:v>25.783772695153409</c:v>
                </c:pt>
                <c:pt idx="308">
                  <c:v>25.784487505237436</c:v>
                </c:pt>
                <c:pt idx="309">
                  <c:v>25.785215880110535</c:v>
                </c:pt>
                <c:pt idx="310">
                  <c:v>25.785942824244344</c:v>
                </c:pt>
                <c:pt idx="311">
                  <c:v>25.786668418768798</c:v>
                </c:pt>
                <c:pt idx="312">
                  <c:v>25.787392742298859</c:v>
                </c:pt>
                <c:pt idx="313">
                  <c:v>25.788133494004207</c:v>
                </c:pt>
                <c:pt idx="314">
                  <c:v>25.788873071229574</c:v>
                </c:pt>
                <c:pt idx="315">
                  <c:v>25.78961155080702</c:v>
                </c:pt>
                <c:pt idx="316">
                  <c:v>25.790349007147718</c:v>
                </c:pt>
                <c:pt idx="317">
                  <c:v>25.79110303714468</c:v>
                </c:pt>
                <c:pt idx="318">
                  <c:v>25.791856145016073</c:v>
                </c:pt>
                <c:pt idx="319">
                  <c:v>25.792608403240621</c:v>
                </c:pt>
                <c:pt idx="320">
                  <c:v>25.793359881971632</c:v>
                </c:pt>
                <c:pt idx="321">
                  <c:v>25.794128100879643</c:v>
                </c:pt>
                <c:pt idx="322">
                  <c:v>25.794895645104599</c:v>
                </c:pt>
                <c:pt idx="323">
                  <c:v>25.795662582737585</c:v>
                </c:pt>
                <c:pt idx="324">
                  <c:v>25.796428979640996</c:v>
                </c:pt>
                <c:pt idx="325">
                  <c:v>25.797212301734302</c:v>
                </c:pt>
                <c:pt idx="326">
                  <c:v>25.797995190761096</c:v>
                </c:pt>
                <c:pt idx="327">
                  <c:v>25.798777710410175</c:v>
                </c:pt>
                <c:pt idx="328">
                  <c:v>25.799559922236778</c:v>
                </c:pt>
                <c:pt idx="329">
                  <c:v>25.800360596826216</c:v>
                </c:pt>
                <c:pt idx="330">
                  <c:v>25.801161072748311</c:v>
                </c:pt>
                <c:pt idx="331">
                  <c:v>25.801961409580937</c:v>
                </c:pt>
                <c:pt idx="332">
                  <c:v>25.802761664850642</c:v>
                </c:pt>
                <c:pt idx="333">
                  <c:v>25.803579261460939</c:v>
                </c:pt>
                <c:pt idx="334">
                  <c:v>25.804396888070059</c:v>
                </c:pt>
                <c:pt idx="335">
                  <c:v>25.805214599823611</c:v>
                </c:pt>
                <c:pt idx="336">
                  <c:v>25.806032449910695</c:v>
                </c:pt>
                <c:pt idx="337">
                  <c:v>25.806870542424321</c:v>
                </c:pt>
                <c:pt idx="338">
                  <c:v>25.807708887137512</c:v>
                </c:pt>
                <c:pt idx="339">
                  <c:v>25.808547535267209</c:v>
                </c:pt>
                <c:pt idx="340">
                  <c:v>25.809386536142675</c:v>
                </c:pt>
                <c:pt idx="341">
                  <c:v>25.810246023917529</c:v>
                </c:pt>
                <c:pt idx="342">
                  <c:v>25.811105980389314</c:v>
                </c:pt>
                <c:pt idx="343">
                  <c:v>25.811966452755378</c:v>
                </c:pt>
                <c:pt idx="344">
                  <c:v>25.812827486395111</c:v>
                </c:pt>
                <c:pt idx="345">
                  <c:v>25.813707921612483</c:v>
                </c:pt>
                <c:pt idx="346">
                  <c:v>25.814589033090623</c:v>
                </c:pt>
                <c:pt idx="347">
                  <c:v>25.815470863737989</c:v>
                </c:pt>
                <c:pt idx="348">
                  <c:v>25.816353454726713</c:v>
                </c:pt>
                <c:pt idx="349">
                  <c:v>25.817258401980332</c:v>
                </c:pt>
                <c:pt idx="350">
                  <c:v>25.818164229235148</c:v>
                </c:pt>
                <c:pt idx="351">
                  <c:v>25.819070975441633</c:v>
                </c:pt>
                <c:pt idx="352">
                  <c:v>25.819978677873294</c:v>
                </c:pt>
                <c:pt idx="353">
                  <c:v>25.820909020132333</c:v>
                </c:pt>
                <c:pt idx="354">
                  <c:v>25.821840438608209</c:v>
                </c:pt>
                <c:pt idx="355">
                  <c:v>25.822772968183735</c:v>
                </c:pt>
                <c:pt idx="356">
                  <c:v>25.823706642125131</c:v>
                </c:pt>
                <c:pt idx="357">
                  <c:v>25.82466188736759</c:v>
                </c:pt>
                <c:pt idx="358">
                  <c:v>25.825618392700122</c:v>
                </c:pt>
                <c:pt idx="359">
                  <c:v>25.826576188711549</c:v>
                </c:pt>
                <c:pt idx="360">
                  <c:v>25.827535304443646</c:v>
                </c:pt>
                <c:pt idx="361">
                  <c:v>25.828519010334684</c:v>
                </c:pt>
                <c:pt idx="362">
                  <c:v>25.829504157444511</c:v>
                </c:pt>
                <c:pt idx="363">
                  <c:v>25.830490772241411</c:v>
                </c:pt>
                <c:pt idx="364">
                  <c:v>25.831478879697588</c:v>
                </c:pt>
                <c:pt idx="365">
                  <c:v>25.832490512365737</c:v>
                </c:pt>
                <c:pt idx="366">
                  <c:v>25.833503752957601</c:v>
                </c:pt>
                <c:pt idx="367">
                  <c:v>25.834518623600879</c:v>
                </c:pt>
                <c:pt idx="368">
                  <c:v>25.835535144987006</c:v>
                </c:pt>
                <c:pt idx="369">
                  <c:v>25.836578258911935</c:v>
                </c:pt>
                <c:pt idx="370">
                  <c:v>25.837623144842262</c:v>
                </c:pt>
                <c:pt idx="371">
                  <c:v>25.838669820623291</c:v>
                </c:pt>
                <c:pt idx="372">
                  <c:v>25.839718302706626</c:v>
                </c:pt>
                <c:pt idx="373">
                  <c:v>25.840792307882797</c:v>
                </c:pt>
                <c:pt idx="374">
                  <c:v>25.841868232249112</c:v>
                </c:pt>
                <c:pt idx="375">
                  <c:v>25.842946089153177</c:v>
                </c:pt>
                <c:pt idx="376">
                  <c:v>25.844025890600406</c:v>
                </c:pt>
                <c:pt idx="377">
                  <c:v>25.845134330140716</c:v>
                </c:pt>
                <c:pt idx="378">
                  <c:v>25.846244832621089</c:v>
                </c:pt>
                <c:pt idx="379">
                  <c:v>25.847357406837812</c:v>
                </c:pt>
                <c:pt idx="380">
                  <c:v>25.84847206028217</c:v>
                </c:pt>
                <c:pt idx="381">
                  <c:v>25.849612853230909</c:v>
                </c:pt>
                <c:pt idx="382">
                  <c:v>25.8507558276639</c:v>
                </c:pt>
                <c:pt idx="383">
                  <c:v>25.851900987602107</c:v>
                </c:pt>
                <c:pt idx="384">
                  <c:v>25.853048335811813</c:v>
                </c:pt>
                <c:pt idx="385">
                  <c:v>25.854226390826067</c:v>
                </c:pt>
                <c:pt idx="386">
                  <c:v>25.855406745923691</c:v>
                </c:pt>
                <c:pt idx="387">
                  <c:v>25.856589400224408</c:v>
                </c:pt>
                <c:pt idx="388">
                  <c:v>25.857774351623718</c:v>
                </c:pt>
                <c:pt idx="389">
                  <c:v>25.858988900244579</c:v>
                </c:pt>
                <c:pt idx="390">
                  <c:v>25.860205844507604</c:v>
                </c:pt>
                <c:pt idx="391">
                  <c:v>25.861425178419552</c:v>
                </c:pt>
                <c:pt idx="392">
                  <c:v>25.862646894800822</c:v>
                </c:pt>
                <c:pt idx="393">
                  <c:v>25.86389850390292</c:v>
                </c:pt>
                <c:pt idx="394">
                  <c:v>25.865152584864354</c:v>
                </c:pt>
                <c:pt idx="395">
                  <c:v>25.866409126388547</c:v>
                </c:pt>
                <c:pt idx="396">
                  <c:v>25.867668116029179</c:v>
                </c:pt>
                <c:pt idx="397">
                  <c:v>25.868960194544893</c:v>
                </c:pt>
                <c:pt idx="398">
                  <c:v>25.870254811503667</c:v>
                </c:pt>
                <c:pt idx="399">
                  <c:v>25.871551949996856</c:v>
                </c:pt>
                <c:pt idx="400">
                  <c:v>25.872851591992728</c:v>
                </c:pt>
                <c:pt idx="401">
                  <c:v>25.874183140259387</c:v>
                </c:pt>
                <c:pt idx="402">
                  <c:v>25.875517264738555</c:v>
                </c:pt>
                <c:pt idx="403">
                  <c:v>25.876853942714956</c:v>
                </c:pt>
                <c:pt idx="404">
                  <c:v>25.878193150381353</c:v>
                </c:pt>
                <c:pt idx="405">
                  <c:v>25.879565991663924</c:v>
                </c:pt>
                <c:pt idx="406">
                  <c:v>25.880941427476053</c:v>
                </c:pt>
                <c:pt idx="407">
                  <c:v>25.882319428969236</c:v>
                </c:pt>
                <c:pt idx="408">
                  <c:v>25.883699966229873</c:v>
                </c:pt>
                <c:pt idx="409">
                  <c:v>25.885115861483349</c:v>
                </c:pt>
                <c:pt idx="410">
                  <c:v>25.886534347558523</c:v>
                </c:pt>
                <c:pt idx="411">
                  <c:v>25.887955389087072</c:v>
                </c:pt>
                <c:pt idx="412">
                  <c:v>25.889378949658564</c:v>
                </c:pt>
                <c:pt idx="413">
                  <c:v>25.890838079909141</c:v>
                </c:pt>
                <c:pt idx="414">
                  <c:v>25.892299767013927</c:v>
                </c:pt>
                <c:pt idx="415">
                  <c:v>25.893763968769704</c:v>
                </c:pt>
                <c:pt idx="416">
                  <c:v>25.895230641954193</c:v>
                </c:pt>
                <c:pt idx="417">
                  <c:v>25.896734569878255</c:v>
                </c:pt>
                <c:pt idx="418">
                  <c:v>25.898240992885636</c:v>
                </c:pt>
                <c:pt idx="419">
                  <c:v>25.899749861471125</c:v>
                </c:pt>
                <c:pt idx="420">
                  <c:v>25.901261125129643</c:v>
                </c:pt>
                <c:pt idx="421">
                  <c:v>25.90280825885651</c:v>
                </c:pt>
                <c:pt idx="422">
                  <c:v>25.904357785070449</c:v>
                </c:pt>
                <c:pt idx="423">
                  <c:v>25.905909646774653</c:v>
                </c:pt>
                <c:pt idx="424">
                  <c:v>25.907463785995681</c:v>
                </c:pt>
                <c:pt idx="425">
                  <c:v>25.909058467476758</c:v>
                </c:pt>
                <c:pt idx="426">
                  <c:v>25.910655413687831</c:v>
                </c:pt>
                <c:pt idx="427">
                  <c:v>25.912254559252524</c:v>
                </c:pt>
                <c:pt idx="428">
                  <c:v>25.913855837831854</c:v>
                </c:pt>
                <c:pt idx="429">
                  <c:v>25.91549617068118</c:v>
                </c:pt>
                <c:pt idx="430">
                  <c:v>25.917138592589609</c:v>
                </c:pt>
                <c:pt idx="431">
                  <c:v>25.918783029561823</c:v>
                </c:pt>
                <c:pt idx="432">
                  <c:v>25.920429406658339</c:v>
                </c:pt>
                <c:pt idx="433">
                  <c:v>25.922114812372484</c:v>
                </c:pt>
                <c:pt idx="434">
                  <c:v>25.923802085248862</c:v>
                </c:pt>
                <c:pt idx="435">
                  <c:v>25.925491142266523</c:v>
                </c:pt>
                <c:pt idx="436">
                  <c:v>25.927181899480335</c:v>
                </c:pt>
                <c:pt idx="437">
                  <c:v>25.928914696672813</c:v>
                </c:pt>
                <c:pt idx="438">
                  <c:v>25.930649095247517</c:v>
                </c:pt>
                <c:pt idx="439">
                  <c:v>25.932385002249863</c:v>
                </c:pt>
                <c:pt idx="440">
                  <c:v>25.934122323815025</c:v>
                </c:pt>
                <c:pt idx="441">
                  <c:v>25.935901522482485</c:v>
                </c:pt>
                <c:pt idx="442">
                  <c:v>25.937682000761733</c:v>
                </c:pt>
                <c:pt idx="443">
                  <c:v>25.939463655267478</c:v>
                </c:pt>
                <c:pt idx="444">
                  <c:v>25.94124638172168</c:v>
                </c:pt>
                <c:pt idx="445">
                  <c:v>25.943070730483004</c:v>
                </c:pt>
                <c:pt idx="446">
                  <c:v>25.944895977193973</c:v>
                </c:pt>
                <c:pt idx="447">
                  <c:v>25.946722007543841</c:v>
                </c:pt>
                <c:pt idx="448">
                  <c:v>25.948548706349321</c:v>
                </c:pt>
                <c:pt idx="449">
                  <c:v>25.950419804901351</c:v>
                </c:pt>
                <c:pt idx="450">
                  <c:v>25.952291357219337</c:v>
                </c:pt>
                <c:pt idx="451">
                  <c:v>25.954163236941067</c:v>
                </c:pt>
                <c:pt idx="452">
                  <c:v>25.956035316848975</c:v>
                </c:pt>
                <c:pt idx="453">
                  <c:v>25.95794976839581</c:v>
                </c:pt>
                <c:pt idx="454">
                  <c:v>25.959864157576153</c:v>
                </c:pt>
                <c:pt idx="455">
                  <c:v>25.961778345735915</c:v>
                </c:pt>
                <c:pt idx="456">
                  <c:v>25.963692193389775</c:v>
                </c:pt>
                <c:pt idx="457">
                  <c:v>25.965650960484055</c:v>
                </c:pt>
                <c:pt idx="458">
                  <c:v>25.96760907231856</c:v>
                </c:pt>
                <c:pt idx="459">
                  <c:v>25.969566376692342</c:v>
                </c:pt>
                <c:pt idx="460">
                  <c:v>25.971522720596944</c:v>
                </c:pt>
                <c:pt idx="461">
                  <c:v>25.973523260860134</c:v>
                </c:pt>
                <c:pt idx="462">
                  <c:v>25.97552246904414</c:v>
                </c:pt>
                <c:pt idx="463">
                  <c:v>25.977520178787934</c:v>
                </c:pt>
                <c:pt idx="464">
                  <c:v>25.97951622295237</c:v>
                </c:pt>
                <c:pt idx="465">
                  <c:v>25.981557149606914</c:v>
                </c:pt>
                <c:pt idx="466">
                  <c:v>25.983595975072511</c:v>
                </c:pt>
                <c:pt idx="467">
                  <c:v>25.985632517814569</c:v>
                </c:pt>
                <c:pt idx="468">
                  <c:v>25.987666595553982</c:v>
                </c:pt>
                <c:pt idx="469">
                  <c:v>25.989744514121309</c:v>
                </c:pt>
                <c:pt idx="470">
                  <c:v>25.991819465406639</c:v>
                </c:pt>
                <c:pt idx="471">
                  <c:v>25.993891252071734</c:v>
                </c:pt>
                <c:pt idx="472">
                  <c:v>25.99595967607587</c:v>
                </c:pt>
                <c:pt idx="473">
                  <c:v>25.998073803672732</c:v>
                </c:pt>
                <c:pt idx="474">
                  <c:v>26.000183983763108</c:v>
                </c:pt>
                <c:pt idx="475">
                  <c:v>26.002290001663248</c:v>
                </c:pt>
                <c:pt idx="476">
                  <c:v>26.004391642033575</c:v>
                </c:pt>
                <c:pt idx="477">
                  <c:v>26.00653754306191</c:v>
                </c:pt>
                <c:pt idx="478">
                  <c:v>26.008678401735143</c:v>
                </c:pt>
                <c:pt idx="479">
                  <c:v>26.010813985342626</c:v>
                </c:pt>
                <c:pt idx="480">
                  <c:v>26.012944060576054</c:v>
                </c:pt>
                <c:pt idx="481">
                  <c:v>26.015116742633349</c:v>
                </c:pt>
                <c:pt idx="482">
                  <c:v>26.017283166881494</c:v>
                </c:pt>
                <c:pt idx="483">
                  <c:v>26.019443081943642</c:v>
                </c:pt>
                <c:pt idx="484">
                  <c:v>26.021596235915659</c:v>
                </c:pt>
                <c:pt idx="485">
                  <c:v>26.023791611339327</c:v>
                </c:pt>
                <c:pt idx="486">
                  <c:v>26.025979376511046</c:v>
                </c:pt>
                <c:pt idx="487">
                  <c:v>26.028159260245211</c:v>
                </c:pt>
                <c:pt idx="488">
                  <c:v>26.030330990912329</c:v>
                </c:pt>
                <c:pt idx="489">
                  <c:v>26.032545733810029</c:v>
                </c:pt>
                <c:pt idx="490">
                  <c:v>26.034751352982056</c:v>
                </c:pt>
                <c:pt idx="491">
                  <c:v>26.036947555682307</c:v>
                </c:pt>
                <c:pt idx="492">
                  <c:v>26.039134048818635</c:v>
                </c:pt>
                <c:pt idx="493">
                  <c:v>26.041361067234181</c:v>
                </c:pt>
                <c:pt idx="494">
                  <c:v>26.043577297030794</c:v>
                </c:pt>
                <c:pt idx="495">
                  <c:v>26.045782423273284</c:v>
                </c:pt>
                <c:pt idx="496">
                  <c:v>26.047976130797075</c:v>
                </c:pt>
                <c:pt idx="497">
                  <c:v>26.05020900156212</c:v>
                </c:pt>
                <c:pt idx="498">
                  <c:v>26.0524292446907</c:v>
                </c:pt>
                <c:pt idx="499">
                  <c:v>26.054636521874954</c:v>
                </c:pt>
                <c:pt idx="500">
                  <c:v>26.056830494716941</c:v>
                </c:pt>
                <c:pt idx="501">
                  <c:v>26.059061878461954</c:v>
                </c:pt>
                <c:pt idx="502">
                  <c:v>26.061278608013478</c:v>
                </c:pt>
                <c:pt idx="503">
                  <c:v>26.063480320523912</c:v>
                </c:pt>
                <c:pt idx="504">
                  <c:v>26.065666653219196</c:v>
                </c:pt>
                <c:pt idx="505">
                  <c:v>26.067886876997068</c:v>
                </c:pt>
                <c:pt idx="506">
                  <c:v>26.070090239304342</c:v>
                </c:pt>
                <c:pt idx="507">
                  <c:v>26.072276352326142</c:v>
                </c:pt>
                <c:pt idx="508">
                  <c:v>26.074444828514004</c:v>
                </c:pt>
                <c:pt idx="509">
                  <c:v>26.076644620691972</c:v>
                </c:pt>
                <c:pt idx="510">
                  <c:v>26.078825134286387</c:v>
                </c:pt>
                <c:pt idx="511">
                  <c:v>26.080985955499361</c:v>
                </c:pt>
                <c:pt idx="512">
                  <c:v>26.083126671025077</c:v>
                </c:pt>
                <c:pt idx="513">
                  <c:v>26.085296887120876</c:v>
                </c:pt>
                <c:pt idx="514">
                  <c:v>26.087445158032875</c:v>
                </c:pt>
                <c:pt idx="515">
                  <c:v>26.089571042280046</c:v>
                </c:pt>
                <c:pt idx="516">
                  <c:v>26.091674099138409</c:v>
                </c:pt>
                <c:pt idx="517">
                  <c:v>26.093801780644917</c:v>
                </c:pt>
                <c:pt idx="518">
                  <c:v>26.095904634302407</c:v>
                </c:pt>
                <c:pt idx="519">
                  <c:v>26.097982190861416</c:v>
                </c:pt>
                <c:pt idx="520">
                  <c:v>26.100033982137099</c:v>
                </c:pt>
                <c:pt idx="521">
                  <c:v>26.102106225324228</c:v>
                </c:pt>
                <c:pt idx="522">
                  <c:v>26.104150505647041</c:v>
                </c:pt>
                <c:pt idx="523">
                  <c:v>26.106166325410037</c:v>
                </c:pt>
                <c:pt idx="524">
                  <c:v>26.108153188338523</c:v>
                </c:pt>
                <c:pt idx="525">
                  <c:v>26.110155716495136</c:v>
                </c:pt>
                <c:pt idx="526">
                  <c:v>26.112126880409967</c:v>
                </c:pt>
                <c:pt idx="527">
                  <c:v>26.114066153445187</c:v>
                </c:pt>
                <c:pt idx="528">
                  <c:v>26.115973010796271</c:v>
                </c:pt>
                <c:pt idx="529">
                  <c:v>26.117890089630414</c:v>
                </c:pt>
                <c:pt idx="530">
                  <c:v>26.119772122806655</c:v>
                </c:pt>
                <c:pt idx="531">
                  <c:v>26.121618554474026</c:v>
                </c:pt>
                <c:pt idx="532">
                  <c:v>26.123428831089079</c:v>
                </c:pt>
                <c:pt idx="533">
                  <c:v>26.125244111267584</c:v>
                </c:pt>
                <c:pt idx="534">
                  <c:v>26.127020330609913</c:v>
                </c:pt>
                <c:pt idx="535">
                  <c:v>26.12875690314867</c:v>
                </c:pt>
                <c:pt idx="536">
                  <c:v>26.130453245774063</c:v>
                </c:pt>
                <c:pt idx="537">
                  <c:v>26.132145886909832</c:v>
                </c:pt>
                <c:pt idx="538">
                  <c:v>26.133795226517353</c:v>
                </c:pt>
                <c:pt idx="539">
                  <c:v>26.1354006506545</c:v>
                </c:pt>
                <c:pt idx="540">
                  <c:v>26.1369615488527</c:v>
                </c:pt>
                <c:pt idx="541">
                  <c:v>26.138512705419814</c:v>
                </c:pt>
                <c:pt idx="542">
                  <c:v>26.14001591610403</c:v>
                </c:pt>
                <c:pt idx="543">
                  <c:v>26.141470537839563</c:v>
                </c:pt>
                <c:pt idx="544">
                  <c:v>26.142875931749266</c:v>
                </c:pt>
                <c:pt idx="545">
                  <c:v>26.144262266998574</c:v>
                </c:pt>
                <c:pt idx="546">
                  <c:v>26.145595728062013</c:v>
                </c:pt>
                <c:pt idx="547">
                  <c:v>26.14687564484306</c:v>
                </c:pt>
                <c:pt idx="548">
                  <c:v>26.148101352236139</c:v>
                </c:pt>
                <c:pt idx="549">
                  <c:v>26.149298607394901</c:v>
                </c:pt>
                <c:pt idx="550">
                  <c:v>26.150437725278309</c:v>
                </c:pt>
                <c:pt idx="551">
                  <c:v>26.151518010430852</c:v>
                </c:pt>
                <c:pt idx="552">
                  <c:v>26.152538773292264</c:v>
                </c:pt>
                <c:pt idx="553">
                  <c:v>26.153521211447433</c:v>
                </c:pt>
                <c:pt idx="554">
                  <c:v>26.154439849504278</c:v>
                </c:pt>
                <c:pt idx="555">
                  <c:v>26.155293967915544</c:v>
                </c:pt>
                <c:pt idx="556">
                  <c:v>26.156082854057164</c:v>
                </c:pt>
                <c:pt idx="557">
                  <c:v>26.157491259054801</c:v>
                </c:pt>
                <c:pt idx="558">
                  <c:v>26.158617443346571</c:v>
                </c:pt>
                <c:pt idx="559">
                  <c:v>26.15947136773628</c:v>
                </c:pt>
                <c:pt idx="560">
                  <c:v>26.160017793062721</c:v>
                </c:pt>
                <c:pt idx="561">
                  <c:v>26.160252447573416</c:v>
                </c:pt>
                <c:pt idx="562">
                  <c:v>26.160152396592991</c:v>
                </c:pt>
                <c:pt idx="563">
                  <c:v>26.159698362940919</c:v>
                </c:pt>
                <c:pt idx="564">
                  <c:v>26.158882555991589</c:v>
                </c:pt>
                <c:pt idx="565">
                  <c:v>26.157664279805665</c:v>
                </c:pt>
                <c:pt idx="566">
                  <c:v>26.156053096822397</c:v>
                </c:pt>
                <c:pt idx="567">
                  <c:v>26.153988421672455</c:v>
                </c:pt>
                <c:pt idx="568">
                  <c:v>26.151498609195379</c:v>
                </c:pt>
                <c:pt idx="569">
                  <c:v>26.148514767886013</c:v>
                </c:pt>
                <c:pt idx="570">
                  <c:v>26.145076211906137</c:v>
                </c:pt>
                <c:pt idx="571">
                  <c:v>26.141063517528806</c:v>
                </c:pt>
                <c:pt idx="572">
                  <c:v>26.136558617736544</c:v>
                </c:pt>
                <c:pt idx="573">
                  <c:v>26.13145546690626</c:v>
                </c:pt>
                <c:pt idx="574">
                  <c:v>26.12582955324833</c:v>
                </c:pt>
                <c:pt idx="575">
                  <c:v>26.119507062778958</c:v>
                </c:pt>
                <c:pt idx="576">
                  <c:v>26.112623072980419</c:v>
                </c:pt>
                <c:pt idx="577">
                  <c:v>26.077151838102182</c:v>
                </c:pt>
                <c:pt idx="578">
                  <c:v>26.031240494726056</c:v>
                </c:pt>
                <c:pt idx="579">
                  <c:v>25.893473666872254</c:v>
                </c:pt>
                <c:pt idx="580">
                  <c:v>25.684162745121458</c:v>
                </c:pt>
                <c:pt idx="581">
                  <c:v>25.389203070927067</c:v>
                </c:pt>
                <c:pt idx="582">
                  <c:v>24.996446901723317</c:v>
                </c:pt>
                <c:pt idx="583">
                  <c:v>24.498324813305601</c:v>
                </c:pt>
                <c:pt idx="584">
                  <c:v>23.891753681962452</c:v>
                </c:pt>
                <c:pt idx="585">
                  <c:v>23.179593957493722</c:v>
                </c:pt>
                <c:pt idx="586">
                  <c:v>22.368704510916729</c:v>
                </c:pt>
                <c:pt idx="587">
                  <c:v>21.468461894347861</c:v>
                </c:pt>
                <c:pt idx="588">
                  <c:v>20.491025325698615</c:v>
                </c:pt>
                <c:pt idx="589">
                  <c:v>19.447161276818573</c:v>
                </c:pt>
                <c:pt idx="590">
                  <c:v>18.34826130887696</c:v>
                </c:pt>
                <c:pt idx="591">
                  <c:v>17.204417796795383</c:v>
                </c:pt>
                <c:pt idx="592">
                  <c:v>16.025091505495094</c:v>
                </c:pt>
                <c:pt idx="593">
                  <c:v>14.818443880261192</c:v>
                </c:pt>
                <c:pt idx="594">
                  <c:v>13.592650566842439</c:v>
                </c:pt>
                <c:pt idx="595">
                  <c:v>12.354783378466539</c:v>
                </c:pt>
                <c:pt idx="596">
                  <c:v>11.111934159816171</c:v>
                </c:pt>
                <c:pt idx="597">
                  <c:v>9.8702115687335858</c:v>
                </c:pt>
                <c:pt idx="598">
                  <c:v>8.6357938814085049</c:v>
                </c:pt>
                <c:pt idx="599">
                  <c:v>7.4136684978158653</c:v>
                </c:pt>
                <c:pt idx="600">
                  <c:v>6.2086728697490106</c:v>
                </c:pt>
              </c:numCache>
            </c:numRef>
          </c:yVal>
          <c:smooth val="1"/>
          <c:extLst>
            <c:ext xmlns:c16="http://schemas.microsoft.com/office/drawing/2014/chart" uri="{C3380CC4-5D6E-409C-BE32-E72D297353CC}">
              <c16:uniqueId val="{00000000-53A4-4D81-854A-9CEFC80A340B}"/>
            </c:ext>
          </c:extLst>
        </c:ser>
        <c:dLbls>
          <c:showLegendKey val="0"/>
          <c:showVal val="0"/>
          <c:showCatName val="0"/>
          <c:showSerName val="0"/>
          <c:showPercent val="0"/>
          <c:showBubbleSize val="0"/>
        </c:dLbls>
        <c:axId val="196940928"/>
        <c:axId val="196942848"/>
      </c:scatterChart>
      <c:scatterChart>
        <c:scatterStyle val="lineMarker"/>
        <c:varyColors val="0"/>
        <c:ser>
          <c:idx val="8"/>
          <c:order val="1"/>
          <c:tx>
            <c:strRef>
              <c:f>'IL Stability Calculations'!$BF$12</c:f>
              <c:strCache>
                <c:ptCount val="1"/>
                <c:pt idx="0">
                  <c:v>Phase(Deg)</c:v>
                </c:pt>
              </c:strCache>
            </c:strRef>
          </c:tx>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Calculations'!$BF$13:$BF$613</c:f>
              <c:numCache>
                <c:formatCode>0.0000</c:formatCode>
                <c:ptCount val="601"/>
                <c:pt idx="0">
                  <c:v>1.6962071573013097E-2</c:v>
                </c:pt>
                <c:pt idx="1">
                  <c:v>1.8598909710708635E-2</c:v>
                </c:pt>
                <c:pt idx="2">
                  <c:v>2.0393494380476929E-2</c:v>
                </c:pt>
                <c:pt idx="3">
                  <c:v>2.2361091196842743E-2</c:v>
                </c:pt>
                <c:pt idx="4">
                  <c:v>2.4516965696842662E-2</c:v>
                </c:pt>
                <c:pt idx="5">
                  <c:v>2.6883168126607626E-2</c:v>
                </c:pt>
                <c:pt idx="6">
                  <c:v>2.9476659985821725E-2</c:v>
                </c:pt>
                <c:pt idx="7">
                  <c:v>3.2321187402701873E-2</c:v>
                </c:pt>
                <c:pt idx="8">
                  <c:v>3.5438800067671833E-2</c:v>
                </c:pt>
                <c:pt idx="9">
                  <c:v>3.885833215369245E-2</c:v>
                </c:pt>
                <c:pt idx="10">
                  <c:v>4.2606921221894696E-2</c:v>
                </c:pt>
                <c:pt idx="11">
                  <c:v>4.671679287849597E-2</c:v>
                </c:pt>
                <c:pt idx="12">
                  <c:v>5.1225260579621103E-2</c:v>
                </c:pt>
                <c:pt idx="13">
                  <c:v>5.6166244462347047E-2</c:v>
                </c:pt>
                <c:pt idx="14">
                  <c:v>6.1585536718808856E-2</c:v>
                </c:pt>
                <c:pt idx="15">
                  <c:v>6.752723170270615E-2</c:v>
                </c:pt>
                <c:pt idx="16">
                  <c:v>7.4042206311097619E-2</c:v>
                </c:pt>
                <c:pt idx="17">
                  <c:v>8.1184726926246079E-2</c:v>
                </c:pt>
                <c:pt idx="18">
                  <c:v>8.9017536958566082E-2</c:v>
                </c:pt>
                <c:pt idx="19">
                  <c:v>9.7605070999462612E-2</c:v>
                </c:pt>
                <c:pt idx="20">
                  <c:v>0.10702193393895726</c:v>
                </c:pt>
                <c:pt idx="21">
                  <c:v>0.11734611429003564</c:v>
                </c:pt>
                <c:pt idx="22">
                  <c:v>0.12866746195294876</c:v>
                </c:pt>
                <c:pt idx="23">
                  <c:v>0.14107920402048732</c:v>
                </c:pt>
                <c:pt idx="24">
                  <c:v>0.1546898124074737</c:v>
                </c:pt>
                <c:pt idx="25">
                  <c:v>0.16961282102058411</c:v>
                </c:pt>
                <c:pt idx="26">
                  <c:v>0.18597868933374151</c:v>
                </c:pt>
                <c:pt idx="27">
                  <c:v>0.2039212234492932</c:v>
                </c:pt>
                <c:pt idx="28">
                  <c:v>0.2235928250970019</c:v>
                </c:pt>
                <c:pt idx="29">
                  <c:v>0.24514581854737624</c:v>
                </c:pt>
                <c:pt idx="30">
                  <c:v>0.2688002537487475</c:v>
                </c:pt>
                <c:pt idx="31">
                  <c:v>0.29472517193022418</c:v>
                </c:pt>
                <c:pt idx="32">
                  <c:v>0.32315725953573976</c:v>
                </c:pt>
                <c:pt idx="33">
                  <c:v>0.35431601135798579</c:v>
                </c:pt>
                <c:pt idx="34">
                  <c:v>0.3884884216820334</c:v>
                </c:pt>
                <c:pt idx="35">
                  <c:v>0.42594411952235428</c:v>
                </c:pt>
                <c:pt idx="36">
                  <c:v>0.467003042470442</c:v>
                </c:pt>
                <c:pt idx="37">
                  <c:v>0.51203524216963148</c:v>
                </c:pt>
                <c:pt idx="38">
                  <c:v>0.56137594569391136</c:v>
                </c:pt>
                <c:pt idx="39">
                  <c:v>0.61547771852718591</c:v>
                </c:pt>
                <c:pt idx="40">
                  <c:v>0.67477454051841024</c:v>
                </c:pt>
                <c:pt idx="41">
                  <c:v>0.73976596246930471</c:v>
                </c:pt>
                <c:pt idx="42">
                  <c:v>0.81098254606702203</c:v>
                </c:pt>
                <c:pt idx="43">
                  <c:v>0.88903567970100028</c:v>
                </c:pt>
                <c:pt idx="44">
                  <c:v>0.9745487305506052</c:v>
                </c:pt>
                <c:pt idx="45">
                  <c:v>1.0682399590644889</c:v>
                </c:pt>
                <c:pt idx="46">
                  <c:v>1.1708528665352442</c:v>
                </c:pt>
                <c:pt idx="47">
                  <c:v>1.2832377955199903</c:v>
                </c:pt>
                <c:pt idx="48">
                  <c:v>1.4062640636752926</c:v>
                </c:pt>
                <c:pt idx="49">
                  <c:v>1.5409330365228193</c:v>
                </c:pt>
                <c:pt idx="50">
                  <c:v>1.6882710213623817</c:v>
                </c:pt>
                <c:pt idx="51">
                  <c:v>1.8494385310355848</c:v>
                </c:pt>
                <c:pt idx="52">
                  <c:v>2.0255859274432866</c:v>
                </c:pt>
                <c:pt idx="53">
                  <c:v>2.2179902176393647</c:v>
                </c:pt>
                <c:pt idx="54">
                  <c:v>2.4278551665298815</c:v>
                </c:pt>
                <c:pt idx="55">
                  <c:v>2.6569473702232407</c:v>
                </c:pt>
                <c:pt idx="56">
                  <c:v>2.9064124026061617</c:v>
                </c:pt>
                <c:pt idx="57">
                  <c:v>3.1778882274123985</c:v>
                </c:pt>
                <c:pt idx="58">
                  <c:v>3.4726393918908305</c:v>
                </c:pt>
                <c:pt idx="59">
                  <c:v>3.7923018460499267</c:v>
                </c:pt>
                <c:pt idx="60">
                  <c:v>4.1380020134980331</c:v>
                </c:pt>
                <c:pt idx="61">
                  <c:v>4.510897770840069</c:v>
                </c:pt>
                <c:pt idx="62">
                  <c:v>4.9120406861742643</c:v>
                </c:pt>
                <c:pt idx="63">
                  <c:v>5.3414776401841753</c:v>
                </c:pt>
                <c:pt idx="64">
                  <c:v>5.7994234411611485</c:v>
                </c:pt>
                <c:pt idx="65">
                  <c:v>6.2848603218336025</c:v>
                </c:pt>
                <c:pt idx="66">
                  <c:v>6.7960366755198889</c:v>
                </c:pt>
                <c:pt idx="67">
                  <c:v>7.3299249639192627</c:v>
                </c:pt>
                <c:pt idx="68">
                  <c:v>7.8823313279219072</c:v>
                </c:pt>
                <c:pt idx="69">
                  <c:v>8.4471327191634664</c:v>
                </c:pt>
                <c:pt idx="70">
                  <c:v>9.0166465426332287</c:v>
                </c:pt>
                <c:pt idx="71">
                  <c:v>9.5810268072831555</c:v>
                </c:pt>
                <c:pt idx="72">
                  <c:v>10.128724678401579</c:v>
                </c:pt>
                <c:pt idx="73">
                  <c:v>10.646159066811032</c:v>
                </c:pt>
                <c:pt idx="74">
                  <c:v>11.118591918410472</c:v>
                </c:pt>
                <c:pt idx="75">
                  <c:v>11.530226511344505</c:v>
                </c:pt>
                <c:pt idx="76">
                  <c:v>11.865355036719638</c:v>
                </c:pt>
                <c:pt idx="77">
                  <c:v>12.108951044275493</c:v>
                </c:pt>
                <c:pt idx="78">
                  <c:v>12.248033103552945</c:v>
                </c:pt>
                <c:pt idx="79">
                  <c:v>12.272486168230774</c:v>
                </c:pt>
                <c:pt idx="80">
                  <c:v>12.175774736705785</c:v>
                </c:pt>
                <c:pt idx="81">
                  <c:v>11.955522631833738</c:v>
                </c:pt>
                <c:pt idx="82">
                  <c:v>11.613431626230714</c:v>
                </c:pt>
                <c:pt idx="83">
                  <c:v>11.155546111512283</c:v>
                </c:pt>
                <c:pt idx="84">
                  <c:v>10.590613682534867</c:v>
                </c:pt>
                <c:pt idx="85">
                  <c:v>9.9304335373533359</c:v>
                </c:pt>
                <c:pt idx="86">
                  <c:v>9.1878422294489557</c:v>
                </c:pt>
                <c:pt idx="87">
                  <c:v>8.3756763217483847</c:v>
                </c:pt>
                <c:pt idx="88">
                  <c:v>7.5074620599476223</c:v>
                </c:pt>
                <c:pt idx="89">
                  <c:v>6.5940154798142201</c:v>
                </c:pt>
                <c:pt idx="90">
                  <c:v>5.6454009106441703</c:v>
                </c:pt>
                <c:pt idx="91">
                  <c:v>4.6692113433160003</c:v>
                </c:pt>
                <c:pt idx="92">
                  <c:v>3.6710757621720482</c:v>
                </c:pt>
                <c:pt idx="93">
                  <c:v>2.654035214208545</c:v>
                </c:pt>
                <c:pt idx="94">
                  <c:v>2.3971463475518271</c:v>
                </c:pt>
                <c:pt idx="95">
                  <c:v>2.2674989732229434</c:v>
                </c:pt>
                <c:pt idx="96">
                  <c:v>2.1390669912078382</c:v>
                </c:pt>
                <c:pt idx="97">
                  <c:v>2.0088892876211055</c:v>
                </c:pt>
                <c:pt idx="98">
                  <c:v>1.879930691626168</c:v>
                </c:pt>
                <c:pt idx="99">
                  <c:v>1.7491845374817492</c:v>
                </c:pt>
                <c:pt idx="100">
                  <c:v>1.6196601937861304</c:v>
                </c:pt>
                <c:pt idx="101">
                  <c:v>1.4884055238241067</c:v>
                </c:pt>
                <c:pt idx="102">
                  <c:v>1.3583725588675248</c:v>
                </c:pt>
                <c:pt idx="103">
                  <c:v>1.2264711426278203</c:v>
                </c:pt>
                <c:pt idx="104">
                  <c:v>1.0957922140839533</c:v>
                </c:pt>
                <c:pt idx="105">
                  <c:v>0.96330126041357855</c:v>
                </c:pt>
                <c:pt idx="106">
                  <c:v>0.83203086739206322</c:v>
                </c:pt>
                <c:pt idx="107">
                  <c:v>0.69900086833185127</c:v>
                </c:pt>
                <c:pt idx="108">
                  <c:v>0.56718697324384015</c:v>
                </c:pt>
                <c:pt idx="109">
                  <c:v>0.4335714747682452</c:v>
                </c:pt>
                <c:pt idx="110">
                  <c:v>0.30116690670358642</c:v>
                </c:pt>
                <c:pt idx="111">
                  <c:v>0.16683096527608532</c:v>
                </c:pt>
                <c:pt idx="112">
                  <c:v>3.3701656432069314E-2</c:v>
                </c:pt>
                <c:pt idx="113">
                  <c:v>-0.1013083738642569</c:v>
                </c:pt>
                <c:pt idx="114">
                  <c:v>-0.23511843674186256</c:v>
                </c:pt>
                <c:pt idx="115">
                  <c:v>-0.37084821865295226</c:v>
                </c:pt>
                <c:pt idx="116">
                  <c:v>-0.50538538467067429</c:v>
                </c:pt>
                <c:pt idx="117">
                  <c:v>-0.64188049274439862</c:v>
                </c:pt>
                <c:pt idx="118">
                  <c:v>-0.77719101045165795</c:v>
                </c:pt>
                <c:pt idx="119">
                  <c:v>-0.91441417410533554</c:v>
                </c:pt>
                <c:pt idx="120">
                  <c:v>-1.0504628385998249</c:v>
                </c:pt>
                <c:pt idx="121">
                  <c:v>-1.1884639519748013</c:v>
                </c:pt>
                <c:pt idx="122">
                  <c:v>-1.325301175730933</c:v>
                </c:pt>
                <c:pt idx="123">
                  <c:v>-1.4642101522052471</c:v>
                </c:pt>
                <c:pt idx="124">
                  <c:v>-1.6019650355540049</c:v>
                </c:pt>
                <c:pt idx="125">
                  <c:v>-1.7417489739584149</c:v>
                </c:pt>
                <c:pt idx="126">
                  <c:v>-1.8803905022151695</c:v>
                </c:pt>
                <c:pt idx="127">
                  <c:v>-2.0210994307526833</c:v>
                </c:pt>
                <c:pt idx="128">
                  <c:v>-2.1606781023928274</c:v>
                </c:pt>
                <c:pt idx="129">
                  <c:v>-2.302362190541162</c:v>
                </c:pt>
                <c:pt idx="130">
                  <c:v>-2.4429286269225967</c:v>
                </c:pt>
                <c:pt idx="131">
                  <c:v>-2.585638243768297</c:v>
                </c:pt>
                <c:pt idx="132">
                  <c:v>-2.656576830317583</c:v>
                </c:pt>
                <c:pt idx="133">
                  <c:v>-2.7272432459898908</c:v>
                </c:pt>
                <c:pt idx="134">
                  <c:v>-2.7993116418081661</c:v>
                </c:pt>
                <c:pt idx="135">
                  <c:v>-2.8711029575997058</c:v>
                </c:pt>
                <c:pt idx="136">
                  <c:v>-2.9426212223062143</c:v>
                </c:pt>
                <c:pt idx="137">
                  <c:v>-3.0138703919135108</c:v>
                </c:pt>
                <c:pt idx="138">
                  <c:v>-3.0864629088429756</c:v>
                </c:pt>
                <c:pt idx="139">
                  <c:v>-3.1587821150455677</c:v>
                </c:pt>
                <c:pt idx="140">
                  <c:v>-3.2308320149546428</c:v>
                </c:pt>
                <c:pt idx="141">
                  <c:v>-3.3026165395725462</c:v>
                </c:pt>
                <c:pt idx="142">
                  <c:v>-3.3758324601058112</c:v>
                </c:pt>
                <c:pt idx="143">
                  <c:v>-3.4487783780034396</c:v>
                </c:pt>
                <c:pt idx="144">
                  <c:v>-3.5214582813837665</c:v>
                </c:pt>
                <c:pt idx="145">
                  <c:v>-3.5938760843022441</c:v>
                </c:pt>
                <c:pt idx="146">
                  <c:v>-3.6677041104947823</c:v>
                </c:pt>
                <c:pt idx="147">
                  <c:v>-3.741265812155635</c:v>
                </c:pt>
                <c:pt idx="148">
                  <c:v>-3.8145651511308789</c:v>
                </c:pt>
                <c:pt idx="149">
                  <c:v>-3.8876060148558915</c:v>
                </c:pt>
                <c:pt idx="150">
                  <c:v>-3.9620721538331463</c:v>
                </c:pt>
                <c:pt idx="151">
                  <c:v>-4.0362757278186931</c:v>
                </c:pt>
                <c:pt idx="152">
                  <c:v>-4.1102206687643115</c:v>
                </c:pt>
                <c:pt idx="153">
                  <c:v>-4.1839108339932451</c:v>
                </c:pt>
                <c:pt idx="154">
                  <c:v>-4.2590758084968314</c:v>
                </c:pt>
                <c:pt idx="155">
                  <c:v>-4.3339818158433356</c:v>
                </c:pt>
                <c:pt idx="156">
                  <c:v>-4.4086327599802821</c:v>
                </c:pt>
                <c:pt idx="157">
                  <c:v>-4.4830324699985855</c:v>
                </c:pt>
                <c:pt idx="158">
                  <c:v>-4.5589213026582982</c:v>
                </c:pt>
                <c:pt idx="159">
                  <c:v>-4.6345548583247647</c:v>
                </c:pt>
                <c:pt idx="160">
                  <c:v>-4.7099370092112052</c:v>
                </c:pt>
                <c:pt idx="161">
                  <c:v>-4.7850715525753511</c:v>
                </c:pt>
                <c:pt idx="162">
                  <c:v>-4.8616759771964082</c:v>
                </c:pt>
                <c:pt idx="163">
                  <c:v>-4.9380291181147511</c:v>
                </c:pt>
                <c:pt idx="164">
                  <c:v>-5.014134807275612</c:v>
                </c:pt>
                <c:pt idx="165">
                  <c:v>-5.0899968018233137</c:v>
                </c:pt>
                <c:pt idx="166">
                  <c:v>-5.1674100954815803</c:v>
                </c:pt>
                <c:pt idx="167">
                  <c:v>-5.2445757293543229</c:v>
                </c:pt>
                <c:pt idx="168">
                  <c:v>-5.3214975019276549</c:v>
                </c:pt>
                <c:pt idx="169">
                  <c:v>-5.3981791368963519</c:v>
                </c:pt>
                <c:pt idx="170">
                  <c:v>-5.4762621734240184</c:v>
                </c:pt>
                <c:pt idx="171">
                  <c:v>-5.5541022780804834</c:v>
                </c:pt>
                <c:pt idx="172">
                  <c:v>-5.6317031889434999</c:v>
                </c:pt>
                <c:pt idx="173">
                  <c:v>-5.7090685700499204</c:v>
                </c:pt>
                <c:pt idx="174">
                  <c:v>-5.7881435872926943</c:v>
                </c:pt>
                <c:pt idx="175">
                  <c:v>-5.866978617714409</c:v>
                </c:pt>
                <c:pt idx="176">
                  <c:v>-5.9455773784666617</c:v>
                </c:pt>
                <c:pt idx="177">
                  <c:v>-6.0239435123978105</c:v>
                </c:pt>
                <c:pt idx="178">
                  <c:v>-6.1039991377422664</c:v>
                </c:pt>
                <c:pt idx="179">
                  <c:v>-6.1838180658495681</c:v>
                </c:pt>
                <c:pt idx="180">
                  <c:v>-6.2634039837335163</c:v>
                </c:pt>
                <c:pt idx="181">
                  <c:v>-6.3427605041075266</c:v>
                </c:pt>
                <c:pt idx="182">
                  <c:v>-6.4234715006385796</c:v>
                </c:pt>
                <c:pt idx="183">
                  <c:v>-6.5039511960431966</c:v>
                </c:pt>
                <c:pt idx="184">
                  <c:v>-6.584203196651746</c:v>
                </c:pt>
                <c:pt idx="185">
                  <c:v>-6.6642310358819543</c:v>
                </c:pt>
                <c:pt idx="186">
                  <c:v>-6.7462258803808588</c:v>
                </c:pt>
                <c:pt idx="187">
                  <c:v>-6.8279914212998216</c:v>
                </c:pt>
                <c:pt idx="188">
                  <c:v>-6.9095312621708667</c:v>
                </c:pt>
                <c:pt idx="189">
                  <c:v>-6.9908489329286487</c:v>
                </c:pt>
                <c:pt idx="190">
                  <c:v>-7.073493477280925</c:v>
                </c:pt>
                <c:pt idx="191">
                  <c:v>-7.1559144671106028</c:v>
                </c:pt>
                <c:pt idx="192">
                  <c:v>-7.2381154138763861</c:v>
                </c:pt>
                <c:pt idx="193">
                  <c:v>-7.3200997571980402</c:v>
                </c:pt>
                <c:pt idx="194">
                  <c:v>-7.4040118401442987</c:v>
                </c:pt>
                <c:pt idx="195">
                  <c:v>-7.4877029282808198</c:v>
                </c:pt>
                <c:pt idx="196">
                  <c:v>-7.571176514476293</c:v>
                </c:pt>
                <c:pt idx="197">
                  <c:v>-7.65443601954449</c:v>
                </c:pt>
                <c:pt idx="198">
                  <c:v>-7.7393010474218675</c:v>
                </c:pt>
                <c:pt idx="199">
                  <c:v>-7.8239495159541619</c:v>
                </c:pt>
                <c:pt idx="200">
                  <c:v>-7.9083848539245674</c:v>
                </c:pt>
                <c:pt idx="201">
                  <c:v>-7.9926104191116201</c:v>
                </c:pt>
                <c:pt idx="202">
                  <c:v>-8.0784276730788687</c:v>
                </c:pt>
                <c:pt idx="203">
                  <c:v>-8.1640329302579353</c:v>
                </c:pt>
                <c:pt idx="204">
                  <c:v>-8.2494295508731934</c:v>
                </c:pt>
                <c:pt idx="205">
                  <c:v>-8.3346208253447429</c:v>
                </c:pt>
                <c:pt idx="206">
                  <c:v>-8.4216876228356252</c:v>
                </c:pt>
                <c:pt idx="207">
                  <c:v>-8.5085456736473724</c:v>
                </c:pt>
                <c:pt idx="208">
                  <c:v>-8.5951982991987848</c:v>
                </c:pt>
                <c:pt idx="209">
                  <c:v>-8.6816487515058629</c:v>
                </c:pt>
                <c:pt idx="210">
                  <c:v>-8.7702524426633577</c:v>
                </c:pt>
                <c:pt idx="211">
                  <c:v>-8.8586495099521496</c:v>
                </c:pt>
                <c:pt idx="212">
                  <c:v>-8.9468432617837887</c:v>
                </c:pt>
                <c:pt idx="213">
                  <c:v>-9.0348369368620602</c:v>
                </c:pt>
                <c:pt idx="214">
                  <c:v>-9.1243818273978228</c:v>
                </c:pt>
                <c:pt idx="215">
                  <c:v>-9.2137251767033685</c:v>
                </c:pt>
                <c:pt idx="216">
                  <c:v>-9.3028702082840802</c:v>
                </c:pt>
                <c:pt idx="217">
                  <c:v>-9.3918200776616416</c:v>
                </c:pt>
                <c:pt idx="218">
                  <c:v>-9.4825994517393255</c:v>
                </c:pt>
                <c:pt idx="219">
                  <c:v>-9.5731811293705285</c:v>
                </c:pt>
                <c:pt idx="220">
                  <c:v>-9.6635682773681797</c:v>
                </c:pt>
                <c:pt idx="221">
                  <c:v>-9.7537639955169375</c:v>
                </c:pt>
                <c:pt idx="222">
                  <c:v>-9.8457757271488138</c:v>
                </c:pt>
                <c:pt idx="223">
                  <c:v>-9.9375937430115471</c:v>
                </c:pt>
                <c:pt idx="224">
                  <c:v>-10.029221148690915</c:v>
                </c:pt>
                <c:pt idx="225">
                  <c:v>-10.120660983849039</c:v>
                </c:pt>
                <c:pt idx="226">
                  <c:v>-10.214188165486567</c:v>
                </c:pt>
                <c:pt idx="227">
                  <c:v>-10.307524571427846</c:v>
                </c:pt>
                <c:pt idx="228">
                  <c:v>-10.400673269757798</c:v>
                </c:pt>
                <c:pt idx="229">
                  <c:v>-10.493637263087205</c:v>
                </c:pt>
                <c:pt idx="230">
                  <c:v>-10.68352182161663</c:v>
                </c:pt>
                <c:pt idx="231">
                  <c:v>-10.778185691226321</c:v>
                </c:pt>
                <c:pt idx="232">
                  <c:v>-10.872667922026174</c:v>
                </c:pt>
                <c:pt idx="233">
                  <c:v>-10.969207920289819</c:v>
                </c:pt>
                <c:pt idx="234">
                  <c:v>-11.065563629681208</c:v>
                </c:pt>
                <c:pt idx="235">
                  <c:v>-11.161738025281814</c:v>
                </c:pt>
                <c:pt idx="236">
                  <c:v>-11.257734018153499</c:v>
                </c:pt>
                <c:pt idx="237">
                  <c:v>-11.355496842253318</c:v>
                </c:pt>
                <c:pt idx="238">
                  <c:v>-11.453079876474241</c:v>
                </c:pt>
                <c:pt idx="239">
                  <c:v>-11.550486017319162</c:v>
                </c:pt>
                <c:pt idx="240">
                  <c:v>-11.647718098938327</c:v>
                </c:pt>
                <c:pt idx="241">
                  <c:v>-11.747258341276236</c:v>
                </c:pt>
                <c:pt idx="242">
                  <c:v>-11.846621353734008</c:v>
                </c:pt>
                <c:pt idx="243">
                  <c:v>-11.94580999973426</c:v>
                </c:pt>
                <c:pt idx="244">
                  <c:v>-12.044827080727705</c:v>
                </c:pt>
                <c:pt idx="245">
                  <c:v>-12.14586398943073</c:v>
                </c:pt>
                <c:pt idx="246">
                  <c:v>-12.24672737260982</c:v>
                </c:pt>
                <c:pt idx="247">
                  <c:v>-12.347420031855194</c:v>
                </c:pt>
                <c:pt idx="248">
                  <c:v>-12.447944708003904</c:v>
                </c:pt>
                <c:pt idx="249">
                  <c:v>-12.550749829577594</c:v>
                </c:pt>
                <c:pt idx="250">
                  <c:v>-12.653384307788839</c:v>
                </c:pt>
                <c:pt idx="251">
                  <c:v>-12.755850901037</c:v>
                </c:pt>
                <c:pt idx="252">
                  <c:v>-12.858152307665817</c:v>
                </c:pt>
                <c:pt idx="253">
                  <c:v>-12.962451098982147</c:v>
                </c:pt>
                <c:pt idx="254">
                  <c:v>-13.066583140105296</c:v>
                </c:pt>
                <c:pt idx="255">
                  <c:v>-13.170551120660287</c:v>
                </c:pt>
                <c:pt idx="256">
                  <c:v>-13.274357671666232</c:v>
                </c:pt>
                <c:pt idx="257">
                  <c:v>-13.380688452249201</c:v>
                </c:pt>
                <c:pt idx="258">
                  <c:v>-13.486854758055571</c:v>
                </c:pt>
                <c:pt idx="259">
                  <c:v>-13.59285924776427</c:v>
                </c:pt>
                <c:pt idx="260">
                  <c:v>-13.698704521812111</c:v>
                </c:pt>
                <c:pt idx="261">
                  <c:v>-13.806793336418881</c:v>
                </c:pt>
                <c:pt idx="262">
                  <c:v>-13.914720938015574</c:v>
                </c:pt>
                <c:pt idx="263">
                  <c:v>-14.022489929370815</c:v>
                </c:pt>
                <c:pt idx="264">
                  <c:v>-14.130102856111925</c:v>
                </c:pt>
                <c:pt idx="265">
                  <c:v>-14.239948468307144</c:v>
                </c:pt>
                <c:pt idx="266">
                  <c:v>-14.349636205621428</c:v>
                </c:pt>
                <c:pt idx="267">
                  <c:v>-14.459168611865749</c:v>
                </c:pt>
                <c:pt idx="268">
                  <c:v>-14.568548174911964</c:v>
                </c:pt>
                <c:pt idx="269">
                  <c:v>-14.680413873094979</c:v>
                </c:pt>
                <c:pt idx="270">
                  <c:v>-14.792124363851894</c:v>
                </c:pt>
                <c:pt idx="271">
                  <c:v>-14.903682146972459</c:v>
                </c:pt>
                <c:pt idx="272">
                  <c:v>-15.015089667085615</c:v>
                </c:pt>
                <c:pt idx="273">
                  <c:v>-15.128971597692768</c:v>
                </c:pt>
                <c:pt idx="274">
                  <c:v>-15.242701106168132</c:v>
                </c:pt>
                <c:pt idx="275">
                  <c:v>-15.356280644228663</c:v>
                </c:pt>
                <c:pt idx="276">
                  <c:v>-15.469712609335009</c:v>
                </c:pt>
                <c:pt idx="277">
                  <c:v>-15.585347089672974</c:v>
                </c:pt>
                <c:pt idx="278">
                  <c:v>-15.700832694196796</c:v>
                </c:pt>
                <c:pt idx="279">
                  <c:v>-15.816171807066866</c:v>
                </c:pt>
                <c:pt idx="280">
                  <c:v>-15.931366759676292</c:v>
                </c:pt>
                <c:pt idx="281">
                  <c:v>-16.049534441250334</c:v>
                </c:pt>
                <c:pt idx="282">
                  <c:v>-16.167554867314923</c:v>
                </c:pt>
                <c:pt idx="283">
                  <c:v>-16.285430399358422</c:v>
                </c:pt>
                <c:pt idx="284">
                  <c:v>-16.403163346277459</c:v>
                </c:pt>
                <c:pt idx="285">
                  <c:v>-16.523080573433386</c:v>
                </c:pt>
                <c:pt idx="286">
                  <c:v>-16.642854207787586</c:v>
                </c:pt>
                <c:pt idx="287">
                  <c:v>-16.7624865380598</c:v>
                </c:pt>
                <c:pt idx="288">
                  <c:v>-16.881979802040689</c:v>
                </c:pt>
                <c:pt idx="289">
                  <c:v>-17.004421194582807</c:v>
                </c:pt>
                <c:pt idx="290">
                  <c:v>-17.12672084715679</c:v>
                </c:pt>
                <c:pt idx="291">
                  <c:v>-17.248881017592261</c:v>
                </c:pt>
                <c:pt idx="292">
                  <c:v>-17.370903913221049</c:v>
                </c:pt>
                <c:pt idx="293">
                  <c:v>-17.495606846261403</c:v>
                </c:pt>
                <c:pt idx="294">
                  <c:v>-17.620170605038208</c:v>
                </c:pt>
                <c:pt idx="295">
                  <c:v>-17.744597398204927</c:v>
                </c:pt>
                <c:pt idx="296">
                  <c:v>-17.8688893848975</c:v>
                </c:pt>
                <c:pt idx="297">
                  <c:v>-17.995851579091138</c:v>
                </c:pt>
                <c:pt idx="298">
                  <c:v>-18.122677222057131</c:v>
                </c:pt>
                <c:pt idx="299">
                  <c:v>-18.249368470595069</c:v>
                </c:pt>
                <c:pt idx="300">
                  <c:v>-18.375927433055601</c:v>
                </c:pt>
                <c:pt idx="301">
                  <c:v>-18.505147318726834</c:v>
                </c:pt>
                <c:pt idx="302">
                  <c:v>-18.634233314308901</c:v>
                </c:pt>
                <c:pt idx="303">
                  <c:v>-18.763187522535752</c:v>
                </c:pt>
                <c:pt idx="304">
                  <c:v>-18.892011998835958</c:v>
                </c:pt>
                <c:pt idx="305">
                  <c:v>-19.023994047889087</c:v>
                </c:pt>
                <c:pt idx="306">
                  <c:v>-19.155843885242231</c:v>
                </c:pt>
                <c:pt idx="307">
                  <c:v>-19.287563581223409</c:v>
                </c:pt>
                <c:pt idx="308">
                  <c:v>-19.419155159352119</c:v>
                </c:pt>
                <c:pt idx="309">
                  <c:v>-19.553389599134988</c:v>
                </c:pt>
                <c:pt idx="310">
                  <c:v>-19.687494584720547</c:v>
                </c:pt>
                <c:pt idx="311">
                  <c:v>-19.821472127387604</c:v>
                </c:pt>
                <c:pt idx="312">
                  <c:v>-19.955324192909892</c:v>
                </c:pt>
                <c:pt idx="313">
                  <c:v>-20.092312846174391</c:v>
                </c:pt>
                <c:pt idx="314">
                  <c:v>-20.229173861772058</c:v>
                </c:pt>
                <c:pt idx="315">
                  <c:v>-20.365909212367537</c:v>
                </c:pt>
                <c:pt idx="316">
                  <c:v>-20.50252082581504</c:v>
                </c:pt>
                <c:pt idx="317">
                  <c:v>-20.642258872656026</c:v>
                </c:pt>
                <c:pt idx="318">
                  <c:v>-20.781871170939191</c:v>
                </c:pt>
                <c:pt idx="319">
                  <c:v>-20.921359651481261</c:v>
                </c:pt>
                <c:pt idx="320">
                  <c:v>-21.060726201082055</c:v>
                </c:pt>
                <c:pt idx="321">
                  <c:v>-21.203209539279886</c:v>
                </c:pt>
                <c:pt idx="322">
                  <c:v>-21.345569070537557</c:v>
                </c:pt>
                <c:pt idx="323">
                  <c:v>-21.487806681049857</c:v>
                </c:pt>
                <c:pt idx="324">
                  <c:v>-21.629924213877938</c:v>
                </c:pt>
                <c:pt idx="325">
                  <c:v>-21.775149365235478</c:v>
                </c:pt>
                <c:pt idx="326">
                  <c:v>-21.920252685178404</c:v>
                </c:pt>
                <c:pt idx="327">
                  <c:v>-22.065236012939632</c:v>
                </c:pt>
                <c:pt idx="328">
                  <c:v>-22.210101145575802</c:v>
                </c:pt>
                <c:pt idx="329">
                  <c:v>-22.358312498064059</c:v>
                </c:pt>
                <c:pt idx="330">
                  <c:v>-22.506403613308649</c:v>
                </c:pt>
                <c:pt idx="331">
                  <c:v>-22.65437629053935</c:v>
                </c:pt>
                <c:pt idx="332">
                  <c:v>-22.802232287556183</c:v>
                </c:pt>
                <c:pt idx="333">
                  <c:v>-22.953178459645176</c:v>
                </c:pt>
                <c:pt idx="334">
                  <c:v>-23.104006414267971</c:v>
                </c:pt>
                <c:pt idx="335">
                  <c:v>-23.254717899494739</c:v>
                </c:pt>
                <c:pt idx="336">
                  <c:v>-23.405314623056146</c:v>
                </c:pt>
                <c:pt idx="337">
                  <c:v>-23.559485171709486</c:v>
                </c:pt>
                <c:pt idx="338">
                  <c:v>-23.713538768034493</c:v>
                </c:pt>
                <c:pt idx="339">
                  <c:v>-23.86747712390094</c:v>
                </c:pt>
                <c:pt idx="340">
                  <c:v>-24.021301911473365</c:v>
                </c:pt>
                <c:pt idx="341">
                  <c:v>-24.178690747584081</c:v>
                </c:pt>
                <c:pt idx="342">
                  <c:v>-24.335963941865419</c:v>
                </c:pt>
                <c:pt idx="343">
                  <c:v>-24.493123167069115</c:v>
                </c:pt>
                <c:pt idx="344">
                  <c:v>-24.650170056962391</c:v>
                </c:pt>
                <c:pt idx="345">
                  <c:v>-24.810527269066881</c:v>
                </c:pt>
                <c:pt idx="346">
                  <c:v>-24.97077052199089</c:v>
                </c:pt>
                <c:pt idx="347">
                  <c:v>-25.130901439509429</c:v>
                </c:pt>
                <c:pt idx="348">
                  <c:v>-25.290921607439873</c:v>
                </c:pt>
                <c:pt idx="349">
                  <c:v>-25.454731490820024</c:v>
                </c:pt>
                <c:pt idx="350">
                  <c:v>-25.618428407548027</c:v>
                </c:pt>
                <c:pt idx="351">
                  <c:v>-25.782013945220953</c:v>
                </c:pt>
                <c:pt idx="352">
                  <c:v>-25.945489654106012</c:v>
                </c:pt>
                <c:pt idx="353">
                  <c:v>-26.112745440101012</c:v>
                </c:pt>
                <c:pt idx="354">
                  <c:v>-26.279889278289637</c:v>
                </c:pt>
                <c:pt idx="355">
                  <c:v>-26.446922717399669</c:v>
                </c:pt>
                <c:pt idx="356">
                  <c:v>-26.613847269538326</c:v>
                </c:pt>
                <c:pt idx="357">
                  <c:v>-26.784300227305774</c:v>
                </c:pt>
                <c:pt idx="358">
                  <c:v>-26.954642577702892</c:v>
                </c:pt>
                <c:pt idx="359">
                  <c:v>-27.124875821941345</c:v>
                </c:pt>
                <c:pt idx="360">
                  <c:v>-27.295001425587706</c:v>
                </c:pt>
                <c:pt idx="361">
                  <c:v>-27.469130938106261</c:v>
                </c:pt>
                <c:pt idx="362">
                  <c:v>-27.643150542591687</c:v>
                </c:pt>
                <c:pt idx="363">
                  <c:v>-27.817061703655245</c:v>
                </c:pt>
                <c:pt idx="364">
                  <c:v>-27.990865850895844</c:v>
                </c:pt>
                <c:pt idx="365">
                  <c:v>-28.168423158064464</c:v>
                </c:pt>
                <c:pt idx="366">
                  <c:v>-28.345871555495808</c:v>
                </c:pt>
                <c:pt idx="367">
                  <c:v>-28.523212463032646</c:v>
                </c:pt>
                <c:pt idx="368">
                  <c:v>-28.700447266388604</c:v>
                </c:pt>
                <c:pt idx="369">
                  <c:v>-28.881908002031391</c:v>
                </c:pt>
                <c:pt idx="370">
                  <c:v>-29.063260218644071</c:v>
                </c:pt>
                <c:pt idx="371">
                  <c:v>-29.24450530083206</c:v>
                </c:pt>
                <c:pt idx="372">
                  <c:v>-29.425644599645917</c:v>
                </c:pt>
                <c:pt idx="373">
                  <c:v>-29.610759926610285</c:v>
                </c:pt>
                <c:pt idx="374">
                  <c:v>-29.795767400153721</c:v>
                </c:pt>
                <c:pt idx="375">
                  <c:v>-29.980668361956671</c:v>
                </c:pt>
                <c:pt idx="376">
                  <c:v>-30.1654641209613</c:v>
                </c:pt>
                <c:pt idx="377">
                  <c:v>-30.354706072889886</c:v>
                </c:pt>
                <c:pt idx="378">
                  <c:v>-30.543840253942204</c:v>
                </c:pt>
                <c:pt idx="379">
                  <c:v>-30.732867971180589</c:v>
                </c:pt>
                <c:pt idx="380">
                  <c:v>-30.921790499465665</c:v>
                </c:pt>
                <c:pt idx="381">
                  <c:v>-31.114671133622743</c:v>
                </c:pt>
                <c:pt idx="382">
                  <c:v>-31.307444593341746</c:v>
                </c:pt>
                <c:pt idx="383">
                  <c:v>-31.500112139230509</c:v>
                </c:pt>
                <c:pt idx="384">
                  <c:v>-31.692675000607668</c:v>
                </c:pt>
                <c:pt idx="385">
                  <c:v>-31.889902821420783</c:v>
                </c:pt>
                <c:pt idx="386">
                  <c:v>-32.087023221603935</c:v>
                </c:pt>
                <c:pt idx="387">
                  <c:v>-32.284037427540717</c:v>
                </c:pt>
                <c:pt idx="388">
                  <c:v>-32.480946634821819</c:v>
                </c:pt>
                <c:pt idx="389">
                  <c:v>-32.682272324142637</c:v>
                </c:pt>
                <c:pt idx="390">
                  <c:v>-32.883490570881243</c:v>
                </c:pt>
                <c:pt idx="391">
                  <c:v>-33.084602560457938</c:v>
                </c:pt>
                <c:pt idx="392">
                  <c:v>-33.285609448212604</c:v>
                </c:pt>
                <c:pt idx="393">
                  <c:v>-33.491023178933098</c:v>
                </c:pt>
                <c:pt idx="394">
                  <c:v>-33.696329384051914</c:v>
                </c:pt>
                <c:pt idx="395">
                  <c:v>-33.901529206366909</c:v>
                </c:pt>
                <c:pt idx="396">
                  <c:v>-34.106623759347066</c:v>
                </c:pt>
                <c:pt idx="397">
                  <c:v>-34.316589486297964</c:v>
                </c:pt>
                <c:pt idx="398">
                  <c:v>-34.52644704447227</c:v>
                </c:pt>
                <c:pt idx="399">
                  <c:v>-34.736197540018999</c:v>
                </c:pt>
                <c:pt idx="400">
                  <c:v>-34.94584205028918</c:v>
                </c:pt>
                <c:pt idx="401">
                  <c:v>-35.160110434498357</c:v>
                </c:pt>
                <c:pt idx="402">
                  <c:v>-35.374270184326605</c:v>
                </c:pt>
                <c:pt idx="403">
                  <c:v>-35.588322363497866</c:v>
                </c:pt>
                <c:pt idx="404">
                  <c:v>-35.802268007648131</c:v>
                </c:pt>
                <c:pt idx="405">
                  <c:v>-36.021063440690398</c:v>
                </c:pt>
                <c:pt idx="406">
                  <c:v>-36.239749449623382</c:v>
                </c:pt>
                <c:pt idx="407">
                  <c:v>-36.458327057533126</c:v>
                </c:pt>
                <c:pt idx="408">
                  <c:v>-36.676797260046015</c:v>
                </c:pt>
                <c:pt idx="409">
                  <c:v>-36.900342052502985</c:v>
                </c:pt>
                <c:pt idx="410">
                  <c:v>-37.123776307859231</c:v>
                </c:pt>
                <c:pt idx="411">
                  <c:v>-37.347101009845836</c:v>
                </c:pt>
                <c:pt idx="412">
                  <c:v>-37.570317115290116</c:v>
                </c:pt>
                <c:pt idx="413">
                  <c:v>-37.798596451402481</c:v>
                </c:pt>
                <c:pt idx="414">
                  <c:v>-38.026764041185665</c:v>
                </c:pt>
                <c:pt idx="415">
                  <c:v>-38.254820826956681</c:v>
                </c:pt>
                <c:pt idx="416">
                  <c:v>-38.482767724732881</c:v>
                </c:pt>
                <c:pt idx="417">
                  <c:v>-38.716001088883949</c:v>
                </c:pt>
                <c:pt idx="418">
                  <c:v>-38.949121158876849</c:v>
                </c:pt>
                <c:pt idx="419">
                  <c:v>-39.182128836473957</c:v>
                </c:pt>
                <c:pt idx="420">
                  <c:v>-39.415024997674344</c:v>
                </c:pt>
                <c:pt idx="421">
                  <c:v>-39.652961442079949</c:v>
                </c:pt>
                <c:pt idx="422">
                  <c:v>-39.890783150514352</c:v>
                </c:pt>
                <c:pt idx="423">
                  <c:v>-40.128490979608351</c:v>
                </c:pt>
                <c:pt idx="424">
                  <c:v>-40.366085760902955</c:v>
                </c:pt>
                <c:pt idx="425">
                  <c:v>-40.609410459829959</c:v>
                </c:pt>
                <c:pt idx="426">
                  <c:v>-40.852618168815034</c:v>
                </c:pt>
                <c:pt idx="427">
                  <c:v>-41.095709704889309</c:v>
                </c:pt>
                <c:pt idx="428">
                  <c:v>-41.338685860412362</c:v>
                </c:pt>
                <c:pt idx="429">
                  <c:v>-41.587145171493674</c:v>
                </c:pt>
                <c:pt idx="430">
                  <c:v>-41.835485322208143</c:v>
                </c:pt>
                <c:pt idx="431">
                  <c:v>-42.083707085269339</c:v>
                </c:pt>
                <c:pt idx="432">
                  <c:v>-42.331811209276431</c:v>
                </c:pt>
                <c:pt idx="433">
                  <c:v>-42.585385522035828</c:v>
                </c:pt>
                <c:pt idx="434">
                  <c:v>-42.838838342752716</c:v>
                </c:pt>
                <c:pt idx="435">
                  <c:v>-43.092170397891529</c:v>
                </c:pt>
                <c:pt idx="436">
                  <c:v>-43.345382390387819</c:v>
                </c:pt>
                <c:pt idx="437">
                  <c:v>-43.604516161726828</c:v>
                </c:pt>
                <c:pt idx="438">
                  <c:v>-43.86352548760059</c:v>
                </c:pt>
                <c:pt idx="439">
                  <c:v>-44.122411050061658</c:v>
                </c:pt>
                <c:pt idx="440">
                  <c:v>-44.381173508079669</c:v>
                </c:pt>
                <c:pt idx="441">
                  <c:v>-44.645843109031297</c:v>
                </c:pt>
                <c:pt idx="442">
                  <c:v>-44.910385122331157</c:v>
                </c:pt>
                <c:pt idx="443">
                  <c:v>-45.174800183177453</c:v>
                </c:pt>
                <c:pt idx="444">
                  <c:v>-45.439088904161942</c:v>
                </c:pt>
                <c:pt idx="445">
                  <c:v>-45.709269904313196</c:v>
                </c:pt>
                <c:pt idx="446">
                  <c:v>-45.979319967722077</c:v>
                </c:pt>
                <c:pt idx="447">
                  <c:v>-46.249239680445193</c:v>
                </c:pt>
                <c:pt idx="448">
                  <c:v>-46.519029606434771</c:v>
                </c:pt>
                <c:pt idx="449">
                  <c:v>-46.795158712612078</c:v>
                </c:pt>
                <c:pt idx="450">
                  <c:v>-47.071152857811889</c:v>
                </c:pt>
                <c:pt idx="451">
                  <c:v>-47.347012579431706</c:v>
                </c:pt>
                <c:pt idx="452">
                  <c:v>-47.622738393142484</c:v>
                </c:pt>
                <c:pt idx="453">
                  <c:v>-47.904556029881576</c:v>
                </c:pt>
                <c:pt idx="454">
                  <c:v>-48.186234662948806</c:v>
                </c:pt>
                <c:pt idx="455">
                  <c:v>-48.467774777097993</c:v>
                </c:pt>
                <c:pt idx="456">
                  <c:v>-48.749176835827583</c:v>
                </c:pt>
                <c:pt idx="457">
                  <c:v>-49.037114465665276</c:v>
                </c:pt>
                <c:pt idx="458">
                  <c:v>-49.324908327069956</c:v>
                </c:pt>
                <c:pt idx="459">
                  <c:v>-49.612558851831807</c:v>
                </c:pt>
                <c:pt idx="460">
                  <c:v>-49.900066450840406</c:v>
                </c:pt>
                <c:pt idx="461">
                  <c:v>-50.194091367516968</c:v>
                </c:pt>
                <c:pt idx="462">
                  <c:v>-50.487967460884306</c:v>
                </c:pt>
                <c:pt idx="463">
                  <c:v>-50.781695106754462</c:v>
                </c:pt>
                <c:pt idx="464">
                  <c:v>-51.075274660410486</c:v>
                </c:pt>
                <c:pt idx="465">
                  <c:v>-51.375581995375043</c:v>
                </c:pt>
                <c:pt idx="466">
                  <c:v>-51.675734904424274</c:v>
                </c:pt>
                <c:pt idx="467">
                  <c:v>-51.975733705142041</c:v>
                </c:pt>
                <c:pt idx="468">
                  <c:v>-52.2755786949037</c:v>
                </c:pt>
                <c:pt idx="469">
                  <c:v>-52.58213151833688</c:v>
                </c:pt>
                <c:pt idx="470">
                  <c:v>-52.888523972341666</c:v>
                </c:pt>
                <c:pt idx="471">
                  <c:v>-53.194756312984076</c:v>
                </c:pt>
                <c:pt idx="472">
                  <c:v>-53.500828776448564</c:v>
                </c:pt>
                <c:pt idx="473">
                  <c:v>-53.814045009684861</c:v>
                </c:pt>
                <c:pt idx="474">
                  <c:v>-54.127094078117295</c:v>
                </c:pt>
                <c:pt idx="475">
                  <c:v>-54.439976173810706</c:v>
                </c:pt>
                <c:pt idx="476">
                  <c:v>-54.752691469166408</c:v>
                </c:pt>
                <c:pt idx="477">
                  <c:v>-55.072527894204022</c:v>
                </c:pt>
                <c:pt idx="478">
                  <c:v>-55.392189951772991</c:v>
                </c:pt>
                <c:pt idx="479">
                  <c:v>-55.711677765907879</c:v>
                </c:pt>
                <c:pt idx="480">
                  <c:v>-56.030991441202723</c:v>
                </c:pt>
                <c:pt idx="481">
                  <c:v>-56.35740287268343</c:v>
                </c:pt>
                <c:pt idx="482">
                  <c:v>-56.683632298072602</c:v>
                </c:pt>
                <c:pt idx="483">
                  <c:v>-57.009679769299815</c:v>
                </c:pt>
                <c:pt idx="484">
                  <c:v>-57.335545319076111</c:v>
                </c:pt>
                <c:pt idx="485">
                  <c:v>-57.668711196564878</c:v>
                </c:pt>
                <c:pt idx="486">
                  <c:v>-58.001686704921376</c:v>
                </c:pt>
                <c:pt idx="487">
                  <c:v>-58.334471819755294</c:v>
                </c:pt>
                <c:pt idx="488">
                  <c:v>-58.667066497610762</c:v>
                </c:pt>
                <c:pt idx="489">
                  <c:v>-59.007388125155138</c:v>
                </c:pt>
                <c:pt idx="490">
                  <c:v>-59.347509981563796</c:v>
                </c:pt>
                <c:pt idx="491">
                  <c:v>-59.687431961034108</c:v>
                </c:pt>
                <c:pt idx="492">
                  <c:v>-60.027153938744412</c:v>
                </c:pt>
                <c:pt idx="493">
                  <c:v>-60.374574493501356</c:v>
                </c:pt>
                <c:pt idx="494">
                  <c:v>-60.721785306068071</c:v>
                </c:pt>
                <c:pt idx="495">
                  <c:v>-61.068786183706763</c:v>
                </c:pt>
                <c:pt idx="496">
                  <c:v>-61.415576914693972</c:v>
                </c:pt>
                <c:pt idx="497">
                  <c:v>-61.770261891460343</c:v>
                </c:pt>
                <c:pt idx="498">
                  <c:v>-62.124726267426283</c:v>
                </c:pt>
                <c:pt idx="499">
                  <c:v>-62.478969756651885</c:v>
                </c:pt>
                <c:pt idx="500">
                  <c:v>-62.832992054179449</c:v>
                </c:pt>
                <c:pt idx="501">
                  <c:v>-63.195101681101363</c:v>
                </c:pt>
                <c:pt idx="502">
                  <c:v>-63.556978896092019</c:v>
                </c:pt>
                <c:pt idx="503">
                  <c:v>-63.918623312964669</c:v>
                </c:pt>
                <c:pt idx="504">
                  <c:v>-64.280034526412109</c:v>
                </c:pt>
                <c:pt idx="505">
                  <c:v>-64.649499422446098</c:v>
                </c:pt>
                <c:pt idx="506">
                  <c:v>-65.018719369295852</c:v>
                </c:pt>
                <c:pt idx="507">
                  <c:v>-65.387693873568907</c:v>
                </c:pt>
                <c:pt idx="508">
                  <c:v>-65.756422422622052</c:v>
                </c:pt>
                <c:pt idx="509">
                  <c:v>-66.133392974979671</c:v>
                </c:pt>
                <c:pt idx="510">
                  <c:v>-66.510104960327567</c:v>
                </c:pt>
                <c:pt idx="511">
                  <c:v>-66.886557769716504</c:v>
                </c:pt>
                <c:pt idx="512">
                  <c:v>-67.262750774752078</c:v>
                </c:pt>
                <c:pt idx="513">
                  <c:v>-67.647593796520553</c:v>
                </c:pt>
                <c:pt idx="514">
                  <c:v>-68.032163154044028</c:v>
                </c:pt>
                <c:pt idx="515">
                  <c:v>-68.416458112257601</c:v>
                </c:pt>
                <c:pt idx="516">
                  <c:v>-68.800477916333548</c:v>
                </c:pt>
                <c:pt idx="517">
                  <c:v>-69.193106619934014</c:v>
                </c:pt>
                <c:pt idx="518">
                  <c:v>-69.585445615315734</c:v>
                </c:pt>
                <c:pt idx="519">
                  <c:v>-69.977494032101262</c:v>
                </c:pt>
                <c:pt idx="520">
                  <c:v>-70.369250979810033</c:v>
                </c:pt>
                <c:pt idx="521">
                  <c:v>-70.769795288664341</c:v>
                </c:pt>
                <c:pt idx="522">
                  <c:v>-71.170032496391613</c:v>
                </c:pt>
                <c:pt idx="523">
                  <c:v>-71.569961586031212</c:v>
                </c:pt>
                <c:pt idx="524">
                  <c:v>-71.969581520110737</c:v>
                </c:pt>
                <c:pt idx="525">
                  <c:v>-72.378163545713576</c:v>
                </c:pt>
                <c:pt idx="526">
                  <c:v>-72.786419623549079</c:v>
                </c:pt>
                <c:pt idx="527">
                  <c:v>-73.194348577739092</c:v>
                </c:pt>
                <c:pt idx="528">
                  <c:v>-73.601949211423701</c:v>
                </c:pt>
                <c:pt idx="529">
                  <c:v>-74.018682679585865</c:v>
                </c:pt>
                <c:pt idx="530">
                  <c:v>-74.435069786215649</c:v>
                </c:pt>
                <c:pt idx="531">
                  <c:v>-74.851109183087161</c:v>
                </c:pt>
                <c:pt idx="532">
                  <c:v>-75.266799500474548</c:v>
                </c:pt>
                <c:pt idx="533">
                  <c:v>-75.692008443230904</c:v>
                </c:pt>
                <c:pt idx="534">
                  <c:v>-76.116848539841385</c:v>
                </c:pt>
                <c:pt idx="535">
                  <c:v>-76.541318252799854</c:v>
                </c:pt>
                <c:pt idx="536">
                  <c:v>-76.965416022493869</c:v>
                </c:pt>
                <c:pt idx="537">
                  <c:v>-77.398756076870299</c:v>
                </c:pt>
                <c:pt idx="538">
                  <c:v>-77.831703738456341</c:v>
                </c:pt>
                <c:pt idx="539">
                  <c:v>-78.264257269564723</c:v>
                </c:pt>
                <c:pt idx="540">
                  <c:v>-78.696414909868068</c:v>
                </c:pt>
                <c:pt idx="541">
                  <c:v>-79.138408540904976</c:v>
                </c:pt>
                <c:pt idx="542">
                  <c:v>-79.579983478225131</c:v>
                </c:pt>
                <c:pt idx="543">
                  <c:v>-80.021137761965932</c:v>
                </c:pt>
                <c:pt idx="544">
                  <c:v>-80.461869409011655</c:v>
                </c:pt>
                <c:pt idx="545">
                  <c:v>-80.912370689447229</c:v>
                </c:pt>
                <c:pt idx="546">
                  <c:v>-81.362425253325867</c:v>
                </c:pt>
                <c:pt idx="547">
                  <c:v>-81.812030903452751</c:v>
                </c:pt>
                <c:pt idx="548">
                  <c:v>-82.261185418846182</c:v>
                </c:pt>
                <c:pt idx="549">
                  <c:v>-82.720255767298013</c:v>
                </c:pt>
                <c:pt idx="550">
                  <c:v>-83.178849100171291</c:v>
                </c:pt>
                <c:pt idx="551">
                  <c:v>-83.636962964253144</c:v>
                </c:pt>
                <c:pt idx="552">
                  <c:v>-84.094594882092849</c:v>
                </c:pt>
                <c:pt idx="553">
                  <c:v>-84.562497970984211</c:v>
                </c:pt>
                <c:pt idx="554">
                  <c:v>-85.029890828205311</c:v>
                </c:pt>
                <c:pt idx="555">
                  <c:v>-85.496770721276121</c:v>
                </c:pt>
                <c:pt idx="556">
                  <c:v>-85.963134893114869</c:v>
                </c:pt>
                <c:pt idx="557">
                  <c:v>-86.916124220093167</c:v>
                </c:pt>
                <c:pt idx="558">
                  <c:v>-87.866916903813916</c:v>
                </c:pt>
                <c:pt idx="559">
                  <c:v>-88.837204691834273</c:v>
                </c:pt>
                <c:pt idx="560">
                  <c:v>-89.805141598469646</c:v>
                </c:pt>
                <c:pt idx="561">
                  <c:v>-90.793580128210948</c:v>
                </c:pt>
                <c:pt idx="562">
                  <c:v>-91.779497050213948</c:v>
                </c:pt>
                <c:pt idx="563">
                  <c:v>-92.783936590924213</c:v>
                </c:pt>
                <c:pt idx="564">
                  <c:v>-93.785681786955578</c:v>
                </c:pt>
                <c:pt idx="565">
                  <c:v>-94.809849872012379</c:v>
                </c:pt>
                <c:pt idx="566">
                  <c:v>-95.831116335783236</c:v>
                </c:pt>
                <c:pt idx="567">
                  <c:v>-96.874448921468314</c:v>
                </c:pt>
                <c:pt idx="568">
                  <c:v>-97.914658943689531</c:v>
                </c:pt>
                <c:pt idx="569">
                  <c:v>-98.972415656671743</c:v>
                </c:pt>
                <c:pt idx="570">
                  <c:v>-100.02684099292723</c:v>
                </c:pt>
                <c:pt idx="571">
                  <c:v>-101.10669723029869</c:v>
                </c:pt>
                <c:pt idx="572">
                  <c:v>-102.18294623257368</c:v>
                </c:pt>
                <c:pt idx="573">
                  <c:v>-103.27597540111265</c:v>
                </c:pt>
                <c:pt idx="574">
                  <c:v>-104.36516140559941</c:v>
                </c:pt>
                <c:pt idx="575">
                  <c:v>-105.47885572189267</c:v>
                </c:pt>
                <c:pt idx="576">
                  <c:v>-106.58839786411102</c:v>
                </c:pt>
                <c:pt idx="577">
                  <c:v>-111.23850887447459</c:v>
                </c:pt>
                <c:pt idx="578">
                  <c:v>-115.80925015350208</c:v>
                </c:pt>
                <c:pt idx="579">
                  <c:v>-125.52919206949531</c:v>
                </c:pt>
                <c:pt idx="580">
                  <c:v>-135.69359823745339</c:v>
                </c:pt>
                <c:pt idx="581">
                  <c:v>-146.18549109668021</c:v>
                </c:pt>
                <c:pt idx="582">
                  <c:v>-156.87941493293511</c:v>
                </c:pt>
                <c:pt idx="583">
                  <c:v>-167.61456315780867</c:v>
                </c:pt>
                <c:pt idx="584">
                  <c:v>-178.2387249421042</c:v>
                </c:pt>
                <c:pt idx="585">
                  <c:v>171.40678409373916</c:v>
                </c:pt>
                <c:pt idx="586">
                  <c:v>161.45255975539357</c:v>
                </c:pt>
                <c:pt idx="587">
                  <c:v>151.99815053257157</c:v>
                </c:pt>
                <c:pt idx="588">
                  <c:v>143.12787532753049</c:v>
                </c:pt>
                <c:pt idx="589">
                  <c:v>134.88324570757524</c:v>
                </c:pt>
                <c:pt idx="590">
                  <c:v>127.29476700289219</c:v>
                </c:pt>
                <c:pt idx="591">
                  <c:v>120.37242162947423</c:v>
                </c:pt>
                <c:pt idx="592">
                  <c:v>114.11565677935103</c:v>
                </c:pt>
                <c:pt idx="593">
                  <c:v>108.5124110877982</c:v>
                </c:pt>
                <c:pt idx="594">
                  <c:v>103.54722817532237</c:v>
                </c:pt>
                <c:pt idx="595">
                  <c:v>99.196627595857308</c:v>
                </c:pt>
                <c:pt idx="596">
                  <c:v>95.434295090688792</c:v>
                </c:pt>
                <c:pt idx="597">
                  <c:v>92.227985941971212</c:v>
                </c:pt>
                <c:pt idx="598">
                  <c:v>89.543165350534707</c:v>
                </c:pt>
                <c:pt idx="599">
                  <c:v>87.340381972450885</c:v>
                </c:pt>
                <c:pt idx="600">
                  <c:v>85.57839114960889</c:v>
                </c:pt>
              </c:numCache>
            </c:numRef>
          </c:yVal>
          <c:smooth val="0"/>
          <c:extLst>
            <c:ext xmlns:c16="http://schemas.microsoft.com/office/drawing/2014/chart" uri="{C3380CC4-5D6E-409C-BE32-E72D297353CC}">
              <c16:uniqueId val="{00000001-53A4-4D81-854A-9CEFC80A340B}"/>
            </c:ext>
          </c:extLst>
        </c:ser>
        <c:dLbls>
          <c:showLegendKey val="0"/>
          <c:showVal val="0"/>
          <c:showCatName val="0"/>
          <c:showSerName val="0"/>
          <c:showPercent val="0"/>
          <c:showBubbleSize val="0"/>
        </c:dLbls>
        <c:axId val="196945024"/>
        <c:axId val="196946560"/>
      </c:scatterChart>
      <c:valAx>
        <c:axId val="196940928"/>
        <c:scaling>
          <c:logBase val="10"/>
          <c:orientation val="minMax"/>
          <c:max val="1000000"/>
          <c:min val="1"/>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96942848"/>
        <c:crossesAt val="-40"/>
        <c:crossBetween val="midCat"/>
        <c:majorUnit val="10"/>
        <c:minorUnit val="10"/>
      </c:valAx>
      <c:valAx>
        <c:axId val="196942848"/>
        <c:scaling>
          <c:orientation val="minMax"/>
          <c:max val="4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96940928"/>
        <c:crossesAt val="0.1"/>
        <c:crossBetween val="midCat"/>
        <c:majorUnit val="20"/>
        <c:minorUnit val="4"/>
      </c:valAx>
      <c:valAx>
        <c:axId val="196945024"/>
        <c:scaling>
          <c:logBase val="10"/>
          <c:orientation val="minMax"/>
        </c:scaling>
        <c:delete val="1"/>
        <c:axPos val="t"/>
        <c:numFmt formatCode="General" sourceLinked="1"/>
        <c:majorTickMark val="out"/>
        <c:minorTickMark val="none"/>
        <c:tickLblPos val="none"/>
        <c:crossAx val="196946560"/>
        <c:crossesAt val="0"/>
        <c:crossBetween val="midCat"/>
      </c:valAx>
      <c:valAx>
        <c:axId val="196946560"/>
        <c:scaling>
          <c:orientation val="minMax"/>
          <c:max val="180"/>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9694502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V</a:t>
            </a:r>
            <a:r>
              <a:rPr lang="en-US" sz="1800" b="1" i="0" u="none" strike="noStrike" baseline="-25000"/>
              <a:t>IN</a:t>
            </a:r>
            <a:r>
              <a:rPr lang="en-US" sz="1800" b="1" i="0" u="none" strike="noStrike" baseline="0"/>
              <a:t> = V</a:t>
            </a:r>
            <a:r>
              <a:rPr lang="en-US" sz="1800" b="1" i="0" u="none" strike="noStrike" baseline="-25000"/>
              <a:t>IN(nom)</a:t>
            </a:r>
            <a:endParaRPr lang="en-US" sz="1800">
              <a:latin typeface="Arial" pitchFamily="34" charset="0"/>
              <a:cs typeface="Arial" pitchFamily="34" charset="0"/>
            </a:endParaRPr>
          </a:p>
        </c:rich>
      </c:tx>
      <c:layout>
        <c:manualLayout>
          <c:xMode val="edge"/>
          <c:yMode val="edge"/>
          <c:x val="8.1772222786336932E-2"/>
          <c:y val="4.614939768388470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081-4E3E-B0F9-599F61084A43}"/>
            </c:ext>
          </c:extLst>
        </c:ser>
        <c:dLbls>
          <c:showLegendKey val="0"/>
          <c:showVal val="0"/>
          <c:showCatName val="0"/>
          <c:showSerName val="0"/>
          <c:showPercent val="0"/>
          <c:showBubbleSize val="0"/>
        </c:dLbls>
        <c:marker val="1"/>
        <c:smooth val="0"/>
        <c:axId val="196357120"/>
        <c:axId val="196359296"/>
      </c:lineChart>
      <c:lineChart>
        <c:grouping val="standard"/>
        <c:varyColors val="0"/>
        <c:ser>
          <c:idx val="2"/>
          <c:order val="1"/>
          <c:tx>
            <c:strRef>
              <c:f>#REF!</c:f>
              <c:strCache>
                <c:ptCount val="1"/>
                <c:pt idx="0">
                  <c:v>#REF!</c:v>
                </c:pt>
              </c:strCache>
            </c:strRef>
          </c:tx>
          <c:spPr>
            <a:ln w="38100">
              <a:solidFill>
                <a:srgbClr val="808000"/>
              </a:solidFill>
              <a:prstDash val="sysDash"/>
            </a:ln>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4081-4E3E-B0F9-599F61084A43}"/>
            </c:ext>
          </c:extLst>
        </c:ser>
        <c:ser>
          <c:idx val="3"/>
          <c:order val="2"/>
          <c:tx>
            <c:v>Inductor Loss</c:v>
          </c:tx>
          <c:spPr>
            <a:ln w="38100">
              <a:solidFill>
                <a:srgbClr val="800080"/>
              </a:solidFill>
              <a:prstDash val="dash"/>
            </a:ln>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4081-4E3E-B0F9-599F61084A43}"/>
            </c:ext>
          </c:extLst>
        </c:ser>
        <c:ser>
          <c:idx val="1"/>
          <c:order val="3"/>
          <c:tx>
            <c:strRef>
              <c:f>#REF!</c:f>
              <c:strCache>
                <c:ptCount val="1"/>
                <c:pt idx="0">
                  <c:v>#REF!</c:v>
                </c:pt>
              </c:strCache>
            </c:strRef>
          </c:tx>
          <c:spPr>
            <a:ln w="38100">
              <a:solidFill>
                <a:srgbClr val="002060"/>
              </a:solidFill>
              <a:prstDash val="sysDot"/>
            </a:ln>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4081-4E3E-B0F9-599F61084A43}"/>
            </c:ext>
          </c:extLst>
        </c:ser>
        <c:dLbls>
          <c:showLegendKey val="0"/>
          <c:showVal val="0"/>
          <c:showCatName val="0"/>
          <c:showSerName val="0"/>
          <c:showPercent val="0"/>
          <c:showBubbleSize val="0"/>
        </c:dLbls>
        <c:marker val="1"/>
        <c:smooth val="0"/>
        <c:axId val="196371584"/>
        <c:axId val="196361216"/>
      </c:lineChart>
      <c:catAx>
        <c:axId val="19635712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359296"/>
        <c:crosses val="autoZero"/>
        <c:auto val="1"/>
        <c:lblAlgn val="ctr"/>
        <c:lblOffset val="100"/>
        <c:tickLblSkip val="20"/>
        <c:tickMarkSkip val="20"/>
        <c:noMultiLvlLbl val="1"/>
      </c:catAx>
      <c:valAx>
        <c:axId val="196359296"/>
        <c:scaling>
          <c:orientation val="minMax"/>
          <c:max val="100"/>
          <c:min val="7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357120"/>
        <c:crosses val="autoZero"/>
        <c:crossBetween val="between"/>
        <c:majorUnit val="5"/>
        <c:minorUnit val="2.5"/>
      </c:valAx>
      <c:valAx>
        <c:axId val="19636121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371584"/>
        <c:crosses val="max"/>
        <c:crossBetween val="between"/>
      </c:valAx>
      <c:catAx>
        <c:axId val="196371584"/>
        <c:scaling>
          <c:orientation val="minMax"/>
        </c:scaling>
        <c:delete val="1"/>
        <c:axPos val="b"/>
        <c:numFmt formatCode="General" sourceLinked="1"/>
        <c:majorTickMark val="out"/>
        <c:minorTickMark val="none"/>
        <c:tickLblPos val="nextTo"/>
        <c:crossAx val="196361216"/>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61417999772302789"/>
          <c:h val="9.0576560908423698E-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I</a:t>
            </a:r>
            <a:r>
              <a:rPr lang="en-US" sz="1800" b="1" i="0" u="none" strike="noStrike" baseline="-25000"/>
              <a:t>OUT</a:t>
            </a:r>
            <a:r>
              <a:rPr lang="en-US" sz="1800" b="1" i="0" u="none" strike="noStrike" baseline="0"/>
              <a:t> = I</a:t>
            </a:r>
            <a:r>
              <a:rPr lang="en-US" sz="1800" b="1" i="0" u="none" strike="noStrike" baseline="-25000"/>
              <a:t>OUT(max)</a:t>
            </a:r>
            <a:endParaRPr lang="en-US" sz="1800">
              <a:latin typeface="Arial" pitchFamily="34" charset="0"/>
              <a:cs typeface="Arial" pitchFamily="34" charset="0"/>
            </a:endParaRPr>
          </a:p>
        </c:rich>
      </c:tx>
      <c:layout>
        <c:manualLayout>
          <c:xMode val="edge"/>
          <c:yMode val="edge"/>
          <c:x val="8.6461554556559683E-2"/>
          <c:y val="5.1078541245190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31750">
              <a:solidFill>
                <a:srgbClr val="FF0000"/>
              </a:solidFill>
              <a:prstDash val="solid"/>
            </a:ln>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0E27-48F4-BE9A-058182F2F8B1}"/>
            </c:ext>
          </c:extLst>
        </c:ser>
        <c:dLbls>
          <c:showLegendKey val="0"/>
          <c:showVal val="0"/>
          <c:showCatName val="0"/>
          <c:showSerName val="0"/>
          <c:showPercent val="0"/>
          <c:showBubbleSize val="0"/>
        </c:dLbls>
        <c:marker val="1"/>
        <c:smooth val="0"/>
        <c:axId val="196417792"/>
        <c:axId val="196419968"/>
      </c:lineChart>
      <c:lineChart>
        <c:grouping val="standard"/>
        <c:varyColors val="0"/>
        <c:ser>
          <c:idx val="3"/>
          <c:order val="1"/>
          <c:tx>
            <c:v>Inductor Loss</c:v>
          </c:tx>
          <c:spPr>
            <a:ln w="38100">
              <a:solidFill>
                <a:srgbClr val="800080"/>
              </a:solidFill>
              <a:prstDash val="dash"/>
            </a:ln>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0E27-48F4-BE9A-058182F2F8B1}"/>
            </c:ext>
          </c:extLst>
        </c:ser>
        <c:ser>
          <c:idx val="2"/>
          <c:order val="2"/>
          <c:tx>
            <c:v>Total MOSFET Loss</c:v>
          </c:tx>
          <c:spPr>
            <a:ln w="38100">
              <a:solidFill>
                <a:srgbClr val="808000"/>
              </a:solidFill>
              <a:prstDash val="sysDash"/>
            </a:ln>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0E27-48F4-BE9A-058182F2F8B1}"/>
            </c:ext>
          </c:extLst>
        </c:ser>
        <c:ser>
          <c:idx val="1"/>
          <c:order val="3"/>
          <c:tx>
            <c:v>Shunt Loss</c:v>
          </c:tx>
          <c:spPr>
            <a:ln w="38100">
              <a:solidFill>
                <a:srgbClr val="002060"/>
              </a:solidFill>
              <a:prstDash val="sysDot"/>
            </a:ln>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0E27-48F4-BE9A-058182F2F8B1}"/>
            </c:ext>
          </c:extLst>
        </c:ser>
        <c:dLbls>
          <c:showLegendKey val="0"/>
          <c:showVal val="0"/>
          <c:showCatName val="0"/>
          <c:showSerName val="0"/>
          <c:showPercent val="0"/>
          <c:showBubbleSize val="0"/>
        </c:dLbls>
        <c:marker val="1"/>
        <c:smooth val="0"/>
        <c:axId val="196432256"/>
        <c:axId val="196421888"/>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37214586160317298"/>
          <c:y val="1.1892546194234431E-2"/>
          <c:w val="0.6110537765428794"/>
          <c:h val="9.0576560908423698E-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V</a:t>
            </a:r>
            <a:r>
              <a:rPr lang="en-US" sz="1800" b="1" i="0" u="none" strike="noStrike" baseline="-25000"/>
              <a:t>IN</a:t>
            </a:r>
            <a:r>
              <a:rPr lang="en-US" sz="1800" b="1" i="0" u="none" strike="noStrike" baseline="0"/>
              <a:t> = V</a:t>
            </a:r>
            <a:r>
              <a:rPr lang="en-US" sz="1800" b="1" i="0" u="none" strike="noStrike" baseline="-25000"/>
              <a:t>IN(nom)</a:t>
            </a:r>
            <a:endParaRPr lang="en-US" sz="1800">
              <a:latin typeface="Arial" pitchFamily="34" charset="0"/>
              <a:cs typeface="Arial" pitchFamily="34" charset="0"/>
            </a:endParaRPr>
          </a:p>
        </c:rich>
      </c:tx>
      <c:layout>
        <c:manualLayout>
          <c:xMode val="edge"/>
          <c:yMode val="edge"/>
          <c:x val="8.1772222786336932E-2"/>
          <c:y val="4.614939768388470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357120"/>
        <c:axId val="196359296"/>
        <c:extLst>
          <c:ext xmlns:c15="http://schemas.microsoft.com/office/drawing/2012/chart" uri="{02D57815-91ED-43cb-92C2-25804820EDAC}">
            <c15:filteredLineSeries>
              <c15:ser>
                <c:idx val="0"/>
                <c:order val="0"/>
                <c:tx>
                  <c:v>Efficiency</c:v>
                </c:tx>
                <c:spPr>
                  <a:ln w="28575">
                    <a:solidFill>
                      <a:srgbClr val="FF0000"/>
                    </a:solidFill>
                    <a:prstDash val="solid"/>
                  </a:ln>
                </c:spPr>
                <c:marker>
                  <c:symbol val="none"/>
                </c:marker>
                <c:val>
                  <c:numRef>
                    <c:extLst>
                      <c:ext uri="{02D57815-91ED-43cb-92C2-25804820EDAC}">
                        <c15:formulaRef>
                          <c15:sqref>#REF!</c15:sqref>
                        </c15:formulaRef>
                      </c:ext>
                    </c:extLst>
                    <c:numCache>
                      <c:formatCode>General</c:formatCode>
                      <c:ptCount val="1"/>
                      <c:pt idx="0">
                        <c:v>1</c:v>
                      </c:pt>
                    </c:numCache>
                  </c:numRef>
                </c:val>
                <c:smooth val="0"/>
                <c:extLst>
                  <c:ex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6DB7-4FCF-A57F-141B27773F45}"/>
                  </c:ext>
                </c:extLst>
              </c15:ser>
            </c15:filteredLineSeries>
          </c:ext>
        </c:extLst>
      </c:lineChart>
      <c:lineChart>
        <c:grouping val="standard"/>
        <c:varyColors val="0"/>
        <c:ser>
          <c:idx val="10"/>
          <c:order val="1"/>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6DB7-4FCF-A57F-141B27773F45}"/>
            </c:ext>
          </c:extLst>
        </c:ser>
        <c:ser>
          <c:idx val="9"/>
          <c:order val="3"/>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6DB7-4FCF-A57F-141B27773F45}"/>
            </c:ext>
          </c:extLst>
        </c:ser>
        <c:ser>
          <c:idx val="8"/>
          <c:order val="4"/>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6DB7-4FCF-A57F-141B27773F45}"/>
            </c:ext>
          </c:extLst>
        </c:ser>
        <c:ser>
          <c:idx val="7"/>
          <c:order val="5"/>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4-6DB7-4FCF-A57F-141B27773F45}"/>
            </c:ext>
          </c:extLst>
        </c:ser>
        <c:ser>
          <c:idx val="4"/>
          <c:order val="8"/>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7-6DB7-4FCF-A57F-141B27773F45}"/>
            </c:ext>
          </c:extLst>
        </c:ser>
        <c:dLbls>
          <c:showLegendKey val="0"/>
          <c:showVal val="0"/>
          <c:showCatName val="0"/>
          <c:showSerName val="0"/>
          <c:showPercent val="0"/>
          <c:showBubbleSize val="0"/>
        </c:dLbls>
        <c:marker val="1"/>
        <c:smooth val="0"/>
        <c:axId val="196371584"/>
        <c:axId val="196361216"/>
        <c:extLst>
          <c:ext xmlns:c15="http://schemas.microsoft.com/office/drawing/2012/chart" uri="{02D57815-91ED-43cb-92C2-25804820EDAC}">
            <c15:filteredLineSeries>
              <c15:ser>
                <c:idx val="11"/>
                <c:order val="2"/>
                <c:tx>
                  <c:strRef>
                    <c:extLst>
                      <c:ext uri="{02D57815-91ED-43cb-92C2-25804820EDAC}">
                        <c15:formulaRef>
                          <c15:sqref>#REF!</c15:sqref>
                        </c15:formulaRef>
                      </c:ext>
                    </c:extLst>
                    <c:strCache>
                      <c:ptCount val="1"/>
                      <c:pt idx="0">
                        <c:v>#REF!</c:v>
                      </c:pt>
                    </c:strCache>
                  </c:strRef>
                </c:tx>
                <c:marker>
                  <c:symbol val="none"/>
                </c:marker>
                <c:val>
                  <c:numRef>
                    <c:extLst>
                      <c:ext uri="{02D57815-91ED-43cb-92C2-25804820EDAC}">
                        <c15:formulaRef>
                          <c15:sqref>#REF!</c15:sqref>
                        </c15:formulaRef>
                      </c:ext>
                    </c:extLst>
                    <c:numCache>
                      <c:formatCode>General</c:formatCode>
                      <c:ptCount val="1"/>
                      <c:pt idx="0">
                        <c:v>1</c:v>
                      </c:pt>
                    </c:numCache>
                  </c:numRef>
                </c:val>
                <c:smooth val="0"/>
                <c:extLst>
                  <c:ex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B-6DB7-4FCF-A57F-141B27773F45}"/>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5-6DB7-4FCF-A57F-141B27773F45}"/>
                  </c:ext>
                </c:extLst>
              </c15:ser>
            </c15:filteredLineSeries>
            <c15:filteredLineSeries>
              <c15:ser>
                <c:idx val="5"/>
                <c:order val="7"/>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6-6DB7-4FCF-A57F-141B27773F45}"/>
                  </c:ext>
                </c:extLst>
              </c15:ser>
            </c15:filteredLineSeries>
            <c15:filteredLineSeries>
              <c15:ser>
                <c:idx val="2"/>
                <c:order val="9"/>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spPr>
                  <a:ln w="38100">
                    <a:solidFill>
                      <a:srgbClr val="808000"/>
                    </a:solidFill>
                    <a:prstDash val="sysDash"/>
                  </a:ln>
                </c:spPr>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8-6DB7-4FCF-A57F-141B27773F45}"/>
                  </c:ext>
                </c:extLst>
              </c15:ser>
            </c15:filteredLineSeries>
            <c15:filteredLineSeries>
              <c15:ser>
                <c:idx val="3"/>
                <c:order val="10"/>
                <c:tx>
                  <c:v>Inductor Loss</c:v>
                </c:tx>
                <c:spPr>
                  <a:ln w="38100">
                    <a:solidFill>
                      <a:srgbClr val="800080"/>
                    </a:solidFill>
                    <a:prstDash val="dash"/>
                  </a:ln>
                </c:spPr>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9-6DB7-4FCF-A57F-141B27773F45}"/>
                  </c:ext>
                </c:extLst>
              </c15:ser>
            </c15:filteredLineSeries>
            <c15:filteredLineSeries>
              <c15:ser>
                <c:idx val="1"/>
                <c:order val="11"/>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spPr>
                  <a:ln w="38100">
                    <a:solidFill>
                      <a:srgbClr val="002060"/>
                    </a:solidFill>
                    <a:prstDash val="sysDot"/>
                  </a:ln>
                </c:spPr>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A-6DB7-4FCF-A57F-141B27773F45}"/>
                  </c:ext>
                </c:extLst>
              </c15:ser>
            </c15:filteredLineSeries>
          </c:ext>
        </c:extLst>
      </c:lineChart>
      <c:catAx>
        <c:axId val="19635712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359296"/>
        <c:crosses val="autoZero"/>
        <c:auto val="1"/>
        <c:lblAlgn val="ctr"/>
        <c:lblOffset val="100"/>
        <c:tickLblSkip val="20"/>
        <c:tickMarkSkip val="20"/>
        <c:noMultiLvlLbl val="1"/>
      </c:catAx>
      <c:valAx>
        <c:axId val="196359296"/>
        <c:scaling>
          <c:orientation val="minMax"/>
          <c:max val="100"/>
          <c:min val="7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357120"/>
        <c:crosses val="autoZero"/>
        <c:crossBetween val="between"/>
        <c:majorUnit val="5"/>
        <c:minorUnit val="2.5"/>
      </c:valAx>
      <c:valAx>
        <c:axId val="19636121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371584"/>
        <c:crosses val="max"/>
        <c:crossBetween val="between"/>
      </c:valAx>
      <c:catAx>
        <c:axId val="196371584"/>
        <c:scaling>
          <c:orientation val="minMax"/>
        </c:scaling>
        <c:delete val="1"/>
        <c:axPos val="b"/>
        <c:numFmt formatCode="General" sourceLinked="1"/>
        <c:majorTickMark val="out"/>
        <c:minorTickMark val="none"/>
        <c:tickLblPos val="nextTo"/>
        <c:crossAx val="196361216"/>
        <c:crosses val="autoZero"/>
        <c:auto val="1"/>
        <c:lblAlgn val="ctr"/>
        <c:lblOffset val="100"/>
        <c:noMultiLvlLbl val="0"/>
      </c:catAx>
      <c:spPr>
        <a:noFill/>
        <a:ln w="25400">
          <a:noFill/>
        </a:ln>
      </c:spPr>
    </c:plotArea>
    <c:legend>
      <c:legendPos val="t"/>
      <c:layout>
        <c:manualLayout>
          <c:xMode val="edge"/>
          <c:yMode val="edge"/>
          <c:x val="0.45342761228703388"/>
          <c:y val="4.498910833927644E-3"/>
          <c:w val="0.53563061358244635"/>
          <c:h val="0.18115107145802709"/>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V</a:t>
            </a:r>
            <a:r>
              <a:rPr lang="en-US" sz="1800" b="1" i="0" u="none" strike="noStrike" baseline="-25000"/>
              <a:t>IN</a:t>
            </a:r>
            <a:r>
              <a:rPr lang="en-US" sz="1800" b="1" i="0" u="none" strike="noStrike" baseline="0"/>
              <a:t> = V</a:t>
            </a:r>
            <a:r>
              <a:rPr lang="en-US" sz="1800" b="1" i="0" u="none" strike="noStrike" baseline="-25000"/>
              <a:t>IN(nom)</a:t>
            </a:r>
            <a:endParaRPr lang="en-US" sz="1800">
              <a:latin typeface="Arial" pitchFamily="34" charset="0"/>
              <a:cs typeface="Arial" pitchFamily="34" charset="0"/>
            </a:endParaRPr>
          </a:p>
        </c:rich>
      </c:tx>
      <c:layout>
        <c:manualLayout>
          <c:xMode val="edge"/>
          <c:yMode val="edge"/>
          <c:x val="8.1772222786336932E-2"/>
          <c:y val="4.614939768388470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114-429E-B3EA-E491C0F87FBA}"/>
            </c:ext>
          </c:extLst>
        </c:ser>
        <c:dLbls>
          <c:showLegendKey val="0"/>
          <c:showVal val="0"/>
          <c:showCatName val="0"/>
          <c:showSerName val="0"/>
          <c:showPercent val="0"/>
          <c:showBubbleSize val="0"/>
        </c:dLbls>
        <c:marker val="1"/>
        <c:smooth val="0"/>
        <c:axId val="196357120"/>
        <c:axId val="196359296"/>
      </c:lineChart>
      <c:lineChart>
        <c:grouping val="standard"/>
        <c:varyColors val="0"/>
        <c:dLbls>
          <c:showLegendKey val="0"/>
          <c:showVal val="0"/>
          <c:showCatName val="0"/>
          <c:showSerName val="0"/>
          <c:showPercent val="0"/>
          <c:showBubbleSize val="0"/>
        </c:dLbls>
        <c:marker val="1"/>
        <c:smooth val="0"/>
        <c:axId val="196371584"/>
        <c:axId val="196361216"/>
        <c:extLst>
          <c:ext xmlns:c15="http://schemas.microsoft.com/office/drawing/2012/chart" uri="{02D57815-91ED-43cb-92C2-25804820EDAC}">
            <c15:filteredLineSeries>
              <c15:ser>
                <c:idx val="12"/>
                <c:order val="1"/>
                <c:tx>
                  <c:strRef>
                    <c:extLst>
                      <c:ext uri="{02D57815-91ED-43cb-92C2-25804820EDAC}">
                        <c15:formulaRef>
                          <c15:sqref>#REF!</c15:sqref>
                        </c15:formulaRef>
                      </c:ext>
                    </c:extLst>
                    <c:strCache>
                      <c:ptCount val="1"/>
                      <c:pt idx="0">
                        <c:v>#REF!</c:v>
                      </c:pt>
                    </c:strCache>
                  </c:strRef>
                </c:tx>
                <c:marker>
                  <c:symbol val="none"/>
                </c:marker>
                <c:val>
                  <c:numRef>
                    <c:extLst>
                      <c:ext uri="{02D57815-91ED-43cb-92C2-25804820EDAC}">
                        <c15:formulaRef>
                          <c15:sqref>#REF!</c15:sqref>
                        </c15:formulaRef>
                      </c:ext>
                    </c:extLst>
                    <c:numCache>
                      <c:formatCode>General</c:formatCode>
                      <c:ptCount val="1"/>
                      <c:pt idx="0">
                        <c:v>1</c:v>
                      </c:pt>
                    </c:numCache>
                  </c:numRef>
                </c:val>
                <c:smooth val="0"/>
                <c:extLst>
                  <c:ex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8114-429E-B3EA-E491C0F87FBA}"/>
                  </c:ext>
                </c:extLst>
              </c15:ser>
            </c15:filteredLineSeries>
            <c15:filteredLineSeries>
              <c15:ser>
                <c:idx val="13"/>
                <c:order val="2"/>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D-8114-429E-B3EA-E491C0F87FBA}"/>
                  </c:ext>
                </c:extLst>
              </c15:ser>
            </c15:filteredLineSeries>
            <c15:filteredLineSeries>
              <c15:ser>
                <c:idx val="11"/>
                <c:order val="3"/>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B-8114-429E-B3EA-E491C0F87FBA}"/>
                  </c:ext>
                </c:extLst>
              </c15:ser>
            </c15:filteredLineSeries>
            <c15:filteredLineSeries>
              <c15:ser>
                <c:idx val="10"/>
                <c:order val="4"/>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114-429E-B3EA-E491C0F87FBA}"/>
                  </c:ext>
                </c:extLst>
              </c15:ser>
            </c15:filteredLineSeries>
            <c15:filteredLineSeries>
              <c15:ser>
                <c:idx val="9"/>
                <c:order val="5"/>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8114-429E-B3EA-E491C0F87FBA}"/>
                  </c:ext>
                </c:extLst>
              </c15:ser>
            </c15:filteredLineSeries>
            <c15:filteredLineSeries>
              <c15:ser>
                <c:idx val="8"/>
                <c:order val="6"/>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8114-429E-B3EA-E491C0F87FBA}"/>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4-8114-429E-B3EA-E491C0F87FBA}"/>
                  </c:ext>
                </c:extLst>
              </c15:ser>
            </c15:filteredLineSeries>
            <c15:filteredLineSeries>
              <c15:ser>
                <c:idx val="6"/>
                <c:order val="8"/>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5-8114-429E-B3EA-E491C0F87FBA}"/>
                  </c:ext>
                </c:extLst>
              </c15:ser>
            </c15:filteredLineSeries>
            <c15:filteredLineSeries>
              <c15:ser>
                <c:idx val="5"/>
                <c:order val="9"/>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6-8114-429E-B3EA-E491C0F87FBA}"/>
                  </c:ext>
                </c:extLst>
              </c15:ser>
            </c15:filteredLineSeries>
            <c15:filteredLineSeries>
              <c15:ser>
                <c:idx val="4"/>
                <c:order val="10"/>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7-8114-429E-B3EA-E491C0F87FBA}"/>
                  </c:ext>
                </c:extLst>
              </c15:ser>
            </c15:filteredLineSeries>
            <c15:filteredLineSeries>
              <c15:ser>
                <c:idx val="2"/>
                <c:order val="11"/>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spPr>
                  <a:ln w="38100">
                    <a:solidFill>
                      <a:srgbClr val="808000"/>
                    </a:solidFill>
                    <a:prstDash val="sysDash"/>
                  </a:ln>
                </c:spPr>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8-8114-429E-B3EA-E491C0F87FBA}"/>
                  </c:ext>
                </c:extLst>
              </c15:ser>
            </c15:filteredLineSeries>
            <c15:filteredLineSeries>
              <c15:ser>
                <c:idx val="3"/>
                <c:order val="12"/>
                <c:tx>
                  <c:v>Inductor Loss</c:v>
                </c:tx>
                <c:spPr>
                  <a:ln w="38100">
                    <a:solidFill>
                      <a:srgbClr val="800080"/>
                    </a:solidFill>
                    <a:prstDash val="dash"/>
                  </a:ln>
                </c:spPr>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9-8114-429E-B3EA-E491C0F87FBA}"/>
                  </c:ext>
                </c:extLst>
              </c15:ser>
            </c15:filteredLineSeries>
            <c15:filteredLineSeries>
              <c15:ser>
                <c:idx val="1"/>
                <c:order val="13"/>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spPr>
                  <a:ln w="38100">
                    <a:solidFill>
                      <a:srgbClr val="002060"/>
                    </a:solidFill>
                    <a:prstDash val="sysDot"/>
                  </a:ln>
                </c:spPr>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A-8114-429E-B3EA-E491C0F87FBA}"/>
                  </c:ext>
                </c:extLst>
              </c15:ser>
            </c15:filteredLineSeries>
          </c:ext>
        </c:extLst>
      </c:lineChart>
      <c:catAx>
        <c:axId val="19635712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359296"/>
        <c:crosses val="autoZero"/>
        <c:auto val="1"/>
        <c:lblAlgn val="ctr"/>
        <c:lblOffset val="100"/>
        <c:tickLblSkip val="20"/>
        <c:tickMarkSkip val="20"/>
        <c:noMultiLvlLbl val="1"/>
      </c:catAx>
      <c:valAx>
        <c:axId val="196359296"/>
        <c:scaling>
          <c:orientation val="minMax"/>
          <c:max val="100"/>
          <c:min val="9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357120"/>
        <c:crosses val="autoZero"/>
        <c:crossBetween val="between"/>
        <c:majorUnit val="5"/>
        <c:minorUnit val="1"/>
      </c:valAx>
      <c:valAx>
        <c:axId val="19636121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371584"/>
        <c:crosses val="max"/>
        <c:crossBetween val="between"/>
      </c:valAx>
      <c:catAx>
        <c:axId val="196371584"/>
        <c:scaling>
          <c:orientation val="minMax"/>
        </c:scaling>
        <c:delete val="1"/>
        <c:axPos val="b"/>
        <c:numFmt formatCode="General" sourceLinked="1"/>
        <c:majorTickMark val="out"/>
        <c:minorTickMark val="none"/>
        <c:tickLblPos val="nextTo"/>
        <c:crossAx val="196361216"/>
        <c:crosses val="autoZero"/>
        <c:auto val="1"/>
        <c:lblAlgn val="ctr"/>
        <c:lblOffset val="100"/>
        <c:noMultiLvlLbl val="0"/>
      </c:catAx>
      <c:spPr>
        <a:noFill/>
        <a:ln w="25400">
          <a:noFill/>
        </a:ln>
      </c:spPr>
    </c:plotArea>
    <c:legend>
      <c:legendPos val="t"/>
      <c:layout>
        <c:manualLayout>
          <c:xMode val="edge"/>
          <c:yMode val="edge"/>
          <c:x val="0.63318533014557232"/>
          <c:y val="1.189262617588698E-2"/>
          <c:w val="0.274591145040047"/>
          <c:h val="0.11501923627383916"/>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V</a:t>
            </a:r>
            <a:r>
              <a:rPr lang="en-US" sz="1800" b="1" i="0" u="none" strike="noStrike" baseline="-25000"/>
              <a:t>IN</a:t>
            </a:r>
            <a:r>
              <a:rPr lang="en-US" sz="1800" b="1" i="0" u="none" strike="noStrike" baseline="0"/>
              <a:t> = V</a:t>
            </a:r>
            <a:r>
              <a:rPr lang="en-US" sz="1800" b="1" i="0" u="none" strike="noStrike" baseline="-25000"/>
              <a:t>IN(nom)</a:t>
            </a:r>
            <a:endParaRPr lang="en-US" sz="1800">
              <a:latin typeface="Arial" pitchFamily="34" charset="0"/>
              <a:cs typeface="Arial" pitchFamily="34" charset="0"/>
            </a:endParaRPr>
          </a:p>
        </c:rich>
      </c:tx>
      <c:layout>
        <c:manualLayout>
          <c:xMode val="edge"/>
          <c:yMode val="edge"/>
          <c:x val="8.1772222786336932E-2"/>
          <c:y val="4.614939768388470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357120"/>
        <c:axId val="196359296"/>
        <c:extLst>
          <c:ext xmlns:c15="http://schemas.microsoft.com/office/drawing/2012/chart" uri="{02D57815-91ED-43cb-92C2-25804820EDAC}">
            <c15:filteredLineSeries>
              <c15:ser>
                <c:idx val="0"/>
                <c:order val="0"/>
                <c:tx>
                  <c:v>Efficiency</c:v>
                </c:tx>
                <c:spPr>
                  <a:ln w="28575">
                    <a:solidFill>
                      <a:srgbClr val="FF0000"/>
                    </a:solidFill>
                    <a:prstDash val="solid"/>
                  </a:ln>
                </c:spPr>
                <c:marker>
                  <c:symbol val="none"/>
                </c:marker>
                <c:val>
                  <c:numRef>
                    <c:extLst>
                      <c:ext uri="{02D57815-91ED-43cb-92C2-25804820EDAC}">
                        <c15:formulaRef>
                          <c15:sqref>#REF!</c15:sqref>
                        </c15:formulaRef>
                      </c:ext>
                    </c:extLst>
                    <c:numCache>
                      <c:formatCode>General</c:formatCode>
                      <c:ptCount val="1"/>
                      <c:pt idx="0">
                        <c:v>1</c:v>
                      </c:pt>
                    </c:numCache>
                  </c:numRef>
                </c:val>
                <c:smooth val="0"/>
                <c:extLst>
                  <c:ex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1DC8-44BF-8B24-D1845BF6D3D1}"/>
                  </c:ext>
                </c:extLst>
              </c15:ser>
            </c15:filteredLineSeries>
          </c:ext>
        </c:extLst>
      </c:lineChart>
      <c:lineChart>
        <c:grouping val="standard"/>
        <c:varyColors val="0"/>
        <c:ser>
          <c:idx val="6"/>
          <c:order val="6"/>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5-1DC8-44BF-8B24-D1845BF6D3D1}"/>
            </c:ext>
          </c:extLst>
        </c:ser>
        <c:ser>
          <c:idx val="5"/>
          <c:order val="7"/>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6-1DC8-44BF-8B24-D1845BF6D3D1}"/>
            </c:ext>
          </c:extLst>
        </c:ser>
        <c:dLbls>
          <c:showLegendKey val="0"/>
          <c:showVal val="0"/>
          <c:showCatName val="0"/>
          <c:showSerName val="0"/>
          <c:showPercent val="0"/>
          <c:showBubbleSize val="0"/>
        </c:dLbls>
        <c:marker val="1"/>
        <c:smooth val="0"/>
        <c:axId val="196371584"/>
        <c:axId val="196361216"/>
        <c:extLst>
          <c:ext xmlns:c15="http://schemas.microsoft.com/office/drawing/2012/chart" uri="{02D57815-91ED-43cb-92C2-25804820EDAC}">
            <c15:filteredLineSeries>
              <c15:ser>
                <c:idx val="10"/>
                <c:order val="1"/>
                <c:tx>
                  <c:strRef>
                    <c:extLst>
                      <c:ext uri="{02D57815-91ED-43cb-92C2-25804820EDAC}">
                        <c15:formulaRef>
                          <c15:sqref>#REF!</c15:sqref>
                        </c15:formulaRef>
                      </c:ext>
                    </c:extLst>
                    <c:strCache>
                      <c:ptCount val="1"/>
                      <c:pt idx="0">
                        <c:v>#REF!</c:v>
                      </c:pt>
                    </c:strCache>
                  </c:strRef>
                </c:tx>
                <c:marker>
                  <c:symbol val="none"/>
                </c:marker>
                <c:val>
                  <c:numRef>
                    <c:extLst>
                      <c:ext uri="{02D57815-91ED-43cb-92C2-25804820EDAC}">
                        <c15:formulaRef>
                          <c15:sqref>#REF!</c15:sqref>
                        </c15:formulaRef>
                      </c:ext>
                    </c:extLst>
                    <c:numCache>
                      <c:formatCode>General</c:formatCode>
                      <c:ptCount val="1"/>
                      <c:pt idx="0">
                        <c:v>1</c:v>
                      </c:pt>
                    </c:numCache>
                  </c:numRef>
                </c:val>
                <c:smooth val="0"/>
                <c:extLst>
                  <c:ex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1DC8-44BF-8B24-D1845BF6D3D1}"/>
                  </c:ext>
                </c:extLst>
              </c15:ser>
            </c15:filteredLineSeries>
            <c15:filteredLineSeries>
              <c15:ser>
                <c:idx val="11"/>
                <c:order val="2"/>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B-1DC8-44BF-8B24-D1845BF6D3D1}"/>
                  </c:ext>
                </c:extLst>
              </c15:ser>
            </c15:filteredLineSeries>
            <c15:filteredLineSeries>
              <c15:ser>
                <c:idx val="9"/>
                <c:order val="3"/>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1DC8-44BF-8B24-D1845BF6D3D1}"/>
                  </c:ext>
                </c:extLst>
              </c15:ser>
            </c15:filteredLineSeries>
            <c15:filteredLineSeries>
              <c15:ser>
                <c:idx val="8"/>
                <c:order val="4"/>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1DC8-44BF-8B24-D1845BF6D3D1}"/>
                  </c:ext>
                </c:extLst>
              </c15:ser>
            </c15:filteredLineSeries>
            <c15:filteredLineSeries>
              <c15:ser>
                <c:idx val="7"/>
                <c:order val="5"/>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4-1DC8-44BF-8B24-D1845BF6D3D1}"/>
                  </c:ext>
                </c:extLst>
              </c15:ser>
            </c15:filteredLineSeries>
            <c15:filteredLineSeries>
              <c15:ser>
                <c:idx val="4"/>
                <c:order val="8"/>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7-1DC8-44BF-8B24-D1845BF6D3D1}"/>
                  </c:ext>
                </c:extLst>
              </c15:ser>
            </c15:filteredLineSeries>
            <c15:filteredLineSeries>
              <c15:ser>
                <c:idx val="2"/>
                <c:order val="9"/>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spPr>
                  <a:ln w="38100">
                    <a:solidFill>
                      <a:srgbClr val="808000"/>
                    </a:solidFill>
                    <a:prstDash val="sysDash"/>
                  </a:ln>
                </c:spPr>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8-1DC8-44BF-8B24-D1845BF6D3D1}"/>
                  </c:ext>
                </c:extLst>
              </c15:ser>
            </c15:filteredLineSeries>
            <c15:filteredLineSeries>
              <c15:ser>
                <c:idx val="3"/>
                <c:order val="10"/>
                <c:tx>
                  <c:v>Inductor Loss</c:v>
                </c:tx>
                <c:spPr>
                  <a:ln w="38100">
                    <a:solidFill>
                      <a:srgbClr val="800080"/>
                    </a:solidFill>
                    <a:prstDash val="dash"/>
                  </a:ln>
                </c:spPr>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9-1DC8-44BF-8B24-D1845BF6D3D1}"/>
                  </c:ext>
                </c:extLst>
              </c15:ser>
            </c15:filteredLineSeries>
            <c15:filteredLineSeries>
              <c15:ser>
                <c:idx val="1"/>
                <c:order val="11"/>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spPr>
                  <a:ln w="38100">
                    <a:solidFill>
                      <a:srgbClr val="002060"/>
                    </a:solidFill>
                    <a:prstDash val="sysDot"/>
                  </a:ln>
                </c:spPr>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A-1DC8-44BF-8B24-D1845BF6D3D1}"/>
                  </c:ext>
                </c:extLst>
              </c15:ser>
            </c15:filteredLineSeries>
          </c:ext>
        </c:extLst>
      </c:lineChart>
      <c:catAx>
        <c:axId val="19635712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359296"/>
        <c:crosses val="autoZero"/>
        <c:auto val="1"/>
        <c:lblAlgn val="ctr"/>
        <c:lblOffset val="100"/>
        <c:tickLblSkip val="20"/>
        <c:tickMarkSkip val="20"/>
        <c:noMultiLvlLbl val="1"/>
      </c:catAx>
      <c:valAx>
        <c:axId val="196359296"/>
        <c:scaling>
          <c:orientation val="minMax"/>
          <c:max val="100"/>
          <c:min val="7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357120"/>
        <c:crosses val="autoZero"/>
        <c:crossBetween val="between"/>
        <c:majorUnit val="5"/>
        <c:minorUnit val="2.5"/>
      </c:valAx>
      <c:valAx>
        <c:axId val="19636121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371584"/>
        <c:crosses val="max"/>
        <c:crossBetween val="between"/>
      </c:valAx>
      <c:catAx>
        <c:axId val="196371584"/>
        <c:scaling>
          <c:orientation val="minMax"/>
        </c:scaling>
        <c:delete val="1"/>
        <c:axPos val="b"/>
        <c:numFmt formatCode="General" sourceLinked="1"/>
        <c:majorTickMark val="out"/>
        <c:minorTickMark val="none"/>
        <c:tickLblPos val="nextTo"/>
        <c:crossAx val="196361216"/>
        <c:crosses val="autoZero"/>
        <c:auto val="1"/>
        <c:lblAlgn val="ctr"/>
        <c:lblOffset val="100"/>
        <c:noMultiLvlLbl val="0"/>
      </c:catAx>
      <c:spPr>
        <a:noFill/>
        <a:ln w="25400">
          <a:noFill/>
        </a:ln>
      </c:spPr>
    </c:plotArea>
    <c:legend>
      <c:legendPos val="t"/>
      <c:layout>
        <c:manualLayout>
          <c:xMode val="edge"/>
          <c:yMode val="edge"/>
          <c:x val="0.55971913241208271"/>
          <c:y val="9.4280543952338682E-3"/>
          <c:w val="0.29960091448123494"/>
          <c:h val="0.15650535365149595"/>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V</a:t>
            </a:r>
            <a:r>
              <a:rPr lang="en-US" sz="1800" b="1" i="0" u="none" strike="noStrike" baseline="-25000"/>
              <a:t>IN</a:t>
            </a:r>
            <a:r>
              <a:rPr lang="en-US" sz="1800" b="1" i="0" u="none" strike="noStrike" baseline="0"/>
              <a:t> = V</a:t>
            </a:r>
            <a:r>
              <a:rPr lang="en-US" sz="1800" b="1" i="0" u="none" strike="noStrike" baseline="-25000"/>
              <a:t>IN(nom)</a:t>
            </a:r>
            <a:endParaRPr lang="en-US" sz="1800">
              <a:latin typeface="Arial" pitchFamily="34" charset="0"/>
              <a:cs typeface="Arial" pitchFamily="34" charset="0"/>
            </a:endParaRPr>
          </a:p>
        </c:rich>
      </c:tx>
      <c:layout>
        <c:manualLayout>
          <c:xMode val="edge"/>
          <c:yMode val="edge"/>
          <c:x val="8.1772222786336932E-2"/>
          <c:y val="4.614939768388470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357120"/>
        <c:axId val="196359296"/>
        <c:extLst>
          <c:ext xmlns:c15="http://schemas.microsoft.com/office/drawing/2012/chart" uri="{02D57815-91ED-43cb-92C2-25804820EDAC}">
            <c15:filteredLineSeries>
              <c15:ser>
                <c:idx val="0"/>
                <c:order val="0"/>
                <c:tx>
                  <c:v>Efficiency</c:v>
                </c:tx>
                <c:spPr>
                  <a:ln w="28575">
                    <a:solidFill>
                      <a:srgbClr val="FF0000"/>
                    </a:solidFill>
                    <a:prstDash val="solid"/>
                  </a:ln>
                </c:spPr>
                <c:marker>
                  <c:symbol val="none"/>
                </c:marker>
                <c:val>
                  <c:numRef>
                    <c:extLst>
                      <c:ext uri="{02D57815-91ED-43cb-92C2-25804820EDAC}">
                        <c15:formulaRef>
                          <c15:sqref>#REF!</c15:sqref>
                        </c15:formulaRef>
                      </c:ext>
                    </c:extLst>
                    <c:numCache>
                      <c:formatCode>General</c:formatCode>
                      <c:ptCount val="1"/>
                      <c:pt idx="0">
                        <c:v>1</c:v>
                      </c:pt>
                    </c:numCache>
                  </c:numRef>
                </c:val>
                <c:smooth val="0"/>
                <c:extLst>
                  <c:ex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2E3-41C5-BF30-C6F4B1862E71}"/>
                  </c:ext>
                </c:extLst>
              </c15:ser>
            </c15:filteredLineSeries>
          </c:ext>
        </c:extLst>
      </c:lineChart>
      <c:lineChart>
        <c:grouping val="standard"/>
        <c:varyColors val="0"/>
        <c:ser>
          <c:idx val="12"/>
          <c:order val="1"/>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2E3-41C5-BF30-C6F4B1862E71}"/>
            </c:ext>
          </c:extLst>
        </c:ser>
        <c:ser>
          <c:idx val="13"/>
          <c:order val="2"/>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D-82E3-41C5-BF30-C6F4B1862E71}"/>
            </c:ext>
          </c:extLst>
        </c:ser>
        <c:ser>
          <c:idx val="11"/>
          <c:order val="3"/>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82E3-41C5-BF30-C6F4B1862E71}"/>
            </c:ext>
          </c:extLst>
        </c:ser>
        <c:dLbls>
          <c:showLegendKey val="0"/>
          <c:showVal val="0"/>
          <c:showCatName val="0"/>
          <c:showSerName val="0"/>
          <c:showPercent val="0"/>
          <c:showBubbleSize val="0"/>
        </c:dLbls>
        <c:marker val="1"/>
        <c:smooth val="0"/>
        <c:axId val="196371584"/>
        <c:axId val="196361216"/>
        <c:extLst>
          <c:ext xmlns:c15="http://schemas.microsoft.com/office/drawing/2012/chart" uri="{02D57815-91ED-43cb-92C2-25804820EDAC}">
            <c15:filteredLineSeries>
              <c15:ser>
                <c:idx val="10"/>
                <c:order val="4"/>
                <c:tx>
                  <c:strRef>
                    <c:extLst>
                      <c:ext uri="{02D57815-91ED-43cb-92C2-25804820EDAC}">
                        <c15:formulaRef>
                          <c15:sqref>#REF!</c15:sqref>
                        </c15:formulaRef>
                      </c:ext>
                    </c:extLst>
                    <c:strCache>
                      <c:ptCount val="1"/>
                      <c:pt idx="0">
                        <c:v>#REF!</c:v>
                      </c:pt>
                    </c:strCache>
                  </c:strRef>
                </c:tx>
                <c:marker>
                  <c:symbol val="none"/>
                </c:marker>
                <c:val>
                  <c:numRef>
                    <c:extLst>
                      <c:ext uri="{02D57815-91ED-43cb-92C2-25804820EDAC}">
                        <c15:formulaRef>
                          <c15:sqref>#REF!</c15:sqref>
                        </c15:formulaRef>
                      </c:ext>
                    </c:extLst>
                    <c:numCache>
                      <c:formatCode>General</c:formatCode>
                      <c:ptCount val="1"/>
                      <c:pt idx="0">
                        <c:v>1</c:v>
                      </c:pt>
                    </c:numCache>
                  </c:numRef>
                </c:val>
                <c:smooth val="0"/>
                <c:extLst>
                  <c:ex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82E3-41C5-BF30-C6F4B1862E71}"/>
                  </c:ext>
                </c:extLst>
              </c15:ser>
            </c15:filteredLineSeries>
            <c15:filteredLineSeries>
              <c15:ser>
                <c:idx val="9"/>
                <c:order val="5"/>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4-82E3-41C5-BF30-C6F4B1862E71}"/>
                  </c:ext>
                </c:extLst>
              </c15:ser>
            </c15:filteredLineSeries>
            <c15:filteredLineSeries>
              <c15:ser>
                <c:idx val="8"/>
                <c:order val="6"/>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5-82E3-41C5-BF30-C6F4B1862E71}"/>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6-82E3-41C5-BF30-C6F4B1862E71}"/>
                  </c:ext>
                </c:extLst>
              </c15:ser>
            </c15:filteredLineSeries>
            <c15:filteredLineSeries>
              <c15:ser>
                <c:idx val="6"/>
                <c:order val="8"/>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7-82E3-41C5-BF30-C6F4B1862E71}"/>
                  </c:ext>
                </c:extLst>
              </c15:ser>
            </c15:filteredLineSeries>
            <c15:filteredLineSeries>
              <c15:ser>
                <c:idx val="5"/>
                <c:order val="9"/>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8-82E3-41C5-BF30-C6F4B1862E71}"/>
                  </c:ext>
                </c:extLst>
              </c15:ser>
            </c15:filteredLineSeries>
            <c15:filteredLineSeries>
              <c15:ser>
                <c:idx val="4"/>
                <c:order val="10"/>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9-82E3-41C5-BF30-C6F4B1862E71}"/>
                  </c:ext>
                </c:extLst>
              </c15:ser>
            </c15:filteredLineSeries>
            <c15:filteredLineSeries>
              <c15:ser>
                <c:idx val="2"/>
                <c:order val="11"/>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spPr>
                  <a:ln w="38100">
                    <a:solidFill>
                      <a:srgbClr val="808000"/>
                    </a:solidFill>
                    <a:prstDash val="sysDash"/>
                  </a:ln>
                </c:spPr>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A-82E3-41C5-BF30-C6F4B1862E71}"/>
                  </c:ext>
                </c:extLst>
              </c15:ser>
            </c15:filteredLineSeries>
            <c15:filteredLineSeries>
              <c15:ser>
                <c:idx val="3"/>
                <c:order val="12"/>
                <c:tx>
                  <c:v>Inductor Loss</c:v>
                </c:tx>
                <c:spPr>
                  <a:ln w="38100">
                    <a:solidFill>
                      <a:srgbClr val="800080"/>
                    </a:solidFill>
                    <a:prstDash val="dash"/>
                  </a:ln>
                </c:spPr>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B-82E3-41C5-BF30-C6F4B1862E71}"/>
                  </c:ext>
                </c:extLst>
              </c15:ser>
            </c15:filteredLineSeries>
            <c15:filteredLineSeries>
              <c15:ser>
                <c:idx val="1"/>
                <c:order val="13"/>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spPr>
                  <a:ln w="38100">
                    <a:solidFill>
                      <a:srgbClr val="002060"/>
                    </a:solidFill>
                    <a:prstDash val="sysDot"/>
                  </a:ln>
                </c:spPr>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82E3-41C5-BF30-C6F4B1862E71}"/>
                  </c:ext>
                </c:extLst>
              </c15:ser>
            </c15:filteredLineSeries>
          </c:ext>
        </c:extLst>
      </c:lineChart>
      <c:catAx>
        <c:axId val="19635712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359296"/>
        <c:crosses val="autoZero"/>
        <c:auto val="1"/>
        <c:lblAlgn val="ctr"/>
        <c:lblOffset val="100"/>
        <c:tickLblSkip val="20"/>
        <c:tickMarkSkip val="20"/>
        <c:noMultiLvlLbl val="1"/>
      </c:catAx>
      <c:valAx>
        <c:axId val="196359296"/>
        <c:scaling>
          <c:orientation val="minMax"/>
          <c:max val="100"/>
          <c:min val="7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357120"/>
        <c:crosses val="autoZero"/>
        <c:crossBetween val="between"/>
        <c:majorUnit val="5"/>
        <c:minorUnit val="2.5"/>
      </c:valAx>
      <c:valAx>
        <c:axId val="19636121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371584"/>
        <c:crosses val="max"/>
        <c:crossBetween val="between"/>
      </c:valAx>
      <c:catAx>
        <c:axId val="196371584"/>
        <c:scaling>
          <c:orientation val="minMax"/>
        </c:scaling>
        <c:delete val="1"/>
        <c:axPos val="b"/>
        <c:numFmt formatCode="General" sourceLinked="1"/>
        <c:majorTickMark val="out"/>
        <c:minorTickMark val="none"/>
        <c:tickLblPos val="nextTo"/>
        <c:crossAx val="196361216"/>
        <c:crosses val="autoZero"/>
        <c:auto val="1"/>
        <c:lblAlgn val="ctr"/>
        <c:lblOffset val="100"/>
        <c:noMultiLvlLbl val="0"/>
      </c:catAx>
      <c:spPr>
        <a:noFill/>
        <a:ln w="25400">
          <a:noFill/>
        </a:ln>
      </c:spPr>
    </c:plotArea>
    <c:legend>
      <c:legendPos val="t"/>
      <c:layout>
        <c:manualLayout>
          <c:xMode val="edge"/>
          <c:yMode val="edge"/>
          <c:x val="0.63005910896542383"/>
          <c:y val="1.4357197956540091E-2"/>
          <c:w val="0.2573969285492303"/>
          <c:h val="0.1717043872288607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I</a:t>
            </a:r>
            <a:r>
              <a:rPr lang="en-US" sz="1800" b="1" i="0" u="none" strike="noStrike" baseline="-25000"/>
              <a:t>OUT</a:t>
            </a:r>
            <a:r>
              <a:rPr lang="en-US" sz="1800" b="1" i="0" u="none" strike="noStrike" baseline="0"/>
              <a:t> = I</a:t>
            </a:r>
            <a:r>
              <a:rPr lang="en-US" sz="1800" b="1" i="0" u="none" strike="noStrike" baseline="-25000"/>
              <a:t>OUT(max)</a:t>
            </a:r>
            <a:endParaRPr lang="en-US" sz="1800">
              <a:latin typeface="Arial" pitchFamily="34" charset="0"/>
              <a:cs typeface="Arial" pitchFamily="34" charset="0"/>
            </a:endParaRPr>
          </a:p>
        </c:rich>
      </c:tx>
      <c:layout>
        <c:manualLayout>
          <c:xMode val="edge"/>
          <c:yMode val="edge"/>
          <c:x val="8.6461554556559683E-2"/>
          <c:y val="5.1078541245190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31750">
              <a:solidFill>
                <a:srgbClr val="FF0000"/>
              </a:solidFill>
              <a:prstDash val="solid"/>
            </a:ln>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DBD5-4954-BBA6-15E92E9462F9}"/>
            </c:ext>
          </c:extLst>
        </c:ser>
        <c:dLbls>
          <c:showLegendKey val="0"/>
          <c:showVal val="0"/>
          <c:showCatName val="0"/>
          <c:showSerName val="0"/>
          <c:showPercent val="0"/>
          <c:showBubbleSize val="0"/>
        </c:dLbls>
        <c:marker val="1"/>
        <c:smooth val="0"/>
        <c:axId val="196417792"/>
        <c:axId val="196419968"/>
      </c:lineChart>
      <c:lineChart>
        <c:grouping val="standard"/>
        <c:varyColors val="0"/>
        <c:dLbls>
          <c:showLegendKey val="0"/>
          <c:showVal val="0"/>
          <c:showCatName val="0"/>
          <c:showSerName val="0"/>
          <c:showPercent val="0"/>
          <c:showBubbleSize val="0"/>
        </c:dLbls>
        <c:marker val="1"/>
        <c:smooth val="0"/>
        <c:axId val="196432256"/>
        <c:axId val="196421888"/>
        <c:extLst>
          <c:ext xmlns:c15="http://schemas.microsoft.com/office/drawing/2012/chart" uri="{02D57815-91ED-43cb-92C2-25804820EDAC}">
            <c15:filteredLineSeries>
              <c15:ser>
                <c:idx val="13"/>
                <c:order val="1"/>
                <c:tx>
                  <c:strRef>
                    <c:extLst>
                      <c:ext uri="{02D57815-91ED-43cb-92C2-25804820EDAC}">
                        <c15:formulaRef>
                          <c15:sqref>#REF!</c15:sqref>
                        </c15:formulaRef>
                      </c:ext>
                    </c:extLst>
                    <c:strCache>
                      <c:ptCount val="1"/>
                      <c:pt idx="0">
                        <c:v>#REF!</c:v>
                      </c:pt>
                    </c:strCache>
                  </c:strRef>
                </c:tx>
                <c:marker>
                  <c:symbol val="none"/>
                </c:marker>
                <c:val>
                  <c:numRef>
                    <c:extLst>
                      <c:ext uri="{02D57815-91ED-43cb-92C2-25804820EDAC}">
                        <c15:formulaRef>
                          <c15:sqref>#REF!</c15:sqref>
                        </c15:formulaRef>
                      </c:ext>
                    </c:extLst>
                    <c:numCache>
                      <c:formatCode>General</c:formatCode>
                      <c:ptCount val="1"/>
                      <c:pt idx="0">
                        <c:v>1</c:v>
                      </c:pt>
                    </c:numCache>
                  </c:numRef>
                </c:val>
                <c:smooth val="0"/>
                <c:extLst>
                  <c:ex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D-DBD5-4954-BBA6-15E92E9462F9}"/>
                  </c:ext>
                </c:extLst>
              </c15:ser>
            </c15:filteredLineSeries>
            <c15:filteredLineSeries>
              <c15:ser>
                <c:idx val="12"/>
                <c:order val="2"/>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DBD5-4954-BBA6-15E92E9462F9}"/>
                  </c:ext>
                </c:extLst>
              </c15:ser>
            </c15:filteredLineSeries>
            <c15:filteredLineSeries>
              <c15:ser>
                <c:idx val="11"/>
                <c:order val="3"/>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B-DBD5-4954-BBA6-15E92E9462F9}"/>
                  </c:ext>
                </c:extLst>
              </c15:ser>
            </c15:filteredLineSeries>
            <c15:filteredLineSeries>
              <c15:ser>
                <c:idx val="10"/>
                <c:order val="4"/>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A-DBD5-4954-BBA6-15E92E9462F9}"/>
                  </c:ext>
                </c:extLst>
              </c15:ser>
            </c15:filteredLineSeries>
            <c15:filteredLineSeries>
              <c15:ser>
                <c:idx val="9"/>
                <c:order val="5"/>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9-DBD5-4954-BBA6-15E92E9462F9}"/>
                  </c:ext>
                </c:extLst>
              </c15:ser>
            </c15:filteredLineSeries>
            <c15:filteredLineSeries>
              <c15:ser>
                <c:idx val="8"/>
                <c:order val="6"/>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8-DBD5-4954-BBA6-15E92E9462F9}"/>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7-DBD5-4954-BBA6-15E92E9462F9}"/>
                  </c:ext>
                </c:extLst>
              </c15:ser>
            </c15:filteredLineSeries>
            <c15:filteredLineSeries>
              <c15:ser>
                <c:idx val="6"/>
                <c:order val="8"/>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6-DBD5-4954-BBA6-15E92E9462F9}"/>
                  </c:ext>
                </c:extLst>
              </c15:ser>
            </c15:filteredLineSeries>
            <c15:filteredLineSeries>
              <c15:ser>
                <c:idx val="5"/>
                <c:order val="9"/>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5-DBD5-4954-BBA6-15E92E9462F9}"/>
                  </c:ext>
                </c:extLst>
              </c15:ser>
            </c15:filteredLineSeries>
            <c15:filteredLineSeries>
              <c15:ser>
                <c:idx val="4"/>
                <c:order val="10"/>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4-DBD5-4954-BBA6-15E92E9462F9}"/>
                  </c:ext>
                </c:extLst>
              </c15:ser>
            </c15:filteredLineSeries>
            <c15:filteredLineSeries>
              <c15:ser>
                <c:idx val="3"/>
                <c:order val="11"/>
                <c:tx>
                  <c:v>Inductor Loss</c:v>
                </c:tx>
                <c:spPr>
                  <a:ln w="38100">
                    <a:solidFill>
                      <a:srgbClr val="800080"/>
                    </a:solidFill>
                    <a:prstDash val="dash"/>
                  </a:ln>
                </c:spPr>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DBD5-4954-BBA6-15E92E9462F9}"/>
                  </c:ext>
                </c:extLst>
              </c15:ser>
            </c15:filteredLineSeries>
            <c15:filteredLineSeries>
              <c15:ser>
                <c:idx val="2"/>
                <c:order val="12"/>
                <c:tx>
                  <c:v>Total MOSFET Loss</c:v>
                </c:tx>
                <c:spPr>
                  <a:ln w="38100">
                    <a:solidFill>
                      <a:srgbClr val="808000"/>
                    </a:solidFill>
                    <a:prstDash val="sysDash"/>
                  </a:ln>
                </c:spPr>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DBD5-4954-BBA6-15E92E9462F9}"/>
                  </c:ext>
                </c:extLst>
              </c15:ser>
            </c15:filteredLineSeries>
            <c15:filteredLineSeries>
              <c15:ser>
                <c:idx val="1"/>
                <c:order val="13"/>
                <c:tx>
                  <c:v>Shunt Loss</c:v>
                </c:tx>
                <c:spPr>
                  <a:ln w="38100">
                    <a:solidFill>
                      <a:srgbClr val="002060"/>
                    </a:solidFill>
                    <a:prstDash val="sysDot"/>
                  </a:ln>
                </c:spPr>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DBD5-4954-BBA6-15E92E9462F9}"/>
                  </c:ext>
                </c:extLst>
              </c15:ser>
            </c15:filteredLineSeries>
          </c:ext>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9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1"/>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49875781939918706"/>
          <c:y val="1.189262617588698E-2"/>
          <c:w val="0.3949506604757641"/>
          <c:h val="9.5302662028614274E-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I</a:t>
            </a:r>
            <a:r>
              <a:rPr lang="en-US" sz="1800" b="1" i="0" u="none" strike="noStrike" baseline="-25000"/>
              <a:t>OUT</a:t>
            </a:r>
            <a:r>
              <a:rPr lang="en-US" sz="1800" b="1" i="0" u="none" strike="noStrike" baseline="0"/>
              <a:t> = I</a:t>
            </a:r>
            <a:r>
              <a:rPr lang="en-US" sz="1800" b="1" i="0" u="none" strike="noStrike" baseline="-25000"/>
              <a:t>OUT(max)</a:t>
            </a:r>
            <a:endParaRPr lang="en-US" sz="1800">
              <a:latin typeface="Arial" pitchFamily="34" charset="0"/>
              <a:cs typeface="Arial" pitchFamily="34" charset="0"/>
            </a:endParaRPr>
          </a:p>
        </c:rich>
      </c:tx>
      <c:layout>
        <c:manualLayout>
          <c:xMode val="edge"/>
          <c:yMode val="edge"/>
          <c:x val="8.6461554556559683E-2"/>
          <c:y val="5.1078541245190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417792"/>
        <c:axId val="196419968"/>
        <c:extLst>
          <c:ext xmlns:c15="http://schemas.microsoft.com/office/drawing/2012/chart" uri="{02D57815-91ED-43cb-92C2-25804820EDAC}">
            <c15:filteredLineSeries>
              <c15:ser>
                <c:idx val="0"/>
                <c:order val="0"/>
                <c:tx>
                  <c:v>Efficiency</c:v>
                </c:tx>
                <c:spPr>
                  <a:ln w="31750">
                    <a:solidFill>
                      <a:srgbClr val="FF0000"/>
                    </a:solidFill>
                    <a:prstDash val="solid"/>
                  </a:ln>
                </c:spPr>
                <c:marker>
                  <c:symbol val="none"/>
                </c:marker>
                <c:val>
                  <c:numRef>
                    <c:extLst>
                      <c:ext uri="{02D57815-91ED-43cb-92C2-25804820EDAC}">
                        <c15:formulaRef>
                          <c15:sqref>#REF!</c15:sqref>
                        </c15:formulaRef>
                      </c:ext>
                    </c:extLst>
                    <c:numCache>
                      <c:formatCode>General</c:formatCode>
                      <c:ptCount val="1"/>
                      <c:pt idx="0">
                        <c:v>1</c:v>
                      </c:pt>
                    </c:numCache>
                  </c:numRef>
                </c:val>
                <c:smooth val="0"/>
                <c:extLst>
                  <c:ex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B10-4845-90E6-0F024C60460D}"/>
                  </c:ext>
                </c:extLst>
              </c15:ser>
            </c15:filteredLineSeries>
          </c:ext>
        </c:extLst>
      </c:lineChart>
      <c:lineChart>
        <c:grouping val="standard"/>
        <c:varyColors val="0"/>
        <c:ser>
          <c:idx val="12"/>
          <c:order val="2"/>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4B10-4845-90E6-0F024C60460D}"/>
            </c:ext>
          </c:extLst>
        </c:ser>
        <c:ser>
          <c:idx val="11"/>
          <c:order val="3"/>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4B10-4845-90E6-0F024C60460D}"/>
            </c:ext>
          </c:extLst>
        </c:ser>
        <c:ser>
          <c:idx val="10"/>
          <c:order val="4"/>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4-4B10-4845-90E6-0F024C60460D}"/>
            </c:ext>
          </c:extLst>
        </c:ser>
        <c:ser>
          <c:idx val="9"/>
          <c:order val="5"/>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5-4B10-4845-90E6-0F024C60460D}"/>
            </c:ext>
          </c:extLst>
        </c:ser>
        <c:ser>
          <c:idx val="8"/>
          <c:order val="6"/>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6-4B10-4845-90E6-0F024C60460D}"/>
            </c:ext>
          </c:extLst>
        </c:ser>
        <c:dLbls>
          <c:showLegendKey val="0"/>
          <c:showVal val="0"/>
          <c:showCatName val="0"/>
          <c:showSerName val="0"/>
          <c:showPercent val="0"/>
          <c:showBubbleSize val="0"/>
        </c:dLbls>
        <c:marker val="1"/>
        <c:smooth val="0"/>
        <c:axId val="196432256"/>
        <c:axId val="196421888"/>
        <c:extLst>
          <c:ext xmlns:c15="http://schemas.microsoft.com/office/drawing/2012/chart" uri="{02D57815-91ED-43cb-92C2-25804820EDAC}">
            <c15:filteredLineSeries>
              <c15:ser>
                <c:idx val="13"/>
                <c:order val="1"/>
                <c:tx>
                  <c:strRef>
                    <c:extLst>
                      <c:ext uri="{02D57815-91ED-43cb-92C2-25804820EDAC}">
                        <c15:formulaRef>
                          <c15:sqref>#REF!</c15:sqref>
                        </c15:formulaRef>
                      </c:ext>
                    </c:extLst>
                    <c:strCache>
                      <c:ptCount val="1"/>
                      <c:pt idx="0">
                        <c:v>#REF!</c:v>
                      </c:pt>
                    </c:strCache>
                  </c:strRef>
                </c:tx>
                <c:marker>
                  <c:symbol val="none"/>
                </c:marker>
                <c:val>
                  <c:numRef>
                    <c:extLst>
                      <c:ext uri="{02D57815-91ED-43cb-92C2-25804820EDAC}">
                        <c15:formulaRef>
                          <c15:sqref>#REF!</c15:sqref>
                        </c15:formulaRef>
                      </c:ext>
                    </c:extLst>
                    <c:numCache>
                      <c:formatCode>General</c:formatCode>
                      <c:ptCount val="1"/>
                      <c:pt idx="0">
                        <c:v>1</c:v>
                      </c:pt>
                    </c:numCache>
                  </c:numRef>
                </c:val>
                <c:smooth val="0"/>
                <c:extLst>
                  <c:ex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4B10-4845-90E6-0F024C60460D}"/>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7-4B10-4845-90E6-0F024C60460D}"/>
                  </c:ext>
                </c:extLst>
              </c15:ser>
            </c15:filteredLineSeries>
            <c15:filteredLineSeries>
              <c15:ser>
                <c:idx val="6"/>
                <c:order val="8"/>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8-4B10-4845-90E6-0F024C60460D}"/>
                  </c:ext>
                </c:extLst>
              </c15:ser>
            </c15:filteredLineSeries>
            <c15:filteredLineSeries>
              <c15:ser>
                <c:idx val="5"/>
                <c:order val="9"/>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9-4B10-4845-90E6-0F024C60460D}"/>
                  </c:ext>
                </c:extLst>
              </c15:ser>
            </c15:filteredLineSeries>
            <c15:filteredLineSeries>
              <c15:ser>
                <c:idx val="4"/>
                <c:order val="10"/>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A-4B10-4845-90E6-0F024C60460D}"/>
                  </c:ext>
                </c:extLst>
              </c15:ser>
            </c15:filteredLineSeries>
            <c15:filteredLineSeries>
              <c15:ser>
                <c:idx val="3"/>
                <c:order val="11"/>
                <c:tx>
                  <c:v>Inductor Loss</c:v>
                </c:tx>
                <c:spPr>
                  <a:ln w="38100">
                    <a:solidFill>
                      <a:srgbClr val="800080"/>
                    </a:solidFill>
                    <a:prstDash val="dash"/>
                  </a:ln>
                </c:spPr>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B-4B10-4845-90E6-0F024C60460D}"/>
                  </c:ext>
                </c:extLst>
              </c15:ser>
            </c15:filteredLineSeries>
            <c15:filteredLineSeries>
              <c15:ser>
                <c:idx val="2"/>
                <c:order val="12"/>
                <c:tx>
                  <c:v>Total MOSFET Loss</c:v>
                </c:tx>
                <c:spPr>
                  <a:ln w="38100">
                    <a:solidFill>
                      <a:srgbClr val="808000"/>
                    </a:solidFill>
                    <a:prstDash val="sysDash"/>
                  </a:ln>
                </c:spPr>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4B10-4845-90E6-0F024C60460D}"/>
                  </c:ext>
                </c:extLst>
              </c15:ser>
            </c15:filteredLineSeries>
            <c15:filteredLineSeries>
              <c15:ser>
                <c:idx val="1"/>
                <c:order val="13"/>
                <c:tx>
                  <c:v>Shunt Loss</c:v>
                </c:tx>
                <c:spPr>
                  <a:ln w="38100">
                    <a:solidFill>
                      <a:srgbClr val="002060"/>
                    </a:solidFill>
                    <a:prstDash val="sysDot"/>
                  </a:ln>
                </c:spPr>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D-4B10-4845-90E6-0F024C60460D}"/>
                  </c:ext>
                </c:extLst>
              </c15:ser>
            </c15:filteredLineSeries>
          </c:ext>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38777696750391555"/>
          <c:y val="2.0343390532745328E-3"/>
          <c:w val="0.5137470653214069"/>
          <c:h val="0.1914209614740856"/>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I</a:t>
            </a:r>
            <a:r>
              <a:rPr lang="en-US" sz="1800" b="1" i="0" u="none" strike="noStrike" baseline="-25000"/>
              <a:t>OUT</a:t>
            </a:r>
            <a:r>
              <a:rPr lang="en-US" sz="1800" b="1" i="0" u="none" strike="noStrike" baseline="0"/>
              <a:t> = I</a:t>
            </a:r>
            <a:r>
              <a:rPr lang="en-US" sz="1800" b="1" i="0" u="none" strike="noStrike" baseline="-25000"/>
              <a:t>OUT(max)</a:t>
            </a:r>
            <a:endParaRPr lang="en-US" sz="1800">
              <a:latin typeface="Arial" pitchFamily="34" charset="0"/>
              <a:cs typeface="Arial" pitchFamily="34" charset="0"/>
            </a:endParaRPr>
          </a:p>
        </c:rich>
      </c:tx>
      <c:layout>
        <c:manualLayout>
          <c:xMode val="edge"/>
          <c:yMode val="edge"/>
          <c:x val="8.6461554556559683E-2"/>
          <c:y val="5.1078541245190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417792"/>
        <c:axId val="196419968"/>
        <c:extLst>
          <c:ext xmlns:c15="http://schemas.microsoft.com/office/drawing/2012/chart" uri="{02D57815-91ED-43cb-92C2-25804820EDAC}">
            <c15:filteredLineSeries>
              <c15:ser>
                <c:idx val="0"/>
                <c:order val="0"/>
                <c:tx>
                  <c:v>Efficiency</c:v>
                </c:tx>
                <c:spPr>
                  <a:ln w="31750">
                    <a:solidFill>
                      <a:srgbClr val="FF0000"/>
                    </a:solidFill>
                    <a:prstDash val="solid"/>
                  </a:ln>
                </c:spPr>
                <c:marker>
                  <c:symbol val="none"/>
                </c:marker>
                <c:val>
                  <c:numRef>
                    <c:extLst>
                      <c:ext uri="{02D57815-91ED-43cb-92C2-25804820EDAC}">
                        <c15:formulaRef>
                          <c15:sqref>#REF!</c15:sqref>
                        </c15:formulaRef>
                      </c:ext>
                    </c:extLst>
                    <c:numCache>
                      <c:formatCode>General</c:formatCode>
                      <c:ptCount val="1"/>
                      <c:pt idx="0">
                        <c:v>1</c:v>
                      </c:pt>
                    </c:numCache>
                  </c:numRef>
                </c:val>
                <c:smooth val="0"/>
                <c:extLst>
                  <c:ex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776-4BA2-A9F7-0BBA3C2CA385}"/>
                  </c:ext>
                </c:extLst>
              </c15:ser>
            </c15:filteredLineSeries>
          </c:ext>
        </c:extLst>
      </c:lineChart>
      <c:lineChart>
        <c:grouping val="standard"/>
        <c:varyColors val="0"/>
        <c:ser>
          <c:idx val="7"/>
          <c:order val="7"/>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7-4776-4BA2-A9F7-0BBA3C2CA385}"/>
            </c:ext>
          </c:extLst>
        </c:ser>
        <c:ser>
          <c:idx val="6"/>
          <c:order val="8"/>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8-4776-4BA2-A9F7-0BBA3C2CA385}"/>
            </c:ext>
          </c:extLst>
        </c:ser>
        <c:dLbls>
          <c:showLegendKey val="0"/>
          <c:showVal val="0"/>
          <c:showCatName val="0"/>
          <c:showSerName val="0"/>
          <c:showPercent val="0"/>
          <c:showBubbleSize val="0"/>
        </c:dLbls>
        <c:marker val="1"/>
        <c:smooth val="0"/>
        <c:axId val="196432256"/>
        <c:axId val="196421888"/>
        <c:extLst>
          <c:ext xmlns:c15="http://schemas.microsoft.com/office/drawing/2012/chart" uri="{02D57815-91ED-43cb-92C2-25804820EDAC}">
            <c15:filteredLineSeries>
              <c15:ser>
                <c:idx val="13"/>
                <c:order val="1"/>
                <c:tx>
                  <c:strRef>
                    <c:extLst>
                      <c:ext uri="{02D57815-91ED-43cb-92C2-25804820EDAC}">
                        <c15:formulaRef>
                          <c15:sqref>#REF!</c15:sqref>
                        </c15:formulaRef>
                      </c:ext>
                    </c:extLst>
                    <c:strCache>
                      <c:ptCount val="1"/>
                      <c:pt idx="0">
                        <c:v>#REF!</c:v>
                      </c:pt>
                    </c:strCache>
                  </c:strRef>
                </c:tx>
                <c:marker>
                  <c:symbol val="none"/>
                </c:marker>
                <c:val>
                  <c:numRef>
                    <c:extLst>
                      <c:ext uri="{02D57815-91ED-43cb-92C2-25804820EDAC}">
                        <c15:formulaRef>
                          <c15:sqref>#REF!</c15:sqref>
                        </c15:formulaRef>
                      </c:ext>
                    </c:extLst>
                    <c:numCache>
                      <c:formatCode>General</c:formatCode>
                      <c:ptCount val="1"/>
                      <c:pt idx="0">
                        <c:v>1</c:v>
                      </c:pt>
                    </c:numCache>
                  </c:numRef>
                </c:val>
                <c:smooth val="0"/>
                <c:extLst>
                  <c:ex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4776-4BA2-A9F7-0BBA3C2CA385}"/>
                  </c:ext>
                </c:extLst>
              </c15:ser>
            </c15:filteredLineSeries>
            <c15:filteredLineSeries>
              <c15:ser>
                <c:idx val="12"/>
                <c:order val="2"/>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4776-4BA2-A9F7-0BBA3C2CA385}"/>
                  </c:ext>
                </c:extLst>
              </c15:ser>
            </c15:filteredLineSeries>
            <c15:filteredLineSeries>
              <c15:ser>
                <c:idx val="11"/>
                <c:order val="3"/>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4776-4BA2-A9F7-0BBA3C2CA385}"/>
                  </c:ext>
                </c:extLst>
              </c15:ser>
            </c15:filteredLineSeries>
            <c15:filteredLineSeries>
              <c15:ser>
                <c:idx val="10"/>
                <c:order val="4"/>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4-4776-4BA2-A9F7-0BBA3C2CA385}"/>
                  </c:ext>
                </c:extLst>
              </c15:ser>
            </c15:filteredLineSeries>
            <c15:filteredLineSeries>
              <c15:ser>
                <c:idx val="9"/>
                <c:order val="5"/>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5-4776-4BA2-A9F7-0BBA3C2CA385}"/>
                  </c:ext>
                </c:extLst>
              </c15:ser>
            </c15:filteredLineSeries>
            <c15:filteredLineSeries>
              <c15:ser>
                <c:idx val="8"/>
                <c:order val="6"/>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6-4776-4BA2-A9F7-0BBA3C2CA385}"/>
                  </c:ext>
                </c:extLst>
              </c15:ser>
            </c15:filteredLineSeries>
            <c15:filteredLineSeries>
              <c15:ser>
                <c:idx val="5"/>
                <c:order val="9"/>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9-4776-4BA2-A9F7-0BBA3C2CA385}"/>
                  </c:ext>
                </c:extLst>
              </c15:ser>
            </c15:filteredLineSeries>
            <c15:filteredLineSeries>
              <c15:ser>
                <c:idx val="4"/>
                <c:order val="10"/>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A-4776-4BA2-A9F7-0BBA3C2CA385}"/>
                  </c:ext>
                </c:extLst>
              </c15:ser>
            </c15:filteredLineSeries>
            <c15:filteredLineSeries>
              <c15:ser>
                <c:idx val="3"/>
                <c:order val="11"/>
                <c:tx>
                  <c:v>Inductor Loss</c:v>
                </c:tx>
                <c:spPr>
                  <a:ln w="38100">
                    <a:solidFill>
                      <a:srgbClr val="800080"/>
                    </a:solidFill>
                    <a:prstDash val="dash"/>
                  </a:ln>
                </c:spPr>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B-4776-4BA2-A9F7-0BBA3C2CA385}"/>
                  </c:ext>
                </c:extLst>
              </c15:ser>
            </c15:filteredLineSeries>
            <c15:filteredLineSeries>
              <c15:ser>
                <c:idx val="2"/>
                <c:order val="12"/>
                <c:tx>
                  <c:v>Total MOSFET Loss</c:v>
                </c:tx>
                <c:spPr>
                  <a:ln w="38100">
                    <a:solidFill>
                      <a:srgbClr val="808000"/>
                    </a:solidFill>
                    <a:prstDash val="sysDash"/>
                  </a:ln>
                </c:spPr>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4776-4BA2-A9F7-0BBA3C2CA385}"/>
                  </c:ext>
                </c:extLst>
              </c15:ser>
            </c15:filteredLineSeries>
            <c15:filteredLineSeries>
              <c15:ser>
                <c:idx val="1"/>
                <c:order val="13"/>
                <c:tx>
                  <c:v>Shunt Loss</c:v>
                </c:tx>
                <c:spPr>
                  <a:ln w="38100">
                    <a:solidFill>
                      <a:srgbClr val="002060"/>
                    </a:solidFill>
                    <a:prstDash val="sysDot"/>
                  </a:ln>
                </c:spPr>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D-4776-4BA2-A9F7-0BBA3C2CA385}"/>
                  </c:ext>
                </c:extLst>
              </c15:ser>
            </c15:filteredLineSeries>
          </c:ext>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61442800306468137"/>
          <c:y val="2.1750913298499427E-2"/>
          <c:w val="0.26677559208967577"/>
          <c:h val="0.12980666695775783"/>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I</a:t>
            </a:r>
            <a:r>
              <a:rPr lang="en-US" sz="1800" b="1" i="0" u="none" strike="noStrike" baseline="-25000"/>
              <a:t>OUT</a:t>
            </a:r>
            <a:r>
              <a:rPr lang="en-US" sz="1800" b="1" i="0" u="none" strike="noStrike" baseline="0"/>
              <a:t> = I</a:t>
            </a:r>
            <a:r>
              <a:rPr lang="en-US" sz="1800" b="1" i="0" u="none" strike="noStrike" baseline="-25000"/>
              <a:t>OUT(max)</a:t>
            </a:r>
            <a:endParaRPr lang="en-US" sz="1800">
              <a:latin typeface="Arial" pitchFamily="34" charset="0"/>
              <a:cs typeface="Arial" pitchFamily="34" charset="0"/>
            </a:endParaRPr>
          </a:p>
        </c:rich>
      </c:tx>
      <c:layout>
        <c:manualLayout>
          <c:xMode val="edge"/>
          <c:yMode val="edge"/>
          <c:x val="8.6461554556559683E-2"/>
          <c:y val="5.1078541245190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417792"/>
        <c:axId val="196419968"/>
        <c:extLst>
          <c:ext xmlns:c15="http://schemas.microsoft.com/office/drawing/2012/chart" uri="{02D57815-91ED-43cb-92C2-25804820EDAC}">
            <c15:filteredLineSeries>
              <c15:ser>
                <c:idx val="0"/>
                <c:order val="0"/>
                <c:tx>
                  <c:v>Efficiency</c:v>
                </c:tx>
                <c:spPr>
                  <a:ln w="31750">
                    <a:solidFill>
                      <a:srgbClr val="FF0000"/>
                    </a:solidFill>
                    <a:prstDash val="solid"/>
                  </a:ln>
                </c:spPr>
                <c:marker>
                  <c:symbol val="none"/>
                </c:marker>
                <c:val>
                  <c:numRef>
                    <c:extLst>
                      <c:ext uri="{02D57815-91ED-43cb-92C2-25804820EDAC}">
                        <c15:formulaRef>
                          <c15:sqref>#REF!</c15:sqref>
                        </c15:formulaRef>
                      </c:ext>
                    </c:extLst>
                    <c:numCache>
                      <c:formatCode>General</c:formatCode>
                      <c:ptCount val="1"/>
                      <c:pt idx="0">
                        <c:v>1</c:v>
                      </c:pt>
                    </c:numCache>
                  </c:numRef>
                </c:val>
                <c:smooth val="0"/>
                <c:extLst>
                  <c:ex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755D-4ADD-B77D-2E3F5AFE6695}"/>
                  </c:ext>
                </c:extLst>
              </c15:ser>
            </c15:filteredLineSeries>
          </c:ext>
        </c:extLst>
      </c:lineChart>
      <c:lineChart>
        <c:grouping val="standard"/>
        <c:varyColors val="0"/>
        <c:ser>
          <c:idx val="13"/>
          <c:order val="1"/>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755D-4ADD-B77D-2E3F5AFE6695}"/>
            </c:ext>
          </c:extLst>
        </c:ser>
        <c:ser>
          <c:idx val="5"/>
          <c:order val="9"/>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9-755D-4ADD-B77D-2E3F5AFE6695}"/>
            </c:ext>
          </c:extLst>
        </c:ser>
        <c:ser>
          <c:idx val="4"/>
          <c:order val="10"/>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A-755D-4ADD-B77D-2E3F5AFE6695}"/>
            </c:ext>
          </c:extLst>
        </c:ser>
        <c:dLbls>
          <c:showLegendKey val="0"/>
          <c:showVal val="0"/>
          <c:showCatName val="0"/>
          <c:showSerName val="0"/>
          <c:showPercent val="0"/>
          <c:showBubbleSize val="0"/>
        </c:dLbls>
        <c:marker val="1"/>
        <c:smooth val="0"/>
        <c:axId val="196432256"/>
        <c:axId val="196421888"/>
        <c:extLst>
          <c:ext xmlns:c15="http://schemas.microsoft.com/office/drawing/2012/chart" uri="{02D57815-91ED-43cb-92C2-25804820EDAC}">
            <c15:filteredLineSeries>
              <c15:ser>
                <c:idx val="12"/>
                <c:order val="2"/>
                <c:tx>
                  <c:strRef>
                    <c:extLst>
                      <c:ext uri="{02D57815-91ED-43cb-92C2-25804820EDAC}">
                        <c15:formulaRef>
                          <c15:sqref>#REF!</c15:sqref>
                        </c15:formulaRef>
                      </c:ext>
                    </c:extLst>
                    <c:strCache>
                      <c:ptCount val="1"/>
                      <c:pt idx="0">
                        <c:v>#REF!</c:v>
                      </c:pt>
                    </c:strCache>
                  </c:strRef>
                </c:tx>
                <c:marker>
                  <c:symbol val="none"/>
                </c:marker>
                <c:val>
                  <c:numRef>
                    <c:extLst>
                      <c:ext uri="{02D57815-91ED-43cb-92C2-25804820EDAC}">
                        <c15:formulaRef>
                          <c15:sqref>#REF!</c15:sqref>
                        </c15:formulaRef>
                      </c:ext>
                    </c:extLst>
                    <c:numCache>
                      <c:formatCode>General</c:formatCode>
                      <c:ptCount val="1"/>
                      <c:pt idx="0">
                        <c:v>1</c:v>
                      </c:pt>
                    </c:numCache>
                  </c:numRef>
                </c:val>
                <c:smooth val="0"/>
                <c:extLst>
                  <c:ex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755D-4ADD-B77D-2E3F5AFE6695}"/>
                  </c:ext>
                </c:extLst>
              </c15:ser>
            </c15:filteredLineSeries>
            <c15:filteredLineSeries>
              <c15:ser>
                <c:idx val="11"/>
                <c:order val="3"/>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755D-4ADD-B77D-2E3F5AFE6695}"/>
                  </c:ext>
                </c:extLst>
              </c15:ser>
            </c15:filteredLineSeries>
            <c15:filteredLineSeries>
              <c15:ser>
                <c:idx val="10"/>
                <c:order val="4"/>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4-755D-4ADD-B77D-2E3F5AFE6695}"/>
                  </c:ext>
                </c:extLst>
              </c15:ser>
            </c15:filteredLineSeries>
            <c15:filteredLineSeries>
              <c15:ser>
                <c:idx val="9"/>
                <c:order val="5"/>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5-755D-4ADD-B77D-2E3F5AFE6695}"/>
                  </c:ext>
                </c:extLst>
              </c15:ser>
            </c15:filteredLineSeries>
            <c15:filteredLineSeries>
              <c15:ser>
                <c:idx val="8"/>
                <c:order val="6"/>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6-755D-4ADD-B77D-2E3F5AFE6695}"/>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7-755D-4ADD-B77D-2E3F5AFE6695}"/>
                  </c:ext>
                </c:extLst>
              </c15:ser>
            </c15:filteredLineSeries>
            <c15:filteredLineSeries>
              <c15:ser>
                <c:idx val="6"/>
                <c:order val="8"/>
                <c:tx>
                  <c:strRef>
                    <c:extLst xmlns:c15="http://schemas.microsoft.com/office/drawing/2012/chart">
                      <c:ext xmlns:c15="http://schemas.microsoft.com/office/drawing/2012/chart" uri="{02D57815-91ED-43cb-92C2-25804820EDAC}">
                        <c15:formulaRef>
                          <c15:sqref>#REF!</c15:sqref>
                        </c15:formulaRef>
                      </c:ext>
                    </c:extLst>
                    <c:strCache>
                      <c:ptCount val="1"/>
                      <c:pt idx="0">
                        <c:v>#REF!</c:v>
                      </c:pt>
                    </c:strCache>
                  </c:strRef>
                </c:tx>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8-755D-4ADD-B77D-2E3F5AFE6695}"/>
                  </c:ext>
                </c:extLst>
              </c15:ser>
            </c15:filteredLineSeries>
            <c15:filteredLineSeries>
              <c15:ser>
                <c:idx val="3"/>
                <c:order val="11"/>
                <c:tx>
                  <c:v>Inductor Loss</c:v>
                </c:tx>
                <c:spPr>
                  <a:ln w="38100">
                    <a:solidFill>
                      <a:srgbClr val="800080"/>
                    </a:solidFill>
                    <a:prstDash val="dash"/>
                  </a:ln>
                </c:spPr>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B-755D-4ADD-B77D-2E3F5AFE6695}"/>
                  </c:ext>
                </c:extLst>
              </c15:ser>
            </c15:filteredLineSeries>
            <c15:filteredLineSeries>
              <c15:ser>
                <c:idx val="2"/>
                <c:order val="12"/>
                <c:tx>
                  <c:v>Total MOSFET Loss</c:v>
                </c:tx>
                <c:spPr>
                  <a:ln w="38100">
                    <a:solidFill>
                      <a:srgbClr val="808000"/>
                    </a:solidFill>
                    <a:prstDash val="sysDash"/>
                  </a:ln>
                </c:spPr>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755D-4ADD-B77D-2E3F5AFE6695}"/>
                  </c:ext>
                </c:extLst>
              </c15:ser>
            </c15:filteredLineSeries>
            <c15:filteredLineSeries>
              <c15:ser>
                <c:idx val="1"/>
                <c:order val="13"/>
                <c:tx>
                  <c:v>Shunt Loss</c:v>
                </c:tx>
                <c:spPr>
                  <a:ln w="38100">
                    <a:solidFill>
                      <a:srgbClr val="002060"/>
                    </a:solidFill>
                    <a:prstDash val="sysDot"/>
                  </a:ln>
                </c:spPr>
                <c:marker>
                  <c:symbol val="none"/>
                </c:marker>
                <c: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D-755D-4ADD-B77D-2E3F5AFE6695}"/>
                  </c:ext>
                </c:extLst>
              </c15:ser>
            </c15:filteredLineSeries>
          </c:ext>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61442800306468137"/>
          <c:y val="2.0343390532745328E-3"/>
          <c:w val="0.27928047681026974"/>
          <c:h val="0.18156267435147316"/>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High-side BUCK "Control" MOSFET Losses </a:t>
            </a:r>
          </a:p>
        </c:rich>
      </c:tx>
      <c:overlay val="0"/>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417792"/>
        <c:axId val="196419968"/>
        <c:extLst>
          <c:ext xmlns:c15="http://schemas.microsoft.com/office/drawing/2012/chart" uri="{02D57815-91ED-43cb-92C2-25804820EDAC}">
            <c15:filteredLineSeries>
              <c15:ser>
                <c:idx val="0"/>
                <c:order val="0"/>
                <c:tx>
                  <c:v>Efficiency</c:v>
                </c:tx>
                <c:spPr>
                  <a:ln w="31750">
                    <a:solidFill>
                      <a:srgbClr val="FF0000"/>
                    </a:solidFill>
                    <a:prstDash val="solid"/>
                  </a:ln>
                </c:spPr>
                <c:marker>
                  <c:symbol val="none"/>
                </c:marker>
                <c:val>
                  <c:numRef>
                    <c:extLst>
                      <c:ext uri="{02D57815-91ED-43cb-92C2-25804820EDAC}">
                        <c15:formulaRef>
                          <c15:sqref>#REF!</c15:sqref>
                        </c15:formulaRef>
                      </c:ext>
                    </c:extLst>
                    <c:numCache>
                      <c:formatCode>General</c:formatCode>
                      <c:ptCount val="1"/>
                      <c:pt idx="0">
                        <c:v>1</c:v>
                      </c:pt>
                    </c:numCache>
                  </c:numRef>
                </c:val>
                <c:smooth val="0"/>
                <c:extLst>
                  <c:ex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5-D9C6-48F1-944F-A5A681D8B141}"/>
                  </c:ext>
                </c:extLst>
              </c15:ser>
            </c15:filteredLineSeries>
          </c:ext>
        </c:extLst>
      </c:lineChart>
      <c:lineChart>
        <c:grouping val="standard"/>
        <c:varyColors val="0"/>
        <c:ser>
          <c:idx val="2"/>
          <c:order val="1"/>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F-D9C6-48F1-944F-A5A681D8B141}"/>
            </c:ext>
          </c:extLst>
        </c:ser>
        <c:ser>
          <c:idx val="1"/>
          <c:order val="2"/>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E-D9C6-48F1-944F-A5A681D8B141}"/>
            </c:ext>
          </c:extLst>
        </c:ser>
        <c:ser>
          <c:idx val="9"/>
          <c:order val="3"/>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D9C6-48F1-944F-A5A681D8B141}"/>
            </c:ext>
          </c:extLst>
        </c:ser>
        <c:dLbls>
          <c:showLegendKey val="0"/>
          <c:showVal val="0"/>
          <c:showCatName val="0"/>
          <c:showSerName val="0"/>
          <c:showPercent val="0"/>
          <c:showBubbleSize val="0"/>
        </c:dLbls>
        <c:marker val="1"/>
        <c:smooth val="0"/>
        <c:axId val="196432256"/>
        <c:axId val="196421888"/>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70196219610883936"/>
          <c:y val="3.9002915763071203E-2"/>
          <c:w val="0.19856895379285092"/>
          <c:h val="0.10885276124218299"/>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Low-side BUCK "Sync" MOSFET Losses </a:t>
            </a:r>
          </a:p>
          <a:p>
            <a:pPr>
              <a:defRPr/>
            </a:pPr>
            <a:endParaRPr lang="en-US"/>
          </a:p>
        </c:rich>
      </c:tx>
      <c:overlay val="0"/>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417792"/>
        <c:axId val="196419968"/>
        <c:extLst>
          <c:ext xmlns:c15="http://schemas.microsoft.com/office/drawing/2012/chart" uri="{02D57815-91ED-43cb-92C2-25804820EDAC}">
            <c15:filteredLineSeries>
              <c15:ser>
                <c:idx val="0"/>
                <c:order val="0"/>
                <c:tx>
                  <c:v>Efficiency</c:v>
                </c:tx>
                <c:spPr>
                  <a:ln w="31750">
                    <a:solidFill>
                      <a:srgbClr val="FF0000"/>
                    </a:solidFill>
                    <a:prstDash val="solid"/>
                  </a:ln>
                </c:spPr>
                <c:marker>
                  <c:symbol val="none"/>
                </c:marker>
                <c:val>
                  <c:numRef>
                    <c:extLst>
                      <c:ext uri="{02D57815-91ED-43cb-92C2-25804820EDAC}">
                        <c15:formulaRef>
                          <c15:sqref>#REF!</c15:sqref>
                        </c15:formulaRef>
                      </c:ext>
                    </c:extLst>
                    <c:numCache>
                      <c:formatCode>General</c:formatCode>
                      <c:ptCount val="1"/>
                      <c:pt idx="0">
                        <c:v>1</c:v>
                      </c:pt>
                    </c:numCache>
                  </c:numRef>
                </c:val>
                <c:smooth val="0"/>
                <c:extLst>
                  <c:ex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D3A1-41BD-AD5F-7245B1D29726}"/>
                  </c:ext>
                </c:extLst>
              </c15:ser>
            </c15:filteredLineSeries>
          </c:ext>
        </c:extLst>
      </c:lineChart>
      <c:lineChart>
        <c:grouping val="standard"/>
        <c:varyColors val="0"/>
        <c:ser>
          <c:idx val="2"/>
          <c:order val="1"/>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D3A1-41BD-AD5F-7245B1D29726}"/>
            </c:ext>
          </c:extLst>
        </c:ser>
        <c:ser>
          <c:idx val="9"/>
          <c:order val="2"/>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D3A1-41BD-AD5F-7245B1D29726}"/>
            </c:ext>
          </c:extLst>
        </c:ser>
        <c:dLbls>
          <c:showLegendKey val="0"/>
          <c:showVal val="0"/>
          <c:showCatName val="0"/>
          <c:showSerName val="0"/>
          <c:showPercent val="0"/>
          <c:showBubbleSize val="0"/>
        </c:dLbls>
        <c:marker val="1"/>
        <c:smooth val="0"/>
        <c:axId val="196432256"/>
        <c:axId val="196421888"/>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70196219610883936"/>
          <c:y val="3.9002915763071203E-2"/>
          <c:w val="0.19856895379285092"/>
          <c:h val="0.10885276124218299"/>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Low-side BOOST "Control" MOSFET Losses </a:t>
            </a:r>
          </a:p>
        </c:rich>
      </c:tx>
      <c:overlay val="0"/>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417792"/>
        <c:axId val="196419968"/>
        <c:extLst>
          <c:ext xmlns:c15="http://schemas.microsoft.com/office/drawing/2012/chart" uri="{02D57815-91ED-43cb-92C2-25804820EDAC}">
            <c15:filteredLineSeries>
              <c15:ser>
                <c:idx val="0"/>
                <c:order val="0"/>
                <c:tx>
                  <c:v>Efficiency</c:v>
                </c:tx>
                <c:spPr>
                  <a:ln w="31750">
                    <a:solidFill>
                      <a:srgbClr val="FF0000"/>
                    </a:solidFill>
                    <a:prstDash val="solid"/>
                  </a:ln>
                </c:spPr>
                <c:marker>
                  <c:symbol val="none"/>
                </c:marker>
                <c:val>
                  <c:numRef>
                    <c:extLst>
                      <c:ext uri="{02D57815-91ED-43cb-92C2-25804820EDAC}">
                        <c15:formulaRef>
                          <c15:sqref>#REF!</c15:sqref>
                        </c15:formulaRef>
                      </c:ext>
                    </c:extLst>
                    <c:numCache>
                      <c:formatCode>General</c:formatCode>
                      <c:ptCount val="1"/>
                      <c:pt idx="0">
                        <c:v>1</c:v>
                      </c:pt>
                    </c:numCache>
                  </c:numRef>
                </c:val>
                <c:smooth val="0"/>
                <c:extLst>
                  <c:ex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9ACD-4C83-8D2B-6DF0D373EFCF}"/>
                  </c:ext>
                </c:extLst>
              </c15:ser>
            </c15:filteredLineSeries>
          </c:ext>
        </c:extLst>
      </c:lineChart>
      <c:lineChart>
        <c:grouping val="standard"/>
        <c:varyColors val="0"/>
        <c:ser>
          <c:idx val="2"/>
          <c:order val="1"/>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9ACD-4C83-8D2B-6DF0D373EFCF}"/>
            </c:ext>
          </c:extLst>
        </c:ser>
        <c:ser>
          <c:idx val="1"/>
          <c:order val="2"/>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9ACD-4C83-8D2B-6DF0D373EFCF}"/>
            </c:ext>
          </c:extLst>
        </c:ser>
        <c:ser>
          <c:idx val="9"/>
          <c:order val="3"/>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9ACD-4C83-8D2B-6DF0D373EFCF}"/>
            </c:ext>
          </c:extLst>
        </c:ser>
        <c:dLbls>
          <c:showLegendKey val="0"/>
          <c:showVal val="0"/>
          <c:showCatName val="0"/>
          <c:showSerName val="0"/>
          <c:showPercent val="0"/>
          <c:showBubbleSize val="0"/>
        </c:dLbls>
        <c:marker val="1"/>
        <c:smooth val="0"/>
        <c:axId val="196432256"/>
        <c:axId val="196421888"/>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65663198899668607"/>
          <c:y val="7.5971492472867871E-2"/>
          <c:w val="0.23290347792106295"/>
          <c:h val="0.17786077110047011"/>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High-side BOOST "Sync" MOSFET Losses </a:t>
            </a:r>
          </a:p>
        </c:rich>
      </c:tx>
      <c:overlay val="0"/>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417792"/>
        <c:axId val="196419968"/>
        <c:extLst>
          <c:ext xmlns:c15="http://schemas.microsoft.com/office/drawing/2012/chart" uri="{02D57815-91ED-43cb-92C2-25804820EDAC}">
            <c15:filteredLineSeries>
              <c15:ser>
                <c:idx val="0"/>
                <c:order val="0"/>
                <c:tx>
                  <c:v>Efficiency</c:v>
                </c:tx>
                <c:spPr>
                  <a:ln w="31750">
                    <a:solidFill>
                      <a:srgbClr val="FF0000"/>
                    </a:solidFill>
                    <a:prstDash val="solid"/>
                  </a:ln>
                </c:spPr>
                <c:marker>
                  <c:symbol val="none"/>
                </c:marker>
                <c:val>
                  <c:numRef>
                    <c:extLst>
                      <c:ext uri="{02D57815-91ED-43cb-92C2-25804820EDAC}">
                        <c15:formulaRef>
                          <c15:sqref>#REF!</c15:sqref>
                        </c15:formulaRef>
                      </c:ext>
                    </c:extLst>
                    <c:numCache>
                      <c:formatCode>General</c:formatCode>
                      <c:ptCount val="1"/>
                      <c:pt idx="0">
                        <c:v>1</c:v>
                      </c:pt>
                    </c:numCache>
                  </c:numRef>
                </c:val>
                <c:smooth val="0"/>
                <c:extLst>
                  <c:ex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4F89-4D64-827A-9A53996BAB5B}"/>
                  </c:ext>
                </c:extLst>
              </c15:ser>
            </c15:filteredLineSeries>
          </c:ext>
        </c:extLst>
      </c:lineChart>
      <c:lineChart>
        <c:grouping val="standard"/>
        <c:varyColors val="0"/>
        <c:ser>
          <c:idx val="2"/>
          <c:order val="1"/>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F89-4D64-827A-9A53996BAB5B}"/>
            </c:ext>
          </c:extLst>
        </c:ser>
        <c:ser>
          <c:idx val="1"/>
          <c:order val="2"/>
          <c:tx>
            <c:strRef>
              <c:f>#REF!</c:f>
              <c:strCache>
                <c:ptCount val="1"/>
                <c:pt idx="0">
                  <c:v>#REF!</c:v>
                </c:pt>
              </c:strCache>
            </c:strRef>
          </c:tx>
          <c:marker>
            <c:symbol val="none"/>
          </c:marker>
          <c:val>
            <c:numRef>
              <c:f>#REF!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4F89-4D64-827A-9A53996BAB5B}"/>
            </c:ext>
          </c:extLst>
        </c:ser>
        <c:dLbls>
          <c:showLegendKey val="0"/>
          <c:showVal val="0"/>
          <c:showCatName val="0"/>
          <c:showSerName val="0"/>
          <c:showPercent val="0"/>
          <c:showBubbleSize val="0"/>
        </c:dLbls>
        <c:marker val="1"/>
        <c:smooth val="0"/>
        <c:axId val="196432256"/>
        <c:axId val="196421888"/>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65663198899668607"/>
          <c:y val="7.5971492472867871E-2"/>
          <c:w val="0.23290347792106295"/>
          <c:h val="0.10885276124218299"/>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V</a:t>
            </a:r>
            <a:r>
              <a:rPr lang="en-US" sz="1800" b="1" i="0" u="none" strike="noStrike" baseline="-25000"/>
              <a:t>IN</a:t>
            </a:r>
            <a:r>
              <a:rPr lang="en-US" sz="1800" b="1" i="0" u="none" strike="noStrike" baseline="0"/>
              <a:t> = V</a:t>
            </a:r>
            <a:r>
              <a:rPr lang="en-US" sz="1800" b="1" i="0" u="none" strike="noStrike" baseline="-25000"/>
              <a:t>IN(nom)</a:t>
            </a:r>
            <a:endParaRPr lang="en-US" sz="1800">
              <a:latin typeface="Arial" pitchFamily="34" charset="0"/>
              <a:cs typeface="Arial" pitchFamily="34" charset="0"/>
            </a:endParaRPr>
          </a:p>
        </c:rich>
      </c:tx>
      <c:layout>
        <c:manualLayout>
          <c:xMode val="edge"/>
          <c:yMode val="edge"/>
          <c:x val="8.1772222786336932E-2"/>
          <c:y val="4.614939768388470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'Efficiency vs Load Calculations'!$K$9:$K$109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cat>
          <c:val>
            <c:numRef>
              <c:f>'Efficiency vs Load Calculations'!$BO$9:$BO$109</c:f>
              <c:numCache>
                <c:formatCode>0.00</c:formatCode>
                <c:ptCount val="101"/>
                <c:pt idx="0">
                  <c:v>0</c:v>
                </c:pt>
                <c:pt idx="1">
                  <c:v>31.89748980467883</c:v>
                </c:pt>
                <c:pt idx="2">
                  <c:v>48.296877554669713</c:v>
                </c:pt>
                <c:pt idx="3">
                  <c:v>58.281399777780386</c:v>
                </c:pt>
                <c:pt idx="4">
                  <c:v>64.996266954247005</c:v>
                </c:pt>
                <c:pt idx="5">
                  <c:v>69.819392057330688</c:v>
                </c:pt>
                <c:pt idx="6">
                  <c:v>73.449803312868539</c:v>
                </c:pt>
                <c:pt idx="7">
                  <c:v>76.279893188409162</c:v>
                </c:pt>
                <c:pt idx="8">
                  <c:v>78.546937862754419</c:v>
                </c:pt>
                <c:pt idx="9">
                  <c:v>80.402851965337845</c:v>
                </c:pt>
                <c:pt idx="10">
                  <c:v>81.949407538033043</c:v>
                </c:pt>
                <c:pt idx="11">
                  <c:v>83.257345157964096</c:v>
                </c:pt>
                <c:pt idx="12">
                  <c:v>84.377363433933951</c:v>
                </c:pt>
                <c:pt idx="13">
                  <c:v>85.346747214081788</c:v>
                </c:pt>
                <c:pt idx="14">
                  <c:v>86.193528518387126</c:v>
                </c:pt>
                <c:pt idx="15">
                  <c:v>86.939189088900321</c:v>
                </c:pt>
                <c:pt idx="16">
                  <c:v>87.60046799109324</c:v>
                </c:pt>
                <c:pt idx="17">
                  <c:v>88.190601937401283</c:v>
                </c:pt>
                <c:pt idx="18">
                  <c:v>88.720195708845822</c:v>
                </c:pt>
                <c:pt idx="19">
                  <c:v>89.194734189105176</c:v>
                </c:pt>
                <c:pt idx="20">
                  <c:v>89.617066689192228</c:v>
                </c:pt>
                <c:pt idx="21">
                  <c:v>90.001128942587357</c:v>
                </c:pt>
                <c:pt idx="22">
                  <c:v>90.351687102665053</c:v>
                </c:pt>
                <c:pt idx="23">
                  <c:v>90.672746533292198</c:v>
                </c:pt>
                <c:pt idx="24">
                  <c:v>90.967697750294548</c:v>
                </c:pt>
                <c:pt idx="25">
                  <c:v>91.239430008906325</c:v>
                </c:pt>
                <c:pt idx="26">
                  <c:v>91.49042060707211</c:v>
                </c:pt>
                <c:pt idx="27">
                  <c:v>91.722805753251819</c:v>
                </c:pt>
                <c:pt idx="28">
                  <c:v>91.938437291092868</c:v>
                </c:pt>
                <c:pt idx="29">
                  <c:v>92.138928467933184</c:v>
                </c:pt>
                <c:pt idx="30">
                  <c:v>92.325691138962824</c:v>
                </c:pt>
                <c:pt idx="31">
                  <c:v>92.49996622017045</c:v>
                </c:pt>
                <c:pt idx="32">
                  <c:v>92.662848777390806</c:v>
                </c:pt>
                <c:pt idx="33">
                  <c:v>92.815308822255133</c:v>
                </c:pt>
                <c:pt idx="34">
                  <c:v>92.958208648315292</c:v>
                </c:pt>
                <c:pt idx="35">
                  <c:v>93.092317360760873</c:v>
                </c:pt>
                <c:pt idx="36">
                  <c:v>93.218323115820283</c:v>
                </c:pt>
                <c:pt idx="37">
                  <c:v>93.336843480246785</c:v>
                </c:pt>
                <c:pt idx="38">
                  <c:v>93.448434239342731</c:v>
                </c:pt>
                <c:pt idx="39">
                  <c:v>93.553596917988031</c:v>
                </c:pt>
                <c:pt idx="40">
                  <c:v>93.652785228841395</c:v>
                </c:pt>
                <c:pt idx="41">
                  <c:v>93.746410622097613</c:v>
                </c:pt>
                <c:pt idx="42">
                  <c:v>93.834847079524394</c:v>
                </c:pt>
                <c:pt idx="43">
                  <c:v>93.918435270165901</c:v>
                </c:pt>
                <c:pt idx="44">
                  <c:v>93.997486164713067</c:v>
                </c:pt>
                <c:pt idx="45">
                  <c:v>94.072284189053363</c:v>
                </c:pt>
                <c:pt idx="46">
                  <c:v>94.143089984111413</c:v>
                </c:pt>
                <c:pt idx="47">
                  <c:v>94.210142828149699</c:v>
                </c:pt>
                <c:pt idx="48">
                  <c:v>94.273662768722772</c:v>
                </c:pt>
                <c:pt idx="49">
                  <c:v>94.333852504085016</c:v>
                </c:pt>
                <c:pt idx="50">
                  <c:v>94.390899047736426</c:v>
                </c:pt>
                <c:pt idx="51">
                  <c:v>94.444975204712762</c:v>
                </c:pt>
                <c:pt idx="52">
                  <c:v>94.496240883992925</c:v>
                </c:pt>
                <c:pt idx="53">
                  <c:v>94.54484426785622</c:v>
                </c:pt>
                <c:pt idx="54">
                  <c:v>94.590922856048778</c:v>
                </c:pt>
                <c:pt idx="55">
                  <c:v>94.63460440011508</c:v>
                </c:pt>
                <c:pt idx="56">
                  <c:v>94.6760077411342</c:v>
                </c:pt>
                <c:pt idx="57">
                  <c:v>94.715243562308189</c:v>
                </c:pt>
                <c:pt idx="58">
                  <c:v>94.752415066323877</c:v>
                </c:pt>
                <c:pt idx="59">
                  <c:v>94.787618586110881</c:v>
                </c:pt>
                <c:pt idx="60">
                  <c:v>94.820944136506142</c:v>
                </c:pt>
                <c:pt idx="61">
                  <c:v>94.852475913383216</c:v>
                </c:pt>
                <c:pt idx="62">
                  <c:v>94.882292745985026</c:v>
                </c:pt>
                <c:pt idx="63">
                  <c:v>94.910468507493533</c:v>
                </c:pt>
                <c:pt idx="64">
                  <c:v>94.937072488260014</c:v>
                </c:pt>
                <c:pt idx="65">
                  <c:v>94.962169735592099</c:v>
                </c:pt>
                <c:pt idx="66">
                  <c:v>94.985821363535067</c:v>
                </c:pt>
                <c:pt idx="67">
                  <c:v>95.008084835688038</c:v>
                </c:pt>
                <c:pt idx="68">
                  <c:v>95.029014223746771</c:v>
                </c:pt>
                <c:pt idx="69">
                  <c:v>95.04866044416309</c:v>
                </c:pt>
                <c:pt idx="70">
                  <c:v>95.067071475044983</c:v>
                </c:pt>
                <c:pt idx="71">
                  <c:v>95.084292555188512</c:v>
                </c:pt>
                <c:pt idx="72">
                  <c:v>95.100366366929265</c:v>
                </c:pt>
                <c:pt idx="73">
                  <c:v>95.115333204320223</c:v>
                </c:pt>
                <c:pt idx="74">
                  <c:v>95.12923112798471</c:v>
                </c:pt>
                <c:pt idx="75">
                  <c:v>95.142096107853448</c:v>
                </c:pt>
                <c:pt idx="76">
                  <c:v>95.153962154869916</c:v>
                </c:pt>
                <c:pt idx="77">
                  <c:v>95.164861442639321</c:v>
                </c:pt>
                <c:pt idx="78">
                  <c:v>95.174824419898329</c:v>
                </c:pt>
                <c:pt idx="79">
                  <c:v>95.183879914596574</c:v>
                </c:pt>
                <c:pt idx="80">
                  <c:v>95.19205523030314</c:v>
                </c:pt>
                <c:pt idx="81">
                  <c:v>95.199376235583372</c:v>
                </c:pt>
                <c:pt idx="82">
                  <c:v>95.205867446928892</c:v>
                </c:pt>
                <c:pt idx="83">
                  <c:v>95.211552105769599</c:v>
                </c:pt>
                <c:pt idx="84">
                  <c:v>95.216452250046672</c:v>
                </c:pt>
                <c:pt idx="85">
                  <c:v>95.220588780781895</c:v>
                </c:pt>
                <c:pt idx="86">
                  <c:v>95.223981524038635</c:v>
                </c:pt>
                <c:pt idx="87">
                  <c:v>95.226649288634505</c:v>
                </c:pt>
                <c:pt idx="88">
                  <c:v>95.228609919933533</c:v>
                </c:pt>
                <c:pt idx="89">
                  <c:v>95.229880350016856</c:v>
                </c:pt>
                <c:pt idx="90">
                  <c:v>95.230476644504705</c:v>
                </c:pt>
                <c:pt idx="91">
                  <c:v>95.230414046279151</c:v>
                </c:pt>
                <c:pt idx="92">
                  <c:v>95.229707016335624</c:v>
                </c:pt>
                <c:pt idx="93">
                  <c:v>95.228369271971886</c:v>
                </c:pt>
                <c:pt idx="94">
                  <c:v>95.22641382250589</c:v>
                </c:pt>
                <c:pt idx="95">
                  <c:v>95.223853002697638</c:v>
                </c:pt>
                <c:pt idx="96">
                  <c:v>95.220698504036406</c:v>
                </c:pt>
                <c:pt idx="97">
                  <c:v>95.216961404040859</c:v>
                </c:pt>
                <c:pt idx="98">
                  <c:v>95.212652193708053</c:v>
                </c:pt>
                <c:pt idx="99">
                  <c:v>95.207780803236574</c:v>
                </c:pt>
                <c:pt idx="100">
                  <c:v>95.20235662613878</c:v>
                </c:pt>
              </c:numCache>
            </c:numRef>
          </c:val>
          <c:smooth val="0"/>
          <c:extLst>
            <c:ext xmlns:c16="http://schemas.microsoft.com/office/drawing/2014/chart" uri="{C3380CC4-5D6E-409C-BE32-E72D297353CC}">
              <c16:uniqueId val="{00000000-1074-4608-9FE8-7325A01E3563}"/>
            </c:ext>
          </c:extLst>
        </c:ser>
        <c:dLbls>
          <c:showLegendKey val="0"/>
          <c:showVal val="0"/>
          <c:showCatName val="0"/>
          <c:showSerName val="0"/>
          <c:showPercent val="0"/>
          <c:showBubbleSize val="0"/>
        </c:dLbls>
        <c:marker val="1"/>
        <c:smooth val="0"/>
        <c:axId val="196357120"/>
        <c:axId val="196359296"/>
      </c:lineChart>
      <c:lineChart>
        <c:grouping val="standard"/>
        <c:varyColors val="0"/>
        <c:ser>
          <c:idx val="3"/>
          <c:order val="1"/>
          <c:tx>
            <c:v>Inductor Loss</c:v>
          </c:tx>
          <c:spPr>
            <a:ln w="38100">
              <a:solidFill>
                <a:srgbClr val="800080"/>
              </a:solidFill>
              <a:prstDash val="dash"/>
            </a:ln>
          </c:spPr>
          <c:marker>
            <c:symbol val="none"/>
          </c:marker>
          <c:cat>
            <c:numRef>
              <c:f>'Efficiency vs Load Calculations'!$K$9:$K$109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cat>
          <c:val>
            <c:numRef>
              <c:f>'Efficiency vs Load Calculations'!$BP$9:$BP$109</c:f>
              <c:numCache>
                <c:formatCode>0.000</c:formatCode>
                <c:ptCount val="101"/>
                <c:pt idx="0">
                  <c:v>0.59557241428100605</c:v>
                </c:pt>
                <c:pt idx="1">
                  <c:v>0.59588313229006429</c:v>
                </c:pt>
                <c:pt idx="2">
                  <c:v>0.59627467145309188</c:v>
                </c:pt>
                <c:pt idx="3">
                  <c:v>0.59674703654241235</c:v>
                </c:pt>
                <c:pt idx="4">
                  <c:v>0.59730023545934519</c:v>
                </c:pt>
                <c:pt idx="5">
                  <c:v>0.59793427923499132</c:v>
                </c:pt>
                <c:pt idx="6">
                  <c:v>0.59864918203128548</c:v>
                </c:pt>
                <c:pt idx="7">
                  <c:v>0.59944496114237467</c:v>
                </c:pt>
                <c:pt idx="8">
                  <c:v>0.60032163699629348</c:v>
                </c:pt>
                <c:pt idx="9">
                  <c:v>0.6012792331569371</c:v>
                </c:pt>
                <c:pt idx="10">
                  <c:v>0.60231777632635286</c:v>
                </c:pt>
                <c:pt idx="11">
                  <c:v>0.60343729634732424</c:v>
                </c:pt>
                <c:pt idx="12">
                  <c:v>0.60463782620626283</c:v>
                </c:pt>
                <c:pt idx="13">
                  <c:v>0.60591940203641215</c:v>
                </c:pt>
                <c:pt idx="14">
                  <c:v>0.60728206312134869</c:v>
                </c:pt>
                <c:pt idx="15">
                  <c:v>0.60872585189879536</c:v>
                </c:pt>
                <c:pt idx="16">
                  <c:v>0.61025081396474523</c:v>
                </c:pt>
                <c:pt idx="17">
                  <c:v>0.61185699807788896</c:v>
                </c:pt>
                <c:pt idx="18">
                  <c:v>0.61354445616434738</c:v>
                </c:pt>
                <c:pt idx="19">
                  <c:v>0.61531324332272863</c:v>
                </c:pt>
                <c:pt idx="20">
                  <c:v>0.61716341782947715</c:v>
                </c:pt>
                <c:pt idx="21">
                  <c:v>0.61909504114455471</c:v>
                </c:pt>
                <c:pt idx="22">
                  <c:v>0.62110817791741901</c:v>
                </c:pt>
                <c:pt idx="23">
                  <c:v>0.62320289599331979</c:v>
                </c:pt>
                <c:pt idx="24">
                  <c:v>0.62537926641991903</c:v>
                </c:pt>
                <c:pt idx="25">
                  <c:v>0.62763736345421184</c:v>
                </c:pt>
                <c:pt idx="26">
                  <c:v>0.62997726456978487</c:v>
                </c:pt>
                <c:pt idx="27">
                  <c:v>0.63239905046437417</c:v>
                </c:pt>
                <c:pt idx="28">
                  <c:v>0.63490280506775454</c:v>
                </c:pt>
                <c:pt idx="29">
                  <c:v>0.63748861554995395</c:v>
                </c:pt>
                <c:pt idx="30">
                  <c:v>0.64015657232977408</c:v>
                </c:pt>
                <c:pt idx="31">
                  <c:v>0.64290676908366073</c:v>
                </c:pt>
                <c:pt idx="32">
                  <c:v>0.64573930275488001</c:v>
                </c:pt>
                <c:pt idx="33">
                  <c:v>0.64865427356303096</c:v>
                </c:pt>
                <c:pt idx="34">
                  <c:v>0.6516517850138942</c:v>
                </c:pt>
                <c:pt idx="35">
                  <c:v>0.65473194390959144</c:v>
                </c:pt>
                <c:pt idx="36">
                  <c:v>0.6578948603591106</c:v>
                </c:pt>
                <c:pt idx="37">
                  <c:v>0.66114064778913784</c:v>
                </c:pt>
                <c:pt idx="38">
                  <c:v>0.66446942295524192</c:v>
                </c:pt>
                <c:pt idx="39">
                  <c:v>0.66788130595339301</c:v>
                </c:pt>
                <c:pt idx="40">
                  <c:v>0.67137642023183053</c:v>
                </c:pt>
                <c:pt idx="41">
                  <c:v>0.67495489260325925</c:v>
                </c:pt>
                <c:pt idx="42">
                  <c:v>0.67861685325741439</c:v>
                </c:pt>
                <c:pt idx="43">
                  <c:v>0.68236243577395417</c:v>
                </c:pt>
                <c:pt idx="44">
                  <c:v>0.68619177713571666</c:v>
                </c:pt>
                <c:pt idx="45">
                  <c:v>0.69010501774232536</c:v>
                </c:pt>
                <c:pt idx="46">
                  <c:v>0.69410230142414497</c:v>
                </c:pt>
                <c:pt idx="47">
                  <c:v>0.69818377545661447</c:v>
                </c:pt>
                <c:pt idx="48">
                  <c:v>0.7023495905749173</c:v>
                </c:pt>
                <c:pt idx="49">
                  <c:v>0.70659990098903624</c:v>
                </c:pt>
                <c:pt idx="50">
                  <c:v>0.71093486439915998</c:v>
                </c:pt>
                <c:pt idx="51">
                  <c:v>0.7153546420114687</c:v>
                </c:pt>
                <c:pt idx="52">
                  <c:v>0.71985939855429182</c:v>
                </c:pt>
                <c:pt idx="53">
                  <c:v>0.72444930229463722</c:v>
                </c:pt>
                <c:pt idx="54">
                  <c:v>0.72912452505510195</c:v>
                </c:pt>
                <c:pt idx="55">
                  <c:v>0.73388524223116625</c:v>
                </c:pt>
                <c:pt idx="56">
                  <c:v>0.73873163280887177</c:v>
                </c:pt>
                <c:pt idx="57">
                  <c:v>0.74366387938288681</c:v>
                </c:pt>
                <c:pt idx="58">
                  <c:v>0.74868216817496891</c:v>
                </c:pt>
                <c:pt idx="59">
                  <c:v>0.75378668905281865</c:v>
                </c:pt>
                <c:pt idx="60">
                  <c:v>0.75897763554933495</c:v>
                </c:pt>
                <c:pt idx="61">
                  <c:v>0.76425520488226939</c:v>
                </c:pt>
                <c:pt idx="62">
                  <c:v>0.76961959797429813</c:v>
                </c:pt>
                <c:pt idx="63">
                  <c:v>0.77507101947349077</c:v>
                </c:pt>
                <c:pt idx="64">
                  <c:v>0.78060967777420498</c:v>
                </c:pt>
                <c:pt idx="65">
                  <c:v>0.78623578503839664</c:v>
                </c:pt>
                <c:pt idx="66">
                  <c:v>0.79194955721734406</c:v>
                </c:pt>
                <c:pt idx="67">
                  <c:v>0.79775121407381633</c:v>
                </c:pt>
                <c:pt idx="68">
                  <c:v>0.80364097920465893</c:v>
                </c:pt>
                <c:pt idx="69">
                  <c:v>0.80961908006382177</c:v>
                </c:pt>
                <c:pt idx="70">
                  <c:v>0.81568574798582527</c:v>
                </c:pt>
                <c:pt idx="71">
                  <c:v>0.8218412182096726</c:v>
                </c:pt>
                <c:pt idx="72">
                  <c:v>0.82808572990321305</c:v>
                </c:pt>
                <c:pt idx="73">
                  <c:v>0.83441952618795001</c:v>
                </c:pt>
                <c:pt idx="74">
                  <c:v>0.84084285416432913</c:v>
                </c:pt>
                <c:pt idx="75">
                  <c:v>0.8473559649374669</c:v>
                </c:pt>
                <c:pt idx="76">
                  <c:v>0.85395911364336463</c:v>
                </c:pt>
                <c:pt idx="77">
                  <c:v>0.86065255947558961</c:v>
                </c:pt>
                <c:pt idx="78">
                  <c:v>0.86743656571244265</c:v>
                </c:pt>
                <c:pt idx="79">
                  <c:v>0.87431139974460481</c:v>
                </c:pt>
                <c:pt idx="80">
                  <c:v>0.88127733310327705</c:v>
                </c:pt>
                <c:pt idx="81">
                  <c:v>0.88833464148881958</c:v>
                </c:pt>
                <c:pt idx="82">
                  <c:v>0.89548360479988265</c:v>
                </c:pt>
                <c:pt idx="83">
                  <c:v>0.90272450716306929</c:v>
                </c:pt>
                <c:pt idx="84">
                  <c:v>0.91005763696308417</c:v>
                </c:pt>
                <c:pt idx="85">
                  <c:v>0.91748328687342096</c:v>
                </c:pt>
                <c:pt idx="86">
                  <c:v>0.92500175388757011</c:v>
                </c:pt>
                <c:pt idx="87">
                  <c:v>0.93261333935076041</c:v>
                </c:pt>
                <c:pt idx="88">
                  <c:v>0.94031834899224087</c:v>
                </c:pt>
                <c:pt idx="89">
                  <c:v>0.94811709295811042</c:v>
                </c:pt>
                <c:pt idx="90">
                  <c:v>0.95600988584469448</c:v>
                </c:pt>
                <c:pt idx="91">
                  <c:v>0.96399704673249054</c:v>
                </c:pt>
                <c:pt idx="92">
                  <c:v>0.97207889922067192</c:v>
                </c:pt>
                <c:pt idx="93">
                  <c:v>0.98025577146216691</c:v>
                </c:pt>
                <c:pt idx="94">
                  <c:v>0.98852799619932796</c:v>
                </c:pt>
                <c:pt idx="95">
                  <c:v>0.99689591080018047</c:v>
                </c:pt>
                <c:pt idx="96">
                  <c:v>1.0053598572952684</c:v>
                </c:pt>
                <c:pt idx="97">
                  <c:v>1.0139201824151118</c:v>
                </c:pt>
                <c:pt idx="98">
                  <c:v>1.0225772376282645</c:v>
                </c:pt>
                <c:pt idx="99">
                  <c:v>1.0313313791800047</c:v>
                </c:pt>
                <c:pt idx="100">
                  <c:v>1.0401829681316459</c:v>
                </c:pt>
              </c:numCache>
            </c:numRef>
          </c:val>
          <c:smooth val="0"/>
          <c:extLst>
            <c:ext xmlns:c16="http://schemas.microsoft.com/office/drawing/2014/chart" uri="{C3380CC4-5D6E-409C-BE32-E72D297353CC}">
              <c16:uniqueId val="{00000001-1074-4608-9FE8-7325A01E3563}"/>
            </c:ext>
          </c:extLst>
        </c:ser>
        <c:ser>
          <c:idx val="6"/>
          <c:order val="2"/>
          <c:tx>
            <c:strRef>
              <c:f>'Efficiency vs Load Calculations'!$BV$8</c:f>
              <c:strCache>
                <c:ptCount val="1"/>
                <c:pt idx="0">
                  <c:v>Shunt Loss</c:v>
                </c:pt>
              </c:strCache>
            </c:strRef>
          </c:tx>
          <c:spPr>
            <a:ln>
              <a:solidFill>
                <a:srgbClr val="0000FF"/>
              </a:solidFill>
              <a:prstDash val="sysDot"/>
            </a:ln>
          </c:spPr>
          <c:marker>
            <c:symbol val="none"/>
          </c:marker>
          <c:cat>
            <c:numRef>
              <c:f>'Efficiency vs Load Calculations'!$K$9:$K$109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cat>
          <c:val>
            <c:numRef>
              <c:f>'Efficiency vs Load Calculations'!$BV$9:$BV$109</c:f>
              <c:numCache>
                <c:formatCode>0.000</c:formatCode>
                <c:ptCount val="101"/>
                <c:pt idx="0">
                  <c:v>4.7493422818540871E-4</c:v>
                </c:pt>
                <c:pt idx="1">
                  <c:v>1.9168752658073342E-3</c:v>
                </c:pt>
                <c:pt idx="2">
                  <c:v>1.9667918658592505E-3</c:v>
                </c:pt>
                <c:pt idx="3">
                  <c:v>2.0494867129058538E-3</c:v>
                </c:pt>
                <c:pt idx="4">
                  <c:v>2.1649598069555928E-3</c:v>
                </c:pt>
                <c:pt idx="5">
                  <c:v>2.3132111480169411E-3</c:v>
                </c:pt>
                <c:pt idx="6">
                  <c:v>2.4942407360983567E-3</c:v>
                </c:pt>
                <c:pt idx="7">
                  <c:v>2.7080485712083044E-3</c:v>
                </c:pt>
                <c:pt idx="8">
                  <c:v>2.9546346533552525E-3</c:v>
                </c:pt>
                <c:pt idx="9">
                  <c:v>3.233998982547657E-3</c:v>
                </c:pt>
                <c:pt idx="10">
                  <c:v>3.5461415587939881E-3</c:v>
                </c:pt>
                <c:pt idx="11">
                  <c:v>3.8910623821027091E-3</c:v>
                </c:pt>
                <c:pt idx="12">
                  <c:v>4.2687614524822871E-3</c:v>
                </c:pt>
                <c:pt idx="13">
                  <c:v>4.6792387699411912E-3</c:v>
                </c:pt>
                <c:pt idx="14">
                  <c:v>5.1224943344878879E-3</c:v>
                </c:pt>
                <c:pt idx="15">
                  <c:v>5.5985281461308403E-3</c:v>
                </c:pt>
                <c:pt idx="16">
                  <c:v>6.1073402048785136E-3</c:v>
                </c:pt>
                <c:pt idx="17">
                  <c:v>6.6489305107393856E-3</c:v>
                </c:pt>
                <c:pt idx="18">
                  <c:v>7.223299063721913E-3</c:v>
                </c:pt>
                <c:pt idx="19">
                  <c:v>7.8304458638345804E-3</c:v>
                </c:pt>
                <c:pt idx="20">
                  <c:v>8.4703709110858418E-3</c:v>
                </c:pt>
                <c:pt idx="21">
                  <c:v>9.1430742054841758E-3</c:v>
                </c:pt>
                <c:pt idx="22">
                  <c:v>9.8485557470380531E-3</c:v>
                </c:pt>
                <c:pt idx="23">
                  <c:v>1.0586815535755943E-2</c:v>
                </c:pt>
                <c:pt idx="24">
                  <c:v>1.1357853571646318E-2</c:v>
                </c:pt>
                <c:pt idx="25">
                  <c:v>1.216166985471764E-2</c:v>
                </c:pt>
                <c:pt idx="26">
                  <c:v>1.2998264384978399E-2</c:v>
                </c:pt>
                <c:pt idx="27">
                  <c:v>1.3867637162437055E-2</c:v>
                </c:pt>
                <c:pt idx="28">
                  <c:v>1.4769788187102079E-2</c:v>
                </c:pt>
                <c:pt idx="29">
                  <c:v>1.5704717458981957E-2</c:v>
                </c:pt>
                <c:pt idx="30">
                  <c:v>1.6672424978085156E-2</c:v>
                </c:pt>
                <c:pt idx="31">
                  <c:v>1.7672910744420147E-2</c:v>
                </c:pt>
                <c:pt idx="32">
                  <c:v>1.8706174757995415E-2</c:v>
                </c:pt>
                <c:pt idx="33">
                  <c:v>1.977221701881942E-2</c:v>
                </c:pt>
                <c:pt idx="34">
                  <c:v>2.0871037526900671E-2</c:v>
                </c:pt>
                <c:pt idx="35">
                  <c:v>2.2002636282247589E-2</c:v>
                </c:pt>
                <c:pt idx="36">
                  <c:v>2.3167013284868695E-2</c:v>
                </c:pt>
                <c:pt idx="37">
                  <c:v>2.4364168534772468E-2</c:v>
                </c:pt>
                <c:pt idx="38">
                  <c:v>2.5594102031967356E-2</c:v>
                </c:pt>
                <c:pt idx="39">
                  <c:v>2.6856813776461846E-2</c:v>
                </c:pt>
                <c:pt idx="40">
                  <c:v>2.8152303768264456E-2</c:v>
                </c:pt>
                <c:pt idx="41">
                  <c:v>2.9480572007383611E-2</c:v>
                </c:pt>
                <c:pt idx="42">
                  <c:v>3.0841618493827799E-2</c:v>
                </c:pt>
                <c:pt idx="43">
                  <c:v>3.2235443227605541E-2</c:v>
                </c:pt>
                <c:pt idx="44">
                  <c:v>3.3662046208725267E-2</c:v>
                </c:pt>
                <c:pt idx="45">
                  <c:v>3.5121427437195499E-2</c:v>
                </c:pt>
                <c:pt idx="46">
                  <c:v>3.6613586913024701E-2</c:v>
                </c:pt>
                <c:pt idx="47">
                  <c:v>3.8138524636221326E-2</c:v>
                </c:pt>
                <c:pt idx="48">
                  <c:v>3.9696240606793914E-2</c:v>
                </c:pt>
                <c:pt idx="49">
                  <c:v>4.1286734824750912E-2</c:v>
                </c:pt>
                <c:pt idx="50">
                  <c:v>4.2910007290100805E-2</c:v>
                </c:pt>
                <c:pt idx="51">
                  <c:v>4.4566058002852106E-2</c:v>
                </c:pt>
                <c:pt idx="52">
                  <c:v>4.6254886963013254E-2</c:v>
                </c:pt>
                <c:pt idx="53">
                  <c:v>4.7976494170592757E-2</c:v>
                </c:pt>
                <c:pt idx="54">
                  <c:v>4.9730879625599092E-2</c:v>
                </c:pt>
                <c:pt idx="55">
                  <c:v>5.1518043328040754E-2</c:v>
                </c:pt>
                <c:pt idx="56">
                  <c:v>5.3337985277926235E-2</c:v>
                </c:pt>
                <c:pt idx="57">
                  <c:v>5.5190705475263974E-2</c:v>
                </c:pt>
                <c:pt idx="58">
                  <c:v>5.7076203920062518E-2</c:v>
                </c:pt>
                <c:pt idx="59">
                  <c:v>5.8994480612330341E-2</c:v>
                </c:pt>
                <c:pt idx="60">
                  <c:v>6.0945535552075894E-2</c:v>
                </c:pt>
                <c:pt idx="61">
                  <c:v>6.2929368739307753E-2</c:v>
                </c:pt>
                <c:pt idx="62">
                  <c:v>6.4945980174034315E-2</c:v>
                </c:pt>
                <c:pt idx="63">
                  <c:v>6.6995369856264073E-2</c:v>
                </c:pt>
                <c:pt idx="64">
                  <c:v>6.9077537786005547E-2</c:v>
                </c:pt>
                <c:pt idx="65">
                  <c:v>7.1192483963267286E-2</c:v>
                </c:pt>
                <c:pt idx="66">
                  <c:v>7.3340208388057659E-2</c:v>
                </c:pt>
                <c:pt idx="67">
                  <c:v>7.5520711060385229E-2</c:v>
                </c:pt>
                <c:pt idx="68">
                  <c:v>7.7733991980258502E-2</c:v>
                </c:pt>
                <c:pt idx="69">
                  <c:v>7.9980051147685902E-2</c:v>
                </c:pt>
                <c:pt idx="70">
                  <c:v>8.2258888562676005E-2</c:v>
                </c:pt>
                <c:pt idx="71">
                  <c:v>8.4570504225237236E-2</c:v>
                </c:pt>
                <c:pt idx="72">
                  <c:v>8.6914898135378157E-2</c:v>
                </c:pt>
                <c:pt idx="73">
                  <c:v>8.9292070293107151E-2</c:v>
                </c:pt>
                <c:pt idx="74">
                  <c:v>9.1702020698432793E-2</c:v>
                </c:pt>
                <c:pt idx="75">
                  <c:v>9.4144749351363632E-2</c:v>
                </c:pt>
                <c:pt idx="76">
                  <c:v>9.6620256251908052E-2</c:v>
                </c:pt>
                <c:pt idx="77">
                  <c:v>9.9128541400074599E-2</c:v>
                </c:pt>
                <c:pt idx="78">
                  <c:v>0.10166960479587174</c:v>
                </c:pt>
                <c:pt idx="79">
                  <c:v>0.104243446439308</c:v>
                </c:pt>
                <c:pt idx="80">
                  <c:v>0.1068500663303919</c:v>
                </c:pt>
                <c:pt idx="81">
                  <c:v>0.10948946446913196</c:v>
                </c:pt>
                <c:pt idx="82">
                  <c:v>0.1121616408555365</c:v>
                </c:pt>
                <c:pt idx="83">
                  <c:v>0.11486659548961421</c:v>
                </c:pt>
                <c:pt idx="84">
                  <c:v>0.11760432837137347</c:v>
                </c:pt>
                <c:pt idx="85">
                  <c:v>0.12037483950082294</c:v>
                </c:pt>
                <c:pt idx="86">
                  <c:v>0.12317812887797097</c:v>
                </c:pt>
                <c:pt idx="87">
                  <c:v>0.12601419650282603</c:v>
                </c:pt>
                <c:pt idx="88">
                  <c:v>0.12888304237539674</c:v>
                </c:pt>
                <c:pt idx="89">
                  <c:v>0.13178466649569157</c:v>
                </c:pt>
                <c:pt idx="90">
                  <c:v>0.13471906886371904</c:v>
                </c:pt>
                <c:pt idx="91">
                  <c:v>0.13768624947948757</c:v>
                </c:pt>
                <c:pt idx="92">
                  <c:v>0.14068620834300571</c:v>
                </c:pt>
                <c:pt idx="93">
                  <c:v>0.14371894545428204</c:v>
                </c:pt>
                <c:pt idx="94">
                  <c:v>0.14678446081332483</c:v>
                </c:pt>
                <c:pt idx="95">
                  <c:v>0.14988275442014287</c:v>
                </c:pt>
                <c:pt idx="96">
                  <c:v>0.15301382627474447</c:v>
                </c:pt>
                <c:pt idx="97">
                  <c:v>0.15617767637713822</c:v>
                </c:pt>
                <c:pt idx="98">
                  <c:v>0.15937430472733261</c:v>
                </c:pt>
                <c:pt idx="99">
                  <c:v>0.16260371132533613</c:v>
                </c:pt>
                <c:pt idx="100">
                  <c:v>0.16586589617115727</c:v>
                </c:pt>
              </c:numCache>
            </c:numRef>
          </c:val>
          <c:smooth val="0"/>
          <c:extLst>
            <c:ext xmlns:c16="http://schemas.microsoft.com/office/drawing/2014/chart" uri="{C3380CC4-5D6E-409C-BE32-E72D297353CC}">
              <c16:uniqueId val="{00000002-1074-4608-9FE8-7325A01E3563}"/>
            </c:ext>
          </c:extLst>
        </c:ser>
        <c:ser>
          <c:idx val="2"/>
          <c:order val="3"/>
          <c:tx>
            <c:strRef>
              <c:f>'Efficiency vs Load Calculations'!$BR$8</c:f>
              <c:strCache>
                <c:ptCount val="1"/>
                <c:pt idx="0">
                  <c:v>Buck ''Control'' MOSFET Loss</c:v>
                </c:pt>
              </c:strCache>
            </c:strRef>
          </c:tx>
          <c:spPr>
            <a:ln w="28575">
              <a:solidFill>
                <a:srgbClr val="808000"/>
              </a:solidFill>
              <a:prstDash val="sysDash"/>
            </a:ln>
          </c:spPr>
          <c:marker>
            <c:symbol val="none"/>
          </c:marker>
          <c:cat>
            <c:numRef>
              <c:f>'Efficiency vs Load Calculations'!$K$9:$K$109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cat>
          <c:val>
            <c:numRef>
              <c:f>'Efficiency vs Load Calculations'!$BR$9:$BR$109</c:f>
              <c:numCache>
                <c:formatCode>0.000</c:formatCode>
                <c:ptCount val="101"/>
                <c:pt idx="0">
                  <c:v>0.24048276693798412</c:v>
                </c:pt>
                <c:pt idx="1">
                  <c:v>0.24052903217875934</c:v>
                </c:pt>
                <c:pt idx="2">
                  <c:v>0.24066378912188777</c:v>
                </c:pt>
                <c:pt idx="3">
                  <c:v>0.24088705634607868</c:v>
                </c:pt>
                <c:pt idx="4">
                  <c:v>0.24119886463707982</c:v>
                </c:pt>
                <c:pt idx="5">
                  <c:v>0.24159925699829138</c:v>
                </c:pt>
                <c:pt idx="6">
                  <c:v>0.2420882886655969</c:v>
                </c:pt>
                <c:pt idx="7">
                  <c:v>0.2426660271264201</c:v>
                </c:pt>
                <c:pt idx="8">
                  <c:v>0.2433325521430208</c:v>
                </c:pt>
                <c:pt idx="9">
                  <c:v>0.24408795578004389</c:v>
                </c:pt>
                <c:pt idx="10">
                  <c:v>0.24493234243634018</c:v>
                </c:pt>
                <c:pt idx="11">
                  <c:v>0.24586582888107872</c:v>
                </c:pt>
                <c:pt idx="12">
                  <c:v>0.2468885442941747</c:v>
                </c:pt>
                <c:pt idx="13">
                  <c:v>0.24800063031105873</c:v>
                </c:pt>
                <c:pt idx="14">
                  <c:v>0.24920224107181629</c:v>
                </c:pt>
                <c:pt idx="15">
                  <c:v>0.25049354327472995</c:v>
                </c:pt>
                <c:pt idx="16">
                  <c:v>0.25187471623425839</c:v>
                </c:pt>
                <c:pt idx="17">
                  <c:v>0.25334595194349047</c:v>
                </c:pt>
                <c:pt idx="18">
                  <c:v>0.25490745514111479</c:v>
                </c:pt>
                <c:pt idx="19">
                  <c:v>0.25655944338294884</c:v>
                </c:pt>
                <c:pt idx="20">
                  <c:v>0.25830214711807414</c:v>
                </c:pt>
                <c:pt idx="21">
                  <c:v>0.26013580976962786</c:v>
                </c:pt>
                <c:pt idx="22">
                  <c:v>0.26206068782030351</c:v>
                </c:pt>
                <c:pt idx="23">
                  <c:v>0.26407705090261746</c:v>
                </c:pt>
                <c:pt idx="24">
                  <c:v>0.26618518189400098</c:v>
                </c:pt>
                <c:pt idx="25">
                  <c:v>0.26838537701678067</c:v>
                </c:pt>
                <c:pt idx="26">
                  <c:v>0.27067794594311367</c:v>
                </c:pt>
                <c:pt idx="27">
                  <c:v>0.27306321190494781</c:v>
                </c:pt>
                <c:pt idx="28">
                  <c:v>0.27554151180908037</c:v>
                </c:pt>
                <c:pt idx="29">
                  <c:v>0.27811319635739207</c:v>
                </c:pt>
                <c:pt idx="30">
                  <c:v>0.28077863017233778</c:v>
                </c:pt>
                <c:pt idx="31">
                  <c:v>0.28353819192777863</c:v>
                </c:pt>
                <c:pt idx="32">
                  <c:v>0.28639227448524374</c:v>
                </c:pt>
                <c:pt idx="33">
                  <c:v>0.28934128503571477</c:v>
                </c:pt>
                <c:pt idx="34">
                  <c:v>0.29238564524703015</c:v>
                </c:pt>
                <c:pt idx="35">
                  <c:v>0.2955257914170088</c:v>
                </c:pt>
                <c:pt idx="36">
                  <c:v>0.29876217463240151</c:v>
                </c:pt>
                <c:pt idx="37">
                  <c:v>0.30209526093377576</c:v>
                </c:pt>
                <c:pt idx="38">
                  <c:v>0.30552553148645228</c:v>
                </c:pt>
                <c:pt idx="39">
                  <c:v>0.30905348275761035</c:v>
                </c:pt>
                <c:pt idx="40">
                  <c:v>0.31267962669968591</c:v>
                </c:pt>
                <c:pt idx="41">
                  <c:v>0.31640449094019207</c:v>
                </c:pt>
                <c:pt idx="42">
                  <c:v>0.32022861897809596</c:v>
                </c:pt>
                <c:pt idx="43">
                  <c:v>0.32415257038689105</c:v>
                </c:pt>
                <c:pt idx="44">
                  <c:v>0.32817692102450968</c:v>
                </c:pt>
                <c:pt idx="45">
                  <c:v>0.33230226325022716</c:v>
                </c:pt>
                <c:pt idx="46">
                  <c:v>0.33652920614871207</c:v>
                </c:pt>
                <c:pt idx="47">
                  <c:v>0.34085837576138694</c:v>
                </c:pt>
                <c:pt idx="48">
                  <c:v>0.34529041532526622</c:v>
                </c:pt>
                <c:pt idx="49">
                  <c:v>0.34982598551944699</c:v>
                </c:pt>
                <c:pt idx="50">
                  <c:v>0.35446576471943381</c:v>
                </c:pt>
                <c:pt idx="51">
                  <c:v>0.35921044925948586</c:v>
                </c:pt>
                <c:pt idx="52">
                  <c:v>0.36406075370318136</c:v>
                </c:pt>
                <c:pt idx="53">
                  <c:v>0.36901741112240261</c:v>
                </c:pt>
                <c:pt idx="54">
                  <c:v>0.37408117338495039</c:v>
                </c:pt>
                <c:pt idx="55">
                  <c:v>0.37925281145100692</c:v>
                </c:pt>
                <c:pt idx="56">
                  <c:v>0.38453311567867243</c:v>
                </c:pt>
                <c:pt idx="57">
                  <c:v>0.38992289613881004</c:v>
                </c:pt>
                <c:pt idx="58">
                  <c:v>0.39542298293944161</c:v>
                </c:pt>
                <c:pt idx="59">
                  <c:v>0.40103422655994692</c:v>
                </c:pt>
                <c:pt idx="60">
                  <c:v>0.40675749819532614</c:v>
                </c:pt>
                <c:pt idx="61">
                  <c:v>0.41259369011079861</c:v>
                </c:pt>
                <c:pt idx="62">
                  <c:v>0.41854371600701556</c:v>
                </c:pt>
                <c:pt idx="63">
                  <c:v>0.4246085113961815</c:v>
                </c:pt>
                <c:pt idx="64">
                  <c:v>0.43078903398938306</c:v>
                </c:pt>
                <c:pt idx="65">
                  <c:v>0.43708626409544005</c:v>
                </c:pt>
                <c:pt idx="66">
                  <c:v>0.44350120503160151</c:v>
                </c:pt>
                <c:pt idx="67">
                  <c:v>0.45003488354642679</c:v>
                </c:pt>
                <c:pt idx="68">
                  <c:v>0.45668835025519661</c:v>
                </c:pt>
                <c:pt idx="69">
                  <c:v>0.46346268008821756</c:v>
                </c:pt>
                <c:pt idx="70">
                  <c:v>0.47035897275239769</c:v>
                </c:pt>
                <c:pt idx="71">
                  <c:v>0.47737835320647803</c:v>
                </c:pt>
                <c:pt idx="72">
                  <c:v>0.48452197215032844</c:v>
                </c:pt>
                <c:pt idx="73">
                  <c:v>0.4917910065287231</c:v>
                </c:pt>
                <c:pt idx="74">
                  <c:v>0.49918666005003393</c:v>
                </c:pt>
                <c:pt idx="75">
                  <c:v>0.50671016372028921</c:v>
                </c:pt>
                <c:pt idx="76">
                  <c:v>0.51436277639306716</c:v>
                </c:pt>
                <c:pt idx="77">
                  <c:v>0.5221457853357121</c:v>
                </c:pt>
                <c:pt idx="78">
                  <c:v>0.53006050681237249</c:v>
                </c:pt>
                <c:pt idx="79">
                  <c:v>0.53810828668438937</c:v>
                </c:pt>
                <c:pt idx="80">
                  <c:v>0.54629050102857346</c:v>
                </c:pt>
                <c:pt idx="81">
                  <c:v>0.55460855677393894</c:v>
                </c:pt>
                <c:pt idx="82">
                  <c:v>0.56306389235747578</c:v>
                </c:pt>
                <c:pt idx="83">
                  <c:v>0.57165797839957411</c:v>
                </c:pt>
                <c:pt idx="84">
                  <c:v>0.58039231839972238</c:v>
                </c:pt>
                <c:pt idx="85">
                  <c:v>0.58926844945314882</c:v>
                </c:pt>
                <c:pt idx="86">
                  <c:v>0.59828794298907351</c:v>
                </c:pt>
                <c:pt idx="87">
                  <c:v>0.60745240553129221</c:v>
                </c:pt>
                <c:pt idx="88">
                  <c:v>0.6167634794818182</c:v>
                </c:pt>
                <c:pt idx="89">
                  <c:v>0.62622284392835181</c:v>
                </c:pt>
                <c:pt idx="90">
                  <c:v>0.63583221547637203</c:v>
                </c:pt>
                <c:pt idx="91">
                  <c:v>0.6455933491066761</c:v>
                </c:pt>
                <c:pt idx="92">
                  <c:v>0.65550803905922861</c:v>
                </c:pt>
                <c:pt idx="93">
                  <c:v>0.66557811974421166</c:v>
                </c:pt>
                <c:pt idx="94">
                  <c:v>0.67580546668120656</c:v>
                </c:pt>
                <c:pt idx="95">
                  <c:v>0.68619199746748005</c:v>
                </c:pt>
                <c:pt idx="96">
                  <c:v>0.6967396727763705</c:v>
                </c:pt>
                <c:pt idx="97">
                  <c:v>0.70745049738683496</c:v>
                </c:pt>
                <c:pt idx="98">
                  <c:v>0.71832652124523755</c:v>
                </c:pt>
                <c:pt idx="99">
                  <c:v>0.72936984056052145</c:v>
                </c:pt>
                <c:pt idx="100">
                  <c:v>0.74058259893394252</c:v>
                </c:pt>
              </c:numCache>
            </c:numRef>
          </c:val>
          <c:smooth val="0"/>
          <c:extLst>
            <c:ext xmlns:c16="http://schemas.microsoft.com/office/drawing/2014/chart" uri="{C3380CC4-5D6E-409C-BE32-E72D297353CC}">
              <c16:uniqueId val="{00000003-1074-4608-9FE8-7325A01E3563}"/>
            </c:ext>
          </c:extLst>
        </c:ser>
        <c:ser>
          <c:idx val="1"/>
          <c:order val="4"/>
          <c:tx>
            <c:strRef>
              <c:f>'Efficiency vs Load Calculations'!$BS$8</c:f>
              <c:strCache>
                <c:ptCount val="1"/>
                <c:pt idx="0">
                  <c:v>Buck ''SYNC'' MOSFET Loss</c:v>
                </c:pt>
              </c:strCache>
            </c:strRef>
          </c:tx>
          <c:spPr>
            <a:ln w="28575">
              <a:solidFill>
                <a:srgbClr val="002060"/>
              </a:solidFill>
              <a:prstDash val="sysDash"/>
            </a:ln>
          </c:spPr>
          <c:marker>
            <c:symbol val="none"/>
          </c:marker>
          <c:cat>
            <c:numRef>
              <c:f>'Efficiency vs Load Calculations'!$K$9:$K$109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cat>
          <c:val>
            <c:numRef>
              <c:f>'Efficiency vs Load Calculations'!$BS$9:$BS$109</c:f>
              <c:numCache>
                <c:formatCode>0.000</c:formatCode>
                <c:ptCount val="101"/>
                <c:pt idx="0">
                  <c:v>0.11768064</c:v>
                </c:pt>
                <c:pt idx="1">
                  <c:v>0.12284839217875934</c:v>
                </c:pt>
                <c:pt idx="2">
                  <c:v>0.12298314912188776</c:v>
                </c:pt>
                <c:pt idx="3">
                  <c:v>0.12320641634607868</c:v>
                </c:pt>
                <c:pt idx="4">
                  <c:v>0.1235182246370798</c:v>
                </c:pt>
                <c:pt idx="5">
                  <c:v>0.12391861699829139</c:v>
                </c:pt>
                <c:pt idx="6">
                  <c:v>0.12440764866559688</c:v>
                </c:pt>
                <c:pt idx="7">
                  <c:v>0.1249853871264201</c:v>
                </c:pt>
                <c:pt idx="8">
                  <c:v>0.12565191214302079</c:v>
                </c:pt>
                <c:pt idx="9">
                  <c:v>0.12640731578004388</c:v>
                </c:pt>
                <c:pt idx="10">
                  <c:v>0.12725170243634018</c:v>
                </c:pt>
                <c:pt idx="11">
                  <c:v>0.12818518888107872</c:v>
                </c:pt>
                <c:pt idx="12">
                  <c:v>0.1292079042941747</c:v>
                </c:pt>
                <c:pt idx="13">
                  <c:v>0.13031999031105873</c:v>
                </c:pt>
                <c:pt idx="14">
                  <c:v>0.13152160107181629</c:v>
                </c:pt>
                <c:pt idx="15">
                  <c:v>0.13281290327472994</c:v>
                </c:pt>
                <c:pt idx="16">
                  <c:v>0.13419407623425839</c:v>
                </c:pt>
                <c:pt idx="17">
                  <c:v>0.13566531194349046</c:v>
                </c:pt>
                <c:pt idx="18">
                  <c:v>0.13722681514111476</c:v>
                </c:pt>
                <c:pt idx="19">
                  <c:v>0.13887880338294883</c:v>
                </c:pt>
                <c:pt idx="20">
                  <c:v>0.14062150711807414</c:v>
                </c:pt>
                <c:pt idx="21">
                  <c:v>0.14245516976962788</c:v>
                </c:pt>
                <c:pt idx="22">
                  <c:v>0.1443800478203035</c:v>
                </c:pt>
                <c:pt idx="23">
                  <c:v>0.14639641090261743</c:v>
                </c:pt>
                <c:pt idx="24">
                  <c:v>0.14850454189400097</c:v>
                </c:pt>
                <c:pt idx="25">
                  <c:v>0.15070473701678067</c:v>
                </c:pt>
                <c:pt idx="26">
                  <c:v>0.15299730594311367</c:v>
                </c:pt>
                <c:pt idx="27">
                  <c:v>0.15538257190494781</c:v>
                </c:pt>
                <c:pt idx="28">
                  <c:v>0.15786087180908037</c:v>
                </c:pt>
                <c:pt idx="29">
                  <c:v>0.16043255635739206</c:v>
                </c:pt>
                <c:pt idx="30">
                  <c:v>0.16309799017233778</c:v>
                </c:pt>
                <c:pt idx="31">
                  <c:v>0.16585755192777862</c:v>
                </c:pt>
                <c:pt idx="32">
                  <c:v>0.16871163448524373</c:v>
                </c:pt>
                <c:pt idx="33">
                  <c:v>0.17166064503571477</c:v>
                </c:pt>
                <c:pt idx="34">
                  <c:v>0.17470500524703012</c:v>
                </c:pt>
                <c:pt idx="35">
                  <c:v>0.17784515141700882</c:v>
                </c:pt>
                <c:pt idx="36">
                  <c:v>0.18108153463240148</c:v>
                </c:pt>
                <c:pt idx="37">
                  <c:v>0.18441462093377575</c:v>
                </c:pt>
                <c:pt idx="38">
                  <c:v>0.18784489148645228</c:v>
                </c:pt>
                <c:pt idx="39">
                  <c:v>0.19137284275761032</c:v>
                </c:pt>
                <c:pt idx="40">
                  <c:v>0.19499898669968591</c:v>
                </c:pt>
                <c:pt idx="41">
                  <c:v>0.19872385094019207</c:v>
                </c:pt>
                <c:pt idx="42">
                  <c:v>0.20254797897809595</c:v>
                </c:pt>
                <c:pt idx="43">
                  <c:v>0.20647193038689104</c:v>
                </c:pt>
                <c:pt idx="44">
                  <c:v>0.21049628102450968</c:v>
                </c:pt>
                <c:pt idx="45">
                  <c:v>0.21462162325022716</c:v>
                </c:pt>
                <c:pt idx="46">
                  <c:v>0.21884856614871209</c:v>
                </c:pt>
                <c:pt idx="47">
                  <c:v>0.22317773576138694</c:v>
                </c:pt>
                <c:pt idx="48">
                  <c:v>0.22760977532526622</c:v>
                </c:pt>
                <c:pt idx="49">
                  <c:v>0.23214534551944702</c:v>
                </c:pt>
                <c:pt idx="50">
                  <c:v>0.2367851247194338</c:v>
                </c:pt>
                <c:pt idx="51">
                  <c:v>0.24152980925948583</c:v>
                </c:pt>
                <c:pt idx="52">
                  <c:v>0.24638011370318136</c:v>
                </c:pt>
                <c:pt idx="53">
                  <c:v>0.2513367711224026</c:v>
                </c:pt>
                <c:pt idx="54">
                  <c:v>0.25640053338495039</c:v>
                </c:pt>
                <c:pt idx="55">
                  <c:v>0.26157217145100692</c:v>
                </c:pt>
                <c:pt idx="56">
                  <c:v>0.26685247567867243</c:v>
                </c:pt>
                <c:pt idx="57">
                  <c:v>0.27224225613881003</c:v>
                </c:pt>
                <c:pt idx="58">
                  <c:v>0.27774234293944161</c:v>
                </c:pt>
                <c:pt idx="59">
                  <c:v>0.28335358655994691</c:v>
                </c:pt>
                <c:pt idx="60">
                  <c:v>0.28907685819532614</c:v>
                </c:pt>
                <c:pt idx="61">
                  <c:v>0.2949130501107986</c:v>
                </c:pt>
                <c:pt idx="62">
                  <c:v>0.30086307600701556</c:v>
                </c:pt>
                <c:pt idx="63">
                  <c:v>0.3069278713961815</c:v>
                </c:pt>
                <c:pt idx="64">
                  <c:v>0.31310839398938306</c:v>
                </c:pt>
                <c:pt idx="65">
                  <c:v>0.31940562409544004</c:v>
                </c:pt>
                <c:pt idx="66">
                  <c:v>0.32582056503160151</c:v>
                </c:pt>
                <c:pt idx="67">
                  <c:v>0.33235424354642679</c:v>
                </c:pt>
                <c:pt idx="68">
                  <c:v>0.3390077102551966</c:v>
                </c:pt>
                <c:pt idx="69">
                  <c:v>0.34578204008821756</c:v>
                </c:pt>
                <c:pt idx="70">
                  <c:v>0.35267833275239768</c:v>
                </c:pt>
                <c:pt idx="71">
                  <c:v>0.35969771320647803</c:v>
                </c:pt>
                <c:pt idx="72">
                  <c:v>0.36684133215032844</c:v>
                </c:pt>
                <c:pt idx="73">
                  <c:v>0.37411036652872309</c:v>
                </c:pt>
                <c:pt idx="74">
                  <c:v>0.38150602005003392</c:v>
                </c:pt>
                <c:pt idx="75">
                  <c:v>0.38902952372028921</c:v>
                </c:pt>
                <c:pt idx="76">
                  <c:v>0.39668213639306721</c:v>
                </c:pt>
                <c:pt idx="77">
                  <c:v>0.40446514533571215</c:v>
                </c:pt>
                <c:pt idx="78">
                  <c:v>0.41237986681237254</c:v>
                </c:pt>
                <c:pt idx="79">
                  <c:v>0.42042764668438931</c:v>
                </c:pt>
                <c:pt idx="80">
                  <c:v>0.4286098610285734</c:v>
                </c:pt>
                <c:pt idx="81">
                  <c:v>0.43692791677393888</c:v>
                </c:pt>
                <c:pt idx="82">
                  <c:v>0.44538325235747583</c:v>
                </c:pt>
                <c:pt idx="83">
                  <c:v>0.4539773383995741</c:v>
                </c:pt>
                <c:pt idx="84">
                  <c:v>0.46271167839972244</c:v>
                </c:pt>
                <c:pt idx="85">
                  <c:v>0.47158780945314877</c:v>
                </c:pt>
                <c:pt idx="86">
                  <c:v>0.48060730298907356</c:v>
                </c:pt>
                <c:pt idx="87">
                  <c:v>0.48977176553129226</c:v>
                </c:pt>
                <c:pt idx="88">
                  <c:v>0.49908283948181825</c:v>
                </c:pt>
                <c:pt idx="89">
                  <c:v>0.50854220392835181</c:v>
                </c:pt>
                <c:pt idx="90">
                  <c:v>0.51815157547637203</c:v>
                </c:pt>
                <c:pt idx="91">
                  <c:v>0.5279127091066762</c:v>
                </c:pt>
                <c:pt idx="92">
                  <c:v>0.53782739905922861</c:v>
                </c:pt>
                <c:pt idx="93">
                  <c:v>0.54789747974421166</c:v>
                </c:pt>
                <c:pt idx="94">
                  <c:v>0.55812482668120644</c:v>
                </c:pt>
                <c:pt idx="95">
                  <c:v>0.56851135746748005</c:v>
                </c:pt>
                <c:pt idx="96">
                  <c:v>0.5790590327763705</c:v>
                </c:pt>
                <c:pt idx="97">
                  <c:v>0.58976985738683485</c:v>
                </c:pt>
                <c:pt idx="98">
                  <c:v>0.60064588124523755</c:v>
                </c:pt>
                <c:pt idx="99">
                  <c:v>0.61168920056052145</c:v>
                </c:pt>
                <c:pt idx="100">
                  <c:v>0.62290195893394251</c:v>
                </c:pt>
              </c:numCache>
            </c:numRef>
          </c:val>
          <c:smooth val="0"/>
          <c:extLst>
            <c:ext xmlns:c16="http://schemas.microsoft.com/office/drawing/2014/chart" uri="{C3380CC4-5D6E-409C-BE32-E72D297353CC}">
              <c16:uniqueId val="{00000004-1074-4608-9FE8-7325A01E3563}"/>
            </c:ext>
          </c:extLst>
        </c:ser>
        <c:ser>
          <c:idx val="4"/>
          <c:order val="5"/>
          <c:tx>
            <c:strRef>
              <c:f>'Efficiency vs Load Calculations'!$BT$8</c:f>
              <c:strCache>
                <c:ptCount val="1"/>
                <c:pt idx="0">
                  <c:v>Boost ''Control'' MOSFET Loss</c:v>
                </c:pt>
              </c:strCache>
            </c:strRef>
          </c:tx>
          <c:spPr>
            <a:ln>
              <a:prstDash val="sysDash"/>
            </a:ln>
          </c:spPr>
          <c:marker>
            <c:symbol val="none"/>
          </c:marker>
          <c:cat>
            <c:numRef>
              <c:f>'Efficiency vs Load Calculations'!$K$9:$K$109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cat>
          <c:val>
            <c:numRef>
              <c:f>'Efficiency vs Load Calculations'!$BT$9:$BT$109</c:f>
              <c:numCache>
                <c:formatCode>0.000</c:formatCode>
                <c:ptCount val="101"/>
                <c:pt idx="0">
                  <c:v>0.2679007669571703</c:v>
                </c:pt>
                <c:pt idx="1">
                  <c:v>0.27683381341755731</c:v>
                </c:pt>
                <c:pt idx="2">
                  <c:v>0.28198280941897713</c:v>
                </c:pt>
                <c:pt idx="3">
                  <c:v>0.28722173136225021</c:v>
                </c:pt>
                <c:pt idx="4">
                  <c:v>0.29255095605252807</c:v>
                </c:pt>
                <c:pt idx="5">
                  <c:v>0.29797087285169011</c:v>
                </c:pt>
                <c:pt idx="6">
                  <c:v>0.30348188377292151</c:v>
                </c:pt>
                <c:pt idx="7">
                  <c:v>0.30908440357970668</c:v>
                </c:pt>
                <c:pt idx="8">
                  <c:v>0.31477885988928817</c:v>
                </c:pt>
                <c:pt idx="9">
                  <c:v>0.32056569328064588</c:v>
                </c:pt>
                <c:pt idx="10">
                  <c:v>0.32644535740705294</c:v>
                </c:pt>
                <c:pt idx="11">
                  <c:v>0.3324183191132683</c:v>
                </c:pt>
                <c:pt idx="12">
                  <c:v>0.33848505855742911</c:v>
                </c:pt>
                <c:pt idx="13">
                  <c:v>0.34464606933770919</c:v>
                </c:pt>
                <c:pt idx="14">
                  <c:v>0.35090185862381218</c:v>
                </c:pt>
                <c:pt idx="15">
                  <c:v>0.35725294729337326</c:v>
                </c:pt>
                <c:pt idx="16">
                  <c:v>0.36369987007334381</c:v>
                </c:pt>
                <c:pt idx="17">
                  <c:v>0.37024317568643983</c:v>
                </c:pt>
                <c:pt idx="18">
                  <c:v>0.37688342700273558</c:v>
                </c:pt>
                <c:pt idx="19">
                  <c:v>0.38409670394416073</c:v>
                </c:pt>
                <c:pt idx="20">
                  <c:v>0.39261239061440567</c:v>
                </c:pt>
                <c:pt idx="21">
                  <c:v>0.40122840114272823</c:v>
                </c:pt>
                <c:pt idx="22">
                  <c:v>0.40994547543245363</c:v>
                </c:pt>
                <c:pt idx="23">
                  <c:v>0.4187643688423674</c:v>
                </c:pt>
                <c:pt idx="24">
                  <c:v>0.42768585239988821</c:v>
                </c:pt>
                <c:pt idx="25">
                  <c:v>0.4367107130203311</c:v>
                </c:pt>
                <c:pt idx="26">
                  <c:v>0.44583975373239104</c:v>
                </c:pt>
                <c:pt idx="27">
                  <c:v>0.45507379390997849</c:v>
                </c:pt>
                <c:pt idx="28">
                  <c:v>0.46441366951054797</c:v>
                </c:pt>
                <c:pt idx="29">
                  <c:v>0.47386023332005911</c:v>
                </c:pt>
                <c:pt idx="30">
                  <c:v>0.48341435520472192</c:v>
                </c:pt>
                <c:pt idx="31">
                  <c:v>0.49307692236967582</c:v>
                </c:pt>
                <c:pt idx="32">
                  <c:v>0.50284883962476412</c:v>
                </c:pt>
                <c:pt idx="33">
                  <c:v>0.51273102965756534</c:v>
                </c:pt>
                <c:pt idx="34">
                  <c:v>0.52272443331385321</c:v>
                </c:pt>
                <c:pt idx="35">
                  <c:v>0.53283000988565909</c:v>
                </c:pt>
                <c:pt idx="36">
                  <c:v>0.54304873740711901</c:v>
                </c:pt>
                <c:pt idx="37">
                  <c:v>0.55338161295829247</c:v>
                </c:pt>
                <c:pt idx="38">
                  <c:v>0.56382965297714871</c:v>
                </c:pt>
                <c:pt idx="39">
                  <c:v>0.57439389357991799</c:v>
                </c:pt>
                <c:pt idx="40">
                  <c:v>0.58507539089002036</c:v>
                </c:pt>
                <c:pt idx="41">
                  <c:v>0.59587522137577931</c:v>
                </c:pt>
                <c:pt idx="42">
                  <c:v>0.60679448219715049</c:v>
                </c:pt>
                <c:pt idx="43">
                  <c:v>0.61783429156168879</c:v>
                </c:pt>
                <c:pt idx="44">
                  <c:v>0.62899578908999154</c:v>
                </c:pt>
                <c:pt idx="45">
                  <c:v>0.64028013619086943</c:v>
                </c:pt>
                <c:pt idx="46">
                  <c:v>0.65168851644648906</c:v>
                </c:pt>
                <c:pt idx="47">
                  <c:v>0.66322213600775659</c:v>
                </c:pt>
                <c:pt idx="48">
                  <c:v>0.67488222400021303</c:v>
                </c:pt>
                <c:pt idx="49">
                  <c:v>0.68667003294071738</c:v>
                </c:pt>
                <c:pt idx="50">
                  <c:v>0.69858683916521325</c:v>
                </c:pt>
                <c:pt idx="51">
                  <c:v>0.71063394326787499</c:v>
                </c:pt>
                <c:pt idx="52">
                  <c:v>0.72281267055194476</c:v>
                </c:pt>
                <c:pt idx="53">
                  <c:v>0.73512437149258414</c:v>
                </c:pt>
                <c:pt idx="54">
                  <c:v>0.74757042221206782</c:v>
                </c:pt>
                <c:pt idx="55">
                  <c:v>0.76015222496766566</c:v>
                </c:pt>
                <c:pt idx="56">
                  <c:v>0.77287120865256909</c:v>
                </c:pt>
                <c:pt idx="57">
                  <c:v>0.78572882931022625</c:v>
                </c:pt>
                <c:pt idx="58">
                  <c:v>0.79872657066247221</c:v>
                </c:pt>
                <c:pt idx="59">
                  <c:v>0.81186594465184014</c:v>
                </c:pt>
                <c:pt idx="60">
                  <c:v>0.82514849199846763</c:v>
                </c:pt>
                <c:pt idx="61">
                  <c:v>0.83857578277201705</c:v>
                </c:pt>
                <c:pt idx="62">
                  <c:v>0.85214941697904623</c:v>
                </c:pt>
                <c:pt idx="63">
                  <c:v>0.865871025166282</c:v>
                </c:pt>
                <c:pt idx="64">
                  <c:v>0.87974226904026598</c:v>
                </c:pt>
                <c:pt idx="65">
                  <c:v>0.8937648421038531</c:v>
                </c:pt>
                <c:pt idx="66">
                  <c:v>0.90794047031006708</c:v>
                </c:pt>
                <c:pt idx="67">
                  <c:v>0.92227091273383688</c:v>
                </c:pt>
                <c:pt idx="68">
                  <c:v>0.9367579622621417</c:v>
                </c:pt>
                <c:pt idx="69">
                  <c:v>0.95140344630313134</c:v>
                </c:pt>
                <c:pt idx="70">
                  <c:v>0.96620922751479854</c:v>
                </c:pt>
                <c:pt idx="71">
                  <c:v>0.98117720455379465</c:v>
                </c:pt>
                <c:pt idx="72">
                  <c:v>0.99630931284501845</c:v>
                </c:pt>
                <c:pt idx="73">
                  <c:v>1.0116075253726153</c:v>
                </c:pt>
                <c:pt idx="74">
                  <c:v>1.0270738534930532</c:v>
                </c:pt>
                <c:pt idx="75">
                  <c:v>1.0427103477709707</c:v>
                </c:pt>
                <c:pt idx="76">
                  <c:v>1.0585190988385071</c:v>
                </c:pt>
                <c:pt idx="77">
                  <c:v>1.0745022382788632</c:v>
                </c:pt>
                <c:pt idx="78">
                  <c:v>1.09066193953486</c:v>
                </c:pt>
                <c:pt idx="79">
                  <c:v>1.1070004188432976</c:v>
                </c:pt>
                <c:pt idx="80">
                  <c:v>1.1235199361959389</c:v>
                </c:pt>
                <c:pt idx="81">
                  <c:v>1.1402227963279836</c:v>
                </c:pt>
                <c:pt idx="82">
                  <c:v>1.1571113497349224</c:v>
                </c:pt>
                <c:pt idx="83">
                  <c:v>1.1741879937187023</c:v>
                </c:pt>
                <c:pt idx="84">
                  <c:v>1.1914551734641552</c:v>
                </c:pt>
                <c:pt idx="85">
                  <c:v>1.2089153831467079</c:v>
                </c:pt>
                <c:pt idx="86">
                  <c:v>1.2265711670723882</c:v>
                </c:pt>
                <c:pt idx="87">
                  <c:v>1.2444251208512223</c:v>
                </c:pt>
                <c:pt idx="88">
                  <c:v>1.2624798926051382</c:v>
                </c:pt>
                <c:pt idx="89">
                  <c:v>1.2807381842115328</c:v>
                </c:pt>
                <c:pt idx="90">
                  <c:v>1.2992027525837206</c:v>
                </c:pt>
                <c:pt idx="91">
                  <c:v>1.3178764109895109</c:v>
                </c:pt>
                <c:pt idx="92">
                  <c:v>1.3367620304092307</c:v>
                </c:pt>
                <c:pt idx="93">
                  <c:v>1.3558625409345413</c:v>
                </c:pt>
                <c:pt idx="94">
                  <c:v>1.3751809332094647</c:v>
                </c:pt>
                <c:pt idx="95">
                  <c:v>1.3947202599150936</c:v>
                </c:pt>
                <c:pt idx="96">
                  <c:v>1.4144836372995016</c:v>
                </c:pt>
                <c:pt idx="97">
                  <c:v>1.4344742467544565</c:v>
                </c:pt>
                <c:pt idx="98">
                  <c:v>1.4546953364405828</c:v>
                </c:pt>
                <c:pt idx="99">
                  <c:v>1.4751502229627012</c:v>
                </c:pt>
                <c:pt idx="100">
                  <c:v>1.4958422930971293</c:v>
                </c:pt>
              </c:numCache>
            </c:numRef>
          </c:val>
          <c:smooth val="0"/>
          <c:extLst>
            <c:ext xmlns:c16="http://schemas.microsoft.com/office/drawing/2014/chart" uri="{C3380CC4-5D6E-409C-BE32-E72D297353CC}">
              <c16:uniqueId val="{00000005-1074-4608-9FE8-7325A01E3563}"/>
            </c:ext>
          </c:extLst>
        </c:ser>
        <c:ser>
          <c:idx val="5"/>
          <c:order val="6"/>
          <c:tx>
            <c:strRef>
              <c:f>'Efficiency vs Load Calculations'!$BU$8</c:f>
              <c:strCache>
                <c:ptCount val="1"/>
                <c:pt idx="0">
                  <c:v>Boost ''SYNC'' MOSFET Loss</c:v>
                </c:pt>
              </c:strCache>
            </c:strRef>
          </c:tx>
          <c:spPr>
            <a:ln>
              <a:prstDash val="sysDash"/>
            </a:ln>
          </c:spPr>
          <c:marker>
            <c:symbol val="none"/>
          </c:marker>
          <c:cat>
            <c:numRef>
              <c:f>'Efficiency vs Load Calculations'!$K$9:$K$109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cat>
          <c:val>
            <c:numRef>
              <c:f>'Efficiency vs Load Calculations'!$BU$9:$BU$109</c:f>
              <c:numCache>
                <c:formatCode>0.000</c:formatCode>
                <c:ptCount val="101"/>
                <c:pt idx="0">
                  <c:v>0.15280167560972616</c:v>
                </c:pt>
                <c:pt idx="1">
                  <c:v>0.15582459187245032</c:v>
                </c:pt>
                <c:pt idx="2">
                  <c:v>0.15764477339600882</c:v>
                </c:pt>
                <c:pt idx="3">
                  <c:v>0.15955441843833623</c:v>
                </c:pt>
                <c:pt idx="4">
                  <c:v>0.16155367420782535</c:v>
                </c:pt>
                <c:pt idx="5">
                  <c:v>0.16364270031037134</c:v>
                </c:pt>
                <c:pt idx="6">
                  <c:v>0.16582166879107596</c:v>
                </c:pt>
                <c:pt idx="7">
                  <c:v>0.16809076418026478</c:v>
                </c:pt>
                <c:pt idx="8">
                  <c:v>0.17045018354384206</c:v>
                </c:pt>
                <c:pt idx="9">
                  <c:v>0.17290013653801151</c:v>
                </c:pt>
                <c:pt idx="10">
                  <c:v>0.17544084546839453</c:v>
                </c:pt>
                <c:pt idx="11">
                  <c:v>0.17807254535357889</c:v>
                </c:pt>
                <c:pt idx="12">
                  <c:v>0.1807954839931355</c:v>
                </c:pt>
                <c:pt idx="13">
                  <c:v>0.18360992204014243</c:v>
                </c:pt>
                <c:pt idx="14">
                  <c:v>0.18651613307825918</c:v>
                </c:pt>
                <c:pt idx="15">
                  <c:v>0.18951440370339695</c:v>
                </c:pt>
                <c:pt idx="16">
                  <c:v>0.19260503361003356</c:v>
                </c:pt>
                <c:pt idx="17">
                  <c:v>0.19578833568222503</c:v>
                </c:pt>
                <c:pt idx="18">
                  <c:v>0.1990646360893687</c:v>
                </c:pt>
                <c:pt idx="19">
                  <c:v>0.20290977713444763</c:v>
                </c:pt>
                <c:pt idx="20">
                  <c:v>0.20805290432723261</c:v>
                </c:pt>
                <c:pt idx="21">
                  <c:v>0.21329169217090604</c:v>
                </c:pt>
                <c:pt idx="22">
                  <c:v>0.21862663985287098</c:v>
                </c:pt>
                <c:pt idx="23">
                  <c:v>0.22405826086791483</c:v>
                </c:pt>
                <c:pt idx="24">
                  <c:v>0.22958708317258447</c:v>
                </c:pt>
                <c:pt idx="25">
                  <c:v>0.23521364934505359</c:v>
                </c:pt>
                <c:pt idx="26">
                  <c:v>0.24093851675058003</c:v>
                </c:pt>
                <c:pt idx="27">
                  <c:v>0.24676225771265431</c:v>
                </c:pt>
                <c:pt idx="28">
                  <c:v>0.25268545968994693</c:v>
                </c:pt>
                <c:pt idx="29">
                  <c:v>0.25870872545916235</c:v>
                </c:pt>
                <c:pt idx="30">
                  <c:v>0.2648326733039168</c:v>
                </c:pt>
                <c:pt idx="31">
                  <c:v>0.27105793720975657</c:v>
                </c:pt>
                <c:pt idx="32">
                  <c:v>0.27738516706544292</c:v>
                </c:pt>
                <c:pt idx="33">
                  <c:v>0.28381502887062982</c:v>
                </c:pt>
                <c:pt idx="34">
                  <c:v>0.29034820495006952</c:v>
                </c:pt>
                <c:pt idx="35">
                  <c:v>0.29698539417448355</c:v>
                </c:pt>
                <c:pt idx="36">
                  <c:v>0.30372731218824306</c:v>
                </c:pt>
                <c:pt idx="37">
                  <c:v>0.31057469164400731</c:v>
                </c:pt>
                <c:pt idx="38">
                  <c:v>0.31752828244447406</c:v>
                </c:pt>
                <c:pt idx="39">
                  <c:v>0.32458885199140353</c:v>
                </c:pt>
                <c:pt idx="40">
                  <c:v>0.33175718544208033</c:v>
                </c:pt>
                <c:pt idx="41">
                  <c:v>0.33903408597338558</c:v>
                </c:pt>
                <c:pt idx="42">
                  <c:v>0.34642037505365841</c:v>
                </c:pt>
                <c:pt idx="43">
                  <c:v>0.35391689272253002</c:v>
                </c:pt>
                <c:pt idx="44">
                  <c:v>0.36152449787892244</c:v>
                </c:pt>
                <c:pt idx="45">
                  <c:v>0.36924406857741038</c:v>
                </c:pt>
                <c:pt idx="46">
                  <c:v>0.37707650233314965</c:v>
                </c:pt>
                <c:pt idx="47">
                  <c:v>0.38502271643558694</c:v>
                </c:pt>
                <c:pt idx="48">
                  <c:v>0.39308364827116943</c:v>
                </c:pt>
                <c:pt idx="49">
                  <c:v>0.40126025565528251</c:v>
                </c:pt>
                <c:pt idx="50">
                  <c:v>0.40955351717365146</c:v>
                </c:pt>
                <c:pt idx="51">
                  <c:v>0.41796443253345261</c:v>
                </c:pt>
                <c:pt idx="52">
                  <c:v>0.42649402292438449</c:v>
                </c:pt>
                <c:pt idx="53">
                  <c:v>0.43514333138996425</c:v>
                </c:pt>
                <c:pt idx="54">
                  <c:v>0.44391342320931776</c:v>
                </c:pt>
                <c:pt idx="55">
                  <c:v>0.45280538628974593</c:v>
                </c:pt>
                <c:pt idx="56">
                  <c:v>0.46182033157035768</c:v>
                </c:pt>
                <c:pt idx="57">
                  <c:v>0.47095939343707111</c:v>
                </c:pt>
                <c:pt idx="58">
                  <c:v>0.4802237301492947</c:v>
                </c:pt>
                <c:pt idx="59">
                  <c:v>0.48961452427861113</c:v>
                </c:pt>
                <c:pt idx="60">
                  <c:v>0.49913298315979887</c:v>
                </c:pt>
                <c:pt idx="61">
                  <c:v>0.50878033935453915</c:v>
                </c:pt>
                <c:pt idx="62">
                  <c:v>0.51855785112816399</c:v>
                </c:pt>
                <c:pt idx="63">
                  <c:v>0.5284668029398214</c:v>
                </c:pt>
                <c:pt idx="64">
                  <c:v>0.53850850594644051</c:v>
                </c:pt>
                <c:pt idx="65">
                  <c:v>0.54868429852089484</c:v>
                </c:pt>
                <c:pt idx="66">
                  <c:v>0.55899554678477903</c:v>
                </c:pt>
                <c:pt idx="67">
                  <c:v>0.56944364515622836</c:v>
                </c:pt>
                <c:pt idx="68">
                  <c:v>0.58003001691322209</c:v>
                </c:pt>
                <c:pt idx="69">
                  <c:v>0.5907561147728313</c:v>
                </c:pt>
                <c:pt idx="70">
                  <c:v>0.60162342148689252</c:v>
                </c:pt>
                <c:pt idx="71">
                  <c:v>0.61263345045459461</c:v>
                </c:pt>
                <c:pt idx="72">
                  <c:v>0.62378774635249723</c:v>
                </c:pt>
                <c:pt idx="73">
                  <c:v>0.63508788578250863</c:v>
                </c:pt>
                <c:pt idx="74">
                  <c:v>0.64653547793837696</c:v>
                </c:pt>
                <c:pt idx="75">
                  <c:v>0.65813216529126317</c:v>
                </c:pt>
                <c:pt idx="76">
                  <c:v>0.66987962429499015</c:v>
                </c:pt>
                <c:pt idx="77">
                  <c:v>0.68177956611158363</c:v>
                </c:pt>
                <c:pt idx="78">
                  <c:v>0.69383373735774057</c:v>
                </c:pt>
                <c:pt idx="79">
                  <c:v>0.70604392087288903</c:v>
                </c:pt>
                <c:pt idx="80">
                  <c:v>0.71841193650952451</c:v>
                </c:pt>
                <c:pt idx="81">
                  <c:v>0.73093964194653627</c:v>
                </c:pt>
                <c:pt idx="82">
                  <c:v>0.74362893352626414</c:v>
                </c:pt>
                <c:pt idx="83">
                  <c:v>0.75648174711605576</c:v>
                </c:pt>
                <c:pt idx="84">
                  <c:v>0.76950005899511331</c:v>
                </c:pt>
                <c:pt idx="85">
                  <c:v>0.78268588676747297</c:v>
                </c:pt>
                <c:pt idx="86">
                  <c:v>0.79604129030196125</c:v>
                </c:pt>
                <c:pt idx="87">
                  <c:v>0.80956837270003401</c:v>
                </c:pt>
                <c:pt idx="88">
                  <c:v>0.82326928129242294</c:v>
                </c:pt>
                <c:pt idx="89">
                  <c:v>0.83714620866554945</c:v>
                </c:pt>
                <c:pt idx="90">
                  <c:v>0.85120139371871761</c:v>
                </c:pt>
                <c:pt idx="91">
                  <c:v>0.86543712275312201</c:v>
                </c:pt>
                <c:pt idx="92">
                  <c:v>0.87985573059375755</c:v>
                </c:pt>
                <c:pt idx="93">
                  <c:v>0.89445960174535677</c:v>
                </c:pt>
                <c:pt idx="94">
                  <c:v>0.90925117158352642</c:v>
                </c:pt>
                <c:pt idx="95">
                  <c:v>0.92423292758230791</c:v>
                </c:pt>
                <c:pt idx="96">
                  <c:v>0.93940741057941801</c:v>
                </c:pt>
                <c:pt idx="97">
                  <c:v>0.95477721608050559</c:v>
                </c:pt>
                <c:pt idx="98">
                  <c:v>0.97034499560378573</c:v>
                </c:pt>
                <c:pt idx="99">
                  <c:v>0.98611345806648754</c:v>
                </c:pt>
                <c:pt idx="100">
                  <c:v>1.0020853712146029</c:v>
                </c:pt>
              </c:numCache>
            </c:numRef>
          </c:val>
          <c:smooth val="0"/>
          <c:extLst>
            <c:ext xmlns:c16="http://schemas.microsoft.com/office/drawing/2014/chart" uri="{C3380CC4-5D6E-409C-BE32-E72D297353CC}">
              <c16:uniqueId val="{00000006-1074-4608-9FE8-7325A01E3563}"/>
            </c:ext>
          </c:extLst>
        </c:ser>
        <c:dLbls>
          <c:showLegendKey val="0"/>
          <c:showVal val="0"/>
          <c:showCatName val="0"/>
          <c:showSerName val="0"/>
          <c:showPercent val="0"/>
          <c:showBubbleSize val="0"/>
        </c:dLbls>
        <c:marker val="1"/>
        <c:smooth val="0"/>
        <c:axId val="196371584"/>
        <c:axId val="196361216"/>
      </c:lineChart>
      <c:catAx>
        <c:axId val="19635712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359296"/>
        <c:crosses val="autoZero"/>
        <c:auto val="1"/>
        <c:lblAlgn val="ctr"/>
        <c:lblOffset val="100"/>
        <c:tickLblSkip val="20"/>
        <c:tickMarkSkip val="20"/>
        <c:noMultiLvlLbl val="1"/>
      </c:catAx>
      <c:valAx>
        <c:axId val="196359296"/>
        <c:scaling>
          <c:orientation val="minMax"/>
          <c:max val="100"/>
          <c:min val="7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357120"/>
        <c:crosses val="autoZero"/>
        <c:crossBetween val="between"/>
        <c:majorUnit val="5"/>
        <c:minorUnit val="2.5"/>
      </c:valAx>
      <c:valAx>
        <c:axId val="19636121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371584"/>
        <c:crosses val="max"/>
        <c:crossBetween val="between"/>
      </c:valAx>
      <c:catAx>
        <c:axId val="196371584"/>
        <c:scaling>
          <c:orientation val="minMax"/>
        </c:scaling>
        <c:delete val="1"/>
        <c:axPos val="b"/>
        <c:numFmt formatCode="General" sourceLinked="1"/>
        <c:majorTickMark val="out"/>
        <c:minorTickMark val="none"/>
        <c:tickLblPos val="nextTo"/>
        <c:crossAx val="196361216"/>
        <c:crosses val="autoZero"/>
        <c:auto val="1"/>
        <c:lblAlgn val="ctr"/>
        <c:lblOffset val="100"/>
        <c:noMultiLvlLbl val="0"/>
      </c:catAx>
      <c:spPr>
        <a:noFill/>
        <a:ln w="25400">
          <a:noFill/>
        </a:ln>
      </c:spPr>
    </c:plotArea>
    <c:legend>
      <c:legendPos val="t"/>
      <c:layout>
        <c:manualLayout>
          <c:xMode val="edge"/>
          <c:yMode val="edge"/>
          <c:x val="0.70196219610883936"/>
          <c:y val="1.1892626175886978E-2"/>
          <c:w val="0.29803780389116075"/>
          <c:h val="0.22140238015534561"/>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I</a:t>
            </a:r>
            <a:r>
              <a:rPr lang="en-US" sz="1800" b="1" i="0" u="none" strike="noStrike" baseline="-25000"/>
              <a:t>OUT</a:t>
            </a:r>
            <a:r>
              <a:rPr lang="en-US" sz="1800" b="1" i="0" u="none" strike="noStrike" baseline="0"/>
              <a:t> = I</a:t>
            </a:r>
            <a:r>
              <a:rPr lang="en-US" sz="1800" b="1" i="0" u="none" strike="noStrike" baseline="-25000"/>
              <a:t>OUT(max)</a:t>
            </a:r>
            <a:endParaRPr lang="en-US" sz="1800">
              <a:latin typeface="Arial" pitchFamily="34" charset="0"/>
              <a:cs typeface="Arial" pitchFamily="34" charset="0"/>
            </a:endParaRPr>
          </a:p>
        </c:rich>
      </c:tx>
      <c:layout>
        <c:manualLayout>
          <c:xMode val="edge"/>
          <c:yMode val="edge"/>
          <c:x val="8.6461554556559683E-2"/>
          <c:y val="5.1078541245190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31750">
              <a:solidFill>
                <a:srgbClr val="FF0000"/>
              </a:solidFill>
              <a:prstDash val="solid"/>
            </a:ln>
          </c:spPr>
          <c:marker>
            <c:symbol val="none"/>
          </c:marker>
          <c:cat>
            <c:numRef>
              <c:f>'Efficiency vs VIN Calculations'!$H$9:$H$209</c:f>
              <c:numCache>
                <c:formatCode>0.00</c:formatCode>
                <c:ptCount val="201"/>
                <c:pt idx="0">
                  <c:v>6</c:v>
                </c:pt>
                <c:pt idx="1">
                  <c:v>6.15</c:v>
                </c:pt>
                <c:pt idx="2">
                  <c:v>6.3</c:v>
                </c:pt>
                <c:pt idx="3">
                  <c:v>6.45</c:v>
                </c:pt>
                <c:pt idx="4">
                  <c:v>6.6</c:v>
                </c:pt>
                <c:pt idx="5">
                  <c:v>6.75</c:v>
                </c:pt>
                <c:pt idx="6">
                  <c:v>6.9</c:v>
                </c:pt>
                <c:pt idx="7">
                  <c:v>7.05</c:v>
                </c:pt>
                <c:pt idx="8">
                  <c:v>7.2</c:v>
                </c:pt>
                <c:pt idx="9">
                  <c:v>7.35</c:v>
                </c:pt>
                <c:pt idx="10">
                  <c:v>7.5</c:v>
                </c:pt>
                <c:pt idx="11">
                  <c:v>7.65</c:v>
                </c:pt>
                <c:pt idx="12">
                  <c:v>7.8</c:v>
                </c:pt>
                <c:pt idx="13">
                  <c:v>7.95</c:v>
                </c:pt>
                <c:pt idx="14">
                  <c:v>8.1</c:v>
                </c:pt>
                <c:pt idx="15">
                  <c:v>8.25</c:v>
                </c:pt>
                <c:pt idx="16">
                  <c:v>8.4</c:v>
                </c:pt>
                <c:pt idx="17">
                  <c:v>8.5500000000000007</c:v>
                </c:pt>
                <c:pt idx="18">
                  <c:v>8.6999999999999993</c:v>
                </c:pt>
                <c:pt idx="19">
                  <c:v>8.85</c:v>
                </c:pt>
                <c:pt idx="20">
                  <c:v>9</c:v>
                </c:pt>
                <c:pt idx="21">
                  <c:v>9.15</c:v>
                </c:pt>
                <c:pt idx="22">
                  <c:v>9.3000000000000007</c:v>
                </c:pt>
                <c:pt idx="23">
                  <c:v>9.4499999999999993</c:v>
                </c:pt>
                <c:pt idx="24">
                  <c:v>9.6</c:v>
                </c:pt>
                <c:pt idx="25">
                  <c:v>9.75</c:v>
                </c:pt>
                <c:pt idx="26">
                  <c:v>9.9</c:v>
                </c:pt>
                <c:pt idx="27">
                  <c:v>10.050000000000001</c:v>
                </c:pt>
                <c:pt idx="28">
                  <c:v>10.199999999999999</c:v>
                </c:pt>
                <c:pt idx="29">
                  <c:v>10.35</c:v>
                </c:pt>
                <c:pt idx="30">
                  <c:v>10.5</c:v>
                </c:pt>
                <c:pt idx="31">
                  <c:v>10.65</c:v>
                </c:pt>
                <c:pt idx="32">
                  <c:v>10.8</c:v>
                </c:pt>
                <c:pt idx="33">
                  <c:v>10.95</c:v>
                </c:pt>
                <c:pt idx="34">
                  <c:v>11.100000000000001</c:v>
                </c:pt>
                <c:pt idx="35">
                  <c:v>11.25</c:v>
                </c:pt>
                <c:pt idx="36">
                  <c:v>11.399999999999999</c:v>
                </c:pt>
                <c:pt idx="37">
                  <c:v>11.55</c:v>
                </c:pt>
                <c:pt idx="38">
                  <c:v>11.7</c:v>
                </c:pt>
                <c:pt idx="39">
                  <c:v>11.850000000000001</c:v>
                </c:pt>
                <c:pt idx="40">
                  <c:v>12</c:v>
                </c:pt>
                <c:pt idx="41">
                  <c:v>12.149999999999999</c:v>
                </c:pt>
                <c:pt idx="42">
                  <c:v>12.3</c:v>
                </c:pt>
                <c:pt idx="43">
                  <c:v>12.45</c:v>
                </c:pt>
                <c:pt idx="44">
                  <c:v>12.6</c:v>
                </c:pt>
                <c:pt idx="45">
                  <c:v>12.75</c:v>
                </c:pt>
                <c:pt idx="46">
                  <c:v>12.9</c:v>
                </c:pt>
                <c:pt idx="47">
                  <c:v>13.05</c:v>
                </c:pt>
                <c:pt idx="48">
                  <c:v>13.2</c:v>
                </c:pt>
                <c:pt idx="49">
                  <c:v>13.35</c:v>
                </c:pt>
                <c:pt idx="50">
                  <c:v>13.5</c:v>
                </c:pt>
                <c:pt idx="51">
                  <c:v>13.65</c:v>
                </c:pt>
                <c:pt idx="52">
                  <c:v>13.8</c:v>
                </c:pt>
                <c:pt idx="53">
                  <c:v>13.95</c:v>
                </c:pt>
                <c:pt idx="54">
                  <c:v>14.100000000000001</c:v>
                </c:pt>
                <c:pt idx="55">
                  <c:v>14.25</c:v>
                </c:pt>
                <c:pt idx="56">
                  <c:v>14.4</c:v>
                </c:pt>
                <c:pt idx="57">
                  <c:v>14.549999999999999</c:v>
                </c:pt>
                <c:pt idx="58">
                  <c:v>14.7</c:v>
                </c:pt>
                <c:pt idx="59">
                  <c:v>14.85</c:v>
                </c:pt>
                <c:pt idx="60">
                  <c:v>15</c:v>
                </c:pt>
                <c:pt idx="61">
                  <c:v>15.15</c:v>
                </c:pt>
                <c:pt idx="62">
                  <c:v>15.3</c:v>
                </c:pt>
                <c:pt idx="63">
                  <c:v>15.45</c:v>
                </c:pt>
                <c:pt idx="64">
                  <c:v>15.6</c:v>
                </c:pt>
                <c:pt idx="65">
                  <c:v>15.75</c:v>
                </c:pt>
                <c:pt idx="66">
                  <c:v>15.9</c:v>
                </c:pt>
                <c:pt idx="67">
                  <c:v>16.05</c:v>
                </c:pt>
                <c:pt idx="68">
                  <c:v>16.200000000000003</c:v>
                </c:pt>
                <c:pt idx="69">
                  <c:v>16.350000000000001</c:v>
                </c:pt>
                <c:pt idx="70">
                  <c:v>16.5</c:v>
                </c:pt>
                <c:pt idx="71">
                  <c:v>16.649999999999999</c:v>
                </c:pt>
                <c:pt idx="72">
                  <c:v>16.799999999999997</c:v>
                </c:pt>
                <c:pt idx="73">
                  <c:v>16.95</c:v>
                </c:pt>
                <c:pt idx="74">
                  <c:v>17.100000000000001</c:v>
                </c:pt>
                <c:pt idx="75">
                  <c:v>17.25</c:v>
                </c:pt>
                <c:pt idx="76">
                  <c:v>17.399999999999999</c:v>
                </c:pt>
                <c:pt idx="77">
                  <c:v>17.55</c:v>
                </c:pt>
                <c:pt idx="78">
                  <c:v>17.700000000000003</c:v>
                </c:pt>
                <c:pt idx="79">
                  <c:v>17.850000000000001</c:v>
                </c:pt>
                <c:pt idx="80">
                  <c:v>18</c:v>
                </c:pt>
                <c:pt idx="81">
                  <c:v>18.149999999999999</c:v>
                </c:pt>
                <c:pt idx="82">
                  <c:v>18.299999999999997</c:v>
                </c:pt>
                <c:pt idx="83">
                  <c:v>18.45</c:v>
                </c:pt>
                <c:pt idx="84">
                  <c:v>18.600000000000001</c:v>
                </c:pt>
                <c:pt idx="85">
                  <c:v>18.75</c:v>
                </c:pt>
                <c:pt idx="86">
                  <c:v>18.899999999999999</c:v>
                </c:pt>
                <c:pt idx="87">
                  <c:v>19.05</c:v>
                </c:pt>
                <c:pt idx="88">
                  <c:v>19.2</c:v>
                </c:pt>
                <c:pt idx="89">
                  <c:v>19.350000000000001</c:v>
                </c:pt>
                <c:pt idx="90">
                  <c:v>19.5</c:v>
                </c:pt>
                <c:pt idx="91">
                  <c:v>19.649999999999999</c:v>
                </c:pt>
                <c:pt idx="92">
                  <c:v>19.8</c:v>
                </c:pt>
                <c:pt idx="93">
                  <c:v>19.950000000000003</c:v>
                </c:pt>
                <c:pt idx="94">
                  <c:v>20.100000000000001</c:v>
                </c:pt>
                <c:pt idx="95">
                  <c:v>20.25</c:v>
                </c:pt>
                <c:pt idx="96">
                  <c:v>20.399999999999999</c:v>
                </c:pt>
                <c:pt idx="97">
                  <c:v>20.549999999999997</c:v>
                </c:pt>
                <c:pt idx="98">
                  <c:v>20.7</c:v>
                </c:pt>
                <c:pt idx="99">
                  <c:v>20.85</c:v>
                </c:pt>
                <c:pt idx="100">
                  <c:v>21</c:v>
                </c:pt>
                <c:pt idx="101">
                  <c:v>21.15</c:v>
                </c:pt>
                <c:pt idx="102">
                  <c:v>21.3</c:v>
                </c:pt>
                <c:pt idx="103">
                  <c:v>21.450000000000003</c:v>
                </c:pt>
                <c:pt idx="104">
                  <c:v>21.6</c:v>
                </c:pt>
                <c:pt idx="105">
                  <c:v>21.75</c:v>
                </c:pt>
                <c:pt idx="106">
                  <c:v>21.9</c:v>
                </c:pt>
                <c:pt idx="107">
                  <c:v>22.05</c:v>
                </c:pt>
                <c:pt idx="108">
                  <c:v>22.200000000000003</c:v>
                </c:pt>
                <c:pt idx="109">
                  <c:v>22.35</c:v>
                </c:pt>
                <c:pt idx="110">
                  <c:v>22.5</c:v>
                </c:pt>
                <c:pt idx="111">
                  <c:v>22.650000000000002</c:v>
                </c:pt>
                <c:pt idx="112">
                  <c:v>22.8</c:v>
                </c:pt>
                <c:pt idx="113">
                  <c:v>22.95</c:v>
                </c:pt>
                <c:pt idx="114">
                  <c:v>23.099999999999998</c:v>
                </c:pt>
                <c:pt idx="115">
                  <c:v>23.25</c:v>
                </c:pt>
                <c:pt idx="116">
                  <c:v>23.4</c:v>
                </c:pt>
                <c:pt idx="117">
                  <c:v>23.549999999999997</c:v>
                </c:pt>
                <c:pt idx="118">
                  <c:v>23.7</c:v>
                </c:pt>
                <c:pt idx="119">
                  <c:v>23.849999999999998</c:v>
                </c:pt>
                <c:pt idx="120">
                  <c:v>24</c:v>
                </c:pt>
                <c:pt idx="121">
                  <c:v>24.15</c:v>
                </c:pt>
                <c:pt idx="122">
                  <c:v>24.3</c:v>
                </c:pt>
                <c:pt idx="123">
                  <c:v>24.45</c:v>
                </c:pt>
                <c:pt idx="124">
                  <c:v>24.6</c:v>
                </c:pt>
                <c:pt idx="125">
                  <c:v>24.75</c:v>
                </c:pt>
                <c:pt idx="126">
                  <c:v>24.9</c:v>
                </c:pt>
                <c:pt idx="127">
                  <c:v>25.05</c:v>
                </c:pt>
                <c:pt idx="128">
                  <c:v>25.2</c:v>
                </c:pt>
                <c:pt idx="129">
                  <c:v>25.35</c:v>
                </c:pt>
                <c:pt idx="130">
                  <c:v>25.5</c:v>
                </c:pt>
                <c:pt idx="131">
                  <c:v>25.650000000000002</c:v>
                </c:pt>
                <c:pt idx="132">
                  <c:v>25.8</c:v>
                </c:pt>
                <c:pt idx="133">
                  <c:v>25.950000000000003</c:v>
                </c:pt>
                <c:pt idx="134">
                  <c:v>26.1</c:v>
                </c:pt>
                <c:pt idx="135">
                  <c:v>26.25</c:v>
                </c:pt>
                <c:pt idx="136">
                  <c:v>26.400000000000002</c:v>
                </c:pt>
                <c:pt idx="137">
                  <c:v>26.55</c:v>
                </c:pt>
                <c:pt idx="138">
                  <c:v>26.7</c:v>
                </c:pt>
                <c:pt idx="139">
                  <c:v>26.849999999999998</c:v>
                </c:pt>
                <c:pt idx="140">
                  <c:v>27</c:v>
                </c:pt>
                <c:pt idx="141">
                  <c:v>27.15</c:v>
                </c:pt>
                <c:pt idx="142">
                  <c:v>27.299999999999997</c:v>
                </c:pt>
                <c:pt idx="143">
                  <c:v>27.45</c:v>
                </c:pt>
                <c:pt idx="144">
                  <c:v>27.599999999999998</c:v>
                </c:pt>
                <c:pt idx="145">
                  <c:v>27.75</c:v>
                </c:pt>
                <c:pt idx="146">
                  <c:v>27.9</c:v>
                </c:pt>
                <c:pt idx="147">
                  <c:v>28.05</c:v>
                </c:pt>
                <c:pt idx="148">
                  <c:v>28.2</c:v>
                </c:pt>
                <c:pt idx="149">
                  <c:v>28.35</c:v>
                </c:pt>
                <c:pt idx="150">
                  <c:v>28.5</c:v>
                </c:pt>
                <c:pt idx="151">
                  <c:v>28.65</c:v>
                </c:pt>
                <c:pt idx="152">
                  <c:v>28.8</c:v>
                </c:pt>
                <c:pt idx="153">
                  <c:v>28.95</c:v>
                </c:pt>
                <c:pt idx="154">
                  <c:v>29.1</c:v>
                </c:pt>
                <c:pt idx="155">
                  <c:v>29.25</c:v>
                </c:pt>
                <c:pt idx="156">
                  <c:v>29.400000000000002</c:v>
                </c:pt>
                <c:pt idx="157">
                  <c:v>29.55</c:v>
                </c:pt>
                <c:pt idx="158">
                  <c:v>29.700000000000003</c:v>
                </c:pt>
                <c:pt idx="159">
                  <c:v>29.85</c:v>
                </c:pt>
                <c:pt idx="160">
                  <c:v>30</c:v>
                </c:pt>
                <c:pt idx="161">
                  <c:v>30.150000000000002</c:v>
                </c:pt>
                <c:pt idx="162">
                  <c:v>30.3</c:v>
                </c:pt>
                <c:pt idx="163">
                  <c:v>30.45</c:v>
                </c:pt>
                <c:pt idx="164">
                  <c:v>30.599999999999998</c:v>
                </c:pt>
                <c:pt idx="165">
                  <c:v>30.75</c:v>
                </c:pt>
                <c:pt idx="166">
                  <c:v>30.9</c:v>
                </c:pt>
                <c:pt idx="167">
                  <c:v>31.049999999999997</c:v>
                </c:pt>
                <c:pt idx="168">
                  <c:v>31.2</c:v>
                </c:pt>
                <c:pt idx="169">
                  <c:v>31.349999999999998</c:v>
                </c:pt>
                <c:pt idx="170">
                  <c:v>31.5</c:v>
                </c:pt>
                <c:pt idx="171">
                  <c:v>31.65</c:v>
                </c:pt>
                <c:pt idx="172">
                  <c:v>31.8</c:v>
                </c:pt>
                <c:pt idx="173">
                  <c:v>31.95</c:v>
                </c:pt>
                <c:pt idx="174">
                  <c:v>32.1</c:v>
                </c:pt>
                <c:pt idx="175">
                  <c:v>32.25</c:v>
                </c:pt>
                <c:pt idx="176">
                  <c:v>32.4</c:v>
                </c:pt>
                <c:pt idx="177">
                  <c:v>32.549999999999997</c:v>
                </c:pt>
                <c:pt idx="178">
                  <c:v>32.700000000000003</c:v>
                </c:pt>
                <c:pt idx="179">
                  <c:v>32.85</c:v>
                </c:pt>
                <c:pt idx="180">
                  <c:v>33</c:v>
                </c:pt>
                <c:pt idx="181">
                  <c:v>33.150000000000006</c:v>
                </c:pt>
                <c:pt idx="182">
                  <c:v>33.299999999999997</c:v>
                </c:pt>
                <c:pt idx="183">
                  <c:v>33.450000000000003</c:v>
                </c:pt>
                <c:pt idx="184">
                  <c:v>33.6</c:v>
                </c:pt>
                <c:pt idx="185">
                  <c:v>33.75</c:v>
                </c:pt>
                <c:pt idx="186">
                  <c:v>33.900000000000006</c:v>
                </c:pt>
                <c:pt idx="187">
                  <c:v>34.049999999999997</c:v>
                </c:pt>
                <c:pt idx="188">
                  <c:v>34.200000000000003</c:v>
                </c:pt>
                <c:pt idx="189">
                  <c:v>34.349999999999994</c:v>
                </c:pt>
                <c:pt idx="190">
                  <c:v>34.5</c:v>
                </c:pt>
                <c:pt idx="191">
                  <c:v>34.65</c:v>
                </c:pt>
                <c:pt idx="192">
                  <c:v>34.799999999999997</c:v>
                </c:pt>
                <c:pt idx="193">
                  <c:v>34.950000000000003</c:v>
                </c:pt>
                <c:pt idx="194">
                  <c:v>35.099999999999994</c:v>
                </c:pt>
                <c:pt idx="195">
                  <c:v>35.25</c:v>
                </c:pt>
                <c:pt idx="196">
                  <c:v>35.4</c:v>
                </c:pt>
                <c:pt idx="197">
                  <c:v>35.549999999999997</c:v>
                </c:pt>
                <c:pt idx="198">
                  <c:v>35.700000000000003</c:v>
                </c:pt>
                <c:pt idx="199">
                  <c:v>35.85</c:v>
                </c:pt>
                <c:pt idx="200">
                  <c:v>36</c:v>
                </c:pt>
              </c:numCache>
            </c:numRef>
          </c:cat>
          <c:val>
            <c:numRef>
              <c:f>'Efficiency vs VIN Calculations'!$BO$9:$BO$209</c:f>
              <c:numCache>
                <c:formatCode>0.00</c:formatCode>
                <c:ptCount val="201"/>
                <c:pt idx="0">
                  <c:v>90.269434259229257</c:v>
                </c:pt>
                <c:pt idx="1">
                  <c:v>90.697357746782032</c:v>
                </c:pt>
                <c:pt idx="2">
                  <c:v>91.079447692378452</c:v>
                </c:pt>
                <c:pt idx="3">
                  <c:v>91.422989519220849</c:v>
                </c:pt>
                <c:pt idx="4">
                  <c:v>91.73379951001543</c:v>
                </c:pt>
                <c:pt idx="5">
                  <c:v>92.016587556559045</c:v>
                </c:pt>
                <c:pt idx="6">
                  <c:v>92.275215259309306</c:v>
                </c:pt>
                <c:pt idx="7">
                  <c:v>92.512883419249931</c:v>
                </c:pt>
                <c:pt idx="8">
                  <c:v>92.732270762220836</c:v>
                </c:pt>
                <c:pt idx="9">
                  <c:v>92.935638273584104</c:v>
                </c:pt>
                <c:pt idx="10">
                  <c:v>93.124908828061393</c:v>
                </c:pt>
                <c:pt idx="11">
                  <c:v>93.301728773698244</c:v>
                </c:pt>
                <c:pt idx="12">
                  <c:v>93.467516133885411</c:v>
                </c:pt>
                <c:pt idx="13">
                  <c:v>93.623498749233804</c:v>
                </c:pt>
                <c:pt idx="14">
                  <c:v>93.770744761541295</c:v>
                </c:pt>
                <c:pt idx="15">
                  <c:v>93.910187201473576</c:v>
                </c:pt>
                <c:pt idx="16">
                  <c:v>94.042643988436708</c:v>
                </c:pt>
                <c:pt idx="17">
                  <c:v>94.168834326061784</c:v>
                </c:pt>
                <c:pt idx="18">
                  <c:v>94.289392240513664</c:v>
                </c:pt>
                <c:pt idx="19">
                  <c:v>94.404877835128957</c:v>
                </c:pt>
                <c:pt idx="20">
                  <c:v>94.515786705719364</c:v>
                </c:pt>
                <c:pt idx="21">
                  <c:v>94.622557863832881</c:v>
                </c:pt>
                <c:pt idx="22">
                  <c:v>94.725580441650635</c:v>
                </c:pt>
                <c:pt idx="23">
                  <c:v>94.825199395854312</c:v>
                </c:pt>
                <c:pt idx="24">
                  <c:v>94.921720384309197</c:v>
                </c:pt>
                <c:pt idx="25">
                  <c:v>95.015413955576989</c:v>
                </c:pt>
                <c:pt idx="26">
                  <c:v>95.106519164756847</c:v>
                </c:pt>
                <c:pt idx="27">
                  <c:v>95.195246708230002</c:v>
                </c:pt>
                <c:pt idx="28">
                  <c:v>95.281781653262627</c:v>
                </c:pt>
                <c:pt idx="29">
                  <c:v>95.366285825140011</c:v>
                </c:pt>
                <c:pt idx="30">
                  <c:v>95.448899903830025</c:v>
                </c:pt>
                <c:pt idx="31">
                  <c:v>95.529745273548258</c:v>
                </c:pt>
                <c:pt idx="32">
                  <c:v>95.60892566159292</c:v>
                </c:pt>
                <c:pt idx="33">
                  <c:v>95.686528597106317</c:v>
                </c:pt>
                <c:pt idx="34">
                  <c:v>95.762626715739358</c:v>
                </c:pt>
                <c:pt idx="35">
                  <c:v>95.837278932352035</c:v>
                </c:pt>
                <c:pt idx="36">
                  <c:v>95.910531500713617</c:v>
                </c:pt>
                <c:pt idx="37">
                  <c:v>95.982418976548118</c:v>
                </c:pt>
                <c:pt idx="38">
                  <c:v>96.05296509810853</c:v>
                </c:pt>
                <c:pt idx="39">
                  <c:v>96.122183596674276</c:v>
                </c:pt>
                <c:pt idx="40">
                  <c:v>96.190078947894492</c:v>
                </c:pt>
                <c:pt idx="41">
                  <c:v>96.256647073692932</c:v>
                </c:pt>
                <c:pt idx="42">
                  <c:v>96.321876003473974</c:v>
                </c:pt>
                <c:pt idx="43">
                  <c:v>96.385746502594557</c:v>
                </c:pt>
                <c:pt idx="44">
                  <c:v>96.448232675473506</c:v>
                </c:pt>
                <c:pt idx="45">
                  <c:v>96.509302550287515</c:v>
                </c:pt>
                <c:pt idx="46">
                  <c:v>96.568918651946433</c:v>
                </c:pt>
                <c:pt idx="47">
                  <c:v>96.627038569953982</c:v>
                </c:pt>
                <c:pt idx="48">
                  <c:v>96.683615527856858</c:v>
                </c:pt>
                <c:pt idx="49">
                  <c:v>96.738598961295097</c:v>
                </c:pt>
                <c:pt idx="50">
                  <c:v>96.791935112227335</c:v>
                </c:pt>
                <c:pt idx="51">
                  <c:v>96.843567647789669</c:v>
                </c:pt>
                <c:pt idx="52">
                  <c:v>96.893438313552551</c:v>
                </c:pt>
                <c:pt idx="53">
                  <c:v>96.941487632826195</c:v>
                </c:pt>
                <c:pt idx="54">
                  <c:v>96.987655666365072</c:v>
                </c:pt>
                <c:pt idx="55">
                  <c:v>94.163222595421828</c:v>
                </c:pt>
                <c:pt idx="56">
                  <c:v>94.180663540419374</c:v>
                </c:pt>
                <c:pt idx="57">
                  <c:v>94.197943765280556</c:v>
                </c:pt>
                <c:pt idx="58">
                  <c:v>94.215067271412707</c:v>
                </c:pt>
                <c:pt idx="59">
                  <c:v>94.232037385629965</c:v>
                </c:pt>
                <c:pt idx="60">
                  <c:v>94.248856811101547</c:v>
                </c:pt>
                <c:pt idx="61">
                  <c:v>94.265527674623684</c:v>
                </c:pt>
                <c:pt idx="62">
                  <c:v>94.282051570525425</c:v>
                </c:pt>
                <c:pt idx="63">
                  <c:v>94.298429601488778</c:v>
                </c:pt>
                <c:pt idx="64">
                  <c:v>94.314662416538226</c:v>
                </c:pt>
                <c:pt idx="65">
                  <c:v>94.330750246430171</c:v>
                </c:pt>
                <c:pt idx="66">
                  <c:v>94.346692936652417</c:v>
                </c:pt>
                <c:pt idx="67">
                  <c:v>94.47492839725895</c:v>
                </c:pt>
                <c:pt idx="68">
                  <c:v>94.459340724432167</c:v>
                </c:pt>
                <c:pt idx="69">
                  <c:v>94.443249985089906</c:v>
                </c:pt>
                <c:pt idx="70">
                  <c:v>94.426673124547079</c:v>
                </c:pt>
                <c:pt idx="71">
                  <c:v>94.40962657861877</c:v>
                </c:pt>
                <c:pt idx="72">
                  <c:v>94.392126292342184</c:v>
                </c:pt>
                <c:pt idx="73">
                  <c:v>94.374187737786102</c:v>
                </c:pt>
                <c:pt idx="74">
                  <c:v>94.355825931006038</c:v>
                </c:pt>
                <c:pt idx="75">
                  <c:v>94.337055448198385</c:v>
                </c:pt>
                <c:pt idx="76">
                  <c:v>94.317890441103458</c:v>
                </c:pt>
                <c:pt idx="77">
                  <c:v>94.298344651703061</c:v>
                </c:pt>
                <c:pt idx="78">
                  <c:v>94.278431426255153</c:v>
                </c:pt>
                <c:pt idx="79">
                  <c:v>94.258163728704531</c:v>
                </c:pt>
                <c:pt idx="80">
                  <c:v>94.237554153506665</c:v>
                </c:pt>
                <c:pt idx="81">
                  <c:v>94.216614937897774</c:v>
                </c:pt>
                <c:pt idx="82">
                  <c:v>94.195357973642956</c:v>
                </c:pt>
                <c:pt idx="83">
                  <c:v>94.173794818291512</c:v>
                </c:pt>
                <c:pt idx="84">
                  <c:v>94.151936705966378</c:v>
                </c:pt>
                <c:pt idx="85">
                  <c:v>94.12979455771324</c:v>
                </c:pt>
                <c:pt idx="86">
                  <c:v>94.107378991432739</c:v>
                </c:pt>
                <c:pt idx="87">
                  <c:v>94.084700331417707</c:v>
                </c:pt>
                <c:pt idx="88">
                  <c:v>94.061768617515852</c:v>
                </c:pt>
                <c:pt idx="89">
                  <c:v>94.038593613937408</c:v>
                </c:pt>
                <c:pt idx="90">
                  <c:v>94.01518481772527</c:v>
                </c:pt>
                <c:pt idx="91">
                  <c:v>93.991551466904596</c:v>
                </c:pt>
                <c:pt idx="92">
                  <c:v>93.967702548327424</c:v>
                </c:pt>
                <c:pt idx="93">
                  <c:v>93.943646805227289</c:v>
                </c:pt>
                <c:pt idx="94">
                  <c:v>93.919392744497472</c:v>
                </c:pt>
                <c:pt idx="95">
                  <c:v>93.89494864370576</c:v>
                </c:pt>
                <c:pt idx="96">
                  <c:v>93.870322557858316</c:v>
                </c:pt>
                <c:pt idx="97">
                  <c:v>93.845522325923554</c:v>
                </c:pt>
                <c:pt idx="98">
                  <c:v>93.820555577127436</c:v>
                </c:pt>
                <c:pt idx="99">
                  <c:v>93.795429737030005</c:v>
                </c:pt>
                <c:pt idx="100">
                  <c:v>93.77015203339279</c:v>
                </c:pt>
                <c:pt idx="101">
                  <c:v>93.744729501846265</c:v>
                </c:pt>
                <c:pt idx="102">
                  <c:v>93.719168991365819</c:v>
                </c:pt>
                <c:pt idx="103">
                  <c:v>93.693477169564517</c:v>
                </c:pt>
                <c:pt idx="104">
                  <c:v>93.667660527809957</c:v>
                </c:pt>
                <c:pt idx="105">
                  <c:v>93.641725386172965</c:v>
                </c:pt>
                <c:pt idx="106">
                  <c:v>93.615677898214471</c:v>
                </c:pt>
                <c:pt idx="107">
                  <c:v>93.589524055617517</c:v>
                </c:pt>
                <c:pt idx="108">
                  <c:v>93.563269692670275</c:v>
                </c:pt>
                <c:pt idx="109">
                  <c:v>93.536920490606207</c:v>
                </c:pt>
                <c:pt idx="110">
                  <c:v>93.51048198180662</c:v>
                </c:pt>
                <c:pt idx="111">
                  <c:v>93.483959553871287</c:v>
                </c:pt>
                <c:pt idx="112">
                  <c:v>93.45735845356181</c:v>
                </c:pt>
                <c:pt idx="113">
                  <c:v>93.430683790622865</c:v>
                </c:pt>
                <c:pt idx="114">
                  <c:v>95.832707043492178</c:v>
                </c:pt>
                <c:pt idx="115">
                  <c:v>95.780784271600552</c:v>
                </c:pt>
                <c:pt idx="116">
                  <c:v>95.728667000920581</c:v>
                </c:pt>
                <c:pt idx="117">
                  <c:v>95.676373341690464</c:v>
                </c:pt>
                <c:pt idx="118">
                  <c:v>95.6239206930357</c:v>
                </c:pt>
                <c:pt idx="119">
                  <c:v>95.571325766665169</c:v>
                </c:pt>
                <c:pt idx="120">
                  <c:v>95.518604610026486</c:v>
                </c:pt>
                <c:pt idx="121">
                  <c:v>95.465772628902045</c:v>
                </c:pt>
                <c:pt idx="122">
                  <c:v>95.412844609432256</c:v>
                </c:pt>
                <c:pt idx="123">
                  <c:v>95.359834739557385</c:v>
                </c:pt>
                <c:pt idx="124">
                  <c:v>95.306756629872396</c:v>
                </c:pt>
                <c:pt idx="125">
                  <c:v>95.253623333892961</c:v>
                </c:pt>
                <c:pt idx="126">
                  <c:v>95.200447367733844</c:v>
                </c:pt>
                <c:pt idx="127">
                  <c:v>95.147240729202011</c:v>
                </c:pt>
                <c:pt idx="128">
                  <c:v>95.094014916310513</c:v>
                </c:pt>
                <c:pt idx="129">
                  <c:v>95.040780945219296</c:v>
                </c:pt>
                <c:pt idx="130">
                  <c:v>94.987549367611408</c:v>
                </c:pt>
                <c:pt idx="131">
                  <c:v>94.934330287514044</c:v>
                </c:pt>
                <c:pt idx="132">
                  <c:v>94.881133377574784</c:v>
                </c:pt>
                <c:pt idx="133">
                  <c:v>94.827967894803663</c:v>
                </c:pt>
                <c:pt idx="134">
                  <c:v>94.774842695793609</c:v>
                </c:pt>
                <c:pt idx="135">
                  <c:v>94.72176625143058</c:v>
                </c:pt>
                <c:pt idx="136">
                  <c:v>94.668746661106624</c:v>
                </c:pt>
                <c:pt idx="137">
                  <c:v>94.615791666448274</c:v>
                </c:pt>
                <c:pt idx="138">
                  <c:v>94.562908664573257</c:v>
                </c:pt>
                <c:pt idx="139">
                  <c:v>94.510104720888762</c:v>
                </c:pt>
                <c:pt idx="140">
                  <c:v>94.457386581444325</c:v>
                </c:pt>
                <c:pt idx="141">
                  <c:v>94.404760684851922</c:v>
                </c:pt>
                <c:pt idx="142">
                  <c:v>94.352233173787027</c:v>
                </c:pt>
                <c:pt idx="143">
                  <c:v>94.299809906082615</c:v>
                </c:pt>
                <c:pt idx="144">
                  <c:v>94.247496465429435</c:v>
                </c:pt>
                <c:pt idx="145">
                  <c:v>94.195298171694603</c:v>
                </c:pt>
                <c:pt idx="146">
                  <c:v>94.143220090871012</c:v>
                </c:pt>
                <c:pt idx="147">
                  <c:v>94.09126704466938</c:v>
                </c:pt>
                <c:pt idx="148">
                  <c:v>94.039443619765166</c:v>
                </c:pt>
                <c:pt idx="149">
                  <c:v>93.987754176711206</c:v>
                </c:pt>
                <c:pt idx="150">
                  <c:v>93.936202858527835</c:v>
                </c:pt>
                <c:pt idx="151">
                  <c:v>93.884793598981304</c:v>
                </c:pt>
                <c:pt idx="152">
                  <c:v>93.833530130561158</c:v>
                </c:pt>
                <c:pt idx="153">
                  <c:v>93.782415992166889</c:v>
                </c:pt>
                <c:pt idx="154">
                  <c:v>93.731454536514207</c:v>
                </c:pt>
                <c:pt idx="155">
                  <c:v>93.680648937270476</c:v>
                </c:pt>
                <c:pt idx="156">
                  <c:v>93.630002195928952</c:v>
                </c:pt>
                <c:pt idx="157">
                  <c:v>93.57951714843125</c:v>
                </c:pt>
                <c:pt idx="158">
                  <c:v>93.529196471546513</c:v>
                </c:pt>
                <c:pt idx="159">
                  <c:v>93.479042689016467</c:v>
                </c:pt>
                <c:pt idx="160">
                  <c:v>93.429058177474531</c:v>
                </c:pt>
                <c:pt idx="161">
                  <c:v>93.379245172146952</c:v>
                </c:pt>
                <c:pt idx="162">
                  <c:v>93.329605772344252</c:v>
                </c:pt>
                <c:pt idx="163">
                  <c:v>93.280141946750007</c:v>
                </c:pt>
                <c:pt idx="164">
                  <c:v>93.230855538514902</c:v>
                </c:pt>
                <c:pt idx="165">
                  <c:v>93.181748270162601</c:v>
                </c:pt>
                <c:pt idx="166">
                  <c:v>93.13282174831474</c:v>
                </c:pt>
                <c:pt idx="167">
                  <c:v>93.084077468241361</c:v>
                </c:pt>
                <c:pt idx="168">
                  <c:v>93.035516818243224</c:v>
                </c:pt>
                <c:pt idx="169">
                  <c:v>92.987141083872274</c:v>
                </c:pt>
                <c:pt idx="170">
                  <c:v>92.938951451996033</c:v>
                </c:pt>
                <c:pt idx="171">
                  <c:v>92.89094901471185</c:v>
                </c:pt>
                <c:pt idx="172">
                  <c:v>92.843134773116304</c:v>
                </c:pt>
                <c:pt idx="173">
                  <c:v>92.795509640935151</c:v>
                </c:pt>
                <c:pt idx="174">
                  <c:v>92.748074448019196</c:v>
                </c:pt>
                <c:pt idx="175">
                  <c:v>92.70082994371073</c:v>
                </c:pt>
                <c:pt idx="176">
                  <c:v>92.653776800085225</c:v>
                </c:pt>
                <c:pt idx="177">
                  <c:v>92.606915615073433</c:v>
                </c:pt>
                <c:pt idx="178">
                  <c:v>92.56024691546763</c:v>
                </c:pt>
                <c:pt idx="179">
                  <c:v>92.513771159816727</c:v>
                </c:pt>
                <c:pt idx="180">
                  <c:v>92.467488741214282</c:v>
                </c:pt>
                <c:pt idx="181">
                  <c:v>92.421399989983087</c:v>
                </c:pt>
                <c:pt idx="182">
                  <c:v>92.375505176260631</c:v>
                </c:pt>
                <c:pt idx="183">
                  <c:v>92.329804512488636</c:v>
                </c:pt>
                <c:pt idx="184">
                  <c:v>92.28429815581039</c:v>
                </c:pt>
                <c:pt idx="185">
                  <c:v>92.238986210379565</c:v>
                </c:pt>
                <c:pt idx="186">
                  <c:v>92.193868729583102</c:v>
                </c:pt>
                <c:pt idx="187">
                  <c:v>92.148945718182176</c:v>
                </c:pt>
                <c:pt idx="188">
                  <c:v>92.1042171343734</c:v>
                </c:pt>
                <c:pt idx="189">
                  <c:v>92.059682891774102</c:v>
                </c:pt>
                <c:pt idx="190">
                  <c:v>92.015342861333565</c:v>
                </c:pt>
                <c:pt idx="191">
                  <c:v>91.971196873173795</c:v>
                </c:pt>
                <c:pt idx="192">
                  <c:v>91.927244718361706</c:v>
                </c:pt>
                <c:pt idx="193">
                  <c:v>91.883486150615738</c:v>
                </c:pt>
                <c:pt idx="194">
                  <c:v>91.839920887949248</c:v>
                </c:pt>
                <c:pt idx="195">
                  <c:v>91.796548614252529</c:v>
                </c:pt>
                <c:pt idx="196">
                  <c:v>91.753368980816447</c:v>
                </c:pt>
                <c:pt idx="197">
                  <c:v>91.710381607799349</c:v>
                </c:pt>
                <c:pt idx="198">
                  <c:v>91.667586085639314</c:v>
                </c:pt>
                <c:pt idx="199">
                  <c:v>91.624981976414077</c:v>
                </c:pt>
                <c:pt idx="200">
                  <c:v>91.582568815150267</c:v>
                </c:pt>
              </c:numCache>
            </c:numRef>
          </c:val>
          <c:smooth val="0"/>
          <c:extLst>
            <c:ext xmlns:c16="http://schemas.microsoft.com/office/drawing/2014/chart" uri="{C3380CC4-5D6E-409C-BE32-E72D297353CC}">
              <c16:uniqueId val="{00000000-4FA9-47D5-BDEE-109A72C2DA33}"/>
            </c:ext>
          </c:extLst>
        </c:ser>
        <c:dLbls>
          <c:showLegendKey val="0"/>
          <c:showVal val="0"/>
          <c:showCatName val="0"/>
          <c:showSerName val="0"/>
          <c:showPercent val="0"/>
          <c:showBubbleSize val="0"/>
        </c:dLbls>
        <c:marker val="1"/>
        <c:smooth val="0"/>
        <c:axId val="196417792"/>
        <c:axId val="196419968"/>
      </c:lineChart>
      <c:lineChart>
        <c:grouping val="standard"/>
        <c:varyColors val="0"/>
        <c:ser>
          <c:idx val="3"/>
          <c:order val="1"/>
          <c:tx>
            <c:v>Inductor Loss</c:v>
          </c:tx>
          <c:spPr>
            <a:ln w="38100">
              <a:solidFill>
                <a:srgbClr val="800080"/>
              </a:solidFill>
              <a:prstDash val="dash"/>
            </a:ln>
          </c:spPr>
          <c:marker>
            <c:symbol val="none"/>
          </c:marker>
          <c:cat>
            <c:numRef>
              <c:f>'Efficiency vs VIN Calculations'!$H$9:$H$209</c:f>
              <c:numCache>
                <c:formatCode>0.00</c:formatCode>
                <c:ptCount val="201"/>
                <c:pt idx="0">
                  <c:v>6</c:v>
                </c:pt>
                <c:pt idx="1">
                  <c:v>6.15</c:v>
                </c:pt>
                <c:pt idx="2">
                  <c:v>6.3</c:v>
                </c:pt>
                <c:pt idx="3">
                  <c:v>6.45</c:v>
                </c:pt>
                <c:pt idx="4">
                  <c:v>6.6</c:v>
                </c:pt>
                <c:pt idx="5">
                  <c:v>6.75</c:v>
                </c:pt>
                <c:pt idx="6">
                  <c:v>6.9</c:v>
                </c:pt>
                <c:pt idx="7">
                  <c:v>7.05</c:v>
                </c:pt>
                <c:pt idx="8">
                  <c:v>7.2</c:v>
                </c:pt>
                <c:pt idx="9">
                  <c:v>7.35</c:v>
                </c:pt>
                <c:pt idx="10">
                  <c:v>7.5</c:v>
                </c:pt>
                <c:pt idx="11">
                  <c:v>7.65</c:v>
                </c:pt>
                <c:pt idx="12">
                  <c:v>7.8</c:v>
                </c:pt>
                <c:pt idx="13">
                  <c:v>7.95</c:v>
                </c:pt>
                <c:pt idx="14">
                  <c:v>8.1</c:v>
                </c:pt>
                <c:pt idx="15">
                  <c:v>8.25</c:v>
                </c:pt>
                <c:pt idx="16">
                  <c:v>8.4</c:v>
                </c:pt>
                <c:pt idx="17">
                  <c:v>8.5500000000000007</c:v>
                </c:pt>
                <c:pt idx="18">
                  <c:v>8.6999999999999993</c:v>
                </c:pt>
                <c:pt idx="19">
                  <c:v>8.85</c:v>
                </c:pt>
                <c:pt idx="20">
                  <c:v>9</c:v>
                </c:pt>
                <c:pt idx="21">
                  <c:v>9.15</c:v>
                </c:pt>
                <c:pt idx="22">
                  <c:v>9.3000000000000007</c:v>
                </c:pt>
                <c:pt idx="23">
                  <c:v>9.4499999999999993</c:v>
                </c:pt>
                <c:pt idx="24">
                  <c:v>9.6</c:v>
                </c:pt>
                <c:pt idx="25">
                  <c:v>9.75</c:v>
                </c:pt>
                <c:pt idx="26">
                  <c:v>9.9</c:v>
                </c:pt>
                <c:pt idx="27">
                  <c:v>10.050000000000001</c:v>
                </c:pt>
                <c:pt idx="28">
                  <c:v>10.199999999999999</c:v>
                </c:pt>
                <c:pt idx="29">
                  <c:v>10.35</c:v>
                </c:pt>
                <c:pt idx="30">
                  <c:v>10.5</c:v>
                </c:pt>
                <c:pt idx="31">
                  <c:v>10.65</c:v>
                </c:pt>
                <c:pt idx="32">
                  <c:v>10.8</c:v>
                </c:pt>
                <c:pt idx="33">
                  <c:v>10.95</c:v>
                </c:pt>
                <c:pt idx="34">
                  <c:v>11.100000000000001</c:v>
                </c:pt>
                <c:pt idx="35">
                  <c:v>11.25</c:v>
                </c:pt>
                <c:pt idx="36">
                  <c:v>11.399999999999999</c:v>
                </c:pt>
                <c:pt idx="37">
                  <c:v>11.55</c:v>
                </c:pt>
                <c:pt idx="38">
                  <c:v>11.7</c:v>
                </c:pt>
                <c:pt idx="39">
                  <c:v>11.850000000000001</c:v>
                </c:pt>
                <c:pt idx="40">
                  <c:v>12</c:v>
                </c:pt>
                <c:pt idx="41">
                  <c:v>12.149999999999999</c:v>
                </c:pt>
                <c:pt idx="42">
                  <c:v>12.3</c:v>
                </c:pt>
                <c:pt idx="43">
                  <c:v>12.45</c:v>
                </c:pt>
                <c:pt idx="44">
                  <c:v>12.6</c:v>
                </c:pt>
                <c:pt idx="45">
                  <c:v>12.75</c:v>
                </c:pt>
                <c:pt idx="46">
                  <c:v>12.9</c:v>
                </c:pt>
                <c:pt idx="47">
                  <c:v>13.05</c:v>
                </c:pt>
                <c:pt idx="48">
                  <c:v>13.2</c:v>
                </c:pt>
                <c:pt idx="49">
                  <c:v>13.35</c:v>
                </c:pt>
                <c:pt idx="50">
                  <c:v>13.5</c:v>
                </c:pt>
                <c:pt idx="51">
                  <c:v>13.65</c:v>
                </c:pt>
                <c:pt idx="52">
                  <c:v>13.8</c:v>
                </c:pt>
                <c:pt idx="53">
                  <c:v>13.95</c:v>
                </c:pt>
                <c:pt idx="54">
                  <c:v>14.100000000000001</c:v>
                </c:pt>
                <c:pt idx="55">
                  <c:v>14.25</c:v>
                </c:pt>
                <c:pt idx="56">
                  <c:v>14.4</c:v>
                </c:pt>
                <c:pt idx="57">
                  <c:v>14.549999999999999</c:v>
                </c:pt>
                <c:pt idx="58">
                  <c:v>14.7</c:v>
                </c:pt>
                <c:pt idx="59">
                  <c:v>14.85</c:v>
                </c:pt>
                <c:pt idx="60">
                  <c:v>15</c:v>
                </c:pt>
                <c:pt idx="61">
                  <c:v>15.15</c:v>
                </c:pt>
                <c:pt idx="62">
                  <c:v>15.3</c:v>
                </c:pt>
                <c:pt idx="63">
                  <c:v>15.45</c:v>
                </c:pt>
                <c:pt idx="64">
                  <c:v>15.6</c:v>
                </c:pt>
                <c:pt idx="65">
                  <c:v>15.75</c:v>
                </c:pt>
                <c:pt idx="66">
                  <c:v>15.9</c:v>
                </c:pt>
                <c:pt idx="67">
                  <c:v>16.05</c:v>
                </c:pt>
                <c:pt idx="68">
                  <c:v>16.200000000000003</c:v>
                </c:pt>
                <c:pt idx="69">
                  <c:v>16.350000000000001</c:v>
                </c:pt>
                <c:pt idx="70">
                  <c:v>16.5</c:v>
                </c:pt>
                <c:pt idx="71">
                  <c:v>16.649999999999999</c:v>
                </c:pt>
                <c:pt idx="72">
                  <c:v>16.799999999999997</c:v>
                </c:pt>
                <c:pt idx="73">
                  <c:v>16.95</c:v>
                </c:pt>
                <c:pt idx="74">
                  <c:v>17.100000000000001</c:v>
                </c:pt>
                <c:pt idx="75">
                  <c:v>17.25</c:v>
                </c:pt>
                <c:pt idx="76">
                  <c:v>17.399999999999999</c:v>
                </c:pt>
                <c:pt idx="77">
                  <c:v>17.55</c:v>
                </c:pt>
                <c:pt idx="78">
                  <c:v>17.700000000000003</c:v>
                </c:pt>
                <c:pt idx="79">
                  <c:v>17.850000000000001</c:v>
                </c:pt>
                <c:pt idx="80">
                  <c:v>18</c:v>
                </c:pt>
                <c:pt idx="81">
                  <c:v>18.149999999999999</c:v>
                </c:pt>
                <c:pt idx="82">
                  <c:v>18.299999999999997</c:v>
                </c:pt>
                <c:pt idx="83">
                  <c:v>18.45</c:v>
                </c:pt>
                <c:pt idx="84">
                  <c:v>18.600000000000001</c:v>
                </c:pt>
                <c:pt idx="85">
                  <c:v>18.75</c:v>
                </c:pt>
                <c:pt idx="86">
                  <c:v>18.899999999999999</c:v>
                </c:pt>
                <c:pt idx="87">
                  <c:v>19.05</c:v>
                </c:pt>
                <c:pt idx="88">
                  <c:v>19.2</c:v>
                </c:pt>
                <c:pt idx="89">
                  <c:v>19.350000000000001</c:v>
                </c:pt>
                <c:pt idx="90">
                  <c:v>19.5</c:v>
                </c:pt>
                <c:pt idx="91">
                  <c:v>19.649999999999999</c:v>
                </c:pt>
                <c:pt idx="92">
                  <c:v>19.8</c:v>
                </c:pt>
                <c:pt idx="93">
                  <c:v>19.950000000000003</c:v>
                </c:pt>
                <c:pt idx="94">
                  <c:v>20.100000000000001</c:v>
                </c:pt>
                <c:pt idx="95">
                  <c:v>20.25</c:v>
                </c:pt>
                <c:pt idx="96">
                  <c:v>20.399999999999999</c:v>
                </c:pt>
                <c:pt idx="97">
                  <c:v>20.549999999999997</c:v>
                </c:pt>
                <c:pt idx="98">
                  <c:v>20.7</c:v>
                </c:pt>
                <c:pt idx="99">
                  <c:v>20.85</c:v>
                </c:pt>
                <c:pt idx="100">
                  <c:v>21</c:v>
                </c:pt>
                <c:pt idx="101">
                  <c:v>21.15</c:v>
                </c:pt>
                <c:pt idx="102">
                  <c:v>21.3</c:v>
                </c:pt>
                <c:pt idx="103">
                  <c:v>21.450000000000003</c:v>
                </c:pt>
                <c:pt idx="104">
                  <c:v>21.6</c:v>
                </c:pt>
                <c:pt idx="105">
                  <c:v>21.75</c:v>
                </c:pt>
                <c:pt idx="106">
                  <c:v>21.9</c:v>
                </c:pt>
                <c:pt idx="107">
                  <c:v>22.05</c:v>
                </c:pt>
                <c:pt idx="108">
                  <c:v>22.200000000000003</c:v>
                </c:pt>
                <c:pt idx="109">
                  <c:v>22.35</c:v>
                </c:pt>
                <c:pt idx="110">
                  <c:v>22.5</c:v>
                </c:pt>
                <c:pt idx="111">
                  <c:v>22.650000000000002</c:v>
                </c:pt>
                <c:pt idx="112">
                  <c:v>22.8</c:v>
                </c:pt>
                <c:pt idx="113">
                  <c:v>22.95</c:v>
                </c:pt>
                <c:pt idx="114">
                  <c:v>23.099999999999998</c:v>
                </c:pt>
                <c:pt idx="115">
                  <c:v>23.25</c:v>
                </c:pt>
                <c:pt idx="116">
                  <c:v>23.4</c:v>
                </c:pt>
                <c:pt idx="117">
                  <c:v>23.549999999999997</c:v>
                </c:pt>
                <c:pt idx="118">
                  <c:v>23.7</c:v>
                </c:pt>
                <c:pt idx="119">
                  <c:v>23.849999999999998</c:v>
                </c:pt>
                <c:pt idx="120">
                  <c:v>24</c:v>
                </c:pt>
                <c:pt idx="121">
                  <c:v>24.15</c:v>
                </c:pt>
                <c:pt idx="122">
                  <c:v>24.3</c:v>
                </c:pt>
                <c:pt idx="123">
                  <c:v>24.45</c:v>
                </c:pt>
                <c:pt idx="124">
                  <c:v>24.6</c:v>
                </c:pt>
                <c:pt idx="125">
                  <c:v>24.75</c:v>
                </c:pt>
                <c:pt idx="126">
                  <c:v>24.9</c:v>
                </c:pt>
                <c:pt idx="127">
                  <c:v>25.05</c:v>
                </c:pt>
                <c:pt idx="128">
                  <c:v>25.2</c:v>
                </c:pt>
                <c:pt idx="129">
                  <c:v>25.35</c:v>
                </c:pt>
                <c:pt idx="130">
                  <c:v>25.5</c:v>
                </c:pt>
                <c:pt idx="131">
                  <c:v>25.650000000000002</c:v>
                </c:pt>
                <c:pt idx="132">
                  <c:v>25.8</c:v>
                </c:pt>
                <c:pt idx="133">
                  <c:v>25.950000000000003</c:v>
                </c:pt>
                <c:pt idx="134">
                  <c:v>26.1</c:v>
                </c:pt>
                <c:pt idx="135">
                  <c:v>26.25</c:v>
                </c:pt>
                <c:pt idx="136">
                  <c:v>26.400000000000002</c:v>
                </c:pt>
                <c:pt idx="137">
                  <c:v>26.55</c:v>
                </c:pt>
                <c:pt idx="138">
                  <c:v>26.7</c:v>
                </c:pt>
                <c:pt idx="139">
                  <c:v>26.849999999999998</c:v>
                </c:pt>
                <c:pt idx="140">
                  <c:v>27</c:v>
                </c:pt>
                <c:pt idx="141">
                  <c:v>27.15</c:v>
                </c:pt>
                <c:pt idx="142">
                  <c:v>27.299999999999997</c:v>
                </c:pt>
                <c:pt idx="143">
                  <c:v>27.45</c:v>
                </c:pt>
                <c:pt idx="144">
                  <c:v>27.599999999999998</c:v>
                </c:pt>
                <c:pt idx="145">
                  <c:v>27.75</c:v>
                </c:pt>
                <c:pt idx="146">
                  <c:v>27.9</c:v>
                </c:pt>
                <c:pt idx="147">
                  <c:v>28.05</c:v>
                </c:pt>
                <c:pt idx="148">
                  <c:v>28.2</c:v>
                </c:pt>
                <c:pt idx="149">
                  <c:v>28.35</c:v>
                </c:pt>
                <c:pt idx="150">
                  <c:v>28.5</c:v>
                </c:pt>
                <c:pt idx="151">
                  <c:v>28.65</c:v>
                </c:pt>
                <c:pt idx="152">
                  <c:v>28.8</c:v>
                </c:pt>
                <c:pt idx="153">
                  <c:v>28.95</c:v>
                </c:pt>
                <c:pt idx="154">
                  <c:v>29.1</c:v>
                </c:pt>
                <c:pt idx="155">
                  <c:v>29.25</c:v>
                </c:pt>
                <c:pt idx="156">
                  <c:v>29.400000000000002</c:v>
                </c:pt>
                <c:pt idx="157">
                  <c:v>29.55</c:v>
                </c:pt>
                <c:pt idx="158">
                  <c:v>29.700000000000003</c:v>
                </c:pt>
                <c:pt idx="159">
                  <c:v>29.85</c:v>
                </c:pt>
                <c:pt idx="160">
                  <c:v>30</c:v>
                </c:pt>
                <c:pt idx="161">
                  <c:v>30.150000000000002</c:v>
                </c:pt>
                <c:pt idx="162">
                  <c:v>30.3</c:v>
                </c:pt>
                <c:pt idx="163">
                  <c:v>30.45</c:v>
                </c:pt>
                <c:pt idx="164">
                  <c:v>30.599999999999998</c:v>
                </c:pt>
                <c:pt idx="165">
                  <c:v>30.75</c:v>
                </c:pt>
                <c:pt idx="166">
                  <c:v>30.9</c:v>
                </c:pt>
                <c:pt idx="167">
                  <c:v>31.049999999999997</c:v>
                </c:pt>
                <c:pt idx="168">
                  <c:v>31.2</c:v>
                </c:pt>
                <c:pt idx="169">
                  <c:v>31.349999999999998</c:v>
                </c:pt>
                <c:pt idx="170">
                  <c:v>31.5</c:v>
                </c:pt>
                <c:pt idx="171">
                  <c:v>31.65</c:v>
                </c:pt>
                <c:pt idx="172">
                  <c:v>31.8</c:v>
                </c:pt>
                <c:pt idx="173">
                  <c:v>31.95</c:v>
                </c:pt>
                <c:pt idx="174">
                  <c:v>32.1</c:v>
                </c:pt>
                <c:pt idx="175">
                  <c:v>32.25</c:v>
                </c:pt>
                <c:pt idx="176">
                  <c:v>32.4</c:v>
                </c:pt>
                <c:pt idx="177">
                  <c:v>32.549999999999997</c:v>
                </c:pt>
                <c:pt idx="178">
                  <c:v>32.700000000000003</c:v>
                </c:pt>
                <c:pt idx="179">
                  <c:v>32.85</c:v>
                </c:pt>
                <c:pt idx="180">
                  <c:v>33</c:v>
                </c:pt>
                <c:pt idx="181">
                  <c:v>33.150000000000006</c:v>
                </c:pt>
                <c:pt idx="182">
                  <c:v>33.299999999999997</c:v>
                </c:pt>
                <c:pt idx="183">
                  <c:v>33.450000000000003</c:v>
                </c:pt>
                <c:pt idx="184">
                  <c:v>33.6</c:v>
                </c:pt>
                <c:pt idx="185">
                  <c:v>33.75</c:v>
                </c:pt>
                <c:pt idx="186">
                  <c:v>33.900000000000006</c:v>
                </c:pt>
                <c:pt idx="187">
                  <c:v>34.049999999999997</c:v>
                </c:pt>
                <c:pt idx="188">
                  <c:v>34.200000000000003</c:v>
                </c:pt>
                <c:pt idx="189">
                  <c:v>34.349999999999994</c:v>
                </c:pt>
                <c:pt idx="190">
                  <c:v>34.5</c:v>
                </c:pt>
                <c:pt idx="191">
                  <c:v>34.65</c:v>
                </c:pt>
                <c:pt idx="192">
                  <c:v>34.799999999999997</c:v>
                </c:pt>
                <c:pt idx="193">
                  <c:v>34.950000000000003</c:v>
                </c:pt>
                <c:pt idx="194">
                  <c:v>35.099999999999994</c:v>
                </c:pt>
                <c:pt idx="195">
                  <c:v>35.25</c:v>
                </c:pt>
                <c:pt idx="196">
                  <c:v>35.4</c:v>
                </c:pt>
                <c:pt idx="197">
                  <c:v>35.549999999999997</c:v>
                </c:pt>
                <c:pt idx="198">
                  <c:v>35.700000000000003</c:v>
                </c:pt>
                <c:pt idx="199">
                  <c:v>35.85</c:v>
                </c:pt>
                <c:pt idx="200">
                  <c:v>36</c:v>
                </c:pt>
              </c:numCache>
            </c:numRef>
          </c:cat>
          <c:val>
            <c:numRef>
              <c:f>'Efficiency vs VIN Calculations'!$BP$9:$BP$209</c:f>
              <c:numCache>
                <c:formatCode>0.000</c:formatCode>
                <c:ptCount val="201"/>
                <c:pt idx="0">
                  <c:v>2.88983500570881</c:v>
                </c:pt>
                <c:pt idx="1">
                  <c:v>2.8105582541239764</c:v>
                </c:pt>
                <c:pt idx="2">
                  <c:v>2.7382345780605668</c:v>
                </c:pt>
                <c:pt idx="3">
                  <c:v>2.6718610152061699</c:v>
                </c:pt>
                <c:pt idx="4">
                  <c:v>2.6105704873926081</c:v>
                </c:pt>
                <c:pt idx="5">
                  <c:v>2.5536101627485621</c:v>
                </c:pt>
                <c:pt idx="6">
                  <c:v>2.5003239570439644</c:v>
                </c:pt>
                <c:pt idx="7">
                  <c:v>2.4501382818093127</c:v>
                </c:pt>
                <c:pt idx="8">
                  <c:v>2.4025503595425741</c:v>
                </c:pt>
                <c:pt idx="9">
                  <c:v>2.3571185836950432</c:v>
                </c:pt>
                <c:pt idx="10">
                  <c:v>2.3134545186996647</c:v>
                </c:pt>
                <c:pt idx="11">
                  <c:v>2.2712162239464559</c:v>
                </c:pt>
                <c:pt idx="12">
                  <c:v>2.2301026530137822</c:v>
                </c:pt>
                <c:pt idx="13">
                  <c:v>2.1898489311341311</c:v>
                </c:pt>
                <c:pt idx="14">
                  <c:v>2.1502223537826914</c:v>
                </c:pt>
                <c:pt idx="15">
                  <c:v>2.1110189803243626</c:v>
                </c:pt>
                <c:pt idx="16">
                  <c:v>2.0720607209709123</c:v>
                </c:pt>
                <c:pt idx="17">
                  <c:v>2.0331928344660479</c:v>
                </c:pt>
                <c:pt idx="18">
                  <c:v>1.9942817691140737</c:v>
                </c:pt>
                <c:pt idx="19">
                  <c:v>1.9552132918879965</c:v>
                </c:pt>
                <c:pt idx="20">
                  <c:v>1.9158908600707993</c:v>
                </c:pt>
                <c:pt idx="21">
                  <c:v>1.8762341977150983</c:v>
                </c:pt>
                <c:pt idx="22">
                  <c:v>1.8361780455479462</c:v>
                </c:pt>
                <c:pt idx="23">
                  <c:v>1.7956710581059498</c:v>
                </c:pt>
                <c:pt idx="24">
                  <c:v>1.7546748260995408</c:v>
                </c:pt>
                <c:pt idx="25">
                  <c:v>1.7131630054606264</c:v>
                </c:pt>
                <c:pt idx="26">
                  <c:v>1.6711205373718152</c:v>
                </c:pt>
                <c:pt idx="27">
                  <c:v>1.6285429459234806</c:v>
                </c:pt>
                <c:pt idx="28">
                  <c:v>1.5854357019890351</c:v>
                </c:pt>
                <c:pt idx="29">
                  <c:v>1.5418136435223166</c:v>
                </c:pt>
                <c:pt idx="30">
                  <c:v>1.4977004438220296</c:v>
                </c:pt>
                <c:pt idx="31">
                  <c:v>1.4531281204238695</c:v>
                </c:pt>
                <c:pt idx="32">
                  <c:v>1.4081365782089699</c:v>
                </c:pt>
                <c:pt idx="33">
                  <c:v>1.3627731810874582</c:v>
                </c:pt>
                <c:pt idx="34">
                  <c:v>1.3170923472530429</c:v>
                </c:pt>
                <c:pt idx="35">
                  <c:v>1.2711551635273703</c:v>
                </c:pt>
                <c:pt idx="36">
                  <c:v>1.2250290147372036</c:v>
                </c:pt>
                <c:pt idx="37">
                  <c:v>1.1787872244048114</c:v>
                </c:pt>
                <c:pt idx="38">
                  <c:v>1.1325087032913839</c:v>
                </c:pt>
                <c:pt idx="39">
                  <c:v>1.0862776025209127</c:v>
                </c:pt>
                <c:pt idx="40">
                  <c:v>1.0401829681316459</c:v>
                </c:pt>
                <c:pt idx="41">
                  <c:v>0.99431839395512012</c:v>
                </c:pt>
                <c:pt idx="42">
                  <c:v>0.9487816697075746</c:v>
                </c:pt>
                <c:pt idx="43">
                  <c:v>0.90367442109108742</c:v>
                </c:pt>
                <c:pt idx="44">
                  <c:v>0.85910173853429361</c:v>
                </c:pt>
                <c:pt idx="45">
                  <c:v>0.81517179094338554</c:v>
                </c:pt>
                <c:pt idx="46">
                  <c:v>0.77199542046555192</c:v>
                </c:pt>
                <c:pt idx="47">
                  <c:v>0.72968571376482216</c:v>
                </c:pt>
                <c:pt idx="48">
                  <c:v>0.68835754463917265</c:v>
                </c:pt>
                <c:pt idx="49">
                  <c:v>0.64812708191909518</c:v>
                </c:pt>
                <c:pt idx="50">
                  <c:v>0.60911125541168443</c:v>
                </c:pt>
                <c:pt idx="51">
                  <c:v>0.57142717109103625</c:v>
                </c:pt>
                <c:pt idx="52">
                  <c:v>0.53519146463977152</c:v>
                </c:pt>
                <c:pt idx="53">
                  <c:v>0.50051957960202742</c:v>
                </c:pt>
                <c:pt idx="54">
                  <c:v>0.46752495248821313</c:v>
                </c:pt>
                <c:pt idx="55">
                  <c:v>1.2884738174849553</c:v>
                </c:pt>
                <c:pt idx="56">
                  <c:v>1.2711291932891571</c:v>
                </c:pt>
                <c:pt idx="57">
                  <c:v>1.2536450182730023</c:v>
                </c:pt>
                <c:pt idx="58">
                  <c:v>1.236031913705427</c:v>
                </c:pt>
                <c:pt idx="59">
                  <c:v>1.2183006245665791</c:v>
                </c:pt>
                <c:pt idx="60">
                  <c:v>1.2004620001848609</c:v>
                </c:pt>
                <c:pt idx="61">
                  <c:v>1.1825269760587309</c:v>
                </c:pt>
                <c:pt idx="62">
                  <c:v>1.1645065567790376</c:v>
                </c:pt>
                <c:pt idx="63">
                  <c:v>1.1464117999741865</c:v>
                </c:pt>
                <c:pt idx="64">
                  <c:v>1.1282538012064152</c:v>
                </c:pt>
                <c:pt idx="65">
                  <c:v>1.1100436797528372</c:v>
                </c:pt>
                <c:pt idx="66">
                  <c:v>1.0917925652098384</c:v>
                </c:pt>
                <c:pt idx="67">
                  <c:v>1.0883428004190978</c:v>
                </c:pt>
                <c:pt idx="68">
                  <c:v>1.1148890503793767</c:v>
                </c:pt>
                <c:pt idx="69">
                  <c:v>1.1419362559659283</c:v>
                </c:pt>
                <c:pt idx="70">
                  <c:v>1.1694702009491811</c:v>
                </c:pt>
                <c:pt idx="71">
                  <c:v>1.1974769837365873</c:v>
                </c:pt>
                <c:pt idx="72">
                  <c:v>1.2259430121252841</c:v>
                </c:pt>
                <c:pt idx="73">
                  <c:v>1.254854997965724</c:v>
                </c:pt>
                <c:pt idx="74">
                  <c:v>1.2841999517605061</c:v>
                </c:pt>
                <c:pt idx="75">
                  <c:v>1.3139651772196239</c:v>
                </c:pt>
                <c:pt idx="76">
                  <c:v>1.3441382657906087</c:v>
                </c:pt>
                <c:pt idx="77">
                  <c:v>1.374707091179767</c:v>
                </c:pt>
                <c:pt idx="78">
                  <c:v>1.405659803878565</c:v>
                </c:pt>
                <c:pt idx="79">
                  <c:v>1.4369848257074778</c:v>
                </c:pt>
                <c:pt idx="80">
                  <c:v>1.4686708443879655</c:v>
                </c:pt>
                <c:pt idx="81">
                  <c:v>1.5007068081518244</c:v>
                </c:pt>
                <c:pt idx="82">
                  <c:v>1.5330819203959802</c:v>
                </c:pt>
                <c:pt idx="83">
                  <c:v>1.5657856343896206</c:v>
                </c:pt>
                <c:pt idx="84">
                  <c:v>1.5988076480395859</c:v>
                </c:pt>
                <c:pt idx="85">
                  <c:v>1.6321378987191772</c:v>
                </c:pt>
                <c:pt idx="86">
                  <c:v>1.6657665581646186</c:v>
                </c:pt>
                <c:pt idx="87">
                  <c:v>1.6996840274428657</c:v>
                </c:pt>
                <c:pt idx="88">
                  <c:v>1.7338809319937982</c:v>
                </c:pt>
                <c:pt idx="89">
                  <c:v>1.7683481167492801</c:v>
                </c:pt>
                <c:pt idx="90">
                  <c:v>1.8030766413311412</c:v>
                </c:pt>
                <c:pt idx="91">
                  <c:v>1.8380577753297016</c:v>
                </c:pt>
                <c:pt idx="92">
                  <c:v>1.8732829936640707</c:v>
                </c:pt>
                <c:pt idx="93">
                  <c:v>1.9087439720251025</c:v>
                </c:pt>
                <c:pt idx="94">
                  <c:v>1.9444325824017197</c:v>
                </c:pt>
                <c:pt idx="95">
                  <c:v>1.9803408886908589</c:v>
                </c:pt>
                <c:pt idx="96">
                  <c:v>2.0164611423912508</c:v>
                </c:pt>
                <c:pt idx="97">
                  <c:v>2.0527857783809291</c:v>
                </c:pt>
                <c:pt idx="98">
                  <c:v>2.0893074107782197</c:v>
                </c:pt>
                <c:pt idx="99">
                  <c:v>2.1260188288858455</c:v>
                </c:pt>
                <c:pt idx="100">
                  <c:v>2.1629129932175375</c:v>
                </c:pt>
                <c:pt idx="101">
                  <c:v>2.1999830316065707</c:v>
                </c:pt>
                <c:pt idx="102">
                  <c:v>2.2372222353953948</c:v>
                </c:pt>
                <c:pt idx="103">
                  <c:v>2.2746240557055151</c:v>
                </c:pt>
                <c:pt idx="104">
                  <c:v>2.3121820997867188</c:v>
                </c:pt>
                <c:pt idx="105">
                  <c:v>2.3498901274446169</c:v>
                </c:pt>
                <c:pt idx="106">
                  <c:v>2.3877420475453994</c:v>
                </c:pt>
                <c:pt idx="107">
                  <c:v>2.4257319145967884</c:v>
                </c:pt>
                <c:pt idx="108">
                  <c:v>2.4638539254039293</c:v>
                </c:pt>
                <c:pt idx="109">
                  <c:v>2.5021024157990959</c:v>
                </c:pt>
                <c:pt idx="110">
                  <c:v>2.5404718574439955</c:v>
                </c:pt>
                <c:pt idx="111">
                  <c:v>2.5789568547033799</c:v>
                </c:pt>
                <c:pt idx="112">
                  <c:v>2.617552141588769</c:v>
                </c:pt>
                <c:pt idx="113">
                  <c:v>2.6562525787709914</c:v>
                </c:pt>
                <c:pt idx="114">
                  <c:v>2.0816618701282796</c:v>
                </c:pt>
                <c:pt idx="115">
                  <c:v>2.144967622147163</c:v>
                </c:pt>
                <c:pt idx="116">
                  <c:v>2.2086319653644924</c:v>
                </c:pt>
                <c:pt idx="117">
                  <c:v>2.2726307088565356</c:v>
                </c:pt>
                <c:pt idx="118">
                  <c:v>2.3369405435930006</c:v>
                </c:pt>
                <c:pt idx="119">
                  <c:v>2.4015390138192525</c:v>
                </c:pt>
                <c:pt idx="120">
                  <c:v>2.4664044891102628</c:v>
                </c:pt>
                <c:pt idx="121">
                  <c:v>2.5315161371154824</c:v>
                </c:pt>
                <c:pt idx="122">
                  <c:v>2.5968538970078003</c:v>
                </c:pt>
                <c:pt idx="123">
                  <c:v>2.662398453644669</c:v>
                </c:pt>
                <c:pt idx="124">
                  <c:v>2.7281312124450934</c:v>
                </c:pt>
                <c:pt idx="125">
                  <c:v>2.7940342749824798</c:v>
                </c:pt>
                <c:pt idx="126">
                  <c:v>2.8600904152902609</c:v>
                </c:pt>
                <c:pt idx="127">
                  <c:v>2.9262830568744724</c:v>
                </c:pt>
                <c:pt idx="128">
                  <c:v>2.9925962504254073</c:v>
                </c:pt>
                <c:pt idx="129">
                  <c:v>3.0590146522184898</c:v>
                </c:pt>
                <c:pt idx="130">
                  <c:v>3.1255235031931412</c:v>
                </c:pt>
                <c:pt idx="131">
                  <c:v>3.1921086086970227</c:v>
                </c:pt>
                <c:pt idx="132">
                  <c:v>3.2587563188821922</c:v>
                </c:pt>
                <c:pt idx="133">
                  <c:v>3.3254535097388773</c:v>
                </c:pt>
                <c:pt idx="134">
                  <c:v>3.3921875647518949</c:v>
                </c:pt>
                <c:pt idx="135">
                  <c:v>3.4589463571644283</c:v>
                </c:pt>
                <c:pt idx="136">
                  <c:v>3.5257182328334511</c:v>
                </c:pt>
                <c:pt idx="137">
                  <c:v>3.5924919936609609</c:v>
                </c:pt>
                <c:pt idx="138">
                  <c:v>3.6592568815849904</c:v>
                </c:pt>
                <c:pt idx="139">
                  <c:v>3.7260025631145108</c:v>
                </c:pt>
                <c:pt idx="140">
                  <c:v>3.7927191143921517</c:v>
                </c:pt>
                <c:pt idx="141">
                  <c:v>3.8593970067690666</c:v>
                </c:pt>
                <c:pt idx="142">
                  <c:v>3.9260270928761813</c:v>
                </c:pt>
                <c:pt idx="143">
                  <c:v>3.9926005931764075</c:v>
                </c:pt>
                <c:pt idx="144">
                  <c:v>4.0591090829826513</c:v>
                </c:pt>
                <c:pt idx="145">
                  <c:v>4.125544479926651</c:v>
                </c:pt>
                <c:pt idx="146">
                  <c:v>4.1918990318639908</c:v>
                </c:pt>
                <c:pt idx="147">
                  <c:v>4.2581653052010342</c:v>
                </c:pt>
                <c:pt idx="148">
                  <c:v>4.3243361736297503</c:v>
                </c:pt>
                <c:pt idx="149">
                  <c:v>4.3904048072567523</c:v>
                </c:pt>
                <c:pt idx="150">
                  <c:v>4.4563646621133106</c:v>
                </c:pt>
                <c:pt idx="151">
                  <c:v>4.5222094700333999</c:v>
                </c:pt>
                <c:pt idx="152">
                  <c:v>4.5879332288871</c:v>
                </c:pt>
                <c:pt idx="153">
                  <c:v>4.6535301931572661</c:v>
                </c:pt>
                <c:pt idx="154">
                  <c:v>4.718994864847434</c:v>
                </c:pt>
                <c:pt idx="155">
                  <c:v>4.7843219847096501</c:v>
                </c:pt>
                <c:pt idx="156">
                  <c:v>4.8495065237808817</c:v>
                </c:pt>
                <c:pt idx="157">
                  <c:v>4.9145436752172778</c:v>
                </c:pt>
                <c:pt idx="158">
                  <c:v>4.979428846415864</c:v>
                </c:pt>
                <c:pt idx="159">
                  <c:v>5.0441576514134328</c:v>
                </c:pt>
                <c:pt idx="160">
                  <c:v>5.1087259035529087</c:v>
                </c:pt>
                <c:pt idx="161">
                  <c:v>5.1731296084077574</c:v>
                </c:pt>
                <c:pt idx="162">
                  <c:v>5.2373649569551297</c:v>
                </c:pt>
                <c:pt idx="163">
                  <c:v>5.3014283189890561</c:v>
                </c:pt>
                <c:pt idx="164">
                  <c:v>5.3653162367650875</c:v>
                </c:pt>
                <c:pt idx="165">
                  <c:v>5.4290254188681288</c:v>
                </c:pt>
                <c:pt idx="166">
                  <c:v>5.4925527342954616</c:v>
                </c:pt>
                <c:pt idx="167">
                  <c:v>5.5558952067473584</c:v>
                </c:pt>
                <c:pt idx="168">
                  <c:v>5.619050009117867</c:v>
                </c:pt>
                <c:pt idx="169">
                  <c:v>5.6820144581784495</c:v>
                </c:pt>
                <c:pt idx="170">
                  <c:v>5.7447860094478331</c:v>
                </c:pt>
                <c:pt idx="171">
                  <c:v>5.8073622522412132</c:v>
                </c:pt>
                <c:pt idx="172">
                  <c:v>5.8697409048924554</c:v>
                </c:pt>
                <c:pt idx="173">
                  <c:v>5.931919810143139</c:v>
                </c:pt>
                <c:pt idx="174">
                  <c:v>5.9938969306924834</c:v>
                </c:pt>
                <c:pt idx="175">
                  <c:v>6.0556703449022447</c:v>
                </c:pt>
                <c:pt idx="176">
                  <c:v>6.1172382426513821</c:v>
                </c:pt>
                <c:pt idx="177">
                  <c:v>6.1785989213347241</c:v>
                </c:pt>
                <c:pt idx="178">
                  <c:v>6.2397507820008968</c:v>
                </c:pt>
                <c:pt idx="179">
                  <c:v>6.3006923256241905</c:v>
                </c:pt>
                <c:pt idx="180">
                  <c:v>6.3614221495058745</c:v>
                </c:pt>
                <c:pt idx="181">
                  <c:v>6.4219389438002024</c:v>
                </c:pt>
                <c:pt idx="182">
                  <c:v>6.4822414881606774</c:v>
                </c:pt>
                <c:pt idx="183">
                  <c:v>6.5423286485023588</c:v>
                </c:pt>
                <c:pt idx="184">
                  <c:v>6.6021993738760081</c:v>
                </c:pt>
                <c:pt idx="185">
                  <c:v>6.6618526934502125</c:v>
                </c:pt>
                <c:pt idx="186">
                  <c:v>6.7212877135975635</c:v>
                </c:pt>
                <c:pt idx="187">
                  <c:v>6.7805036150812406</c:v>
                </c:pt>
                <c:pt idx="188">
                  <c:v>6.8394996503384649</c:v>
                </c:pt>
                <c:pt idx="189">
                  <c:v>6.8982751408573693</c:v>
                </c:pt>
                <c:pt idx="190">
                  <c:v>6.9568294746440582</c:v>
                </c:pt>
                <c:pt idx="191">
                  <c:v>7.0151621037765466</c:v>
                </c:pt>
                <c:pt idx="192">
                  <c:v>7.0732725420426412</c:v>
                </c:pt>
                <c:pt idx="193">
                  <c:v>7.131160362658874</c:v>
                </c:pt>
                <c:pt idx="194">
                  <c:v>7.1888251960672944</c:v>
                </c:pt>
                <c:pt idx="195">
                  <c:v>7.2462667278079573</c:v>
                </c:pt>
                <c:pt idx="196">
                  <c:v>7.3034846964639044</c:v>
                </c:pt>
                <c:pt idx="197">
                  <c:v>7.3604788916764328</c:v>
                </c:pt>
                <c:pt idx="198">
                  <c:v>7.4172491522281394</c:v>
                </c:pt>
                <c:pt idx="199">
                  <c:v>7.4737953641912682</c:v>
                </c:pt>
                <c:pt idx="200">
                  <c:v>7.530117459139265</c:v>
                </c:pt>
              </c:numCache>
            </c:numRef>
          </c:val>
          <c:smooth val="0"/>
          <c:extLst>
            <c:ext xmlns:c16="http://schemas.microsoft.com/office/drawing/2014/chart" uri="{C3380CC4-5D6E-409C-BE32-E72D297353CC}">
              <c16:uniqueId val="{00000001-4FA9-47D5-BDEE-109A72C2DA33}"/>
            </c:ext>
          </c:extLst>
        </c:ser>
        <c:ser>
          <c:idx val="1"/>
          <c:order val="3"/>
          <c:tx>
            <c:v>Shunt Loss</c:v>
          </c:tx>
          <c:spPr>
            <a:ln w="25400">
              <a:solidFill>
                <a:srgbClr val="0000FF"/>
              </a:solidFill>
              <a:prstDash val="sysDot"/>
            </a:ln>
          </c:spPr>
          <c:marker>
            <c:symbol val="none"/>
          </c:marker>
          <c:cat>
            <c:numRef>
              <c:f>'Efficiency vs VIN Calculations'!$H$9:$H$209</c:f>
              <c:numCache>
                <c:formatCode>0.00</c:formatCode>
                <c:ptCount val="201"/>
                <c:pt idx="0">
                  <c:v>6</c:v>
                </c:pt>
                <c:pt idx="1">
                  <c:v>6.15</c:v>
                </c:pt>
                <c:pt idx="2">
                  <c:v>6.3</c:v>
                </c:pt>
                <c:pt idx="3">
                  <c:v>6.45</c:v>
                </c:pt>
                <c:pt idx="4">
                  <c:v>6.6</c:v>
                </c:pt>
                <c:pt idx="5">
                  <c:v>6.75</c:v>
                </c:pt>
                <c:pt idx="6">
                  <c:v>6.9</c:v>
                </c:pt>
                <c:pt idx="7">
                  <c:v>7.05</c:v>
                </c:pt>
                <c:pt idx="8">
                  <c:v>7.2</c:v>
                </c:pt>
                <c:pt idx="9">
                  <c:v>7.35</c:v>
                </c:pt>
                <c:pt idx="10">
                  <c:v>7.5</c:v>
                </c:pt>
                <c:pt idx="11">
                  <c:v>7.65</c:v>
                </c:pt>
                <c:pt idx="12">
                  <c:v>7.8</c:v>
                </c:pt>
                <c:pt idx="13">
                  <c:v>7.95</c:v>
                </c:pt>
                <c:pt idx="14">
                  <c:v>8.1</c:v>
                </c:pt>
                <c:pt idx="15">
                  <c:v>8.25</c:v>
                </c:pt>
                <c:pt idx="16">
                  <c:v>8.4</c:v>
                </c:pt>
                <c:pt idx="17">
                  <c:v>8.5500000000000007</c:v>
                </c:pt>
                <c:pt idx="18">
                  <c:v>8.6999999999999993</c:v>
                </c:pt>
                <c:pt idx="19">
                  <c:v>8.85</c:v>
                </c:pt>
                <c:pt idx="20">
                  <c:v>9</c:v>
                </c:pt>
                <c:pt idx="21">
                  <c:v>9.15</c:v>
                </c:pt>
                <c:pt idx="22">
                  <c:v>9.3000000000000007</c:v>
                </c:pt>
                <c:pt idx="23">
                  <c:v>9.4499999999999993</c:v>
                </c:pt>
                <c:pt idx="24">
                  <c:v>9.6</c:v>
                </c:pt>
                <c:pt idx="25">
                  <c:v>9.75</c:v>
                </c:pt>
                <c:pt idx="26">
                  <c:v>9.9</c:v>
                </c:pt>
                <c:pt idx="27">
                  <c:v>10.050000000000001</c:v>
                </c:pt>
                <c:pt idx="28">
                  <c:v>10.199999999999999</c:v>
                </c:pt>
                <c:pt idx="29">
                  <c:v>10.35</c:v>
                </c:pt>
                <c:pt idx="30">
                  <c:v>10.5</c:v>
                </c:pt>
                <c:pt idx="31">
                  <c:v>10.65</c:v>
                </c:pt>
                <c:pt idx="32">
                  <c:v>10.8</c:v>
                </c:pt>
                <c:pt idx="33">
                  <c:v>10.95</c:v>
                </c:pt>
                <c:pt idx="34">
                  <c:v>11.100000000000001</c:v>
                </c:pt>
                <c:pt idx="35">
                  <c:v>11.25</c:v>
                </c:pt>
                <c:pt idx="36">
                  <c:v>11.399999999999999</c:v>
                </c:pt>
                <c:pt idx="37">
                  <c:v>11.55</c:v>
                </c:pt>
                <c:pt idx="38">
                  <c:v>11.7</c:v>
                </c:pt>
                <c:pt idx="39">
                  <c:v>11.850000000000001</c:v>
                </c:pt>
                <c:pt idx="40">
                  <c:v>12</c:v>
                </c:pt>
                <c:pt idx="41">
                  <c:v>12.149999999999999</c:v>
                </c:pt>
                <c:pt idx="42">
                  <c:v>12.3</c:v>
                </c:pt>
                <c:pt idx="43">
                  <c:v>12.45</c:v>
                </c:pt>
                <c:pt idx="44">
                  <c:v>12.6</c:v>
                </c:pt>
                <c:pt idx="45">
                  <c:v>12.75</c:v>
                </c:pt>
                <c:pt idx="46">
                  <c:v>12.9</c:v>
                </c:pt>
                <c:pt idx="47">
                  <c:v>13.05</c:v>
                </c:pt>
                <c:pt idx="48">
                  <c:v>13.2</c:v>
                </c:pt>
                <c:pt idx="49">
                  <c:v>13.35</c:v>
                </c:pt>
                <c:pt idx="50">
                  <c:v>13.5</c:v>
                </c:pt>
                <c:pt idx="51">
                  <c:v>13.65</c:v>
                </c:pt>
                <c:pt idx="52">
                  <c:v>13.8</c:v>
                </c:pt>
                <c:pt idx="53">
                  <c:v>13.95</c:v>
                </c:pt>
                <c:pt idx="54">
                  <c:v>14.100000000000001</c:v>
                </c:pt>
                <c:pt idx="55">
                  <c:v>14.25</c:v>
                </c:pt>
                <c:pt idx="56">
                  <c:v>14.4</c:v>
                </c:pt>
                <c:pt idx="57">
                  <c:v>14.549999999999999</c:v>
                </c:pt>
                <c:pt idx="58">
                  <c:v>14.7</c:v>
                </c:pt>
                <c:pt idx="59">
                  <c:v>14.85</c:v>
                </c:pt>
                <c:pt idx="60">
                  <c:v>15</c:v>
                </c:pt>
                <c:pt idx="61">
                  <c:v>15.15</c:v>
                </c:pt>
                <c:pt idx="62">
                  <c:v>15.3</c:v>
                </c:pt>
                <c:pt idx="63">
                  <c:v>15.45</c:v>
                </c:pt>
                <c:pt idx="64">
                  <c:v>15.6</c:v>
                </c:pt>
                <c:pt idx="65">
                  <c:v>15.75</c:v>
                </c:pt>
                <c:pt idx="66">
                  <c:v>15.9</c:v>
                </c:pt>
                <c:pt idx="67">
                  <c:v>16.05</c:v>
                </c:pt>
                <c:pt idx="68">
                  <c:v>16.200000000000003</c:v>
                </c:pt>
                <c:pt idx="69">
                  <c:v>16.350000000000001</c:v>
                </c:pt>
                <c:pt idx="70">
                  <c:v>16.5</c:v>
                </c:pt>
                <c:pt idx="71">
                  <c:v>16.649999999999999</c:v>
                </c:pt>
                <c:pt idx="72">
                  <c:v>16.799999999999997</c:v>
                </c:pt>
                <c:pt idx="73">
                  <c:v>16.95</c:v>
                </c:pt>
                <c:pt idx="74">
                  <c:v>17.100000000000001</c:v>
                </c:pt>
                <c:pt idx="75">
                  <c:v>17.25</c:v>
                </c:pt>
                <c:pt idx="76">
                  <c:v>17.399999999999999</c:v>
                </c:pt>
                <c:pt idx="77">
                  <c:v>17.55</c:v>
                </c:pt>
                <c:pt idx="78">
                  <c:v>17.700000000000003</c:v>
                </c:pt>
                <c:pt idx="79">
                  <c:v>17.850000000000001</c:v>
                </c:pt>
                <c:pt idx="80">
                  <c:v>18</c:v>
                </c:pt>
                <c:pt idx="81">
                  <c:v>18.149999999999999</c:v>
                </c:pt>
                <c:pt idx="82">
                  <c:v>18.299999999999997</c:v>
                </c:pt>
                <c:pt idx="83">
                  <c:v>18.45</c:v>
                </c:pt>
                <c:pt idx="84">
                  <c:v>18.600000000000001</c:v>
                </c:pt>
                <c:pt idx="85">
                  <c:v>18.75</c:v>
                </c:pt>
                <c:pt idx="86">
                  <c:v>18.899999999999999</c:v>
                </c:pt>
                <c:pt idx="87">
                  <c:v>19.05</c:v>
                </c:pt>
                <c:pt idx="88">
                  <c:v>19.2</c:v>
                </c:pt>
                <c:pt idx="89">
                  <c:v>19.350000000000001</c:v>
                </c:pt>
                <c:pt idx="90">
                  <c:v>19.5</c:v>
                </c:pt>
                <c:pt idx="91">
                  <c:v>19.649999999999999</c:v>
                </c:pt>
                <c:pt idx="92">
                  <c:v>19.8</c:v>
                </c:pt>
                <c:pt idx="93">
                  <c:v>19.950000000000003</c:v>
                </c:pt>
                <c:pt idx="94">
                  <c:v>20.100000000000001</c:v>
                </c:pt>
                <c:pt idx="95">
                  <c:v>20.25</c:v>
                </c:pt>
                <c:pt idx="96">
                  <c:v>20.399999999999999</c:v>
                </c:pt>
                <c:pt idx="97">
                  <c:v>20.549999999999997</c:v>
                </c:pt>
                <c:pt idx="98">
                  <c:v>20.7</c:v>
                </c:pt>
                <c:pt idx="99">
                  <c:v>20.85</c:v>
                </c:pt>
                <c:pt idx="100">
                  <c:v>21</c:v>
                </c:pt>
                <c:pt idx="101">
                  <c:v>21.15</c:v>
                </c:pt>
                <c:pt idx="102">
                  <c:v>21.3</c:v>
                </c:pt>
                <c:pt idx="103">
                  <c:v>21.450000000000003</c:v>
                </c:pt>
                <c:pt idx="104">
                  <c:v>21.6</c:v>
                </c:pt>
                <c:pt idx="105">
                  <c:v>21.75</c:v>
                </c:pt>
                <c:pt idx="106">
                  <c:v>21.9</c:v>
                </c:pt>
                <c:pt idx="107">
                  <c:v>22.05</c:v>
                </c:pt>
                <c:pt idx="108">
                  <c:v>22.200000000000003</c:v>
                </c:pt>
                <c:pt idx="109">
                  <c:v>22.35</c:v>
                </c:pt>
                <c:pt idx="110">
                  <c:v>22.5</c:v>
                </c:pt>
                <c:pt idx="111">
                  <c:v>22.650000000000002</c:v>
                </c:pt>
                <c:pt idx="112">
                  <c:v>22.8</c:v>
                </c:pt>
                <c:pt idx="113">
                  <c:v>22.95</c:v>
                </c:pt>
                <c:pt idx="114">
                  <c:v>23.099999999999998</c:v>
                </c:pt>
                <c:pt idx="115">
                  <c:v>23.25</c:v>
                </c:pt>
                <c:pt idx="116">
                  <c:v>23.4</c:v>
                </c:pt>
                <c:pt idx="117">
                  <c:v>23.549999999999997</c:v>
                </c:pt>
                <c:pt idx="118">
                  <c:v>23.7</c:v>
                </c:pt>
                <c:pt idx="119">
                  <c:v>23.849999999999998</c:v>
                </c:pt>
                <c:pt idx="120">
                  <c:v>24</c:v>
                </c:pt>
                <c:pt idx="121">
                  <c:v>24.15</c:v>
                </c:pt>
                <c:pt idx="122">
                  <c:v>24.3</c:v>
                </c:pt>
                <c:pt idx="123">
                  <c:v>24.45</c:v>
                </c:pt>
                <c:pt idx="124">
                  <c:v>24.6</c:v>
                </c:pt>
                <c:pt idx="125">
                  <c:v>24.75</c:v>
                </c:pt>
                <c:pt idx="126">
                  <c:v>24.9</c:v>
                </c:pt>
                <c:pt idx="127">
                  <c:v>25.05</c:v>
                </c:pt>
                <c:pt idx="128">
                  <c:v>25.2</c:v>
                </c:pt>
                <c:pt idx="129">
                  <c:v>25.35</c:v>
                </c:pt>
                <c:pt idx="130">
                  <c:v>25.5</c:v>
                </c:pt>
                <c:pt idx="131">
                  <c:v>25.650000000000002</c:v>
                </c:pt>
                <c:pt idx="132">
                  <c:v>25.8</c:v>
                </c:pt>
                <c:pt idx="133">
                  <c:v>25.950000000000003</c:v>
                </c:pt>
                <c:pt idx="134">
                  <c:v>26.1</c:v>
                </c:pt>
                <c:pt idx="135">
                  <c:v>26.25</c:v>
                </c:pt>
                <c:pt idx="136">
                  <c:v>26.400000000000002</c:v>
                </c:pt>
                <c:pt idx="137">
                  <c:v>26.55</c:v>
                </c:pt>
                <c:pt idx="138">
                  <c:v>26.7</c:v>
                </c:pt>
                <c:pt idx="139">
                  <c:v>26.849999999999998</c:v>
                </c:pt>
                <c:pt idx="140">
                  <c:v>27</c:v>
                </c:pt>
                <c:pt idx="141">
                  <c:v>27.15</c:v>
                </c:pt>
                <c:pt idx="142">
                  <c:v>27.299999999999997</c:v>
                </c:pt>
                <c:pt idx="143">
                  <c:v>27.45</c:v>
                </c:pt>
                <c:pt idx="144">
                  <c:v>27.599999999999998</c:v>
                </c:pt>
                <c:pt idx="145">
                  <c:v>27.75</c:v>
                </c:pt>
                <c:pt idx="146">
                  <c:v>27.9</c:v>
                </c:pt>
                <c:pt idx="147">
                  <c:v>28.05</c:v>
                </c:pt>
                <c:pt idx="148">
                  <c:v>28.2</c:v>
                </c:pt>
                <c:pt idx="149">
                  <c:v>28.35</c:v>
                </c:pt>
                <c:pt idx="150">
                  <c:v>28.5</c:v>
                </c:pt>
                <c:pt idx="151">
                  <c:v>28.65</c:v>
                </c:pt>
                <c:pt idx="152">
                  <c:v>28.8</c:v>
                </c:pt>
                <c:pt idx="153">
                  <c:v>28.95</c:v>
                </c:pt>
                <c:pt idx="154">
                  <c:v>29.1</c:v>
                </c:pt>
                <c:pt idx="155">
                  <c:v>29.25</c:v>
                </c:pt>
                <c:pt idx="156">
                  <c:v>29.400000000000002</c:v>
                </c:pt>
                <c:pt idx="157">
                  <c:v>29.55</c:v>
                </c:pt>
                <c:pt idx="158">
                  <c:v>29.700000000000003</c:v>
                </c:pt>
                <c:pt idx="159">
                  <c:v>29.85</c:v>
                </c:pt>
                <c:pt idx="160">
                  <c:v>30</c:v>
                </c:pt>
                <c:pt idx="161">
                  <c:v>30.150000000000002</c:v>
                </c:pt>
                <c:pt idx="162">
                  <c:v>30.3</c:v>
                </c:pt>
                <c:pt idx="163">
                  <c:v>30.45</c:v>
                </c:pt>
                <c:pt idx="164">
                  <c:v>30.599999999999998</c:v>
                </c:pt>
                <c:pt idx="165">
                  <c:v>30.75</c:v>
                </c:pt>
                <c:pt idx="166">
                  <c:v>30.9</c:v>
                </c:pt>
                <c:pt idx="167">
                  <c:v>31.049999999999997</c:v>
                </c:pt>
                <c:pt idx="168">
                  <c:v>31.2</c:v>
                </c:pt>
                <c:pt idx="169">
                  <c:v>31.349999999999998</c:v>
                </c:pt>
                <c:pt idx="170">
                  <c:v>31.5</c:v>
                </c:pt>
                <c:pt idx="171">
                  <c:v>31.65</c:v>
                </c:pt>
                <c:pt idx="172">
                  <c:v>31.8</c:v>
                </c:pt>
                <c:pt idx="173">
                  <c:v>31.95</c:v>
                </c:pt>
                <c:pt idx="174">
                  <c:v>32.1</c:v>
                </c:pt>
                <c:pt idx="175">
                  <c:v>32.25</c:v>
                </c:pt>
                <c:pt idx="176">
                  <c:v>32.4</c:v>
                </c:pt>
                <c:pt idx="177">
                  <c:v>32.549999999999997</c:v>
                </c:pt>
                <c:pt idx="178">
                  <c:v>32.700000000000003</c:v>
                </c:pt>
                <c:pt idx="179">
                  <c:v>32.85</c:v>
                </c:pt>
                <c:pt idx="180">
                  <c:v>33</c:v>
                </c:pt>
                <c:pt idx="181">
                  <c:v>33.150000000000006</c:v>
                </c:pt>
                <c:pt idx="182">
                  <c:v>33.299999999999997</c:v>
                </c:pt>
                <c:pt idx="183">
                  <c:v>33.450000000000003</c:v>
                </c:pt>
                <c:pt idx="184">
                  <c:v>33.6</c:v>
                </c:pt>
                <c:pt idx="185">
                  <c:v>33.75</c:v>
                </c:pt>
                <c:pt idx="186">
                  <c:v>33.900000000000006</c:v>
                </c:pt>
                <c:pt idx="187">
                  <c:v>34.049999999999997</c:v>
                </c:pt>
                <c:pt idx="188">
                  <c:v>34.200000000000003</c:v>
                </c:pt>
                <c:pt idx="189">
                  <c:v>34.349999999999994</c:v>
                </c:pt>
                <c:pt idx="190">
                  <c:v>34.5</c:v>
                </c:pt>
                <c:pt idx="191">
                  <c:v>34.65</c:v>
                </c:pt>
                <c:pt idx="192">
                  <c:v>34.799999999999997</c:v>
                </c:pt>
                <c:pt idx="193">
                  <c:v>34.950000000000003</c:v>
                </c:pt>
                <c:pt idx="194">
                  <c:v>35.099999999999994</c:v>
                </c:pt>
                <c:pt idx="195">
                  <c:v>35.25</c:v>
                </c:pt>
                <c:pt idx="196">
                  <c:v>35.4</c:v>
                </c:pt>
                <c:pt idx="197">
                  <c:v>35.549999999999997</c:v>
                </c:pt>
                <c:pt idx="198">
                  <c:v>35.700000000000003</c:v>
                </c:pt>
                <c:pt idx="199">
                  <c:v>35.85</c:v>
                </c:pt>
                <c:pt idx="200">
                  <c:v>36</c:v>
                </c:pt>
              </c:numCache>
            </c:numRef>
          </c:cat>
          <c:val>
            <c:numRef>
              <c:f>'Efficiency vs VIN Calculations'!$BV$9:$BV$209</c:f>
              <c:numCache>
                <c:formatCode>0.000</c:formatCode>
                <c:ptCount val="201"/>
                <c:pt idx="0">
                  <c:v>0.41860173038226162</c:v>
                </c:pt>
                <c:pt idx="1">
                  <c:v>0.39251074667857616</c:v>
                </c:pt>
                <c:pt idx="2">
                  <c:v>0.36840749326088229</c:v>
                </c:pt>
                <c:pt idx="3">
                  <c:v>0.34610155542464344</c:v>
                </c:pt>
                <c:pt idx="4">
                  <c:v>0.32542446662326791</c:v>
                </c:pt>
                <c:pt idx="5">
                  <c:v>0.30622676336304955</c:v>
                </c:pt>
                <c:pt idx="6">
                  <c:v>0.28837548948742531</c:v>
                </c:pt>
                <c:pt idx="7">
                  <c:v>0.27175207331477297</c:v>
                </c:pt>
                <c:pt idx="8">
                  <c:v>0.25625051543123417</c:v>
                </c:pt>
                <c:pt idx="9">
                  <c:v>0.24177583635701072</c:v>
                </c:pt>
                <c:pt idx="10">
                  <c:v>0.22824274244196699</c:v>
                </c:pt>
                <c:pt idx="11">
                  <c:v>0.21557447569472013</c:v>
                </c:pt>
                <c:pt idx="12">
                  <c:v>0.2037018191862742</c:v>
                </c:pt>
                <c:pt idx="13">
                  <c:v>0.19256223448706131</c:v>
                </c:pt>
                <c:pt idx="14">
                  <c:v>0.18209911152252645</c:v>
                </c:pt>
                <c:pt idx="15">
                  <c:v>0.17226111444515671</c:v>
                </c:pt>
                <c:pt idx="16">
                  <c:v>0.16300160976009309</c:v>
                </c:pt>
                <c:pt idx="17">
                  <c:v>0.15427816511769232</c:v>
                </c:pt>
                <c:pt idx="18">
                  <c:v>0.14605210898738633</c:v>
                </c:pt>
                <c:pt idx="19">
                  <c:v>0.13828814292279801</c:v>
                </c:pt>
                <c:pt idx="20">
                  <c:v>0.13095399937428434</c:v>
                </c:pt>
                <c:pt idx="21">
                  <c:v>0.12402013904682706</c:v>
                </c:pt>
                <c:pt idx="22">
                  <c:v>0.11745948267476609</c:v>
                </c:pt>
                <c:pt idx="23">
                  <c:v>0.11124717281961016</c:v>
                </c:pt>
                <c:pt idx="24">
                  <c:v>0.10536036191694971</c:v>
                </c:pt>
                <c:pt idx="25">
                  <c:v>9.9778023322779727E-2</c:v>
                </c:pt>
                <c:pt idx="26">
                  <c:v>9.4480782554250339E-2</c:v>
                </c:pt>
                <c:pt idx="27">
                  <c:v>8.945076629807136E-2</c:v>
                </c:pt>
                <c:pt idx="28">
                  <c:v>8.4671467082265001E-2</c:v>
                </c:pt>
                <c:pt idx="29">
                  <c:v>8.0127621782590308E-2</c:v>
                </c:pt>
                <c:pt idx="30">
                  <c:v>7.580510237111579E-2</c:v>
                </c:pt>
                <c:pt idx="31">
                  <c:v>7.1690817517220243E-2</c:v>
                </c:pt>
                <c:pt idx="32">
                  <c:v>6.7772623825859982E-2</c:v>
                </c:pt>
                <c:pt idx="33">
                  <c:v>6.403924564850931E-2</c:v>
                </c:pt>
                <c:pt idx="34">
                  <c:v>6.0480202532343603E-2</c:v>
                </c:pt>
                <c:pt idx="35">
                  <c:v>5.7085743485977697E-2</c:v>
                </c:pt>
                <c:pt idx="36">
                  <c:v>5.3846787337929761E-2</c:v>
                </c:pt>
                <c:pt idx="37">
                  <c:v>5.0754868549084849E-2</c:v>
                </c:pt>
                <c:pt idx="38">
                  <c:v>4.7802087914578725E-2</c:v>
                </c:pt>
                <c:pt idx="39">
                  <c:v>4.4981067655245816E-2</c:v>
                </c:pt>
                <c:pt idx="40">
                  <c:v>4.2284910455377918E-2</c:v>
                </c:pt>
                <c:pt idx="41">
                  <c:v>3.9707162053117181E-2</c:v>
                </c:pt>
                <c:pt idx="42">
                  <c:v>3.7241777033316555E-2</c:v>
                </c:pt>
                <c:pt idx="43">
                  <c:v>3.4883087510939041E-2</c:v>
                </c:pt>
                <c:pt idx="44">
                  <c:v>3.2625774426732285E-2</c:v>
                </c:pt>
                <c:pt idx="45">
                  <c:v>3.0464841206601256E-2</c:v>
                </c:pt>
                <c:pt idx="46">
                  <c:v>2.8395589562313358E-2</c:v>
                </c:pt>
                <c:pt idx="47">
                  <c:v>2.6413597234357954E-2</c:v>
                </c:pt>
                <c:pt idx="48">
                  <c:v>2.4514697498316772E-2</c:v>
                </c:pt>
                <c:pt idx="49">
                  <c:v>2.2694960274316469E-2</c:v>
                </c:pt>
                <c:pt idx="50">
                  <c:v>2.0950674695315016E-2</c:v>
                </c:pt>
                <c:pt idx="51">
                  <c:v>1.9278333004362481E-2</c:v>
                </c:pt>
                <c:pt idx="52">
                  <c:v>1.7674615663794344E-2</c:v>
                </c:pt>
                <c:pt idx="53">
                  <c:v>1.6136377570745153E-2</c:v>
                </c:pt>
                <c:pt idx="54">
                  <c:v>1.4660635283575073E-2</c:v>
                </c:pt>
                <c:pt idx="55">
                  <c:v>8.4274366299475267E-2</c:v>
                </c:pt>
                <c:pt idx="56">
                  <c:v>8.3743381246043636E-2</c:v>
                </c:pt>
                <c:pt idx="57">
                  <c:v>8.321427552901256E-2</c:v>
                </c:pt>
                <c:pt idx="58">
                  <c:v>8.26868855885316E-2</c:v>
                </c:pt>
                <c:pt idx="59">
                  <c:v>8.2161058264899473E-2</c:v>
                </c:pt>
                <c:pt idx="60">
                  <c:v>8.1636650042669082E-2</c:v>
                </c:pt>
                <c:pt idx="61">
                  <c:v>8.1113526354086474E-2</c:v>
                </c:pt>
                <c:pt idx="62">
                  <c:v>8.0591560936818907E-2</c:v>
                </c:pt>
                <c:pt idx="63">
                  <c:v>8.0070635241393934E-2</c:v>
                </c:pt>
                <c:pt idx="64">
                  <c:v>7.9550637884188494E-2</c:v>
                </c:pt>
                <c:pt idx="65">
                  <c:v>7.9031464142186245E-2</c:v>
                </c:pt>
                <c:pt idx="66">
                  <c:v>7.8513015486059948E-2</c:v>
                </c:pt>
                <c:pt idx="67">
                  <c:v>7.7995199148443856E-2</c:v>
                </c:pt>
                <c:pt idx="68">
                  <c:v>7.7477927724538362E-2</c:v>
                </c:pt>
                <c:pt idx="69">
                  <c:v>7.6961118802440373E-2</c:v>
                </c:pt>
                <c:pt idx="70">
                  <c:v>7.644469462081957E-2</c:v>
                </c:pt>
                <c:pt idx="71">
                  <c:v>7.5928581751766366E-2</c:v>
                </c:pt>
                <c:pt idx="72">
                  <c:v>7.5412710806825461E-2</c:v>
                </c:pt>
                <c:pt idx="73">
                  <c:v>7.4897016164395161E-2</c:v>
                </c:pt>
                <c:pt idx="74">
                  <c:v>7.4381435716830313E-2</c:v>
                </c:pt>
                <c:pt idx="75">
                  <c:v>7.3865910635722259E-2</c:v>
                </c:pt>
                <c:pt idx="76">
                  <c:v>7.335038515395928E-2</c:v>
                </c:pt>
                <c:pt idx="77">
                  <c:v>7.2834806363285945E-2</c:v>
                </c:pt>
                <c:pt idx="78">
                  <c:v>7.2319124026183415E-2</c:v>
                </c:pt>
                <c:pt idx="79">
                  <c:v>7.1803290400991482E-2</c:v>
                </c:pt>
                <c:pt idx="80">
                  <c:v>7.1287260079278617E-2</c:v>
                </c:pt>
                <c:pt idx="81">
                  <c:v>7.0770989834546633E-2</c:v>
                </c:pt>
                <c:pt idx="82">
                  <c:v>7.0254438481430634E-2</c:v>
                </c:pt>
                <c:pt idx="83">
                  <c:v>6.9737566744620311E-2</c:v>
                </c:pt>
                <c:pt idx="84">
                  <c:v>6.9220337136790308E-2</c:v>
                </c:pt>
                <c:pt idx="85">
                  <c:v>6.8702713844883412E-2</c:v>
                </c:pt>
                <c:pt idx="86">
                  <c:v>6.8184662624140885E-2</c:v>
                </c:pt>
                <c:pt idx="87">
                  <c:v>6.7666150699321873E-2</c:v>
                </c:pt>
                <c:pt idx="88">
                  <c:v>6.7147146672596136E-2</c:v>
                </c:pt>
                <c:pt idx="89">
                  <c:v>6.6627620437634039E-2</c:v>
                </c:pt>
                <c:pt idx="90">
                  <c:v>6.6107543099454366E-2</c:v>
                </c:pt>
                <c:pt idx="91">
                  <c:v>6.5586886899622804E-2</c:v>
                </c:pt>
                <c:pt idx="92">
                  <c:v>6.5065625146425388E-2</c:v>
                </c:pt>
                <c:pt idx="93">
                  <c:v>6.4543732149669034E-2</c:v>
                </c:pt>
                <c:pt idx="94">
                  <c:v>6.4021183159786957E-2</c:v>
                </c:pt>
                <c:pt idx="95">
                  <c:v>6.3497954310950691E-2</c:v>
                </c:pt>
                <c:pt idx="96">
                  <c:v>6.2974022567912347E-2</c:v>
                </c:pt>
                <c:pt idx="97">
                  <c:v>6.2449365676321172E-2</c:v>
                </c:pt>
                <c:pt idx="98">
                  <c:v>6.1923962116276564E-2</c:v>
                </c:pt>
                <c:pt idx="99">
                  <c:v>6.1397791058897561E-2</c:v>
                </c:pt>
                <c:pt idx="100">
                  <c:v>6.0870832325703672E-2</c:v>
                </c:pt>
                <c:pt idx="101">
                  <c:v>6.0343066350618285E-2</c:v>
                </c:pt>
                <c:pt idx="102">
                  <c:v>5.9814474144417068E-2</c:v>
                </c:pt>
                <c:pt idx="103">
                  <c:v>5.9285037261458527E-2</c:v>
                </c:pt>
                <c:pt idx="104">
                  <c:v>5.8754737768543959E-2</c:v>
                </c:pt>
                <c:pt idx="105">
                  <c:v>5.8223558215765157E-2</c:v>
                </c:pt>
                <c:pt idx="106">
                  <c:v>5.7691481609208596E-2</c:v>
                </c:pt>
                <c:pt idx="107">
                  <c:v>5.715849138539323E-2</c:v>
                </c:pt>
                <c:pt idx="108">
                  <c:v>5.6624571387327835E-2</c:v>
                </c:pt>
                <c:pt idx="109">
                  <c:v>5.608970584208197E-2</c:v>
                </c:pt>
                <c:pt idx="110">
                  <c:v>5.5553879339771274E-2</c:v>
                </c:pt>
                <c:pt idx="111">
                  <c:v>5.5017076813865431E-2</c:v>
                </c:pt>
                <c:pt idx="112">
                  <c:v>5.4479283522732597E-2</c:v>
                </c:pt>
                <c:pt idx="113">
                  <c:v>5.3940485032340175E-2</c:v>
                </c:pt>
                <c:pt idx="114">
                  <c:v>2.6935365291655244E-2</c:v>
                </c:pt>
                <c:pt idx="115">
                  <c:v>2.7377950908388213E-2</c:v>
                </c:pt>
                <c:pt idx="116">
                  <c:v>2.7816858513991655E-2</c:v>
                </c:pt>
                <c:pt idx="117">
                  <c:v>2.8252148118951336E-2</c:v>
                </c:pt>
                <c:pt idx="118">
                  <c:v>2.8683877783087168E-2</c:v>
                </c:pt>
                <c:pt idx="119">
                  <c:v>2.9112103711766837E-2</c:v>
                </c:pt>
                <c:pt idx="120">
                  <c:v>2.9536880346420793E-2</c:v>
                </c:pt>
                <c:pt idx="121">
                  <c:v>2.9958260449730507E-2</c:v>
                </c:pt>
                <c:pt idx="122">
                  <c:v>3.0376295185836139E-2</c:v>
                </c:pt>
                <c:pt idx="123">
                  <c:v>3.079103419588505E-2</c:v>
                </c:pt>
                <c:pt idx="124">
                  <c:v>3.1202525669220837E-2</c:v>
                </c:pt>
                <c:pt idx="125">
                  <c:v>3.1610816410491405E-2</c:v>
                </c:pt>
                <c:pt idx="126">
                  <c:v>3.2015951902935463E-2</c:v>
                </c:pt>
                <c:pt idx="127">
                  <c:v>3.2417976368089539E-2</c:v>
                </c:pt>
                <c:pt idx="128">
                  <c:v>3.2816932822140273E-2</c:v>
                </c:pt>
                <c:pt idx="129">
                  <c:v>3.321286312913245E-2</c:v>
                </c:pt>
                <c:pt idx="130">
                  <c:v>3.36058080512283E-2</c:v>
                </c:pt>
                <c:pt idx="131">
                  <c:v>3.399580729620074E-2</c:v>
                </c:pt>
                <c:pt idx="132">
                  <c:v>3.4382899562331169E-2</c:v>
                </c:pt>
                <c:pt idx="133">
                  <c:v>3.4767122580870925E-2</c:v>
                </c:pt>
                <c:pt idx="134">
                  <c:v>3.5148513156214735E-2</c:v>
                </c:pt>
                <c:pt idx="135">
                  <c:v>3.5527107203925427E-2</c:v>
                </c:pt>
                <c:pt idx="136">
                  <c:v>3.5902939786739162E-2</c:v>
                </c:pt>
                <c:pt idx="137">
                  <c:v>3.627604514867272E-2</c:v>
                </c:pt>
                <c:pt idx="138">
                  <c:v>3.6646456747346103E-2</c:v>
                </c:pt>
                <c:pt idx="139">
                  <c:v>3.7014207284626524E-2</c:v>
                </c:pt>
                <c:pt idx="140">
                  <c:v>3.7379328735692996E-2</c:v>
                </c:pt>
                <c:pt idx="141">
                  <c:v>3.7741852376614322E-2</c:v>
                </c:pt>
                <c:pt idx="142">
                  <c:v>3.8101808810527542E-2</c:v>
                </c:pt>
                <c:pt idx="143">
                  <c:v>3.8459227992498339E-2</c:v>
                </c:pt>
                <c:pt idx="144">
                  <c:v>3.8814139253139326E-2</c:v>
                </c:pt>
                <c:pt idx="145">
                  <c:v>3.9166571321058101E-2</c:v>
                </c:pt>
                <c:pt idx="146">
                  <c:v>3.951655234420208E-2</c:v>
                </c:pt>
                <c:pt idx="147">
                  <c:v>3.9864109910162364E-2</c:v>
                </c:pt>
                <c:pt idx="148">
                  <c:v>4.0209271065496439E-2</c:v>
                </c:pt>
                <c:pt idx="149">
                  <c:v>4.0552062334124492E-2</c:v>
                </c:pt>
                <c:pt idx="150">
                  <c:v>4.0892509734851173E-2</c:v>
                </c:pt>
                <c:pt idx="151">
                  <c:v>4.1230638798061901E-2</c:v>
                </c:pt>
                <c:pt idx="152">
                  <c:v>4.1566474581639194E-2</c:v>
                </c:pt>
                <c:pt idx="153">
                  <c:v>4.1900041686142135E-2</c:v>
                </c:pt>
                <c:pt idx="154">
                  <c:v>4.2231364269289105E-2</c:v>
                </c:pt>
                <c:pt idx="155">
                  <c:v>4.2560466059782386E-2</c:v>
                </c:pt>
                <c:pt idx="156">
                  <c:v>4.2887370370509464E-2</c:v>
                </c:pt>
                <c:pt idx="157">
                  <c:v>4.3212100111155324E-2</c:v>
                </c:pt>
                <c:pt idx="158">
                  <c:v>4.3534677800256764E-2</c:v>
                </c:pt>
                <c:pt idx="159">
                  <c:v>4.3855125576729048E-2</c:v>
                </c:pt>
                <c:pt idx="160">
                  <c:v>4.4173465210891952E-2</c:v>
                </c:pt>
                <c:pt idx="161">
                  <c:v>4.4489718115022801E-2</c:v>
                </c:pt>
                <c:pt idx="162">
                  <c:v>4.480390535345985E-2</c:v>
                </c:pt>
                <c:pt idx="163">
                  <c:v>4.5116047652280646E-2</c:v>
                </c:pt>
                <c:pt idx="164">
                  <c:v>4.5426165408576503E-2</c:v>
                </c:pt>
                <c:pt idx="165">
                  <c:v>4.573427869934419E-2</c:v>
                </c:pt>
                <c:pt idx="166">
                  <c:v>4.6040407290014518E-2</c:v>
                </c:pt>
                <c:pt idx="167">
                  <c:v>4.6344570642635897E-2</c:v>
                </c:pt>
                <c:pt idx="168">
                  <c:v>4.6646787923730573E-2</c:v>
                </c:pt>
                <c:pt idx="169">
                  <c:v>4.6947078011839796E-2</c:v>
                </c:pt>
                <c:pt idx="170">
                  <c:v>4.7245459504773456E-2</c:v>
                </c:pt>
                <c:pt idx="171">
                  <c:v>4.7541950726578901E-2</c:v>
                </c:pt>
                <c:pt idx="172">
                  <c:v>4.7836569734242586E-2</c:v>
                </c:pt>
                <c:pt idx="173">
                  <c:v>4.8129334324137546E-2</c:v>
                </c:pt>
                <c:pt idx="174">
                  <c:v>4.8420262038229619E-2</c:v>
                </c:pt>
                <c:pt idx="175">
                  <c:v>4.8709370170052835E-2</c:v>
                </c:pt>
                <c:pt idx="176">
                  <c:v>4.8996675770466624E-2</c:v>
                </c:pt>
                <c:pt idx="177">
                  <c:v>4.9282195653203513E-2</c:v>
                </c:pt>
                <c:pt idx="178">
                  <c:v>4.9565946400218816E-2</c:v>
                </c:pt>
                <c:pt idx="179">
                  <c:v>4.9847944366850173E-2</c:v>
                </c:pt>
                <c:pt idx="180">
                  <c:v>5.0128205686796837E-2</c:v>
                </c:pt>
                <c:pt idx="181">
                  <c:v>5.0406746276926692E-2</c:v>
                </c:pt>
                <c:pt idx="182">
                  <c:v>5.0683581841918263E-2</c:v>
                </c:pt>
                <c:pt idx="183">
                  <c:v>5.0958727878746633E-2</c:v>
                </c:pt>
                <c:pt idx="184">
                  <c:v>5.12321996810189E-2</c:v>
                </c:pt>
                <c:pt idx="185">
                  <c:v>5.1504012343166754E-2</c:v>
                </c:pt>
                <c:pt idx="186">
                  <c:v>5.1774180764502284E-2</c:v>
                </c:pt>
                <c:pt idx="187">
                  <c:v>5.2042719653143096E-2</c:v>
                </c:pt>
                <c:pt idx="188">
                  <c:v>5.2309643529812343E-2</c:v>
                </c:pt>
                <c:pt idx="189">
                  <c:v>5.2574966731519235E-2</c:v>
                </c:pt>
                <c:pt idx="190">
                  <c:v>5.2838703415125407E-2</c:v>
                </c:pt>
                <c:pt idx="191">
                  <c:v>5.3100867560801276E-2</c:v>
                </c:pt>
                <c:pt idx="192">
                  <c:v>5.3361472975378008E-2</c:v>
                </c:pt>
                <c:pt idx="193">
                  <c:v>5.3620533295598863E-2</c:v>
                </c:pt>
                <c:pt idx="194">
                  <c:v>5.3878061991274179E-2</c:v>
                </c:pt>
                <c:pt idx="195">
                  <c:v>5.4134072368344319E-2</c:v>
                </c:pt>
                <c:pt idx="196">
                  <c:v>5.4388577571853905E-2</c:v>
                </c:pt>
                <c:pt idx="197">
                  <c:v>5.4641590588841348E-2</c:v>
                </c:pt>
                <c:pt idx="198">
                  <c:v>5.4893124251146806E-2</c:v>
                </c:pt>
                <c:pt idx="199">
                  <c:v>5.5143191238141862E-2</c:v>
                </c:pt>
                <c:pt idx="200">
                  <c:v>5.5391804079384287E-2</c:v>
                </c:pt>
              </c:numCache>
            </c:numRef>
          </c:val>
          <c:smooth val="0"/>
          <c:extLst>
            <c:ext xmlns:c16="http://schemas.microsoft.com/office/drawing/2014/chart" uri="{C3380CC4-5D6E-409C-BE32-E72D297353CC}">
              <c16:uniqueId val="{00000002-4FA9-47D5-BDEE-109A72C2DA33}"/>
            </c:ext>
          </c:extLst>
        </c:ser>
        <c:ser>
          <c:idx val="4"/>
          <c:order val="4"/>
          <c:tx>
            <c:strRef>
              <c:f>'Efficiency vs VIN Calculations'!$BR$8</c:f>
              <c:strCache>
                <c:ptCount val="1"/>
                <c:pt idx="0">
                  <c:v>Buck ''Control'' MOSFET Loss</c:v>
                </c:pt>
              </c:strCache>
            </c:strRef>
          </c:tx>
          <c:spPr>
            <a:ln>
              <a:prstDash val="sysDash"/>
            </a:ln>
          </c:spPr>
          <c:marker>
            <c:symbol val="none"/>
          </c:marker>
          <c:cat>
            <c:numRef>
              <c:f>'Efficiency vs VIN Calculations'!$H$9:$H$209</c:f>
              <c:numCache>
                <c:formatCode>0.00</c:formatCode>
                <c:ptCount val="201"/>
                <c:pt idx="0">
                  <c:v>6</c:v>
                </c:pt>
                <c:pt idx="1">
                  <c:v>6.15</c:v>
                </c:pt>
                <c:pt idx="2">
                  <c:v>6.3</c:v>
                </c:pt>
                <c:pt idx="3">
                  <c:v>6.45</c:v>
                </c:pt>
                <c:pt idx="4">
                  <c:v>6.6</c:v>
                </c:pt>
                <c:pt idx="5">
                  <c:v>6.75</c:v>
                </c:pt>
                <c:pt idx="6">
                  <c:v>6.9</c:v>
                </c:pt>
                <c:pt idx="7">
                  <c:v>7.05</c:v>
                </c:pt>
                <c:pt idx="8">
                  <c:v>7.2</c:v>
                </c:pt>
                <c:pt idx="9">
                  <c:v>7.35</c:v>
                </c:pt>
                <c:pt idx="10">
                  <c:v>7.5</c:v>
                </c:pt>
                <c:pt idx="11">
                  <c:v>7.65</c:v>
                </c:pt>
                <c:pt idx="12">
                  <c:v>7.8</c:v>
                </c:pt>
                <c:pt idx="13">
                  <c:v>7.95</c:v>
                </c:pt>
                <c:pt idx="14">
                  <c:v>8.1</c:v>
                </c:pt>
                <c:pt idx="15">
                  <c:v>8.25</c:v>
                </c:pt>
                <c:pt idx="16">
                  <c:v>8.4</c:v>
                </c:pt>
                <c:pt idx="17">
                  <c:v>8.5500000000000007</c:v>
                </c:pt>
                <c:pt idx="18">
                  <c:v>8.6999999999999993</c:v>
                </c:pt>
                <c:pt idx="19">
                  <c:v>8.85</c:v>
                </c:pt>
                <c:pt idx="20">
                  <c:v>9</c:v>
                </c:pt>
                <c:pt idx="21">
                  <c:v>9.15</c:v>
                </c:pt>
                <c:pt idx="22">
                  <c:v>9.3000000000000007</c:v>
                </c:pt>
                <c:pt idx="23">
                  <c:v>9.4499999999999993</c:v>
                </c:pt>
                <c:pt idx="24">
                  <c:v>9.6</c:v>
                </c:pt>
                <c:pt idx="25">
                  <c:v>9.75</c:v>
                </c:pt>
                <c:pt idx="26">
                  <c:v>9.9</c:v>
                </c:pt>
                <c:pt idx="27">
                  <c:v>10.050000000000001</c:v>
                </c:pt>
                <c:pt idx="28">
                  <c:v>10.199999999999999</c:v>
                </c:pt>
                <c:pt idx="29">
                  <c:v>10.35</c:v>
                </c:pt>
                <c:pt idx="30">
                  <c:v>10.5</c:v>
                </c:pt>
                <c:pt idx="31">
                  <c:v>10.65</c:v>
                </c:pt>
                <c:pt idx="32">
                  <c:v>10.8</c:v>
                </c:pt>
                <c:pt idx="33">
                  <c:v>10.95</c:v>
                </c:pt>
                <c:pt idx="34">
                  <c:v>11.100000000000001</c:v>
                </c:pt>
                <c:pt idx="35">
                  <c:v>11.25</c:v>
                </c:pt>
                <c:pt idx="36">
                  <c:v>11.399999999999999</c:v>
                </c:pt>
                <c:pt idx="37">
                  <c:v>11.55</c:v>
                </c:pt>
                <c:pt idx="38">
                  <c:v>11.7</c:v>
                </c:pt>
                <c:pt idx="39">
                  <c:v>11.850000000000001</c:v>
                </c:pt>
                <c:pt idx="40">
                  <c:v>12</c:v>
                </c:pt>
                <c:pt idx="41">
                  <c:v>12.149999999999999</c:v>
                </c:pt>
                <c:pt idx="42">
                  <c:v>12.3</c:v>
                </c:pt>
                <c:pt idx="43">
                  <c:v>12.45</c:v>
                </c:pt>
                <c:pt idx="44">
                  <c:v>12.6</c:v>
                </c:pt>
                <c:pt idx="45">
                  <c:v>12.75</c:v>
                </c:pt>
                <c:pt idx="46">
                  <c:v>12.9</c:v>
                </c:pt>
                <c:pt idx="47">
                  <c:v>13.05</c:v>
                </c:pt>
                <c:pt idx="48">
                  <c:v>13.2</c:v>
                </c:pt>
                <c:pt idx="49">
                  <c:v>13.35</c:v>
                </c:pt>
                <c:pt idx="50">
                  <c:v>13.5</c:v>
                </c:pt>
                <c:pt idx="51">
                  <c:v>13.65</c:v>
                </c:pt>
                <c:pt idx="52">
                  <c:v>13.8</c:v>
                </c:pt>
                <c:pt idx="53">
                  <c:v>13.95</c:v>
                </c:pt>
                <c:pt idx="54">
                  <c:v>14.100000000000001</c:v>
                </c:pt>
                <c:pt idx="55">
                  <c:v>14.25</c:v>
                </c:pt>
                <c:pt idx="56">
                  <c:v>14.4</c:v>
                </c:pt>
                <c:pt idx="57">
                  <c:v>14.549999999999999</c:v>
                </c:pt>
                <c:pt idx="58">
                  <c:v>14.7</c:v>
                </c:pt>
                <c:pt idx="59">
                  <c:v>14.85</c:v>
                </c:pt>
                <c:pt idx="60">
                  <c:v>15</c:v>
                </c:pt>
                <c:pt idx="61">
                  <c:v>15.15</c:v>
                </c:pt>
                <c:pt idx="62">
                  <c:v>15.3</c:v>
                </c:pt>
                <c:pt idx="63">
                  <c:v>15.45</c:v>
                </c:pt>
                <c:pt idx="64">
                  <c:v>15.6</c:v>
                </c:pt>
                <c:pt idx="65">
                  <c:v>15.75</c:v>
                </c:pt>
                <c:pt idx="66">
                  <c:v>15.9</c:v>
                </c:pt>
                <c:pt idx="67">
                  <c:v>16.05</c:v>
                </c:pt>
                <c:pt idx="68">
                  <c:v>16.200000000000003</c:v>
                </c:pt>
                <c:pt idx="69">
                  <c:v>16.350000000000001</c:v>
                </c:pt>
                <c:pt idx="70">
                  <c:v>16.5</c:v>
                </c:pt>
                <c:pt idx="71">
                  <c:v>16.649999999999999</c:v>
                </c:pt>
                <c:pt idx="72">
                  <c:v>16.799999999999997</c:v>
                </c:pt>
                <c:pt idx="73">
                  <c:v>16.95</c:v>
                </c:pt>
                <c:pt idx="74">
                  <c:v>17.100000000000001</c:v>
                </c:pt>
                <c:pt idx="75">
                  <c:v>17.25</c:v>
                </c:pt>
                <c:pt idx="76">
                  <c:v>17.399999999999999</c:v>
                </c:pt>
                <c:pt idx="77">
                  <c:v>17.55</c:v>
                </c:pt>
                <c:pt idx="78">
                  <c:v>17.700000000000003</c:v>
                </c:pt>
                <c:pt idx="79">
                  <c:v>17.850000000000001</c:v>
                </c:pt>
                <c:pt idx="80">
                  <c:v>18</c:v>
                </c:pt>
                <c:pt idx="81">
                  <c:v>18.149999999999999</c:v>
                </c:pt>
                <c:pt idx="82">
                  <c:v>18.299999999999997</c:v>
                </c:pt>
                <c:pt idx="83">
                  <c:v>18.45</c:v>
                </c:pt>
                <c:pt idx="84">
                  <c:v>18.600000000000001</c:v>
                </c:pt>
                <c:pt idx="85">
                  <c:v>18.75</c:v>
                </c:pt>
                <c:pt idx="86">
                  <c:v>18.899999999999999</c:v>
                </c:pt>
                <c:pt idx="87">
                  <c:v>19.05</c:v>
                </c:pt>
                <c:pt idx="88">
                  <c:v>19.2</c:v>
                </c:pt>
                <c:pt idx="89">
                  <c:v>19.350000000000001</c:v>
                </c:pt>
                <c:pt idx="90">
                  <c:v>19.5</c:v>
                </c:pt>
                <c:pt idx="91">
                  <c:v>19.649999999999999</c:v>
                </c:pt>
                <c:pt idx="92">
                  <c:v>19.8</c:v>
                </c:pt>
                <c:pt idx="93">
                  <c:v>19.950000000000003</c:v>
                </c:pt>
                <c:pt idx="94">
                  <c:v>20.100000000000001</c:v>
                </c:pt>
                <c:pt idx="95">
                  <c:v>20.25</c:v>
                </c:pt>
                <c:pt idx="96">
                  <c:v>20.399999999999999</c:v>
                </c:pt>
                <c:pt idx="97">
                  <c:v>20.549999999999997</c:v>
                </c:pt>
                <c:pt idx="98">
                  <c:v>20.7</c:v>
                </c:pt>
                <c:pt idx="99">
                  <c:v>20.85</c:v>
                </c:pt>
                <c:pt idx="100">
                  <c:v>21</c:v>
                </c:pt>
                <c:pt idx="101">
                  <c:v>21.15</c:v>
                </c:pt>
                <c:pt idx="102">
                  <c:v>21.3</c:v>
                </c:pt>
                <c:pt idx="103">
                  <c:v>21.450000000000003</c:v>
                </c:pt>
                <c:pt idx="104">
                  <c:v>21.6</c:v>
                </c:pt>
                <c:pt idx="105">
                  <c:v>21.75</c:v>
                </c:pt>
                <c:pt idx="106">
                  <c:v>21.9</c:v>
                </c:pt>
                <c:pt idx="107">
                  <c:v>22.05</c:v>
                </c:pt>
                <c:pt idx="108">
                  <c:v>22.200000000000003</c:v>
                </c:pt>
                <c:pt idx="109">
                  <c:v>22.35</c:v>
                </c:pt>
                <c:pt idx="110">
                  <c:v>22.5</c:v>
                </c:pt>
                <c:pt idx="111">
                  <c:v>22.650000000000002</c:v>
                </c:pt>
                <c:pt idx="112">
                  <c:v>22.8</c:v>
                </c:pt>
                <c:pt idx="113">
                  <c:v>22.95</c:v>
                </c:pt>
                <c:pt idx="114">
                  <c:v>23.099999999999998</c:v>
                </c:pt>
                <c:pt idx="115">
                  <c:v>23.25</c:v>
                </c:pt>
                <c:pt idx="116">
                  <c:v>23.4</c:v>
                </c:pt>
                <c:pt idx="117">
                  <c:v>23.549999999999997</c:v>
                </c:pt>
                <c:pt idx="118">
                  <c:v>23.7</c:v>
                </c:pt>
                <c:pt idx="119">
                  <c:v>23.849999999999998</c:v>
                </c:pt>
                <c:pt idx="120">
                  <c:v>24</c:v>
                </c:pt>
                <c:pt idx="121">
                  <c:v>24.15</c:v>
                </c:pt>
                <c:pt idx="122">
                  <c:v>24.3</c:v>
                </c:pt>
                <c:pt idx="123">
                  <c:v>24.45</c:v>
                </c:pt>
                <c:pt idx="124">
                  <c:v>24.6</c:v>
                </c:pt>
                <c:pt idx="125">
                  <c:v>24.75</c:v>
                </c:pt>
                <c:pt idx="126">
                  <c:v>24.9</c:v>
                </c:pt>
                <c:pt idx="127">
                  <c:v>25.05</c:v>
                </c:pt>
                <c:pt idx="128">
                  <c:v>25.2</c:v>
                </c:pt>
                <c:pt idx="129">
                  <c:v>25.35</c:v>
                </c:pt>
                <c:pt idx="130">
                  <c:v>25.5</c:v>
                </c:pt>
                <c:pt idx="131">
                  <c:v>25.650000000000002</c:v>
                </c:pt>
                <c:pt idx="132">
                  <c:v>25.8</c:v>
                </c:pt>
                <c:pt idx="133">
                  <c:v>25.950000000000003</c:v>
                </c:pt>
                <c:pt idx="134">
                  <c:v>26.1</c:v>
                </c:pt>
                <c:pt idx="135">
                  <c:v>26.25</c:v>
                </c:pt>
                <c:pt idx="136">
                  <c:v>26.400000000000002</c:v>
                </c:pt>
                <c:pt idx="137">
                  <c:v>26.55</c:v>
                </c:pt>
                <c:pt idx="138">
                  <c:v>26.7</c:v>
                </c:pt>
                <c:pt idx="139">
                  <c:v>26.849999999999998</c:v>
                </c:pt>
                <c:pt idx="140">
                  <c:v>27</c:v>
                </c:pt>
                <c:pt idx="141">
                  <c:v>27.15</c:v>
                </c:pt>
                <c:pt idx="142">
                  <c:v>27.299999999999997</c:v>
                </c:pt>
                <c:pt idx="143">
                  <c:v>27.45</c:v>
                </c:pt>
                <c:pt idx="144">
                  <c:v>27.599999999999998</c:v>
                </c:pt>
                <c:pt idx="145">
                  <c:v>27.75</c:v>
                </c:pt>
                <c:pt idx="146">
                  <c:v>27.9</c:v>
                </c:pt>
                <c:pt idx="147">
                  <c:v>28.05</c:v>
                </c:pt>
                <c:pt idx="148">
                  <c:v>28.2</c:v>
                </c:pt>
                <c:pt idx="149">
                  <c:v>28.35</c:v>
                </c:pt>
                <c:pt idx="150">
                  <c:v>28.5</c:v>
                </c:pt>
                <c:pt idx="151">
                  <c:v>28.65</c:v>
                </c:pt>
                <c:pt idx="152">
                  <c:v>28.8</c:v>
                </c:pt>
                <c:pt idx="153">
                  <c:v>28.95</c:v>
                </c:pt>
                <c:pt idx="154">
                  <c:v>29.1</c:v>
                </c:pt>
                <c:pt idx="155">
                  <c:v>29.25</c:v>
                </c:pt>
                <c:pt idx="156">
                  <c:v>29.400000000000002</c:v>
                </c:pt>
                <c:pt idx="157">
                  <c:v>29.55</c:v>
                </c:pt>
                <c:pt idx="158">
                  <c:v>29.700000000000003</c:v>
                </c:pt>
                <c:pt idx="159">
                  <c:v>29.85</c:v>
                </c:pt>
                <c:pt idx="160">
                  <c:v>30</c:v>
                </c:pt>
                <c:pt idx="161">
                  <c:v>30.150000000000002</c:v>
                </c:pt>
                <c:pt idx="162">
                  <c:v>30.3</c:v>
                </c:pt>
                <c:pt idx="163">
                  <c:v>30.45</c:v>
                </c:pt>
                <c:pt idx="164">
                  <c:v>30.599999999999998</c:v>
                </c:pt>
                <c:pt idx="165">
                  <c:v>30.75</c:v>
                </c:pt>
                <c:pt idx="166">
                  <c:v>30.9</c:v>
                </c:pt>
                <c:pt idx="167">
                  <c:v>31.049999999999997</c:v>
                </c:pt>
                <c:pt idx="168">
                  <c:v>31.2</c:v>
                </c:pt>
                <c:pt idx="169">
                  <c:v>31.349999999999998</c:v>
                </c:pt>
                <c:pt idx="170">
                  <c:v>31.5</c:v>
                </c:pt>
                <c:pt idx="171">
                  <c:v>31.65</c:v>
                </c:pt>
                <c:pt idx="172">
                  <c:v>31.8</c:v>
                </c:pt>
                <c:pt idx="173">
                  <c:v>31.95</c:v>
                </c:pt>
                <c:pt idx="174">
                  <c:v>32.1</c:v>
                </c:pt>
                <c:pt idx="175">
                  <c:v>32.25</c:v>
                </c:pt>
                <c:pt idx="176">
                  <c:v>32.4</c:v>
                </c:pt>
                <c:pt idx="177">
                  <c:v>32.549999999999997</c:v>
                </c:pt>
                <c:pt idx="178">
                  <c:v>32.700000000000003</c:v>
                </c:pt>
                <c:pt idx="179">
                  <c:v>32.85</c:v>
                </c:pt>
                <c:pt idx="180">
                  <c:v>33</c:v>
                </c:pt>
                <c:pt idx="181">
                  <c:v>33.150000000000006</c:v>
                </c:pt>
                <c:pt idx="182">
                  <c:v>33.299999999999997</c:v>
                </c:pt>
                <c:pt idx="183">
                  <c:v>33.450000000000003</c:v>
                </c:pt>
                <c:pt idx="184">
                  <c:v>33.6</c:v>
                </c:pt>
                <c:pt idx="185">
                  <c:v>33.75</c:v>
                </c:pt>
                <c:pt idx="186">
                  <c:v>33.900000000000006</c:v>
                </c:pt>
                <c:pt idx="187">
                  <c:v>34.049999999999997</c:v>
                </c:pt>
                <c:pt idx="188">
                  <c:v>34.200000000000003</c:v>
                </c:pt>
                <c:pt idx="189">
                  <c:v>34.349999999999994</c:v>
                </c:pt>
                <c:pt idx="190">
                  <c:v>34.5</c:v>
                </c:pt>
                <c:pt idx="191">
                  <c:v>34.65</c:v>
                </c:pt>
                <c:pt idx="192">
                  <c:v>34.799999999999997</c:v>
                </c:pt>
                <c:pt idx="193">
                  <c:v>34.950000000000003</c:v>
                </c:pt>
                <c:pt idx="194">
                  <c:v>35.099999999999994</c:v>
                </c:pt>
                <c:pt idx="195">
                  <c:v>35.25</c:v>
                </c:pt>
                <c:pt idx="196">
                  <c:v>35.4</c:v>
                </c:pt>
                <c:pt idx="197">
                  <c:v>35.549999999999997</c:v>
                </c:pt>
                <c:pt idx="198">
                  <c:v>35.700000000000003</c:v>
                </c:pt>
                <c:pt idx="199">
                  <c:v>35.85</c:v>
                </c:pt>
                <c:pt idx="200">
                  <c:v>36</c:v>
                </c:pt>
              </c:numCache>
            </c:numRef>
          </c:cat>
          <c:val>
            <c:numRef>
              <c:f>'Efficiency vs VIN Calculations'!$BR$9:$BR$209</c:f>
              <c:numCache>
                <c:formatCode>0.000</c:formatCode>
                <c:ptCount val="201"/>
                <c:pt idx="0">
                  <c:v>3.2901218452291343</c:v>
                </c:pt>
                <c:pt idx="1">
                  <c:v>3.0093756570713954</c:v>
                </c:pt>
                <c:pt idx="2">
                  <c:v>2.7675508349086924</c:v>
                </c:pt>
                <c:pt idx="3">
                  <c:v>2.5572459888867427</c:v>
                </c:pt>
                <c:pt idx="4">
                  <c:v>2.3728157095056073</c:v>
                </c:pt>
                <c:pt idx="5">
                  <c:v>2.2098794736944543</c:v>
                </c:pt>
                <c:pt idx="6">
                  <c:v>2.0649865980424358</c:v>
                </c:pt>
                <c:pt idx="7">
                  <c:v>1.935382303166344</c:v>
                </c:pt>
                <c:pt idx="8">
                  <c:v>1.8188409974635422</c:v>
                </c:pt>
                <c:pt idx="9">
                  <c:v>1.7135452781412412</c:v>
                </c:pt>
                <c:pt idx="10">
                  <c:v>1.6179966643697858</c:v>
                </c:pt>
                <c:pt idx="11">
                  <c:v>1.5309487618178226</c:v>
                </c:pt>
                <c:pt idx="12">
                  <c:v>1.4513565479873571</c:v>
                </c:pt>
                <c:pt idx="13">
                  <c:v>1.3783374182304597</c:v>
                </c:pt>
                <c:pt idx="14">
                  <c:v>1.3111409298300856</c:v>
                </c:pt>
                <c:pt idx="15">
                  <c:v>1.2491250602362294</c:v>
                </c:pt>
                <c:pt idx="16">
                  <c:v>1.1917374004565571</c:v>
                </c:pt>
                <c:pt idx="17">
                  <c:v>1.1385001273288473</c:v>
                </c:pt>
                <c:pt idx="18">
                  <c:v>1.088997897939971</c:v>
                </c:pt>
                <c:pt idx="19">
                  <c:v>1.0428680244397199</c:v>
                </c:pt>
                <c:pt idx="20">
                  <c:v>0.99979244364092601</c:v>
                </c:pt>
                <c:pt idx="21">
                  <c:v>0.95949111046505431</c:v>
                </c:pt>
                <c:pt idx="22">
                  <c:v>0.92171652937477944</c:v>
                </c:pt>
                <c:pt idx="23">
                  <c:v>0.88624920167667887</c:v>
                </c:pt>
                <c:pt idx="24">
                  <c:v>0.852893814764209</c:v>
                </c:pt>
                <c:pt idx="25">
                  <c:v>0.8214760361094825</c:v>
                </c:pt>
                <c:pt idx="26">
                  <c:v>0.79183980304648294</c:v>
                </c:pt>
                <c:pt idx="27">
                  <c:v>0.76384502125057574</c:v>
                </c:pt>
                <c:pt idx="28">
                  <c:v>0.73736560186805256</c:v>
                </c:pt>
                <c:pt idx="29">
                  <c:v>0.71228778063433351</c:v>
                </c:pt>
                <c:pt idx="30">
                  <c:v>0.68850867289473738</c:v>
                </c:pt>
                <c:pt idx="31">
                  <c:v>0.665935026847711</c:v>
                </c:pt>
                <c:pt idx="32">
                  <c:v>0.64448214405049964</c:v>
                </c:pt>
                <c:pt idx="33">
                  <c:v>0.62407294162879046</c:v>
                </c:pt>
                <c:pt idx="34">
                  <c:v>0.60463713499626848</c:v>
                </c:pt>
                <c:pt idx="35">
                  <c:v>0.58611052343381365</c:v>
                </c:pt>
                <c:pt idx="36">
                  <c:v>0.56843436376917122</c:v>
                </c:pt>
                <c:pt idx="37">
                  <c:v>0.5515548197672463</c:v>
                </c:pt>
                <c:pt idx="38">
                  <c:v>0.5354224767911886</c:v>
                </c:pt>
                <c:pt idx="39">
                  <c:v>0.51999191290604052</c:v>
                </c:pt>
                <c:pt idx="40">
                  <c:v>0.50522131893394251</c:v>
                </c:pt>
                <c:pt idx="41">
                  <c:v>0.49107216108356444</c:v>
                </c:pt>
                <c:pt idx="42">
                  <c:v>0.47750888070742942</c:v>
                </c:pt>
                <c:pt idx="43">
                  <c:v>0.46449862652171336</c:v>
                </c:pt>
                <c:pt idx="44">
                  <c:v>0.45201101528037707</c:v>
                </c:pt>
                <c:pt idx="45">
                  <c:v>0.44001791745051505</c:v>
                </c:pt>
                <c:pt idx="46">
                  <c:v>0.4284932649058682</c:v>
                </c:pt>
                <c:pt idx="47">
                  <c:v>0.41741287805485527</c:v>
                </c:pt>
                <c:pt idx="48">
                  <c:v>0.40675431015974722</c:v>
                </c:pt>
                <c:pt idx="49">
                  <c:v>0.39649670689434702</c:v>
                </c:pt>
                <c:pt idx="50">
                  <c:v>0.38662067943662659</c:v>
                </c:pt>
                <c:pt idx="51">
                  <c:v>0.37710818960671405</c:v>
                </c:pt>
                <c:pt idx="52">
                  <c:v>0.36794244574485441</c:v>
                </c:pt>
                <c:pt idx="53">
                  <c:v>0.35910780818300064</c:v>
                </c:pt>
                <c:pt idx="54">
                  <c:v>0.35058970330129108</c:v>
                </c:pt>
                <c:pt idx="55">
                  <c:v>1.5006499969871356</c:v>
                </c:pt>
                <c:pt idx="56">
                  <c:v>1.4972715629714846</c:v>
                </c:pt>
                <c:pt idx="57">
                  <c:v>1.4941322679212063</c:v>
                </c:pt>
                <c:pt idx="58">
                  <c:v>1.4912204989304207</c:v>
                </c:pt>
                <c:pt idx="59">
                  <c:v>1.4885252456956117</c:v>
                </c:pt>
                <c:pt idx="60">
                  <c:v>1.4860360604077882</c:v>
                </c:pt>
                <c:pt idx="61">
                  <c:v>1.4837430208104225</c:v>
                </c:pt>
                <c:pt idx="62">
                  <c:v>1.481636696136635</c:v>
                </c:pt>
                <c:pt idx="63">
                  <c:v>1.4797081156682701</c:v>
                </c:pt>
                <c:pt idx="64">
                  <c:v>1.4779487396853457</c:v>
                </c:pt>
                <c:pt idx="65">
                  <c:v>1.4763504325973487</c:v>
                </c:pt>
                <c:pt idx="66">
                  <c:v>1.4749054380682998</c:v>
                </c:pt>
                <c:pt idx="67">
                  <c:v>1.4736063559657426</c:v>
                </c:pt>
                <c:pt idx="68">
                  <c:v>1.4724461209800785</c:v>
                </c:pt>
                <c:pt idx="69">
                  <c:v>1.4714179827752187</c:v>
                </c:pt>
                <c:pt idx="70">
                  <c:v>1.4705154875445348</c:v>
                </c:pt>
                <c:pt idx="71">
                  <c:v>1.4697324608577575</c:v>
                </c:pt>
                <c:pt idx="72">
                  <c:v>1.4690629916949429</c:v>
                </c:pt>
                <c:pt idx="73">
                  <c:v>1.4685014175730289</c:v>
                </c:pt>
                <c:pt idx="74">
                  <c:v>1.468042310678966</c:v>
                </c:pt>
                <c:pt idx="75">
                  <c:v>1.4676804649310311</c:v>
                </c:pt>
                <c:pt idx="76">
                  <c:v>1.4674108838967959</c:v>
                </c:pt>
                <c:pt idx="77">
                  <c:v>1.4672287695024411</c:v>
                </c:pt>
                <c:pt idx="78">
                  <c:v>1.4671295114736944</c:v>
                </c:pt>
                <c:pt idx="79">
                  <c:v>1.4671086774537678</c:v>
                </c:pt>
                <c:pt idx="80">
                  <c:v>1.4671620037482382</c:v>
                </c:pt>
                <c:pt idx="81">
                  <c:v>1.4672853866510009</c:v>
                </c:pt>
                <c:pt idx="82">
                  <c:v>1.4674748743092056</c:v>
                </c:pt>
                <c:pt idx="83">
                  <c:v>1.4677266590885074</c:v>
                </c:pt>
                <c:pt idx="84">
                  <c:v>1.4680370704031009</c:v>
                </c:pt>
                <c:pt idx="85">
                  <c:v>1.4684025679778503</c:v>
                </c:pt>
                <c:pt idx="86">
                  <c:v>1.4688197355124122</c:v>
                </c:pt>
                <c:pt idx="87">
                  <c:v>1.4692852747196212</c:v>
                </c:pt>
                <c:pt idx="88">
                  <c:v>1.4697959997125505</c:v>
                </c:pt>
                <c:pt idx="89">
                  <c:v>1.4703488317166549</c:v>
                </c:pt>
                <c:pt idx="90">
                  <c:v>1.4709407940851833</c:v>
                </c:pt>
                <c:pt idx="91">
                  <c:v>1.4715690075977073</c:v>
                </c:pt>
                <c:pt idx="92">
                  <c:v>1.4722306860231276</c:v>
                </c:pt>
                <c:pt idx="93">
                  <c:v>1.4729231319298988</c:v>
                </c:pt>
                <c:pt idx="94">
                  <c:v>1.4736437327274852</c:v>
                </c:pt>
                <c:pt idx="95">
                  <c:v>1.4743899569242307</c:v>
                </c:pt>
                <c:pt idx="96">
                  <c:v>1.4751593505878962</c:v>
                </c:pt>
                <c:pt idx="97">
                  <c:v>1.4759495339961013</c:v>
                </c:pt>
                <c:pt idx="98">
                  <c:v>1.4767581984648237</c:v>
                </c:pt>
                <c:pt idx="99">
                  <c:v>1.4775831033439364</c:v>
                </c:pt>
                <c:pt idx="100">
                  <c:v>1.4784220731695292</c:v>
                </c:pt>
                <c:pt idx="101">
                  <c:v>1.4792729949635</c:v>
                </c:pt>
                <c:pt idx="102">
                  <c:v>1.4801338156715094</c:v>
                </c:pt>
                <c:pt idx="103">
                  <c:v>1.4810025397310471</c:v>
                </c:pt>
                <c:pt idx="104">
                  <c:v>1.4818772267618814</c:v>
                </c:pt>
                <c:pt idx="105">
                  <c:v>1.4827559893717037</c:v>
                </c:pt>
                <c:pt idx="106">
                  <c:v>1.4836369910702472</c:v>
                </c:pt>
                <c:pt idx="107">
                  <c:v>1.4845184442856072</c:v>
                </c:pt>
                <c:pt idx="108">
                  <c:v>1.4853986084768973</c:v>
                </c:pt>
                <c:pt idx="109">
                  <c:v>1.4862757883377653</c:v>
                </c:pt>
                <c:pt idx="110">
                  <c:v>1.4871483320856345</c:v>
                </c:pt>
                <c:pt idx="111">
                  <c:v>1.4880146298318764</c:v>
                </c:pt>
                <c:pt idx="112">
                  <c:v>1.4888731120284167</c:v>
                </c:pt>
                <c:pt idx="113">
                  <c:v>1.4897222479865606</c:v>
                </c:pt>
                <c:pt idx="114">
                  <c:v>1.1681529682228757</c:v>
                </c:pt>
                <c:pt idx="115">
                  <c:v>1.1736053711996774</c:v>
                </c:pt>
                <c:pt idx="116">
                  <c:v>1.179069677414526</c:v>
                </c:pt>
                <c:pt idx="117">
                  <c:v>1.1845455482155294</c:v>
                </c:pt>
                <c:pt idx="118">
                  <c:v>1.1900326585172176</c:v>
                </c:pt>
                <c:pt idx="119">
                  <c:v>1.1955306961454097</c:v>
                </c:pt>
                <c:pt idx="120">
                  <c:v>1.2010393612180508</c:v>
                </c:pt>
                <c:pt idx="121">
                  <c:v>1.2065583655598262</c:v>
                </c:pt>
                <c:pt idx="122">
                  <c:v>1.2120874321485118</c:v>
                </c:pt>
                <c:pt idx="123">
                  <c:v>1.2176262945911416</c:v>
                </c:pt>
                <c:pt idx="124">
                  <c:v>1.2231746966282171</c:v>
                </c:pt>
                <c:pt idx="125">
                  <c:v>1.2287323916642872</c:v>
                </c:pt>
                <c:pt idx="126">
                  <c:v>1.23429914232334</c:v>
                </c:pt>
                <c:pt idx="127">
                  <c:v>1.2398747200275524</c:v>
                </c:pt>
                <c:pt idx="128">
                  <c:v>1.2454589045980291</c:v>
                </c:pt>
                <c:pt idx="129">
                  <c:v>1.2510514838762599</c:v>
                </c:pt>
                <c:pt idx="130">
                  <c:v>1.2566522533650972</c:v>
                </c:pt>
                <c:pt idx="131">
                  <c:v>1.2622610158881331</c:v>
                </c:pt>
                <c:pt idx="132">
                  <c:v>1.2678775812664336</c:v>
                </c:pt>
                <c:pt idx="133">
                  <c:v>1.2735017660116368</c:v>
                </c:pt>
                <c:pt idx="134">
                  <c:v>1.279133393034499</c:v>
                </c:pt>
                <c:pt idx="135">
                  <c:v>1.2847722913680262</c:v>
                </c:pt>
                <c:pt idx="136">
                  <c:v>1.2904182959043677</c:v>
                </c:pt>
                <c:pt idx="137">
                  <c:v>1.2960712471447231</c:v>
                </c:pt>
                <c:pt idx="138">
                  <c:v>1.3017309909615349</c:v>
                </c:pt>
                <c:pt idx="139">
                  <c:v>1.3073973783722999</c:v>
                </c:pt>
                <c:pt idx="140">
                  <c:v>1.3130702653243667</c:v>
                </c:pt>
                <c:pt idx="141">
                  <c:v>1.318749512490121</c:v>
                </c:pt>
                <c:pt idx="142">
                  <c:v>1.324434985072003</c:v>
                </c:pt>
                <c:pt idx="143">
                  <c:v>1.3301265526168278</c:v>
                </c:pt>
                <c:pt idx="144">
                  <c:v>1.3358240888389157</c:v>
                </c:pt>
                <c:pt idx="145">
                  <c:v>1.3415274714515624</c:v>
                </c:pt>
                <c:pt idx="146">
                  <c:v>1.3472365820064158</c:v>
                </c:pt>
                <c:pt idx="147">
                  <c:v>1.3529513057403373</c:v>
                </c:pt>
                <c:pt idx="148">
                  <c:v>1.358671531429364</c:v>
                </c:pt>
                <c:pt idx="149">
                  <c:v>1.3643971512494009</c:v>
                </c:pt>
                <c:pt idx="150">
                  <c:v>1.3701280606432971</c:v>
                </c:pt>
                <c:pt idx="151">
                  <c:v>1.3758641581939786</c:v>
                </c:pt>
                <c:pt idx="152">
                  <c:v>1.3816053455033273</c:v>
                </c:pt>
                <c:pt idx="153">
                  <c:v>1.3873515270765182</c:v>
                </c:pt>
                <c:pt idx="154">
                  <c:v>1.3931026102115336</c:v>
                </c:pt>
                <c:pt idx="155">
                  <c:v>1.3988585048936035</c:v>
                </c:pt>
                <c:pt idx="156">
                  <c:v>1.4046191236943144</c:v>
                </c:pt>
                <c:pt idx="157">
                  <c:v>1.4103843816751651</c:v>
                </c:pt>
                <c:pt idx="158">
                  <c:v>1.4161541962953446</c:v>
                </c:pt>
                <c:pt idx="159">
                  <c:v>1.4219284873235238</c:v>
                </c:pt>
                <c:pt idx="160">
                  <c:v>1.427707176753469</c:v>
                </c:pt>
                <c:pt idx="161">
                  <c:v>1.4334901887232852</c:v>
                </c:pt>
                <c:pt idx="162">
                  <c:v>1.4392774494381204</c:v>
                </c:pt>
                <c:pt idx="163">
                  <c:v>1.445068887096157</c:v>
                </c:pt>
                <c:pt idx="164">
                  <c:v>1.4508644318177397</c:v>
                </c:pt>
                <c:pt idx="165">
                  <c:v>1.4566640155774842</c:v>
                </c:pt>
                <c:pt idx="166">
                  <c:v>1.4624675721392295</c:v>
                </c:pt>
                <c:pt idx="167">
                  <c:v>1.468275036993699</c:v>
                </c:pt>
                <c:pt idx="168">
                  <c:v>1.4740863472987398</c:v>
                </c:pt>
                <c:pt idx="169">
                  <c:v>1.4799014418220244</c:v>
                </c:pt>
                <c:pt idx="170">
                  <c:v>1.4857202608860989</c:v>
                </c:pt>
                <c:pt idx="171">
                  <c:v>1.4915427463156647</c:v>
                </c:pt>
                <c:pt idx="172">
                  <c:v>1.4973688413870005</c:v>
                </c:pt>
                <c:pt idx="173">
                  <c:v>1.5031984907794134</c:v>
                </c:pt>
                <c:pt idx="174">
                  <c:v>1.5090316405286415</c:v>
                </c:pt>
                <c:pt idx="175">
                  <c:v>1.5148682379821059</c:v>
                </c:pt>
                <c:pt idx="176">
                  <c:v>1.5207082317559377</c:v>
                </c:pt>
                <c:pt idx="177">
                  <c:v>1.5265515716936964</c:v>
                </c:pt>
                <c:pt idx="178">
                  <c:v>1.5323982088267061</c:v>
                </c:pt>
                <c:pt idx="179">
                  <c:v>1.5382480953359321</c:v>
                </c:pt>
                <c:pt idx="180">
                  <c:v>1.5441011845153412</c:v>
                </c:pt>
                <c:pt idx="181">
                  <c:v>1.5499574307366655</c:v>
                </c:pt>
                <c:pt idx="182">
                  <c:v>1.5558167894155215</c:v>
                </c:pt>
                <c:pt idx="183">
                  <c:v>1.5616792169788183</c:v>
                </c:pt>
                <c:pt idx="184">
                  <c:v>1.5675446708333953</c:v>
                </c:pt>
                <c:pt idx="185">
                  <c:v>1.573413109335851</c:v>
                </c:pt>
                <c:pt idx="186">
                  <c:v>1.5792844917634936</c:v>
                </c:pt>
                <c:pt idx="187">
                  <c:v>1.5851587782863772</c:v>
                </c:pt>
                <c:pt idx="188">
                  <c:v>1.5910359299403756</c:v>
                </c:pt>
                <c:pt idx="189">
                  <c:v>1.5969159086012421</c:v>
                </c:pt>
                <c:pt idx="190">
                  <c:v>1.6027986769596307</c:v>
                </c:pt>
                <c:pt idx="191">
                  <c:v>1.6086841984970128</c:v>
                </c:pt>
                <c:pt idx="192">
                  <c:v>1.6145724374624806</c:v>
                </c:pt>
                <c:pt idx="193">
                  <c:v>1.6204633588503783</c:v>
                </c:pt>
                <c:pt idx="194">
                  <c:v>1.6263569283787349</c:v>
                </c:pt>
                <c:pt idx="195">
                  <c:v>1.6322531124684703</c:v>
                </c:pt>
                <c:pt idx="196">
                  <c:v>1.6381518782233342</c:v>
                </c:pt>
                <c:pt idx="197">
                  <c:v>1.6440531934105531</c:v>
                </c:pt>
                <c:pt idx="198">
                  <c:v>1.6499570264421581</c:v>
                </c:pt>
                <c:pt idx="199">
                  <c:v>1.6558633463569565</c:v>
                </c:pt>
                <c:pt idx="200">
                  <c:v>1.6617721228031388</c:v>
                </c:pt>
              </c:numCache>
            </c:numRef>
          </c:val>
          <c:smooth val="0"/>
          <c:extLst>
            <c:ext xmlns:c16="http://schemas.microsoft.com/office/drawing/2014/chart" uri="{C3380CC4-5D6E-409C-BE32-E72D297353CC}">
              <c16:uniqueId val="{00000003-4FA9-47D5-BDEE-109A72C2DA33}"/>
            </c:ext>
          </c:extLst>
        </c:ser>
        <c:ser>
          <c:idx val="5"/>
          <c:order val="5"/>
          <c:tx>
            <c:strRef>
              <c:f>'Efficiency vs VIN Calculations'!$BS$8</c:f>
              <c:strCache>
                <c:ptCount val="1"/>
                <c:pt idx="0">
                  <c:v>Buck ''SYNC'' MOSFET Loss</c:v>
                </c:pt>
              </c:strCache>
            </c:strRef>
          </c:tx>
          <c:spPr>
            <a:ln>
              <a:prstDash val="sysDash"/>
            </a:ln>
          </c:spPr>
          <c:marker>
            <c:symbol val="none"/>
          </c:marker>
          <c:cat>
            <c:numRef>
              <c:f>'Efficiency vs VIN Calculations'!$H$9:$H$209</c:f>
              <c:numCache>
                <c:formatCode>0.00</c:formatCode>
                <c:ptCount val="201"/>
                <c:pt idx="0">
                  <c:v>6</c:v>
                </c:pt>
                <c:pt idx="1">
                  <c:v>6.15</c:v>
                </c:pt>
                <c:pt idx="2">
                  <c:v>6.3</c:v>
                </c:pt>
                <c:pt idx="3">
                  <c:v>6.45</c:v>
                </c:pt>
                <c:pt idx="4">
                  <c:v>6.6</c:v>
                </c:pt>
                <c:pt idx="5">
                  <c:v>6.75</c:v>
                </c:pt>
                <c:pt idx="6">
                  <c:v>6.9</c:v>
                </c:pt>
                <c:pt idx="7">
                  <c:v>7.05</c:v>
                </c:pt>
                <c:pt idx="8">
                  <c:v>7.2</c:v>
                </c:pt>
                <c:pt idx="9">
                  <c:v>7.35</c:v>
                </c:pt>
                <c:pt idx="10">
                  <c:v>7.5</c:v>
                </c:pt>
                <c:pt idx="11">
                  <c:v>7.65</c:v>
                </c:pt>
                <c:pt idx="12">
                  <c:v>7.8</c:v>
                </c:pt>
                <c:pt idx="13">
                  <c:v>7.95</c:v>
                </c:pt>
                <c:pt idx="14">
                  <c:v>8.1</c:v>
                </c:pt>
                <c:pt idx="15">
                  <c:v>8.25</c:v>
                </c:pt>
                <c:pt idx="16">
                  <c:v>8.4</c:v>
                </c:pt>
                <c:pt idx="17">
                  <c:v>8.5500000000000007</c:v>
                </c:pt>
                <c:pt idx="18">
                  <c:v>8.6999999999999993</c:v>
                </c:pt>
                <c:pt idx="19">
                  <c:v>8.85</c:v>
                </c:pt>
                <c:pt idx="20">
                  <c:v>9</c:v>
                </c:pt>
                <c:pt idx="21">
                  <c:v>9.15</c:v>
                </c:pt>
                <c:pt idx="22">
                  <c:v>9.3000000000000007</c:v>
                </c:pt>
                <c:pt idx="23">
                  <c:v>9.4499999999999993</c:v>
                </c:pt>
                <c:pt idx="24">
                  <c:v>9.6</c:v>
                </c:pt>
                <c:pt idx="25">
                  <c:v>9.75</c:v>
                </c:pt>
                <c:pt idx="26">
                  <c:v>9.9</c:v>
                </c:pt>
                <c:pt idx="27">
                  <c:v>10.050000000000001</c:v>
                </c:pt>
                <c:pt idx="28">
                  <c:v>10.199999999999999</c:v>
                </c:pt>
                <c:pt idx="29">
                  <c:v>10.35</c:v>
                </c:pt>
                <c:pt idx="30">
                  <c:v>10.5</c:v>
                </c:pt>
                <c:pt idx="31">
                  <c:v>10.65</c:v>
                </c:pt>
                <c:pt idx="32">
                  <c:v>10.8</c:v>
                </c:pt>
                <c:pt idx="33">
                  <c:v>10.95</c:v>
                </c:pt>
                <c:pt idx="34">
                  <c:v>11.100000000000001</c:v>
                </c:pt>
                <c:pt idx="35">
                  <c:v>11.25</c:v>
                </c:pt>
                <c:pt idx="36">
                  <c:v>11.399999999999999</c:v>
                </c:pt>
                <c:pt idx="37">
                  <c:v>11.55</c:v>
                </c:pt>
                <c:pt idx="38">
                  <c:v>11.7</c:v>
                </c:pt>
                <c:pt idx="39">
                  <c:v>11.850000000000001</c:v>
                </c:pt>
                <c:pt idx="40">
                  <c:v>12</c:v>
                </c:pt>
                <c:pt idx="41">
                  <c:v>12.149999999999999</c:v>
                </c:pt>
                <c:pt idx="42">
                  <c:v>12.3</c:v>
                </c:pt>
                <c:pt idx="43">
                  <c:v>12.45</c:v>
                </c:pt>
                <c:pt idx="44">
                  <c:v>12.6</c:v>
                </c:pt>
                <c:pt idx="45">
                  <c:v>12.75</c:v>
                </c:pt>
                <c:pt idx="46">
                  <c:v>12.9</c:v>
                </c:pt>
                <c:pt idx="47">
                  <c:v>13.05</c:v>
                </c:pt>
                <c:pt idx="48">
                  <c:v>13.2</c:v>
                </c:pt>
                <c:pt idx="49">
                  <c:v>13.35</c:v>
                </c:pt>
                <c:pt idx="50">
                  <c:v>13.5</c:v>
                </c:pt>
                <c:pt idx="51">
                  <c:v>13.65</c:v>
                </c:pt>
                <c:pt idx="52">
                  <c:v>13.8</c:v>
                </c:pt>
                <c:pt idx="53">
                  <c:v>13.95</c:v>
                </c:pt>
                <c:pt idx="54">
                  <c:v>14.100000000000001</c:v>
                </c:pt>
                <c:pt idx="55">
                  <c:v>14.25</c:v>
                </c:pt>
                <c:pt idx="56">
                  <c:v>14.4</c:v>
                </c:pt>
                <c:pt idx="57">
                  <c:v>14.549999999999999</c:v>
                </c:pt>
                <c:pt idx="58">
                  <c:v>14.7</c:v>
                </c:pt>
                <c:pt idx="59">
                  <c:v>14.85</c:v>
                </c:pt>
                <c:pt idx="60">
                  <c:v>15</c:v>
                </c:pt>
                <c:pt idx="61">
                  <c:v>15.15</c:v>
                </c:pt>
                <c:pt idx="62">
                  <c:v>15.3</c:v>
                </c:pt>
                <c:pt idx="63">
                  <c:v>15.45</c:v>
                </c:pt>
                <c:pt idx="64">
                  <c:v>15.6</c:v>
                </c:pt>
                <c:pt idx="65">
                  <c:v>15.75</c:v>
                </c:pt>
                <c:pt idx="66">
                  <c:v>15.9</c:v>
                </c:pt>
                <c:pt idx="67">
                  <c:v>16.05</c:v>
                </c:pt>
                <c:pt idx="68">
                  <c:v>16.200000000000003</c:v>
                </c:pt>
                <c:pt idx="69">
                  <c:v>16.350000000000001</c:v>
                </c:pt>
                <c:pt idx="70">
                  <c:v>16.5</c:v>
                </c:pt>
                <c:pt idx="71">
                  <c:v>16.649999999999999</c:v>
                </c:pt>
                <c:pt idx="72">
                  <c:v>16.799999999999997</c:v>
                </c:pt>
                <c:pt idx="73">
                  <c:v>16.95</c:v>
                </c:pt>
                <c:pt idx="74">
                  <c:v>17.100000000000001</c:v>
                </c:pt>
                <c:pt idx="75">
                  <c:v>17.25</c:v>
                </c:pt>
                <c:pt idx="76">
                  <c:v>17.399999999999999</c:v>
                </c:pt>
                <c:pt idx="77">
                  <c:v>17.55</c:v>
                </c:pt>
                <c:pt idx="78">
                  <c:v>17.700000000000003</c:v>
                </c:pt>
                <c:pt idx="79">
                  <c:v>17.850000000000001</c:v>
                </c:pt>
                <c:pt idx="80">
                  <c:v>18</c:v>
                </c:pt>
                <c:pt idx="81">
                  <c:v>18.149999999999999</c:v>
                </c:pt>
                <c:pt idx="82">
                  <c:v>18.299999999999997</c:v>
                </c:pt>
                <c:pt idx="83">
                  <c:v>18.45</c:v>
                </c:pt>
                <c:pt idx="84">
                  <c:v>18.600000000000001</c:v>
                </c:pt>
                <c:pt idx="85">
                  <c:v>18.75</c:v>
                </c:pt>
                <c:pt idx="86">
                  <c:v>18.899999999999999</c:v>
                </c:pt>
                <c:pt idx="87">
                  <c:v>19.05</c:v>
                </c:pt>
                <c:pt idx="88">
                  <c:v>19.2</c:v>
                </c:pt>
                <c:pt idx="89">
                  <c:v>19.350000000000001</c:v>
                </c:pt>
                <c:pt idx="90">
                  <c:v>19.5</c:v>
                </c:pt>
                <c:pt idx="91">
                  <c:v>19.649999999999999</c:v>
                </c:pt>
                <c:pt idx="92">
                  <c:v>19.8</c:v>
                </c:pt>
                <c:pt idx="93">
                  <c:v>19.950000000000003</c:v>
                </c:pt>
                <c:pt idx="94">
                  <c:v>20.100000000000001</c:v>
                </c:pt>
                <c:pt idx="95">
                  <c:v>20.25</c:v>
                </c:pt>
                <c:pt idx="96">
                  <c:v>20.399999999999999</c:v>
                </c:pt>
                <c:pt idx="97">
                  <c:v>20.549999999999997</c:v>
                </c:pt>
                <c:pt idx="98">
                  <c:v>20.7</c:v>
                </c:pt>
                <c:pt idx="99">
                  <c:v>20.85</c:v>
                </c:pt>
                <c:pt idx="100">
                  <c:v>21</c:v>
                </c:pt>
                <c:pt idx="101">
                  <c:v>21.15</c:v>
                </c:pt>
                <c:pt idx="102">
                  <c:v>21.3</c:v>
                </c:pt>
                <c:pt idx="103">
                  <c:v>21.450000000000003</c:v>
                </c:pt>
                <c:pt idx="104">
                  <c:v>21.6</c:v>
                </c:pt>
                <c:pt idx="105">
                  <c:v>21.75</c:v>
                </c:pt>
                <c:pt idx="106">
                  <c:v>21.9</c:v>
                </c:pt>
                <c:pt idx="107">
                  <c:v>22.05</c:v>
                </c:pt>
                <c:pt idx="108">
                  <c:v>22.200000000000003</c:v>
                </c:pt>
                <c:pt idx="109">
                  <c:v>22.35</c:v>
                </c:pt>
                <c:pt idx="110">
                  <c:v>22.5</c:v>
                </c:pt>
                <c:pt idx="111">
                  <c:v>22.650000000000002</c:v>
                </c:pt>
                <c:pt idx="112">
                  <c:v>22.8</c:v>
                </c:pt>
                <c:pt idx="113">
                  <c:v>22.95</c:v>
                </c:pt>
                <c:pt idx="114">
                  <c:v>23.099999999999998</c:v>
                </c:pt>
                <c:pt idx="115">
                  <c:v>23.25</c:v>
                </c:pt>
                <c:pt idx="116">
                  <c:v>23.4</c:v>
                </c:pt>
                <c:pt idx="117">
                  <c:v>23.549999999999997</c:v>
                </c:pt>
                <c:pt idx="118">
                  <c:v>23.7</c:v>
                </c:pt>
                <c:pt idx="119">
                  <c:v>23.849999999999998</c:v>
                </c:pt>
                <c:pt idx="120">
                  <c:v>24</c:v>
                </c:pt>
                <c:pt idx="121">
                  <c:v>24.15</c:v>
                </c:pt>
                <c:pt idx="122">
                  <c:v>24.3</c:v>
                </c:pt>
                <c:pt idx="123">
                  <c:v>24.45</c:v>
                </c:pt>
                <c:pt idx="124">
                  <c:v>24.6</c:v>
                </c:pt>
                <c:pt idx="125">
                  <c:v>24.75</c:v>
                </c:pt>
                <c:pt idx="126">
                  <c:v>24.9</c:v>
                </c:pt>
                <c:pt idx="127">
                  <c:v>25.05</c:v>
                </c:pt>
                <c:pt idx="128">
                  <c:v>25.2</c:v>
                </c:pt>
                <c:pt idx="129">
                  <c:v>25.35</c:v>
                </c:pt>
                <c:pt idx="130">
                  <c:v>25.5</c:v>
                </c:pt>
                <c:pt idx="131">
                  <c:v>25.650000000000002</c:v>
                </c:pt>
                <c:pt idx="132">
                  <c:v>25.8</c:v>
                </c:pt>
                <c:pt idx="133">
                  <c:v>25.950000000000003</c:v>
                </c:pt>
                <c:pt idx="134">
                  <c:v>26.1</c:v>
                </c:pt>
                <c:pt idx="135">
                  <c:v>26.25</c:v>
                </c:pt>
                <c:pt idx="136">
                  <c:v>26.400000000000002</c:v>
                </c:pt>
                <c:pt idx="137">
                  <c:v>26.55</c:v>
                </c:pt>
                <c:pt idx="138">
                  <c:v>26.7</c:v>
                </c:pt>
                <c:pt idx="139">
                  <c:v>26.849999999999998</c:v>
                </c:pt>
                <c:pt idx="140">
                  <c:v>27</c:v>
                </c:pt>
                <c:pt idx="141">
                  <c:v>27.15</c:v>
                </c:pt>
                <c:pt idx="142">
                  <c:v>27.299999999999997</c:v>
                </c:pt>
                <c:pt idx="143">
                  <c:v>27.45</c:v>
                </c:pt>
                <c:pt idx="144">
                  <c:v>27.599999999999998</c:v>
                </c:pt>
                <c:pt idx="145">
                  <c:v>27.75</c:v>
                </c:pt>
                <c:pt idx="146">
                  <c:v>27.9</c:v>
                </c:pt>
                <c:pt idx="147">
                  <c:v>28.05</c:v>
                </c:pt>
                <c:pt idx="148">
                  <c:v>28.2</c:v>
                </c:pt>
                <c:pt idx="149">
                  <c:v>28.35</c:v>
                </c:pt>
                <c:pt idx="150">
                  <c:v>28.5</c:v>
                </c:pt>
                <c:pt idx="151">
                  <c:v>28.65</c:v>
                </c:pt>
                <c:pt idx="152">
                  <c:v>28.8</c:v>
                </c:pt>
                <c:pt idx="153">
                  <c:v>28.95</c:v>
                </c:pt>
                <c:pt idx="154">
                  <c:v>29.1</c:v>
                </c:pt>
                <c:pt idx="155">
                  <c:v>29.25</c:v>
                </c:pt>
                <c:pt idx="156">
                  <c:v>29.400000000000002</c:v>
                </c:pt>
                <c:pt idx="157">
                  <c:v>29.55</c:v>
                </c:pt>
                <c:pt idx="158">
                  <c:v>29.700000000000003</c:v>
                </c:pt>
                <c:pt idx="159">
                  <c:v>29.85</c:v>
                </c:pt>
                <c:pt idx="160">
                  <c:v>30</c:v>
                </c:pt>
                <c:pt idx="161">
                  <c:v>30.150000000000002</c:v>
                </c:pt>
                <c:pt idx="162">
                  <c:v>30.3</c:v>
                </c:pt>
                <c:pt idx="163">
                  <c:v>30.45</c:v>
                </c:pt>
                <c:pt idx="164">
                  <c:v>30.599999999999998</c:v>
                </c:pt>
                <c:pt idx="165">
                  <c:v>30.75</c:v>
                </c:pt>
                <c:pt idx="166">
                  <c:v>30.9</c:v>
                </c:pt>
                <c:pt idx="167">
                  <c:v>31.049999999999997</c:v>
                </c:pt>
                <c:pt idx="168">
                  <c:v>31.2</c:v>
                </c:pt>
                <c:pt idx="169">
                  <c:v>31.349999999999998</c:v>
                </c:pt>
                <c:pt idx="170">
                  <c:v>31.5</c:v>
                </c:pt>
                <c:pt idx="171">
                  <c:v>31.65</c:v>
                </c:pt>
                <c:pt idx="172">
                  <c:v>31.8</c:v>
                </c:pt>
                <c:pt idx="173">
                  <c:v>31.95</c:v>
                </c:pt>
                <c:pt idx="174">
                  <c:v>32.1</c:v>
                </c:pt>
                <c:pt idx="175">
                  <c:v>32.25</c:v>
                </c:pt>
                <c:pt idx="176">
                  <c:v>32.4</c:v>
                </c:pt>
                <c:pt idx="177">
                  <c:v>32.549999999999997</c:v>
                </c:pt>
                <c:pt idx="178">
                  <c:v>32.700000000000003</c:v>
                </c:pt>
                <c:pt idx="179">
                  <c:v>32.85</c:v>
                </c:pt>
                <c:pt idx="180">
                  <c:v>33</c:v>
                </c:pt>
                <c:pt idx="181">
                  <c:v>33.150000000000006</c:v>
                </c:pt>
                <c:pt idx="182">
                  <c:v>33.299999999999997</c:v>
                </c:pt>
                <c:pt idx="183">
                  <c:v>33.450000000000003</c:v>
                </c:pt>
                <c:pt idx="184">
                  <c:v>33.6</c:v>
                </c:pt>
                <c:pt idx="185">
                  <c:v>33.75</c:v>
                </c:pt>
                <c:pt idx="186">
                  <c:v>33.900000000000006</c:v>
                </c:pt>
                <c:pt idx="187">
                  <c:v>34.049999999999997</c:v>
                </c:pt>
                <c:pt idx="188">
                  <c:v>34.200000000000003</c:v>
                </c:pt>
                <c:pt idx="189">
                  <c:v>34.349999999999994</c:v>
                </c:pt>
                <c:pt idx="190">
                  <c:v>34.5</c:v>
                </c:pt>
                <c:pt idx="191">
                  <c:v>34.65</c:v>
                </c:pt>
                <c:pt idx="192">
                  <c:v>34.799999999999997</c:v>
                </c:pt>
                <c:pt idx="193">
                  <c:v>34.950000000000003</c:v>
                </c:pt>
                <c:pt idx="194">
                  <c:v>35.099999999999994</c:v>
                </c:pt>
                <c:pt idx="195">
                  <c:v>35.25</c:v>
                </c:pt>
                <c:pt idx="196">
                  <c:v>35.4</c:v>
                </c:pt>
                <c:pt idx="197">
                  <c:v>35.549999999999997</c:v>
                </c:pt>
                <c:pt idx="198">
                  <c:v>35.700000000000003</c:v>
                </c:pt>
                <c:pt idx="199">
                  <c:v>35.85</c:v>
                </c:pt>
                <c:pt idx="200">
                  <c:v>36</c:v>
                </c:pt>
              </c:numCache>
            </c:numRef>
          </c:cat>
          <c:val>
            <c:numRef>
              <c:f>'Efficiency vs VIN Calculations'!$BS$9:$BS$209</c:f>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0.5417783645108305</c:v>
                </c:pt>
                <c:pt idx="56">
                  <c:v>0.54415045927452832</c:v>
                </c:pt>
                <c:pt idx="57">
                  <c:v>0.54645614613528348</c:v>
                </c:pt>
                <c:pt idx="58">
                  <c:v>0.54869795992636494</c:v>
                </c:pt>
                <c:pt idx="59">
                  <c:v>0.55087831970798196</c:v>
                </c:pt>
                <c:pt idx="60">
                  <c:v>0.55299953506951105</c:v>
                </c:pt>
                <c:pt idx="61">
                  <c:v>0.55506381203562338</c:v>
                </c:pt>
                <c:pt idx="62">
                  <c:v>0.55707325860444334</c:v>
                </c:pt>
                <c:pt idx="63">
                  <c:v>0.55902988994364755</c:v>
                </c:pt>
                <c:pt idx="64">
                  <c:v>0.56093563326838747</c:v>
                </c:pt>
                <c:pt idx="65">
                  <c:v>0.56279233242306703</c:v>
                </c:pt>
                <c:pt idx="66">
                  <c:v>0.56460175218730335</c:v>
                </c:pt>
                <c:pt idx="67">
                  <c:v>0.56636558232485346</c:v>
                </c:pt>
                <c:pt idx="68">
                  <c:v>0.56808544139286166</c:v>
                </c:pt>
                <c:pt idx="69">
                  <c:v>0.56976288032748257</c:v>
                </c:pt>
                <c:pt idx="70">
                  <c:v>0.5713993858207338</c:v>
                </c:pt>
                <c:pt idx="71">
                  <c:v>0.57299638350233373</c:v>
                </c:pt>
                <c:pt idx="72">
                  <c:v>0.57455524093927735</c:v>
                </c:pt>
                <c:pt idx="73">
                  <c:v>0.57607727046496282</c:v>
                </c:pt>
                <c:pt idx="74">
                  <c:v>0.57756373184883991</c:v>
                </c:pt>
                <c:pt idx="75">
                  <c:v>0.579015834816758</c:v>
                </c:pt>
                <c:pt idx="76">
                  <c:v>0.58043474143146834</c:v>
                </c:pt>
                <c:pt idx="77">
                  <c:v>0.58182156834207133</c:v>
                </c:pt>
                <c:pt idx="78">
                  <c:v>0.58317738891057824</c:v>
                </c:pt>
                <c:pt idx="79">
                  <c:v>0.58450323522319658</c:v>
                </c:pt>
                <c:pt idx="80">
                  <c:v>0.58580009999341431</c:v>
                </c:pt>
                <c:pt idx="81">
                  <c:v>0.58706893836348006</c:v>
                </c:pt>
                <c:pt idx="82">
                  <c:v>0.58831066961042799</c:v>
                </c:pt>
                <c:pt idx="83">
                  <c:v>0.5895261787623749</c:v>
                </c:pt>
                <c:pt idx="84">
                  <c:v>0.59071631813044245</c:v>
                </c:pt>
                <c:pt idx="85">
                  <c:v>0.59188190876129343</c:v>
                </c:pt>
                <c:pt idx="86">
                  <c:v>0.59302374181494699</c:v>
                </c:pt>
                <c:pt idx="87">
                  <c:v>0.59414257987223007</c:v>
                </c:pt>
                <c:pt idx="88">
                  <c:v>0.59523915817593709</c:v>
                </c:pt>
                <c:pt idx="89">
                  <c:v>0.59631418580951179</c:v>
                </c:pt>
                <c:pt idx="90">
                  <c:v>0.59736834681681317</c:v>
                </c:pt>
                <c:pt idx="91">
                  <c:v>0.59840230126630867</c:v>
                </c:pt>
                <c:pt idx="92">
                  <c:v>0.59941668626281963</c:v>
                </c:pt>
                <c:pt idx="93">
                  <c:v>0.60041211690975083</c:v>
                </c:pt>
                <c:pt idx="94">
                  <c:v>0.60138918722455237</c:v>
                </c:pt>
                <c:pt idx="95">
                  <c:v>0.60234847100999467</c:v>
                </c:pt>
                <c:pt idx="96">
                  <c:v>0.60329052268366978</c:v>
                </c:pt>
                <c:pt idx="97">
                  <c:v>0.60421587806799726</c:v>
                </c:pt>
                <c:pt idx="98">
                  <c:v>0.6051250551428643</c:v>
                </c:pt>
                <c:pt idx="99">
                  <c:v>0.60601855476290534</c:v>
                </c:pt>
                <c:pt idx="100">
                  <c:v>0.60689686134130705</c:v>
                </c:pt>
                <c:pt idx="101">
                  <c:v>0.60776044350191027</c:v>
                </c:pt>
                <c:pt idx="102">
                  <c:v>0.60860975470127687</c:v>
                </c:pt>
                <c:pt idx="103">
                  <c:v>0.60944523382229188</c:v>
                </c:pt>
                <c:pt idx="104">
                  <c:v>0.61026730574077737</c:v>
                </c:pt>
                <c:pt idx="105">
                  <c:v>0.61107638186651281</c:v>
                </c:pt>
                <c:pt idx="106">
                  <c:v>0.6118728606599716</c:v>
                </c:pt>
                <c:pt idx="107">
                  <c:v>0.61265712812601292</c:v>
                </c:pt>
                <c:pt idx="108">
                  <c:v>0.61342955828569368</c:v>
                </c:pt>
                <c:pt idx="109">
                  <c:v>0.61419051362730226</c:v>
                </c:pt>
                <c:pt idx="110">
                  <c:v>0.61494034553765287</c:v>
                </c:pt>
                <c:pt idx="111">
                  <c:v>0.61567939471462041</c:v>
                </c:pt>
                <c:pt idx="112">
                  <c:v>0.61640799156184378</c:v>
                </c:pt>
                <c:pt idx="113">
                  <c:v>0.61712645656647025</c:v>
                </c:pt>
                <c:pt idx="114">
                  <c:v>0.45366336414921049</c:v>
                </c:pt>
                <c:pt idx="115">
                  <c:v>0.45586499177407369</c:v>
                </c:pt>
                <c:pt idx="116">
                  <c:v>0.45805651139447479</c:v>
                </c:pt>
                <c:pt idx="117">
                  <c:v>0.46023808181512993</c:v>
                </c:pt>
                <c:pt idx="118">
                  <c:v>0.46240985660751438</c:v>
                </c:pt>
                <c:pt idx="119">
                  <c:v>0.46457198437134684</c:v>
                </c:pt>
                <c:pt idx="120">
                  <c:v>0.46672460898061008</c:v>
                </c:pt>
                <c:pt idx="121">
                  <c:v>0.46886786981510786</c:v>
                </c:pt>
                <c:pt idx="122">
                  <c:v>0.47100190197848896</c:v>
                </c:pt>
                <c:pt idx="123">
                  <c:v>0.47312683650360332</c:v>
                </c:pt>
                <c:pt idx="124">
                  <c:v>0.47524280054600065</c:v>
                </c:pt>
                <c:pt idx="125">
                  <c:v>0.47734991756631923</c:v>
                </c:pt>
                <c:pt idx="126">
                  <c:v>0.47944830750226874</c:v>
                </c:pt>
                <c:pt idx="127">
                  <c:v>0.48153808693086042</c:v>
                </c:pt>
                <c:pt idx="128">
                  <c:v>0.48361936922149085</c:v>
                </c:pt>
                <c:pt idx="129">
                  <c:v>0.48569226468045285</c:v>
                </c:pt>
                <c:pt idx="130">
                  <c:v>0.48775688068739953</c:v>
                </c:pt>
                <c:pt idx="131">
                  <c:v>0.48981332182425974</c:v>
                </c:pt>
                <c:pt idx="132">
                  <c:v>0.49186168999706603</c:v>
                </c:pt>
                <c:pt idx="133">
                  <c:v>0.49390208455112866</c:v>
                </c:pt>
                <c:pt idx="134">
                  <c:v>0.49593460237995801</c:v>
                </c:pt>
                <c:pt idx="135">
                  <c:v>0.49795933802831449</c:v>
                </c:pt>
                <c:pt idx="136">
                  <c:v>0.4999763837897378</c:v>
                </c:pt>
                <c:pt idx="137">
                  <c:v>0.50198582979888628</c:v>
                </c:pt>
                <c:pt idx="138">
                  <c:v>0.50398776411899515</c:v>
                </c:pt>
                <c:pt idx="139">
                  <c:v>0.50598227282474417</c:v>
                </c:pt>
                <c:pt idx="140">
                  <c:v>0.50796944008080236</c:v>
                </c:pt>
                <c:pt idx="141">
                  <c:v>0.50994934821630644</c:v>
                </c:pt>
                <c:pt idx="142">
                  <c:v>0.51192207779550924</c:v>
                </c:pt>
                <c:pt idx="143">
                  <c:v>0.5138877076848215</c:v>
                </c:pt>
                <c:pt idx="144">
                  <c:v>0.51584631511645307</c:v>
                </c:pt>
                <c:pt idx="145">
                  <c:v>0.51779797574885267</c:v>
                </c:pt>
                <c:pt idx="146">
                  <c:v>0.51974276372412842</c:v>
                </c:pt>
                <c:pt idx="147">
                  <c:v>0.52168075172261863</c:v>
                </c:pt>
                <c:pt idx="148">
                  <c:v>0.52361201101477928</c:v>
                </c:pt>
                <c:pt idx="149">
                  <c:v>0.52553661151053543</c:v>
                </c:pt>
                <c:pt idx="150">
                  <c:v>0.52745462180624192</c:v>
                </c:pt>
                <c:pt idx="151">
                  <c:v>0.52936610922938399</c:v>
                </c:pt>
                <c:pt idx="152">
                  <c:v>0.53127113988114716</c:v>
                </c:pt>
                <c:pt idx="153">
                  <c:v>0.53316977867697157</c:v>
                </c:pt>
                <c:pt idx="154">
                  <c:v>0.53506208938520194</c:v>
                </c:pt>
                <c:pt idx="155">
                  <c:v>0.53694813466393887</c:v>
                </c:pt>
                <c:pt idx="156">
                  <c:v>0.53882797609618915</c:v>
                </c:pt>
                <c:pt idx="157">
                  <c:v>0.54070167422340609</c:v>
                </c:pt>
                <c:pt idx="158">
                  <c:v>0.54256928857750775</c:v>
                </c:pt>
                <c:pt idx="159">
                  <c:v>0.54443087771145526</c:v>
                </c:pt>
                <c:pt idx="160">
                  <c:v>0.54628649922846617</c:v>
                </c:pt>
                <c:pt idx="161">
                  <c:v>0.54813620980993871</c:v>
                </c:pt>
                <c:pt idx="162">
                  <c:v>0.54998006524215071</c:v>
                </c:pt>
                <c:pt idx="163">
                  <c:v>0.55181812044180167</c:v>
                </c:pt>
                <c:pt idx="164">
                  <c:v>0.55365042948045573</c:v>
                </c:pt>
                <c:pt idx="165">
                  <c:v>0.55547704560794386</c:v>
                </c:pt>
                <c:pt idx="166">
                  <c:v>0.55729802127477912</c:v>
                </c:pt>
                <c:pt idx="167">
                  <c:v>0.55911340815363519</c:v>
                </c:pt>
                <c:pt idx="168">
                  <c:v>0.56092325715993652</c:v>
                </c:pt>
                <c:pt idx="169">
                  <c:v>0.56272761847160557</c:v>
                </c:pt>
                <c:pt idx="170">
                  <c:v>0.56452654154800808</c:v>
                </c:pt>
                <c:pt idx="171">
                  <c:v>0.56632007514813998</c:v>
                </c:pt>
                <c:pt idx="172">
                  <c:v>0.5681082673480905</c:v>
                </c:pt>
                <c:pt idx="173">
                  <c:v>0.56989116555781827</c:v>
                </c:pt>
                <c:pt idx="174">
                  <c:v>0.57166881653727741</c:v>
                </c:pt>
                <c:pt idx="175">
                  <c:v>0.5734412664119195</c:v>
                </c:pt>
                <c:pt idx="176">
                  <c:v>0.57520856068760906</c:v>
                </c:pt>
                <c:pt idx="177">
                  <c:v>0.57697074426497452</c:v>
                </c:pt>
                <c:pt idx="178">
                  <c:v>0.57872786145322663</c:v>
                </c:pt>
                <c:pt idx="179">
                  <c:v>0.58047995598346691</c:v>
                </c:pt>
                <c:pt idx="180">
                  <c:v>0.58222707102151183</c:v>
                </c:pt>
                <c:pt idx="181">
                  <c:v>0.58396924918025617</c:v>
                </c:pt>
                <c:pt idx="182">
                  <c:v>0.58570653253159422</c:v>
                </c:pt>
                <c:pt idx="183">
                  <c:v>0.58743896261792405</c:v>
                </c:pt>
                <c:pt idx="184">
                  <c:v>0.58916658046325043</c:v>
                </c:pt>
                <c:pt idx="185">
                  <c:v>0.59088942658390575</c:v>
                </c:pt>
                <c:pt idx="186">
                  <c:v>0.592607540998909</c:v>
                </c:pt>
                <c:pt idx="187">
                  <c:v>0.59432096323997452</c:v>
                </c:pt>
                <c:pt idx="188">
                  <c:v>0.59602973236119139</c:v>
                </c:pt>
                <c:pt idx="189">
                  <c:v>0.59773388694838292</c:v>
                </c:pt>
                <c:pt idx="190">
                  <c:v>0.59943346512816786</c:v>
                </c:pt>
                <c:pt idx="191">
                  <c:v>0.60112850457672662</c:v>
                </c:pt>
                <c:pt idx="192">
                  <c:v>0.60281904252829543</c:v>
                </c:pt>
                <c:pt idx="193">
                  <c:v>0.60450511578339328</c:v>
                </c:pt>
                <c:pt idx="194">
                  <c:v>0.60618676071679511</c:v>
                </c:pt>
                <c:pt idx="195">
                  <c:v>0.60786401328526551</c:v>
                </c:pt>
                <c:pt idx="196">
                  <c:v>0.60953690903505697</c:v>
                </c:pt>
                <c:pt idx="197">
                  <c:v>0.6112054831091881</c:v>
                </c:pt>
                <c:pt idx="198">
                  <c:v>0.61286977025450728</c:v>
                </c:pt>
                <c:pt idx="199">
                  <c:v>0.61452980482855357</c:v>
                </c:pt>
                <c:pt idx="200">
                  <c:v>0.61618562080622064</c:v>
                </c:pt>
              </c:numCache>
            </c:numRef>
          </c:val>
          <c:smooth val="0"/>
          <c:extLst>
            <c:ext xmlns:c16="http://schemas.microsoft.com/office/drawing/2014/chart" uri="{C3380CC4-5D6E-409C-BE32-E72D297353CC}">
              <c16:uniqueId val="{00000004-4FA9-47D5-BDEE-109A72C2DA33}"/>
            </c:ext>
          </c:extLst>
        </c:ser>
        <c:ser>
          <c:idx val="6"/>
          <c:order val="6"/>
          <c:tx>
            <c:strRef>
              <c:f>'Efficiency vs VIN Calculations'!$BT$8</c:f>
              <c:strCache>
                <c:ptCount val="1"/>
                <c:pt idx="0">
                  <c:v>Boost ''Control'' MOSFET Loss</c:v>
                </c:pt>
              </c:strCache>
            </c:strRef>
          </c:tx>
          <c:spPr>
            <a:ln>
              <a:prstDash val="sysDash"/>
            </a:ln>
          </c:spPr>
          <c:marker>
            <c:symbol val="none"/>
          </c:marker>
          <c:cat>
            <c:numRef>
              <c:f>'Efficiency vs VIN Calculations'!$H$9:$H$209</c:f>
              <c:numCache>
                <c:formatCode>0.00</c:formatCode>
                <c:ptCount val="201"/>
                <c:pt idx="0">
                  <c:v>6</c:v>
                </c:pt>
                <c:pt idx="1">
                  <c:v>6.15</c:v>
                </c:pt>
                <c:pt idx="2">
                  <c:v>6.3</c:v>
                </c:pt>
                <c:pt idx="3">
                  <c:v>6.45</c:v>
                </c:pt>
                <c:pt idx="4">
                  <c:v>6.6</c:v>
                </c:pt>
                <c:pt idx="5">
                  <c:v>6.75</c:v>
                </c:pt>
                <c:pt idx="6">
                  <c:v>6.9</c:v>
                </c:pt>
                <c:pt idx="7">
                  <c:v>7.05</c:v>
                </c:pt>
                <c:pt idx="8">
                  <c:v>7.2</c:v>
                </c:pt>
                <c:pt idx="9">
                  <c:v>7.35</c:v>
                </c:pt>
                <c:pt idx="10">
                  <c:v>7.5</c:v>
                </c:pt>
                <c:pt idx="11">
                  <c:v>7.65</c:v>
                </c:pt>
                <c:pt idx="12">
                  <c:v>7.8</c:v>
                </c:pt>
                <c:pt idx="13">
                  <c:v>7.95</c:v>
                </c:pt>
                <c:pt idx="14">
                  <c:v>8.1</c:v>
                </c:pt>
                <c:pt idx="15">
                  <c:v>8.25</c:v>
                </c:pt>
                <c:pt idx="16">
                  <c:v>8.4</c:v>
                </c:pt>
                <c:pt idx="17">
                  <c:v>8.5500000000000007</c:v>
                </c:pt>
                <c:pt idx="18">
                  <c:v>8.6999999999999993</c:v>
                </c:pt>
                <c:pt idx="19">
                  <c:v>8.85</c:v>
                </c:pt>
                <c:pt idx="20">
                  <c:v>9</c:v>
                </c:pt>
                <c:pt idx="21">
                  <c:v>9.15</c:v>
                </c:pt>
                <c:pt idx="22">
                  <c:v>9.3000000000000007</c:v>
                </c:pt>
                <c:pt idx="23">
                  <c:v>9.4499999999999993</c:v>
                </c:pt>
                <c:pt idx="24">
                  <c:v>9.6</c:v>
                </c:pt>
                <c:pt idx="25">
                  <c:v>9.75</c:v>
                </c:pt>
                <c:pt idx="26">
                  <c:v>9.9</c:v>
                </c:pt>
                <c:pt idx="27">
                  <c:v>10.050000000000001</c:v>
                </c:pt>
                <c:pt idx="28">
                  <c:v>10.199999999999999</c:v>
                </c:pt>
                <c:pt idx="29">
                  <c:v>10.35</c:v>
                </c:pt>
                <c:pt idx="30">
                  <c:v>10.5</c:v>
                </c:pt>
                <c:pt idx="31">
                  <c:v>10.65</c:v>
                </c:pt>
                <c:pt idx="32">
                  <c:v>10.8</c:v>
                </c:pt>
                <c:pt idx="33">
                  <c:v>10.95</c:v>
                </c:pt>
                <c:pt idx="34">
                  <c:v>11.100000000000001</c:v>
                </c:pt>
                <c:pt idx="35">
                  <c:v>11.25</c:v>
                </c:pt>
                <c:pt idx="36">
                  <c:v>11.399999999999999</c:v>
                </c:pt>
                <c:pt idx="37">
                  <c:v>11.55</c:v>
                </c:pt>
                <c:pt idx="38">
                  <c:v>11.7</c:v>
                </c:pt>
                <c:pt idx="39">
                  <c:v>11.850000000000001</c:v>
                </c:pt>
                <c:pt idx="40">
                  <c:v>12</c:v>
                </c:pt>
                <c:pt idx="41">
                  <c:v>12.149999999999999</c:v>
                </c:pt>
                <c:pt idx="42">
                  <c:v>12.3</c:v>
                </c:pt>
                <c:pt idx="43">
                  <c:v>12.45</c:v>
                </c:pt>
                <c:pt idx="44">
                  <c:v>12.6</c:v>
                </c:pt>
                <c:pt idx="45">
                  <c:v>12.75</c:v>
                </c:pt>
                <c:pt idx="46">
                  <c:v>12.9</c:v>
                </c:pt>
                <c:pt idx="47">
                  <c:v>13.05</c:v>
                </c:pt>
                <c:pt idx="48">
                  <c:v>13.2</c:v>
                </c:pt>
                <c:pt idx="49">
                  <c:v>13.35</c:v>
                </c:pt>
                <c:pt idx="50">
                  <c:v>13.5</c:v>
                </c:pt>
                <c:pt idx="51">
                  <c:v>13.65</c:v>
                </c:pt>
                <c:pt idx="52">
                  <c:v>13.8</c:v>
                </c:pt>
                <c:pt idx="53">
                  <c:v>13.95</c:v>
                </c:pt>
                <c:pt idx="54">
                  <c:v>14.100000000000001</c:v>
                </c:pt>
                <c:pt idx="55">
                  <c:v>14.25</c:v>
                </c:pt>
                <c:pt idx="56">
                  <c:v>14.4</c:v>
                </c:pt>
                <c:pt idx="57">
                  <c:v>14.549999999999999</c:v>
                </c:pt>
                <c:pt idx="58">
                  <c:v>14.7</c:v>
                </c:pt>
                <c:pt idx="59">
                  <c:v>14.85</c:v>
                </c:pt>
                <c:pt idx="60">
                  <c:v>15</c:v>
                </c:pt>
                <c:pt idx="61">
                  <c:v>15.15</c:v>
                </c:pt>
                <c:pt idx="62">
                  <c:v>15.3</c:v>
                </c:pt>
                <c:pt idx="63">
                  <c:v>15.45</c:v>
                </c:pt>
                <c:pt idx="64">
                  <c:v>15.6</c:v>
                </c:pt>
                <c:pt idx="65">
                  <c:v>15.75</c:v>
                </c:pt>
                <c:pt idx="66">
                  <c:v>15.9</c:v>
                </c:pt>
                <c:pt idx="67">
                  <c:v>16.05</c:v>
                </c:pt>
                <c:pt idx="68">
                  <c:v>16.200000000000003</c:v>
                </c:pt>
                <c:pt idx="69">
                  <c:v>16.350000000000001</c:v>
                </c:pt>
                <c:pt idx="70">
                  <c:v>16.5</c:v>
                </c:pt>
                <c:pt idx="71">
                  <c:v>16.649999999999999</c:v>
                </c:pt>
                <c:pt idx="72">
                  <c:v>16.799999999999997</c:v>
                </c:pt>
                <c:pt idx="73">
                  <c:v>16.95</c:v>
                </c:pt>
                <c:pt idx="74">
                  <c:v>17.100000000000001</c:v>
                </c:pt>
                <c:pt idx="75">
                  <c:v>17.25</c:v>
                </c:pt>
                <c:pt idx="76">
                  <c:v>17.399999999999999</c:v>
                </c:pt>
                <c:pt idx="77">
                  <c:v>17.55</c:v>
                </c:pt>
                <c:pt idx="78">
                  <c:v>17.700000000000003</c:v>
                </c:pt>
                <c:pt idx="79">
                  <c:v>17.850000000000001</c:v>
                </c:pt>
                <c:pt idx="80">
                  <c:v>18</c:v>
                </c:pt>
                <c:pt idx="81">
                  <c:v>18.149999999999999</c:v>
                </c:pt>
                <c:pt idx="82">
                  <c:v>18.299999999999997</c:v>
                </c:pt>
                <c:pt idx="83">
                  <c:v>18.45</c:v>
                </c:pt>
                <c:pt idx="84">
                  <c:v>18.600000000000001</c:v>
                </c:pt>
                <c:pt idx="85">
                  <c:v>18.75</c:v>
                </c:pt>
                <c:pt idx="86">
                  <c:v>18.899999999999999</c:v>
                </c:pt>
                <c:pt idx="87">
                  <c:v>19.05</c:v>
                </c:pt>
                <c:pt idx="88">
                  <c:v>19.2</c:v>
                </c:pt>
                <c:pt idx="89">
                  <c:v>19.350000000000001</c:v>
                </c:pt>
                <c:pt idx="90">
                  <c:v>19.5</c:v>
                </c:pt>
                <c:pt idx="91">
                  <c:v>19.649999999999999</c:v>
                </c:pt>
                <c:pt idx="92">
                  <c:v>19.8</c:v>
                </c:pt>
                <c:pt idx="93">
                  <c:v>19.950000000000003</c:v>
                </c:pt>
                <c:pt idx="94">
                  <c:v>20.100000000000001</c:v>
                </c:pt>
                <c:pt idx="95">
                  <c:v>20.25</c:v>
                </c:pt>
                <c:pt idx="96">
                  <c:v>20.399999999999999</c:v>
                </c:pt>
                <c:pt idx="97">
                  <c:v>20.549999999999997</c:v>
                </c:pt>
                <c:pt idx="98">
                  <c:v>20.7</c:v>
                </c:pt>
                <c:pt idx="99">
                  <c:v>20.85</c:v>
                </c:pt>
                <c:pt idx="100">
                  <c:v>21</c:v>
                </c:pt>
                <c:pt idx="101">
                  <c:v>21.15</c:v>
                </c:pt>
                <c:pt idx="102">
                  <c:v>21.3</c:v>
                </c:pt>
                <c:pt idx="103">
                  <c:v>21.450000000000003</c:v>
                </c:pt>
                <c:pt idx="104">
                  <c:v>21.6</c:v>
                </c:pt>
                <c:pt idx="105">
                  <c:v>21.75</c:v>
                </c:pt>
                <c:pt idx="106">
                  <c:v>21.9</c:v>
                </c:pt>
                <c:pt idx="107">
                  <c:v>22.05</c:v>
                </c:pt>
                <c:pt idx="108">
                  <c:v>22.200000000000003</c:v>
                </c:pt>
                <c:pt idx="109">
                  <c:v>22.35</c:v>
                </c:pt>
                <c:pt idx="110">
                  <c:v>22.5</c:v>
                </c:pt>
                <c:pt idx="111">
                  <c:v>22.650000000000002</c:v>
                </c:pt>
                <c:pt idx="112">
                  <c:v>22.8</c:v>
                </c:pt>
                <c:pt idx="113">
                  <c:v>22.95</c:v>
                </c:pt>
                <c:pt idx="114">
                  <c:v>23.099999999999998</c:v>
                </c:pt>
                <c:pt idx="115">
                  <c:v>23.25</c:v>
                </c:pt>
                <c:pt idx="116">
                  <c:v>23.4</c:v>
                </c:pt>
                <c:pt idx="117">
                  <c:v>23.549999999999997</c:v>
                </c:pt>
                <c:pt idx="118">
                  <c:v>23.7</c:v>
                </c:pt>
                <c:pt idx="119">
                  <c:v>23.849999999999998</c:v>
                </c:pt>
                <c:pt idx="120">
                  <c:v>24</c:v>
                </c:pt>
                <c:pt idx="121">
                  <c:v>24.15</c:v>
                </c:pt>
                <c:pt idx="122">
                  <c:v>24.3</c:v>
                </c:pt>
                <c:pt idx="123">
                  <c:v>24.45</c:v>
                </c:pt>
                <c:pt idx="124">
                  <c:v>24.6</c:v>
                </c:pt>
                <c:pt idx="125">
                  <c:v>24.75</c:v>
                </c:pt>
                <c:pt idx="126">
                  <c:v>24.9</c:v>
                </c:pt>
                <c:pt idx="127">
                  <c:v>25.05</c:v>
                </c:pt>
                <c:pt idx="128">
                  <c:v>25.2</c:v>
                </c:pt>
                <c:pt idx="129">
                  <c:v>25.35</c:v>
                </c:pt>
                <c:pt idx="130">
                  <c:v>25.5</c:v>
                </c:pt>
                <c:pt idx="131">
                  <c:v>25.650000000000002</c:v>
                </c:pt>
                <c:pt idx="132">
                  <c:v>25.8</c:v>
                </c:pt>
                <c:pt idx="133">
                  <c:v>25.950000000000003</c:v>
                </c:pt>
                <c:pt idx="134">
                  <c:v>26.1</c:v>
                </c:pt>
                <c:pt idx="135">
                  <c:v>26.25</c:v>
                </c:pt>
                <c:pt idx="136">
                  <c:v>26.400000000000002</c:v>
                </c:pt>
                <c:pt idx="137">
                  <c:v>26.55</c:v>
                </c:pt>
                <c:pt idx="138">
                  <c:v>26.7</c:v>
                </c:pt>
                <c:pt idx="139">
                  <c:v>26.849999999999998</c:v>
                </c:pt>
                <c:pt idx="140">
                  <c:v>27</c:v>
                </c:pt>
                <c:pt idx="141">
                  <c:v>27.15</c:v>
                </c:pt>
                <c:pt idx="142">
                  <c:v>27.299999999999997</c:v>
                </c:pt>
                <c:pt idx="143">
                  <c:v>27.45</c:v>
                </c:pt>
                <c:pt idx="144">
                  <c:v>27.599999999999998</c:v>
                </c:pt>
                <c:pt idx="145">
                  <c:v>27.75</c:v>
                </c:pt>
                <c:pt idx="146">
                  <c:v>27.9</c:v>
                </c:pt>
                <c:pt idx="147">
                  <c:v>28.05</c:v>
                </c:pt>
                <c:pt idx="148">
                  <c:v>28.2</c:v>
                </c:pt>
                <c:pt idx="149">
                  <c:v>28.35</c:v>
                </c:pt>
                <c:pt idx="150">
                  <c:v>28.5</c:v>
                </c:pt>
                <c:pt idx="151">
                  <c:v>28.65</c:v>
                </c:pt>
                <c:pt idx="152">
                  <c:v>28.8</c:v>
                </c:pt>
                <c:pt idx="153">
                  <c:v>28.95</c:v>
                </c:pt>
                <c:pt idx="154">
                  <c:v>29.1</c:v>
                </c:pt>
                <c:pt idx="155">
                  <c:v>29.25</c:v>
                </c:pt>
                <c:pt idx="156">
                  <c:v>29.400000000000002</c:v>
                </c:pt>
                <c:pt idx="157">
                  <c:v>29.55</c:v>
                </c:pt>
                <c:pt idx="158">
                  <c:v>29.700000000000003</c:v>
                </c:pt>
                <c:pt idx="159">
                  <c:v>29.85</c:v>
                </c:pt>
                <c:pt idx="160">
                  <c:v>30</c:v>
                </c:pt>
                <c:pt idx="161">
                  <c:v>30.150000000000002</c:v>
                </c:pt>
                <c:pt idx="162">
                  <c:v>30.3</c:v>
                </c:pt>
                <c:pt idx="163">
                  <c:v>30.45</c:v>
                </c:pt>
                <c:pt idx="164">
                  <c:v>30.599999999999998</c:v>
                </c:pt>
                <c:pt idx="165">
                  <c:v>30.75</c:v>
                </c:pt>
                <c:pt idx="166">
                  <c:v>30.9</c:v>
                </c:pt>
                <c:pt idx="167">
                  <c:v>31.049999999999997</c:v>
                </c:pt>
                <c:pt idx="168">
                  <c:v>31.2</c:v>
                </c:pt>
                <c:pt idx="169">
                  <c:v>31.349999999999998</c:v>
                </c:pt>
                <c:pt idx="170">
                  <c:v>31.5</c:v>
                </c:pt>
                <c:pt idx="171">
                  <c:v>31.65</c:v>
                </c:pt>
                <c:pt idx="172">
                  <c:v>31.8</c:v>
                </c:pt>
                <c:pt idx="173">
                  <c:v>31.95</c:v>
                </c:pt>
                <c:pt idx="174">
                  <c:v>32.1</c:v>
                </c:pt>
                <c:pt idx="175">
                  <c:v>32.25</c:v>
                </c:pt>
                <c:pt idx="176">
                  <c:v>32.4</c:v>
                </c:pt>
                <c:pt idx="177">
                  <c:v>32.549999999999997</c:v>
                </c:pt>
                <c:pt idx="178">
                  <c:v>32.700000000000003</c:v>
                </c:pt>
                <c:pt idx="179">
                  <c:v>32.85</c:v>
                </c:pt>
                <c:pt idx="180">
                  <c:v>33</c:v>
                </c:pt>
                <c:pt idx="181">
                  <c:v>33.150000000000006</c:v>
                </c:pt>
                <c:pt idx="182">
                  <c:v>33.299999999999997</c:v>
                </c:pt>
                <c:pt idx="183">
                  <c:v>33.450000000000003</c:v>
                </c:pt>
                <c:pt idx="184">
                  <c:v>33.6</c:v>
                </c:pt>
                <c:pt idx="185">
                  <c:v>33.75</c:v>
                </c:pt>
                <c:pt idx="186">
                  <c:v>33.900000000000006</c:v>
                </c:pt>
                <c:pt idx="187">
                  <c:v>34.049999999999997</c:v>
                </c:pt>
                <c:pt idx="188">
                  <c:v>34.200000000000003</c:v>
                </c:pt>
                <c:pt idx="189">
                  <c:v>34.349999999999994</c:v>
                </c:pt>
                <c:pt idx="190">
                  <c:v>34.5</c:v>
                </c:pt>
                <c:pt idx="191">
                  <c:v>34.65</c:v>
                </c:pt>
                <c:pt idx="192">
                  <c:v>34.799999999999997</c:v>
                </c:pt>
                <c:pt idx="193">
                  <c:v>34.950000000000003</c:v>
                </c:pt>
                <c:pt idx="194">
                  <c:v>35.099999999999994</c:v>
                </c:pt>
                <c:pt idx="195">
                  <c:v>35.25</c:v>
                </c:pt>
                <c:pt idx="196">
                  <c:v>35.4</c:v>
                </c:pt>
                <c:pt idx="197">
                  <c:v>35.549999999999997</c:v>
                </c:pt>
                <c:pt idx="198">
                  <c:v>35.700000000000003</c:v>
                </c:pt>
                <c:pt idx="199">
                  <c:v>35.85</c:v>
                </c:pt>
                <c:pt idx="200">
                  <c:v>36</c:v>
                </c:pt>
              </c:numCache>
            </c:numRef>
          </c:cat>
          <c:val>
            <c:numRef>
              <c:f>'Efficiency vs VIN Calculations'!$BT$9:$BT$209</c:f>
              <c:numCache>
                <c:formatCode>0.000</c:formatCode>
                <c:ptCount val="201"/>
                <c:pt idx="0">
                  <c:v>3.7179883826352906</c:v>
                </c:pt>
                <c:pt idx="1">
                  <c:v>3.4885272851833884</c:v>
                </c:pt>
                <c:pt idx="2">
                  <c:v>3.2853304470512157</c:v>
                </c:pt>
                <c:pt idx="3">
                  <c:v>3.1041992759193695</c:v>
                </c:pt>
                <c:pt idx="4">
                  <c:v>2.9417813689484067</c:v>
                </c:pt>
                <c:pt idx="5">
                  <c:v>2.795367775770071</c:v>
                </c:pt>
                <c:pt idx="6">
                  <c:v>2.6627458709459679</c:v>
                </c:pt>
                <c:pt idx="7">
                  <c:v>2.5420908194020164</c:v>
                </c:pt>
                <c:pt idx="8">
                  <c:v>2.4318843199003055</c:v>
                </c:pt>
                <c:pt idx="9">
                  <c:v>2.330852950408361</c:v>
                </c:pt>
                <c:pt idx="10">
                  <c:v>2.2379208124235106</c:v>
                </c:pt>
                <c:pt idx="11">
                  <c:v>2.1521727498030523</c:v>
                </c:pt>
                <c:pt idx="12">
                  <c:v>2.0728254865198714</c:v>
                </c:pt>
                <c:pt idx="13">
                  <c:v>1.9992047634927759</c:v>
                </c:pt>
                <c:pt idx="14">
                  <c:v>1.9307270687367573</c:v>
                </c:pt>
                <c:pt idx="15">
                  <c:v>1.8668849193216301</c:v>
                </c:pt>
                <c:pt idx="16">
                  <c:v>1.8072349150288325</c:v>
                </c:pt>
                <c:pt idx="17">
                  <c:v>1.7513879734368136</c:v>
                </c:pt>
                <c:pt idx="18">
                  <c:v>1.6990012955698093</c:v>
                </c:pt>
                <c:pt idx="19">
                  <c:v>1.6497717146742268</c:v>
                </c:pt>
                <c:pt idx="20">
                  <c:v>1.6034301581690593</c:v>
                </c:pt>
                <c:pt idx="21">
                  <c:v>1.5597370113879088</c:v>
                </c:pt>
                <c:pt idx="22">
                  <c:v>1.5184782163833894</c:v>
                </c:pt>
                <c:pt idx="23">
                  <c:v>1.4794619733798677</c:v>
                </c:pt>
                <c:pt idx="24">
                  <c:v>1.4425159390303919</c:v>
                </c:pt>
                <c:pt idx="25">
                  <c:v>1.4074848363529826</c:v>
                </c:pt>
                <c:pt idx="26">
                  <c:v>1.3742284074874762</c:v>
                </c:pt>
                <c:pt idx="27">
                  <c:v>1.3426196532654178</c:v>
                </c:pt>
                <c:pt idx="28">
                  <c:v>1.3125433138004385</c:v>
                </c:pt>
                <c:pt idx="29">
                  <c:v>1.2838945524725789</c:v>
                </c:pt>
                <c:pt idx="30">
                  <c:v>1.2565778122438354</c:v>
                </c:pt>
                <c:pt idx="31">
                  <c:v>1.2305058185455509</c:v>
                </c:pt>
                <c:pt idx="32">
                  <c:v>1.2055987072845311</c:v>
                </c:pt>
                <c:pt idx="33">
                  <c:v>1.1817832600278697</c:v>
                </c:pt>
                <c:pt idx="34">
                  <c:v>1.1589922313055281</c:v>
                </c:pt>
                <c:pt idx="35">
                  <c:v>1.1371637553393357</c:v>
                </c:pt>
                <c:pt idx="36">
                  <c:v>1.1162408214654427</c:v>
                </c:pt>
                <c:pt idx="37">
                  <c:v>1.0961708091422615</c:v>
                </c:pt>
                <c:pt idx="38">
                  <c:v>1.0769050747893041</c:v>
                </c:pt>
                <c:pt idx="39">
                  <c:v>1.05839858383372</c:v>
                </c:pt>
                <c:pt idx="40">
                  <c:v>1.0406095822903971</c:v>
                </c:pt>
                <c:pt idx="41">
                  <c:v>1.0234993030003012</c:v>
                </c:pt>
                <c:pt idx="42">
                  <c:v>1.0070317023262914</c:v>
                </c:pt>
                <c:pt idx="43">
                  <c:v>0.99117322367701599</c:v>
                </c:pt>
                <c:pt idx="44">
                  <c:v>0.97589258471494322</c:v>
                </c:pt>
                <c:pt idx="45">
                  <c:v>0.96116058551823724</c:v>
                </c:pt>
                <c:pt idx="46">
                  <c:v>0.94694993531960459</c:v>
                </c:pt>
                <c:pt idx="47">
                  <c:v>0.93323509574807872</c:v>
                </c:pt>
                <c:pt idx="48">
                  <c:v>0.91999213875981212</c:v>
                </c:pt>
                <c:pt idx="49">
                  <c:v>0.90719861766797016</c:v>
                </c:pt>
                <c:pt idx="50">
                  <c:v>0.89483344987520552</c:v>
                </c:pt>
                <c:pt idx="51">
                  <c:v>0.88287681007952235</c:v>
                </c:pt>
                <c:pt idx="52">
                  <c:v>0.87131003286949327</c:v>
                </c:pt>
                <c:pt idx="53">
                  <c:v>0.86011552375093381</c:v>
                </c:pt>
                <c:pt idx="54">
                  <c:v>0.84927667775704663</c:v>
                </c:pt>
                <c:pt idx="55">
                  <c:v>1.0349727880461008</c:v>
                </c:pt>
                <c:pt idx="56">
                  <c:v>1.0334181400148683</c:v>
                </c:pt>
                <c:pt idx="57">
                  <c:v>1.0319471560287925</c:v>
                </c:pt>
                <c:pt idx="58">
                  <c:v>1.0305560841955024</c:v>
                </c:pt>
                <c:pt idx="59">
                  <c:v>1.029241372668384</c:v>
                </c:pt>
                <c:pt idx="60">
                  <c:v>1.027999656776587</c:v>
                </c:pt>
                <c:pt idx="61">
                  <c:v>1.0268277471146305</c:v>
                </c:pt>
                <c:pt idx="62">
                  <c:v>1.0257226185104473</c:v>
                </c:pt>
                <c:pt idx="63">
                  <c:v>1.0246813997983564</c:v>
                </c:pt>
                <c:pt idx="64">
                  <c:v>1.0237013643303519</c:v>
                </c:pt>
                <c:pt idx="65">
                  <c:v>1.022779921165246</c:v>
                </c:pt>
                <c:pt idx="66">
                  <c:v>1.0219146068807359</c:v>
                </c:pt>
                <c:pt idx="67">
                  <c:v>1.0211030779584522</c:v>
                </c:pt>
                <c:pt idx="68">
                  <c:v>1.020343103696508</c:v>
                </c:pt>
                <c:pt idx="69">
                  <c:v>1.0196325596081111</c:v>
                </c:pt>
                <c:pt idx="70">
                  <c:v>1.0189694212684384</c:v>
                </c:pt>
                <c:pt idx="71">
                  <c:v>1.0183517585752511</c:v>
                </c:pt>
                <c:pt idx="72">
                  <c:v>1.017777730391709</c:v>
                </c:pt>
                <c:pt idx="73">
                  <c:v>1.0172455795425246</c:v>
                </c:pt>
                <c:pt idx="74">
                  <c:v>1.0167536281370282</c:v>
                </c:pt>
                <c:pt idx="75">
                  <c:v>1.0163002731949353</c:v>
                </c:pt>
                <c:pt idx="76">
                  <c:v>1.0158839825526007</c:v>
                </c:pt>
                <c:pt idx="77">
                  <c:v>1.0155032910293658</c:v>
                </c:pt>
                <c:pt idx="78">
                  <c:v>1.0151567968352726</c:v>
                </c:pt>
                <c:pt idx="79">
                  <c:v>1.0148431582029078</c:v>
                </c:pt>
                <c:pt idx="80">
                  <c:v>1.0145610902275315</c:v>
                </c:pt>
                <c:pt idx="81">
                  <c:v>1.0143093619008843</c:v>
                </c:pt>
                <c:pt idx="82">
                  <c:v>1.0140867933252167</c:v>
                </c:pt>
                <c:pt idx="83">
                  <c:v>1.0138922530951291</c:v>
                </c:pt>
                <c:pt idx="84">
                  <c:v>1.0137246558357633</c:v>
                </c:pt>
                <c:pt idx="85">
                  <c:v>1.0135829598867587</c:v>
                </c:pt>
                <c:pt idx="86">
                  <c:v>1.0134661651221935</c:v>
                </c:pt>
                <c:pt idx="87">
                  <c:v>1.0133733108974554</c:v>
                </c:pt>
                <c:pt idx="88">
                  <c:v>1.013303474114668</c:v>
                </c:pt>
                <c:pt idx="89">
                  <c:v>1.0132557673989091</c:v>
                </c:pt>
                <c:pt idx="90">
                  <c:v>1.0132293373780286</c:v>
                </c:pt>
                <c:pt idx="91">
                  <c:v>1.0132233630593943</c:v>
                </c:pt>
                <c:pt idx="92">
                  <c:v>1.0132370542973748</c:v>
                </c:pt>
                <c:pt idx="93">
                  <c:v>1.013269650345805</c:v>
                </c:pt>
                <c:pt idx="94">
                  <c:v>1.0133204184900957</c:v>
                </c:pt>
                <c:pt idx="95">
                  <c:v>1.0133886527540144</c:v>
                </c:pt>
                <c:pt idx="96">
                  <c:v>1.0134736726765183</c:v>
                </c:pt>
                <c:pt idx="97">
                  <c:v>1.0135748221543328</c:v>
                </c:pt>
                <c:pt idx="98">
                  <c:v>1.0136914683462723</c:v>
                </c:pt>
                <c:pt idx="99">
                  <c:v>1.013823000635562</c:v>
                </c:pt>
                <c:pt idx="100">
                  <c:v>1.0139688296466827</c:v>
                </c:pt>
                <c:pt idx="101">
                  <c:v>1.0141283863134878</c:v>
                </c:pt>
                <c:pt idx="102">
                  <c:v>1.0143011209955564</c:v>
                </c:pt>
                <c:pt idx="103">
                  <c:v>1.0144865026399534</c:v>
                </c:pt>
                <c:pt idx="104">
                  <c:v>1.0146840179857464</c:v>
                </c:pt>
                <c:pt idx="105">
                  <c:v>1.0148931708088043</c:v>
                </c:pt>
                <c:pt idx="106">
                  <c:v>1.0151134812045646</c:v>
                </c:pt>
                <c:pt idx="107">
                  <c:v>1.0153444849066</c:v>
                </c:pt>
                <c:pt idx="108">
                  <c:v>1.0155857326389586</c:v>
                </c:pt>
                <c:pt idx="109">
                  <c:v>1.0158367895003722</c:v>
                </c:pt>
                <c:pt idx="110">
                  <c:v>1.0160972343785579</c:v>
                </c:pt>
                <c:pt idx="111">
                  <c:v>1.0163666593929395</c:v>
                </c:pt>
                <c:pt idx="112">
                  <c:v>1.0166446693642193</c:v>
                </c:pt>
                <c:pt idx="113">
                  <c:v>1.0169308813093387</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5-4FA9-47D5-BDEE-109A72C2DA33}"/>
            </c:ext>
          </c:extLst>
        </c:ser>
        <c:ser>
          <c:idx val="7"/>
          <c:order val="7"/>
          <c:tx>
            <c:strRef>
              <c:f>'Efficiency vs VIN Calculations'!$BU$8</c:f>
              <c:strCache>
                <c:ptCount val="1"/>
                <c:pt idx="0">
                  <c:v>Boost ''SYNC'' MOSFET Loss</c:v>
                </c:pt>
              </c:strCache>
            </c:strRef>
          </c:tx>
          <c:spPr>
            <a:ln>
              <a:prstDash val="sysDash"/>
            </a:ln>
          </c:spPr>
          <c:marker>
            <c:symbol val="none"/>
          </c:marker>
          <c:cat>
            <c:numRef>
              <c:f>'Efficiency vs VIN Calculations'!$H$9:$H$209</c:f>
              <c:numCache>
                <c:formatCode>0.00</c:formatCode>
                <c:ptCount val="201"/>
                <c:pt idx="0">
                  <c:v>6</c:v>
                </c:pt>
                <c:pt idx="1">
                  <c:v>6.15</c:v>
                </c:pt>
                <c:pt idx="2">
                  <c:v>6.3</c:v>
                </c:pt>
                <c:pt idx="3">
                  <c:v>6.45</c:v>
                </c:pt>
                <c:pt idx="4">
                  <c:v>6.6</c:v>
                </c:pt>
                <c:pt idx="5">
                  <c:v>6.75</c:v>
                </c:pt>
                <c:pt idx="6">
                  <c:v>6.9</c:v>
                </c:pt>
                <c:pt idx="7">
                  <c:v>7.05</c:v>
                </c:pt>
                <c:pt idx="8">
                  <c:v>7.2</c:v>
                </c:pt>
                <c:pt idx="9">
                  <c:v>7.35</c:v>
                </c:pt>
                <c:pt idx="10">
                  <c:v>7.5</c:v>
                </c:pt>
                <c:pt idx="11">
                  <c:v>7.65</c:v>
                </c:pt>
                <c:pt idx="12">
                  <c:v>7.8</c:v>
                </c:pt>
                <c:pt idx="13">
                  <c:v>7.95</c:v>
                </c:pt>
                <c:pt idx="14">
                  <c:v>8.1</c:v>
                </c:pt>
                <c:pt idx="15">
                  <c:v>8.25</c:v>
                </c:pt>
                <c:pt idx="16">
                  <c:v>8.4</c:v>
                </c:pt>
                <c:pt idx="17">
                  <c:v>8.5500000000000007</c:v>
                </c:pt>
                <c:pt idx="18">
                  <c:v>8.6999999999999993</c:v>
                </c:pt>
                <c:pt idx="19">
                  <c:v>8.85</c:v>
                </c:pt>
                <c:pt idx="20">
                  <c:v>9</c:v>
                </c:pt>
                <c:pt idx="21">
                  <c:v>9.15</c:v>
                </c:pt>
                <c:pt idx="22">
                  <c:v>9.3000000000000007</c:v>
                </c:pt>
                <c:pt idx="23">
                  <c:v>9.4499999999999993</c:v>
                </c:pt>
                <c:pt idx="24">
                  <c:v>9.6</c:v>
                </c:pt>
                <c:pt idx="25">
                  <c:v>9.75</c:v>
                </c:pt>
                <c:pt idx="26">
                  <c:v>9.9</c:v>
                </c:pt>
                <c:pt idx="27">
                  <c:v>10.050000000000001</c:v>
                </c:pt>
                <c:pt idx="28">
                  <c:v>10.199999999999999</c:v>
                </c:pt>
                <c:pt idx="29">
                  <c:v>10.35</c:v>
                </c:pt>
                <c:pt idx="30">
                  <c:v>10.5</c:v>
                </c:pt>
                <c:pt idx="31">
                  <c:v>10.65</c:v>
                </c:pt>
                <c:pt idx="32">
                  <c:v>10.8</c:v>
                </c:pt>
                <c:pt idx="33">
                  <c:v>10.95</c:v>
                </c:pt>
                <c:pt idx="34">
                  <c:v>11.100000000000001</c:v>
                </c:pt>
                <c:pt idx="35">
                  <c:v>11.25</c:v>
                </c:pt>
                <c:pt idx="36">
                  <c:v>11.399999999999999</c:v>
                </c:pt>
                <c:pt idx="37">
                  <c:v>11.55</c:v>
                </c:pt>
                <c:pt idx="38">
                  <c:v>11.7</c:v>
                </c:pt>
                <c:pt idx="39">
                  <c:v>11.850000000000001</c:v>
                </c:pt>
                <c:pt idx="40">
                  <c:v>12</c:v>
                </c:pt>
                <c:pt idx="41">
                  <c:v>12.149999999999999</c:v>
                </c:pt>
                <c:pt idx="42">
                  <c:v>12.3</c:v>
                </c:pt>
                <c:pt idx="43">
                  <c:v>12.45</c:v>
                </c:pt>
                <c:pt idx="44">
                  <c:v>12.6</c:v>
                </c:pt>
                <c:pt idx="45">
                  <c:v>12.75</c:v>
                </c:pt>
                <c:pt idx="46">
                  <c:v>12.9</c:v>
                </c:pt>
                <c:pt idx="47">
                  <c:v>13.05</c:v>
                </c:pt>
                <c:pt idx="48">
                  <c:v>13.2</c:v>
                </c:pt>
                <c:pt idx="49">
                  <c:v>13.35</c:v>
                </c:pt>
                <c:pt idx="50">
                  <c:v>13.5</c:v>
                </c:pt>
                <c:pt idx="51">
                  <c:v>13.65</c:v>
                </c:pt>
                <c:pt idx="52">
                  <c:v>13.8</c:v>
                </c:pt>
                <c:pt idx="53">
                  <c:v>13.95</c:v>
                </c:pt>
                <c:pt idx="54">
                  <c:v>14.100000000000001</c:v>
                </c:pt>
                <c:pt idx="55">
                  <c:v>14.25</c:v>
                </c:pt>
                <c:pt idx="56">
                  <c:v>14.4</c:v>
                </c:pt>
                <c:pt idx="57">
                  <c:v>14.549999999999999</c:v>
                </c:pt>
                <c:pt idx="58">
                  <c:v>14.7</c:v>
                </c:pt>
                <c:pt idx="59">
                  <c:v>14.85</c:v>
                </c:pt>
                <c:pt idx="60">
                  <c:v>15</c:v>
                </c:pt>
                <c:pt idx="61">
                  <c:v>15.15</c:v>
                </c:pt>
                <c:pt idx="62">
                  <c:v>15.3</c:v>
                </c:pt>
                <c:pt idx="63">
                  <c:v>15.45</c:v>
                </c:pt>
                <c:pt idx="64">
                  <c:v>15.6</c:v>
                </c:pt>
                <c:pt idx="65">
                  <c:v>15.75</c:v>
                </c:pt>
                <c:pt idx="66">
                  <c:v>15.9</c:v>
                </c:pt>
                <c:pt idx="67">
                  <c:v>16.05</c:v>
                </c:pt>
                <c:pt idx="68">
                  <c:v>16.200000000000003</c:v>
                </c:pt>
                <c:pt idx="69">
                  <c:v>16.350000000000001</c:v>
                </c:pt>
                <c:pt idx="70">
                  <c:v>16.5</c:v>
                </c:pt>
                <c:pt idx="71">
                  <c:v>16.649999999999999</c:v>
                </c:pt>
                <c:pt idx="72">
                  <c:v>16.799999999999997</c:v>
                </c:pt>
                <c:pt idx="73">
                  <c:v>16.95</c:v>
                </c:pt>
                <c:pt idx="74">
                  <c:v>17.100000000000001</c:v>
                </c:pt>
                <c:pt idx="75">
                  <c:v>17.25</c:v>
                </c:pt>
                <c:pt idx="76">
                  <c:v>17.399999999999999</c:v>
                </c:pt>
                <c:pt idx="77">
                  <c:v>17.55</c:v>
                </c:pt>
                <c:pt idx="78">
                  <c:v>17.700000000000003</c:v>
                </c:pt>
                <c:pt idx="79">
                  <c:v>17.850000000000001</c:v>
                </c:pt>
                <c:pt idx="80">
                  <c:v>18</c:v>
                </c:pt>
                <c:pt idx="81">
                  <c:v>18.149999999999999</c:v>
                </c:pt>
                <c:pt idx="82">
                  <c:v>18.299999999999997</c:v>
                </c:pt>
                <c:pt idx="83">
                  <c:v>18.45</c:v>
                </c:pt>
                <c:pt idx="84">
                  <c:v>18.600000000000001</c:v>
                </c:pt>
                <c:pt idx="85">
                  <c:v>18.75</c:v>
                </c:pt>
                <c:pt idx="86">
                  <c:v>18.899999999999999</c:v>
                </c:pt>
                <c:pt idx="87">
                  <c:v>19.05</c:v>
                </c:pt>
                <c:pt idx="88">
                  <c:v>19.2</c:v>
                </c:pt>
                <c:pt idx="89">
                  <c:v>19.350000000000001</c:v>
                </c:pt>
                <c:pt idx="90">
                  <c:v>19.5</c:v>
                </c:pt>
                <c:pt idx="91">
                  <c:v>19.649999999999999</c:v>
                </c:pt>
                <c:pt idx="92">
                  <c:v>19.8</c:v>
                </c:pt>
                <c:pt idx="93">
                  <c:v>19.950000000000003</c:v>
                </c:pt>
                <c:pt idx="94">
                  <c:v>20.100000000000001</c:v>
                </c:pt>
                <c:pt idx="95">
                  <c:v>20.25</c:v>
                </c:pt>
                <c:pt idx="96">
                  <c:v>20.399999999999999</c:v>
                </c:pt>
                <c:pt idx="97">
                  <c:v>20.549999999999997</c:v>
                </c:pt>
                <c:pt idx="98">
                  <c:v>20.7</c:v>
                </c:pt>
                <c:pt idx="99">
                  <c:v>20.85</c:v>
                </c:pt>
                <c:pt idx="100">
                  <c:v>21</c:v>
                </c:pt>
                <c:pt idx="101">
                  <c:v>21.15</c:v>
                </c:pt>
                <c:pt idx="102">
                  <c:v>21.3</c:v>
                </c:pt>
                <c:pt idx="103">
                  <c:v>21.450000000000003</c:v>
                </c:pt>
                <c:pt idx="104">
                  <c:v>21.6</c:v>
                </c:pt>
                <c:pt idx="105">
                  <c:v>21.75</c:v>
                </c:pt>
                <c:pt idx="106">
                  <c:v>21.9</c:v>
                </c:pt>
                <c:pt idx="107">
                  <c:v>22.05</c:v>
                </c:pt>
                <c:pt idx="108">
                  <c:v>22.200000000000003</c:v>
                </c:pt>
                <c:pt idx="109">
                  <c:v>22.35</c:v>
                </c:pt>
                <c:pt idx="110">
                  <c:v>22.5</c:v>
                </c:pt>
                <c:pt idx="111">
                  <c:v>22.650000000000002</c:v>
                </c:pt>
                <c:pt idx="112">
                  <c:v>22.8</c:v>
                </c:pt>
                <c:pt idx="113">
                  <c:v>22.95</c:v>
                </c:pt>
                <c:pt idx="114">
                  <c:v>23.099999999999998</c:v>
                </c:pt>
                <c:pt idx="115">
                  <c:v>23.25</c:v>
                </c:pt>
                <c:pt idx="116">
                  <c:v>23.4</c:v>
                </c:pt>
                <c:pt idx="117">
                  <c:v>23.549999999999997</c:v>
                </c:pt>
                <c:pt idx="118">
                  <c:v>23.7</c:v>
                </c:pt>
                <c:pt idx="119">
                  <c:v>23.849999999999998</c:v>
                </c:pt>
                <c:pt idx="120">
                  <c:v>24</c:v>
                </c:pt>
                <c:pt idx="121">
                  <c:v>24.15</c:v>
                </c:pt>
                <c:pt idx="122">
                  <c:v>24.3</c:v>
                </c:pt>
                <c:pt idx="123">
                  <c:v>24.45</c:v>
                </c:pt>
                <c:pt idx="124">
                  <c:v>24.6</c:v>
                </c:pt>
                <c:pt idx="125">
                  <c:v>24.75</c:v>
                </c:pt>
                <c:pt idx="126">
                  <c:v>24.9</c:v>
                </c:pt>
                <c:pt idx="127">
                  <c:v>25.05</c:v>
                </c:pt>
                <c:pt idx="128">
                  <c:v>25.2</c:v>
                </c:pt>
                <c:pt idx="129">
                  <c:v>25.35</c:v>
                </c:pt>
                <c:pt idx="130">
                  <c:v>25.5</c:v>
                </c:pt>
                <c:pt idx="131">
                  <c:v>25.650000000000002</c:v>
                </c:pt>
                <c:pt idx="132">
                  <c:v>25.8</c:v>
                </c:pt>
                <c:pt idx="133">
                  <c:v>25.950000000000003</c:v>
                </c:pt>
                <c:pt idx="134">
                  <c:v>26.1</c:v>
                </c:pt>
                <c:pt idx="135">
                  <c:v>26.25</c:v>
                </c:pt>
                <c:pt idx="136">
                  <c:v>26.400000000000002</c:v>
                </c:pt>
                <c:pt idx="137">
                  <c:v>26.55</c:v>
                </c:pt>
                <c:pt idx="138">
                  <c:v>26.7</c:v>
                </c:pt>
                <c:pt idx="139">
                  <c:v>26.849999999999998</c:v>
                </c:pt>
                <c:pt idx="140">
                  <c:v>27</c:v>
                </c:pt>
                <c:pt idx="141">
                  <c:v>27.15</c:v>
                </c:pt>
                <c:pt idx="142">
                  <c:v>27.299999999999997</c:v>
                </c:pt>
                <c:pt idx="143">
                  <c:v>27.45</c:v>
                </c:pt>
                <c:pt idx="144">
                  <c:v>27.599999999999998</c:v>
                </c:pt>
                <c:pt idx="145">
                  <c:v>27.75</c:v>
                </c:pt>
                <c:pt idx="146">
                  <c:v>27.9</c:v>
                </c:pt>
                <c:pt idx="147">
                  <c:v>28.05</c:v>
                </c:pt>
                <c:pt idx="148">
                  <c:v>28.2</c:v>
                </c:pt>
                <c:pt idx="149">
                  <c:v>28.35</c:v>
                </c:pt>
                <c:pt idx="150">
                  <c:v>28.5</c:v>
                </c:pt>
                <c:pt idx="151">
                  <c:v>28.65</c:v>
                </c:pt>
                <c:pt idx="152">
                  <c:v>28.8</c:v>
                </c:pt>
                <c:pt idx="153">
                  <c:v>28.95</c:v>
                </c:pt>
                <c:pt idx="154">
                  <c:v>29.1</c:v>
                </c:pt>
                <c:pt idx="155">
                  <c:v>29.25</c:v>
                </c:pt>
                <c:pt idx="156">
                  <c:v>29.400000000000002</c:v>
                </c:pt>
                <c:pt idx="157">
                  <c:v>29.55</c:v>
                </c:pt>
                <c:pt idx="158">
                  <c:v>29.700000000000003</c:v>
                </c:pt>
                <c:pt idx="159">
                  <c:v>29.85</c:v>
                </c:pt>
                <c:pt idx="160">
                  <c:v>30</c:v>
                </c:pt>
                <c:pt idx="161">
                  <c:v>30.150000000000002</c:v>
                </c:pt>
                <c:pt idx="162">
                  <c:v>30.3</c:v>
                </c:pt>
                <c:pt idx="163">
                  <c:v>30.45</c:v>
                </c:pt>
                <c:pt idx="164">
                  <c:v>30.599999999999998</c:v>
                </c:pt>
                <c:pt idx="165">
                  <c:v>30.75</c:v>
                </c:pt>
                <c:pt idx="166">
                  <c:v>30.9</c:v>
                </c:pt>
                <c:pt idx="167">
                  <c:v>31.049999999999997</c:v>
                </c:pt>
                <c:pt idx="168">
                  <c:v>31.2</c:v>
                </c:pt>
                <c:pt idx="169">
                  <c:v>31.349999999999998</c:v>
                </c:pt>
                <c:pt idx="170">
                  <c:v>31.5</c:v>
                </c:pt>
                <c:pt idx="171">
                  <c:v>31.65</c:v>
                </c:pt>
                <c:pt idx="172">
                  <c:v>31.8</c:v>
                </c:pt>
                <c:pt idx="173">
                  <c:v>31.95</c:v>
                </c:pt>
                <c:pt idx="174">
                  <c:v>32.1</c:v>
                </c:pt>
                <c:pt idx="175">
                  <c:v>32.25</c:v>
                </c:pt>
                <c:pt idx="176">
                  <c:v>32.4</c:v>
                </c:pt>
                <c:pt idx="177">
                  <c:v>32.549999999999997</c:v>
                </c:pt>
                <c:pt idx="178">
                  <c:v>32.700000000000003</c:v>
                </c:pt>
                <c:pt idx="179">
                  <c:v>32.85</c:v>
                </c:pt>
                <c:pt idx="180">
                  <c:v>33</c:v>
                </c:pt>
                <c:pt idx="181">
                  <c:v>33.150000000000006</c:v>
                </c:pt>
                <c:pt idx="182">
                  <c:v>33.299999999999997</c:v>
                </c:pt>
                <c:pt idx="183">
                  <c:v>33.450000000000003</c:v>
                </c:pt>
                <c:pt idx="184">
                  <c:v>33.6</c:v>
                </c:pt>
                <c:pt idx="185">
                  <c:v>33.75</c:v>
                </c:pt>
                <c:pt idx="186">
                  <c:v>33.900000000000006</c:v>
                </c:pt>
                <c:pt idx="187">
                  <c:v>34.049999999999997</c:v>
                </c:pt>
                <c:pt idx="188">
                  <c:v>34.200000000000003</c:v>
                </c:pt>
                <c:pt idx="189">
                  <c:v>34.349999999999994</c:v>
                </c:pt>
                <c:pt idx="190">
                  <c:v>34.5</c:v>
                </c:pt>
                <c:pt idx="191">
                  <c:v>34.65</c:v>
                </c:pt>
                <c:pt idx="192">
                  <c:v>34.799999999999997</c:v>
                </c:pt>
                <c:pt idx="193">
                  <c:v>34.950000000000003</c:v>
                </c:pt>
                <c:pt idx="194">
                  <c:v>35.099999999999994</c:v>
                </c:pt>
                <c:pt idx="195">
                  <c:v>35.25</c:v>
                </c:pt>
                <c:pt idx="196">
                  <c:v>35.4</c:v>
                </c:pt>
                <c:pt idx="197">
                  <c:v>35.549999999999997</c:v>
                </c:pt>
                <c:pt idx="198">
                  <c:v>35.700000000000003</c:v>
                </c:pt>
                <c:pt idx="199">
                  <c:v>35.85</c:v>
                </c:pt>
                <c:pt idx="200">
                  <c:v>36</c:v>
                </c:pt>
              </c:numCache>
            </c:numRef>
          </c:cat>
          <c:val>
            <c:numRef>
              <c:f>'Efficiency vs VIN Calculations'!$BU$9:$BU$209</c:f>
              <c:numCache>
                <c:formatCode>0.000</c:formatCode>
                <c:ptCount val="201"/>
                <c:pt idx="0">
                  <c:v>1.7001106274307096</c:v>
                </c:pt>
                <c:pt idx="1">
                  <c:v>1.655818121765781</c:v>
                </c:pt>
                <c:pt idx="2">
                  <c:v>1.6139127714948129</c:v>
                </c:pt>
                <c:pt idx="3">
                  <c:v>1.5742098627845218</c:v>
                </c:pt>
                <c:pt idx="4">
                  <c:v>1.5365427680120471</c:v>
                </c:pt>
                <c:pt idx="5">
                  <c:v>1.5007608288198937</c:v>
                </c:pt>
                <c:pt idx="6">
                  <c:v>1.4667275229874281</c:v>
                </c:pt>
                <c:pt idx="7">
                  <c:v>1.4343188729802709</c:v>
                </c:pt>
                <c:pt idx="8">
                  <c:v>1.4034220607873333</c:v>
                </c:pt>
                <c:pt idx="9">
                  <c:v>1.3739342192693478</c:v>
                </c:pt>
                <c:pt idx="10">
                  <c:v>1.3457613749155843</c:v>
                </c:pt>
                <c:pt idx="11">
                  <c:v>1.3188175207991963</c:v>
                </c:pt>
                <c:pt idx="12">
                  <c:v>1.2930238017705782</c:v>
                </c:pt>
                <c:pt idx="13">
                  <c:v>1.2683077966439731</c:v>
                </c:pt>
                <c:pt idx="14">
                  <c:v>1.2446028844068957</c:v>
                </c:pt>
                <c:pt idx="15">
                  <c:v>1.2218476833905809</c:v>
                </c:pt>
                <c:pt idx="16">
                  <c:v>1.1999855539449111</c:v>
                </c:pt>
                <c:pt idx="17">
                  <c:v>1.1789641565142235</c:v>
                </c:pt>
                <c:pt idx="18">
                  <c:v>1.1587350581534595</c:v>
                </c:pt>
                <c:pt idx="19">
                  <c:v>1.1392533814919426</c:v>
                </c:pt>
                <c:pt idx="20">
                  <c:v>1.1204774909735167</c:v>
                </c:pt>
                <c:pt idx="21">
                  <c:v>1.1023687119004826</c:v>
                </c:pt>
                <c:pt idx="22">
                  <c:v>1.0848910784045387</c:v>
                </c:pt>
                <c:pt idx="23">
                  <c:v>1.0680111069769909</c:v>
                </c:pt>
                <c:pt idx="24">
                  <c:v>1.0516975926265131</c:v>
                </c:pt>
                <c:pt idx="25">
                  <c:v>1.0359214251069611</c:v>
                </c:pt>
                <c:pt idx="26">
                  <c:v>1.0206554229796585</c:v>
                </c:pt>
                <c:pt idx="27">
                  <c:v>1.0058741835520688</c:v>
                </c:pt>
                <c:pt idx="28">
                  <c:v>0.99155394697451105</c:v>
                </c:pt>
                <c:pt idx="29">
                  <c:v>0.97767247298404814</c:v>
                </c:pt>
                <c:pt idx="30">
                  <c:v>0.96420892896470289</c:v>
                </c:pt>
                <c:pt idx="31">
                  <c:v>0.95114378814954759</c:v>
                </c:pt>
                <c:pt idx="32">
                  <c:v>0.93845873692645809</c:v>
                </c:pt>
                <c:pt idx="33">
                  <c:v>0.92613659032813211</c:v>
                </c:pt>
                <c:pt idx="34">
                  <c:v>0.91416121489085533</c:v>
                </c:pt>
                <c:pt idx="35">
                  <c:v>0.90251745815746021</c:v>
                </c:pt>
                <c:pt idx="36">
                  <c:v>0.89119108417968196</c:v>
                </c:pt>
                <c:pt idx="37">
                  <c:v>0.8801687144452639</c:v>
                </c:pt>
                <c:pt idx="38">
                  <c:v>0.86943777371685615</c:v>
                </c:pt>
                <c:pt idx="39">
                  <c:v>0.85898644032416904</c:v>
                </c:pt>
                <c:pt idx="40">
                  <c:v>0.84880360049892967</c:v>
                </c:pt>
                <c:pt idx="41">
                  <c:v>0.83887880638467094</c:v>
                </c:pt>
                <c:pt idx="42">
                  <c:v>0.82920223739108456</c:v>
                </c:pt>
                <c:pt idx="43">
                  <c:v>0.81976466459607633</c:v>
                </c:pt>
                <c:pt idx="44">
                  <c:v>0.81055741792838054</c:v>
                </c:pt>
                <c:pt idx="45">
                  <c:v>0.80157235589004405</c:v>
                </c:pt>
                <c:pt idx="46">
                  <c:v>0.79280183760164391</c:v>
                </c:pt>
                <c:pt idx="47">
                  <c:v>0.78423869697417292</c:v>
                </c:pt>
                <c:pt idx="48">
                  <c:v>0.77587621883032198</c:v>
                </c:pt>
                <c:pt idx="49">
                  <c:v>0.76770811681474749</c:v>
                </c:pt>
                <c:pt idx="50">
                  <c:v>0.75972851294800903</c:v>
                </c:pt>
                <c:pt idx="51">
                  <c:v>0.75193191869242726</c:v>
                </c:pt>
                <c:pt idx="52">
                  <c:v>0.74431321741029921</c:v>
                </c:pt>
                <c:pt idx="53">
                  <c:v>0.73686764810589034</c:v>
                </c:pt>
                <c:pt idx="54">
                  <c:v>0.72959079035252117</c:v>
                </c:pt>
                <c:pt idx="55">
                  <c:v>0.87489808027947424</c:v>
                </c:pt>
                <c:pt idx="56">
                  <c:v>0.8702397686016593</c:v>
                </c:pt>
                <c:pt idx="57">
                  <c:v>0.86570671317203496</c:v>
                </c:pt>
                <c:pt idx="58">
                  <c:v>0.86129512575539591</c:v>
                </c:pt>
                <c:pt idx="59">
                  <c:v>0.85700138102901025</c:v>
                </c:pt>
                <c:pt idx="60">
                  <c:v>0.85282200805506436</c:v>
                </c:pt>
                <c:pt idx="61">
                  <c:v>0.84875368228267167</c:v>
                </c:pt>
                <c:pt idx="62">
                  <c:v>0.84479321804144436</c:v>
                </c:pt>
                <c:pt idx="63">
                  <c:v>0.84093756149172882</c:v>
                </c:pt>
                <c:pt idx="64">
                  <c:v>0.83718378399939797</c:v>
                </c:pt>
                <c:pt idx="65">
                  <c:v>0.83352907590565739</c:v>
                </c:pt>
                <c:pt idx="66">
                  <c:v>0.82997074066464815</c:v>
                </c:pt>
                <c:pt idx="67">
                  <c:v>0.82650618932375364</c:v>
                </c:pt>
                <c:pt idx="68">
                  <c:v>0.823132935323452</c:v>
                </c:pt>
                <c:pt idx="69">
                  <c:v>0.81984858959533924</c:v>
                </c:pt>
                <c:pt idx="70">
                  <c:v>0.81665085593855924</c:v>
                </c:pt>
                <c:pt idx="71">
                  <c:v>0.8135375266563577</c:v>
                </c:pt>
                <c:pt idx="72">
                  <c:v>0.81050647843585522</c:v>
                </c:pt>
                <c:pt idx="73">
                  <c:v>0.80755566845535753</c:v>
                </c:pt>
                <c:pt idx="74">
                  <c:v>0.80468313070468278</c:v>
                </c:pt>
                <c:pt idx="75">
                  <c:v>0.80188697250503127</c:v>
                </c:pt>
                <c:pt idx="76">
                  <c:v>0.79916537121588593</c:v>
                </c:pt>
                <c:pt idx="77">
                  <c:v>0.7965165711173271</c:v>
                </c:pt>
                <c:pt idx="78">
                  <c:v>0.79393888045695937</c:v>
                </c:pt>
                <c:pt idx="79">
                  <c:v>0.79143066865140399</c:v>
                </c:pt>
                <c:pt idx="80">
                  <c:v>0.78899036363300734</c:v>
                </c:pt>
                <c:pt idx="81">
                  <c:v>0.78661644933304808</c:v>
                </c:pt>
                <c:pt idx="82">
                  <c:v>0.78430746329334045</c:v>
                </c:pt>
                <c:pt idx="83">
                  <c:v>0.78206199439864688</c:v>
                </c:pt>
                <c:pt idx="84">
                  <c:v>0.77987868072285016</c:v>
                </c:pt>
                <c:pt idx="85">
                  <c:v>0.77775620748228391</c:v>
                </c:pt>
                <c:pt idx="86">
                  <c:v>0.77569330509005996</c:v>
                </c:pt>
                <c:pt idx="87">
                  <c:v>0.7736887473056383</c:v>
                </c:pt>
                <c:pt idx="88">
                  <c:v>0.771741349474247</c:v>
                </c:pt>
                <c:pt idx="89">
                  <c:v>0.76984996685111595</c:v>
                </c:pt>
                <c:pt idx="90">
                  <c:v>0.76801349300580257</c:v>
                </c:pt>
                <c:pt idx="91">
                  <c:v>0.76623085830218851</c:v>
                </c:pt>
                <c:pt idx="92">
                  <c:v>0.76450102845000145</c:v>
                </c:pt>
                <c:pt idx="93">
                  <c:v>0.76282300312397733</c:v>
                </c:pt>
                <c:pt idx="94">
                  <c:v>0.76119581464701314</c:v>
                </c:pt>
                <c:pt idx="95">
                  <c:v>0.75961852673388841</c:v>
                </c:pt>
                <c:pt idx="96">
                  <c:v>0.75809023329233904</c:v>
                </c:pt>
                <c:pt idx="97">
                  <c:v>0.75661005727845787</c:v>
                </c:pt>
                <c:pt idx="98">
                  <c:v>0.75517714960358928</c:v>
                </c:pt>
                <c:pt idx="99">
                  <c:v>0.75379068809003469</c:v>
                </c:pt>
                <c:pt idx="100">
                  <c:v>0.75244987647306005</c:v>
                </c:pt>
                <c:pt idx="101">
                  <c:v>0.7511539434468375</c:v>
                </c:pt>
                <c:pt idx="102">
                  <c:v>0.74990214175208769</c:v>
                </c:pt>
                <c:pt idx="103">
                  <c:v>0.74869374730332439</c:v>
                </c:pt>
                <c:pt idx="104">
                  <c:v>0.74752805835371494</c:v>
                </c:pt>
                <c:pt idx="105">
                  <c:v>0.74640439469569264</c:v>
                </c:pt>
                <c:pt idx="106">
                  <c:v>0.74532209689555573</c:v>
                </c:pt>
                <c:pt idx="107">
                  <c:v>0.74428052556038615</c:v>
                </c:pt>
                <c:pt idx="108">
                  <c:v>0.74327906063571958</c:v>
                </c:pt>
                <c:pt idx="109">
                  <c:v>0.7423171007324767</c:v>
                </c:pt>
                <c:pt idx="110">
                  <c:v>0.74139406248175721</c:v>
                </c:pt>
                <c:pt idx="111">
                  <c:v>0.74050937991616628</c:v>
                </c:pt>
                <c:pt idx="112">
                  <c:v>0.73966250387641597</c:v>
                </c:pt>
                <c:pt idx="113">
                  <c:v>0.73885290144201965</c:v>
                </c:pt>
                <c:pt idx="114">
                  <c:v>0.25351885532419954</c:v>
                </c:pt>
                <c:pt idx="115">
                  <c:v>0.25397961331715896</c:v>
                </c:pt>
                <c:pt idx="116">
                  <c:v>0.25444109513340829</c:v>
                </c:pt>
                <c:pt idx="117">
                  <c:v>0.25490316548310593</c:v>
                </c:pt>
                <c:pt idx="118">
                  <c:v>0.25536569550661425</c:v>
                </c:pt>
                <c:pt idx="119">
                  <c:v>0.25582856247817271</c:v>
                </c:pt>
                <c:pt idx="120">
                  <c:v>0.2562916495242602</c:v>
                </c:pt>
                <c:pt idx="121">
                  <c:v>0.25675484535584936</c:v>
                </c:pt>
                <c:pt idx="122">
                  <c:v>0.25721804401380177</c:v>
                </c:pt>
                <c:pt idx="123">
                  <c:v>0.25768114462669639</c:v>
                </c:pt>
                <c:pt idx="124">
                  <c:v>0.25814405118042599</c:v>
                </c:pt>
                <c:pt idx="125">
                  <c:v>0.25860667229893802</c:v>
                </c:pt>
                <c:pt idx="126">
                  <c:v>0.25906892103552698</c:v>
                </c:pt>
                <c:pt idx="127">
                  <c:v>0.25953071467412658</c:v>
                </c:pt>
                <c:pt idx="128">
                  <c:v>0.25999197454007489</c:v>
                </c:pt>
                <c:pt idx="129">
                  <c:v>0.26045262581986262</c:v>
                </c:pt>
                <c:pt idx="130">
                  <c:v>0.26091259738939843</c:v>
                </c:pt>
                <c:pt idx="131">
                  <c:v>0.26137182165034922</c:v>
                </c:pt>
                <c:pt idx="132">
                  <c:v>0.26183023437414832</c:v>
                </c:pt>
                <c:pt idx="133">
                  <c:v>0.26228777455327357</c:v>
                </c:pt>
                <c:pt idx="134">
                  <c:v>0.26274438425943136</c:v>
                </c:pt>
                <c:pt idx="135">
                  <c:v>0.26320000850829578</c:v>
                </c:pt>
                <c:pt idx="136">
                  <c:v>0.26365459513047423</c:v>
                </c:pt>
                <c:pt idx="137">
                  <c:v>0.26410809464838897</c:v>
                </c:pt>
                <c:pt idx="138">
                  <c:v>0.26456046015877843</c:v>
                </c:pt>
                <c:pt idx="139">
                  <c:v>0.26501164722054316</c:v>
                </c:pt>
                <c:pt idx="140">
                  <c:v>0.26546161374767019</c:v>
                </c:pt>
                <c:pt idx="141">
                  <c:v>0.26591031990698832</c:v>
                </c:pt>
                <c:pt idx="142">
                  <c:v>0.26635772802051849</c:v>
                </c:pt>
                <c:pt idx="143">
                  <c:v>0.26680380247219665</c:v>
                </c:pt>
                <c:pt idx="144">
                  <c:v>0.26724850961875601</c:v>
                </c:pt>
                <c:pt idx="145">
                  <c:v>0.26769181770456946</c:v>
                </c:pt>
                <c:pt idx="146">
                  <c:v>0.26813369678026433</c:v>
                </c:pt>
                <c:pt idx="147">
                  <c:v>0.26857411862492531</c:v>
                </c:pt>
                <c:pt idx="148">
                  <c:v>0.26901305667171921</c:v>
                </c:pt>
                <c:pt idx="149">
                  <c:v>0.26945048593677795</c:v>
                </c:pt>
                <c:pt idx="150">
                  <c:v>0.26988638295118644</c:v>
                </c:pt>
                <c:pt idx="151">
                  <c:v>0.27032072569593013</c:v>
                </c:pt>
                <c:pt idx="152">
                  <c:v>0.27075349353966371</c:v>
                </c:pt>
                <c:pt idx="153">
                  <c:v>0.27118466717917161</c:v>
                </c:pt>
                <c:pt idx="154">
                  <c:v>0.27161422858239181</c:v>
                </c:pt>
                <c:pt idx="155">
                  <c:v>0.2720421609338905</c:v>
                </c:pt>
                <c:pt idx="156">
                  <c:v>0.27246844858266878</c:v>
                </c:pt>
                <c:pt idx="157">
                  <c:v>0.27289307699220045</c:v>
                </c:pt>
                <c:pt idx="158">
                  <c:v>0.27331603269259613</c:v>
                </c:pt>
                <c:pt idx="159">
                  <c:v>0.273737303234797</c:v>
                </c:pt>
                <c:pt idx="160">
                  <c:v>0.27415687714670817</c:v>
                </c:pt>
                <c:pt idx="161">
                  <c:v>0.27457474389118525</c:v>
                </c:pt>
                <c:pt idx="162">
                  <c:v>0.27499089382578662</c:v>
                </c:pt>
                <c:pt idx="163">
                  <c:v>0.27540531816421804</c:v>
                </c:pt>
                <c:pt idx="164">
                  <c:v>0.2758180089393904</c:v>
                </c:pt>
                <c:pt idx="165">
                  <c:v>0.27622895896802097</c:v>
                </c:pt>
                <c:pt idx="166">
                  <c:v>0.27663816181670947</c:v>
                </c:pt>
                <c:pt idx="167">
                  <c:v>0.27704561176942466</c:v>
                </c:pt>
                <c:pt idx="168">
                  <c:v>0.27745130379633776</c:v>
                </c:pt>
                <c:pt idx="169">
                  <c:v>0.27785523352394714</c:v>
                </c:pt>
                <c:pt idx="170">
                  <c:v>0.27825739720643466</c:v>
                </c:pt>
                <c:pt idx="171">
                  <c:v>0.27865779169820243</c:v>
                </c:pt>
                <c:pt idx="172">
                  <c:v>0.27905641442753876</c:v>
                </c:pt>
                <c:pt idx="173">
                  <c:v>0.27945326337136311</c:v>
                </c:pt>
                <c:pt idx="174">
                  <c:v>0.27984833703100631</c:v>
                </c:pt>
                <c:pt idx="175">
                  <c:v>0.28024163440897831</c:v>
                </c:pt>
                <c:pt idx="176">
                  <c:v>0.28063315498668656</c:v>
                </c:pt>
                <c:pt idx="177">
                  <c:v>0.28102289870305713</c:v>
                </c:pt>
                <c:pt idx="178">
                  <c:v>0.28141086593402931</c:v>
                </c:pt>
                <c:pt idx="179">
                  <c:v>0.2817970574728777</c:v>
                </c:pt>
                <c:pt idx="180">
                  <c:v>0.28218147451133485</c:v>
                </c:pt>
                <c:pt idx="181">
                  <c:v>0.28256411862147585</c:v>
                </c:pt>
                <c:pt idx="182">
                  <c:v>0.28294499173833404</c:v>
                </c:pt>
                <c:pt idx="183">
                  <c:v>0.28332409614321902</c:v>
                </c:pt>
                <c:pt idx="184">
                  <c:v>0.28370143444770524</c:v>
                </c:pt>
                <c:pt idx="185">
                  <c:v>0.28407700957826743</c:v>
                </c:pt>
                <c:pt idx="186">
                  <c:v>0.28445082476152861</c:v>
                </c:pt>
                <c:pt idx="187">
                  <c:v>0.28482288351010593</c:v>
                </c:pt>
                <c:pt idx="188">
                  <c:v>0.28519318960901957</c:v>
                </c:pt>
                <c:pt idx="189">
                  <c:v>0.28556174710264781</c:v>
                </c:pt>
                <c:pt idx="190">
                  <c:v>0.28592856028220531</c:v>
                </c:pt>
                <c:pt idx="191">
                  <c:v>0.28629363367371968</c:v>
                </c:pt>
                <c:pt idx="192">
                  <c:v>0.28665697202649104</c:v>
                </c:pt>
                <c:pt idx="193">
                  <c:v>0.28701858030201172</c:v>
                </c:pt>
                <c:pt idx="194">
                  <c:v>0.2873784636633272</c:v>
                </c:pt>
                <c:pt idx="195">
                  <c:v>0.28773662746482342</c:v>
                </c:pt>
                <c:pt idx="196">
                  <c:v>0.28809307724242078</c:v>
                </c:pt>
                <c:pt idx="197">
                  <c:v>0.28844781870415853</c:v>
                </c:pt>
                <c:pt idx="198">
                  <c:v>0.28880085772115577</c:v>
                </c:pt>
                <c:pt idx="199">
                  <c:v>0.28915220031893196</c:v>
                </c:pt>
                <c:pt idx="200">
                  <c:v>0.28950185266907447</c:v>
                </c:pt>
              </c:numCache>
            </c:numRef>
          </c:val>
          <c:smooth val="0"/>
          <c:extLst>
            <c:ext xmlns:c16="http://schemas.microsoft.com/office/drawing/2014/chart" uri="{C3380CC4-5D6E-409C-BE32-E72D297353CC}">
              <c16:uniqueId val="{00000006-4FA9-47D5-BDEE-109A72C2DA33}"/>
            </c:ext>
          </c:extLst>
        </c:ser>
        <c:dLbls>
          <c:showLegendKey val="0"/>
          <c:showVal val="0"/>
          <c:showCatName val="0"/>
          <c:showSerName val="0"/>
          <c:showPercent val="0"/>
          <c:showBubbleSize val="0"/>
        </c:dLbls>
        <c:marker val="1"/>
        <c:smooth val="0"/>
        <c:axId val="196432256"/>
        <c:axId val="196421888"/>
        <c:extLst>
          <c:ext xmlns:c15="http://schemas.microsoft.com/office/drawing/2012/chart" uri="{02D57815-91ED-43cb-92C2-25804820EDAC}">
            <c15:filteredLineSeries>
              <c15:ser>
                <c:idx val="2"/>
                <c:order val="2"/>
                <c:tx>
                  <c:v>Total MOSFET Loss</c:v>
                </c:tx>
                <c:spPr>
                  <a:ln w="38100">
                    <a:solidFill>
                      <a:srgbClr val="808000"/>
                    </a:solidFill>
                    <a:prstDash val="sysDash"/>
                  </a:ln>
                </c:spPr>
                <c:marker>
                  <c:symbol val="none"/>
                </c:marker>
                <c:cat>
                  <c:numRef>
                    <c:extLst>
                      <c:ext uri="{02D57815-91ED-43cb-92C2-25804820EDAC}">
                        <c15:formulaRef>
                          <c15:sqref>'Efficiency vs VIN Calculations'!$H$9:$H$209</c15:sqref>
                        </c15:formulaRef>
                      </c:ext>
                    </c:extLst>
                    <c:numCache>
                      <c:formatCode>0.00</c:formatCode>
                      <c:ptCount val="201"/>
                      <c:pt idx="0">
                        <c:v>6</c:v>
                      </c:pt>
                      <c:pt idx="1">
                        <c:v>6.15</c:v>
                      </c:pt>
                      <c:pt idx="2">
                        <c:v>6.3</c:v>
                      </c:pt>
                      <c:pt idx="3">
                        <c:v>6.45</c:v>
                      </c:pt>
                      <c:pt idx="4">
                        <c:v>6.6</c:v>
                      </c:pt>
                      <c:pt idx="5">
                        <c:v>6.75</c:v>
                      </c:pt>
                      <c:pt idx="6">
                        <c:v>6.9</c:v>
                      </c:pt>
                      <c:pt idx="7">
                        <c:v>7.05</c:v>
                      </c:pt>
                      <c:pt idx="8">
                        <c:v>7.2</c:v>
                      </c:pt>
                      <c:pt idx="9">
                        <c:v>7.35</c:v>
                      </c:pt>
                      <c:pt idx="10">
                        <c:v>7.5</c:v>
                      </c:pt>
                      <c:pt idx="11">
                        <c:v>7.65</c:v>
                      </c:pt>
                      <c:pt idx="12">
                        <c:v>7.8</c:v>
                      </c:pt>
                      <c:pt idx="13">
                        <c:v>7.95</c:v>
                      </c:pt>
                      <c:pt idx="14">
                        <c:v>8.1</c:v>
                      </c:pt>
                      <c:pt idx="15">
                        <c:v>8.25</c:v>
                      </c:pt>
                      <c:pt idx="16">
                        <c:v>8.4</c:v>
                      </c:pt>
                      <c:pt idx="17">
                        <c:v>8.5500000000000007</c:v>
                      </c:pt>
                      <c:pt idx="18">
                        <c:v>8.6999999999999993</c:v>
                      </c:pt>
                      <c:pt idx="19">
                        <c:v>8.85</c:v>
                      </c:pt>
                      <c:pt idx="20">
                        <c:v>9</c:v>
                      </c:pt>
                      <c:pt idx="21">
                        <c:v>9.15</c:v>
                      </c:pt>
                      <c:pt idx="22">
                        <c:v>9.3000000000000007</c:v>
                      </c:pt>
                      <c:pt idx="23">
                        <c:v>9.4499999999999993</c:v>
                      </c:pt>
                      <c:pt idx="24">
                        <c:v>9.6</c:v>
                      </c:pt>
                      <c:pt idx="25">
                        <c:v>9.75</c:v>
                      </c:pt>
                      <c:pt idx="26">
                        <c:v>9.9</c:v>
                      </c:pt>
                      <c:pt idx="27">
                        <c:v>10.050000000000001</c:v>
                      </c:pt>
                      <c:pt idx="28">
                        <c:v>10.199999999999999</c:v>
                      </c:pt>
                      <c:pt idx="29">
                        <c:v>10.35</c:v>
                      </c:pt>
                      <c:pt idx="30">
                        <c:v>10.5</c:v>
                      </c:pt>
                      <c:pt idx="31">
                        <c:v>10.65</c:v>
                      </c:pt>
                      <c:pt idx="32">
                        <c:v>10.8</c:v>
                      </c:pt>
                      <c:pt idx="33">
                        <c:v>10.95</c:v>
                      </c:pt>
                      <c:pt idx="34">
                        <c:v>11.100000000000001</c:v>
                      </c:pt>
                      <c:pt idx="35">
                        <c:v>11.25</c:v>
                      </c:pt>
                      <c:pt idx="36">
                        <c:v>11.399999999999999</c:v>
                      </c:pt>
                      <c:pt idx="37">
                        <c:v>11.55</c:v>
                      </c:pt>
                      <c:pt idx="38">
                        <c:v>11.7</c:v>
                      </c:pt>
                      <c:pt idx="39">
                        <c:v>11.850000000000001</c:v>
                      </c:pt>
                      <c:pt idx="40">
                        <c:v>12</c:v>
                      </c:pt>
                      <c:pt idx="41">
                        <c:v>12.149999999999999</c:v>
                      </c:pt>
                      <c:pt idx="42">
                        <c:v>12.3</c:v>
                      </c:pt>
                      <c:pt idx="43">
                        <c:v>12.45</c:v>
                      </c:pt>
                      <c:pt idx="44">
                        <c:v>12.6</c:v>
                      </c:pt>
                      <c:pt idx="45">
                        <c:v>12.75</c:v>
                      </c:pt>
                      <c:pt idx="46">
                        <c:v>12.9</c:v>
                      </c:pt>
                      <c:pt idx="47">
                        <c:v>13.05</c:v>
                      </c:pt>
                      <c:pt idx="48">
                        <c:v>13.2</c:v>
                      </c:pt>
                      <c:pt idx="49">
                        <c:v>13.35</c:v>
                      </c:pt>
                      <c:pt idx="50">
                        <c:v>13.5</c:v>
                      </c:pt>
                      <c:pt idx="51">
                        <c:v>13.65</c:v>
                      </c:pt>
                      <c:pt idx="52">
                        <c:v>13.8</c:v>
                      </c:pt>
                      <c:pt idx="53">
                        <c:v>13.95</c:v>
                      </c:pt>
                      <c:pt idx="54">
                        <c:v>14.100000000000001</c:v>
                      </c:pt>
                      <c:pt idx="55">
                        <c:v>14.25</c:v>
                      </c:pt>
                      <c:pt idx="56">
                        <c:v>14.4</c:v>
                      </c:pt>
                      <c:pt idx="57">
                        <c:v>14.549999999999999</c:v>
                      </c:pt>
                      <c:pt idx="58">
                        <c:v>14.7</c:v>
                      </c:pt>
                      <c:pt idx="59">
                        <c:v>14.85</c:v>
                      </c:pt>
                      <c:pt idx="60">
                        <c:v>15</c:v>
                      </c:pt>
                      <c:pt idx="61">
                        <c:v>15.15</c:v>
                      </c:pt>
                      <c:pt idx="62">
                        <c:v>15.3</c:v>
                      </c:pt>
                      <c:pt idx="63">
                        <c:v>15.45</c:v>
                      </c:pt>
                      <c:pt idx="64">
                        <c:v>15.6</c:v>
                      </c:pt>
                      <c:pt idx="65">
                        <c:v>15.75</c:v>
                      </c:pt>
                      <c:pt idx="66">
                        <c:v>15.9</c:v>
                      </c:pt>
                      <c:pt idx="67">
                        <c:v>16.05</c:v>
                      </c:pt>
                      <c:pt idx="68">
                        <c:v>16.200000000000003</c:v>
                      </c:pt>
                      <c:pt idx="69">
                        <c:v>16.350000000000001</c:v>
                      </c:pt>
                      <c:pt idx="70">
                        <c:v>16.5</c:v>
                      </c:pt>
                      <c:pt idx="71">
                        <c:v>16.649999999999999</c:v>
                      </c:pt>
                      <c:pt idx="72">
                        <c:v>16.799999999999997</c:v>
                      </c:pt>
                      <c:pt idx="73">
                        <c:v>16.95</c:v>
                      </c:pt>
                      <c:pt idx="74">
                        <c:v>17.100000000000001</c:v>
                      </c:pt>
                      <c:pt idx="75">
                        <c:v>17.25</c:v>
                      </c:pt>
                      <c:pt idx="76">
                        <c:v>17.399999999999999</c:v>
                      </c:pt>
                      <c:pt idx="77">
                        <c:v>17.55</c:v>
                      </c:pt>
                      <c:pt idx="78">
                        <c:v>17.700000000000003</c:v>
                      </c:pt>
                      <c:pt idx="79">
                        <c:v>17.850000000000001</c:v>
                      </c:pt>
                      <c:pt idx="80">
                        <c:v>18</c:v>
                      </c:pt>
                      <c:pt idx="81">
                        <c:v>18.149999999999999</c:v>
                      </c:pt>
                      <c:pt idx="82">
                        <c:v>18.299999999999997</c:v>
                      </c:pt>
                      <c:pt idx="83">
                        <c:v>18.45</c:v>
                      </c:pt>
                      <c:pt idx="84">
                        <c:v>18.600000000000001</c:v>
                      </c:pt>
                      <c:pt idx="85">
                        <c:v>18.75</c:v>
                      </c:pt>
                      <c:pt idx="86">
                        <c:v>18.899999999999999</c:v>
                      </c:pt>
                      <c:pt idx="87">
                        <c:v>19.05</c:v>
                      </c:pt>
                      <c:pt idx="88">
                        <c:v>19.2</c:v>
                      </c:pt>
                      <c:pt idx="89">
                        <c:v>19.350000000000001</c:v>
                      </c:pt>
                      <c:pt idx="90">
                        <c:v>19.5</c:v>
                      </c:pt>
                      <c:pt idx="91">
                        <c:v>19.649999999999999</c:v>
                      </c:pt>
                      <c:pt idx="92">
                        <c:v>19.8</c:v>
                      </c:pt>
                      <c:pt idx="93">
                        <c:v>19.950000000000003</c:v>
                      </c:pt>
                      <c:pt idx="94">
                        <c:v>20.100000000000001</c:v>
                      </c:pt>
                      <c:pt idx="95">
                        <c:v>20.25</c:v>
                      </c:pt>
                      <c:pt idx="96">
                        <c:v>20.399999999999999</c:v>
                      </c:pt>
                      <c:pt idx="97">
                        <c:v>20.549999999999997</c:v>
                      </c:pt>
                      <c:pt idx="98">
                        <c:v>20.7</c:v>
                      </c:pt>
                      <c:pt idx="99">
                        <c:v>20.85</c:v>
                      </c:pt>
                      <c:pt idx="100">
                        <c:v>21</c:v>
                      </c:pt>
                      <c:pt idx="101">
                        <c:v>21.15</c:v>
                      </c:pt>
                      <c:pt idx="102">
                        <c:v>21.3</c:v>
                      </c:pt>
                      <c:pt idx="103">
                        <c:v>21.450000000000003</c:v>
                      </c:pt>
                      <c:pt idx="104">
                        <c:v>21.6</c:v>
                      </c:pt>
                      <c:pt idx="105">
                        <c:v>21.75</c:v>
                      </c:pt>
                      <c:pt idx="106">
                        <c:v>21.9</c:v>
                      </c:pt>
                      <c:pt idx="107">
                        <c:v>22.05</c:v>
                      </c:pt>
                      <c:pt idx="108">
                        <c:v>22.200000000000003</c:v>
                      </c:pt>
                      <c:pt idx="109">
                        <c:v>22.35</c:v>
                      </c:pt>
                      <c:pt idx="110">
                        <c:v>22.5</c:v>
                      </c:pt>
                      <c:pt idx="111">
                        <c:v>22.650000000000002</c:v>
                      </c:pt>
                      <c:pt idx="112">
                        <c:v>22.8</c:v>
                      </c:pt>
                      <c:pt idx="113">
                        <c:v>22.95</c:v>
                      </c:pt>
                      <c:pt idx="114">
                        <c:v>23.099999999999998</c:v>
                      </c:pt>
                      <c:pt idx="115">
                        <c:v>23.25</c:v>
                      </c:pt>
                      <c:pt idx="116">
                        <c:v>23.4</c:v>
                      </c:pt>
                      <c:pt idx="117">
                        <c:v>23.549999999999997</c:v>
                      </c:pt>
                      <c:pt idx="118">
                        <c:v>23.7</c:v>
                      </c:pt>
                      <c:pt idx="119">
                        <c:v>23.849999999999998</c:v>
                      </c:pt>
                      <c:pt idx="120">
                        <c:v>24</c:v>
                      </c:pt>
                      <c:pt idx="121">
                        <c:v>24.15</c:v>
                      </c:pt>
                      <c:pt idx="122">
                        <c:v>24.3</c:v>
                      </c:pt>
                      <c:pt idx="123">
                        <c:v>24.45</c:v>
                      </c:pt>
                      <c:pt idx="124">
                        <c:v>24.6</c:v>
                      </c:pt>
                      <c:pt idx="125">
                        <c:v>24.75</c:v>
                      </c:pt>
                      <c:pt idx="126">
                        <c:v>24.9</c:v>
                      </c:pt>
                      <c:pt idx="127">
                        <c:v>25.05</c:v>
                      </c:pt>
                      <c:pt idx="128">
                        <c:v>25.2</c:v>
                      </c:pt>
                      <c:pt idx="129">
                        <c:v>25.35</c:v>
                      </c:pt>
                      <c:pt idx="130">
                        <c:v>25.5</c:v>
                      </c:pt>
                      <c:pt idx="131">
                        <c:v>25.650000000000002</c:v>
                      </c:pt>
                      <c:pt idx="132">
                        <c:v>25.8</c:v>
                      </c:pt>
                      <c:pt idx="133">
                        <c:v>25.950000000000003</c:v>
                      </c:pt>
                      <c:pt idx="134">
                        <c:v>26.1</c:v>
                      </c:pt>
                      <c:pt idx="135">
                        <c:v>26.25</c:v>
                      </c:pt>
                      <c:pt idx="136">
                        <c:v>26.400000000000002</c:v>
                      </c:pt>
                      <c:pt idx="137">
                        <c:v>26.55</c:v>
                      </c:pt>
                      <c:pt idx="138">
                        <c:v>26.7</c:v>
                      </c:pt>
                      <c:pt idx="139">
                        <c:v>26.849999999999998</c:v>
                      </c:pt>
                      <c:pt idx="140">
                        <c:v>27</c:v>
                      </c:pt>
                      <c:pt idx="141">
                        <c:v>27.15</c:v>
                      </c:pt>
                      <c:pt idx="142">
                        <c:v>27.299999999999997</c:v>
                      </c:pt>
                      <c:pt idx="143">
                        <c:v>27.45</c:v>
                      </c:pt>
                      <c:pt idx="144">
                        <c:v>27.599999999999998</c:v>
                      </c:pt>
                      <c:pt idx="145">
                        <c:v>27.75</c:v>
                      </c:pt>
                      <c:pt idx="146">
                        <c:v>27.9</c:v>
                      </c:pt>
                      <c:pt idx="147">
                        <c:v>28.05</c:v>
                      </c:pt>
                      <c:pt idx="148">
                        <c:v>28.2</c:v>
                      </c:pt>
                      <c:pt idx="149">
                        <c:v>28.35</c:v>
                      </c:pt>
                      <c:pt idx="150">
                        <c:v>28.5</c:v>
                      </c:pt>
                      <c:pt idx="151">
                        <c:v>28.65</c:v>
                      </c:pt>
                      <c:pt idx="152">
                        <c:v>28.8</c:v>
                      </c:pt>
                      <c:pt idx="153">
                        <c:v>28.95</c:v>
                      </c:pt>
                      <c:pt idx="154">
                        <c:v>29.1</c:v>
                      </c:pt>
                      <c:pt idx="155">
                        <c:v>29.25</c:v>
                      </c:pt>
                      <c:pt idx="156">
                        <c:v>29.400000000000002</c:v>
                      </c:pt>
                      <c:pt idx="157">
                        <c:v>29.55</c:v>
                      </c:pt>
                      <c:pt idx="158">
                        <c:v>29.700000000000003</c:v>
                      </c:pt>
                      <c:pt idx="159">
                        <c:v>29.85</c:v>
                      </c:pt>
                      <c:pt idx="160">
                        <c:v>30</c:v>
                      </c:pt>
                      <c:pt idx="161">
                        <c:v>30.150000000000002</c:v>
                      </c:pt>
                      <c:pt idx="162">
                        <c:v>30.3</c:v>
                      </c:pt>
                      <c:pt idx="163">
                        <c:v>30.45</c:v>
                      </c:pt>
                      <c:pt idx="164">
                        <c:v>30.599999999999998</c:v>
                      </c:pt>
                      <c:pt idx="165">
                        <c:v>30.75</c:v>
                      </c:pt>
                      <c:pt idx="166">
                        <c:v>30.9</c:v>
                      </c:pt>
                      <c:pt idx="167">
                        <c:v>31.049999999999997</c:v>
                      </c:pt>
                      <c:pt idx="168">
                        <c:v>31.2</c:v>
                      </c:pt>
                      <c:pt idx="169">
                        <c:v>31.349999999999998</c:v>
                      </c:pt>
                      <c:pt idx="170">
                        <c:v>31.5</c:v>
                      </c:pt>
                      <c:pt idx="171">
                        <c:v>31.65</c:v>
                      </c:pt>
                      <c:pt idx="172">
                        <c:v>31.8</c:v>
                      </c:pt>
                      <c:pt idx="173">
                        <c:v>31.95</c:v>
                      </c:pt>
                      <c:pt idx="174">
                        <c:v>32.1</c:v>
                      </c:pt>
                      <c:pt idx="175">
                        <c:v>32.25</c:v>
                      </c:pt>
                      <c:pt idx="176">
                        <c:v>32.4</c:v>
                      </c:pt>
                      <c:pt idx="177">
                        <c:v>32.549999999999997</c:v>
                      </c:pt>
                      <c:pt idx="178">
                        <c:v>32.700000000000003</c:v>
                      </c:pt>
                      <c:pt idx="179">
                        <c:v>32.85</c:v>
                      </c:pt>
                      <c:pt idx="180">
                        <c:v>33</c:v>
                      </c:pt>
                      <c:pt idx="181">
                        <c:v>33.150000000000006</c:v>
                      </c:pt>
                      <c:pt idx="182">
                        <c:v>33.299999999999997</c:v>
                      </c:pt>
                      <c:pt idx="183">
                        <c:v>33.450000000000003</c:v>
                      </c:pt>
                      <c:pt idx="184">
                        <c:v>33.6</c:v>
                      </c:pt>
                      <c:pt idx="185">
                        <c:v>33.75</c:v>
                      </c:pt>
                      <c:pt idx="186">
                        <c:v>33.900000000000006</c:v>
                      </c:pt>
                      <c:pt idx="187">
                        <c:v>34.049999999999997</c:v>
                      </c:pt>
                      <c:pt idx="188">
                        <c:v>34.200000000000003</c:v>
                      </c:pt>
                      <c:pt idx="189">
                        <c:v>34.349999999999994</c:v>
                      </c:pt>
                      <c:pt idx="190">
                        <c:v>34.5</c:v>
                      </c:pt>
                      <c:pt idx="191">
                        <c:v>34.65</c:v>
                      </c:pt>
                      <c:pt idx="192">
                        <c:v>34.799999999999997</c:v>
                      </c:pt>
                      <c:pt idx="193">
                        <c:v>34.950000000000003</c:v>
                      </c:pt>
                      <c:pt idx="194">
                        <c:v>35.099999999999994</c:v>
                      </c:pt>
                      <c:pt idx="195">
                        <c:v>35.25</c:v>
                      </c:pt>
                      <c:pt idx="196">
                        <c:v>35.4</c:v>
                      </c:pt>
                      <c:pt idx="197">
                        <c:v>35.549999999999997</c:v>
                      </c:pt>
                      <c:pt idx="198">
                        <c:v>35.700000000000003</c:v>
                      </c:pt>
                      <c:pt idx="199">
                        <c:v>35.85</c:v>
                      </c:pt>
                      <c:pt idx="200">
                        <c:v>36</c:v>
                      </c:pt>
                    </c:numCache>
                  </c:numRef>
                </c:cat>
                <c:val>
                  <c:numRef>
                    <c:extLst>
                      <c:ext uri="{02D57815-91ED-43cb-92C2-25804820EDAC}">
                        <c15:formulaRef>
                          <c15:sqref>'[1]Efficiency vs VIN Calculations'!$BQ$9:$BQ$209</c15:sqref>
                        </c15:formulaRef>
                      </c:ext>
                    </c:extLst>
                    <c:numCache>
                      <c:formatCode>General</c:formatCode>
                      <c:ptCount val="201"/>
                      <c:pt idx="0">
                        <c:v>3.4839399945305165</c:v>
                      </c:pt>
                      <c:pt idx="1">
                        <c:v>3.3954181115467037</c:v>
                      </c:pt>
                      <c:pt idx="2">
                        <c:v>3.3111215086963037</c:v>
                      </c:pt>
                      <c:pt idx="3">
                        <c:v>3.2307587569818677</c:v>
                      </c:pt>
                      <c:pt idx="4">
                        <c:v>3.1540646566511938</c:v>
                      </c:pt>
                      <c:pt idx="5">
                        <c:v>3.0807973478287876</c:v>
                      </c:pt>
                      <c:pt idx="6">
                        <c:v>3.0107357968253941</c:v>
                      </c:pt>
                      <c:pt idx="7">
                        <c:v>2.9436776021148487</c:v>
                      </c:pt>
                      <c:pt idx="8">
                        <c:v>2.8794370733443833</c:v>
                      </c:pt>
                      <c:pt idx="9">
                        <c:v>2.8178435443868377</c:v>
                      </c:pt>
                      <c:pt idx="10">
                        <c:v>2.7587398877010596</c:v>
                      </c:pt>
                      <c:pt idx="11">
                        <c:v>2.7019812024139518</c:v>
                      </c:pt>
                      <c:pt idx="12">
                        <c:v>2.6474336527892812</c:v>
                      </c:pt>
                      <c:pt idx="13">
                        <c:v>2.5949734372748634</c:v>
                      </c:pt>
                      <c:pt idx="14">
                        <c:v>2.544485871256156</c:v>
                      </c:pt>
                      <c:pt idx="15">
                        <c:v>2.4958645690985608</c:v>
                      </c:pt>
                      <c:pt idx="16">
                        <c:v>2.4490107131195491</c:v>
                      </c:pt>
                      <c:pt idx="17">
                        <c:v>2.4038323988645813</c:v>
                      </c:pt>
                      <c:pt idx="18">
                        <c:v>2.3602440475244704</c:v>
                      </c:pt>
                      <c:pt idx="19">
                        <c:v>2.3181658775717726</c:v>
                      </c:pt>
                      <c:pt idx="20">
                        <c:v>2.2775234287477302</c:v>
                      </c:pt>
                      <c:pt idx="21">
                        <c:v>2.2382471324295663</c:v>
                      </c:pt>
                      <c:pt idx="22">
                        <c:v>2.2002719231759564</c:v>
                      </c:pt>
                      <c:pt idx="23">
                        <c:v>3.8731084886643408</c:v>
                      </c:pt>
                      <c:pt idx="24">
                        <c:v>3.8573528991952526</c:v>
                      </c:pt>
                      <c:pt idx="25">
                        <c:v>3.8421990245280027</c:v>
                      </c:pt>
                      <c:pt idx="26">
                        <c:v>3.8276191373981381</c:v>
                      </c:pt>
                      <c:pt idx="27">
                        <c:v>3.81358707109103</c:v>
                      </c:pt>
                      <c:pt idx="28">
                        <c:v>3.8000781097981089</c:v>
                      </c:pt>
                      <c:pt idx="29">
                        <c:v>3.7870688881013264</c:v>
                      </c:pt>
                      <c:pt idx="30">
                        <c:v>3.7745372987119028</c:v>
                      </c:pt>
                      <c:pt idx="31">
                        <c:v>3.7624624076836999</c:v>
                      </c:pt>
                      <c:pt idx="32">
                        <c:v>3.7508243764045552</c:v>
                      </c:pt>
                      <c:pt idx="33">
                        <c:v>3.7396043897421221</c:v>
                      </c:pt>
                      <c:pt idx="34">
                        <c:v>3.7287845897853868</c:v>
                      </c:pt>
                      <c:pt idx="35">
                        <c:v>3.7183480146802435</c:v>
                      </c:pt>
                      <c:pt idx="36">
                        <c:v>3.708278542108268</c:v>
                      </c:pt>
                      <c:pt idx="37">
                        <c:v>3.6985608370027587</c:v>
                      </c:pt>
                      <c:pt idx="38">
                        <c:v>3.6891803031361894</c:v>
                      </c:pt>
                      <c:pt idx="39">
                        <c:v>3.6801230382488574</c:v>
                      </c:pt>
                      <c:pt idx="40">
                        <c:v>3.6713757924202692</c:v>
                      </c:pt>
                      <c:pt idx="41">
                        <c:v>3.6629259294131762</c:v>
                      </c:pt>
                      <c:pt idx="42">
                        <c:v>3.6547613907456324</c:v>
                      </c:pt>
                      <c:pt idx="43">
                        <c:v>3.6468706622690448</c:v>
                      </c:pt>
                      <c:pt idx="44">
                        <c:v>3.6392427430507182</c:v>
                      </c:pt>
                      <c:pt idx="45">
                        <c:v>3.6318671163775962</c:v>
                      </c:pt>
                      <c:pt idx="46">
                        <c:v>3.6247337227143834</c:v>
                      </c:pt>
                      <c:pt idx="47">
                        <c:v>3.6178329344640829</c:v>
                      </c:pt>
                      <c:pt idx="48">
                        <c:v>3.6111555323922691</c:v>
                      </c:pt>
                      <c:pt idx="49">
                        <c:v>3.6046926835885209</c:v>
                      </c:pt>
                      <c:pt idx="50">
                        <c:v>3.5984359208492958</c:v>
                      </c:pt>
                      <c:pt idx="51">
                        <c:v>3.592377123376346</c:v>
                      </c:pt>
                      <c:pt idx="52">
                        <c:v>3.5865084986937452</c:v>
                      </c:pt>
                      <c:pt idx="53">
                        <c:v>3.5808225656946187</c:v>
                      </c:pt>
                      <c:pt idx="54">
                        <c:v>3.5753121387360181</c:v>
                      </c:pt>
                      <c:pt idx="55">
                        <c:v>3.5699703127070399</c:v>
                      </c:pt>
                      <c:pt idx="56">
                        <c:v>3.5647904490013365</c:v>
                      </c:pt>
                      <c:pt idx="57">
                        <c:v>3.5597661623306651</c:v>
                      </c:pt>
                      <c:pt idx="58">
                        <c:v>3.5548913083211722</c:v>
                      </c:pt>
                      <c:pt idx="59">
                        <c:v>3.5501599718386072</c:v>
                      </c:pt>
                      <c:pt idx="60">
                        <c:v>3.5455664559929603</c:v>
                      </c:pt>
                      <c:pt idx="61">
                        <c:v>3.5411052717766962</c:v>
                      </c:pt>
                      <c:pt idx="62">
                        <c:v>3.5367711282943439</c:v>
                      </c:pt>
                      <c:pt idx="63">
                        <c:v>3.5325589235443431</c:v>
                      </c:pt>
                      <c:pt idx="64">
                        <c:v>3.5284637357169997</c:v>
                      </c:pt>
                      <c:pt idx="65">
                        <c:v>3.5244808149750515</c:v>
                      </c:pt>
                      <c:pt idx="66">
                        <c:v>3.5206055756858339</c:v>
                      </c:pt>
                      <c:pt idx="67">
                        <c:v>2.0097314033834048</c:v>
                      </c:pt>
                      <c:pt idx="68">
                        <c:v>2.0176913793388747</c:v>
                      </c:pt>
                      <c:pt idx="69">
                        <c:v>2.0256567998655735</c:v>
                      </c:pt>
                      <c:pt idx="70">
                        <c:v>2.0336273664764195</c:v>
                      </c:pt>
                      <c:pt idx="71">
                        <c:v>2.0416027947130155</c:v>
                      </c:pt>
                      <c:pt idx="72">
                        <c:v>2.0495828134317988</c:v>
                      </c:pt>
                      <c:pt idx="73">
                        <c:v>2.0575671641308166</c:v>
                      </c:pt>
                      <c:pt idx="74">
                        <c:v>2.0655556003145406</c:v>
                      </c:pt>
                      <c:pt idx="75">
                        <c:v>2.0735478868943193</c:v>
                      </c:pt>
                      <c:pt idx="76">
                        <c:v>2.0815437996222252</c:v>
                      </c:pt>
                      <c:pt idx="77">
                        <c:v>2.0895431245562288</c:v>
                      </c:pt>
                      <c:pt idx="78">
                        <c:v>2.0975456575547482</c:v>
                      </c:pt>
                      <c:pt idx="79">
                        <c:v>2.1055512037987887</c:v>
                      </c:pt>
                      <c:pt idx="80">
                        <c:v>2.1135595773399727</c:v>
                      </c:pt>
                      <c:pt idx="81">
                        <c:v>2.1215706006729147</c:v>
                      </c:pt>
                      <c:pt idx="82">
                        <c:v>2.1295841043304602</c:v>
                      </c:pt>
                      <c:pt idx="83">
                        <c:v>2.1375999265004357</c:v>
                      </c:pt>
                      <c:pt idx="84">
                        <c:v>2.1456179126626385</c:v>
                      </c:pt>
                      <c:pt idx="85">
                        <c:v>2.1536379152448601</c:v>
                      </c:pt>
                      <c:pt idx="86">
                        <c:v>2.1616597932968569</c:v>
                      </c:pt>
                      <c:pt idx="87">
                        <c:v>2.1696834121811985</c:v>
                      </c:pt>
                      <c:pt idx="88">
                        <c:v>2.1777086432800439</c:v>
                      </c:pt>
                      <c:pt idx="89">
                        <c:v>2.1857353637169163</c:v>
                      </c:pt>
                      <c:pt idx="90">
                        <c:v>2.1937634560926411</c:v>
                      </c:pt>
                      <c:pt idx="91">
                        <c:v>2.2017928082346283</c:v>
                      </c:pt>
                      <c:pt idx="92">
                        <c:v>2.2098233129587639</c:v>
                      </c:pt>
                      <c:pt idx="93">
                        <c:v>2.2178548678432</c:v>
                      </c:pt>
                      <c:pt idx="94">
                        <c:v>2.225887375013385</c:v>
                      </c:pt>
                      <c:pt idx="95">
                        <c:v>2.2339207409377186</c:v>
                      </c:pt>
                      <c:pt idx="96">
                        <c:v>2.2419548762332404</c:v>
                      </c:pt>
                      <c:pt idx="97">
                        <c:v>2.2499896954808198</c:v>
                      </c:pt>
                      <c:pt idx="98">
                        <c:v>2.2580251170493213</c:v>
                      </c:pt>
                      <c:pt idx="99">
                        <c:v>2.2660610629282694</c:v>
                      </c:pt>
                      <c:pt idx="100">
                        <c:v>2.2740974585685523</c:v>
                      </c:pt>
                      <c:pt idx="101">
                        <c:v>2.2821342327307486</c:v>
                      </c:pt>
                      <c:pt idx="102">
                        <c:v>2.290171317340663</c:v>
                      </c:pt>
                      <c:pt idx="103">
                        <c:v>2.2982086473516987</c:v>
                      </c:pt>
                      <c:pt idx="104">
                        <c:v>2.3062461606137075</c:v>
                      </c:pt>
                      <c:pt idx="105">
                        <c:v>2.3142837977479802</c:v>
                      </c:pt>
                      <c:pt idx="106">
                        <c:v>2.3223215020280672</c:v>
                      </c:pt>
                      <c:pt idx="107">
                        <c:v>2.3303592192661182</c:v>
                      </c:pt>
                      <c:pt idx="108">
                        <c:v>2.3383968977044716</c:v>
                      </c:pt>
                      <c:pt idx="109">
                        <c:v>2.3464344879122163</c:v>
                      </c:pt>
                      <c:pt idx="110">
                        <c:v>2.3544719426864864</c:v>
                      </c:pt>
                      <c:pt idx="111">
                        <c:v>2.3625092169582356</c:v>
                      </c:pt>
                      <c:pt idx="112">
                        <c:v>2.3705462677022897</c:v>
                      </c:pt>
                      <c:pt idx="113">
                        <c:v>2.3785830538514392</c:v>
                      </c:pt>
                      <c:pt idx="114">
                        <c:v>2.3866195362143894</c:v>
                      </c:pt>
                      <c:pt idx="115">
                        <c:v>2.3946556773973775</c:v>
                      </c:pt>
                      <c:pt idx="116">
                        <c:v>2.4026914417292695</c:v>
                      </c:pt>
                      <c:pt idx="117">
                        <c:v>2.4107267951899698</c:v>
                      </c:pt>
                      <c:pt idx="118">
                        <c:v>2.4187617053419932</c:v>
                      </c:pt>
                      <c:pt idx="119">
                        <c:v>2.4267961412650298</c:v>
                      </c:pt>
                      <c:pt idx="120">
                        <c:v>2.4348300734933725</c:v>
                      </c:pt>
                      <c:pt idx="121">
                        <c:v>2.4428634739560664</c:v>
                      </c:pt>
                      <c:pt idx="122">
                        <c:v>2.4508963159196511</c:v>
                      </c:pt>
                      <c:pt idx="123">
                        <c:v>2.4589285739333708</c:v>
                      </c:pt>
                      <c:pt idx="124">
                        <c:v>2.4669602237767467</c:v>
                      </c:pt>
                      <c:pt idx="125">
                        <c:v>2.4749912424093754</c:v>
                      </c:pt>
                      <c:pt idx="126">
                        <c:v>2.4830216079228902</c:v>
                      </c:pt>
                      <c:pt idx="127">
                        <c:v>2.4910512994949467</c:v>
                      </c:pt>
                      <c:pt idx="128">
                        <c:v>2.4990802973451567</c:v>
                      </c:pt>
                      <c:pt idx="129">
                        <c:v>2.5071085826928856</c:v>
                      </c:pt>
                      <c:pt idx="130">
                        <c:v>2.5151361377168162</c:v>
                      </c:pt>
                      <c:pt idx="131">
                        <c:v>2.523162945516205</c:v>
                      </c:pt>
                      <c:pt idx="132">
                        <c:v>2.5311889900737543</c:v>
                      </c:pt>
                      <c:pt idx="133">
                        <c:v>2.5392142562200242</c:v>
                      </c:pt>
                      <c:pt idx="134">
                        <c:v>2.5472387295993193</c:v>
                      </c:pt>
                      <c:pt idx="135">
                        <c:v>2.5552623966369832</c:v>
                      </c:pt>
                      <c:pt idx="136">
                        <c:v>2.5632852445080339</c:v>
                      </c:pt>
                      <c:pt idx="137">
                        <c:v>2.5713072611070849</c:v>
                      </c:pt>
                      <c:pt idx="138">
                        <c:v>2.5793284350194958</c:v>
                      </c:pt>
                      <c:pt idx="139">
                        <c:v>2.5873487554936965</c:v>
                      </c:pt>
                      <c:pt idx="140">
                        <c:v>2.5953682124146313</c:v>
                      </c:pt>
                      <c:pt idx="141">
                        <c:v>2.6033867962782824</c:v>
                      </c:pt>
                      <c:pt idx="142">
                        <c:v>2.61140449816721</c:v>
                      </c:pt>
                      <c:pt idx="143">
                        <c:v>2.6194213097270893</c:v>
                      </c:pt>
                      <c:pt idx="144">
                        <c:v>2.6274372231441747</c:v>
                      </c:pt>
                      <c:pt idx="145">
                        <c:v>2.6354522311236712</c:v>
                      </c:pt>
                      <c:pt idx="146">
                        <c:v>2.6434663268689671</c:v>
                      </c:pt>
                      <c:pt idx="147">
                        <c:v>2.6514795040616854</c:v>
                      </c:pt>
                      <c:pt idx="148">
                        <c:v>2.6594917568425327</c:v>
                      </c:pt>
                      <c:pt idx="149">
                        <c:v>2.6675030797929025</c:v>
                      </c:pt>
                      <c:pt idx="150">
                        <c:v>2.6755134679171979</c:v>
                      </c:pt>
                      <c:pt idx="151">
                        <c:v>2.6835229166258556</c:v>
                      </c:pt>
                      <c:pt idx="152">
                        <c:v>2.6915314217190329</c:v>
                      </c:pt>
                      <c:pt idx="153">
                        <c:v>2.6995389793709257</c:v>
                      </c:pt>
                      <c:pt idx="154">
                        <c:v>2.7075455861147137</c:v>
                      </c:pt>
                      <c:pt idx="155">
                        <c:v>2.7155512388280707</c:v>
                      </c:pt>
                      <c:pt idx="156">
                        <c:v>2.7235559347192528</c:v>
                      </c:pt>
                      <c:pt idx="157">
                        <c:v>2.7315596713137205</c:v>
                      </c:pt>
                      <c:pt idx="158">
                        <c:v>2.7395624464412727</c:v>
                      </c:pt>
                      <c:pt idx="159">
                        <c:v>2.747564258223683</c:v>
                      </c:pt>
                      <c:pt idx="160">
                        <c:v>2.7555651050628089</c:v>
                      </c:pt>
                      <c:pt idx="161">
                        <c:v>2.7635649856291553</c:v>
                      </c:pt>
                      <c:pt idx="162">
                        <c:v>2.7715638988508813</c:v>
                      </c:pt>
                      <c:pt idx="163">
                        <c:v>2.7795618439032195</c:v>
                      </c:pt>
                      <c:pt idx="164">
                        <c:v>2.7875588201983037</c:v>
                      </c:pt>
                      <c:pt idx="165">
                        <c:v>2.7955548273753879</c:v>
                      </c:pt>
                      <c:pt idx="166">
                        <c:v>2.8035498652914237</c:v>
                      </c:pt>
                      <c:pt idx="167">
                        <c:v>2.8115439340120147</c:v>
                      </c:pt>
                      <c:pt idx="168">
                        <c:v>2.8195370338026899</c:v>
                      </c:pt>
                      <c:pt idx="169">
                        <c:v>2.8275291651205312</c:v>
                      </c:pt>
                      <c:pt idx="170">
                        <c:v>2.8355203286060973</c:v>
                      </c:pt>
                      <c:pt idx="171">
                        <c:v>2.8435105250756632</c:v>
                      </c:pt>
                      <c:pt idx="172">
                        <c:v>2.8514997555137516</c:v>
                      </c:pt>
                      <c:pt idx="173">
                        <c:v>2.8594880210659341</c:v>
                      </c:pt>
                      <c:pt idx="174">
                        <c:v>2.8674753230319205</c:v>
                      </c:pt>
                      <c:pt idx="175">
                        <c:v>2.87546166285889</c:v>
                      </c:pt>
                      <c:pt idx="176">
                        <c:v>2.8834470421350815</c:v>
                      </c:pt>
                      <c:pt idx="177">
                        <c:v>2.8914314625836242</c:v>
                      </c:pt>
                      <c:pt idx="178">
                        <c:v>2.8994149260565911</c:v>
                      </c:pt>
                      <c:pt idx="179">
                        <c:v>2.9073974345292832</c:v>
                      </c:pt>
                      <c:pt idx="180">
                        <c:v>2.915378990094724</c:v>
                      </c:pt>
                      <c:pt idx="181">
                        <c:v>2.923359594958352</c:v>
                      </c:pt>
                      <c:pt idx="182">
                        <c:v>2.931339251432926</c:v>
                      </c:pt>
                      <c:pt idx="183">
                        <c:v>2.939317961933603</c:v>
                      </c:pt>
                      <c:pt idx="184">
                        <c:v>2.9472957289732111</c:v>
                      </c:pt>
                      <c:pt idx="185">
                        <c:v>2.9552725551576957</c:v>
                      </c:pt>
                      <c:pt idx="186">
                        <c:v>2.9632484431817256</c:v>
                      </c:pt>
                      <c:pt idx="187">
                        <c:v>2.9712233958244805</c:v>
                      </c:pt>
                      <c:pt idx="188">
                        <c:v>2.9791974159455745</c:v>
                      </c:pt>
                      <c:pt idx="189">
                        <c:v>2.9871705064811476</c:v>
                      </c:pt>
                      <c:pt idx="190">
                        <c:v>2.9951426704400896</c:v>
                      </c:pt>
                      <c:pt idx="191">
                        <c:v>3.0031139109004146</c:v>
                      </c:pt>
                      <c:pt idx="192">
                        <c:v>3.0110842310057597</c:v>
                      </c:pt>
                      <c:pt idx="193">
                        <c:v>3.0190536339620242</c:v>
                      </c:pt>
                      <c:pt idx="194">
                        <c:v>3.0270221230341234</c:v>
                      </c:pt>
                      <c:pt idx="195">
                        <c:v>3.0349897015428704</c:v>
                      </c:pt>
                      <c:pt idx="196">
                        <c:v>3.0429563728619708</c:v>
                      </c:pt>
                      <c:pt idx="197">
                        <c:v>3.0509221404151292</c:v>
                      </c:pt>
                      <c:pt idx="198">
                        <c:v>3.0588870076732602</c:v>
                      </c:pt>
                      <c:pt idx="199">
                        <c:v>3.0668509781518116</c:v>
                      </c:pt>
                      <c:pt idx="200">
                        <c:v>3.0748140554081753</c:v>
                      </c:pt>
                    </c:numCache>
                  </c:numRef>
                </c:val>
                <c:smooth val="0"/>
                <c:extLst>
                  <c:ext xmlns:c16="http://schemas.microsoft.com/office/drawing/2014/chart" uri="{C3380CC4-5D6E-409C-BE32-E72D297353CC}">
                    <c16:uniqueId val="{00000007-4FA9-47D5-BDEE-109A72C2DA33}"/>
                  </c:ext>
                </c:extLst>
              </c15:ser>
            </c15:filteredLineSeries>
          </c:ext>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70039908551876506"/>
          <c:y val="1.1892546194234431E-2"/>
          <c:w val="0.29960091448123499"/>
          <c:h val="0.19716826524226061"/>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7588-4C4D-931A-D1F28735AE62}"/>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Calculations'!$B$627</c:f>
              <c:numCache>
                <c:formatCode>0</c:formatCode>
                <c:ptCount val="1"/>
                <c:pt idx="0">
                  <c:v>39190.894171248787</c:v>
                </c:pt>
              </c:numCache>
            </c:numRef>
          </c:xVal>
          <c:yVal>
            <c:numRef>
              <c:f>'Stability Calculations'!$W$627</c:f>
              <c:numCache>
                <c:formatCode>0.00</c:formatCode>
                <c:ptCount val="1"/>
                <c:pt idx="0">
                  <c:v>-22.558406068052914</c:v>
                </c:pt>
              </c:numCache>
            </c:numRef>
          </c:yVal>
          <c:smooth val="0"/>
          <c:extLst>
            <c:ext xmlns:c16="http://schemas.microsoft.com/office/drawing/2014/chart" uri="{C3380CC4-5D6E-409C-BE32-E72D297353CC}">
              <c16:uniqueId val="{00000001-7588-4C4D-931A-D1F28735AE62}"/>
            </c:ext>
          </c:extLst>
        </c:ser>
        <c:ser>
          <c:idx val="11"/>
          <c:order val="9"/>
          <c:tx>
            <c:v>FzRHP</c:v>
          </c:tx>
          <c:spPr>
            <a:ln>
              <a:solidFill>
                <a:srgbClr val="FF00FF"/>
              </a:solidFill>
            </a:ln>
          </c:spPr>
          <c:marker>
            <c:symbol val="circle"/>
            <c:size val="8"/>
            <c:spPr>
              <a:noFill/>
              <a:ln w="19050">
                <a:solidFill>
                  <a:srgbClr val="FF00FF"/>
                </a:solidFill>
              </a:ln>
            </c:spPr>
          </c:marker>
          <c:dLbls>
            <c:dLbl>
              <c:idx val="0"/>
              <c:layout>
                <c:manualLayout>
                  <c:x val="-2.3423587921912771E-2"/>
                  <c:y val="2.9171863622686083E-2"/>
                </c:manualLayout>
              </c:layout>
              <c:tx>
                <c:rich>
                  <a:bodyPr/>
                  <a:lstStyle/>
                  <a:p>
                    <a:r>
                      <a:rPr lang="en-US"/>
                      <a:t>f</a:t>
                    </a:r>
                    <a:r>
                      <a:rPr lang="en-US" baseline="-25000"/>
                      <a:t>ZRHP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7588-4C4D-931A-D1F28735AE62}"/>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Calculations'!$B$628</c:f>
              <c:numCache>
                <c:formatCode>0</c:formatCode>
                <c:ptCount val="1"/>
                <c:pt idx="0">
                  <c:v>98816.159236725332</c:v>
                </c:pt>
              </c:numCache>
            </c:numRef>
          </c:xVal>
          <c:yVal>
            <c:numRef>
              <c:f>'Stability Calculations'!$D$637</c:f>
              <c:numCache>
                <c:formatCode>0.00</c:formatCode>
                <c:ptCount val="1"/>
                <c:pt idx="0">
                  <c:v>-35.24316478144808</c:v>
                </c:pt>
              </c:numCache>
            </c:numRef>
          </c:yVal>
          <c:smooth val="0"/>
          <c:extLst>
            <c:ext xmlns:c16="http://schemas.microsoft.com/office/drawing/2014/chart" uri="{C3380CC4-5D6E-409C-BE32-E72D297353CC}">
              <c16:uniqueId val="{00000003-7588-4C4D-931A-D1F28735AE62}"/>
            </c:ext>
          </c:extLst>
        </c:ser>
        <c:dLbls>
          <c:showLegendKey val="0"/>
          <c:showVal val="0"/>
          <c:showCatName val="0"/>
          <c:showSerName val="0"/>
          <c:showPercent val="0"/>
          <c:showBubbleSize val="0"/>
        </c:dLbls>
        <c:axId val="196130688"/>
        <c:axId val="196141056"/>
      </c:scatterChart>
      <c:scatterChart>
        <c:scatterStyle val="smoothMarker"/>
        <c:varyColors val="0"/>
        <c:ser>
          <c:idx val="2"/>
          <c:order val="0"/>
          <c:tx>
            <c:v>Loop Gain</c:v>
          </c:tx>
          <c:spPr>
            <a:ln w="31750">
              <a:solidFill>
                <a:srgbClr val="FF0000"/>
              </a:solidFill>
              <a:prstDash val="solid"/>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Calculations'!$W$13:$W$613</c:f>
              <c:numCache>
                <c:formatCode>0.00</c:formatCode>
                <c:ptCount val="601"/>
                <c:pt idx="0">
                  <c:v>75.408353385020291</c:v>
                </c:pt>
                <c:pt idx="1">
                  <c:v>74.663127197490724</c:v>
                </c:pt>
                <c:pt idx="2">
                  <c:v>73.90927446663585</c:v>
                </c:pt>
                <c:pt idx="3">
                  <c:v>73.148075145872326</c:v>
                </c:pt>
                <c:pt idx="4">
                  <c:v>72.381141197723423</c:v>
                </c:pt>
                <c:pt idx="5">
                  <c:v>71.608147184015223</c:v>
                </c:pt>
                <c:pt idx="6">
                  <c:v>70.831002358725087</c:v>
                </c:pt>
                <c:pt idx="7">
                  <c:v>70.049891265087652</c:v>
                </c:pt>
                <c:pt idx="8">
                  <c:v>69.265974451746402</c:v>
                </c:pt>
                <c:pt idx="9">
                  <c:v>68.479158480056697</c:v>
                </c:pt>
                <c:pt idx="10">
                  <c:v>67.690316782900084</c:v>
                </c:pt>
                <c:pt idx="11">
                  <c:v>66.899692755498407</c:v>
                </c:pt>
                <c:pt idx="12">
                  <c:v>66.107165322196863</c:v>
                </c:pt>
                <c:pt idx="13">
                  <c:v>65.313746022156266</c:v>
                </c:pt>
                <c:pt idx="14">
                  <c:v>64.519011457552423</c:v>
                </c:pt>
                <c:pt idx="15">
                  <c:v>63.7234422763349</c:v>
                </c:pt>
                <c:pt idx="16">
                  <c:v>62.927120933137537</c:v>
                </c:pt>
                <c:pt idx="17">
                  <c:v>62.130282961021486</c:v>
                </c:pt>
                <c:pt idx="18">
                  <c:v>61.332798619088187</c:v>
                </c:pt>
                <c:pt idx="19">
                  <c:v>60.534966524905052</c:v>
                </c:pt>
                <c:pt idx="20">
                  <c:v>59.736697407295615</c:v>
                </c:pt>
                <c:pt idx="21">
                  <c:v>58.93821166563481</c:v>
                </c:pt>
                <c:pt idx="22">
                  <c:v>58.139386147173376</c:v>
                </c:pt>
                <c:pt idx="23">
                  <c:v>57.340457491142089</c:v>
                </c:pt>
                <c:pt idx="24">
                  <c:v>56.541254360801545</c:v>
                </c:pt>
                <c:pt idx="25">
                  <c:v>55.741926621724033</c:v>
                </c:pt>
                <c:pt idx="26">
                  <c:v>54.942309367832024</c:v>
                </c:pt>
                <c:pt idx="27">
                  <c:v>54.142674490072494</c:v>
                </c:pt>
                <c:pt idx="28">
                  <c:v>53.343004921251207</c:v>
                </c:pt>
                <c:pt idx="29">
                  <c:v>52.543808719079038</c:v>
                </c:pt>
                <c:pt idx="30">
                  <c:v>51.743743365585289</c:v>
                </c:pt>
                <c:pt idx="31">
                  <c:v>50.943933755281172</c:v>
                </c:pt>
                <c:pt idx="32">
                  <c:v>50.14384266039287</c:v>
                </c:pt>
                <c:pt idx="33">
                  <c:v>49.34404399573944</c:v>
                </c:pt>
                <c:pt idx="34">
                  <c:v>48.543923388314852</c:v>
                </c:pt>
                <c:pt idx="35">
                  <c:v>47.743932185613119</c:v>
                </c:pt>
                <c:pt idx="36">
                  <c:v>46.943947561605967</c:v>
                </c:pt>
                <c:pt idx="37">
                  <c:v>46.143536743838432</c:v>
                </c:pt>
                <c:pt idx="38">
                  <c:v>45.343458234805965</c:v>
                </c:pt>
                <c:pt idx="39">
                  <c:v>44.543061598393095</c:v>
                </c:pt>
                <c:pt idx="40">
                  <c:v>43.742641049086444</c:v>
                </c:pt>
                <c:pt idx="41">
                  <c:v>42.942116073695395</c:v>
                </c:pt>
                <c:pt idx="42">
                  <c:v>42.141581518568017</c:v>
                </c:pt>
                <c:pt idx="43">
                  <c:v>41.340782138647938</c:v>
                </c:pt>
                <c:pt idx="44">
                  <c:v>40.539905719084082</c:v>
                </c:pt>
                <c:pt idx="45">
                  <c:v>39.738759632013476</c:v>
                </c:pt>
                <c:pt idx="46">
                  <c:v>38.937467776495915</c:v>
                </c:pt>
                <c:pt idx="47">
                  <c:v>38.135811754448568</c:v>
                </c:pt>
                <c:pt idx="48">
                  <c:v>37.333933626816552</c:v>
                </c:pt>
                <c:pt idx="49">
                  <c:v>36.531562260344863</c:v>
                </c:pt>
                <c:pt idx="50">
                  <c:v>35.728741988362216</c:v>
                </c:pt>
                <c:pt idx="51">
                  <c:v>34.925190662273216</c:v>
                </c:pt>
                <c:pt idx="52">
                  <c:v>34.121051099238549</c:v>
                </c:pt>
                <c:pt idx="53">
                  <c:v>33.316158098159093</c:v>
                </c:pt>
                <c:pt idx="54">
                  <c:v>32.510853682961027</c:v>
                </c:pt>
                <c:pt idx="55">
                  <c:v>31.70358725693459</c:v>
                </c:pt>
                <c:pt idx="56">
                  <c:v>30.895263141526293</c:v>
                </c:pt>
                <c:pt idx="57">
                  <c:v>30.085070595023666</c:v>
                </c:pt>
                <c:pt idx="58">
                  <c:v>29.273278820501908</c:v>
                </c:pt>
                <c:pt idx="59">
                  <c:v>28.458900900539085</c:v>
                </c:pt>
                <c:pt idx="60">
                  <c:v>27.641974353075756</c:v>
                </c:pt>
                <c:pt idx="61">
                  <c:v>26.821888945597866</c:v>
                </c:pt>
                <c:pt idx="62">
                  <c:v>25.997642269722334</c:v>
                </c:pt>
                <c:pt idx="63">
                  <c:v>25.169384095872232</c:v>
                </c:pt>
                <c:pt idx="64">
                  <c:v>24.335733958310477</c:v>
                </c:pt>
                <c:pt idx="65">
                  <c:v>23.496213909296845</c:v>
                </c:pt>
                <c:pt idx="66">
                  <c:v>22.649891319786882</c:v>
                </c:pt>
                <c:pt idx="67">
                  <c:v>21.795969234920921</c:v>
                </c:pt>
                <c:pt idx="68">
                  <c:v>20.933252857651503</c:v>
                </c:pt>
                <c:pt idx="69">
                  <c:v>20.061036766913926</c:v>
                </c:pt>
                <c:pt idx="70">
                  <c:v>19.178271624223232</c:v>
                </c:pt>
                <c:pt idx="71">
                  <c:v>18.284388252420392</c:v>
                </c:pt>
                <c:pt idx="72">
                  <c:v>17.37864901747151</c:v>
                </c:pt>
                <c:pt idx="73">
                  <c:v>16.461018644031725</c:v>
                </c:pt>
                <c:pt idx="74">
                  <c:v>15.531373731664267</c:v>
                </c:pt>
                <c:pt idx="75">
                  <c:v>14.590407601341081</c:v>
                </c:pt>
                <c:pt idx="76">
                  <c:v>13.638937804700667</c:v>
                </c:pt>
                <c:pt idx="77">
                  <c:v>12.678804540472932</c:v>
                </c:pt>
                <c:pt idx="78">
                  <c:v>11.71197510593888</c:v>
                </c:pt>
                <c:pt idx="79">
                  <c:v>10.741436325092696</c:v>
                </c:pt>
                <c:pt idx="80">
                  <c:v>9.7681776124910247</c:v>
                </c:pt>
                <c:pt idx="81">
                  <c:v>8.7962809447471919</c:v>
                </c:pt>
                <c:pt idx="82">
                  <c:v>7.8277309114680547</c:v>
                </c:pt>
                <c:pt idx="83">
                  <c:v>6.865615024731766</c:v>
                </c:pt>
                <c:pt idx="84">
                  <c:v>5.9112109024926411</c:v>
                </c:pt>
                <c:pt idx="85">
                  <c:v>4.9666063810476277</c:v>
                </c:pt>
                <c:pt idx="86">
                  <c:v>4.0326873865558932</c:v>
                </c:pt>
                <c:pt idx="87">
                  <c:v>3.1094803782610434</c:v>
                </c:pt>
                <c:pt idx="88">
                  <c:v>2.1979144823862478</c:v>
                </c:pt>
                <c:pt idx="89">
                  <c:v>1.2968949510550576</c:v>
                </c:pt>
                <c:pt idx="90">
                  <c:v>0.40607870808280921</c:v>
                </c:pt>
                <c:pt idx="91">
                  <c:v>-0.47555149901688587</c:v>
                </c:pt>
                <c:pt idx="92">
                  <c:v>-1.3489957881416881</c:v>
                </c:pt>
                <c:pt idx="93">
                  <c:v>-2.2157521016275843</c:v>
                </c:pt>
                <c:pt idx="94">
                  <c:v>-2.4314391801913855</c:v>
                </c:pt>
                <c:pt idx="95">
                  <c:v>-2.5398268705154692</c:v>
                </c:pt>
                <c:pt idx="96">
                  <c:v>-2.6468960285561365</c:v>
                </c:pt>
                <c:pt idx="97">
                  <c:v>-2.7551171958750835</c:v>
                </c:pt>
                <c:pt idx="98">
                  <c:v>-2.8620272006580425</c:v>
                </c:pt>
                <c:pt idx="99">
                  <c:v>-2.9701198075975555</c:v>
                </c:pt>
                <c:pt idx="100">
                  <c:v>-3.0769078762416031</c:v>
                </c:pt>
                <c:pt idx="101">
                  <c:v>-3.1848260663346477</c:v>
                </c:pt>
                <c:pt idx="102">
                  <c:v>-3.2914476046223982</c:v>
                </c:pt>
                <c:pt idx="103">
                  <c:v>-3.3993059553993117</c:v>
                </c:pt>
                <c:pt idx="104">
                  <c:v>-3.5058729684144252</c:v>
                </c:pt>
                <c:pt idx="105">
                  <c:v>-3.6136225509987407</c:v>
                </c:pt>
                <c:pt idx="106">
                  <c:v>-3.7200874423558652</c:v>
                </c:pt>
                <c:pt idx="107">
                  <c:v>-3.8276836071611839</c:v>
                </c:pt>
                <c:pt idx="108">
                  <c:v>-3.9340029387505249</c:v>
                </c:pt>
                <c:pt idx="109">
                  <c:v>-4.0414777821775107</c:v>
                </c:pt>
                <c:pt idx="110">
                  <c:v>-4.1476830408835337</c:v>
                </c:pt>
                <c:pt idx="111">
                  <c:v>-4.2551366392805212</c:v>
                </c:pt>
                <c:pt idx="112">
                  <c:v>-4.3613257115374617</c:v>
                </c:pt>
                <c:pt idx="113">
                  <c:v>-4.4687099859972301</c:v>
                </c:pt>
                <c:pt idx="114">
                  <c:v>-4.5748360825960086</c:v>
                </c:pt>
                <c:pt idx="115">
                  <c:v>-4.6821748533094318</c:v>
                </c:pt>
                <c:pt idx="116">
                  <c:v>-4.7882613997691088</c:v>
                </c:pt>
                <c:pt idx="117">
                  <c:v>-4.8955761211967532</c:v>
                </c:pt>
                <c:pt idx="118">
                  <c:v>-5.0016442387095239</c:v>
                </c:pt>
                <c:pt idx="119">
                  <c:v>-5.1088895417841425</c:v>
                </c:pt>
                <c:pt idx="120">
                  <c:v>-5.2148950693829317</c:v>
                </c:pt>
                <c:pt idx="121">
                  <c:v>-5.32209271127231</c:v>
                </c:pt>
                <c:pt idx="122">
                  <c:v>-5.4280570621673796</c:v>
                </c:pt>
                <c:pt idx="123">
                  <c:v>-5.5352884856901499</c:v>
                </c:pt>
                <c:pt idx="124">
                  <c:v>-5.6412914083796464</c:v>
                </c:pt>
                <c:pt idx="125">
                  <c:v>-5.748509917011063</c:v>
                </c:pt>
                <c:pt idx="126">
                  <c:v>-5.8545059523191796</c:v>
                </c:pt>
                <c:pt idx="127">
                  <c:v>-5.9617277957421857</c:v>
                </c:pt>
                <c:pt idx="128">
                  <c:v>-6.0677329947574865</c:v>
                </c:pt>
                <c:pt idx="129">
                  <c:v>-6.1749728678026923</c:v>
                </c:pt>
                <c:pt idx="130">
                  <c:v>-6.2810017680655168</c:v>
                </c:pt>
                <c:pt idx="131">
                  <c:v>-6.3882729559013374</c:v>
                </c:pt>
                <c:pt idx="132">
                  <c:v>-6.4414546226422855</c:v>
                </c:pt>
                <c:pt idx="133">
                  <c:v>-6.4943387228667371</c:v>
                </c:pt>
                <c:pt idx="134">
                  <c:v>-6.5481755765689886</c:v>
                </c:pt>
                <c:pt idx="135">
                  <c:v>-6.6017083267494128</c:v>
                </c:pt>
                <c:pt idx="136">
                  <c:v>-6.6549407999858161</c:v>
                </c:pt>
                <c:pt idx="137">
                  <c:v>-6.7078767523047986</c:v>
                </c:pt>
                <c:pt idx="138">
                  <c:v>-6.7617116994647937</c:v>
                </c:pt>
                <c:pt idx="139">
                  <c:v>-6.8152442362104217</c:v>
                </c:pt>
                <c:pt idx="140">
                  <c:v>-6.8684781622699695</c:v>
                </c:pt>
                <c:pt idx="141">
                  <c:v>-6.9214172074300295</c:v>
                </c:pt>
                <c:pt idx="142">
                  <c:v>-6.97530998805897</c:v>
                </c:pt>
                <c:pt idx="143">
                  <c:v>-7.0289014296406771</c:v>
                </c:pt>
                <c:pt idx="144">
                  <c:v>-7.0821953167846754</c:v>
                </c:pt>
                <c:pt idx="145">
                  <c:v>-7.1351953644813886</c:v>
                </c:pt>
                <c:pt idx="146">
                  <c:v>-7.1891227870779337</c:v>
                </c:pt>
                <c:pt idx="147">
                  <c:v>-7.2427502518002616</c:v>
                </c:pt>
                <c:pt idx="148">
                  <c:v>-7.2960815223686417</c:v>
                </c:pt>
                <c:pt idx="149">
                  <c:v>-7.3491202933476867</c:v>
                </c:pt>
                <c:pt idx="150">
                  <c:v>-7.4030864544009791</c:v>
                </c:pt>
                <c:pt idx="151">
                  <c:v>-7.4567540431819701</c:v>
                </c:pt>
                <c:pt idx="152">
                  <c:v>-7.5101268024891024</c:v>
                </c:pt>
                <c:pt idx="153">
                  <c:v>-7.5632084064283331</c:v>
                </c:pt>
                <c:pt idx="154">
                  <c:v>-7.6172418247129485</c:v>
                </c:pt>
                <c:pt idx="155">
                  <c:v>-7.6709777939218888</c:v>
                </c:pt>
                <c:pt idx="156">
                  <c:v>-7.7244200408961134</c:v>
                </c:pt>
                <c:pt idx="157">
                  <c:v>-7.7775722241246026</c:v>
                </c:pt>
                <c:pt idx="158">
                  <c:v>-7.8316747050468072</c:v>
                </c:pt>
                <c:pt idx="159">
                  <c:v>-7.8854808953104047</c:v>
                </c:pt>
                <c:pt idx="160">
                  <c:v>-7.938994505177992</c:v>
                </c:pt>
                <c:pt idx="161">
                  <c:v>-7.9922191769137809</c:v>
                </c:pt>
                <c:pt idx="162">
                  <c:v>-8.0463686092481588</c:v>
                </c:pt>
                <c:pt idx="163">
                  <c:v>-8.1002232047698683</c:v>
                </c:pt>
                <c:pt idx="164">
                  <c:v>-8.153786651666513</c:v>
                </c:pt>
                <c:pt idx="165">
                  <c:v>-8.2070625706120062</c:v>
                </c:pt>
                <c:pt idx="166">
                  <c:v>-8.2613083745874203</c:v>
                </c:pt>
                <c:pt idx="167">
                  <c:v>-8.3152603143303594</c:v>
                </c:pt>
                <c:pt idx="168">
                  <c:v>-8.3689220649792002</c:v>
                </c:pt>
                <c:pt idx="169">
                  <c:v>-8.4222972344203928</c:v>
                </c:pt>
                <c:pt idx="170">
                  <c:v>-8.4765256047423438</c:v>
                </c:pt>
                <c:pt idx="171">
                  <c:v>-8.5304623641595914</c:v>
                </c:pt>
                <c:pt idx="172">
                  <c:v>-8.5841111508451835</c:v>
                </c:pt>
                <c:pt idx="173">
                  <c:v>-8.6374755365593092</c:v>
                </c:pt>
                <c:pt idx="174">
                  <c:v>-8.6918936677596275</c:v>
                </c:pt>
                <c:pt idx="175">
                  <c:v>-8.7460202732882184</c:v>
                </c:pt>
                <c:pt idx="176">
                  <c:v>-8.7998589948280408</c:v>
                </c:pt>
                <c:pt idx="177">
                  <c:v>-8.8534134075008595</c:v>
                </c:pt>
                <c:pt idx="178">
                  <c:v>-8.9079935204569836</c:v>
                </c:pt>
                <c:pt idx="179">
                  <c:v>-8.9622825613550585</c:v>
                </c:pt>
                <c:pt idx="180">
                  <c:v>-9.0162841684961617</c:v>
                </c:pt>
                <c:pt idx="181">
                  <c:v>-9.0700019136341474</c:v>
                </c:pt>
                <c:pt idx="182">
                  <c:v>-9.1245052155013795</c:v>
                </c:pt>
                <c:pt idx="183">
                  <c:v>-9.1787204891012539</c:v>
                </c:pt>
                <c:pt idx="184">
                  <c:v>-9.2326513209672409</c:v>
                </c:pt>
                <c:pt idx="185">
                  <c:v>-9.2863012322689027</c:v>
                </c:pt>
                <c:pt idx="186">
                  <c:v>-9.3411349260371974</c:v>
                </c:pt>
                <c:pt idx="187">
                  <c:v>-9.3956793954553071</c:v>
                </c:pt>
                <c:pt idx="188">
                  <c:v>-9.4499382542992283</c:v>
                </c:pt>
                <c:pt idx="189">
                  <c:v>-9.5039150502409395</c:v>
                </c:pt>
                <c:pt idx="190">
                  <c:v>-9.5586353550990211</c:v>
                </c:pt>
                <c:pt idx="191">
                  <c:v>-9.6130699648358302</c:v>
                </c:pt>
                <c:pt idx="192">
                  <c:v>-9.6672224322674989</c:v>
                </c:pt>
                <c:pt idx="193">
                  <c:v>-9.7210962455001866</c:v>
                </c:pt>
                <c:pt idx="194">
                  <c:v>-9.7760963640213951</c:v>
                </c:pt>
                <c:pt idx="195">
                  <c:v>-9.8308102662501646</c:v>
                </c:pt>
                <c:pt idx="196">
                  <c:v>-9.8852415193668435</c:v>
                </c:pt>
                <c:pt idx="197">
                  <c:v>-9.9393936254020581</c:v>
                </c:pt>
                <c:pt idx="198">
                  <c:v>-9.994446738677615</c:v>
                </c:pt>
                <c:pt idx="199">
                  <c:v>-10.049215538362805</c:v>
                </c:pt>
                <c:pt idx="200">
                  <c:v>-10.103703560711788</c:v>
                </c:pt>
                <c:pt idx="201">
                  <c:v>-10.157914277480335</c:v>
                </c:pt>
                <c:pt idx="202">
                  <c:v>-10.213003913759191</c:v>
                </c:pt>
                <c:pt idx="203">
                  <c:v>-10.267811355273665</c:v>
                </c:pt>
                <c:pt idx="204">
                  <c:v>-10.322340103171195</c:v>
                </c:pt>
                <c:pt idx="205">
                  <c:v>-10.376593594845659</c:v>
                </c:pt>
                <c:pt idx="206">
                  <c:v>-10.431893053194234</c:v>
                </c:pt>
                <c:pt idx="207">
                  <c:v>-10.48691072143939</c:v>
                </c:pt>
                <c:pt idx="208">
                  <c:v>-10.541650097206013</c:v>
                </c:pt>
                <c:pt idx="209">
                  <c:v>-10.596114614337349</c:v>
                </c:pt>
                <c:pt idx="210">
                  <c:v>-10.651783541594991</c:v>
                </c:pt>
                <c:pt idx="211">
                  <c:v>-10.707169542427186</c:v>
                </c:pt>
                <c:pt idx="212">
                  <c:v>-10.762276139300543</c:v>
                </c:pt>
                <c:pt idx="213">
                  <c:v>-10.817106790173332</c:v>
                </c:pt>
                <c:pt idx="214">
                  <c:v>-10.872749679217533</c:v>
                </c:pt>
                <c:pt idx="215">
                  <c:v>-10.928112579120926</c:v>
                </c:pt>
                <c:pt idx="216">
                  <c:v>-10.983198961149705</c:v>
                </c:pt>
                <c:pt idx="217">
                  <c:v>-11.038012233174177</c:v>
                </c:pt>
                <c:pt idx="218">
                  <c:v>-11.093796284554418</c:v>
                </c:pt>
                <c:pt idx="219">
                  <c:v>-11.149301644195157</c:v>
                </c:pt>
                <c:pt idx="220">
                  <c:v>-11.204531762262281</c:v>
                </c:pt>
                <c:pt idx="221">
                  <c:v>-11.25949002589816</c:v>
                </c:pt>
                <c:pt idx="222">
                  <c:v>-11.315395923934432</c:v>
                </c:pt>
                <c:pt idx="223">
                  <c:v>-11.371024674960593</c:v>
                </c:pt>
                <c:pt idx="224">
                  <c:v>-11.426379703040521</c:v>
                </c:pt>
                <c:pt idx="225">
                  <c:v>-11.481464369699619</c:v>
                </c:pt>
                <c:pt idx="226">
                  <c:v>-11.53764476352098</c:v>
                </c:pt>
                <c:pt idx="227">
                  <c:v>-11.593548107243947</c:v>
                </c:pt>
                <c:pt idx="228">
                  <c:v>-11.649177825088605</c:v>
                </c:pt>
                <c:pt idx="229">
                  <c:v>-11.704537278574351</c:v>
                </c:pt>
                <c:pt idx="230">
                  <c:v>-11.817118309480881</c:v>
                </c:pt>
                <c:pt idx="231">
                  <c:v>-11.872997307719945</c:v>
                </c:pt>
                <c:pt idx="232">
                  <c:v>-11.928606455375911</c:v>
                </c:pt>
                <c:pt idx="233">
                  <c:v>-11.98525960455482</c:v>
                </c:pt>
                <c:pt idx="234">
                  <c:v>-12.041636859985365</c:v>
                </c:pt>
                <c:pt idx="235">
                  <c:v>-12.097741626617491</c:v>
                </c:pt>
                <c:pt idx="236">
                  <c:v>-12.153577246821856</c:v>
                </c:pt>
                <c:pt idx="237">
                  <c:v>-12.210271774793583</c:v>
                </c:pt>
                <c:pt idx="238">
                  <c:v>-12.266692960295302</c:v>
                </c:pt>
                <c:pt idx="239">
                  <c:v>-12.322844161292588</c:v>
                </c:pt>
                <c:pt idx="240">
                  <c:v>-12.378728674130478</c:v>
                </c:pt>
                <c:pt idx="241">
                  <c:v>-12.435768438526907</c:v>
                </c:pt>
                <c:pt idx="242">
                  <c:v>-12.492534533102154</c:v>
                </c:pt>
                <c:pt idx="243">
                  <c:v>-12.54903032103655</c:v>
                </c:pt>
                <c:pt idx="244">
                  <c:v>-12.605259103564821</c:v>
                </c:pt>
                <c:pt idx="245">
                  <c:v>-12.66246138047264</c:v>
                </c:pt>
                <c:pt idx="246">
                  <c:v>-12.719391469813557</c:v>
                </c:pt>
                <c:pt idx="247">
                  <c:v>-12.776052705900847</c:v>
                </c:pt>
                <c:pt idx="248">
                  <c:v>-12.832448361601298</c:v>
                </c:pt>
                <c:pt idx="249">
                  <c:v>-12.889947503439931</c:v>
                </c:pt>
                <c:pt idx="250">
                  <c:v>-12.947174713017999</c:v>
                </c:pt>
                <c:pt idx="251">
                  <c:v>-13.004133317359525</c:v>
                </c:pt>
                <c:pt idx="252">
                  <c:v>-13.060826582003685</c:v>
                </c:pt>
                <c:pt idx="253">
                  <c:v>-13.118449212494468</c:v>
                </c:pt>
                <c:pt idx="254">
                  <c:v>-13.175801845831314</c:v>
                </c:pt>
                <c:pt idx="255">
                  <c:v>-13.232887770082824</c:v>
                </c:pt>
                <c:pt idx="256">
                  <c:v>-13.289710212563932</c:v>
                </c:pt>
                <c:pt idx="257">
                  <c:v>-13.347734250127907</c:v>
                </c:pt>
                <c:pt idx="258">
                  <c:v>-13.405487668475807</c:v>
                </c:pt>
                <c:pt idx="259">
                  <c:v>-13.46297376226895</c:v>
                </c:pt>
                <c:pt idx="260">
                  <c:v>-13.520195765018169</c:v>
                </c:pt>
                <c:pt idx="261">
                  <c:v>-13.578448412823139</c:v>
                </c:pt>
                <c:pt idx="262">
                  <c:v>-13.63643148060746</c:v>
                </c:pt>
                <c:pt idx="263">
                  <c:v>-13.694148238206932</c:v>
                </c:pt>
                <c:pt idx="264">
                  <c:v>-13.75160189467606</c:v>
                </c:pt>
                <c:pt idx="265">
                  <c:v>-13.810063642191349</c:v>
                </c:pt>
                <c:pt idx="266">
                  <c:v>-13.868257058112881</c:v>
                </c:pt>
                <c:pt idx="267">
                  <c:v>-13.926185382498561</c:v>
                </c:pt>
                <c:pt idx="268">
                  <c:v>-13.983851795111104</c:v>
                </c:pt>
                <c:pt idx="269">
                  <c:v>-14.042642899065489</c:v>
                </c:pt>
                <c:pt idx="270">
                  <c:v>-14.101165848998383</c:v>
                </c:pt>
                <c:pt idx="271">
                  <c:v>-14.159423873248295</c:v>
                </c:pt>
                <c:pt idx="272">
                  <c:v>-14.21742013989256</c:v>
                </c:pt>
                <c:pt idx="273">
                  <c:v>-14.276516397379851</c:v>
                </c:pt>
                <c:pt idx="274">
                  <c:v>-14.335344934145864</c:v>
                </c:pt>
                <c:pt idx="275">
                  <c:v>-14.393908960787307</c:v>
                </c:pt>
                <c:pt idx="276">
                  <c:v>-14.452211627817979</c:v>
                </c:pt>
                <c:pt idx="277">
                  <c:v>-14.511457001101487</c:v>
                </c:pt>
                <c:pt idx="278">
                  <c:v>-14.570436510487173</c:v>
                </c:pt>
                <c:pt idx="279">
                  <c:v>-14.629153321985584</c:v>
                </c:pt>
                <c:pt idx="280">
                  <c:v>-14.687610542368159</c:v>
                </c:pt>
                <c:pt idx="281">
                  <c:v>-14.747384222167248</c:v>
                </c:pt>
                <c:pt idx="282">
                  <c:v>-14.80689051430889</c:v>
                </c:pt>
                <c:pt idx="283">
                  <c:v>-14.866132598946077</c:v>
                </c:pt>
                <c:pt idx="284">
                  <c:v>-14.925113596371142</c:v>
                </c:pt>
                <c:pt idx="285">
                  <c:v>-14.9849955398572</c:v>
                </c:pt>
                <c:pt idx="286">
                  <c:v>-15.044612335325052</c:v>
                </c:pt>
                <c:pt idx="287">
                  <c:v>-15.103967108644172</c:v>
                </c:pt>
                <c:pt idx="288">
                  <c:v>-15.163062926910605</c:v>
                </c:pt>
                <c:pt idx="289">
                  <c:v>-15.223421152045557</c:v>
                </c:pt>
                <c:pt idx="290">
                  <c:v>-15.283513209940022</c:v>
                </c:pt>
                <c:pt idx="291">
                  <c:v>-15.343342228141619</c:v>
                </c:pt>
                <c:pt idx="292">
                  <c:v>-15.402911275113544</c:v>
                </c:pt>
                <c:pt idx="293">
                  <c:v>-15.463591005077689</c:v>
                </c:pt>
                <c:pt idx="294">
                  <c:v>-15.524004924237691</c:v>
                </c:pt>
                <c:pt idx="295">
                  <c:v>-15.584156135814013</c:v>
                </c:pt>
                <c:pt idx="296">
                  <c:v>-15.644047684286104</c:v>
                </c:pt>
                <c:pt idx="297">
                  <c:v>-15.705026604354991</c:v>
                </c:pt>
                <c:pt idx="298">
                  <c:v>-15.765740255740042</c:v>
                </c:pt>
                <c:pt idx="299">
                  <c:v>-15.826191712397996</c:v>
                </c:pt>
                <c:pt idx="300">
                  <c:v>-15.886383990018722</c:v>
                </c:pt>
                <c:pt idx="301">
                  <c:v>-15.947641066190014</c:v>
                </c:pt>
                <c:pt idx="302">
                  <c:v>-16.008633577305847</c:v>
                </c:pt>
                <c:pt idx="303">
                  <c:v>-16.069364563612091</c:v>
                </c:pt>
                <c:pt idx="304">
                  <c:v>-16.129837007682987</c:v>
                </c:pt>
                <c:pt idx="305">
                  <c:v>-16.191588468048813</c:v>
                </c:pt>
                <c:pt idx="306">
                  <c:v>-16.25307418477216</c:v>
                </c:pt>
                <c:pt idx="307">
                  <c:v>-16.314297194867745</c:v>
                </c:pt>
                <c:pt idx="308">
                  <c:v>-16.375260477514971</c:v>
                </c:pt>
                <c:pt idx="309">
                  <c:v>-16.437243468806649</c:v>
                </c:pt>
                <c:pt idx="310">
                  <c:v>-16.498961770172645</c:v>
                </c:pt>
                <c:pt idx="311">
                  <c:v>-16.560418375419829</c:v>
                </c:pt>
                <c:pt idx="312">
                  <c:v>-16.621616221380176</c:v>
                </c:pt>
                <c:pt idx="313">
                  <c:v>-16.684041406122944</c:v>
                </c:pt>
                <c:pt idx="314">
                  <c:v>-16.74620111674562</c:v>
                </c:pt>
                <c:pt idx="315">
                  <c:v>-16.808098333214399</c:v>
                </c:pt>
                <c:pt idx="316">
                  <c:v>-16.869735978654305</c:v>
                </c:pt>
                <c:pt idx="317">
                  <c:v>-16.932575266223992</c:v>
                </c:pt>
                <c:pt idx="318">
                  <c:v>-16.995148499393242</c:v>
                </c:pt>
                <c:pt idx="319">
                  <c:v>-17.057458638862208</c:v>
                </c:pt>
                <c:pt idx="320">
                  <c:v>-17.119508588779691</c:v>
                </c:pt>
                <c:pt idx="321">
                  <c:v>-17.182735196167936</c:v>
                </c:pt>
                <c:pt idx="322">
                  <c:v>-17.24569534835134</c:v>
                </c:pt>
                <c:pt idx="323">
                  <c:v>-17.308391981883013</c:v>
                </c:pt>
                <c:pt idx="324">
                  <c:v>-17.370827977200694</c:v>
                </c:pt>
                <c:pt idx="325">
                  <c:v>-17.434416326079496</c:v>
                </c:pt>
                <c:pt idx="326">
                  <c:v>-17.497737975343757</c:v>
                </c:pt>
                <c:pt idx="327">
                  <c:v>-17.560795833063352</c:v>
                </c:pt>
                <c:pt idx="328">
                  <c:v>-17.623592751764637</c:v>
                </c:pt>
                <c:pt idx="329">
                  <c:v>-17.687625044335476</c:v>
                </c:pt>
                <c:pt idx="330">
                  <c:v>-17.751389639452352</c:v>
                </c:pt>
                <c:pt idx="331">
                  <c:v>-17.814889427217373</c:v>
                </c:pt>
                <c:pt idx="332">
                  <c:v>-17.878127242522879</c:v>
                </c:pt>
                <c:pt idx="333">
                  <c:v>-17.942469828144748</c:v>
                </c:pt>
                <c:pt idx="334">
                  <c:v>-18.006544759193513</c:v>
                </c:pt>
                <c:pt idx="335">
                  <c:v>-18.070354889387691</c:v>
                </c:pt>
                <c:pt idx="336">
                  <c:v>-18.133903018069141</c:v>
                </c:pt>
                <c:pt idx="337">
                  <c:v>-18.198739857357005</c:v>
                </c:pt>
                <c:pt idx="338">
                  <c:v>-18.263307473882683</c:v>
                </c:pt>
                <c:pt idx="339">
                  <c:v>-18.327608709110287</c:v>
                </c:pt>
                <c:pt idx="340">
                  <c:v>-18.391646350384367</c:v>
                </c:pt>
                <c:pt idx="341">
                  <c:v>-18.456945719917591</c:v>
                </c:pt>
                <c:pt idx="342">
                  <c:v>-18.521974478967142</c:v>
                </c:pt>
                <c:pt idx="343">
                  <c:v>-18.586735452140196</c:v>
                </c:pt>
                <c:pt idx="344">
                  <c:v>-18.651231410337367</c:v>
                </c:pt>
                <c:pt idx="345">
                  <c:v>-18.716862903991501</c:v>
                </c:pt>
                <c:pt idx="346">
                  <c:v>-18.782223381853903</c:v>
                </c:pt>
                <c:pt idx="347">
                  <c:v>-18.847315634994871</c:v>
                </c:pt>
                <c:pt idx="348">
                  <c:v>-18.912142401654027</c:v>
                </c:pt>
                <c:pt idx="349">
                  <c:v>-18.978277838765361</c:v>
                </c:pt>
                <c:pt idx="350">
                  <c:v>-19.04414033366956</c:v>
                </c:pt>
                <c:pt idx="351">
                  <c:v>-19.109732666095947</c:v>
                </c:pt>
                <c:pt idx="352">
                  <c:v>-19.175057563305231</c:v>
                </c:pt>
                <c:pt idx="353">
                  <c:v>-19.241663547089235</c:v>
                </c:pt>
                <c:pt idx="354">
                  <c:v>-19.30799483168531</c:v>
                </c:pt>
                <c:pt idx="355">
                  <c:v>-19.374054181534973</c:v>
                </c:pt>
                <c:pt idx="356">
                  <c:v>-19.439844309121664</c:v>
                </c:pt>
                <c:pt idx="357">
                  <c:v>-19.506793492977931</c:v>
                </c:pt>
                <c:pt idx="358">
                  <c:v>-19.573467152858044</c:v>
                </c:pt>
                <c:pt idx="359">
                  <c:v>-19.639868022980348</c:v>
                </c:pt>
                <c:pt idx="360">
                  <c:v>-19.705998786538267</c:v>
                </c:pt>
                <c:pt idx="361">
                  <c:v>-19.773451497627303</c:v>
                </c:pt>
                <c:pt idx="362">
                  <c:v>-19.840626419446949</c:v>
                </c:pt>
                <c:pt idx="363">
                  <c:v>-19.907526276635192</c:v>
                </c:pt>
                <c:pt idx="364">
                  <c:v>-19.974153743278308</c:v>
                </c:pt>
                <c:pt idx="365">
                  <c:v>-20.041983015608306</c:v>
                </c:pt>
                <c:pt idx="366">
                  <c:v>-20.109533151198416</c:v>
                </c:pt>
                <c:pt idx="367">
                  <c:v>-20.176806850994424</c:v>
                </c:pt>
                <c:pt idx="368">
                  <c:v>-20.243806766266111</c:v>
                </c:pt>
                <c:pt idx="369">
                  <c:v>-20.312164077144587</c:v>
                </c:pt>
                <c:pt idx="370">
                  <c:v>-20.380239526946788</c:v>
                </c:pt>
                <c:pt idx="371">
                  <c:v>-20.448035812411945</c:v>
                </c:pt>
                <c:pt idx="372">
                  <c:v>-20.515555581059346</c:v>
                </c:pt>
                <c:pt idx="373">
                  <c:v>-20.584314448002239</c:v>
                </c:pt>
                <c:pt idx="374">
                  <c:v>-20.652789635527448</c:v>
                </c:pt>
                <c:pt idx="375">
                  <c:v>-20.720983822891927</c:v>
                </c:pt>
                <c:pt idx="376">
                  <c:v>-20.788899640969284</c:v>
                </c:pt>
                <c:pt idx="377">
                  <c:v>-20.858203088350322</c:v>
                </c:pt>
                <c:pt idx="378">
                  <c:v>-20.927219719543459</c:v>
                </c:pt>
                <c:pt idx="379">
                  <c:v>-20.995952214879786</c:v>
                </c:pt>
                <c:pt idx="380">
                  <c:v>-21.064403206757913</c:v>
                </c:pt>
                <c:pt idx="381">
                  <c:v>-21.134039228208991</c:v>
                </c:pt>
                <c:pt idx="382">
                  <c:v>-21.203386905865742</c:v>
                </c:pt>
                <c:pt idx="383">
                  <c:v>-21.27244889887659</c:v>
                </c:pt>
                <c:pt idx="384">
                  <c:v>-21.341227819494499</c:v>
                </c:pt>
                <c:pt idx="385">
                  <c:v>-21.411420300283346</c:v>
                </c:pt>
                <c:pt idx="386">
                  <c:v>-21.481320912913638</c:v>
                </c:pt>
                <c:pt idx="387">
                  <c:v>-21.550932323415289</c:v>
                </c:pt>
                <c:pt idx="388">
                  <c:v>-21.620257151358857</c:v>
                </c:pt>
                <c:pt idx="389">
                  <c:v>-21.690880839475884</c:v>
                </c:pt>
                <c:pt idx="390">
                  <c:v>-21.761210027537178</c:v>
                </c:pt>
                <c:pt idx="391">
                  <c:v>-21.831247376805834</c:v>
                </c:pt>
                <c:pt idx="392">
                  <c:v>-21.900995502851526</c:v>
                </c:pt>
                <c:pt idx="393">
                  <c:v>-21.972013714667256</c:v>
                </c:pt>
                <c:pt idx="394">
                  <c:v>-22.042734955388653</c:v>
                </c:pt>
                <c:pt idx="395">
                  <c:v>-22.11316188036928</c:v>
                </c:pt>
                <c:pt idx="396">
                  <c:v>-22.183297100112938</c:v>
                </c:pt>
                <c:pt idx="397">
                  <c:v>-22.254835292953366</c:v>
                </c:pt>
                <c:pt idx="398">
                  <c:v>-22.326072849840074</c:v>
                </c:pt>
                <c:pt idx="399">
                  <c:v>-22.397012437358029</c:v>
                </c:pt>
                <c:pt idx="400">
                  <c:v>-22.467656677754224</c:v>
                </c:pt>
                <c:pt idx="401">
                  <c:v>-22.539592860311473</c:v>
                </c:pt>
                <c:pt idx="402">
                  <c:v>-22.611225620228762</c:v>
                </c:pt>
                <c:pt idx="403">
                  <c:v>-22.682557625041696</c:v>
                </c:pt>
                <c:pt idx="404">
                  <c:v>-22.753591498737407</c:v>
                </c:pt>
                <c:pt idx="405">
                  <c:v>-22.825965968689637</c:v>
                </c:pt>
                <c:pt idx="406">
                  <c:v>-22.898033749746084</c:v>
                </c:pt>
                <c:pt idx="407">
                  <c:v>-22.969797518416073</c:v>
                </c:pt>
                <c:pt idx="408">
                  <c:v>-23.041259908318843</c:v>
                </c:pt>
                <c:pt idx="409">
                  <c:v>-23.114108790772608</c:v>
                </c:pt>
                <c:pt idx="410">
                  <c:v>-23.186647272607903</c:v>
                </c:pt>
                <c:pt idx="411">
                  <c:v>-23.258878046983039</c:v>
                </c:pt>
                <c:pt idx="412">
                  <c:v>-23.330803764703603</c:v>
                </c:pt>
                <c:pt idx="413">
                  <c:v>-23.404083860918764</c:v>
                </c:pt>
                <c:pt idx="414">
                  <c:v>-23.477050076256173</c:v>
                </c:pt>
                <c:pt idx="415">
                  <c:v>-23.549705119598819</c:v>
                </c:pt>
                <c:pt idx="416">
                  <c:v>-23.622051658071573</c:v>
                </c:pt>
                <c:pt idx="417">
                  <c:v>-23.695795052290531</c:v>
                </c:pt>
                <c:pt idx="418">
                  <c:v>-23.769220680206114</c:v>
                </c:pt>
                <c:pt idx="419">
                  <c:v>-23.842331273972807</c:v>
                </c:pt>
                <c:pt idx="420">
                  <c:v>-23.915129524459168</c:v>
                </c:pt>
                <c:pt idx="421">
                  <c:v>-23.989218973775909</c:v>
                </c:pt>
                <c:pt idx="422">
                  <c:v>-24.062987658123298</c:v>
                </c:pt>
                <c:pt idx="423">
                  <c:v>-24.136438324074504</c:v>
                </c:pt>
                <c:pt idx="424">
                  <c:v>-24.209573677589155</c:v>
                </c:pt>
                <c:pt idx="425">
                  <c:v>-24.284184363628313</c:v>
                </c:pt>
                <c:pt idx="426">
                  <c:v>-24.358469654106241</c:v>
                </c:pt>
                <c:pt idx="427">
                  <c:v>-24.432432333673674</c:v>
                </c:pt>
                <c:pt idx="428">
                  <c:v>-24.506075146594153</c:v>
                </c:pt>
                <c:pt idx="429">
                  <c:v>-24.581087583631529</c:v>
                </c:pt>
                <c:pt idx="430">
                  <c:v>-24.655770920752964</c:v>
                </c:pt>
                <c:pt idx="431">
                  <c:v>-24.73012797170999</c:v>
                </c:pt>
                <c:pt idx="432">
                  <c:v>-24.804161510282675</c:v>
                </c:pt>
                <c:pt idx="433">
                  <c:v>-24.87953172908318</c:v>
                </c:pt>
                <c:pt idx="434">
                  <c:v>-24.954569432445112</c:v>
                </c:pt>
                <c:pt idx="435">
                  <c:v>-25.029277462611532</c:v>
                </c:pt>
                <c:pt idx="436">
                  <c:v>-25.10365862228301</c:v>
                </c:pt>
                <c:pt idx="437">
                  <c:v>-25.179479857372229</c:v>
                </c:pt>
                <c:pt idx="438">
                  <c:v>-25.254964251010598</c:v>
                </c:pt>
                <c:pt idx="439">
                  <c:v>-25.33011468881508</c:v>
                </c:pt>
                <c:pt idx="440">
                  <c:v>-25.404934017011431</c:v>
                </c:pt>
                <c:pt idx="441">
                  <c:v>-25.481158159229643</c:v>
                </c:pt>
                <c:pt idx="442">
                  <c:v>-25.557041478136707</c:v>
                </c:pt>
                <c:pt idx="443">
                  <c:v>-25.632586901678636</c:v>
                </c:pt>
                <c:pt idx="444">
                  <c:v>-25.707797318573768</c:v>
                </c:pt>
                <c:pt idx="445">
                  <c:v>-25.784377983833707</c:v>
                </c:pt>
                <c:pt idx="446">
                  <c:v>-25.860614191785029</c:v>
                </c:pt>
                <c:pt idx="447">
                  <c:v>-25.93650891169532</c:v>
                </c:pt>
                <c:pt idx="448">
                  <c:v>-26.012065073768422</c:v>
                </c:pt>
                <c:pt idx="449">
                  <c:v>-26.089086246577811</c:v>
                </c:pt>
                <c:pt idx="450">
                  <c:v>-26.165758517549719</c:v>
                </c:pt>
                <c:pt idx="451">
                  <c:v>-26.242084911320745</c:v>
                </c:pt>
                <c:pt idx="452">
                  <c:v>-26.318068413359278</c:v>
                </c:pt>
                <c:pt idx="453">
                  <c:v>-26.395417167725927</c:v>
                </c:pt>
                <c:pt idx="454">
                  <c:v>-26.472413553344701</c:v>
                </c:pt>
                <c:pt idx="455">
                  <c:v>-26.549060641193172</c:v>
                </c:pt>
                <c:pt idx="456">
                  <c:v>-26.625361463101726</c:v>
                </c:pt>
                <c:pt idx="457">
                  <c:v>-26.703117460277998</c:v>
                </c:pt>
                <c:pt idx="458">
                  <c:v>-26.780516869860143</c:v>
                </c:pt>
                <c:pt idx="459">
                  <c:v>-26.857562822681018</c:v>
                </c:pt>
                <c:pt idx="460">
                  <c:v>-26.934258410180391</c:v>
                </c:pt>
                <c:pt idx="461">
                  <c:v>-27.012372454595962</c:v>
                </c:pt>
                <c:pt idx="462">
                  <c:v>-27.090126126624909</c:v>
                </c:pt>
                <c:pt idx="463">
                  <c:v>-27.167522615031285</c:v>
                </c:pt>
                <c:pt idx="464">
                  <c:v>-27.244565068929788</c:v>
                </c:pt>
                <c:pt idx="465">
                  <c:v>-27.323049872480055</c:v>
                </c:pt>
                <c:pt idx="466">
                  <c:v>-27.401170402203398</c:v>
                </c:pt>
                <c:pt idx="467">
                  <c:v>-27.478929910121757</c:v>
                </c:pt>
                <c:pt idx="468">
                  <c:v>-27.556331608213664</c:v>
                </c:pt>
                <c:pt idx="469">
                  <c:v>-27.635138976832412</c:v>
                </c:pt>
                <c:pt idx="470">
                  <c:v>-27.713578633414006</c:v>
                </c:pt>
                <c:pt idx="471">
                  <c:v>-27.791653890804593</c:v>
                </c:pt>
                <c:pt idx="472">
                  <c:v>-27.869368021396657</c:v>
                </c:pt>
                <c:pt idx="473">
                  <c:v>-27.948567222034018</c:v>
                </c:pt>
                <c:pt idx="474">
                  <c:v>-28.027394658539166</c:v>
                </c:pt>
                <c:pt idx="475">
                  <c:v>-28.105853716640542</c:v>
                </c:pt>
                <c:pt idx="476">
                  <c:v>-28.183947740945694</c:v>
                </c:pt>
                <c:pt idx="477">
                  <c:v>-28.263488743392227</c:v>
                </c:pt>
                <c:pt idx="478">
                  <c:v>-28.342654443677013</c:v>
                </c:pt>
                <c:pt idx="479">
                  <c:v>-28.421448297196044</c:v>
                </c:pt>
                <c:pt idx="480">
                  <c:v>-28.499873717543196</c:v>
                </c:pt>
                <c:pt idx="481">
                  <c:v>-28.579709001986764</c:v>
                </c:pt>
                <c:pt idx="482">
                  <c:v>-28.659165959945668</c:v>
                </c:pt>
                <c:pt idx="483">
                  <c:v>-28.738248113006865</c:v>
                </c:pt>
                <c:pt idx="484">
                  <c:v>-28.816958940258253</c:v>
                </c:pt>
                <c:pt idx="485">
                  <c:v>-28.897097941788338</c:v>
                </c:pt>
                <c:pt idx="486">
                  <c:v>-28.976855587304648</c:v>
                </c:pt>
                <c:pt idx="487">
                  <c:v>-29.056235468122438</c:v>
                </c:pt>
                <c:pt idx="488">
                  <c:v>-29.135241132228273</c:v>
                </c:pt>
                <c:pt idx="489">
                  <c:v>-29.215745127455289</c:v>
                </c:pt>
                <c:pt idx="490">
                  <c:v>-29.295864252380881</c:v>
                </c:pt>
                <c:pt idx="491">
                  <c:v>-29.375602178377918</c:v>
                </c:pt>
                <c:pt idx="492">
                  <c:v>-29.454962532415344</c:v>
                </c:pt>
                <c:pt idx="493">
                  <c:v>-29.53578258701619</c:v>
                </c:pt>
                <c:pt idx="494">
                  <c:v>-29.616214836715542</c:v>
                </c:pt>
                <c:pt idx="495">
                  <c:v>-29.696263028091355</c:v>
                </c:pt>
                <c:pt idx="496">
                  <c:v>-29.775930862237008</c:v>
                </c:pt>
                <c:pt idx="497">
                  <c:v>-29.85707227919541</c:v>
                </c:pt>
                <c:pt idx="498">
                  <c:v>-29.937823036845458</c:v>
                </c:pt>
                <c:pt idx="499">
                  <c:v>-30.018186959020245</c:v>
                </c:pt>
                <c:pt idx="500">
                  <c:v>-30.098167822867957</c:v>
                </c:pt>
                <c:pt idx="501">
                  <c:v>-30.179634833682549</c:v>
                </c:pt>
                <c:pt idx="502">
                  <c:v>-30.260708436904661</c:v>
                </c:pt>
                <c:pt idx="503">
                  <c:v>-30.341392535146909</c:v>
                </c:pt>
                <c:pt idx="504">
                  <c:v>-30.42169098302201</c:v>
                </c:pt>
                <c:pt idx="505">
                  <c:v>-30.503437449123517</c:v>
                </c:pt>
                <c:pt idx="506">
                  <c:v>-30.584788367388359</c:v>
                </c:pt>
                <c:pt idx="507">
                  <c:v>-30.665747713001853</c:v>
                </c:pt>
                <c:pt idx="508">
                  <c:v>-30.74631941184451</c:v>
                </c:pt>
                <c:pt idx="509">
                  <c:v>-30.82835072029253</c:v>
                </c:pt>
                <c:pt idx="510">
                  <c:v>-30.9099844678395</c:v>
                </c:pt>
                <c:pt idx="511">
                  <c:v>-30.991224702854304</c:v>
                </c:pt>
                <c:pt idx="512">
                  <c:v>-31.072075422993301</c:v>
                </c:pt>
                <c:pt idx="513">
                  <c:v>-31.154443816021541</c:v>
                </c:pt>
                <c:pt idx="514">
                  <c:v>-31.236412322662083</c:v>
                </c:pt>
                <c:pt idx="515">
                  <c:v>-31.317985071647648</c:v>
                </c:pt>
                <c:pt idx="516">
                  <c:v>-31.399166139375211</c:v>
                </c:pt>
                <c:pt idx="517">
                  <c:v>-31.48182629000242</c:v>
                </c:pt>
                <c:pt idx="518">
                  <c:v>-31.56408487469205</c:v>
                </c:pt>
                <c:pt idx="519">
                  <c:v>-31.645946094755498</c:v>
                </c:pt>
                <c:pt idx="520">
                  <c:v>-31.727414097578976</c:v>
                </c:pt>
                <c:pt idx="521">
                  <c:v>-31.810369677679478</c:v>
                </c:pt>
                <c:pt idx="522">
                  <c:v>-31.892922196609319</c:v>
                </c:pt>
                <c:pt idx="523">
                  <c:v>-31.975075927189756</c:v>
                </c:pt>
                <c:pt idx="524">
                  <c:v>-32.056835086648761</c:v>
                </c:pt>
                <c:pt idx="525">
                  <c:v>-32.140089433826525</c:v>
                </c:pt>
                <c:pt idx="526">
                  <c:v>-32.222939423916991</c:v>
                </c:pt>
                <c:pt idx="527">
                  <c:v>-32.305389399618804</c:v>
                </c:pt>
                <c:pt idx="528">
                  <c:v>-32.387443646299928</c:v>
                </c:pt>
                <c:pt idx="529">
                  <c:v>-32.470999877903338</c:v>
                </c:pt>
                <c:pt idx="530">
                  <c:v>-32.554150668610966</c:v>
                </c:pt>
                <c:pt idx="531">
                  <c:v>-32.636900428805411</c:v>
                </c:pt>
                <c:pt idx="532">
                  <c:v>-32.719253509741982</c:v>
                </c:pt>
                <c:pt idx="533">
                  <c:v>-32.803157817084582</c:v>
                </c:pt>
                <c:pt idx="534">
                  <c:v>-32.886655405015972</c:v>
                </c:pt>
                <c:pt idx="535">
                  <c:v>-32.969750755742055</c:v>
                </c:pt>
                <c:pt idx="536">
                  <c:v>-33.05244829037121</c:v>
                </c:pt>
                <c:pt idx="537">
                  <c:v>-33.136616452624324</c:v>
                </c:pt>
                <c:pt idx="538">
                  <c:v>-33.220377691466275</c:v>
                </c:pt>
                <c:pt idx="539">
                  <c:v>-33.30373654373134</c:v>
                </c:pt>
                <c:pt idx="540">
                  <c:v>-33.386697483401115</c:v>
                </c:pt>
                <c:pt idx="541">
                  <c:v>-33.471218138479777</c:v>
                </c:pt>
                <c:pt idx="542">
                  <c:v>-33.555331076345908</c:v>
                </c:pt>
                <c:pt idx="543">
                  <c:v>-33.639040898406499</c:v>
                </c:pt>
                <c:pt idx="544">
                  <c:v>-33.722352141181794</c:v>
                </c:pt>
                <c:pt idx="545">
                  <c:v>-33.807185344878562</c:v>
                </c:pt>
                <c:pt idx="546">
                  <c:v>-33.891610694481301</c:v>
                </c:pt>
                <c:pt idx="547">
                  <c:v>-33.975632844678657</c:v>
                </c:pt>
                <c:pt idx="548">
                  <c:v>-34.059256383354224</c:v>
                </c:pt>
                <c:pt idx="549">
                  <c:v>-34.14440558734772</c:v>
                </c:pt>
                <c:pt idx="550">
                  <c:v>-34.229147040172663</c:v>
                </c:pt>
                <c:pt idx="551">
                  <c:v>-34.313485444972564</c:v>
                </c:pt>
                <c:pt idx="552">
                  <c:v>-34.39742543616849</c:v>
                </c:pt>
                <c:pt idx="553">
                  <c:v>-34.482933589586722</c:v>
                </c:pt>
                <c:pt idx="554">
                  <c:v>-34.568033959681564</c:v>
                </c:pt>
                <c:pt idx="555">
                  <c:v>-34.652731299273455</c:v>
                </c:pt>
                <c:pt idx="556">
                  <c:v>-34.737030290428606</c:v>
                </c:pt>
                <c:pt idx="557">
                  <c:v>-34.90836054244879</c:v>
                </c:pt>
                <c:pt idx="558">
                  <c:v>-35.078079684008962</c:v>
                </c:pt>
                <c:pt idx="559">
                  <c:v>-35.250061185007084</c:v>
                </c:pt>
                <c:pt idx="560">
                  <c:v>-35.420435036420251</c:v>
                </c:pt>
                <c:pt idx="561">
                  <c:v>-35.593225219944159</c:v>
                </c:pt>
                <c:pt idx="562">
                  <c:v>-35.764409329388876</c:v>
                </c:pt>
                <c:pt idx="563">
                  <c:v>-35.93764828409963</c:v>
                </c:pt>
                <c:pt idx="564">
                  <c:v>-36.109290366046885</c:v>
                </c:pt>
                <c:pt idx="565">
                  <c:v>-36.28364154285277</c:v>
                </c:pt>
                <c:pt idx="566">
                  <c:v>-36.456393838605294</c:v>
                </c:pt>
                <c:pt idx="567">
                  <c:v>-36.63177586926659</c:v>
                </c:pt>
                <c:pt idx="568">
                  <c:v>-36.8055595163001</c:v>
                </c:pt>
                <c:pt idx="569">
                  <c:v>-36.981212155211175</c:v>
                </c:pt>
                <c:pt idx="570">
                  <c:v>-37.15528148703229</c:v>
                </c:pt>
                <c:pt idx="571">
                  <c:v>-37.332520254935858</c:v>
                </c:pt>
                <c:pt idx="572">
                  <c:v>-37.50816797873091</c:v>
                </c:pt>
                <c:pt idx="573">
                  <c:v>-37.685570907968781</c:v>
                </c:pt>
                <c:pt idx="574">
                  <c:v>-37.861401149263173</c:v>
                </c:pt>
                <c:pt idx="575">
                  <c:v>-38.040246078633068</c:v>
                </c:pt>
                <c:pt idx="576">
                  <c:v>-38.217514687987808</c:v>
                </c:pt>
                <c:pt idx="577">
                  <c:v>-38.951389690696075</c:v>
                </c:pt>
                <c:pt idx="578">
                  <c:v>-39.660320574360462</c:v>
                </c:pt>
                <c:pt idx="579">
                  <c:v>-41.137330354865668</c:v>
                </c:pt>
                <c:pt idx="580">
                  <c:v>-42.655253079088268</c:v>
                </c:pt>
                <c:pt idx="581">
                  <c:v>-44.215652137873889</c:v>
                </c:pt>
                <c:pt idx="582">
                  <c:v>-45.822248035038335</c:v>
                </c:pt>
                <c:pt idx="583">
                  <c:v>-47.475210792382597</c:v>
                </c:pt>
                <c:pt idx="584">
                  <c:v>-49.175550616783454</c:v>
                </c:pt>
                <c:pt idx="585">
                  <c:v>-50.920388422375794</c:v>
                </c:pt>
                <c:pt idx="586">
                  <c:v>-52.70643713896655</c:v>
                </c:pt>
                <c:pt idx="587">
                  <c:v>-54.529745090143948</c:v>
                </c:pt>
                <c:pt idx="588">
                  <c:v>-56.382544527376368</c:v>
                </c:pt>
                <c:pt idx="589">
                  <c:v>-58.259555599175492</c:v>
                </c:pt>
                <c:pt idx="590">
                  <c:v>-60.152958998989931</c:v>
                </c:pt>
                <c:pt idx="591">
                  <c:v>-62.055805634603843</c:v>
                </c:pt>
                <c:pt idx="592">
                  <c:v>-63.961052149990621</c:v>
                </c:pt>
                <c:pt idx="593">
                  <c:v>-65.863073741696951</c:v>
                </c:pt>
                <c:pt idx="594">
                  <c:v>-67.755979431964931</c:v>
                </c:pt>
                <c:pt idx="595">
                  <c:v>-69.635701379807003</c:v>
                </c:pt>
                <c:pt idx="596">
                  <c:v>-71.498415744395047</c:v>
                </c:pt>
                <c:pt idx="597">
                  <c:v>-73.342088307005852</c:v>
                </c:pt>
                <c:pt idx="598">
                  <c:v>-75.164788914997857</c:v>
                </c:pt>
                <c:pt idx="599">
                  <c:v>-76.966366059169985</c:v>
                </c:pt>
                <c:pt idx="600">
                  <c:v>-78.746651529893285</c:v>
                </c:pt>
              </c:numCache>
            </c:numRef>
          </c:yVal>
          <c:smooth val="1"/>
          <c:extLst>
            <c:ext xmlns:c16="http://schemas.microsoft.com/office/drawing/2014/chart" uri="{C3380CC4-5D6E-409C-BE32-E72D297353CC}">
              <c16:uniqueId val="{00000004-7588-4C4D-931A-D1F28735AE62}"/>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7588-4C4D-931A-D1F28735AE62}"/>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Calculations'!$C$635</c:f>
              <c:numCache>
                <c:formatCode>0.00</c:formatCode>
                <c:ptCount val="1"/>
                <c:pt idx="0">
                  <c:v>1894.7017034749442</c:v>
                </c:pt>
              </c:numCache>
            </c:numRef>
          </c:xVal>
          <c:yVal>
            <c:numRef>
              <c:f>'Stability Calculations'!$D$635</c:f>
              <c:numCache>
                <c:formatCode>0.00</c:formatCode>
                <c:ptCount val="1"/>
                <c:pt idx="0">
                  <c:v>7.8873280912063599</c:v>
                </c:pt>
              </c:numCache>
            </c:numRef>
          </c:yVal>
          <c:smooth val="1"/>
          <c:extLst>
            <c:ext xmlns:c16="http://schemas.microsoft.com/office/drawing/2014/chart" uri="{C3380CC4-5D6E-409C-BE32-E72D297353CC}">
              <c16:uniqueId val="{00000006-7588-4C4D-931A-D1F28735AE62}"/>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7588-4C4D-931A-D1F28735AE62}"/>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Calculations'!$C$5</c:f>
              <c:numCache>
                <c:formatCode>0.0</c:formatCode>
                <c:ptCount val="1"/>
                <c:pt idx="0">
                  <c:v>0.2841626311265727</c:v>
                </c:pt>
              </c:numCache>
            </c:numRef>
          </c:xVal>
          <c:yVal>
            <c:numRef>
              <c:f>'Stability Calculations'!$W$624</c:f>
              <c:numCache>
                <c:formatCode>0.00</c:formatCode>
                <c:ptCount val="1"/>
                <c:pt idx="0">
                  <c:v>83.663961691514444</c:v>
                </c:pt>
              </c:numCache>
            </c:numRef>
          </c:yVal>
          <c:smooth val="1"/>
          <c:extLst>
            <c:ext xmlns:c16="http://schemas.microsoft.com/office/drawing/2014/chart" uri="{C3380CC4-5D6E-409C-BE32-E72D297353CC}">
              <c16:uniqueId val="{00000008-7588-4C4D-931A-D1F28735AE62}"/>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7588-4C4D-931A-D1F28735AE62}"/>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Calculations'!$K$4</c:f>
              <c:numCache>
                <c:formatCode>0</c:formatCode>
                <c:ptCount val="1"/>
                <c:pt idx="0">
                  <c:v>1224.2687930145796</c:v>
                </c:pt>
              </c:numCache>
            </c:numRef>
          </c:xVal>
          <c:yVal>
            <c:numRef>
              <c:f>'Stability Calculations'!$D$632</c:f>
              <c:numCache>
                <c:formatCode>0.00</c:formatCode>
                <c:ptCount val="1"/>
                <c:pt idx="0">
                  <c:v>12.489197938218407</c:v>
                </c:pt>
              </c:numCache>
            </c:numRef>
          </c:yVal>
          <c:smooth val="1"/>
          <c:extLst>
            <c:ext xmlns:c16="http://schemas.microsoft.com/office/drawing/2014/chart" uri="{C3380CC4-5D6E-409C-BE32-E72D297353CC}">
              <c16:uniqueId val="{0000000A-7588-4C4D-931A-D1F28735AE62}"/>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7588-4C4D-931A-D1F28735AE62}"/>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Calculations'!$B$623</c:f>
              <c:numCache>
                <c:formatCode>0</c:formatCode>
                <c:ptCount val="1"/>
                <c:pt idx="0">
                  <c:v>612134.39650728984</c:v>
                </c:pt>
              </c:numCache>
            </c:numRef>
          </c:xVal>
          <c:yVal>
            <c:numRef>
              <c:f>'Stability Calculations'!$W$623</c:f>
              <c:numCache>
                <c:formatCode>0.00</c:formatCode>
                <c:ptCount val="1"/>
                <c:pt idx="0">
                  <c:v>-69.019240935885875</c:v>
                </c:pt>
              </c:numCache>
            </c:numRef>
          </c:yVal>
          <c:smooth val="1"/>
          <c:extLst>
            <c:ext xmlns:c16="http://schemas.microsoft.com/office/drawing/2014/chart" uri="{C3380CC4-5D6E-409C-BE32-E72D297353CC}">
              <c16:uniqueId val="{0000000C-7588-4C4D-931A-D1F28735AE62}"/>
            </c:ext>
          </c:extLst>
        </c:ser>
        <c:dLbls>
          <c:showLegendKey val="0"/>
          <c:showVal val="0"/>
          <c:showCatName val="0"/>
          <c:showSerName val="0"/>
          <c:showPercent val="0"/>
          <c:showBubbleSize val="0"/>
        </c:dLbls>
        <c:axId val="196130688"/>
        <c:axId val="196141056"/>
      </c:scatterChart>
      <c:scatterChart>
        <c:scatterStyle val="lineMarker"/>
        <c:varyColors val="0"/>
        <c:ser>
          <c:idx val="3"/>
          <c:order val="1"/>
          <c:tx>
            <c:v>Loop Phase</c:v>
          </c:tx>
          <c:spPr>
            <a:ln w="34925">
              <a:solidFill>
                <a:srgbClr val="002060"/>
              </a:solidFill>
              <a:prstDash val="sysDash"/>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Calculations'!$Y$13:$Y$613</c:f>
              <c:numCache>
                <c:formatCode>0.00</c:formatCode>
                <c:ptCount val="601"/>
                <c:pt idx="0">
                  <c:v>105.84410128435246</c:v>
                </c:pt>
                <c:pt idx="1">
                  <c:v>104.50790969751934</c:v>
                </c:pt>
                <c:pt idx="2">
                  <c:v>103.27486168725792</c:v>
                </c:pt>
                <c:pt idx="3">
                  <c:v>102.13898793720675</c:v>
                </c:pt>
                <c:pt idx="4">
                  <c:v>101.09482263434072</c:v>
                </c:pt>
                <c:pt idx="5">
                  <c:v>100.13455262706198</c:v>
                </c:pt>
                <c:pt idx="6">
                  <c:v>99.253602050721398</c:v>
                </c:pt>
                <c:pt idx="7">
                  <c:v>98.445541247657246</c:v>
                </c:pt>
                <c:pt idx="8">
                  <c:v>97.705353209385194</c:v>
                </c:pt>
                <c:pt idx="9">
                  <c:v>97.027155920221603</c:v>
                </c:pt>
                <c:pt idx="10">
                  <c:v>96.406340116347778</c:v>
                </c:pt>
                <c:pt idx="11">
                  <c:v>95.838093423636465</c:v>
                </c:pt>
                <c:pt idx="12">
                  <c:v>95.317755623733774</c:v>
                </c:pt>
                <c:pt idx="13">
                  <c:v>94.841741991990176</c:v>
                </c:pt>
                <c:pt idx="14">
                  <c:v>94.405871889478647</c:v>
                </c:pt>
                <c:pt idx="15">
                  <c:v>94.006820557517116</c:v>
                </c:pt>
                <c:pt idx="16">
                  <c:v>93.64131164148624</c:v>
                </c:pt>
                <c:pt idx="17">
                  <c:v>93.306400695874416</c:v>
                </c:pt>
                <c:pt idx="18">
                  <c:v>92.999233489830118</c:v>
                </c:pt>
                <c:pt idx="19">
                  <c:v>92.717352240410733</c:v>
                </c:pt>
                <c:pt idx="20">
                  <c:v>92.458356143081502</c:v>
                </c:pt>
                <c:pt idx="21">
                  <c:v>92.22013639916122</c:v>
                </c:pt>
                <c:pt idx="22">
                  <c:v>92.000647818090883</c:v>
                </c:pt>
                <c:pt idx="23">
                  <c:v>91.798102350871346</c:v>
                </c:pt>
                <c:pt idx="24">
                  <c:v>91.610744638102659</c:v>
                </c:pt>
                <c:pt idx="25">
                  <c:v>91.437027539694284</c:v>
                </c:pt>
                <c:pt idx="26">
                  <c:v>91.275448169238786</c:v>
                </c:pt>
                <c:pt idx="27">
                  <c:v>91.124694911730955</c:v>
                </c:pt>
                <c:pt idx="28">
                  <c:v>90.983484524280414</c:v>
                </c:pt>
                <c:pt idx="29">
                  <c:v>90.85070077427801</c:v>
                </c:pt>
                <c:pt idx="30">
                  <c:v>90.724998391623259</c:v>
                </c:pt>
                <c:pt idx="31">
                  <c:v>90.605495727246975</c:v>
                </c:pt>
                <c:pt idx="32">
                  <c:v>90.491098137656167</c:v>
                </c:pt>
                <c:pt idx="33">
                  <c:v>90.380917594602096</c:v>
                </c:pt>
                <c:pt idx="34">
                  <c:v>90.273935210011786</c:v>
                </c:pt>
                <c:pt idx="35">
                  <c:v>90.169306287278602</c:v>
                </c:pt>
                <c:pt idx="36">
                  <c:v>90.066128601728551</c:v>
                </c:pt>
                <c:pt idx="37">
                  <c:v>89.963474437543425</c:v>
                </c:pt>
                <c:pt idx="38">
                  <c:v>89.860574614471787</c:v>
                </c:pt>
                <c:pt idx="39">
                  <c:v>89.75647765668252</c:v>
                </c:pt>
                <c:pt idx="40">
                  <c:v>89.650345390403885</c:v>
                </c:pt>
                <c:pt idx="41">
                  <c:v>89.541276176030578</c:v>
                </c:pt>
                <c:pt idx="42">
                  <c:v>89.428370591335664</c:v>
                </c:pt>
                <c:pt idx="43">
                  <c:v>89.310650614740368</c:v>
                </c:pt>
                <c:pt idx="44">
                  <c:v>89.187166101364809</c:v>
                </c:pt>
                <c:pt idx="45">
                  <c:v>89.056867601833218</c:v>
                </c:pt>
                <c:pt idx="46">
                  <c:v>88.918706741922122</c:v>
                </c:pt>
                <c:pt idx="47">
                  <c:v>88.771521691575572</c:v>
                </c:pt>
                <c:pt idx="48">
                  <c:v>88.614153606676766</c:v>
                </c:pt>
                <c:pt idx="49">
                  <c:v>88.445297224178304</c:v>
                </c:pt>
                <c:pt idx="50">
                  <c:v>88.263636637540444</c:v>
                </c:pt>
                <c:pt idx="51">
                  <c:v>88.067705658859836</c:v>
                </c:pt>
                <c:pt idx="52">
                  <c:v>87.856061707462999</c:v>
                </c:pt>
                <c:pt idx="53">
                  <c:v>87.627114656421185</c:v>
                </c:pt>
                <c:pt idx="54">
                  <c:v>87.379360954373581</c:v>
                </c:pt>
                <c:pt idx="55">
                  <c:v>87.110629271454286</c:v>
                </c:pt>
                <c:pt idx="56">
                  <c:v>86.819467746257345</c:v>
                </c:pt>
                <c:pt idx="57">
                  <c:v>86.503825254560496</c:v>
                </c:pt>
                <c:pt idx="58">
                  <c:v>86.162053924263262</c:v>
                </c:pt>
                <c:pt idx="59">
                  <c:v>85.792029692955822</c:v>
                </c:pt>
                <c:pt idx="60">
                  <c:v>85.392157570491634</c:v>
                </c:pt>
                <c:pt idx="61">
                  <c:v>84.960723819427614</c:v>
                </c:pt>
                <c:pt idx="62">
                  <c:v>84.496029522018262</c:v>
                </c:pt>
                <c:pt idx="63">
                  <c:v>83.997399505019672</c:v>
                </c:pt>
                <c:pt idx="64">
                  <c:v>83.463784467107104</c:v>
                </c:pt>
                <c:pt idx="65">
                  <c:v>82.895339439839333</c:v>
                </c:pt>
                <c:pt idx="66">
                  <c:v>82.292790795064136</c:v>
                </c:pt>
                <c:pt idx="67">
                  <c:v>81.658007706667846</c:v>
                </c:pt>
                <c:pt idx="68">
                  <c:v>80.993799425430382</c:v>
                </c:pt>
                <c:pt idx="69">
                  <c:v>80.304750433829994</c:v>
                </c:pt>
                <c:pt idx="70">
                  <c:v>79.596703866335375</c:v>
                </c:pt>
                <c:pt idx="71">
                  <c:v>78.877437249624094</c:v>
                </c:pt>
                <c:pt idx="72">
                  <c:v>78.156051764459434</c:v>
                </c:pt>
                <c:pt idx="73">
                  <c:v>77.443409713481074</c:v>
                </c:pt>
                <c:pt idx="74">
                  <c:v>76.75106460151558</c:v>
                </c:pt>
                <c:pt idx="75">
                  <c:v>76.091324054657647</c:v>
                </c:pt>
                <c:pt idx="76">
                  <c:v>75.475929292506635</c:v>
                </c:pt>
                <c:pt idx="77">
                  <c:v>74.915734203055052</c:v>
                </c:pt>
                <c:pt idx="78">
                  <c:v>74.419150528913747</c:v>
                </c:pt>
                <c:pt idx="79">
                  <c:v>73.991754644541103</c:v>
                </c:pt>
                <c:pt idx="80">
                  <c:v>73.634394803103774</c:v>
                </c:pt>
                <c:pt idx="81">
                  <c:v>73.344955854155515</c:v>
                </c:pt>
                <c:pt idx="82">
                  <c:v>73.116281851290097</c:v>
                </c:pt>
                <c:pt idx="83">
                  <c:v>72.937629250493529</c:v>
                </c:pt>
                <c:pt idx="84">
                  <c:v>72.794631386690398</c:v>
                </c:pt>
                <c:pt idx="85">
                  <c:v>72.670665690768558</c:v>
                </c:pt>
                <c:pt idx="86">
                  <c:v>72.547425877746804</c:v>
                </c:pt>
                <c:pt idx="87">
                  <c:v>72.405862385559814</c:v>
                </c:pt>
                <c:pt idx="88">
                  <c:v>72.22719889972133</c:v>
                </c:pt>
                <c:pt idx="89">
                  <c:v>71.993011652731212</c:v>
                </c:pt>
                <c:pt idx="90">
                  <c:v>71.686068627307321</c:v>
                </c:pt>
                <c:pt idx="91">
                  <c:v>71.290203943445803</c:v>
                </c:pt>
                <c:pt idx="92">
                  <c:v>70.790508046416235</c:v>
                </c:pt>
                <c:pt idx="93">
                  <c:v>70.17289701302326</c:v>
                </c:pt>
                <c:pt idx="94">
                  <c:v>69.99860682193534</c:v>
                </c:pt>
                <c:pt idx="95">
                  <c:v>69.907767700443543</c:v>
                </c:pt>
                <c:pt idx="96">
                  <c:v>69.81586051884689</c:v>
                </c:pt>
                <c:pt idx="97">
                  <c:v>69.720742793472525</c:v>
                </c:pt>
                <c:pt idx="98">
                  <c:v>69.624558184345204</c:v>
                </c:pt>
                <c:pt idx="99">
                  <c:v>69.525040846656694</c:v>
                </c:pt>
                <c:pt idx="100">
                  <c:v>69.424458864435252</c:v>
                </c:pt>
                <c:pt idx="101">
                  <c:v>69.320498973868865</c:v>
                </c:pt>
                <c:pt idx="102">
                  <c:v>69.215479315181582</c:v>
                </c:pt>
                <c:pt idx="103">
                  <c:v>69.106881354710694</c:v>
                </c:pt>
                <c:pt idx="104">
                  <c:v>68.997227944953295</c:v>
                </c:pt>
                <c:pt idx="105">
                  <c:v>68.883952630706602</c:v>
                </c:pt>
                <c:pt idx="106">
                  <c:v>68.769628761783736</c:v>
                </c:pt>
                <c:pt idx="107">
                  <c:v>68.65164331697784</c:v>
                </c:pt>
                <c:pt idx="108">
                  <c:v>68.532618626733225</c:v>
                </c:pt>
                <c:pt idx="109">
                  <c:v>68.409812549308342</c:v>
                </c:pt>
                <c:pt idx="110">
                  <c:v>68.285977404673119</c:v>
                </c:pt>
                <c:pt idx="111">
                  <c:v>68.158155289231601</c:v>
                </c:pt>
                <c:pt idx="112">
                  <c:v>68.029313832214598</c:v>
                </c:pt>
                <c:pt idx="113">
                  <c:v>67.896448869315492</c:v>
                </c:pt>
                <c:pt idx="114">
                  <c:v>67.762576608245652</c:v>
                </c:pt>
                <c:pt idx="115">
                  <c:v>67.624560220024392</c:v>
                </c:pt>
                <c:pt idx="116">
                  <c:v>67.48554948750143</c:v>
                </c:pt>
                <c:pt idx="117">
                  <c:v>67.34227402124985</c:v>
                </c:pt>
                <c:pt idx="118">
                  <c:v>67.198018088539342</c:v>
                </c:pt>
                <c:pt idx="119">
                  <c:v>67.049467357104334</c:v>
                </c:pt>
                <c:pt idx="120">
                  <c:v>66.899952125918333</c:v>
                </c:pt>
                <c:pt idx="121">
                  <c:v>66.746024237315225</c:v>
                </c:pt>
                <c:pt idx="122">
                  <c:v>66.591148637663139</c:v>
                </c:pt>
                <c:pt idx="123">
                  <c:v>66.431650187271515</c:v>
                </c:pt>
                <c:pt idx="124">
                  <c:v>66.271220590784267</c:v>
                </c:pt>
                <c:pt idx="125">
                  <c:v>66.106142591051935</c:v>
                </c:pt>
                <c:pt idx="126">
                  <c:v>65.940152001347855</c:v>
                </c:pt>
                <c:pt idx="127">
                  <c:v>65.769396489914172</c:v>
                </c:pt>
                <c:pt idx="128">
                  <c:v>65.597747807739736</c:v>
                </c:pt>
                <c:pt idx="129">
                  <c:v>65.421218375175599</c:v>
                </c:pt>
                <c:pt idx="130">
                  <c:v>65.243816067656496</c:v>
                </c:pt>
                <c:pt idx="131">
                  <c:v>65.061417995975589</c:v>
                </c:pt>
                <c:pt idx="132">
                  <c:v>64.969897685651233</c:v>
                </c:pt>
                <c:pt idx="133">
                  <c:v>64.878168234770328</c:v>
                </c:pt>
                <c:pt idx="134">
                  <c:v>64.784045415948285</c:v>
                </c:pt>
                <c:pt idx="135">
                  <c:v>64.689711172382758</c:v>
                </c:pt>
                <c:pt idx="136">
                  <c:v>64.595169335012031</c:v>
                </c:pt>
                <c:pt idx="137">
                  <c:v>64.500423667127734</c:v>
                </c:pt>
                <c:pt idx="138">
                  <c:v>64.403319938622786</c:v>
                </c:pt>
                <c:pt idx="139">
                  <c:v>64.306010770091802</c:v>
                </c:pt>
                <c:pt idx="140">
                  <c:v>64.208499976515469</c:v>
                </c:pt>
                <c:pt idx="141">
                  <c:v>64.110791304871412</c:v>
                </c:pt>
                <c:pt idx="142">
                  <c:v>64.010564496216844</c:v>
                </c:pt>
                <c:pt idx="143">
                  <c:v>63.910138048018538</c:v>
                </c:pt>
                <c:pt idx="144">
                  <c:v>63.809515768020617</c:v>
                </c:pt>
                <c:pt idx="145">
                  <c:v>63.708701395446894</c:v>
                </c:pt>
                <c:pt idx="146">
                  <c:v>63.605356757732721</c:v>
                </c:pt>
                <c:pt idx="147">
                  <c:v>63.501818731312966</c:v>
                </c:pt>
                <c:pt idx="148">
                  <c:v>63.398091108109611</c:v>
                </c:pt>
                <c:pt idx="149">
                  <c:v>63.294177611254653</c:v>
                </c:pt>
                <c:pt idx="150">
                  <c:v>63.187672932749862</c:v>
                </c:pt>
                <c:pt idx="151">
                  <c:v>63.08098135654339</c:v>
                </c:pt>
                <c:pt idx="152">
                  <c:v>62.974106656159478</c:v>
                </c:pt>
                <c:pt idx="153">
                  <c:v>62.867052536166412</c:v>
                </c:pt>
                <c:pt idx="154">
                  <c:v>62.757296300735703</c:v>
                </c:pt>
                <c:pt idx="155">
                  <c:v>62.647359737711071</c:v>
                </c:pt>
                <c:pt idx="156">
                  <c:v>62.537246604924476</c:v>
                </c:pt>
                <c:pt idx="157">
                  <c:v>62.426960591058375</c:v>
                </c:pt>
                <c:pt idx="158">
                  <c:v>62.313912137118564</c:v>
                </c:pt>
                <c:pt idx="159">
                  <c:v>62.200690198692442</c:v>
                </c:pt>
                <c:pt idx="160">
                  <c:v>62.087298515218578</c:v>
                </c:pt>
                <c:pt idx="161">
                  <c:v>61.973740756894685</c:v>
                </c:pt>
                <c:pt idx="162">
                  <c:v>61.857412028591298</c:v>
                </c:pt>
                <c:pt idx="163">
                  <c:v>61.740917078559974</c:v>
                </c:pt>
                <c:pt idx="164">
                  <c:v>61.624259620449081</c:v>
                </c:pt>
                <c:pt idx="165">
                  <c:v>61.507443298791358</c:v>
                </c:pt>
                <c:pt idx="166">
                  <c:v>61.387694584571591</c:v>
                </c:pt>
                <c:pt idx="167">
                  <c:v>61.267786893586106</c:v>
                </c:pt>
                <c:pt idx="168">
                  <c:v>61.147723921123031</c:v>
                </c:pt>
                <c:pt idx="169">
                  <c:v>61.027509293327668</c:v>
                </c:pt>
                <c:pt idx="170">
                  <c:v>60.904562080510431</c:v>
                </c:pt>
                <c:pt idx="171">
                  <c:v>60.781464068025272</c:v>
                </c:pt>
                <c:pt idx="172">
                  <c:v>60.658218907316552</c:v>
                </c:pt>
                <c:pt idx="173">
                  <c:v>60.534830181324054</c:v>
                </c:pt>
                <c:pt idx="174">
                  <c:v>60.408185455684361</c:v>
                </c:pt>
                <c:pt idx="175">
                  <c:v>60.281397247606122</c:v>
                </c:pt>
                <c:pt idx="176">
                  <c:v>60.15446920402303</c:v>
                </c:pt>
                <c:pt idx="177">
                  <c:v>60.027404903046744</c:v>
                </c:pt>
                <c:pt idx="178">
                  <c:v>59.89707841649782</c:v>
                </c:pt>
                <c:pt idx="179">
                  <c:v>59.766616279288016</c:v>
                </c:pt>
                <c:pt idx="180">
                  <c:v>59.636022125714049</c:v>
                </c:pt>
                <c:pt idx="181">
                  <c:v>59.505299521156232</c:v>
                </c:pt>
                <c:pt idx="182">
                  <c:v>59.371833761726577</c:v>
                </c:pt>
                <c:pt idx="183">
                  <c:v>59.238241642897862</c:v>
                </c:pt>
                <c:pt idx="184">
                  <c:v>59.104526737078857</c:v>
                </c:pt>
                <c:pt idx="185">
                  <c:v>58.970692548930344</c:v>
                </c:pt>
                <c:pt idx="186">
                  <c:v>58.833063855917118</c:v>
                </c:pt>
                <c:pt idx="187">
                  <c:v>58.69531652999801</c:v>
                </c:pt>
                <c:pt idx="188">
                  <c:v>58.557454159517263</c:v>
                </c:pt>
                <c:pt idx="189">
                  <c:v>58.419480264291181</c:v>
                </c:pt>
                <c:pt idx="190">
                  <c:v>58.278762116583081</c:v>
                </c:pt>
                <c:pt idx="191">
                  <c:v>58.137935317279215</c:v>
                </c:pt>
                <c:pt idx="192">
                  <c:v>57.997003382341077</c:v>
                </c:pt>
                <c:pt idx="193">
                  <c:v>57.855969760673503</c:v>
                </c:pt>
                <c:pt idx="194">
                  <c:v>57.711136455708939</c:v>
                </c:pt>
                <c:pt idx="195">
                  <c:v>57.566203211807093</c:v>
                </c:pt>
                <c:pt idx="196">
                  <c:v>57.421173546520151</c:v>
                </c:pt>
                <c:pt idx="197">
                  <c:v>57.276050909947969</c:v>
                </c:pt>
                <c:pt idx="198">
                  <c:v>57.127657879445692</c:v>
                </c:pt>
                <c:pt idx="199">
                  <c:v>56.979174837421837</c:v>
                </c:pt>
                <c:pt idx="200">
                  <c:v>56.830605257739606</c:v>
                </c:pt>
                <c:pt idx="201">
                  <c:v>56.681952547571839</c:v>
                </c:pt>
                <c:pt idx="202">
                  <c:v>56.530032075137953</c:v>
                </c:pt>
                <c:pt idx="203">
                  <c:v>56.378031851117996</c:v>
                </c:pt>
                <c:pt idx="204">
                  <c:v>56.225955301247808</c:v>
                </c:pt>
                <c:pt idx="205">
                  <c:v>56.073805785452109</c:v>
                </c:pt>
                <c:pt idx="206">
                  <c:v>55.917860109026208</c:v>
                </c:pt>
                <c:pt idx="207">
                  <c:v>55.761844785408769</c:v>
                </c:pt>
                <c:pt idx="208">
                  <c:v>55.605763222714828</c:v>
                </c:pt>
                <c:pt idx="209">
                  <c:v>55.449618763345924</c:v>
                </c:pt>
                <c:pt idx="210">
                  <c:v>55.289148922319342</c:v>
                </c:pt>
                <c:pt idx="211">
                  <c:v>55.128619647991641</c:v>
                </c:pt>
                <c:pt idx="212">
                  <c:v>54.968034357835407</c:v>
                </c:pt>
                <c:pt idx="213">
                  <c:v>54.807396403001604</c:v>
                </c:pt>
                <c:pt idx="214">
                  <c:v>54.643505520384707</c:v>
                </c:pt>
                <c:pt idx="215">
                  <c:v>54.479566690394179</c:v>
                </c:pt>
                <c:pt idx="216">
                  <c:v>54.315583265643212</c:v>
                </c:pt>
                <c:pt idx="217">
                  <c:v>54.151558533712688</c:v>
                </c:pt>
                <c:pt idx="218">
                  <c:v>53.983754453691049</c:v>
                </c:pt>
                <c:pt idx="219">
                  <c:v>53.815913916615258</c:v>
                </c:pt>
                <c:pt idx="220">
                  <c:v>53.648040239108227</c:v>
                </c:pt>
                <c:pt idx="221">
                  <c:v>53.480136673289167</c:v>
                </c:pt>
                <c:pt idx="222">
                  <c:v>53.308462459909876</c:v>
                </c:pt>
                <c:pt idx="223">
                  <c:v>53.136763684389138</c:v>
                </c:pt>
                <c:pt idx="224">
                  <c:v>52.965043622184623</c:v>
                </c:pt>
                <c:pt idx="225">
                  <c:v>52.793305484889245</c:v>
                </c:pt>
                <c:pt idx="226">
                  <c:v>52.617271807724336</c:v>
                </c:pt>
                <c:pt idx="227">
                  <c:v>52.441225775591008</c:v>
                </c:pt>
                <c:pt idx="228">
                  <c:v>52.265170647363533</c:v>
                </c:pt>
                <c:pt idx="229">
                  <c:v>52.089109618020942</c:v>
                </c:pt>
                <c:pt idx="230">
                  <c:v>51.728420027659524</c:v>
                </c:pt>
                <c:pt idx="231">
                  <c:v>51.548079060976477</c:v>
                </c:pt>
                <c:pt idx="232">
                  <c:v>51.367744896436648</c:v>
                </c:pt>
                <c:pt idx="233">
                  <c:v>51.183140094308357</c:v>
                </c:pt>
                <c:pt idx="234">
                  <c:v>50.99854894932804</c:v>
                </c:pt>
                <c:pt idx="235">
                  <c:v>50.81397466632265</c:v>
                </c:pt>
                <c:pt idx="236">
                  <c:v>50.629420386576214</c:v>
                </c:pt>
                <c:pt idx="237">
                  <c:v>50.441145338171879</c:v>
                </c:pt>
                <c:pt idx="238">
                  <c:v>50.252897523851146</c:v>
                </c:pt>
                <c:pt idx="239">
                  <c:v>50.064680085181749</c:v>
                </c:pt>
                <c:pt idx="240">
                  <c:v>49.87649610124447</c:v>
                </c:pt>
                <c:pt idx="241">
                  <c:v>49.683538504858944</c:v>
                </c:pt>
                <c:pt idx="242">
                  <c:v>49.490622460457899</c:v>
                </c:pt>
                <c:pt idx="243">
                  <c:v>49.297751094254068</c:v>
                </c:pt>
                <c:pt idx="244">
                  <c:v>49.104927469700897</c:v>
                </c:pt>
                <c:pt idx="245">
                  <c:v>48.907883211079536</c:v>
                </c:pt>
                <c:pt idx="246">
                  <c:v>48.710895111668691</c:v>
                </c:pt>
                <c:pt idx="247">
                  <c:v>48.513966249380672</c:v>
                </c:pt>
                <c:pt idx="248">
                  <c:v>48.317099639901954</c:v>
                </c:pt>
                <c:pt idx="249">
                  <c:v>48.115499043115449</c:v>
                </c:pt>
                <c:pt idx="250">
                  <c:v>47.913969985388633</c:v>
                </c:pt>
                <c:pt idx="251">
                  <c:v>47.712515514862218</c:v>
                </c:pt>
                <c:pt idx="252">
                  <c:v>47.511138617406829</c:v>
                </c:pt>
                <c:pt idx="253">
                  <c:v>47.305582867657648</c:v>
                </c:pt>
                <c:pt idx="254">
                  <c:v>47.100114110053454</c:v>
                </c:pt>
                <c:pt idx="255">
                  <c:v>46.894735332389274</c:v>
                </c:pt>
                <c:pt idx="256">
                  <c:v>46.689449460888312</c:v>
                </c:pt>
                <c:pt idx="257">
                  <c:v>46.478944853988821</c:v>
                </c:pt>
                <c:pt idx="258">
                  <c:v>46.268544076066121</c:v>
                </c:pt>
                <c:pt idx="259">
                  <c:v>46.058250094005132</c:v>
                </c:pt>
                <c:pt idx="260">
                  <c:v>45.848065812634928</c:v>
                </c:pt>
                <c:pt idx="261">
                  <c:v>45.633221048442806</c:v>
                </c:pt>
                <c:pt idx="262">
                  <c:v>45.41849698125344</c:v>
                </c:pt>
                <c:pt idx="263">
                  <c:v>45.203896526318573</c:v>
                </c:pt>
                <c:pt idx="264">
                  <c:v>44.989422537084494</c:v>
                </c:pt>
                <c:pt idx="265">
                  <c:v>44.770316079549218</c:v>
                </c:pt>
                <c:pt idx="266">
                  <c:v>44.551347608946912</c:v>
                </c:pt>
                <c:pt idx="267">
                  <c:v>44.332519982082289</c:v>
                </c:pt>
                <c:pt idx="268">
                  <c:v>44.113835994281857</c:v>
                </c:pt>
                <c:pt idx="269">
                  <c:v>43.890021527444787</c:v>
                </c:pt>
                <c:pt idx="270">
                  <c:v>43.666363465773514</c:v>
                </c:pt>
                <c:pt idx="271">
                  <c:v>43.442864620641046</c:v>
                </c:pt>
                <c:pt idx="272">
                  <c:v>43.219527741763216</c:v>
                </c:pt>
                <c:pt idx="273">
                  <c:v>42.991094031793295</c:v>
                </c:pt>
                <c:pt idx="274">
                  <c:v>42.762835656044786</c:v>
                </c:pt>
                <c:pt idx="275">
                  <c:v>42.534755371729688</c:v>
                </c:pt>
                <c:pt idx="276">
                  <c:v>42.306855874325123</c:v>
                </c:pt>
                <c:pt idx="277">
                  <c:v>42.074419535953155</c:v>
                </c:pt>
                <c:pt idx="278">
                  <c:v>41.842177044781465</c:v>
                </c:pt>
                <c:pt idx="279">
                  <c:v>41.610131077352094</c:v>
                </c:pt>
                <c:pt idx="280">
                  <c:v>41.378284249034806</c:v>
                </c:pt>
                <c:pt idx="281">
                  <c:v>41.140367133007487</c:v>
                </c:pt>
                <c:pt idx="282">
                  <c:v>40.902665491121525</c:v>
                </c:pt>
                <c:pt idx="283">
                  <c:v>40.66518196450096</c:v>
                </c:pt>
                <c:pt idx="284">
                  <c:v>40.427919132100811</c:v>
                </c:pt>
                <c:pt idx="285">
                  <c:v>40.186193084368995</c:v>
                </c:pt>
                <c:pt idx="286">
                  <c:v>39.944701773476993</c:v>
                </c:pt>
                <c:pt idx="287">
                  <c:v>39.703447743526652</c:v>
                </c:pt>
                <c:pt idx="288">
                  <c:v>39.462433477184078</c:v>
                </c:pt>
                <c:pt idx="289">
                  <c:v>39.215437766910043</c:v>
                </c:pt>
                <c:pt idx="290">
                  <c:v>38.968699482637874</c:v>
                </c:pt>
                <c:pt idx="291">
                  <c:v>38.722221111966121</c:v>
                </c:pt>
                <c:pt idx="292">
                  <c:v>38.476005080289582</c:v>
                </c:pt>
                <c:pt idx="293">
                  <c:v>38.224373150714399</c:v>
                </c:pt>
                <c:pt idx="294">
                  <c:v>37.973020767890858</c:v>
                </c:pt>
                <c:pt idx="295">
                  <c:v>37.721950335956961</c:v>
                </c:pt>
                <c:pt idx="296">
                  <c:v>37.471164196725141</c:v>
                </c:pt>
                <c:pt idx="297">
                  <c:v>37.215009856946466</c:v>
                </c:pt>
                <c:pt idx="298">
                  <c:v>36.959157556994143</c:v>
                </c:pt>
                <c:pt idx="299">
                  <c:v>36.703609607590835</c:v>
                </c:pt>
                <c:pt idx="300">
                  <c:v>36.448368257118005</c:v>
                </c:pt>
                <c:pt idx="301">
                  <c:v>36.18780815432612</c:v>
                </c:pt>
                <c:pt idx="302">
                  <c:v>35.9275729006647</c:v>
                </c:pt>
                <c:pt idx="303">
                  <c:v>35.667664703687905</c:v>
                </c:pt>
                <c:pt idx="304">
                  <c:v>35.40808570869757</c:v>
                </c:pt>
                <c:pt idx="305">
                  <c:v>35.142221098976336</c:v>
                </c:pt>
                <c:pt idx="306">
                  <c:v>34.876707096960104</c:v>
                </c:pt>
                <c:pt idx="307">
                  <c:v>34.611545821406708</c:v>
                </c:pt>
                <c:pt idx="308">
                  <c:v>34.346739328066917</c:v>
                </c:pt>
                <c:pt idx="309">
                  <c:v>34.076720768355614</c:v>
                </c:pt>
                <c:pt idx="310">
                  <c:v>33.807076237775021</c:v>
                </c:pt>
                <c:pt idx="311">
                  <c:v>33.537807730284271</c:v>
                </c:pt>
                <c:pt idx="312">
                  <c:v>33.268917177181351</c:v>
                </c:pt>
                <c:pt idx="313">
                  <c:v>32.993862166674575</c:v>
                </c:pt>
                <c:pt idx="314">
                  <c:v>32.719207679271364</c:v>
                </c:pt>
                <c:pt idx="315">
                  <c:v>32.444955595417156</c:v>
                </c:pt>
                <c:pt idx="316">
                  <c:v>32.171107732438855</c:v>
                </c:pt>
                <c:pt idx="317">
                  <c:v>31.891160287013321</c:v>
                </c:pt>
                <c:pt idx="318">
                  <c:v>31.611640198635058</c:v>
                </c:pt>
                <c:pt idx="319">
                  <c:v>31.332549220923681</c:v>
                </c:pt>
                <c:pt idx="320">
                  <c:v>31.053889044095797</c:v>
                </c:pt>
                <c:pt idx="321">
                  <c:v>30.769196041511918</c:v>
                </c:pt>
                <c:pt idx="322">
                  <c:v>30.484957493423309</c:v>
                </c:pt>
                <c:pt idx="323">
                  <c:v>30.20117501364831</c:v>
                </c:pt>
                <c:pt idx="324">
                  <c:v>29.917850152495475</c:v>
                </c:pt>
                <c:pt idx="325">
                  <c:v>29.628560978035608</c:v>
                </c:pt>
                <c:pt idx="326">
                  <c:v>29.339753542161816</c:v>
                </c:pt>
                <c:pt idx="327">
                  <c:v>29.051429306322149</c:v>
                </c:pt>
                <c:pt idx="328">
                  <c:v>28.763589668530557</c:v>
                </c:pt>
                <c:pt idx="329">
                  <c:v>28.469365088438536</c:v>
                </c:pt>
                <c:pt idx="330">
                  <c:v>28.1756513472655</c:v>
                </c:pt>
                <c:pt idx="331">
                  <c:v>27.882449748354219</c:v>
                </c:pt>
                <c:pt idx="332">
                  <c:v>27.589761531458407</c:v>
                </c:pt>
                <c:pt idx="333">
                  <c:v>27.291252589968508</c:v>
                </c:pt>
                <c:pt idx="334">
                  <c:v>26.993281975590833</c:v>
                </c:pt>
                <c:pt idx="335">
                  <c:v>26.695850814244636</c:v>
                </c:pt>
                <c:pt idx="336">
                  <c:v>26.398960168738853</c:v>
                </c:pt>
                <c:pt idx="337">
                  <c:v>26.095354388192135</c:v>
                </c:pt>
                <c:pt idx="338">
                  <c:v>25.792318005719892</c:v>
                </c:pt>
                <c:pt idx="339">
                  <c:v>25.489851967632802</c:v>
                </c:pt>
                <c:pt idx="340">
                  <c:v>25.187957157014608</c:v>
                </c:pt>
                <c:pt idx="341">
                  <c:v>24.879432729506817</c:v>
                </c:pt>
                <c:pt idx="342">
                  <c:v>24.571508864999373</c:v>
                </c:pt>
                <c:pt idx="343">
                  <c:v>24.264186315125585</c:v>
                </c:pt>
                <c:pt idx="344">
                  <c:v>23.957465768444251</c:v>
                </c:pt>
                <c:pt idx="345">
                  <c:v>23.644679101770805</c:v>
                </c:pt>
                <c:pt idx="346">
                  <c:v>23.332522238762493</c:v>
                </c:pt>
                <c:pt idx="347">
                  <c:v>23.020995719750005</c:v>
                </c:pt>
                <c:pt idx="348">
                  <c:v>22.710100022795871</c:v>
                </c:pt>
                <c:pt idx="349">
                  <c:v>22.392276028379882</c:v>
                </c:pt>
                <c:pt idx="350">
                  <c:v>22.075114824990777</c:v>
                </c:pt>
                <c:pt idx="351">
                  <c:v>21.758616733280121</c:v>
                </c:pt>
                <c:pt idx="352">
                  <c:v>21.442782011960674</c:v>
                </c:pt>
                <c:pt idx="353">
                  <c:v>21.120114873301048</c:v>
                </c:pt>
                <c:pt idx="354">
                  <c:v>20.798143426826925</c:v>
                </c:pt>
                <c:pt idx="355">
                  <c:v>20.47686775860825</c:v>
                </c:pt>
                <c:pt idx="356">
                  <c:v>20.156287893429464</c:v>
                </c:pt>
                <c:pt idx="357">
                  <c:v>19.829437328620259</c:v>
                </c:pt>
                <c:pt idx="358">
                  <c:v>19.503313101323243</c:v>
                </c:pt>
                <c:pt idx="359">
                  <c:v>19.177915050038166</c:v>
                </c:pt>
                <c:pt idx="360">
                  <c:v>18.853242953300168</c:v>
                </c:pt>
                <c:pt idx="361">
                  <c:v>18.521471817686461</c:v>
                </c:pt>
                <c:pt idx="362">
                  <c:v>18.190461515292526</c:v>
                </c:pt>
                <c:pt idx="363">
                  <c:v>17.860211623140458</c:v>
                </c:pt>
                <c:pt idx="364">
                  <c:v>17.530721659258575</c:v>
                </c:pt>
                <c:pt idx="365">
                  <c:v>17.194694581161826</c:v>
                </c:pt>
                <c:pt idx="366">
                  <c:v>16.859460381230122</c:v>
                </c:pt>
                <c:pt idx="367">
                  <c:v>16.5250183641879</c:v>
                </c:pt>
                <c:pt idx="368">
                  <c:v>16.191367777418634</c:v>
                </c:pt>
                <c:pt idx="369">
                  <c:v>15.850377112876032</c:v>
                </c:pt>
                <c:pt idx="370">
                  <c:v>15.510215286897477</c:v>
                </c:pt>
                <c:pt idx="371">
                  <c:v>15.170881313970597</c:v>
                </c:pt>
                <c:pt idx="372">
                  <c:v>14.832374152644604</c:v>
                </c:pt>
                <c:pt idx="373">
                  <c:v>14.487088709372699</c:v>
                </c:pt>
                <c:pt idx="374">
                  <c:v>14.142665407176054</c:v>
                </c:pt>
                <c:pt idx="375">
                  <c:v>13.799102962164994</c:v>
                </c:pt>
                <c:pt idx="376">
                  <c:v>13.456400036603299</c:v>
                </c:pt>
                <c:pt idx="377">
                  <c:v>13.10614187180056</c:v>
                </c:pt>
                <c:pt idx="378">
                  <c:v>12.756783101797907</c:v>
                </c:pt>
                <c:pt idx="379">
                  <c:v>12.408322122835443</c:v>
                </c:pt>
                <c:pt idx="380">
                  <c:v>12.06075727924906</c:v>
                </c:pt>
                <c:pt idx="381">
                  <c:v>11.706636686780143</c:v>
                </c:pt>
                <c:pt idx="382">
                  <c:v>11.353447561867796</c:v>
                </c:pt>
                <c:pt idx="383">
                  <c:v>11.00118798320571</c:v>
                </c:pt>
                <c:pt idx="384">
                  <c:v>10.649855980451804</c:v>
                </c:pt>
                <c:pt idx="385">
                  <c:v>10.290777097190357</c:v>
                </c:pt>
                <c:pt idx="386">
                  <c:v>9.9326679960470017</c:v>
                </c:pt>
                <c:pt idx="387">
                  <c:v>9.5755264077310756</c:v>
                </c:pt>
                <c:pt idx="388">
                  <c:v>9.2193500164685815</c:v>
                </c:pt>
                <c:pt idx="389">
                  <c:v>8.8559868655151206</c:v>
                </c:pt>
                <c:pt idx="390">
                  <c:v>8.4936287273905862</c:v>
                </c:pt>
                <c:pt idx="391">
                  <c:v>8.1322729835886491</c:v>
                </c:pt>
                <c:pt idx="392">
                  <c:v>7.7719169723422965</c:v>
                </c:pt>
                <c:pt idx="393">
                  <c:v>7.4044987066747581</c:v>
                </c:pt>
                <c:pt idx="394">
                  <c:v>7.0381198245233634</c:v>
                </c:pt>
                <c:pt idx="395">
                  <c:v>6.6727773520285041</c:v>
                </c:pt>
                <c:pt idx="396">
                  <c:v>6.308468275695418</c:v>
                </c:pt>
                <c:pt idx="397">
                  <c:v>5.9363828454247596</c:v>
                </c:pt>
                <c:pt idx="398">
                  <c:v>5.5653750771829493</c:v>
                </c:pt>
                <c:pt idx="399">
                  <c:v>5.1954416149325482</c:v>
                </c:pt>
                <c:pt idx="400">
                  <c:v>4.8265790666902717</c:v>
                </c:pt>
                <c:pt idx="401">
                  <c:v>4.4504939282841178</c:v>
                </c:pt>
                <c:pt idx="402">
                  <c:v>4.0755213167448119</c:v>
                </c:pt>
                <c:pt idx="403">
                  <c:v>3.7016575001428578</c:v>
                </c:pt>
                <c:pt idx="404">
                  <c:v>3.3288987148827687</c:v>
                </c:pt>
                <c:pt idx="405">
                  <c:v>2.9486396165850692</c:v>
                </c:pt>
                <c:pt idx="406">
                  <c:v>2.5695293045608594</c:v>
                </c:pt>
                <c:pt idx="407">
                  <c:v>2.1915636559620282</c:v>
                </c:pt>
                <c:pt idx="408">
                  <c:v>1.8147385208108915</c:v>
                </c:pt>
                <c:pt idx="409">
                  <c:v>1.4301474702413088</c:v>
                </c:pt>
                <c:pt idx="410">
                  <c:v>1.0467428285562619</c:v>
                </c:pt>
                <c:pt idx="411">
                  <c:v>0.6645200662846662</c:v>
                </c:pt>
                <c:pt idx="412">
                  <c:v>0.28347463165849263</c:v>
                </c:pt>
                <c:pt idx="413">
                  <c:v>-0.10519049694599403</c:v>
                </c:pt>
                <c:pt idx="414">
                  <c:v>-0.49263278386194997</c:v>
                </c:pt>
                <c:pt idx="415">
                  <c:v>-0.87885716607408426</c:v>
                </c:pt>
                <c:pt idx="416">
                  <c:v>-1.2638685976307045</c:v>
                </c:pt>
                <c:pt idx="417">
                  <c:v>-1.6567485649939613</c:v>
                </c:pt>
                <c:pt idx="418">
                  <c:v>-2.0483679924960256</c:v>
                </c:pt>
                <c:pt idx="419">
                  <c:v>-2.4387322391984014</c:v>
                </c:pt>
                <c:pt idx="420">
                  <c:v>-2.8278466756824514</c:v>
                </c:pt>
                <c:pt idx="421">
                  <c:v>-3.2242872953329709</c:v>
                </c:pt>
                <c:pt idx="422">
                  <c:v>-3.6194335447376886</c:v>
                </c:pt>
                <c:pt idx="423">
                  <c:v>-4.0132911856904059</c:v>
                </c:pt>
                <c:pt idx="424">
                  <c:v>-4.4058659855833469</c:v>
                </c:pt>
                <c:pt idx="425">
                  <c:v>-4.8067760553568633</c:v>
                </c:pt>
                <c:pt idx="426">
                  <c:v>-5.2063516449618987</c:v>
                </c:pt>
                <c:pt idx="427">
                  <c:v>-5.6045989660601379</c:v>
                </c:pt>
                <c:pt idx="428">
                  <c:v>-6.0015242297237421</c:v>
                </c:pt>
                <c:pt idx="429">
                  <c:v>-6.4062388544203657</c:v>
                </c:pt>
                <c:pt idx="430">
                  <c:v>-6.8095829024719308</c:v>
                </c:pt>
                <c:pt idx="431">
                  <c:v>-7.2115630127099735</c:v>
                </c:pt>
                <c:pt idx="432">
                  <c:v>-7.6121858168622509</c:v>
                </c:pt>
                <c:pt idx="433">
                  <c:v>-8.020440109151366</c:v>
                </c:pt>
                <c:pt idx="434">
                  <c:v>-8.4272892269678721</c:v>
                </c:pt>
                <c:pt idx="435">
                  <c:v>-8.8327402281686602</c:v>
                </c:pt>
                <c:pt idx="436">
                  <c:v>-9.2368001567524516</c:v>
                </c:pt>
                <c:pt idx="437">
                  <c:v>-9.6490731157376786</c:v>
                </c:pt>
                <c:pt idx="438">
                  <c:v>-10.059902679781288</c:v>
                </c:pt>
                <c:pt idx="439">
                  <c:v>-10.469296355612585</c:v>
                </c:pt>
                <c:pt idx="440">
                  <c:v>-10.877261629018307</c:v>
                </c:pt>
                <c:pt idx="441">
                  <c:v>-11.293269027739939</c:v>
                </c:pt>
                <c:pt idx="442">
                  <c:v>-11.707796419391286</c:v>
                </c:pt>
                <c:pt idx="443">
                  <c:v>-12.120851749486548</c:v>
                </c:pt>
                <c:pt idx="444">
                  <c:v>-12.532442935299912</c:v>
                </c:pt>
                <c:pt idx="445">
                  <c:v>-12.951906713032287</c:v>
                </c:pt>
                <c:pt idx="446">
                  <c:v>-13.369855516979356</c:v>
                </c:pt>
                <c:pt idx="447">
                  <c:v>-13.786297718998867</c:v>
                </c:pt>
                <c:pt idx="448">
                  <c:v>-14.201241655268319</c:v>
                </c:pt>
                <c:pt idx="449">
                  <c:v>-14.624597451410807</c:v>
                </c:pt>
                <c:pt idx="450">
                  <c:v>-15.04639979570814</c:v>
                </c:pt>
                <c:pt idx="451">
                  <c:v>-15.466657515952363</c:v>
                </c:pt>
                <c:pt idx="452">
                  <c:v>-15.885379396449366</c:v>
                </c:pt>
                <c:pt idx="453">
                  <c:v>-16.311982761587473</c:v>
                </c:pt>
                <c:pt idx="454">
                  <c:v>-16.736998536946885</c:v>
                </c:pt>
                <c:pt idx="455">
                  <c:v>-17.160435968986917</c:v>
                </c:pt>
                <c:pt idx="456">
                  <c:v>-17.582304252949172</c:v>
                </c:pt>
                <c:pt idx="457">
                  <c:v>-18.012568239428759</c:v>
                </c:pt>
                <c:pt idx="458">
                  <c:v>-18.441207052052562</c:v>
                </c:pt>
                <c:pt idx="459">
                  <c:v>-18.868230384743725</c:v>
                </c:pt>
                <c:pt idx="460">
                  <c:v>-19.293647872119493</c:v>
                </c:pt>
                <c:pt idx="461">
                  <c:v>-19.727275026639234</c:v>
                </c:pt>
                <c:pt idx="462">
                  <c:v>-20.159241235292171</c:v>
                </c:pt>
                <c:pt idx="463">
                  <c:v>-20.589556621767002</c:v>
                </c:pt>
                <c:pt idx="464">
                  <c:v>-21.018231242368131</c:v>
                </c:pt>
                <c:pt idx="465">
                  <c:v>-21.455264447435724</c:v>
                </c:pt>
                <c:pt idx="466">
                  <c:v>-21.890600169647968</c:v>
                </c:pt>
                <c:pt idx="467">
                  <c:v>-22.324248967077438</c:v>
                </c:pt>
                <c:pt idx="468">
                  <c:v>-22.756221322185297</c:v>
                </c:pt>
                <c:pt idx="469">
                  <c:v>-23.196362552842146</c:v>
                </c:pt>
                <c:pt idx="470">
                  <c:v>-23.63477162229708</c:v>
                </c:pt>
                <c:pt idx="471">
                  <c:v>-24.071459502576317</c:v>
                </c:pt>
                <c:pt idx="472">
                  <c:v>-24.506437081982227</c:v>
                </c:pt>
                <c:pt idx="473">
                  <c:v>-24.950041415777065</c:v>
                </c:pt>
                <c:pt idx="474">
                  <c:v>-25.391875619671453</c:v>
                </c:pt>
                <c:pt idx="475">
                  <c:v>-25.831951107476016</c:v>
                </c:pt>
                <c:pt idx="476">
                  <c:v>-26.270279200813974</c:v>
                </c:pt>
                <c:pt idx="477">
                  <c:v>-26.717033402089328</c:v>
                </c:pt>
                <c:pt idx="478">
                  <c:v>-27.161981440280556</c:v>
                </c:pt>
                <c:pt idx="479">
                  <c:v>-27.605135148686031</c:v>
                </c:pt>
                <c:pt idx="480">
                  <c:v>-28.046506260135658</c:v>
                </c:pt>
                <c:pt idx="481">
                  <c:v>-28.496105232743503</c:v>
                </c:pt>
                <c:pt idx="482">
                  <c:v>-28.943863931130181</c:v>
                </c:pt>
                <c:pt idx="483">
                  <c:v>-29.389794584568051</c:v>
                </c:pt>
                <c:pt idx="484">
                  <c:v>-29.833909313830787</c:v>
                </c:pt>
                <c:pt idx="485">
                  <c:v>-30.286363546874867</c:v>
                </c:pt>
                <c:pt idx="486">
                  <c:v>-30.736942749478573</c:v>
                </c:pt>
                <c:pt idx="487">
                  <c:v>-31.185659548136783</c:v>
                </c:pt>
                <c:pt idx="488">
                  <c:v>-31.632526452811504</c:v>
                </c:pt>
                <c:pt idx="489">
                  <c:v>-32.088136698663646</c:v>
                </c:pt>
                <c:pt idx="490">
                  <c:v>-32.541834017697255</c:v>
                </c:pt>
                <c:pt idx="491">
                  <c:v>-32.993631460380527</c:v>
                </c:pt>
                <c:pt idx="492">
                  <c:v>-33.443541952294339</c:v>
                </c:pt>
                <c:pt idx="493">
                  <c:v>-33.901982460311302</c:v>
                </c:pt>
                <c:pt idx="494">
                  <c:v>-34.358474158793058</c:v>
                </c:pt>
                <c:pt idx="495">
                  <c:v>-34.813030496601186</c:v>
                </c:pt>
                <c:pt idx="496">
                  <c:v>-35.265664789702583</c:v>
                </c:pt>
                <c:pt idx="497">
                  <c:v>-35.72691076476039</c:v>
                </c:pt>
                <c:pt idx="498">
                  <c:v>-36.186171520256039</c:v>
                </c:pt>
                <c:pt idx="499">
                  <c:v>-36.643460903495679</c:v>
                </c:pt>
                <c:pt idx="500">
                  <c:v>-37.098792620928293</c:v>
                </c:pt>
                <c:pt idx="501">
                  <c:v>-37.562807987416988</c:v>
                </c:pt>
                <c:pt idx="502">
                  <c:v>-38.024801235404482</c:v>
                </c:pt>
                <c:pt idx="503">
                  <c:v>-38.484786610337693</c:v>
                </c:pt>
                <c:pt idx="504">
                  <c:v>-38.942778208905366</c:v>
                </c:pt>
                <c:pt idx="505">
                  <c:v>-39.409233618666974</c:v>
                </c:pt>
                <c:pt idx="506">
                  <c:v>-39.873632046898905</c:v>
                </c:pt>
                <c:pt idx="507">
                  <c:v>-40.335988110086845</c:v>
                </c:pt>
                <c:pt idx="508">
                  <c:v>-40.796316268512726</c:v>
                </c:pt>
                <c:pt idx="509">
                  <c:v>-41.265168729259784</c:v>
                </c:pt>
                <c:pt idx="510">
                  <c:v>-41.731928869559738</c:v>
                </c:pt>
                <c:pt idx="511">
                  <c:v>-42.196611676242753</c:v>
                </c:pt>
                <c:pt idx="512">
                  <c:v>-42.659231972596814</c:v>
                </c:pt>
                <c:pt idx="513">
                  <c:v>-43.130700194220026</c:v>
                </c:pt>
                <c:pt idx="514">
                  <c:v>-43.600037859364903</c:v>
                </c:pt>
                <c:pt idx="515">
                  <c:v>-44.06726035087874</c:v>
                </c:pt>
                <c:pt idx="516">
                  <c:v>-44.532382880454605</c:v>
                </c:pt>
                <c:pt idx="517">
                  <c:v>-45.006120575333171</c:v>
                </c:pt>
                <c:pt idx="518">
                  <c:v>-45.477691583299645</c:v>
                </c:pt>
                <c:pt idx="519">
                  <c:v>-45.947111655223352</c:v>
                </c:pt>
                <c:pt idx="520">
                  <c:v>-46.414396363729793</c:v>
                </c:pt>
                <c:pt idx="521">
                  <c:v>-46.890329358290984</c:v>
                </c:pt>
                <c:pt idx="522">
                  <c:v>-47.364059169578411</c:v>
                </c:pt>
                <c:pt idx="523">
                  <c:v>-47.83560191526405</c:v>
                </c:pt>
                <c:pt idx="524">
                  <c:v>-48.304973527827684</c:v>
                </c:pt>
                <c:pt idx="525">
                  <c:v>-48.783017740140536</c:v>
                </c:pt>
                <c:pt idx="526">
                  <c:v>-49.258821943666078</c:v>
                </c:pt>
                <c:pt idx="527">
                  <c:v>-49.732402621549937</c:v>
                </c:pt>
                <c:pt idx="528">
                  <c:v>-50.203776064950432</c:v>
                </c:pt>
                <c:pt idx="529">
                  <c:v>-50.683837765941007</c:v>
                </c:pt>
                <c:pt idx="530">
                  <c:v>-51.161622340536354</c:v>
                </c:pt>
                <c:pt idx="531">
                  <c:v>-51.637146635947744</c:v>
                </c:pt>
                <c:pt idx="532">
                  <c:v>-52.110427300763831</c:v>
                </c:pt>
                <c:pt idx="533">
                  <c:v>-52.592651605381946</c:v>
                </c:pt>
                <c:pt idx="534">
                  <c:v>-53.072559029871428</c:v>
                </c:pt>
                <c:pt idx="535">
                  <c:v>-53.550166810558693</c:v>
                </c:pt>
                <c:pt idx="536">
                  <c:v>-54.025491978259652</c:v>
                </c:pt>
                <c:pt idx="537">
                  <c:v>-54.509265441293849</c:v>
                </c:pt>
                <c:pt idx="538">
                  <c:v>-54.990686852317936</c:v>
                </c:pt>
                <c:pt idx="539">
                  <c:v>-55.469773781847778</c:v>
                </c:pt>
                <c:pt idx="540">
                  <c:v>-55.946543589024145</c:v>
                </c:pt>
                <c:pt idx="541">
                  <c:v>-56.432236950155982</c:v>
                </c:pt>
                <c:pt idx="542">
                  <c:v>-56.915538143386868</c:v>
                </c:pt>
                <c:pt idx="543">
                  <c:v>-57.396465125264314</c:v>
                </c:pt>
                <c:pt idx="544">
                  <c:v>-57.875035634423966</c:v>
                </c:pt>
                <c:pt idx="545">
                  <c:v>-58.362271101608172</c:v>
                </c:pt>
                <c:pt idx="546">
                  <c:v>-58.847076546790078</c:v>
                </c:pt>
                <c:pt idx="547">
                  <c:v>-59.32947028422879</c:v>
                </c:pt>
                <c:pt idx="548">
                  <c:v>-59.809470404353306</c:v>
                </c:pt>
                <c:pt idx="549">
                  <c:v>-60.298110156413657</c:v>
                </c:pt>
                <c:pt idx="550">
                  <c:v>-60.784281933333006</c:v>
                </c:pt>
                <c:pt idx="551">
                  <c:v>-61.268004405717676</c:v>
                </c:pt>
                <c:pt idx="552">
                  <c:v>-61.749296014617101</c:v>
                </c:pt>
                <c:pt idx="553">
                  <c:v>-62.239419101239662</c:v>
                </c:pt>
                <c:pt idx="554">
                  <c:v>-62.727033903301248</c:v>
                </c:pt>
                <c:pt idx="555">
                  <c:v>-63.21215947261598</c:v>
                </c:pt>
                <c:pt idx="556">
                  <c:v>-63.694814625481172</c:v>
                </c:pt>
                <c:pt idx="557">
                  <c:v>-64.675144397074433</c:v>
                </c:pt>
                <c:pt idx="558">
                  <c:v>-65.645357490306139</c:v>
                </c:pt>
                <c:pt idx="559">
                  <c:v>-66.627501057428248</c:v>
                </c:pt>
                <c:pt idx="560">
                  <c:v>-67.599377772021256</c:v>
                </c:pt>
                <c:pt idx="561">
                  <c:v>-68.583840101671683</c:v>
                </c:pt>
                <c:pt idx="562">
                  <c:v>-69.557867921218588</c:v>
                </c:pt>
                <c:pt idx="563">
                  <c:v>-70.542189613553546</c:v>
                </c:pt>
                <c:pt idx="564">
                  <c:v>-71.515954226416</c:v>
                </c:pt>
                <c:pt idx="565">
                  <c:v>-72.503476005736019</c:v>
                </c:pt>
                <c:pt idx="566">
                  <c:v>-73.480239303806343</c:v>
                </c:pt>
                <c:pt idx="567">
                  <c:v>-74.470034883615739</c:v>
                </c:pt>
                <c:pt idx="568">
                  <c:v>-75.448881742944621</c:v>
                </c:pt>
                <c:pt idx="569">
                  <c:v>-76.436200694781064</c:v>
                </c:pt>
                <c:pt idx="570">
                  <c:v>-77.412477859666069</c:v>
                </c:pt>
                <c:pt idx="571">
                  <c:v>-78.404232666489293</c:v>
                </c:pt>
                <c:pt idx="572">
                  <c:v>-79.384690053594454</c:v>
                </c:pt>
                <c:pt idx="573">
                  <c:v>-80.372416910199036</c:v>
                </c:pt>
                <c:pt idx="574">
                  <c:v>-81.348773696704257</c:v>
                </c:pt>
                <c:pt idx="575">
                  <c:v>-82.339091597347135</c:v>
                </c:pt>
                <c:pt idx="576">
                  <c:v>-83.317806877427074</c:v>
                </c:pt>
                <c:pt idx="577">
                  <c:v>-87.336824907679443</c:v>
                </c:pt>
                <c:pt idx="578">
                  <c:v>-91.163942565951686</c:v>
                </c:pt>
                <c:pt idx="579">
                  <c:v>-98.935199188320723</c:v>
                </c:pt>
                <c:pt idx="580">
                  <c:v>-106.59303479301951</c:v>
                </c:pt>
                <c:pt idx="581">
                  <c:v>-114.07159818754451</c:v>
                </c:pt>
                <c:pt idx="582">
                  <c:v>-121.31904190605132</c:v>
                </c:pt>
                <c:pt idx="583">
                  <c:v>-128.27349884140335</c:v>
                </c:pt>
                <c:pt idx="584">
                  <c:v>-134.88615734266011</c:v>
                </c:pt>
                <c:pt idx="585">
                  <c:v>-141.1041159339411</c:v>
                </c:pt>
                <c:pt idx="586">
                  <c:v>-146.88681124142158</c:v>
                </c:pt>
                <c:pt idx="587">
                  <c:v>-152.20470840693594</c:v>
                </c:pt>
                <c:pt idx="588">
                  <c:v>-157.0309809398218</c:v>
                </c:pt>
                <c:pt idx="589">
                  <c:v>-161.35903503832242</c:v>
                </c:pt>
                <c:pt idx="590">
                  <c:v>-165.18751594875806</c:v>
                </c:pt>
                <c:pt idx="591">
                  <c:v>-168.52765618663932</c:v>
                </c:pt>
                <c:pt idx="592">
                  <c:v>-171.39919292827727</c:v>
                </c:pt>
                <c:pt idx="593">
                  <c:v>-173.83084466190559</c:v>
                </c:pt>
                <c:pt idx="594">
                  <c:v>-175.85591169875846</c:v>
                </c:pt>
                <c:pt idx="595">
                  <c:v>-177.51308677632949</c:v>
                </c:pt>
                <c:pt idx="596">
                  <c:v>-178.842795769335</c:v>
                </c:pt>
                <c:pt idx="597">
                  <c:v>-179.88685425306733</c:v>
                </c:pt>
                <c:pt idx="598">
                  <c:v>179.31421639741802</c:v>
                </c:pt>
                <c:pt idx="599">
                  <c:v>178.72145578378348</c:v>
                </c:pt>
                <c:pt idx="600">
                  <c:v>178.2992131453916</c:v>
                </c:pt>
              </c:numCache>
            </c:numRef>
          </c:yVal>
          <c:smooth val="0"/>
          <c:extLst>
            <c:ext xmlns:c16="http://schemas.microsoft.com/office/drawing/2014/chart" uri="{C3380CC4-5D6E-409C-BE32-E72D297353CC}">
              <c16:uniqueId val="{0000000D-7588-4C4D-931A-D1F28735AE62}"/>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E-7588-4C4D-931A-D1F28735AE62}"/>
              </c:ext>
            </c:extLst>
          </c:dPt>
          <c:xVal>
            <c:numRef>
              <c:f>'Stability Calculations'!$B$617:$B$618</c:f>
              <c:numCache>
                <c:formatCode>General</c:formatCode>
                <c:ptCount val="2"/>
                <c:pt idx="0">
                  <c:v>3981.1</c:v>
                </c:pt>
                <c:pt idx="1">
                  <c:v>3981.1</c:v>
                </c:pt>
              </c:numCache>
            </c:numRef>
          </c:xVal>
          <c:yVal>
            <c:numRef>
              <c:f>'Stability Calculations'!$Y$617:$Y$618</c:f>
              <c:numCache>
                <c:formatCode>0.00</c:formatCode>
                <c:ptCount val="2"/>
                <c:pt idx="0">
                  <c:v>71.686068627307321</c:v>
                </c:pt>
                <c:pt idx="1">
                  <c:v>0</c:v>
                </c:pt>
              </c:numCache>
            </c:numRef>
          </c:yVal>
          <c:smooth val="0"/>
          <c:extLst>
            <c:ext xmlns:c16="http://schemas.microsoft.com/office/drawing/2014/chart" uri="{C3380CC4-5D6E-409C-BE32-E72D297353CC}">
              <c16:uniqueId val="{0000000F-7588-4C4D-931A-D1F28735AE62}"/>
            </c:ext>
          </c:extLst>
        </c:ser>
        <c:ser>
          <c:idx val="0"/>
          <c:order val="8"/>
          <c:tx>
            <c:v>Fc2</c:v>
          </c:tx>
          <c:spPr>
            <a:ln w="22225">
              <a:solidFill>
                <a:schemeClr val="tx1">
                  <a:lumMod val="50000"/>
                  <a:lumOff val="50000"/>
                </a:schemeClr>
              </a:solidFill>
              <a:prstDash val="sysDash"/>
            </a:ln>
          </c:spPr>
          <c:marker>
            <c:symbol val="none"/>
          </c:marker>
          <c:dLbls>
            <c:dLbl>
              <c:idx val="1"/>
              <c:layout>
                <c:manualLayout>
                  <c:x val="-5.4702293288449298E-2"/>
                  <c:y val="-1.88634230614630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7588-4C4D-931A-D1F28735AE62}"/>
                </c:ext>
              </c:extLst>
            </c:dLbl>
            <c:spPr>
              <a:solidFill>
                <a:schemeClr val="lt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'Stability Calculations'!$B$619:$B$620</c:f>
              <c:numCache>
                <c:formatCode>General</c:formatCode>
                <c:ptCount val="2"/>
                <c:pt idx="0">
                  <c:v>3981.1</c:v>
                </c:pt>
                <c:pt idx="1">
                  <c:v>1000000</c:v>
                </c:pt>
              </c:numCache>
            </c:numRef>
          </c:xVal>
          <c:yVal>
            <c:numRef>
              <c:f>'Stability Calculations'!$Y$619:$Y$620</c:f>
              <c:numCache>
                <c:formatCode>0.00</c:formatCode>
                <c:ptCount val="2"/>
                <c:pt idx="0">
                  <c:v>71.686068627307321</c:v>
                </c:pt>
                <c:pt idx="1">
                  <c:v>71.686068627307321</c:v>
                </c:pt>
              </c:numCache>
            </c:numRef>
          </c:yVal>
          <c:smooth val="0"/>
          <c:extLst>
            <c:ext xmlns:c16="http://schemas.microsoft.com/office/drawing/2014/chart" uri="{C3380CC4-5D6E-409C-BE32-E72D297353CC}">
              <c16:uniqueId val="{00000011-7588-4C4D-931A-D1F28735AE62}"/>
            </c:ext>
          </c:extLst>
        </c:ser>
        <c:dLbls>
          <c:showLegendKey val="0"/>
          <c:showVal val="0"/>
          <c:showCatName val="0"/>
          <c:showSerName val="0"/>
          <c:showPercent val="0"/>
          <c:showBubbleSize val="0"/>
        </c:dLbls>
        <c:axId val="196142976"/>
        <c:axId val="196144512"/>
      </c:scatterChart>
      <c:valAx>
        <c:axId val="196130688"/>
        <c:scaling>
          <c:logBase val="10"/>
          <c:orientation val="minMax"/>
          <c:max val="1000000"/>
          <c:min val="1"/>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96141056"/>
        <c:crossesAt val="-80"/>
        <c:crossBetween val="midCat"/>
      </c:valAx>
      <c:valAx>
        <c:axId val="196141056"/>
        <c:scaling>
          <c:orientation val="minMax"/>
          <c:max val="80"/>
          <c:min val="-8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130688"/>
        <c:crossesAt val="1.0000000000000005E-2"/>
        <c:crossBetween val="midCat"/>
        <c:majorUnit val="20"/>
      </c:valAx>
      <c:valAx>
        <c:axId val="196142976"/>
        <c:scaling>
          <c:logBase val="10"/>
          <c:orientation val="minMax"/>
        </c:scaling>
        <c:delete val="1"/>
        <c:axPos val="b"/>
        <c:numFmt formatCode="General" sourceLinked="1"/>
        <c:majorTickMark val="out"/>
        <c:minorTickMark val="none"/>
        <c:tickLblPos val="none"/>
        <c:crossAx val="196144512"/>
        <c:crosses val="autoZero"/>
        <c:crossBetween val="midCat"/>
      </c:valAx>
      <c:valAx>
        <c:axId val="196144512"/>
        <c:scaling>
          <c:orientation val="minMax"/>
          <c:max val="180"/>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 Phase</a:t>
                </a:r>
                <a:r>
                  <a:rPr lang="en-US" sz="1200" b="1" baseline="0">
                    <a:solidFill>
                      <a:srgbClr val="002060"/>
                    </a:solidFill>
                    <a:latin typeface="Arial" pitchFamily="34" charset="0"/>
                    <a:cs typeface="Arial" pitchFamily="34" charset="0"/>
                  </a:rPr>
                  <a:t> Margin</a:t>
                </a:r>
                <a:r>
                  <a:rPr lang="en-US" sz="1200" b="1">
                    <a:solidFill>
                      <a:srgbClr val="002060"/>
                    </a:solidFill>
                    <a:latin typeface="Arial" pitchFamily="34" charset="0"/>
                    <a:cs typeface="Arial" pitchFamily="34" charset="0"/>
                  </a:rPr>
                  <a:t>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96142976"/>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smoothMarker"/>
        <c:varyColors val="0"/>
        <c:ser>
          <c:idx val="2"/>
          <c:order val="0"/>
          <c:tx>
            <c:v>Loop Gain</c:v>
          </c:tx>
          <c:spPr>
            <a:ln w="31750">
              <a:solidFill>
                <a:srgbClr val="FF0000"/>
              </a:solidFill>
              <a:prstDash val="solid"/>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Calculations'!$AW$13:$AW$613</c:f>
              <c:numCache>
                <c:formatCode>0.0000</c:formatCode>
                <c:ptCount val="601"/>
                <c:pt idx="0">
                  <c:v>53.301693918165824</c:v>
                </c:pt>
                <c:pt idx="1">
                  <c:v>53.239748324832263</c:v>
                </c:pt>
                <c:pt idx="2">
                  <c:v>53.16643036699395</c:v>
                </c:pt>
                <c:pt idx="3">
                  <c:v>53.079895592729542</c:v>
                </c:pt>
                <c:pt idx="4">
                  <c:v>52.978165581215954</c:v>
                </c:pt>
                <c:pt idx="5">
                  <c:v>52.858817701551651</c:v>
                </c:pt>
                <c:pt idx="6">
                  <c:v>52.719591905694287</c:v>
                </c:pt>
                <c:pt idx="7">
                  <c:v>52.557860438473305</c:v>
                </c:pt>
                <c:pt idx="8">
                  <c:v>52.371146720827966</c:v>
                </c:pt>
                <c:pt idx="9">
                  <c:v>52.156732879016488</c:v>
                </c:pt>
                <c:pt idx="10">
                  <c:v>51.912278325094114</c:v>
                </c:pt>
                <c:pt idx="11">
                  <c:v>51.635534839826988</c:v>
                </c:pt>
                <c:pt idx="12">
                  <c:v>51.324455837274883</c:v>
                </c:pt>
                <c:pt idx="13">
                  <c:v>50.977915854884259</c:v>
                </c:pt>
                <c:pt idx="14">
                  <c:v>50.594764153352749</c:v>
                </c:pt>
                <c:pt idx="15">
                  <c:v>50.174850700819619</c:v>
                </c:pt>
                <c:pt idx="16">
                  <c:v>49.718478789654682</c:v>
                </c:pt>
                <c:pt idx="17">
                  <c:v>49.226649319401346</c:v>
                </c:pt>
                <c:pt idx="18">
                  <c:v>48.700683243681283</c:v>
                </c:pt>
                <c:pt idx="19">
                  <c:v>48.14263011644843</c:v>
                </c:pt>
                <c:pt idx="20">
                  <c:v>47.554627678729553</c:v>
                </c:pt>
                <c:pt idx="21">
                  <c:v>46.939266438095892</c:v>
                </c:pt>
                <c:pt idx="22">
                  <c:v>46.298996308623863</c:v>
                </c:pt>
                <c:pt idx="23">
                  <c:v>45.636570464133392</c:v>
                </c:pt>
                <c:pt idx="24">
                  <c:v>44.954347181110272</c:v>
                </c:pt>
                <c:pt idx="25">
                  <c:v>44.254827150455746</c:v>
                </c:pt>
                <c:pt idx="26">
                  <c:v>43.540071252569234</c:v>
                </c:pt>
                <c:pt idx="27">
                  <c:v>42.812338309138902</c:v>
                </c:pt>
                <c:pt idx="28">
                  <c:v>42.073431316785573</c:v>
                </c:pt>
                <c:pt idx="29">
                  <c:v>41.325442642861823</c:v>
                </c:pt>
                <c:pt idx="30">
                  <c:v>40.568528697379087</c:v>
                </c:pt>
                <c:pt idx="31">
                  <c:v>39.804981542257806</c:v>
                </c:pt>
                <c:pt idx="32">
                  <c:v>39.0353590500062</c:v>
                </c:pt>
                <c:pt idx="33">
                  <c:v>38.261134392118528</c:v>
                </c:pt>
                <c:pt idx="34">
                  <c:v>37.482501960520068</c:v>
                </c:pt>
                <c:pt idx="35">
                  <c:v>36.700573630965401</c:v>
                </c:pt>
                <c:pt idx="36">
                  <c:v>35.915804970307569</c:v>
                </c:pt>
                <c:pt idx="37">
                  <c:v>35.128259498387003</c:v>
                </c:pt>
                <c:pt idx="38">
                  <c:v>34.339101399958103</c:v>
                </c:pt>
                <c:pt idx="39">
                  <c:v>33.548047493198695</c:v>
                </c:pt>
                <c:pt idx="40">
                  <c:v>32.755696144619996</c:v>
                </c:pt>
                <c:pt idx="41">
                  <c:v>31.9622354775607</c:v>
                </c:pt>
                <c:pt idx="42">
                  <c:v>31.167995080843664</c:v>
                </c:pt>
                <c:pt idx="43">
                  <c:v>30.372932252563984</c:v>
                </c:pt>
                <c:pt idx="44">
                  <c:v>29.577425769478978</c:v>
                </c:pt>
                <c:pt idx="45">
                  <c:v>28.781464737739295</c:v>
                </c:pt>
                <c:pt idx="46">
                  <c:v>27.985346547163026</c:v>
                </c:pt>
                <c:pt idx="47">
                  <c:v>27.189028074359594</c:v>
                </c:pt>
                <c:pt idx="48">
                  <c:v>26.392829453902596</c:v>
                </c:pt>
                <c:pt idx="49">
                  <c:v>25.596671488990278</c:v>
                </c:pt>
                <c:pt idx="50">
                  <c:v>24.800805296395559</c:v>
                </c:pt>
                <c:pt idx="51">
                  <c:v>24.005182037300109</c:v>
                </c:pt>
                <c:pt idx="52">
                  <c:v>23.210204541651827</c:v>
                </c:pt>
                <c:pt idx="53">
                  <c:v>22.416008832086156</c:v>
                </c:pt>
                <c:pt idx="54">
                  <c:v>21.623276940061519</c:v>
                </c:pt>
                <c:pt idx="55">
                  <c:v>20.830886776324018</c:v>
                </c:pt>
                <c:pt idx="56">
                  <c:v>20.040198771132207</c:v>
                </c:pt>
                <c:pt idx="57">
                  <c:v>19.250969397429365</c:v>
                </c:pt>
                <c:pt idx="58">
                  <c:v>18.464101317502926</c:v>
                </c:pt>
                <c:pt idx="59">
                  <c:v>17.679383525959409</c:v>
                </c:pt>
                <c:pt idx="60">
                  <c:v>16.897717004834185</c:v>
                </c:pt>
                <c:pt idx="61">
                  <c:v>16.119510054612412</c:v>
                </c:pt>
                <c:pt idx="62">
                  <c:v>15.344952503104794</c:v>
                </c:pt>
                <c:pt idx="63">
                  <c:v>14.575470882565625</c:v>
                </c:pt>
                <c:pt idx="64">
                  <c:v>13.81121845003479</c:v>
                </c:pt>
                <c:pt idx="65">
                  <c:v>13.053344280734212</c:v>
                </c:pt>
                <c:pt idx="66">
                  <c:v>12.302716835035572</c:v>
                </c:pt>
                <c:pt idx="67">
                  <c:v>11.560432690214807</c:v>
                </c:pt>
                <c:pt idx="68">
                  <c:v>10.827303049973775</c:v>
                </c:pt>
                <c:pt idx="69">
                  <c:v>10.104548006414262</c:v>
                </c:pt>
                <c:pt idx="70">
                  <c:v>9.3929884329074174</c:v>
                </c:pt>
                <c:pt idx="71">
                  <c:v>8.6936088683760779</c:v>
                </c:pt>
                <c:pt idx="72">
                  <c:v>8.0068931093460129</c:v>
                </c:pt>
                <c:pt idx="73">
                  <c:v>7.3333473662054152</c:v>
                </c:pt>
                <c:pt idx="74">
                  <c:v>6.6727501036333559</c:v>
                </c:pt>
                <c:pt idx="75">
                  <c:v>6.0246887364561621</c:v>
                </c:pt>
                <c:pt idx="76">
                  <c:v>5.3879751801707352</c:v>
                </c:pt>
                <c:pt idx="77">
                  <c:v>4.7612300960688252</c:v>
                </c:pt>
                <c:pt idx="78">
                  <c:v>4.1423272374887183</c:v>
                </c:pt>
                <c:pt idx="79">
                  <c:v>3.5291101366330091</c:v>
                </c:pt>
                <c:pt idx="80">
                  <c:v>2.9177008738274282</c:v>
                </c:pt>
                <c:pt idx="81">
                  <c:v>2.3059692939195435</c:v>
                </c:pt>
                <c:pt idx="82">
                  <c:v>1.6905511665142912</c:v>
                </c:pt>
                <c:pt idx="83">
                  <c:v>1.0691552419408294</c:v>
                </c:pt>
                <c:pt idx="84">
                  <c:v>0.43894047338946834</c:v>
                </c:pt>
                <c:pt idx="85">
                  <c:v>-0.20162373793281216</c:v>
                </c:pt>
                <c:pt idx="86">
                  <c:v>-0.85397745160060834</c:v>
                </c:pt>
                <c:pt idx="87">
                  <c:v>-1.5192814807381418</c:v>
                </c:pt>
                <c:pt idx="88">
                  <c:v>-2.1971947060390633</c:v>
                </c:pt>
                <c:pt idx="89">
                  <c:v>-2.8881105867253871</c:v>
                </c:pt>
                <c:pt idx="90">
                  <c:v>-3.59126599028327</c:v>
                </c:pt>
                <c:pt idx="91">
                  <c:v>-4.3059470334908019</c:v>
                </c:pt>
                <c:pt idx="92">
                  <c:v>-5.0310991841719854</c:v>
                </c:pt>
                <c:pt idx="93">
                  <c:v>-5.7658756068314299</c:v>
                </c:pt>
                <c:pt idx="94">
                  <c:v>-5.9508501404244374</c:v>
                </c:pt>
                <c:pt idx="95">
                  <c:v>-6.044102903210451</c:v>
                </c:pt>
                <c:pt idx="96">
                  <c:v>-6.1364121764063206</c:v>
                </c:pt>
                <c:pt idx="97">
                  <c:v>-6.2299033889387276</c:v>
                </c:pt>
                <c:pt idx="98">
                  <c:v>-6.3224441542832732</c:v>
                </c:pt>
                <c:pt idx="99">
                  <c:v>-6.4161885795629985</c:v>
                </c:pt>
                <c:pt idx="100">
                  <c:v>-6.5089752447699789</c:v>
                </c:pt>
                <c:pt idx="101">
                  <c:v>-6.6029149614242799</c:v>
                </c:pt>
                <c:pt idx="102">
                  <c:v>-6.6958907346265564</c:v>
                </c:pt>
                <c:pt idx="103">
                  <c:v>-6.7901073956562747</c:v>
                </c:pt>
                <c:pt idx="104">
                  <c:v>-6.8833522154927049</c:v>
                </c:pt>
                <c:pt idx="105">
                  <c:v>-6.977785296694937</c:v>
                </c:pt>
                <c:pt idx="106">
                  <c:v>-7.0712398346908696</c:v>
                </c:pt>
                <c:pt idx="107">
                  <c:v>-7.1658319094271921</c:v>
                </c:pt>
                <c:pt idx="108">
                  <c:v>-7.2594398913413807</c:v>
                </c:pt>
                <c:pt idx="109">
                  <c:v>-7.3542007297366343</c:v>
                </c:pt>
                <c:pt idx="110">
                  <c:v>-7.4479716985537774</c:v>
                </c:pt>
                <c:pt idx="111">
                  <c:v>-7.5429715106361588</c:v>
                </c:pt>
                <c:pt idx="112">
                  <c:v>-7.6369741854585893</c:v>
                </c:pt>
                <c:pt idx="113">
                  <c:v>-7.7321526483717573</c:v>
                </c:pt>
                <c:pt idx="114">
                  <c:v>-7.8263279341938468</c:v>
                </c:pt>
                <c:pt idx="115">
                  <c:v>-7.921688160249718</c:v>
                </c:pt>
                <c:pt idx="116">
                  <c:v>-8.0160390787250542</c:v>
                </c:pt>
                <c:pt idx="117">
                  <c:v>-8.1115822265989639</c:v>
                </c:pt>
                <c:pt idx="118">
                  <c:v>-8.2061098861785524</c:v>
                </c:pt>
                <c:pt idx="119">
                  <c:v>-8.3017775925978761</c:v>
                </c:pt>
                <c:pt idx="120">
                  <c:v>-8.3964248431900206</c:v>
                </c:pt>
                <c:pt idx="121">
                  <c:v>-8.492218444394128</c:v>
                </c:pt>
                <c:pt idx="122">
                  <c:v>-8.5869865775912828</c:v>
                </c:pt>
                <c:pt idx="123">
                  <c:v>-8.6829609907057943</c:v>
                </c:pt>
                <c:pt idx="124">
                  <c:v>-8.7779037314347406</c:v>
                </c:pt>
                <c:pt idx="125">
                  <c:v>-8.87399939118567</c:v>
                </c:pt>
                <c:pt idx="126">
                  <c:v>-8.9690584241147846</c:v>
                </c:pt>
                <c:pt idx="127">
                  <c:v>-9.0652720188440821</c:v>
                </c:pt>
                <c:pt idx="128">
                  <c:v>-9.1604440836786996</c:v>
                </c:pt>
                <c:pt idx="129">
                  <c:v>-9.2567709616200382</c:v>
                </c:pt>
                <c:pt idx="130">
                  <c:v>-9.3520514856586221</c:v>
                </c:pt>
                <c:pt idx="131">
                  <c:v>-9.4484857623667775</c:v>
                </c:pt>
                <c:pt idx="132">
                  <c:v>-9.496307389473893</c:v>
                </c:pt>
                <c:pt idx="133">
                  <c:v>-9.5438689657300468</c:v>
                </c:pt>
                <c:pt idx="134">
                  <c:v>-9.592294552381853</c:v>
                </c:pt>
                <c:pt idx="135">
                  <c:v>-9.6404531892799774</c:v>
                </c:pt>
                <c:pt idx="136">
                  <c:v>-9.6883476507850688</c:v>
                </c:pt>
                <c:pt idx="137">
                  <c:v>-9.7359806690062083</c:v>
                </c:pt>
                <c:pt idx="138">
                  <c:v>-9.7844275281546071</c:v>
                </c:pt>
                <c:pt idx="139">
                  <c:v>-9.8326065860672163</c:v>
                </c:pt>
                <c:pt idx="140">
                  <c:v>-9.8805206334560776</c:v>
                </c:pt>
                <c:pt idx="141">
                  <c:v>-9.9281724183740785</c:v>
                </c:pt>
                <c:pt idx="142">
                  <c:v>-9.9766853503648729</c:v>
                </c:pt>
                <c:pt idx="143">
                  <c:v>-10.024929128946013</c:v>
                </c:pt>
                <c:pt idx="144">
                  <c:v>-10.072906568888932</c:v>
                </c:pt>
                <c:pt idx="145">
                  <c:v>-10.120620441738621</c:v>
                </c:pt>
                <c:pt idx="146">
                  <c:v>-10.169169615023621</c:v>
                </c:pt>
                <c:pt idx="147">
                  <c:v>-10.217448604391357</c:v>
                </c:pt>
                <c:pt idx="148">
                  <c:v>-10.2654602435403</c:v>
                </c:pt>
                <c:pt idx="149">
                  <c:v>-10.313207322479583</c:v>
                </c:pt>
                <c:pt idx="150">
                  <c:v>-10.361787438563573</c:v>
                </c:pt>
                <c:pt idx="151">
                  <c:v>-10.410096391278516</c:v>
                </c:pt>
                <c:pt idx="152">
                  <c:v>-10.458137032321424</c:v>
                </c:pt>
                <c:pt idx="153">
                  <c:v>-10.505912169254625</c:v>
                </c:pt>
                <c:pt idx="154">
                  <c:v>-10.554539888375686</c:v>
                </c:pt>
                <c:pt idx="155">
                  <c:v>-10.602895270075985</c:v>
                </c:pt>
                <c:pt idx="156">
                  <c:v>-10.650981186984232</c:v>
                </c:pt>
                <c:pt idx="157">
                  <c:v>-10.698800467087384</c:v>
                </c:pt>
                <c:pt idx="158">
                  <c:v>-10.74746835514922</c:v>
                </c:pt>
                <c:pt idx="159">
                  <c:v>-10.795862804152916</c:v>
                </c:pt>
                <c:pt idx="160">
                  <c:v>-10.84398670638619</c:v>
                </c:pt>
                <c:pt idx="161">
                  <c:v>-10.891842909012635</c:v>
                </c:pt>
                <c:pt idx="162">
                  <c:v>-10.940521988306052</c:v>
                </c:pt>
                <c:pt idx="163">
                  <c:v>-10.98892684129008</c:v>
                </c:pt>
                <c:pt idx="164">
                  <c:v>-11.0370603747823</c:v>
                </c:pt>
                <c:pt idx="165">
                  <c:v>-11.084925450101142</c:v>
                </c:pt>
                <c:pt idx="166">
                  <c:v>-11.133651017053086</c:v>
                </c:pt>
                <c:pt idx="167">
                  <c:v>-11.182101162366653</c:v>
                </c:pt>
                <c:pt idx="168">
                  <c:v>-11.230278813704832</c:v>
                </c:pt>
                <c:pt idx="169">
                  <c:v>-11.278186852724719</c:v>
                </c:pt>
                <c:pt idx="170">
                  <c:v>-11.326847557600617</c:v>
                </c:pt>
                <c:pt idx="171">
                  <c:v>-11.375232889741332</c:v>
                </c:pt>
                <c:pt idx="172">
                  <c:v>-11.423345777691177</c:v>
                </c:pt>
                <c:pt idx="173">
                  <c:v>-11.471189103899446</c:v>
                </c:pt>
                <c:pt idx="174">
                  <c:v>-11.519961693423467</c:v>
                </c:pt>
                <c:pt idx="175">
                  <c:v>-11.568456949596925</c:v>
                </c:pt>
                <c:pt idx="176">
                  <c:v>-11.616677833673927</c:v>
                </c:pt>
                <c:pt idx="177">
                  <c:v>-11.664627260059204</c:v>
                </c:pt>
                <c:pt idx="178">
                  <c:v>-11.713477217443501</c:v>
                </c:pt>
                <c:pt idx="179">
                  <c:v>-11.762048250207753</c:v>
                </c:pt>
                <c:pt idx="180">
                  <c:v>-11.810343346319961</c:v>
                </c:pt>
                <c:pt idx="181">
                  <c:v>-11.858365446267882</c:v>
                </c:pt>
                <c:pt idx="182">
                  <c:v>-11.907069748595593</c:v>
                </c:pt>
                <c:pt idx="183">
                  <c:v>-11.955496058793251</c:v>
                </c:pt>
                <c:pt idx="184">
                  <c:v>-12.003647350933054</c:v>
                </c:pt>
                <c:pt idx="185">
                  <c:v>-12.051526551834604</c:v>
                </c:pt>
                <c:pt idx="186">
                  <c:v>-12.100439713596822</c:v>
                </c:pt>
                <c:pt idx="187">
                  <c:v>-12.149071755914216</c:v>
                </c:pt>
                <c:pt idx="188">
                  <c:v>-12.197425703878951</c:v>
                </c:pt>
                <c:pt idx="189">
                  <c:v>-12.245504534186125</c:v>
                </c:pt>
                <c:pt idx="190">
                  <c:v>-12.294220888798503</c:v>
                </c:pt>
                <c:pt idx="191">
                  <c:v>-12.342657617580359</c:v>
                </c:pt>
                <c:pt idx="192">
                  <c:v>-12.390817722213948</c:v>
                </c:pt>
                <c:pt idx="193">
                  <c:v>-12.438704156420277</c:v>
                </c:pt>
                <c:pt idx="194">
                  <c:v>-12.4875645615769</c:v>
                </c:pt>
                <c:pt idx="195">
                  <c:v>-12.53614291049653</c:v>
                </c:pt>
                <c:pt idx="196">
                  <c:v>-12.584442244359657</c:v>
                </c:pt>
                <c:pt idx="197">
                  <c:v>-12.632465555484309</c:v>
                </c:pt>
                <c:pt idx="198">
                  <c:v>-12.681258380446785</c:v>
                </c:pt>
                <c:pt idx="199">
                  <c:v>-12.729769128065673</c:v>
                </c:pt>
                <c:pt idx="200">
                  <c:v>-12.778000840022063</c:v>
                </c:pt>
                <c:pt idx="201">
                  <c:v>-12.825956509067233</c:v>
                </c:pt>
                <c:pt idx="202">
                  <c:v>-12.874657882132478</c:v>
                </c:pt>
                <c:pt idx="203">
                  <c:v>-12.923077415106388</c:v>
                </c:pt>
                <c:pt idx="204">
                  <c:v>-12.971218145778892</c:v>
                </c:pt>
                <c:pt idx="205">
                  <c:v>-13.019083063038856</c:v>
                </c:pt>
                <c:pt idx="206">
                  <c:v>-13.067836551666041</c:v>
                </c:pt>
                <c:pt idx="207">
                  <c:v>-13.116306758143676</c:v>
                </c:pt>
                <c:pt idx="208">
                  <c:v>-13.164496743252091</c:v>
                </c:pt>
                <c:pt idx="209">
                  <c:v>-13.212409518325497</c:v>
                </c:pt>
                <c:pt idx="210">
                  <c:v>-13.261344938487309</c:v>
                </c:pt>
                <c:pt idx="211">
                  <c:v>-13.309994091183695</c:v>
                </c:pt>
                <c:pt idx="212">
                  <c:v>-13.35836008504759</c:v>
                </c:pt>
                <c:pt idx="213">
                  <c:v>-13.406445978183184</c:v>
                </c:pt>
                <c:pt idx="214">
                  <c:v>-13.455204982177463</c:v>
                </c:pt>
                <c:pt idx="215">
                  <c:v>-13.503678877296597</c:v>
                </c:pt>
                <c:pt idx="216">
                  <c:v>-13.551870752618767</c:v>
                </c:pt>
                <c:pt idx="217">
                  <c:v>-13.599783647069145</c:v>
                </c:pt>
                <c:pt idx="218">
                  <c:v>-13.648503538953156</c:v>
                </c:pt>
                <c:pt idx="219">
                  <c:v>-13.696937857291662</c:v>
                </c:pt>
                <c:pt idx="220">
                  <c:v>-13.745089697717244</c:v>
                </c:pt>
                <c:pt idx="221">
                  <c:v>-13.792962105522628</c:v>
                </c:pt>
                <c:pt idx="222">
                  <c:v>-13.841616006160059</c:v>
                </c:pt>
                <c:pt idx="223">
                  <c:v>-13.8899841562563</c:v>
                </c:pt>
                <c:pt idx="224">
                  <c:v>-13.938069653106879</c:v>
                </c:pt>
                <c:pt idx="225">
                  <c:v>-13.985875543589408</c:v>
                </c:pt>
                <c:pt idx="226">
                  <c:v>-14.034585848407444</c:v>
                </c:pt>
                <c:pt idx="227">
                  <c:v>-14.08300875967937</c:v>
                </c:pt>
                <c:pt idx="228">
                  <c:v>-14.131147399933695</c:v>
                </c:pt>
                <c:pt idx="229">
                  <c:v>-14.179004840693125</c:v>
                </c:pt>
                <c:pt idx="230">
                  <c:v>-14.276181696391232</c:v>
                </c:pt>
                <c:pt idx="231">
                  <c:v>-14.324340250970975</c:v>
                </c:pt>
                <c:pt idx="232">
                  <c:v>-14.372216360870276</c:v>
                </c:pt>
                <c:pt idx="233">
                  <c:v>-14.420939587613756</c:v>
                </c:pt>
                <c:pt idx="234">
                  <c:v>-14.469373194516029</c:v>
                </c:pt>
                <c:pt idx="235">
                  <c:v>-14.517520336739189</c:v>
                </c:pt>
                <c:pt idx="236">
                  <c:v>-14.565384117657246</c:v>
                </c:pt>
                <c:pt idx="237">
                  <c:v>-14.61393017133933</c:v>
                </c:pt>
                <c:pt idx="238">
                  <c:v>-14.662187615139825</c:v>
                </c:pt>
                <c:pt idx="239">
                  <c:v>-14.710159585636474</c:v>
                </c:pt>
                <c:pt idx="240">
                  <c:v>-14.757849167992344</c:v>
                </c:pt>
                <c:pt idx="241">
                  <c:v>-14.806467954367758</c:v>
                </c:pt>
                <c:pt idx="242">
                  <c:v>-14.854796139389334</c:v>
                </c:pt>
                <c:pt idx="243">
                  <c:v>-14.902836889681449</c:v>
                </c:pt>
                <c:pt idx="244">
                  <c:v>-14.950593319767549</c:v>
                </c:pt>
                <c:pt idx="245">
                  <c:v>-14.999117412226132</c:v>
                </c:pt>
                <c:pt idx="246">
                  <c:v>-15.047350861976987</c:v>
                </c:pt>
                <c:pt idx="247">
                  <c:v>-15.095296833706231</c:v>
                </c:pt>
                <c:pt idx="248">
                  <c:v>-15.142958440015168</c:v>
                </c:pt>
                <c:pt idx="249">
                  <c:v>-15.191490870970769</c:v>
                </c:pt>
                <c:pt idx="250">
                  <c:v>-15.239731345407412</c:v>
                </c:pt>
                <c:pt idx="251">
                  <c:v>-15.287683046582707</c:v>
                </c:pt>
                <c:pt idx="252">
                  <c:v>-15.3353491052388</c:v>
                </c:pt>
                <c:pt idx="253">
                  <c:v>-15.383732394820562</c:v>
                </c:pt>
                <c:pt idx="254">
                  <c:v>-15.43182425913875</c:v>
                </c:pt>
                <c:pt idx="255">
                  <c:v>-15.479627869726318</c:v>
                </c:pt>
                <c:pt idx="256">
                  <c:v>-15.527146345837483</c:v>
                </c:pt>
                <c:pt idx="257">
                  <c:v>-15.575602775598718</c:v>
                </c:pt>
                <c:pt idx="258">
                  <c:v>-15.623765592710093</c:v>
                </c:pt>
                <c:pt idx="259">
                  <c:v>-15.671638001065649</c:v>
                </c:pt>
                <c:pt idx="260">
                  <c:v>-15.719223151552598</c:v>
                </c:pt>
                <c:pt idx="261">
                  <c:v>-15.767595887265172</c:v>
                </c:pt>
                <c:pt idx="262">
                  <c:v>-15.815674661175516</c:v>
                </c:pt>
                <c:pt idx="263">
                  <c:v>-15.86346267933777</c:v>
                </c:pt>
                <c:pt idx="264">
                  <c:v>-15.910963094737625</c:v>
                </c:pt>
                <c:pt idx="265">
                  <c:v>-15.959225043051365</c:v>
                </c:pt>
                <c:pt idx="266">
                  <c:v>-16.00719296208888</c:v>
                </c:pt>
                <c:pt idx="267">
                  <c:v>-16.054870055255133</c:v>
                </c:pt>
                <c:pt idx="268">
                  <c:v>-16.102259472933923</c:v>
                </c:pt>
                <c:pt idx="269">
                  <c:v>-16.15049861733554</c:v>
                </c:pt>
                <c:pt idx="270">
                  <c:v>-16.198442544227809</c:v>
                </c:pt>
                <c:pt idx="271">
                  <c:v>-16.246094472422694</c:v>
                </c:pt>
                <c:pt idx="272">
                  <c:v>-16.293457567364506</c:v>
                </c:pt>
                <c:pt idx="273">
                  <c:v>-16.341641833975743</c:v>
                </c:pt>
                <c:pt idx="274">
                  <c:v>-16.3895300274568</c:v>
                </c:pt>
                <c:pt idx="275">
                  <c:v>-16.437125376385836</c:v>
                </c:pt>
                <c:pt idx="276">
                  <c:v>-16.484431055753884</c:v>
                </c:pt>
                <c:pt idx="277">
                  <c:v>-16.532422228538568</c:v>
                </c:pt>
                <c:pt idx="278">
                  <c:v>-16.580118112329366</c:v>
                </c:pt>
                <c:pt idx="279">
                  <c:v>-16.627521918548339</c:v>
                </c:pt>
                <c:pt idx="280">
                  <c:v>-16.674636805408603</c:v>
                </c:pt>
                <c:pt idx="281">
                  <c:v>-16.722730439638326</c:v>
                </c:pt>
                <c:pt idx="282">
                  <c:v>-16.770525876096823</c:v>
                </c:pt>
                <c:pt idx="283">
                  <c:v>-16.818026369017389</c:v>
                </c:pt>
                <c:pt idx="284">
                  <c:v>-16.865235118483454</c:v>
                </c:pt>
                <c:pt idx="285">
                  <c:v>-16.913080472962729</c:v>
                </c:pt>
                <c:pt idx="286">
                  <c:v>-16.96062898317129</c:v>
                </c:pt>
                <c:pt idx="287">
                  <c:v>-17.007883876492592</c:v>
                </c:pt>
                <c:pt idx="288">
                  <c:v>-17.054848326761135</c:v>
                </c:pt>
                <c:pt idx="289">
                  <c:v>-17.102728838725998</c:v>
                </c:pt>
                <c:pt idx="290">
                  <c:v>-17.15031028920486</c:v>
                </c:pt>
                <c:pt idx="291">
                  <c:v>-17.197595936710165</c:v>
                </c:pt>
                <c:pt idx="292">
                  <c:v>-17.244588985530356</c:v>
                </c:pt>
                <c:pt idx="293">
                  <c:v>-17.292368474901281</c:v>
                </c:pt>
                <c:pt idx="294">
                  <c:v>-17.339848302901192</c:v>
                </c:pt>
                <c:pt idx="295">
                  <c:v>-17.387031732642665</c:v>
                </c:pt>
                <c:pt idx="296">
                  <c:v>-17.433921972929046</c:v>
                </c:pt>
                <c:pt idx="297">
                  <c:v>-17.481571425600674</c:v>
                </c:pt>
                <c:pt idx="298">
                  <c:v>-17.528920912448093</c:v>
                </c:pt>
                <c:pt idx="299">
                  <c:v>-17.575973696206077</c:v>
                </c:pt>
                <c:pt idx="300">
                  <c:v>-17.622732985330472</c:v>
                </c:pt>
                <c:pt idx="301">
                  <c:v>-17.670225104111079</c:v>
                </c:pt>
                <c:pt idx="302">
                  <c:v>-17.717417228652302</c:v>
                </c:pt>
                <c:pt idx="303">
                  <c:v>-17.764312616681401</c:v>
                </c:pt>
                <c:pt idx="304">
                  <c:v>-17.810914471783214</c:v>
                </c:pt>
                <c:pt idx="305">
                  <c:v>-17.858404976935134</c:v>
                </c:pt>
                <c:pt idx="306">
                  <c:v>-17.905593418988307</c:v>
                </c:pt>
                <c:pt idx="307">
                  <c:v>-17.952483083685454</c:v>
                </c:pt>
                <c:pt idx="308">
                  <c:v>-17.999077202039086</c:v>
                </c:pt>
                <c:pt idx="309">
                  <c:v>-18.046351536226194</c:v>
                </c:pt>
                <c:pt idx="310">
                  <c:v>-18.093324375844315</c:v>
                </c:pt>
                <c:pt idx="311">
                  <c:v>-18.139998991646824</c:v>
                </c:pt>
                <c:pt idx="312">
                  <c:v>-18.186378600025606</c:v>
                </c:pt>
                <c:pt idx="313">
                  <c:v>-18.233586836479493</c:v>
                </c:pt>
                <c:pt idx="314">
                  <c:v>-18.280492162452276</c:v>
                </c:pt>
                <c:pt idx="315">
                  <c:v>-18.32709786583737</c:v>
                </c:pt>
                <c:pt idx="316">
                  <c:v>-18.373407179830679</c:v>
                </c:pt>
                <c:pt idx="317">
                  <c:v>-18.42051535779661</c:v>
                </c:pt>
                <c:pt idx="318">
                  <c:v>-18.467319552798315</c:v>
                </c:pt>
                <c:pt idx="319">
                  <c:v>-18.51382306419012</c:v>
                </c:pt>
                <c:pt idx="320">
                  <c:v>-18.560029136424109</c:v>
                </c:pt>
                <c:pt idx="321">
                  <c:v>-18.607005201330558</c:v>
                </c:pt>
                <c:pt idx="322">
                  <c:v>-18.653676534257158</c:v>
                </c:pt>
                <c:pt idx="323">
                  <c:v>-18.700046440689395</c:v>
                </c:pt>
                <c:pt idx="324">
                  <c:v>-18.746118171130224</c:v>
                </c:pt>
                <c:pt idx="325">
                  <c:v>-18.792931899554432</c:v>
                </c:pt>
                <c:pt idx="326">
                  <c:v>-18.839440450860092</c:v>
                </c:pt>
                <c:pt idx="327">
                  <c:v>-18.885647131687509</c:v>
                </c:pt>
                <c:pt idx="328">
                  <c:v>-18.931555193732343</c:v>
                </c:pt>
                <c:pt idx="329">
                  <c:v>-18.978255826105645</c:v>
                </c:pt>
                <c:pt idx="330">
                  <c:v>-19.024650104524703</c:v>
                </c:pt>
                <c:pt idx="331">
                  <c:v>-19.070741348624992</c:v>
                </c:pt>
                <c:pt idx="332">
                  <c:v>-19.116532822879233</c:v>
                </c:pt>
                <c:pt idx="333">
                  <c:v>-19.163011842360778</c:v>
                </c:pt>
                <c:pt idx="334">
                  <c:v>-19.209184657611186</c:v>
                </c:pt>
                <c:pt idx="335">
                  <c:v>-19.255054579782399</c:v>
                </c:pt>
                <c:pt idx="336">
                  <c:v>-19.300624865128519</c:v>
                </c:pt>
                <c:pt idx="337">
                  <c:v>-19.347004674430835</c:v>
                </c:pt>
                <c:pt idx="338">
                  <c:v>-19.393076726871538</c:v>
                </c:pt>
                <c:pt idx="339">
                  <c:v>-19.438844352719908</c:v>
                </c:pt>
                <c:pt idx="340">
                  <c:v>-19.484310827010273</c:v>
                </c:pt>
                <c:pt idx="341">
                  <c:v>-19.530556335214705</c:v>
                </c:pt>
                <c:pt idx="342">
                  <c:v>-19.57649288755751</c:v>
                </c:pt>
                <c:pt idx="343">
                  <c:v>-19.622123827768842</c:v>
                </c:pt>
                <c:pt idx="344">
                  <c:v>-19.667452444141592</c:v>
                </c:pt>
                <c:pt idx="345">
                  <c:v>-19.713460614831227</c:v>
                </c:pt>
                <c:pt idx="346">
                  <c:v>-19.759159902126115</c:v>
                </c:pt>
                <c:pt idx="347">
                  <c:v>-19.804553642763636</c:v>
                </c:pt>
                <c:pt idx="348">
                  <c:v>-19.849645118299314</c:v>
                </c:pt>
                <c:pt idx="349">
                  <c:v>-19.895526345959485</c:v>
                </c:pt>
                <c:pt idx="350">
                  <c:v>-19.941097183026198</c:v>
                </c:pt>
                <c:pt idx="351">
                  <c:v>-19.986360984949304</c:v>
                </c:pt>
                <c:pt idx="352">
                  <c:v>-20.031321051698136</c:v>
                </c:pt>
                <c:pt idx="353">
                  <c:v>-20.077040316203369</c:v>
                </c:pt>
                <c:pt idx="354">
                  <c:v>-20.122448037247977</c:v>
                </c:pt>
                <c:pt idx="355">
                  <c:v>-20.167547583466728</c:v>
                </c:pt>
                <c:pt idx="356">
                  <c:v>-20.212342267846289</c:v>
                </c:pt>
                <c:pt idx="357">
                  <c:v>-20.257802066266422</c:v>
                </c:pt>
                <c:pt idx="358">
                  <c:v>-20.302950385624193</c:v>
                </c:pt>
                <c:pt idx="359">
                  <c:v>-20.347790588322653</c:v>
                </c:pt>
                <c:pt idx="360">
                  <c:v>-20.392325981384975</c:v>
                </c:pt>
                <c:pt idx="361">
                  <c:v>-20.437625776263758</c:v>
                </c:pt>
                <c:pt idx="362">
                  <c:v>-20.48261269037927</c:v>
                </c:pt>
                <c:pt idx="363">
                  <c:v>-20.527290103910559</c:v>
                </c:pt>
                <c:pt idx="364">
                  <c:v>-20.571661341410756</c:v>
                </c:pt>
                <c:pt idx="365">
                  <c:v>-20.616705553632507</c:v>
                </c:pt>
                <c:pt idx="366">
                  <c:v>-20.66143668339782</c:v>
                </c:pt>
                <c:pt idx="367">
                  <c:v>-20.705858109651345</c:v>
                </c:pt>
                <c:pt idx="368">
                  <c:v>-20.749973155892253</c:v>
                </c:pt>
                <c:pt idx="369">
                  <c:v>-20.794852809106867</c:v>
                </c:pt>
                <c:pt idx="370">
                  <c:v>-20.839417801444931</c:v>
                </c:pt>
                <c:pt idx="371">
                  <c:v>-20.883671533298411</c:v>
                </c:pt>
                <c:pt idx="372">
                  <c:v>-20.927617349313131</c:v>
                </c:pt>
                <c:pt idx="373">
                  <c:v>-20.97223900592876</c:v>
                </c:pt>
                <c:pt idx="374">
                  <c:v>-21.016545605524016</c:v>
                </c:pt>
                <c:pt idx="375">
                  <c:v>-21.06054055134797</c:v>
                </c:pt>
                <c:pt idx="376">
                  <c:v>-21.104227191019586</c:v>
                </c:pt>
                <c:pt idx="377">
                  <c:v>-21.148674061940067</c:v>
                </c:pt>
                <c:pt idx="378">
                  <c:v>-21.192804186301526</c:v>
                </c:pt>
                <c:pt idx="379">
                  <c:v>-21.236620991718041</c:v>
                </c:pt>
                <c:pt idx="380">
                  <c:v>-21.280127849835853</c:v>
                </c:pt>
                <c:pt idx="381">
                  <c:v>-21.324254356831275</c:v>
                </c:pt>
                <c:pt idx="382">
                  <c:v>-21.368064372628019</c:v>
                </c:pt>
                <c:pt idx="383">
                  <c:v>-21.41156131841808</c:v>
                </c:pt>
                <c:pt idx="384">
                  <c:v>-21.454748559769421</c:v>
                </c:pt>
                <c:pt idx="385">
                  <c:v>-21.498688267503589</c:v>
                </c:pt>
                <c:pt idx="386">
                  <c:v>-21.542309712426601</c:v>
                </c:pt>
                <c:pt idx="387">
                  <c:v>-21.585616342879987</c:v>
                </c:pt>
                <c:pt idx="388">
                  <c:v>-21.628611551213641</c:v>
                </c:pt>
                <c:pt idx="389">
                  <c:v>-21.67227580069796</c:v>
                </c:pt>
                <c:pt idx="390">
                  <c:v>-21.715621161671002</c:v>
                </c:pt>
                <c:pt idx="391">
                  <c:v>-21.758651091937885</c:v>
                </c:pt>
                <c:pt idx="392">
                  <c:v>-21.801368993340326</c:v>
                </c:pt>
                <c:pt idx="393">
                  <c:v>-21.844727147403628</c:v>
                </c:pt>
                <c:pt idx="394">
                  <c:v>-21.887766118666026</c:v>
                </c:pt>
                <c:pt idx="395">
                  <c:v>-21.930489369979497</c:v>
                </c:pt>
                <c:pt idx="396">
                  <c:v>-21.972900308372083</c:v>
                </c:pt>
                <c:pt idx="397">
                  <c:v>-22.016020601595837</c:v>
                </c:pt>
                <c:pt idx="398">
                  <c:v>-22.058820295075009</c:v>
                </c:pt>
                <c:pt idx="399">
                  <c:v>-22.101302876021023</c:v>
                </c:pt>
                <c:pt idx="400">
                  <c:v>-22.14347177556202</c:v>
                </c:pt>
                <c:pt idx="401">
                  <c:v>-22.186271703850938</c:v>
                </c:pt>
                <c:pt idx="402">
                  <c:v>-22.228750711663711</c:v>
                </c:pt>
                <c:pt idx="403">
                  <c:v>-22.270912293946523</c:v>
                </c:pt>
                <c:pt idx="404">
                  <c:v>-22.312759889674968</c:v>
                </c:pt>
                <c:pt idx="405">
                  <c:v>-22.355256004712277</c:v>
                </c:pt>
                <c:pt idx="406">
                  <c:v>-22.397430518728932</c:v>
                </c:pt>
                <c:pt idx="407">
                  <c:v>-22.439286941579066</c:v>
                </c:pt>
                <c:pt idx="408">
                  <c:v>-22.480828727120986</c:v>
                </c:pt>
                <c:pt idx="409">
                  <c:v>-22.523034023865129</c:v>
                </c:pt>
                <c:pt idx="410">
                  <c:v>-22.564916722835346</c:v>
                </c:pt>
                <c:pt idx="411">
                  <c:v>-22.606480355427578</c:v>
                </c:pt>
                <c:pt idx="412">
                  <c:v>-22.647728396894333</c:v>
                </c:pt>
                <c:pt idx="413">
                  <c:v>-22.689609579855698</c:v>
                </c:pt>
                <c:pt idx="414">
                  <c:v>-22.731167556083175</c:v>
                </c:pt>
                <c:pt idx="415">
                  <c:v>-22.77240587378277</c:v>
                </c:pt>
                <c:pt idx="416">
                  <c:v>-22.813328024986085</c:v>
                </c:pt>
                <c:pt idx="417">
                  <c:v>-22.854895595213776</c:v>
                </c:pt>
                <c:pt idx="418">
                  <c:v>-22.896139074117727</c:v>
                </c:pt>
                <c:pt idx="419">
                  <c:v>-22.937062033011749</c:v>
                </c:pt>
                <c:pt idx="420">
                  <c:v>-22.977667986889866</c:v>
                </c:pt>
                <c:pt idx="421">
                  <c:v>-23.01884865884249</c:v>
                </c:pt>
                <c:pt idx="422">
                  <c:v>-23.059705389345488</c:v>
                </c:pt>
                <c:pt idx="423">
                  <c:v>-23.100241757665128</c:v>
                </c:pt>
                <c:pt idx="424">
                  <c:v>-23.140461286937011</c:v>
                </c:pt>
                <c:pt idx="425">
                  <c:v>-23.181345467140684</c:v>
                </c:pt>
                <c:pt idx="426">
                  <c:v>-23.221904337024046</c:v>
                </c:pt>
                <c:pt idx="427">
                  <c:v>-23.262141511021333</c:v>
                </c:pt>
                <c:pt idx="428">
                  <c:v>-23.302060547073346</c:v>
                </c:pt>
                <c:pt idx="429">
                  <c:v>-23.342574334645057</c:v>
                </c:pt>
                <c:pt idx="430">
                  <c:v>-23.382762503980924</c:v>
                </c:pt>
                <c:pt idx="431">
                  <c:v>-23.422628689391559</c:v>
                </c:pt>
                <c:pt idx="432">
                  <c:v>-23.462176468668304</c:v>
                </c:pt>
                <c:pt idx="433">
                  <c:v>-23.502289885042657</c:v>
                </c:pt>
                <c:pt idx="434">
                  <c:v>-23.542077773439082</c:v>
                </c:pt>
                <c:pt idx="435">
                  <c:v>-23.581543783803692</c:v>
                </c:pt>
                <c:pt idx="436">
                  <c:v>-23.620691509639716</c:v>
                </c:pt>
                <c:pt idx="437">
                  <c:v>-23.660447812942564</c:v>
                </c:pt>
                <c:pt idx="438">
                  <c:v>-23.699877900444459</c:v>
                </c:pt>
                <c:pt idx="439">
                  <c:v>-23.738985453428093</c:v>
                </c:pt>
                <c:pt idx="440">
                  <c:v>-23.777774096503638</c:v>
                </c:pt>
                <c:pt idx="441">
                  <c:v>-23.817140800209128</c:v>
                </c:pt>
                <c:pt idx="442">
                  <c:v>-23.856181051061615</c:v>
                </c:pt>
                <c:pt idx="443">
                  <c:v>-23.89489855699248</c:v>
                </c:pt>
                <c:pt idx="444">
                  <c:v>-23.933296969141917</c:v>
                </c:pt>
                <c:pt idx="445">
                  <c:v>-23.97224403096477</c:v>
                </c:pt>
                <c:pt idx="446">
                  <c:v>-24.010864840341881</c:v>
                </c:pt>
                <c:pt idx="447">
                  <c:v>-24.049163127473648</c:v>
                </c:pt>
                <c:pt idx="448">
                  <c:v>-24.087142565753858</c:v>
                </c:pt>
                <c:pt idx="449">
                  <c:v>-24.1257066130208</c:v>
                </c:pt>
                <c:pt idx="450">
                  <c:v>-24.163943946343295</c:v>
                </c:pt>
                <c:pt idx="451">
                  <c:v>-24.201858332850911</c:v>
                </c:pt>
                <c:pt idx="452">
                  <c:v>-24.239453482567363</c:v>
                </c:pt>
                <c:pt idx="453">
                  <c:v>-24.277571731939389</c:v>
                </c:pt>
                <c:pt idx="454">
                  <c:v>-24.315363825189372</c:v>
                </c:pt>
                <c:pt idx="455">
                  <c:v>-24.352833552366114</c:v>
                </c:pt>
                <c:pt idx="456">
                  <c:v>-24.389984646407928</c:v>
                </c:pt>
                <c:pt idx="457">
                  <c:v>-24.427691168329162</c:v>
                </c:pt>
                <c:pt idx="458">
                  <c:v>-24.465071493605691</c:v>
                </c:pt>
                <c:pt idx="459">
                  <c:v>-24.502129449387038</c:v>
                </c:pt>
                <c:pt idx="460">
                  <c:v>-24.538868805432848</c:v>
                </c:pt>
                <c:pt idx="461">
                  <c:v>-24.576133942575815</c:v>
                </c:pt>
                <c:pt idx="462">
                  <c:v>-24.613073343566001</c:v>
                </c:pt>
                <c:pt idx="463">
                  <c:v>-24.649690867977192</c:v>
                </c:pt>
                <c:pt idx="464">
                  <c:v>-24.685990317816632</c:v>
                </c:pt>
                <c:pt idx="465">
                  <c:v>-24.722815100138167</c:v>
                </c:pt>
                <c:pt idx="466">
                  <c:v>-24.7593146020685</c:v>
                </c:pt>
                <c:pt idx="467">
                  <c:v>-24.795492720037927</c:v>
                </c:pt>
                <c:pt idx="468">
                  <c:v>-24.831353292650995</c:v>
                </c:pt>
                <c:pt idx="469">
                  <c:v>-24.867710505559884</c:v>
                </c:pt>
                <c:pt idx="470">
                  <c:v>-24.903743407483219</c:v>
                </c:pt>
                <c:pt idx="471">
                  <c:v>-24.939455927096628</c:v>
                </c:pt>
                <c:pt idx="472">
                  <c:v>-24.974851935084882</c:v>
                </c:pt>
                <c:pt idx="473">
                  <c:v>-25.010769264028628</c:v>
                </c:pt>
                <c:pt idx="474">
                  <c:v>-25.046362815378181</c:v>
                </c:pt>
                <c:pt idx="475">
                  <c:v>-25.081636562899323</c:v>
                </c:pt>
                <c:pt idx="476">
                  <c:v>-25.116594421950666</c:v>
                </c:pt>
                <c:pt idx="477">
                  <c:v>-25.152044623717625</c:v>
                </c:pt>
                <c:pt idx="478">
                  <c:v>-25.187172143782295</c:v>
                </c:pt>
                <c:pt idx="479">
                  <c:v>-25.221980996011869</c:v>
                </c:pt>
                <c:pt idx="480">
                  <c:v>-25.25647513554582</c:v>
                </c:pt>
                <c:pt idx="481">
                  <c:v>-25.291433974672472</c:v>
                </c:pt>
                <c:pt idx="482">
                  <c:v>-25.326071778295905</c:v>
                </c:pt>
                <c:pt idx="483">
                  <c:v>-25.360392595593133</c:v>
                </c:pt>
                <c:pt idx="484">
                  <c:v>-25.394400416779281</c:v>
                </c:pt>
                <c:pt idx="485">
                  <c:v>-25.428869986702523</c:v>
                </c:pt>
                <c:pt idx="486">
                  <c:v>-25.463020273416124</c:v>
                </c:pt>
                <c:pt idx="487">
                  <c:v>-25.496855365081686</c:v>
                </c:pt>
                <c:pt idx="488">
                  <c:v>-25.530379290581347</c:v>
                </c:pt>
                <c:pt idx="489">
                  <c:v>-25.564383719215602</c:v>
                </c:pt>
                <c:pt idx="490">
                  <c:v>-25.598070339394333</c:v>
                </c:pt>
                <c:pt idx="491">
                  <c:v>-25.631443289793413</c:v>
                </c:pt>
                <c:pt idx="492">
                  <c:v>-25.664506649255252</c:v>
                </c:pt>
                <c:pt idx="493">
                  <c:v>-25.698023147280871</c:v>
                </c:pt>
                <c:pt idx="494">
                  <c:v>-25.731223932199985</c:v>
                </c:pt>
                <c:pt idx="495">
                  <c:v>-25.764113187759925</c:v>
                </c:pt>
                <c:pt idx="496">
                  <c:v>-25.796695037405485</c:v>
                </c:pt>
                <c:pt idx="497">
                  <c:v>-25.829724999958962</c:v>
                </c:pt>
                <c:pt idx="498">
                  <c:v>-25.862441556970129</c:v>
                </c:pt>
                <c:pt idx="499">
                  <c:v>-25.894848939928647</c:v>
                </c:pt>
                <c:pt idx="500">
                  <c:v>-25.926951319474792</c:v>
                </c:pt>
                <c:pt idx="501">
                  <c:v>-25.959496304859066</c:v>
                </c:pt>
                <c:pt idx="502">
                  <c:v>-25.991730438707275</c:v>
                </c:pt>
                <c:pt idx="503">
                  <c:v>-26.023658002566968</c:v>
                </c:pt>
                <c:pt idx="504">
                  <c:v>-26.055283216513825</c:v>
                </c:pt>
                <c:pt idx="505">
                  <c:v>-26.087325816863665</c:v>
                </c:pt>
                <c:pt idx="506">
                  <c:v>-26.119060770227264</c:v>
                </c:pt>
                <c:pt idx="507">
                  <c:v>-26.150492402338621</c:v>
                </c:pt>
                <c:pt idx="508">
                  <c:v>-26.181624976910665</c:v>
                </c:pt>
                <c:pt idx="509">
                  <c:v>-26.213169887007801</c:v>
                </c:pt>
                <c:pt idx="510">
                  <c:v>-26.244410632006513</c:v>
                </c:pt>
                <c:pt idx="511">
                  <c:v>-26.275351583716674</c:v>
                </c:pt>
                <c:pt idx="512">
                  <c:v>-26.30599705129406</c:v>
                </c:pt>
                <c:pt idx="513">
                  <c:v>-26.337067503259032</c:v>
                </c:pt>
                <c:pt idx="514">
                  <c:v>-26.367837235777912</c:v>
                </c:pt>
                <c:pt idx="515">
                  <c:v>-26.398310675832594</c:v>
                </c:pt>
                <c:pt idx="516">
                  <c:v>-26.428492186890171</c:v>
                </c:pt>
                <c:pt idx="517">
                  <c:v>-26.459075084771367</c:v>
                </c:pt>
                <c:pt idx="518">
                  <c:v>-26.489361417390462</c:v>
                </c:pt>
                <c:pt idx="519">
                  <c:v>-26.519355660053151</c:v>
                </c:pt>
                <c:pt idx="520">
                  <c:v>-26.549062223754547</c:v>
                </c:pt>
                <c:pt idx="521">
                  <c:v>-26.579164839744461</c:v>
                </c:pt>
                <c:pt idx="522">
                  <c:v>-26.608975414206185</c:v>
                </c:pt>
                <c:pt idx="523">
                  <c:v>-26.638498471317323</c:v>
                </c:pt>
                <c:pt idx="524">
                  <c:v>-26.667738470064325</c:v>
                </c:pt>
                <c:pt idx="525">
                  <c:v>-26.697369302845186</c:v>
                </c:pt>
                <c:pt idx="526">
                  <c:v>-26.726713015456586</c:v>
                </c:pt>
                <c:pt idx="527">
                  <c:v>-26.755774180988215</c:v>
                </c:pt>
                <c:pt idx="528">
                  <c:v>-26.784557306370495</c:v>
                </c:pt>
                <c:pt idx="529">
                  <c:v>-26.813726269179487</c:v>
                </c:pt>
                <c:pt idx="530">
                  <c:v>-26.8426134571707</c:v>
                </c:pt>
                <c:pt idx="531">
                  <c:v>-26.871223491839942</c:v>
                </c:pt>
                <c:pt idx="532">
                  <c:v>-26.899560927468016</c:v>
                </c:pt>
                <c:pt idx="533">
                  <c:v>-26.928294284441403</c:v>
                </c:pt>
                <c:pt idx="534">
                  <c:v>-26.956751377753019</c:v>
                </c:pt>
                <c:pt idx="535">
                  <c:v>-26.984936883394415</c:v>
                </c:pt>
                <c:pt idx="536">
                  <c:v>-27.012855408854925</c:v>
                </c:pt>
                <c:pt idx="537">
                  <c:v>-27.04113638143572</c:v>
                </c:pt>
                <c:pt idx="538">
                  <c:v>-27.069147646914388</c:v>
                </c:pt>
                <c:pt idx="539">
                  <c:v>-27.096893919550531</c:v>
                </c:pt>
                <c:pt idx="540">
                  <c:v>-27.124379844003595</c:v>
                </c:pt>
                <c:pt idx="541">
                  <c:v>-27.152252649184341</c:v>
                </c:pt>
                <c:pt idx="542">
                  <c:v>-27.179862244753046</c:v>
                </c:pt>
                <c:pt idx="543">
                  <c:v>-27.207213395146916</c:v>
                </c:pt>
                <c:pt idx="544">
                  <c:v>-27.234310793727495</c:v>
                </c:pt>
                <c:pt idx="545">
                  <c:v>-27.261778064887391</c:v>
                </c:pt>
                <c:pt idx="546">
                  <c:v>-27.288989410218697</c:v>
                </c:pt>
                <c:pt idx="547">
                  <c:v>-27.315949633970877</c:v>
                </c:pt>
                <c:pt idx="548">
                  <c:v>-27.342663467886062</c:v>
                </c:pt>
                <c:pt idx="549">
                  <c:v>-27.369744821830466</c:v>
                </c:pt>
                <c:pt idx="550">
                  <c:v>-27.396578054185156</c:v>
                </c:pt>
                <c:pt idx="551">
                  <c:v>-27.423168005087312</c:v>
                </c:pt>
                <c:pt idx="552">
                  <c:v>-27.449519440634074</c:v>
                </c:pt>
                <c:pt idx="553">
                  <c:v>-27.4762490963383</c:v>
                </c:pt>
                <c:pt idx="554">
                  <c:v>-27.50273874664941</c:v>
                </c:pt>
                <c:pt idx="555">
                  <c:v>-27.52899326949986</c:v>
                </c:pt>
                <c:pt idx="556">
                  <c:v>-27.555017467006849</c:v>
                </c:pt>
                <c:pt idx="557">
                  <c:v>-27.607588429470681</c:v>
                </c:pt>
                <c:pt idx="558">
                  <c:v>-27.659253680504197</c:v>
                </c:pt>
                <c:pt idx="559">
                  <c:v>-27.711206056839387</c:v>
                </c:pt>
                <c:pt idx="560">
                  <c:v>-27.762290602092353</c:v>
                </c:pt>
                <c:pt idx="561">
                  <c:v>-27.813728375385729</c:v>
                </c:pt>
                <c:pt idx="562">
                  <c:v>-27.864336913590147</c:v>
                </c:pt>
                <c:pt idx="563">
                  <c:v>-27.915215521210275</c:v>
                </c:pt>
                <c:pt idx="564">
                  <c:v>-27.965309044202456</c:v>
                </c:pt>
                <c:pt idx="565">
                  <c:v>-28.015890680872133</c:v>
                </c:pt>
                <c:pt idx="566">
                  <c:v>-28.065727642315874</c:v>
                </c:pt>
                <c:pt idx="567">
                  <c:v>-28.116058165008621</c:v>
                </c:pt>
                <c:pt idx="568">
                  <c:v>-28.165687668120967</c:v>
                </c:pt>
                <c:pt idx="569">
                  <c:v>-28.215627707267323</c:v>
                </c:pt>
                <c:pt idx="570">
                  <c:v>-28.264918267345291</c:v>
                </c:pt>
                <c:pt idx="571">
                  <c:v>-28.314925514286081</c:v>
                </c:pt>
                <c:pt idx="572">
                  <c:v>-28.36432721460822</c:v>
                </c:pt>
                <c:pt idx="573">
                  <c:v>-28.414088352809603</c:v>
                </c:pt>
                <c:pt idx="574">
                  <c:v>-28.46329934683029</c:v>
                </c:pt>
                <c:pt idx="575">
                  <c:v>-28.513267785051553</c:v>
                </c:pt>
                <c:pt idx="576">
                  <c:v>-28.562735066615605</c:v>
                </c:pt>
                <c:pt idx="577">
                  <c:v>-28.767434445338171</c:v>
                </c:pt>
                <c:pt idx="578">
                  <c:v>-28.966307830525825</c:v>
                </c:pt>
                <c:pt idx="579">
                  <c:v>-29.391386963916275</c:v>
                </c:pt>
                <c:pt idx="580">
                  <c:v>-29.855351512229706</c:v>
                </c:pt>
                <c:pt idx="581">
                  <c:v>-30.374052219798191</c:v>
                </c:pt>
                <c:pt idx="582">
                  <c:v>-30.962195508517564</c:v>
                </c:pt>
                <c:pt idx="583">
                  <c:v>-31.629772783029235</c:v>
                </c:pt>
                <c:pt idx="584">
                  <c:v>-32.382608057931648</c:v>
                </c:pt>
                <c:pt idx="585">
                  <c:v>-33.22032347581009</c:v>
                </c:pt>
                <c:pt idx="586">
                  <c:v>-34.138551365573392</c:v>
                </c:pt>
                <c:pt idx="587">
                  <c:v>-35.130272151513289</c:v>
                </c:pt>
                <c:pt idx="588">
                  <c:v>-36.185363412135921</c:v>
                </c:pt>
                <c:pt idx="589">
                  <c:v>-37.295048059340957</c:v>
                </c:pt>
                <c:pt idx="590">
                  <c:v>-38.449624337509064</c:v>
                </c:pt>
                <c:pt idx="591">
                  <c:v>-39.640526364225842</c:v>
                </c:pt>
                <c:pt idx="592">
                  <c:v>-40.859622525651069</c:v>
                </c:pt>
                <c:pt idx="593">
                  <c:v>-42.099926493628814</c:v>
                </c:pt>
                <c:pt idx="594">
                  <c:v>-43.35426403127542</c:v>
                </c:pt>
                <c:pt idx="595">
                  <c:v>-44.616445860417173</c:v>
                </c:pt>
                <c:pt idx="596">
                  <c:v>-45.880135886661996</c:v>
                </c:pt>
                <c:pt idx="597">
                  <c:v>-47.139892245797661</c:v>
                </c:pt>
                <c:pt idx="598">
                  <c:v>-48.390112779998617</c:v>
                </c:pt>
                <c:pt idx="599">
                  <c:v>-49.6263284586433</c:v>
                </c:pt>
                <c:pt idx="600">
                  <c:v>-50.844161910882207</c:v>
                </c:pt>
              </c:numCache>
            </c:numRef>
          </c:yVal>
          <c:smooth val="1"/>
          <c:extLst>
            <c:ext xmlns:c16="http://schemas.microsoft.com/office/drawing/2014/chart" uri="{C3380CC4-5D6E-409C-BE32-E72D297353CC}">
              <c16:uniqueId val="{00000000-6E0D-4E7D-AC58-EA24CA5945FE}"/>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6E0D-4E7D-AC58-EA24CA5945FE}"/>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'IL Stability Calculations'!$G$635</c:f>
              <c:numCache>
                <c:formatCode>0.00</c:formatCode>
                <c:ptCount val="1"/>
                <c:pt idx="0">
                  <c:v>103347.36564408788</c:v>
                </c:pt>
              </c:numCache>
            </c:numRef>
          </c:xVal>
          <c:yVal>
            <c:numRef>
              <c:f>'IL Stability Calculations'!$H$635</c:f>
              <c:numCache>
                <c:formatCode>0.00</c:formatCode>
                <c:ptCount val="1"/>
                <c:pt idx="0">
                  <c:v>-27.907884129175358</c:v>
                </c:pt>
              </c:numCache>
            </c:numRef>
          </c:yVal>
          <c:smooth val="1"/>
          <c:extLst>
            <c:ext xmlns:c16="http://schemas.microsoft.com/office/drawing/2014/chart" uri="{C3380CC4-5D6E-409C-BE32-E72D297353CC}">
              <c16:uniqueId val="{00000002-6E0D-4E7D-AC58-EA24CA5945FE}"/>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6E0D-4E7D-AC58-EA24CA5945FE}"/>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'IL Stability Calculations'!$D$624</c:f>
              <c:numCache>
                <c:formatCode>0</c:formatCode>
                <c:ptCount val="1"/>
                <c:pt idx="0">
                  <c:v>3.6170312014510251</c:v>
                </c:pt>
              </c:numCache>
            </c:numRef>
          </c:xVal>
          <c:yVal>
            <c:numRef>
              <c:f>'IL Stability Calculations'!$AW$624</c:f>
              <c:numCache>
                <c:formatCode>0.0000</c:formatCode>
                <c:ptCount val="1"/>
                <c:pt idx="0">
                  <c:v>50.611296037413936</c:v>
                </c:pt>
              </c:numCache>
            </c:numRef>
          </c:yVal>
          <c:smooth val="1"/>
          <c:extLst>
            <c:ext xmlns:c16="http://schemas.microsoft.com/office/drawing/2014/chart" uri="{C3380CC4-5D6E-409C-BE32-E72D297353CC}">
              <c16:uniqueId val="{00000004-6E0D-4E7D-AC58-EA24CA5945FE}"/>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6E0D-4E7D-AC58-EA24CA5945FE}"/>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'IL Stability Calculations'!$G$632</c:f>
              <c:numCache>
                <c:formatCode>0.00</c:formatCode>
                <c:ptCount val="1"/>
                <c:pt idx="0">
                  <c:v>1224.2687930145796</c:v>
                </c:pt>
              </c:numCache>
            </c:numRef>
          </c:xVal>
          <c:yVal>
            <c:numRef>
              <c:f>'IL Stability Calculations'!$H$632</c:f>
              <c:numCache>
                <c:formatCode>0.00</c:formatCode>
                <c:ptCount val="1"/>
                <c:pt idx="0">
                  <c:v>4.6390176029154837</c:v>
                </c:pt>
              </c:numCache>
            </c:numRef>
          </c:yVal>
          <c:smooth val="1"/>
          <c:extLst>
            <c:ext xmlns:c16="http://schemas.microsoft.com/office/drawing/2014/chart" uri="{C3380CC4-5D6E-409C-BE32-E72D297353CC}">
              <c16:uniqueId val="{00000006-6E0D-4E7D-AC58-EA24CA5945FE}"/>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6E0D-4E7D-AC58-EA24CA5945FE}"/>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'IL Stability Calculations'!$D$623</c:f>
              <c:numCache>
                <c:formatCode>0</c:formatCode>
                <c:ptCount val="1"/>
                <c:pt idx="0">
                  <c:v>612134.39650728984</c:v>
                </c:pt>
              </c:numCache>
            </c:numRef>
          </c:xVal>
          <c:yVal>
            <c:numRef>
              <c:f>'IL Stability Calculations'!$AW$623</c:f>
              <c:numCache>
                <c:formatCode>0.0000</c:formatCode>
                <c:ptCount val="1"/>
                <c:pt idx="0">
                  <c:v>-44.200891616107505</c:v>
                </c:pt>
              </c:numCache>
            </c:numRef>
          </c:yVal>
          <c:smooth val="1"/>
          <c:extLst>
            <c:ext xmlns:c16="http://schemas.microsoft.com/office/drawing/2014/chart" uri="{C3380CC4-5D6E-409C-BE32-E72D297353CC}">
              <c16:uniqueId val="{00000008-6E0D-4E7D-AC58-EA24CA5945FE}"/>
            </c:ext>
          </c:extLst>
        </c:ser>
        <c:dLbls>
          <c:showLegendKey val="0"/>
          <c:showVal val="0"/>
          <c:showCatName val="0"/>
          <c:showSerName val="0"/>
          <c:showPercent val="0"/>
          <c:showBubbleSize val="0"/>
        </c:dLbls>
        <c:axId val="196130688"/>
        <c:axId val="196141056"/>
      </c:scatterChar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6E0D-4E7D-AC58-EA24CA5945FE}"/>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'IL Stability Calculations'!$D$627</c:f>
              <c:numCache>
                <c:formatCode>0</c:formatCode>
                <c:ptCount val="1"/>
                <c:pt idx="0">
                  <c:v>14284816.744207459</c:v>
                </c:pt>
              </c:numCache>
            </c:numRef>
          </c:xVal>
          <c:yVal>
            <c:numRef>
              <c:f>'IL Stability Calculations'!$AW$627</c:f>
              <c:numCache>
                <c:formatCode>0.0000</c:formatCode>
                <c:ptCount val="1"/>
                <c:pt idx="0">
                  <c:v>-80.443120054288045</c:v>
                </c:pt>
              </c:numCache>
            </c:numRef>
          </c:yVal>
          <c:smooth val="0"/>
          <c:extLst>
            <c:ext xmlns:c16="http://schemas.microsoft.com/office/drawing/2014/chart" uri="{C3380CC4-5D6E-409C-BE32-E72D297353CC}">
              <c16:uniqueId val="{0000000A-6E0D-4E7D-AC58-EA24CA5945FE}"/>
            </c:ext>
          </c:extLst>
        </c:ser>
        <c:ser>
          <c:idx val="11"/>
          <c:order val="9"/>
          <c:tx>
            <c:v>FzRHP</c:v>
          </c:tx>
          <c:spPr>
            <a:ln>
              <a:solidFill>
                <a:srgbClr val="FF00FF"/>
              </a:solidFill>
            </a:ln>
          </c:spPr>
          <c:marker>
            <c:symbol val="circle"/>
            <c:size val="8"/>
            <c:spPr>
              <a:noFill/>
              <a:ln w="19050">
                <a:solidFill>
                  <a:srgbClr val="FF00FF"/>
                </a:solidFill>
              </a:ln>
            </c:spPr>
          </c:marker>
          <c:dLbls>
            <c:dLbl>
              <c:idx val="0"/>
              <c:layout>
                <c:manualLayout>
                  <c:x val="-2.3423587921912771E-2"/>
                  <c:y val="2.9171863622686083E-2"/>
                </c:manualLayout>
              </c:layout>
              <c:tx>
                <c:rich>
                  <a:bodyPr/>
                  <a:lstStyle/>
                  <a:p>
                    <a:r>
                      <a:rPr lang="en-US"/>
                      <a:t>f</a:t>
                    </a:r>
                    <a:r>
                      <a:rPr lang="en-US" baseline="-25000"/>
                      <a:t>ZRHP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6E0D-4E7D-AC58-EA24CA5945FE}"/>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'IL Stability Calculations'!$G$637</c:f>
              <c:numCache>
                <c:formatCode>0</c:formatCode>
                <c:ptCount val="1"/>
                <c:pt idx="0">
                  <c:v>98816.159236725332</c:v>
                </c:pt>
              </c:numCache>
            </c:numRef>
          </c:xVal>
          <c:yVal>
            <c:numRef>
              <c:f>'IL Stability Calculations'!$H$637</c:f>
              <c:numCache>
                <c:formatCode>0.00</c:formatCode>
                <c:ptCount val="1"/>
                <c:pt idx="0">
                  <c:v>-27.709130355229629</c:v>
                </c:pt>
              </c:numCache>
            </c:numRef>
          </c:yVal>
          <c:smooth val="0"/>
          <c:extLst>
            <c:ext xmlns:c16="http://schemas.microsoft.com/office/drawing/2014/chart" uri="{C3380CC4-5D6E-409C-BE32-E72D297353CC}">
              <c16:uniqueId val="{0000000C-6E0D-4E7D-AC58-EA24CA5945FE}"/>
            </c:ext>
          </c:extLst>
        </c:ser>
        <c:dLbls>
          <c:showLegendKey val="0"/>
          <c:showVal val="0"/>
          <c:showCatName val="0"/>
          <c:showSerName val="0"/>
          <c:showPercent val="0"/>
          <c:showBubbleSize val="0"/>
        </c:dLbls>
        <c:axId val="196130688"/>
        <c:axId val="196141056"/>
      </c:scatterChart>
      <c:scatterChart>
        <c:scatterStyle val="lineMarker"/>
        <c:varyColors val="0"/>
        <c:ser>
          <c:idx val="3"/>
          <c:order val="1"/>
          <c:tx>
            <c:v>Loop Phase</c:v>
          </c:tx>
          <c:spPr>
            <a:ln w="34925">
              <a:solidFill>
                <a:srgbClr val="002060"/>
              </a:solidFill>
              <a:prstDash val="sysDash"/>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Calculations'!$AY$13:$AY$613</c:f>
              <c:numCache>
                <c:formatCode>0.00</c:formatCode>
                <c:ptCount val="601"/>
                <c:pt idx="0">
                  <c:v>164.56299662447466</c:v>
                </c:pt>
                <c:pt idx="1">
                  <c:v>163.15456616782271</c:v>
                </c:pt>
                <c:pt idx="2">
                  <c:v>161.63426503627983</c:v>
                </c:pt>
                <c:pt idx="3">
                  <c:v>159.99779693914081</c:v>
                </c:pt>
                <c:pt idx="4">
                  <c:v>158.24319394954401</c:v>
                </c:pt>
                <c:pt idx="5">
                  <c:v>156.3658267315262</c:v>
                </c:pt>
                <c:pt idx="6">
                  <c:v>154.36850991061024</c:v>
                </c:pt>
                <c:pt idx="7">
                  <c:v>152.25251380719448</c:v>
                </c:pt>
                <c:pt idx="8">
                  <c:v>150.02463773049621</c:v>
                </c:pt>
                <c:pt idx="9">
                  <c:v>147.69139172053633</c:v>
                </c:pt>
                <c:pt idx="10">
                  <c:v>145.2653803330457</c:v>
                </c:pt>
                <c:pt idx="11">
                  <c:v>142.76065767736239</c:v>
                </c:pt>
                <c:pt idx="12">
                  <c:v>140.19306921063477</c:v>
                </c:pt>
                <c:pt idx="13">
                  <c:v>137.58467954652781</c:v>
                </c:pt>
                <c:pt idx="14">
                  <c:v>134.95473848780074</c:v>
                </c:pt>
                <c:pt idx="15">
                  <c:v>132.3264565042108</c:v>
                </c:pt>
                <c:pt idx="16">
                  <c:v>129.72179644086938</c:v>
                </c:pt>
                <c:pt idx="17">
                  <c:v>127.16234556629583</c:v>
                </c:pt>
                <c:pt idx="18">
                  <c:v>124.66681856190306</c:v>
                </c:pt>
                <c:pt idx="19">
                  <c:v>122.25292300949907</c:v>
                </c:pt>
                <c:pt idx="20">
                  <c:v>119.93434799979801</c:v>
                </c:pt>
                <c:pt idx="21">
                  <c:v>117.7226586865565</c:v>
                </c:pt>
                <c:pt idx="22">
                  <c:v>115.62539809079075</c:v>
                </c:pt>
                <c:pt idx="23">
                  <c:v>113.64818170832812</c:v>
                </c:pt>
                <c:pt idx="24">
                  <c:v>111.79298386827978</c:v>
                </c:pt>
                <c:pt idx="25">
                  <c:v>110.06033211162524</c:v>
                </c:pt>
                <c:pt idx="26">
                  <c:v>108.44821775978323</c:v>
                </c:pt>
                <c:pt idx="27">
                  <c:v>106.95406643807674</c:v>
                </c:pt>
                <c:pt idx="28">
                  <c:v>105.5735824168725</c:v>
                </c:pt>
                <c:pt idx="29">
                  <c:v>104.30251817001746</c:v>
                </c:pt>
                <c:pt idx="30">
                  <c:v>103.13329307074925</c:v>
                </c:pt>
                <c:pt idx="31">
                  <c:v>102.06188067839838</c:v>
                </c:pt>
                <c:pt idx="32">
                  <c:v>101.0816899978071</c:v>
                </c:pt>
                <c:pt idx="33">
                  <c:v>100.18760555229787</c:v>
                </c:pt>
                <c:pt idx="34">
                  <c:v>99.373286313374706</c:v>
                </c:pt>
                <c:pt idx="35">
                  <c:v>98.633798489477996</c:v>
                </c:pt>
                <c:pt idx="36">
                  <c:v>97.963876152299676</c:v>
                </c:pt>
                <c:pt idx="37">
                  <c:v>97.358396448742042</c:v>
                </c:pt>
                <c:pt idx="38">
                  <c:v>96.813473452339792</c:v>
                </c:pt>
                <c:pt idx="39">
                  <c:v>96.324540871024695</c:v>
                </c:pt>
                <c:pt idx="40">
                  <c:v>95.888045184389441</c:v>
                </c:pt>
                <c:pt idx="41">
                  <c:v>95.500533734810148</c:v>
                </c:pt>
                <c:pt idx="42">
                  <c:v>95.158982590721536</c:v>
                </c:pt>
                <c:pt idx="43">
                  <c:v>94.860555468730581</c:v>
                </c:pt>
                <c:pt idx="44">
                  <c:v>94.602917331387829</c:v>
                </c:pt>
                <c:pt idx="45">
                  <c:v>94.383905139607904</c:v>
                </c:pt>
                <c:pt idx="46">
                  <c:v>94.201748117429275</c:v>
                </c:pt>
                <c:pt idx="47">
                  <c:v>94.054876355040022</c:v>
                </c:pt>
                <c:pt idx="48">
                  <c:v>93.942065989485968</c:v>
                </c:pt>
                <c:pt idx="49">
                  <c:v>93.862289100294419</c:v>
                </c:pt>
                <c:pt idx="50">
                  <c:v>93.814813068819348</c:v>
                </c:pt>
                <c:pt idx="51">
                  <c:v>93.799122929365424</c:v>
                </c:pt>
                <c:pt idx="52">
                  <c:v>93.814940858828692</c:v>
                </c:pt>
                <c:pt idx="53">
                  <c:v>93.86218296929367</c:v>
                </c:pt>
                <c:pt idx="54">
                  <c:v>93.940903426892788</c:v>
                </c:pt>
                <c:pt idx="55">
                  <c:v>94.05154582791576</c:v>
                </c:pt>
                <c:pt idx="56">
                  <c:v>94.194432629665599</c:v>
                </c:pt>
                <c:pt idx="57">
                  <c:v>94.370225966436095</c:v>
                </c:pt>
                <c:pt idx="58">
                  <c:v>94.579447083342217</c:v>
                </c:pt>
                <c:pt idx="59">
                  <c:v>94.822940459454998</c:v>
                </c:pt>
                <c:pt idx="60">
                  <c:v>95.101232267762995</c:v>
                </c:pt>
                <c:pt idx="61">
                  <c:v>95.414895367192855</c:v>
                </c:pt>
                <c:pt idx="62">
                  <c:v>95.764452117064224</c:v>
                </c:pt>
                <c:pt idx="63">
                  <c:v>96.149561238817213</c:v>
                </c:pt>
                <c:pt idx="64">
                  <c:v>96.57002399803882</c:v>
                </c:pt>
                <c:pt idx="65">
                  <c:v>97.024521496650522</c:v>
                </c:pt>
                <c:pt idx="66">
                  <c:v>97.511036501531407</c:v>
                </c:pt>
                <c:pt idx="67">
                  <c:v>98.026334646099286</c:v>
                </c:pt>
                <c:pt idx="68">
                  <c:v>98.566059202349877</c:v>
                </c:pt>
                <c:pt idx="69">
                  <c:v>99.123983436367411</c:v>
                </c:pt>
                <c:pt idx="70">
                  <c:v>99.692364938507254</c:v>
                </c:pt>
                <c:pt idx="71">
                  <c:v>100.26134825860451</c:v>
                </c:pt>
                <c:pt idx="72">
                  <c:v>100.81942464945615</c:v>
                </c:pt>
                <c:pt idx="73">
                  <c:v>101.35309829025354</c:v>
                </c:pt>
                <c:pt idx="74">
                  <c:v>101.84777294679901</c:v>
                </c:pt>
                <c:pt idx="75">
                  <c:v>102.28783797193155</c:v>
                </c:pt>
                <c:pt idx="76">
                  <c:v>102.65783506410202</c:v>
                </c:pt>
                <c:pt idx="77">
                  <c:v>102.94302334546316</c:v>
                </c:pt>
                <c:pt idx="78">
                  <c:v>103.13077387749865</c:v>
                </c:pt>
                <c:pt idx="79">
                  <c:v>103.21134537666674</c:v>
                </c:pt>
                <c:pt idx="80">
                  <c:v>103.17877666291255</c:v>
                </c:pt>
                <c:pt idx="81">
                  <c:v>103.03115233878368</c:v>
                </c:pt>
                <c:pt idx="82">
                  <c:v>102.7708373149197</c:v>
                </c:pt>
                <c:pt idx="83">
                  <c:v>102.40450749458073</c:v>
                </c:pt>
                <c:pt idx="84">
                  <c:v>101.94175443581865</c:v>
                </c:pt>
                <c:pt idx="85">
                  <c:v>101.3951851208855</c:v>
                </c:pt>
                <c:pt idx="86">
                  <c:v>100.77860766546351</c:v>
                </c:pt>
                <c:pt idx="87">
                  <c:v>100.10599759988496</c:v>
                </c:pt>
                <c:pt idx="88">
                  <c:v>99.391923339644649</c:v>
                </c:pt>
                <c:pt idx="89">
                  <c:v>98.648618961978002</c:v>
                </c:pt>
                <c:pt idx="90">
                  <c:v>97.887520086391802</c:v>
                </c:pt>
                <c:pt idx="91">
                  <c:v>97.117807572917528</c:v>
                </c:pt>
                <c:pt idx="92">
                  <c:v>96.346806827013268</c:v>
                </c:pt>
                <c:pt idx="93">
                  <c:v>95.579523530038315</c:v>
                </c:pt>
                <c:pt idx="94">
                  <c:v>95.388815316866143</c:v>
                </c:pt>
                <c:pt idx="95">
                  <c:v>95.293056003766921</c:v>
                </c:pt>
                <c:pt idx="96">
                  <c:v>95.198520002709216</c:v>
                </c:pt>
                <c:pt idx="97">
                  <c:v>95.103031853329881</c:v>
                </c:pt>
                <c:pt idx="98">
                  <c:v>95.008770343044603</c:v>
                </c:pt>
                <c:pt idx="99">
                  <c:v>94.913541909977056</c:v>
                </c:pt>
                <c:pt idx="100">
                  <c:v>94.81954242850172</c:v>
                </c:pt>
                <c:pt idx="101">
                  <c:v>94.724633185768667</c:v>
                </c:pt>
                <c:pt idx="102">
                  <c:v>94.630952384846964</c:v>
                </c:pt>
                <c:pt idx="103">
                  <c:v>94.53627785969438</c:v>
                </c:pt>
                <c:pt idx="104">
                  <c:v>94.44283215965784</c:v>
                </c:pt>
                <c:pt idx="105">
                  <c:v>94.348449049530146</c:v>
                </c:pt>
                <c:pt idx="106">
                  <c:v>94.255292421750212</c:v>
                </c:pt>
                <c:pt idx="107">
                  <c:v>94.161250649405432</c:v>
                </c:pt>
                <c:pt idx="108">
                  <c:v>94.068430471598077</c:v>
                </c:pt>
                <c:pt idx="109">
                  <c:v>93.974710117871865</c:v>
                </c:pt>
                <c:pt idx="110">
                  <c:v>93.882205746017348</c:v>
                </c:pt>
                <c:pt idx="111">
                  <c:v>93.788725540691189</c:v>
                </c:pt>
                <c:pt idx="112">
                  <c:v>93.696456576222033</c:v>
                </c:pt>
                <c:pt idx="113">
                  <c:v>93.603262191897002</c:v>
                </c:pt>
                <c:pt idx="114">
                  <c:v>93.511271921029248</c:v>
                </c:pt>
                <c:pt idx="115">
                  <c:v>93.418344126896073</c:v>
                </c:pt>
                <c:pt idx="116">
                  <c:v>93.326612618537027</c:v>
                </c:pt>
                <c:pt idx="117">
                  <c:v>93.233932226990476</c:v>
                </c:pt>
                <c:pt idx="118">
                  <c:v>93.142439603623075</c:v>
                </c:pt>
                <c:pt idx="119">
                  <c:v>93.050043036472331</c:v>
                </c:pt>
                <c:pt idx="120">
                  <c:v>92.958823633275017</c:v>
                </c:pt>
                <c:pt idx="121">
                  <c:v>92.866687267474703</c:v>
                </c:pt>
                <c:pt idx="122">
                  <c:v>92.775716924903634</c:v>
                </c:pt>
                <c:pt idx="123">
                  <c:v>92.683764249859948</c:v>
                </c:pt>
                <c:pt idx="124">
                  <c:v>92.592967251744341</c:v>
                </c:pt>
                <c:pt idx="125">
                  <c:v>92.50123012979158</c:v>
                </c:pt>
                <c:pt idx="126">
                  <c:v>92.41063642686504</c:v>
                </c:pt>
                <c:pt idx="127">
                  <c:v>92.319090905472848</c:v>
                </c:pt>
                <c:pt idx="128">
                  <c:v>92.228676050342528</c:v>
                </c:pt>
                <c:pt idx="129">
                  <c:v>92.137297958745705</c:v>
                </c:pt>
                <c:pt idx="130">
                  <c:v>92.047037301926196</c:v>
                </c:pt>
                <c:pt idx="131">
                  <c:v>91.955802186262417</c:v>
                </c:pt>
                <c:pt idx="132">
                  <c:v>91.910600542744689</c:v>
                </c:pt>
                <c:pt idx="133">
                  <c:v>91.865670812723181</c:v>
                </c:pt>
                <c:pt idx="134">
                  <c:v>91.819950602899866</c:v>
                </c:pt>
                <c:pt idx="135">
                  <c:v>91.774507122494043</c:v>
                </c:pt>
                <c:pt idx="136">
                  <c:v>91.729336302677424</c:v>
                </c:pt>
                <c:pt idx="137">
                  <c:v>91.68443414823264</c:v>
                </c:pt>
                <c:pt idx="138">
                  <c:v>91.6387863396222</c:v>
                </c:pt>
                <c:pt idx="139">
                  <c:v>91.593411311297743</c:v>
                </c:pt>
                <c:pt idx="140">
                  <c:v>91.548305018869584</c:v>
                </c:pt>
                <c:pt idx="141">
                  <c:v>91.503463492018341</c:v>
                </c:pt>
                <c:pt idx="142">
                  <c:v>91.457828807925921</c:v>
                </c:pt>
                <c:pt idx="143">
                  <c:v>91.412463406086971</c:v>
                </c:pt>
                <c:pt idx="144">
                  <c:v>91.367363258169675</c:v>
                </c:pt>
                <c:pt idx="145">
                  <c:v>91.322524410531727</c:v>
                </c:pt>
                <c:pt idx="146">
                  <c:v>91.276913313005778</c:v>
                </c:pt>
                <c:pt idx="147">
                  <c:v>91.231567620418957</c:v>
                </c:pt>
                <c:pt idx="148">
                  <c:v>91.186483330448169</c:v>
                </c:pt>
                <c:pt idx="149">
                  <c:v>91.141656515793997</c:v>
                </c:pt>
                <c:pt idx="150">
                  <c:v>91.096055698012179</c:v>
                </c:pt>
                <c:pt idx="151">
                  <c:v>91.050716315984047</c:v>
                </c:pt>
                <c:pt idx="152">
                  <c:v>91.005634396947087</c:v>
                </c:pt>
                <c:pt idx="153">
                  <c:v>90.960806043367214</c:v>
                </c:pt>
                <c:pt idx="154">
                  <c:v>90.915181007004293</c:v>
                </c:pt>
                <c:pt idx="155">
                  <c:v>90.86981358649706</c:v>
                </c:pt>
                <c:pt idx="156">
                  <c:v>90.824699836624958</c:v>
                </c:pt>
                <c:pt idx="157">
                  <c:v>90.779835887611938</c:v>
                </c:pt>
                <c:pt idx="158">
                  <c:v>90.734174171249464</c:v>
                </c:pt>
                <c:pt idx="159">
                  <c:v>90.688766146169641</c:v>
                </c:pt>
                <c:pt idx="160">
                  <c:v>90.643607898351235</c:v>
                </c:pt>
                <c:pt idx="161">
                  <c:v>90.598695589304398</c:v>
                </c:pt>
                <c:pt idx="162">
                  <c:v>90.553004364397054</c:v>
                </c:pt>
                <c:pt idx="163">
                  <c:v>90.507562591566</c:v>
                </c:pt>
                <c:pt idx="164">
                  <c:v>90.462366396502233</c:v>
                </c:pt>
                <c:pt idx="165">
                  <c:v>90.417411980261491</c:v>
                </c:pt>
                <c:pt idx="166">
                  <c:v>90.371637545430886</c:v>
                </c:pt>
                <c:pt idx="167">
                  <c:v>90.326108675699686</c:v>
                </c:pt>
                <c:pt idx="168">
                  <c:v>90.280821529471339</c:v>
                </c:pt>
                <c:pt idx="169">
                  <c:v>90.235772340493838</c:v>
                </c:pt>
                <c:pt idx="170">
                  <c:v>90.189998263084064</c:v>
                </c:pt>
                <c:pt idx="171">
                  <c:v>90.144464754552047</c:v>
                </c:pt>
                <c:pt idx="172">
                  <c:v>90.099168033155507</c:v>
                </c:pt>
                <c:pt idx="173">
                  <c:v>90.054104391731826</c:v>
                </c:pt>
                <c:pt idx="174">
                  <c:v>90.008142855948293</c:v>
                </c:pt>
                <c:pt idx="175">
                  <c:v>89.962418642002916</c:v>
                </c:pt>
                <c:pt idx="176">
                  <c:v>89.916927987942529</c:v>
                </c:pt>
                <c:pt idx="177">
                  <c:v>89.871667206649732</c:v>
                </c:pt>
                <c:pt idx="178">
                  <c:v>89.825528097775333</c:v>
                </c:pt>
                <c:pt idx="179">
                  <c:v>89.779622702537267</c:v>
                </c:pt>
                <c:pt idx="180">
                  <c:v>89.733947287952205</c:v>
                </c:pt>
                <c:pt idx="181">
                  <c:v>89.688498195862294</c:v>
                </c:pt>
                <c:pt idx="182">
                  <c:v>89.642369561704967</c:v>
                </c:pt>
                <c:pt idx="183">
                  <c:v>89.596468935531547</c:v>
                </c:pt>
                <c:pt idx="184">
                  <c:v>89.550792664385042</c:v>
                </c:pt>
                <c:pt idx="185">
                  <c:v>89.505337168730335</c:v>
                </c:pt>
                <c:pt idx="186">
                  <c:v>89.458860138002592</c:v>
                </c:pt>
                <c:pt idx="187">
                  <c:v>89.412608739413969</c:v>
                </c:pt>
                <c:pt idx="188">
                  <c:v>89.366579321002817</c:v>
                </c:pt>
                <c:pt idx="189">
                  <c:v>89.320768304913855</c:v>
                </c:pt>
                <c:pt idx="190">
                  <c:v>89.274304097710285</c:v>
                </c:pt>
                <c:pt idx="191">
                  <c:v>89.228059433127925</c:v>
                </c:pt>
                <c:pt idx="192">
                  <c:v>89.182030750535631</c:v>
                </c:pt>
                <c:pt idx="193">
                  <c:v>89.136214561634063</c:v>
                </c:pt>
                <c:pt idx="194">
                  <c:v>89.089414538542513</c:v>
                </c:pt>
                <c:pt idx="195">
                  <c:v>89.042831079849506</c:v>
                </c:pt>
                <c:pt idx="196">
                  <c:v>88.996460641609033</c:v>
                </c:pt>
                <c:pt idx="197">
                  <c:v>88.950299752419681</c:v>
                </c:pt>
                <c:pt idx="198">
                  <c:v>88.9033409847017</c:v>
                </c:pt>
                <c:pt idx="199">
                  <c:v>88.856593938294552</c:v>
                </c:pt>
                <c:pt idx="200">
                  <c:v>88.810055131935471</c:v>
                </c:pt>
                <c:pt idx="201">
                  <c:v>88.763721155846795</c:v>
                </c:pt>
                <c:pt idx="202">
                  <c:v>88.716602297510278</c:v>
                </c:pt>
                <c:pt idx="203">
                  <c:v>88.669690171171069</c:v>
                </c:pt>
                <c:pt idx="204">
                  <c:v>88.622981362663538</c:v>
                </c:pt>
                <c:pt idx="205">
                  <c:v>88.576472528096559</c:v>
                </c:pt>
                <c:pt idx="206">
                  <c:v>88.529029317051638</c:v>
                </c:pt>
                <c:pt idx="207">
                  <c:v>88.481789102137867</c:v>
                </c:pt>
                <c:pt idx="208">
                  <c:v>88.434748505901268</c:v>
                </c:pt>
                <c:pt idx="209">
                  <c:v>88.387904220757775</c:v>
                </c:pt>
                <c:pt idx="210">
                  <c:v>88.339981931485298</c:v>
                </c:pt>
                <c:pt idx="211">
                  <c:v>88.292259962017098</c:v>
                </c:pt>
                <c:pt idx="212">
                  <c:v>88.244734945159166</c:v>
                </c:pt>
                <c:pt idx="213">
                  <c:v>88.197403583894371</c:v>
                </c:pt>
                <c:pt idx="214">
                  <c:v>88.149324877211797</c:v>
                </c:pt>
                <c:pt idx="215">
                  <c:v>88.101440910963902</c:v>
                </c:pt>
                <c:pt idx="216">
                  <c:v>88.053748401208608</c:v>
                </c:pt>
                <c:pt idx="217">
                  <c:v>88.006244132446554</c:v>
                </c:pt>
                <c:pt idx="218">
                  <c:v>87.95784815090397</c:v>
                </c:pt>
                <c:pt idx="219">
                  <c:v>87.909642499876412</c:v>
                </c:pt>
                <c:pt idx="220">
                  <c:v>87.861623949793312</c:v>
                </c:pt>
                <c:pt idx="221">
                  <c:v>87.813789338566721</c:v>
                </c:pt>
                <c:pt idx="222">
                  <c:v>87.765075261978765</c:v>
                </c:pt>
                <c:pt idx="223">
                  <c:v>87.716546942182021</c:v>
                </c:pt>
                <c:pt idx="224">
                  <c:v>87.668201208429778</c:v>
                </c:pt>
                <c:pt idx="225">
                  <c:v>87.620034956349102</c:v>
                </c:pt>
                <c:pt idx="226">
                  <c:v>87.570851366155139</c:v>
                </c:pt>
                <c:pt idx="227">
                  <c:v>87.521849918358512</c:v>
                </c:pt>
                <c:pt idx="228">
                  <c:v>87.473027476606745</c:v>
                </c:pt>
                <c:pt idx="229">
                  <c:v>87.424380970473194</c:v>
                </c:pt>
                <c:pt idx="230">
                  <c:v>87.325258975905939</c:v>
                </c:pt>
                <c:pt idx="231">
                  <c:v>87.27596230128961</c:v>
                </c:pt>
                <c:pt idx="232">
                  <c:v>87.226837779306265</c:v>
                </c:pt>
                <c:pt idx="233">
                  <c:v>87.176722330392565</c:v>
                </c:pt>
                <c:pt idx="234">
                  <c:v>87.126781079213302</c:v>
                </c:pt>
                <c:pt idx="235">
                  <c:v>87.077010975890673</c:v>
                </c:pt>
                <c:pt idx="236">
                  <c:v>87.027409035020639</c:v>
                </c:pt>
                <c:pt idx="237">
                  <c:v>86.976970960793565</c:v>
                </c:pt>
                <c:pt idx="238">
                  <c:v>86.926701861457488</c:v>
                </c:pt>
                <c:pt idx="239">
                  <c:v>86.876598762947481</c:v>
                </c:pt>
                <c:pt idx="240">
                  <c:v>86.826658754001713</c:v>
                </c:pt>
                <c:pt idx="241">
                  <c:v>86.775608282379224</c:v>
                </c:pt>
                <c:pt idx="242">
                  <c:v>86.724723339984266</c:v>
                </c:pt>
                <c:pt idx="243">
                  <c:v>86.674000981629405</c:v>
                </c:pt>
                <c:pt idx="244">
                  <c:v>86.62343832455737</c:v>
                </c:pt>
                <c:pt idx="245">
                  <c:v>86.57191727684301</c:v>
                </c:pt>
                <c:pt idx="246">
                  <c:v>86.520557188925423</c:v>
                </c:pt>
                <c:pt idx="247">
                  <c:v>86.469355173804033</c:v>
                </c:pt>
                <c:pt idx="248">
                  <c:v>86.418308405691235</c:v>
                </c:pt>
                <c:pt idx="249">
                  <c:v>86.366174676242025</c:v>
                </c:pt>
                <c:pt idx="250">
                  <c:v>86.314198046195287</c:v>
                </c:pt>
                <c:pt idx="251">
                  <c:v>86.262375667276544</c:v>
                </c:pt>
                <c:pt idx="252">
                  <c:v>86.21070475173434</c:v>
                </c:pt>
                <c:pt idx="253">
                  <c:v>86.158093741878631</c:v>
                </c:pt>
                <c:pt idx="254">
                  <c:v>86.105634984967566</c:v>
                </c:pt>
                <c:pt idx="255">
                  <c:v>86.05332569762686</c:v>
                </c:pt>
                <c:pt idx="256">
                  <c:v>86.001163155560576</c:v>
                </c:pt>
                <c:pt idx="257">
                  <c:v>85.94779895449463</c:v>
                </c:pt>
                <c:pt idx="258">
                  <c:v>85.894583575833352</c:v>
                </c:pt>
                <c:pt idx="259">
                  <c:v>85.841514261677005</c:v>
                </c:pt>
                <c:pt idx="260">
                  <c:v>85.788588312855069</c:v>
                </c:pt>
                <c:pt idx="261">
                  <c:v>85.734605038242151</c:v>
                </c:pt>
                <c:pt idx="262">
                  <c:v>85.68076619028794</c:v>
                </c:pt>
                <c:pt idx="263">
                  <c:v>85.627069062132207</c:v>
                </c:pt>
                <c:pt idx="264">
                  <c:v>85.573511004553396</c:v>
                </c:pt>
                <c:pt idx="265">
                  <c:v>85.518903808781189</c:v>
                </c:pt>
                <c:pt idx="266">
                  <c:v>85.464436512823923</c:v>
                </c:pt>
                <c:pt idx="267">
                  <c:v>85.410106463777865</c:v>
                </c:pt>
                <c:pt idx="268">
                  <c:v>85.355911065188948</c:v>
                </c:pt>
                <c:pt idx="269">
                  <c:v>85.300543512163557</c:v>
                </c:pt>
                <c:pt idx="270">
                  <c:v>85.245311855405475</c:v>
                </c:pt>
                <c:pt idx="271">
                  <c:v>85.190213480096872</c:v>
                </c:pt>
                <c:pt idx="272">
                  <c:v>85.135245827109543</c:v>
                </c:pt>
                <c:pt idx="273">
                  <c:v>85.079114536183937</c:v>
                </c:pt>
                <c:pt idx="274">
                  <c:v>85.023114953011316</c:v>
                </c:pt>
                <c:pt idx="275">
                  <c:v>84.967244504754376</c:v>
                </c:pt>
                <c:pt idx="276">
                  <c:v>84.911500673381113</c:v>
                </c:pt>
                <c:pt idx="277">
                  <c:v>84.854728887402445</c:v>
                </c:pt>
                <c:pt idx="278">
                  <c:v>84.798083890873627</c:v>
                </c:pt>
                <c:pt idx="279">
                  <c:v>84.741563173128881</c:v>
                </c:pt>
                <c:pt idx="280">
                  <c:v>84.685164276835678</c:v>
                </c:pt>
                <c:pt idx="281">
                  <c:v>84.627361934902822</c:v>
                </c:pt>
                <c:pt idx="282">
                  <c:v>84.569683015546275</c:v>
                </c:pt>
                <c:pt idx="283">
                  <c:v>84.51212502264417</c:v>
                </c:pt>
                <c:pt idx="284">
                  <c:v>84.454685513266341</c:v>
                </c:pt>
                <c:pt idx="285">
                  <c:v>84.396229381352569</c:v>
                </c:pt>
                <c:pt idx="286">
                  <c:v>84.337891498085867</c:v>
                </c:pt>
                <c:pt idx="287">
                  <c:v>84.279669434488611</c:v>
                </c:pt>
                <c:pt idx="288">
                  <c:v>84.221560813133863</c:v>
                </c:pt>
                <c:pt idx="289">
                  <c:v>84.162064824722847</c:v>
                </c:pt>
                <c:pt idx="290">
                  <c:v>84.102683313987242</c:v>
                </c:pt>
                <c:pt idx="291">
                  <c:v>84.043413874344225</c:v>
                </c:pt>
                <c:pt idx="292">
                  <c:v>83.984254150369878</c:v>
                </c:pt>
                <c:pt idx="293">
                  <c:v>83.923838433777064</c:v>
                </c:pt>
                <c:pt idx="294">
                  <c:v>83.86353273233324</c:v>
                </c:pt>
                <c:pt idx="295">
                  <c:v>83.803334680899297</c:v>
                </c:pt>
                <c:pt idx="296">
                  <c:v>83.743241964553505</c:v>
                </c:pt>
                <c:pt idx="297">
                  <c:v>83.681898487883998</c:v>
                </c:pt>
                <c:pt idx="298">
                  <c:v>83.620660417392955</c:v>
                </c:pt>
                <c:pt idx="299">
                  <c:v>83.559525431930794</c:v>
                </c:pt>
                <c:pt idx="300">
                  <c:v>83.498491259537602</c:v>
                </c:pt>
                <c:pt idx="301">
                  <c:v>83.436210805642148</c:v>
                </c:pt>
                <c:pt idx="302">
                  <c:v>83.374031019833012</c:v>
                </c:pt>
                <c:pt idx="303">
                  <c:v>83.311949627047866</c:v>
                </c:pt>
                <c:pt idx="304">
                  <c:v>83.249964400315278</c:v>
                </c:pt>
                <c:pt idx="305">
                  <c:v>83.186493652038337</c:v>
                </c:pt>
                <c:pt idx="306">
                  <c:v>83.12311945019799</c:v>
                </c:pt>
                <c:pt idx="307">
                  <c:v>83.059839541981248</c:v>
                </c:pt>
                <c:pt idx="308">
                  <c:v>82.996651722229856</c:v>
                </c:pt>
                <c:pt idx="309">
                  <c:v>82.932225135230112</c:v>
                </c:pt>
                <c:pt idx="310">
                  <c:v>82.867890058498617</c:v>
                </c:pt>
                <c:pt idx="311">
                  <c:v>82.803644290092535</c:v>
                </c:pt>
                <c:pt idx="312">
                  <c:v>82.739485674473471</c:v>
                </c:pt>
                <c:pt idx="313">
                  <c:v>82.673850376063854</c:v>
                </c:pt>
                <c:pt idx="314">
                  <c:v>82.608302098432446</c:v>
                </c:pt>
                <c:pt idx="315">
                  <c:v>82.542838667829969</c:v>
                </c:pt>
                <c:pt idx="316">
                  <c:v>82.477457956288944</c:v>
                </c:pt>
                <c:pt idx="317">
                  <c:v>82.410604082617724</c:v>
                </c:pt>
                <c:pt idx="318">
                  <c:v>82.343832541516306</c:v>
                </c:pt>
                <c:pt idx="319">
                  <c:v>82.277141190552911</c:v>
                </c:pt>
                <c:pt idx="320">
                  <c:v>82.210527932361103</c:v>
                </c:pt>
                <c:pt idx="321">
                  <c:v>82.142444224756346</c:v>
                </c:pt>
                <c:pt idx="322">
                  <c:v>82.07443798049664</c:v>
                </c:pt>
                <c:pt idx="323">
                  <c:v>82.006507091168046</c:v>
                </c:pt>
                <c:pt idx="324">
                  <c:v>81.93864949262219</c:v>
                </c:pt>
                <c:pt idx="325">
                  <c:v>81.869323378101711</c:v>
                </c:pt>
                <c:pt idx="326">
                  <c:v>81.800069693100738</c:v>
                </c:pt>
                <c:pt idx="327">
                  <c:v>81.730886365528676</c:v>
                </c:pt>
                <c:pt idx="328">
                  <c:v>81.66177136669377</c:v>
                </c:pt>
                <c:pt idx="329">
                  <c:v>81.59107106032738</c:v>
                </c:pt>
                <c:pt idx="330">
                  <c:v>81.520438221879047</c:v>
                </c:pt>
                <c:pt idx="331">
                  <c:v>81.449870807411713</c:v>
                </c:pt>
                <c:pt idx="332">
                  <c:v>81.379366815746181</c:v>
                </c:pt>
                <c:pt idx="333">
                  <c:v>81.307396151552339</c:v>
                </c:pt>
                <c:pt idx="334">
                  <c:v>81.235487601249218</c:v>
                </c:pt>
                <c:pt idx="335">
                  <c:v>81.163639161468367</c:v>
                </c:pt>
                <c:pt idx="336">
                  <c:v>81.091848870613362</c:v>
                </c:pt>
                <c:pt idx="337">
                  <c:v>81.018357309862964</c:v>
                </c:pt>
                <c:pt idx="338">
                  <c:v>80.944922744698459</c:v>
                </c:pt>
                <c:pt idx="339">
                  <c:v>80.871543194914651</c:v>
                </c:pt>
                <c:pt idx="340">
                  <c:v>80.798216721575926</c:v>
                </c:pt>
                <c:pt idx="341">
                  <c:v>80.723189039786718</c:v>
                </c:pt>
                <c:pt idx="342">
                  <c:v>80.648213017957133</c:v>
                </c:pt>
                <c:pt idx="343">
                  <c:v>80.573286702036327</c:v>
                </c:pt>
                <c:pt idx="344">
                  <c:v>80.498408178665258</c:v>
                </c:pt>
                <c:pt idx="345">
                  <c:v>80.421944208181159</c:v>
                </c:pt>
                <c:pt idx="346">
                  <c:v>80.345526223709612</c:v>
                </c:pt>
                <c:pt idx="347">
                  <c:v>80.269152308694615</c:v>
                </c:pt>
                <c:pt idx="348">
                  <c:v>80.19282058638629</c:v>
                </c:pt>
                <c:pt idx="349">
                  <c:v>80.11466894260225</c:v>
                </c:pt>
                <c:pt idx="350">
                  <c:v>80.036557711459636</c:v>
                </c:pt>
                <c:pt idx="351">
                  <c:v>79.958484998632528</c:v>
                </c:pt>
                <c:pt idx="352">
                  <c:v>79.880448949148345</c:v>
                </c:pt>
                <c:pt idx="353">
                  <c:v>79.800590984866304</c:v>
                </c:pt>
                <c:pt idx="354">
                  <c:v>79.720767637504451</c:v>
                </c:pt>
                <c:pt idx="355">
                  <c:v>79.640977037914695</c:v>
                </c:pt>
                <c:pt idx="356">
                  <c:v>79.561217355780883</c:v>
                </c:pt>
                <c:pt idx="357">
                  <c:v>79.479748798200845</c:v>
                </c:pt>
                <c:pt idx="358">
                  <c:v>79.398308776911563</c:v>
                </c:pt>
                <c:pt idx="359">
                  <c:v>79.316895458355518</c:v>
                </c:pt>
                <c:pt idx="360">
                  <c:v>79.235507047018004</c:v>
                </c:pt>
                <c:pt idx="361">
                  <c:v>79.15217447559526</c:v>
                </c:pt>
                <c:pt idx="362">
                  <c:v>79.068864336250186</c:v>
                </c:pt>
                <c:pt idx="363">
                  <c:v>78.985574817703764</c:v>
                </c:pt>
                <c:pt idx="364">
                  <c:v>78.902304146314705</c:v>
                </c:pt>
                <c:pt idx="365">
                  <c:v>78.817200687207887</c:v>
                </c:pt>
                <c:pt idx="366">
                  <c:v>78.732113290497722</c:v>
                </c:pt>
                <c:pt idx="367">
                  <c:v>78.647040177333523</c:v>
                </c:pt>
                <c:pt idx="368">
                  <c:v>78.561979605844641</c:v>
                </c:pt>
                <c:pt idx="369">
                  <c:v>78.47484997102525</c:v>
                </c:pt>
                <c:pt idx="370">
                  <c:v>78.38772991278087</c:v>
                </c:pt>
                <c:pt idx="371">
                  <c:v>78.300617672863197</c:v>
                </c:pt>
                <c:pt idx="372">
                  <c:v>78.213511529703652</c:v>
                </c:pt>
                <c:pt idx="373">
                  <c:v>78.124446003261028</c:v>
                </c:pt>
                <c:pt idx="374">
                  <c:v>78.03538332421931</c:v>
                </c:pt>
                <c:pt idx="375">
                  <c:v>77.946321764861437</c:v>
                </c:pt>
                <c:pt idx="376">
                  <c:v>77.857259633608564</c:v>
                </c:pt>
                <c:pt idx="377">
                  <c:v>77.766000390533335</c:v>
                </c:pt>
                <c:pt idx="378">
                  <c:v>77.674737063691907</c:v>
                </c:pt>
                <c:pt idx="379">
                  <c:v>77.583467945468755</c:v>
                </c:pt>
                <c:pt idx="380">
                  <c:v>77.492191364176321</c:v>
                </c:pt>
                <c:pt idx="381">
                  <c:v>77.398941195790897</c:v>
                </c:pt>
                <c:pt idx="382">
                  <c:v>77.305679824115984</c:v>
                </c:pt>
                <c:pt idx="383">
                  <c:v>77.212405577551124</c:v>
                </c:pt>
                <c:pt idx="384">
                  <c:v>77.119116819817833</c:v>
                </c:pt>
                <c:pt idx="385">
                  <c:v>77.023499342582639</c:v>
                </c:pt>
                <c:pt idx="386">
                  <c:v>76.92786325660181</c:v>
                </c:pt>
                <c:pt idx="387">
                  <c:v>76.832206910656879</c:v>
                </c:pt>
                <c:pt idx="388">
                  <c:v>76.736528688739838</c:v>
                </c:pt>
                <c:pt idx="389">
                  <c:v>76.638628012711933</c:v>
                </c:pt>
                <c:pt idx="390">
                  <c:v>76.540701131979333</c:v>
                </c:pt>
                <c:pt idx="391">
                  <c:v>76.44274642535737</c:v>
                </c:pt>
                <c:pt idx="392">
                  <c:v>76.344762306543487</c:v>
                </c:pt>
                <c:pt idx="393">
                  <c:v>76.244545571552123</c:v>
                </c:pt>
                <c:pt idx="394">
                  <c:v>76.144294842432231</c:v>
                </c:pt>
                <c:pt idx="395">
                  <c:v>76.044008531242241</c:v>
                </c:pt>
                <c:pt idx="396">
                  <c:v>75.943685084575804</c:v>
                </c:pt>
                <c:pt idx="397">
                  <c:v>75.840885952996203</c:v>
                </c:pt>
                <c:pt idx="398">
                  <c:v>75.738044669368762</c:v>
                </c:pt>
                <c:pt idx="399">
                  <c:v>75.635159671694694</c:v>
                </c:pt>
                <c:pt idx="400">
                  <c:v>75.532229432452013</c:v>
                </c:pt>
                <c:pt idx="401">
                  <c:v>75.426927370276928</c:v>
                </c:pt>
                <c:pt idx="402">
                  <c:v>75.32157487722516</c:v>
                </c:pt>
                <c:pt idx="403">
                  <c:v>75.216170426556289</c:v>
                </c:pt>
                <c:pt idx="404">
                  <c:v>75.110712525765877</c:v>
                </c:pt>
                <c:pt idx="405">
                  <c:v>75.002753392037491</c:v>
                </c:pt>
                <c:pt idx="406">
                  <c:v>74.894735246757577</c:v>
                </c:pt>
                <c:pt idx="407">
                  <c:v>74.786656597336687</c:v>
                </c:pt>
                <c:pt idx="408">
                  <c:v>74.678515985308849</c:v>
                </c:pt>
                <c:pt idx="409">
                  <c:v>74.567743255826855</c:v>
                </c:pt>
                <c:pt idx="410">
                  <c:v>74.456902600667775</c:v>
                </c:pt>
                <c:pt idx="411">
                  <c:v>74.345992561092174</c:v>
                </c:pt>
                <c:pt idx="412">
                  <c:v>74.235011712495037</c:v>
                </c:pt>
                <c:pt idx="413">
                  <c:v>74.121383331632543</c:v>
                </c:pt>
                <c:pt idx="414">
                  <c:v>74.007677909341524</c:v>
                </c:pt>
                <c:pt idx="415">
                  <c:v>73.893894025581886</c:v>
                </c:pt>
                <c:pt idx="416">
                  <c:v>73.780030294431413</c:v>
                </c:pt>
                <c:pt idx="417">
                  <c:v>73.663385363448128</c:v>
                </c:pt>
                <c:pt idx="418">
                  <c:v>73.546653924741577</c:v>
                </c:pt>
                <c:pt idx="419">
                  <c:v>73.429834597727464</c:v>
                </c:pt>
                <c:pt idx="420">
                  <c:v>73.31292603604409</c:v>
                </c:pt>
                <c:pt idx="421">
                  <c:v>73.193336375254574</c:v>
                </c:pt>
                <c:pt idx="422">
                  <c:v>73.073650747852682</c:v>
                </c:pt>
                <c:pt idx="423">
                  <c:v>72.953867822096598</c:v>
                </c:pt>
                <c:pt idx="424">
                  <c:v>72.833986300417521</c:v>
                </c:pt>
                <c:pt idx="425">
                  <c:v>72.711051351527544</c:v>
                </c:pt>
                <c:pt idx="426">
                  <c:v>72.588010243716582</c:v>
                </c:pt>
                <c:pt idx="427">
                  <c:v>72.464861688083758</c:v>
                </c:pt>
                <c:pt idx="428">
                  <c:v>72.3416044302339</c:v>
                </c:pt>
                <c:pt idx="429">
                  <c:v>72.215391743559849</c:v>
                </c:pt>
                <c:pt idx="430">
                  <c:v>72.089062736028893</c:v>
                </c:pt>
                <c:pt idx="431">
                  <c:v>71.962616171842825</c:v>
                </c:pt>
                <c:pt idx="432">
                  <c:v>71.836050849883136</c:v>
                </c:pt>
                <c:pt idx="433">
                  <c:v>71.706509333587647</c:v>
                </c:pt>
                <c:pt idx="434">
                  <c:v>71.576841214575012</c:v>
                </c:pt>
                <c:pt idx="435">
                  <c:v>71.447045316487802</c:v>
                </c:pt>
                <c:pt idx="436">
                  <c:v>71.317120497804638</c:v>
                </c:pt>
                <c:pt idx="437">
                  <c:v>71.183958978529404</c:v>
                </c:pt>
                <c:pt idx="438">
                  <c:v>71.050659996067424</c:v>
                </c:pt>
                <c:pt idx="439">
                  <c:v>70.917222434043907</c:v>
                </c:pt>
                <c:pt idx="440">
                  <c:v>70.783645211311779</c:v>
                </c:pt>
                <c:pt idx="441">
                  <c:v>70.646807507972383</c:v>
                </c:pt>
                <c:pt idx="442">
                  <c:v>70.509821373870125</c:v>
                </c:pt>
                <c:pt idx="443">
                  <c:v>70.372685760418463</c:v>
                </c:pt>
                <c:pt idx="444">
                  <c:v>70.235399654627699</c:v>
                </c:pt>
                <c:pt idx="445">
                  <c:v>70.094828511781785</c:v>
                </c:pt>
                <c:pt idx="446">
                  <c:v>69.954097907347574</c:v>
                </c:pt>
                <c:pt idx="447">
                  <c:v>69.813206868485352</c:v>
                </c:pt>
                <c:pt idx="448">
                  <c:v>69.672154458297456</c:v>
                </c:pt>
                <c:pt idx="449">
                  <c:v>69.527549590092661</c:v>
                </c:pt>
                <c:pt idx="450">
                  <c:v>69.382773638145864</c:v>
                </c:pt>
                <c:pt idx="451">
                  <c:v>69.237825709086508</c:v>
                </c:pt>
                <c:pt idx="452">
                  <c:v>69.092704946048102</c:v>
                </c:pt>
                <c:pt idx="453">
                  <c:v>68.944125712901524</c:v>
                </c:pt>
                <c:pt idx="454">
                  <c:v>68.79536404898731</c:v>
                </c:pt>
                <c:pt idx="455">
                  <c:v>68.646419151910877</c:v>
                </c:pt>
                <c:pt idx="456">
                  <c:v>68.497290256195186</c:v>
                </c:pt>
                <c:pt idx="457">
                  <c:v>68.344430933518609</c:v>
                </c:pt>
                <c:pt idx="458">
                  <c:v>68.19137726739018</c:v>
                </c:pt>
                <c:pt idx="459">
                  <c:v>68.038128552193598</c:v>
                </c:pt>
                <c:pt idx="460">
                  <c:v>67.884684119844877</c:v>
                </c:pt>
                <c:pt idx="461">
                  <c:v>67.72747938885378</c:v>
                </c:pt>
                <c:pt idx="462">
                  <c:v>67.570068463750872</c:v>
                </c:pt>
                <c:pt idx="463">
                  <c:v>67.412450746333676</c:v>
                </c:pt>
                <c:pt idx="464">
                  <c:v>67.254625676509491</c:v>
                </c:pt>
                <c:pt idx="465">
                  <c:v>67.092886337300371</c:v>
                </c:pt>
                <c:pt idx="466">
                  <c:v>66.930928744280678</c:v>
                </c:pt>
                <c:pt idx="467">
                  <c:v>66.768752416429663</c:v>
                </c:pt>
                <c:pt idx="468">
                  <c:v>66.606356911486543</c:v>
                </c:pt>
                <c:pt idx="469">
                  <c:v>66.440015240787531</c:v>
                </c:pt>
                <c:pt idx="470">
                  <c:v>66.273443424392497</c:v>
                </c:pt>
                <c:pt idx="471">
                  <c:v>66.106641110192356</c:v>
                </c:pt>
                <c:pt idx="472">
                  <c:v>65.939607985442109</c:v>
                </c:pt>
                <c:pt idx="473">
                  <c:v>65.768346579714247</c:v>
                </c:pt>
                <c:pt idx="474">
                  <c:v>65.59684266778396</c:v>
                </c:pt>
                <c:pt idx="475">
                  <c:v>65.42509603751239</c:v>
                </c:pt>
                <c:pt idx="476">
                  <c:v>65.253106516901951</c:v>
                </c:pt>
                <c:pt idx="477">
                  <c:v>65.076853986771283</c:v>
                </c:pt>
                <c:pt idx="478">
                  <c:v>64.900346865138715</c:v>
                </c:pt>
                <c:pt idx="479">
                  <c:v>64.723585093451206</c:v>
                </c:pt>
                <c:pt idx="480">
                  <c:v>64.546568654004716</c:v>
                </c:pt>
                <c:pt idx="481">
                  <c:v>64.365254234913309</c:v>
                </c:pt>
                <c:pt idx="482">
                  <c:v>64.183673497103442</c:v>
                </c:pt>
                <c:pt idx="483">
                  <c:v>64.001826549386152</c:v>
                </c:pt>
                <c:pt idx="484">
                  <c:v>63.819713542052227</c:v>
                </c:pt>
                <c:pt idx="485">
                  <c:v>63.633140384750646</c:v>
                </c:pt>
                <c:pt idx="486">
                  <c:v>63.446289246757942</c:v>
                </c:pt>
                <c:pt idx="487">
                  <c:v>63.259160418772353</c:v>
                </c:pt>
                <c:pt idx="488">
                  <c:v>63.071754233641343</c:v>
                </c:pt>
                <c:pt idx="489">
                  <c:v>62.879596001807812</c:v>
                </c:pt>
                <c:pt idx="490">
                  <c:v>62.68714787701829</c:v>
                </c:pt>
                <c:pt idx="491">
                  <c:v>62.494410348723406</c:v>
                </c:pt>
                <c:pt idx="492">
                  <c:v>62.301383949318364</c:v>
                </c:pt>
                <c:pt idx="493">
                  <c:v>62.103567145865469</c:v>
                </c:pt>
                <c:pt idx="494">
                  <c:v>61.905449132221264</c:v>
                </c:pt>
                <c:pt idx="495">
                  <c:v>61.707030613261566</c:v>
                </c:pt>
                <c:pt idx="496">
                  <c:v>61.508312337492413</c:v>
                </c:pt>
                <c:pt idx="497">
                  <c:v>61.304636150337458</c:v>
                </c:pt>
                <c:pt idx="498">
                  <c:v>61.100647741252956</c:v>
                </c:pt>
                <c:pt idx="499">
                  <c:v>60.896348049091628</c:v>
                </c:pt>
                <c:pt idx="500">
                  <c:v>60.691738057007498</c:v>
                </c:pt>
                <c:pt idx="501">
                  <c:v>60.482001105729125</c:v>
                </c:pt>
                <c:pt idx="502">
                  <c:v>60.271941326589314</c:v>
                </c:pt>
                <c:pt idx="503">
                  <c:v>60.061559912333223</c:v>
                </c:pt>
                <c:pt idx="504">
                  <c:v>59.850858100656282</c:v>
                </c:pt>
                <c:pt idx="505">
                  <c:v>59.634989904913766</c:v>
                </c:pt>
                <c:pt idx="506">
                  <c:v>59.418789195189717</c:v>
                </c:pt>
                <c:pt idx="507">
                  <c:v>59.202257436699625</c:v>
                </c:pt>
                <c:pt idx="508">
                  <c:v>58.985396140107312</c:v>
                </c:pt>
                <c:pt idx="509">
                  <c:v>58.763198038850987</c:v>
                </c:pt>
                <c:pt idx="510">
                  <c:v>58.540658376916269</c:v>
                </c:pt>
                <c:pt idx="511">
                  <c:v>58.317778913611505</c:v>
                </c:pt>
                <c:pt idx="512">
                  <c:v>58.094561454120708</c:v>
                </c:pt>
                <c:pt idx="513">
                  <c:v>57.865703165380083</c:v>
                </c:pt>
                <c:pt idx="514">
                  <c:v>57.636494633884197</c:v>
                </c:pt>
                <c:pt idx="515">
                  <c:v>57.406937939603864</c:v>
                </c:pt>
                <c:pt idx="516">
                  <c:v>57.177035208841232</c:v>
                </c:pt>
                <c:pt idx="517">
                  <c:v>56.941451687968467</c:v>
                </c:pt>
                <c:pt idx="518">
                  <c:v>56.705510563276533</c:v>
                </c:pt>
                <c:pt idx="519">
                  <c:v>56.469214256548369</c:v>
                </c:pt>
                <c:pt idx="520">
                  <c:v>56.232565236139109</c:v>
                </c:pt>
                <c:pt idx="521">
                  <c:v>55.990062746209006</c:v>
                </c:pt>
                <c:pt idx="522">
                  <c:v>55.747196357949846</c:v>
                </c:pt>
                <c:pt idx="523">
                  <c:v>55.503968860402921</c:v>
                </c:pt>
                <c:pt idx="524">
                  <c:v>55.260383089292105</c:v>
                </c:pt>
                <c:pt idx="525">
                  <c:v>55.010770950738618</c:v>
                </c:pt>
                <c:pt idx="526">
                  <c:v>54.760789851967616</c:v>
                </c:pt>
                <c:pt idx="527">
                  <c:v>54.510442975906074</c:v>
                </c:pt>
                <c:pt idx="528">
                  <c:v>54.25973355211174</c:v>
                </c:pt>
                <c:pt idx="529">
                  <c:v>54.002824959055985</c:v>
                </c:pt>
                <c:pt idx="530">
                  <c:v>53.745543755114497</c:v>
                </c:pt>
                <c:pt idx="531">
                  <c:v>53.487893544831181</c:v>
                </c:pt>
                <c:pt idx="532">
                  <c:v>53.229877979136319</c:v>
                </c:pt>
                <c:pt idx="533">
                  <c:v>52.96535429465645</c:v>
                </c:pt>
                <c:pt idx="534">
                  <c:v>52.700455566168529</c:v>
                </c:pt>
                <c:pt idx="535">
                  <c:v>52.435185854888388</c:v>
                </c:pt>
                <c:pt idx="536">
                  <c:v>52.169549268046453</c:v>
                </c:pt>
                <c:pt idx="537">
                  <c:v>51.897506579333026</c:v>
                </c:pt>
                <c:pt idx="538">
                  <c:v>51.625088998409467</c:v>
                </c:pt>
                <c:pt idx="539">
                  <c:v>51.352301060242695</c:v>
                </c:pt>
                <c:pt idx="540">
                  <c:v>51.079147344979475</c:v>
                </c:pt>
                <c:pt idx="541">
                  <c:v>50.79914215803629</c:v>
                </c:pt>
                <c:pt idx="542">
                  <c:v>50.518763494070015</c:v>
                </c:pt>
                <c:pt idx="543">
                  <c:v>50.238016405875044</c:v>
                </c:pt>
                <c:pt idx="544">
                  <c:v>49.956905990461905</c:v>
                </c:pt>
                <c:pt idx="545">
                  <c:v>49.668913211874496</c:v>
                </c:pt>
                <c:pt idx="546">
                  <c:v>49.380551010297154</c:v>
                </c:pt>
                <c:pt idx="547">
                  <c:v>49.091824980443761</c:v>
                </c:pt>
                <c:pt idx="548">
                  <c:v>48.802740759825667</c:v>
                </c:pt>
                <c:pt idx="549">
                  <c:v>48.506607724625752</c:v>
                </c:pt>
                <c:pt idx="550">
                  <c:v>48.210111813605778</c:v>
                </c:pt>
                <c:pt idx="551">
                  <c:v>47.913259194611356</c:v>
                </c:pt>
                <c:pt idx="552">
                  <c:v>47.616056076444067</c:v>
                </c:pt>
                <c:pt idx="553">
                  <c:v>47.311500200367959</c:v>
                </c:pt>
                <c:pt idx="554">
                  <c:v>47.006590416518719</c:v>
                </c:pt>
                <c:pt idx="555">
                  <c:v>46.701333506499708</c:v>
                </c:pt>
                <c:pt idx="556">
                  <c:v>46.395736290612405</c:v>
                </c:pt>
                <c:pt idx="557">
                  <c:v>45.769171488705467</c:v>
                </c:pt>
                <c:pt idx="558">
                  <c:v>45.141268888027071</c:v>
                </c:pt>
                <c:pt idx="559">
                  <c:v>44.497652158338212</c:v>
                </c:pt>
                <c:pt idx="560">
                  <c:v>43.852762835596508</c:v>
                </c:pt>
                <c:pt idx="561">
                  <c:v>43.191322742076238</c:v>
                </c:pt>
                <c:pt idx="562">
                  <c:v>42.528687601288965</c:v>
                </c:pt>
                <c:pt idx="563">
                  <c:v>41.85067268891072</c:v>
                </c:pt>
                <c:pt idx="564">
                  <c:v>41.171560713806144</c:v>
                </c:pt>
                <c:pt idx="565">
                  <c:v>40.47426922976851</c:v>
                </c:pt>
                <c:pt idx="566">
                  <c:v>39.775987379192827</c:v>
                </c:pt>
                <c:pt idx="567">
                  <c:v>39.059594053183218</c:v>
                </c:pt>
                <c:pt idx="568">
                  <c:v>38.342337264173722</c:v>
                </c:pt>
                <c:pt idx="569">
                  <c:v>37.609938556628265</c:v>
                </c:pt>
                <c:pt idx="570">
                  <c:v>36.876829564506693</c:v>
                </c:pt>
                <c:pt idx="571">
                  <c:v>36.122956093566046</c:v>
                </c:pt>
                <c:pt idx="572">
                  <c:v>35.368536131510126</c:v>
                </c:pt>
                <c:pt idx="573">
                  <c:v>34.599263111158109</c:v>
                </c:pt>
                <c:pt idx="574">
                  <c:v>33.829638007217881</c:v>
                </c:pt>
                <c:pt idx="575">
                  <c:v>33.039583004418944</c:v>
                </c:pt>
                <c:pt idx="576">
                  <c:v>32.249387886529775</c:v>
                </c:pt>
                <c:pt idx="577">
                  <c:v>28.905143337654266</c:v>
                </c:pt>
                <c:pt idx="578">
                  <c:v>25.569106035450886</c:v>
                </c:pt>
                <c:pt idx="579">
                  <c:v>18.327417871180586</c:v>
                </c:pt>
                <c:pt idx="580">
                  <c:v>10.564673562955562</c:v>
                </c:pt>
                <c:pt idx="581">
                  <c:v>2.3786651307458726</c:v>
                </c:pt>
                <c:pt idx="582">
                  <c:v>-6.1163582291794967</c:v>
                </c:pt>
                <c:pt idx="583">
                  <c:v>-14.77085258734482</c:v>
                </c:pt>
                <c:pt idx="584">
                  <c:v>-23.437758615062251</c:v>
                </c:pt>
                <c:pt idx="585">
                  <c:v>-31.963586731531137</c:v>
                </c:pt>
                <c:pt idx="586">
                  <c:v>-40.219123283930742</c:v>
                </c:pt>
                <c:pt idx="587">
                  <c:v>-48.103741904461828</c:v>
                </c:pt>
                <c:pt idx="588">
                  <c:v>-55.532818876336734</c:v>
                </c:pt>
                <c:pt idx="589">
                  <c:v>-62.460681361447826</c:v>
                </c:pt>
                <c:pt idx="590">
                  <c:v>-68.853579740014666</c:v>
                </c:pt>
                <c:pt idx="591">
                  <c:v>-74.697111966263989</c:v>
                </c:pt>
                <c:pt idx="592">
                  <c:v>-79.987390490880529</c:v>
                </c:pt>
                <c:pt idx="593">
                  <c:v>-84.731573707699042</c:v>
                </c:pt>
                <c:pt idx="594">
                  <c:v>-88.940842425759868</c:v>
                </c:pt>
                <c:pt idx="595">
                  <c:v>-92.634249403459805</c:v>
                </c:pt>
                <c:pt idx="596">
                  <c:v>-95.834305501635299</c:v>
                </c:pt>
                <c:pt idx="597">
                  <c:v>-98.569611717724243</c:v>
                </c:pt>
                <c:pt idx="598">
                  <c:v>-100.87175826579116</c:v>
                </c:pt>
                <c:pt idx="599">
                  <c:v>-102.7775433143017</c:v>
                </c:pt>
                <c:pt idx="600">
                  <c:v>-104.32624586504063</c:v>
                </c:pt>
              </c:numCache>
            </c:numRef>
          </c:yVal>
          <c:smooth val="0"/>
          <c:extLst>
            <c:ext xmlns:c16="http://schemas.microsoft.com/office/drawing/2014/chart" uri="{C3380CC4-5D6E-409C-BE32-E72D297353CC}">
              <c16:uniqueId val="{0000000D-6E0D-4E7D-AC58-EA24CA5945FE}"/>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E-6E0D-4E7D-AC58-EA24CA5945FE}"/>
              </c:ext>
            </c:extLst>
          </c:dPt>
          <c:xVal>
            <c:numRef>
              <c:f>'IL Stability Calculations'!$D$617:$D$618</c:f>
              <c:numCache>
                <c:formatCode>General</c:formatCode>
                <c:ptCount val="2"/>
                <c:pt idx="0">
                  <c:v>2290.9</c:v>
                </c:pt>
                <c:pt idx="1">
                  <c:v>2290.9</c:v>
                </c:pt>
              </c:numCache>
            </c:numRef>
          </c:xVal>
          <c:yVal>
            <c:numRef>
              <c:f>'IL Stability Calculations'!$AY$617:$AY$618</c:f>
              <c:numCache>
                <c:formatCode>0.00</c:formatCode>
                <c:ptCount val="2"/>
                <c:pt idx="0">
                  <c:v>101.94175443581865</c:v>
                </c:pt>
                <c:pt idx="1">
                  <c:v>-180</c:v>
                </c:pt>
              </c:numCache>
            </c:numRef>
          </c:yVal>
          <c:smooth val="0"/>
          <c:extLst>
            <c:ext xmlns:c16="http://schemas.microsoft.com/office/drawing/2014/chart" uri="{C3380CC4-5D6E-409C-BE32-E72D297353CC}">
              <c16:uniqueId val="{0000000F-6E0D-4E7D-AC58-EA24CA5945FE}"/>
            </c:ext>
          </c:extLst>
        </c:ser>
        <c:ser>
          <c:idx val="0"/>
          <c:order val="8"/>
          <c:tx>
            <c:v>Fc2</c:v>
          </c:tx>
          <c:spPr>
            <a:ln w="22225">
              <a:solidFill>
                <a:schemeClr val="tx1">
                  <a:lumMod val="50000"/>
                  <a:lumOff val="50000"/>
                </a:schemeClr>
              </a:solidFill>
              <a:prstDash val="sysDash"/>
            </a:ln>
          </c:spPr>
          <c:marker>
            <c:symbol val="none"/>
          </c:marker>
          <c:dLbls>
            <c:dLbl>
              <c:idx val="1"/>
              <c:layout>
                <c:manualLayout>
                  <c:x val="-5.4702293288449298E-2"/>
                  <c:y val="-1.88634230614630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6E0D-4E7D-AC58-EA24CA5945FE}"/>
                </c:ext>
              </c:extLst>
            </c:dLbl>
            <c:spPr>
              <a:solidFill>
                <a:schemeClr val="lt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'IL Stability Calculations'!$D$619:$D$620</c:f>
              <c:numCache>
                <c:formatCode>General</c:formatCode>
                <c:ptCount val="2"/>
                <c:pt idx="0">
                  <c:v>2290.9</c:v>
                </c:pt>
                <c:pt idx="1">
                  <c:v>1000000</c:v>
                </c:pt>
              </c:numCache>
            </c:numRef>
          </c:xVal>
          <c:yVal>
            <c:numRef>
              <c:f>'IL Stability Calculations'!$AY$619:$AY$620</c:f>
              <c:numCache>
                <c:formatCode>0.00</c:formatCode>
                <c:ptCount val="2"/>
                <c:pt idx="0">
                  <c:v>101.94175443581865</c:v>
                </c:pt>
                <c:pt idx="1">
                  <c:v>101.94175443581865</c:v>
                </c:pt>
              </c:numCache>
            </c:numRef>
          </c:yVal>
          <c:smooth val="0"/>
          <c:extLst>
            <c:ext xmlns:c16="http://schemas.microsoft.com/office/drawing/2014/chart" uri="{C3380CC4-5D6E-409C-BE32-E72D297353CC}">
              <c16:uniqueId val="{00000011-6E0D-4E7D-AC58-EA24CA5945FE}"/>
            </c:ext>
          </c:extLst>
        </c:ser>
        <c:dLbls>
          <c:showLegendKey val="0"/>
          <c:showVal val="0"/>
          <c:showCatName val="0"/>
          <c:showSerName val="0"/>
          <c:showPercent val="0"/>
          <c:showBubbleSize val="0"/>
        </c:dLbls>
        <c:axId val="196142976"/>
        <c:axId val="196144512"/>
      </c:scatterChart>
      <c:valAx>
        <c:axId val="196130688"/>
        <c:scaling>
          <c:logBase val="10"/>
          <c:orientation val="minMax"/>
          <c:max val="1000000"/>
          <c:min val="1"/>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96141056"/>
        <c:crossesAt val="-80"/>
        <c:crossBetween val="midCat"/>
      </c:valAx>
      <c:valAx>
        <c:axId val="196141056"/>
        <c:scaling>
          <c:orientation val="minMax"/>
          <c:max val="80"/>
          <c:min val="-8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130688"/>
        <c:crossesAt val="1.0000000000000005E-2"/>
        <c:crossBetween val="midCat"/>
        <c:majorUnit val="20"/>
      </c:valAx>
      <c:valAx>
        <c:axId val="196142976"/>
        <c:scaling>
          <c:logBase val="10"/>
          <c:orientation val="minMax"/>
        </c:scaling>
        <c:delete val="1"/>
        <c:axPos val="b"/>
        <c:numFmt formatCode="General" sourceLinked="1"/>
        <c:majorTickMark val="out"/>
        <c:minorTickMark val="none"/>
        <c:tickLblPos val="none"/>
        <c:crossAx val="196144512"/>
        <c:crosses val="autoZero"/>
        <c:crossBetween val="midCat"/>
      </c:valAx>
      <c:valAx>
        <c:axId val="196144512"/>
        <c:scaling>
          <c:orientation val="minMax"/>
          <c:max val="180"/>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 Phase</a:t>
                </a:r>
                <a:r>
                  <a:rPr lang="en-US" sz="1200" b="1" baseline="0">
                    <a:solidFill>
                      <a:srgbClr val="002060"/>
                    </a:solidFill>
                    <a:latin typeface="Arial" pitchFamily="34" charset="0"/>
                    <a:cs typeface="Arial" pitchFamily="34" charset="0"/>
                  </a:rPr>
                  <a:t> Margin</a:t>
                </a:r>
                <a:r>
                  <a:rPr lang="en-US" sz="1200" b="1">
                    <a:solidFill>
                      <a:srgbClr val="002060"/>
                    </a:solidFill>
                    <a:latin typeface="Arial" pitchFamily="34" charset="0"/>
                    <a:cs typeface="Arial" pitchFamily="34" charset="0"/>
                  </a:rPr>
                  <a:t>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96142976"/>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Operation</a:t>
            </a:r>
            <a:r>
              <a:rPr lang="en-US" baseline="0"/>
              <a:t> mode ranges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2909755951004E-2"/>
          <c:y val="0.18218325343399555"/>
          <c:w val="0.81902831704763235"/>
          <c:h val="0.72842824240150528"/>
        </c:manualLayout>
      </c:layout>
      <c:barChart>
        <c:barDir val="bar"/>
        <c:grouping val="stacked"/>
        <c:varyColors val="0"/>
        <c:ser>
          <c:idx val="0"/>
          <c:order val="0"/>
          <c:spPr>
            <a:solidFill>
              <a:schemeClr val="accent1"/>
            </a:solidFill>
            <a:ln>
              <a:noFill/>
            </a:ln>
            <a:effectLst/>
          </c:spPr>
          <c:invertIfNegative val="0"/>
          <c:dPt>
            <c:idx val="0"/>
            <c:invertIfNegative val="0"/>
            <c:bubble3D val="0"/>
            <c:spPr>
              <a:noFill/>
              <a:ln>
                <a:noFill/>
              </a:ln>
              <a:effectLst/>
            </c:spPr>
            <c:extLst>
              <c:ext xmlns:c16="http://schemas.microsoft.com/office/drawing/2014/chart" uri="{C3380CC4-5D6E-409C-BE32-E72D297353CC}">
                <c16:uniqueId val="{00000001-C230-4257-BFCB-08EADF0D42CC}"/>
              </c:ext>
            </c:extLst>
          </c:dPt>
          <c:val>
            <c:numRef>
              <c:f>Timings!$AB$26</c:f>
              <c:numCache>
                <c:formatCode>General</c:formatCode>
                <c:ptCount val="1"/>
                <c:pt idx="0">
                  <c:v>6</c:v>
                </c:pt>
              </c:numCache>
            </c:numRef>
          </c:val>
          <c:extLst>
            <c:ext xmlns:c16="http://schemas.microsoft.com/office/drawing/2014/chart" uri="{C3380CC4-5D6E-409C-BE32-E72D297353CC}">
              <c16:uniqueId val="{00000002-C230-4257-BFCB-08EADF0D42CC}"/>
            </c:ext>
          </c:extLst>
        </c:ser>
        <c:ser>
          <c:idx val="1"/>
          <c:order val="1"/>
          <c:tx>
            <c:strRef>
              <c:f>Timings!$AC$24</c:f>
              <c:strCache>
                <c:ptCount val="1"/>
                <c:pt idx="0">
                  <c:v>Boost</c:v>
                </c:pt>
              </c:strCache>
            </c:strRef>
          </c:tx>
          <c:spPr>
            <a:solidFill>
              <a:schemeClr val="accent2"/>
            </a:solidFill>
            <a:ln>
              <a:noFill/>
            </a:ln>
            <a:effectLst/>
          </c:spPr>
          <c:invertIfNegative val="0"/>
          <c:val>
            <c:numRef>
              <c:f>Timings!$AC$26</c:f>
              <c:numCache>
                <c:formatCode>General</c:formatCode>
                <c:ptCount val="1"/>
                <c:pt idx="0">
                  <c:v>5.129272516082148</c:v>
                </c:pt>
              </c:numCache>
            </c:numRef>
          </c:val>
          <c:extLst>
            <c:ext xmlns:c16="http://schemas.microsoft.com/office/drawing/2014/chart" uri="{C3380CC4-5D6E-409C-BE32-E72D297353CC}">
              <c16:uniqueId val="{00000003-C230-4257-BFCB-08EADF0D42CC}"/>
            </c:ext>
          </c:extLst>
        </c:ser>
        <c:ser>
          <c:idx val="2"/>
          <c:order val="2"/>
          <c:spPr>
            <a:solidFill>
              <a:schemeClr val="accent3"/>
            </a:solidFill>
            <a:ln>
              <a:noFill/>
            </a:ln>
            <a:effectLst/>
          </c:spPr>
          <c:invertIfNegative val="0"/>
          <c:val>
            <c:numRef>
              <c:f>Timings!$AD$26</c:f>
              <c:numCache>
                <c:formatCode>General</c:formatCode>
                <c:ptCount val="1"/>
                <c:pt idx="0">
                  <c:v>3.0735489629821373</c:v>
                </c:pt>
              </c:numCache>
            </c:numRef>
          </c:val>
          <c:extLst>
            <c:ext xmlns:c16="http://schemas.microsoft.com/office/drawing/2014/chart" uri="{C3380CC4-5D6E-409C-BE32-E72D297353CC}">
              <c16:uniqueId val="{00000004-C230-4257-BFCB-08EADF0D42CC}"/>
            </c:ext>
          </c:extLst>
        </c:ser>
        <c:ser>
          <c:idx val="3"/>
          <c:order val="3"/>
          <c:tx>
            <c:strRef>
              <c:f>Timings!$AE$24</c:f>
              <c:strCache>
                <c:ptCount val="1"/>
                <c:pt idx="0">
                  <c:v>BuckBoost</c:v>
                </c:pt>
              </c:strCache>
            </c:strRef>
          </c:tx>
          <c:spPr>
            <a:solidFill>
              <a:schemeClr val="accent4"/>
            </a:solidFill>
            <a:ln>
              <a:noFill/>
            </a:ln>
            <a:effectLst/>
          </c:spPr>
          <c:invertIfNegative val="0"/>
          <c:val>
            <c:numRef>
              <c:f>Timings!$AE$26</c:f>
              <c:numCache>
                <c:formatCode>General</c:formatCode>
                <c:ptCount val="1"/>
                <c:pt idx="0">
                  <c:v>3.8217661268109016</c:v>
                </c:pt>
              </c:numCache>
            </c:numRef>
          </c:val>
          <c:extLst>
            <c:ext xmlns:c16="http://schemas.microsoft.com/office/drawing/2014/chart" uri="{C3380CC4-5D6E-409C-BE32-E72D297353CC}">
              <c16:uniqueId val="{00000005-C230-4257-BFCB-08EADF0D42CC}"/>
            </c:ext>
          </c:extLst>
        </c:ser>
        <c:ser>
          <c:idx val="4"/>
          <c:order val="4"/>
          <c:spPr>
            <a:solidFill>
              <a:schemeClr val="accent5"/>
            </a:solidFill>
            <a:ln>
              <a:noFill/>
            </a:ln>
            <a:effectLst/>
          </c:spPr>
          <c:invertIfNegative val="0"/>
          <c:val>
            <c:numRef>
              <c:f>Timings!$AF$26</c:f>
              <c:numCache>
                <c:formatCode>General</c:formatCode>
                <c:ptCount val="1"/>
                <c:pt idx="0">
                  <c:v>4.9778143597584119</c:v>
                </c:pt>
              </c:numCache>
            </c:numRef>
          </c:val>
          <c:extLst>
            <c:ext xmlns:c16="http://schemas.microsoft.com/office/drawing/2014/chart" uri="{C3380CC4-5D6E-409C-BE32-E72D297353CC}">
              <c16:uniqueId val="{00000006-C230-4257-BFCB-08EADF0D42CC}"/>
            </c:ext>
          </c:extLst>
        </c:ser>
        <c:ser>
          <c:idx val="5"/>
          <c:order val="5"/>
          <c:tx>
            <c:strRef>
              <c:f>Timings!$AG$24</c:f>
              <c:strCache>
                <c:ptCount val="1"/>
                <c:pt idx="0">
                  <c:v>Boost</c:v>
                </c:pt>
              </c:strCache>
            </c:strRef>
          </c:tx>
          <c:spPr>
            <a:solidFill>
              <a:schemeClr val="accent6"/>
            </a:solidFill>
            <a:ln>
              <a:noFill/>
            </a:ln>
            <a:effectLst/>
          </c:spPr>
          <c:invertIfNegative val="0"/>
          <c:val>
            <c:numRef>
              <c:f>Timings!$AG$26</c:f>
              <c:numCache>
                <c:formatCode>General</c:formatCode>
                <c:ptCount val="1"/>
                <c:pt idx="0">
                  <c:v>12.997598034366401</c:v>
                </c:pt>
              </c:numCache>
            </c:numRef>
          </c:val>
          <c:extLst>
            <c:ext xmlns:c16="http://schemas.microsoft.com/office/drawing/2014/chart" uri="{C3380CC4-5D6E-409C-BE32-E72D297353CC}">
              <c16:uniqueId val="{00000007-C230-4257-BFCB-08EADF0D42CC}"/>
            </c:ext>
          </c:extLst>
        </c:ser>
        <c:dLbls>
          <c:showLegendKey val="0"/>
          <c:showVal val="0"/>
          <c:showCatName val="0"/>
          <c:showSerName val="0"/>
          <c:showPercent val="0"/>
          <c:showBubbleSize val="0"/>
        </c:dLbls>
        <c:gapWidth val="50"/>
        <c:overlap val="100"/>
        <c:axId val="258381679"/>
        <c:axId val="148475023"/>
      </c:barChart>
      <c:catAx>
        <c:axId val="258381679"/>
        <c:scaling>
          <c:orientation val="minMax"/>
        </c:scaling>
        <c:delete val="1"/>
        <c:axPos val="l"/>
        <c:majorTickMark val="none"/>
        <c:minorTickMark val="none"/>
        <c:tickLblPos val="nextTo"/>
        <c:crossAx val="148475023"/>
        <c:crosses val="autoZero"/>
        <c:auto val="1"/>
        <c:lblAlgn val="ctr"/>
        <c:lblOffset val="100"/>
        <c:noMultiLvlLbl val="0"/>
      </c:catAx>
      <c:valAx>
        <c:axId val="14847502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381679"/>
        <c:crosses val="autoZero"/>
        <c:crossBetween val="between"/>
      </c:valAx>
      <c:spPr>
        <a:noFill/>
        <a:ln>
          <a:noFill/>
        </a:ln>
        <a:effectLst/>
      </c:spPr>
    </c:plotArea>
    <c:legend>
      <c:legendPos val="r"/>
      <c:legendEntry>
        <c:idx val="0"/>
        <c:delete val="1"/>
      </c:legendEntry>
      <c:legendEntry>
        <c:idx val="2"/>
        <c:delete val="1"/>
      </c:legendEntry>
      <c:legendEntry>
        <c:idx val="4"/>
        <c:delete val="1"/>
      </c:legendEntry>
      <c:layout>
        <c:manualLayout>
          <c:xMode val="edge"/>
          <c:yMode val="edge"/>
          <c:x val="0.15096959903040097"/>
          <c:y val="0.14660668796843018"/>
          <c:w val="0.53444448137830347"/>
          <c:h val="7.057728836327925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4262520126160700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v>High-side MOSFET</c:v>
          </c:tx>
          <c:spPr>
            <a:ln w="31750">
              <a:solidFill>
                <a:srgbClr val="000080"/>
              </a:solidFill>
              <a:prstDash val="dash"/>
            </a:ln>
          </c:spPr>
          <c:marker>
            <c:symbol val="none"/>
          </c:marker>
          <c:xVal>
            <c:numRef>
              <c:f>'Efficiency vs VIN Calculations'!$H$9:$H$209</c:f>
              <c:numCache>
                <c:formatCode>0.00</c:formatCode>
                <c:ptCount val="201"/>
                <c:pt idx="0">
                  <c:v>6</c:v>
                </c:pt>
                <c:pt idx="1">
                  <c:v>6.15</c:v>
                </c:pt>
                <c:pt idx="2">
                  <c:v>6.3</c:v>
                </c:pt>
                <c:pt idx="3">
                  <c:v>6.45</c:v>
                </c:pt>
                <c:pt idx="4">
                  <c:v>6.6</c:v>
                </c:pt>
                <c:pt idx="5">
                  <c:v>6.75</c:v>
                </c:pt>
                <c:pt idx="6">
                  <c:v>6.9</c:v>
                </c:pt>
                <c:pt idx="7">
                  <c:v>7.05</c:v>
                </c:pt>
                <c:pt idx="8">
                  <c:v>7.2</c:v>
                </c:pt>
                <c:pt idx="9">
                  <c:v>7.35</c:v>
                </c:pt>
                <c:pt idx="10">
                  <c:v>7.5</c:v>
                </c:pt>
                <c:pt idx="11">
                  <c:v>7.65</c:v>
                </c:pt>
                <c:pt idx="12">
                  <c:v>7.8</c:v>
                </c:pt>
                <c:pt idx="13">
                  <c:v>7.95</c:v>
                </c:pt>
                <c:pt idx="14">
                  <c:v>8.1</c:v>
                </c:pt>
                <c:pt idx="15">
                  <c:v>8.25</c:v>
                </c:pt>
                <c:pt idx="16">
                  <c:v>8.4</c:v>
                </c:pt>
                <c:pt idx="17">
                  <c:v>8.5500000000000007</c:v>
                </c:pt>
                <c:pt idx="18">
                  <c:v>8.6999999999999993</c:v>
                </c:pt>
                <c:pt idx="19">
                  <c:v>8.85</c:v>
                </c:pt>
                <c:pt idx="20">
                  <c:v>9</c:v>
                </c:pt>
                <c:pt idx="21">
                  <c:v>9.15</c:v>
                </c:pt>
                <c:pt idx="22">
                  <c:v>9.3000000000000007</c:v>
                </c:pt>
                <c:pt idx="23">
                  <c:v>9.4499999999999993</c:v>
                </c:pt>
                <c:pt idx="24">
                  <c:v>9.6</c:v>
                </c:pt>
                <c:pt idx="25">
                  <c:v>9.75</c:v>
                </c:pt>
                <c:pt idx="26">
                  <c:v>9.9</c:v>
                </c:pt>
                <c:pt idx="27">
                  <c:v>10.050000000000001</c:v>
                </c:pt>
                <c:pt idx="28">
                  <c:v>10.199999999999999</c:v>
                </c:pt>
                <c:pt idx="29">
                  <c:v>10.35</c:v>
                </c:pt>
                <c:pt idx="30">
                  <c:v>10.5</c:v>
                </c:pt>
                <c:pt idx="31">
                  <c:v>10.65</c:v>
                </c:pt>
                <c:pt idx="32">
                  <c:v>10.8</c:v>
                </c:pt>
                <c:pt idx="33">
                  <c:v>10.95</c:v>
                </c:pt>
                <c:pt idx="34">
                  <c:v>11.100000000000001</c:v>
                </c:pt>
                <c:pt idx="35">
                  <c:v>11.25</c:v>
                </c:pt>
                <c:pt idx="36">
                  <c:v>11.399999999999999</c:v>
                </c:pt>
                <c:pt idx="37">
                  <c:v>11.55</c:v>
                </c:pt>
                <c:pt idx="38">
                  <c:v>11.7</c:v>
                </c:pt>
                <c:pt idx="39">
                  <c:v>11.850000000000001</c:v>
                </c:pt>
                <c:pt idx="40">
                  <c:v>12</c:v>
                </c:pt>
                <c:pt idx="41">
                  <c:v>12.149999999999999</c:v>
                </c:pt>
                <c:pt idx="42">
                  <c:v>12.3</c:v>
                </c:pt>
                <c:pt idx="43">
                  <c:v>12.45</c:v>
                </c:pt>
                <c:pt idx="44">
                  <c:v>12.6</c:v>
                </c:pt>
                <c:pt idx="45">
                  <c:v>12.75</c:v>
                </c:pt>
                <c:pt idx="46">
                  <c:v>12.9</c:v>
                </c:pt>
                <c:pt idx="47">
                  <c:v>13.05</c:v>
                </c:pt>
                <c:pt idx="48">
                  <c:v>13.2</c:v>
                </c:pt>
                <c:pt idx="49">
                  <c:v>13.35</c:v>
                </c:pt>
                <c:pt idx="50">
                  <c:v>13.5</c:v>
                </c:pt>
                <c:pt idx="51">
                  <c:v>13.65</c:v>
                </c:pt>
                <c:pt idx="52">
                  <c:v>13.8</c:v>
                </c:pt>
                <c:pt idx="53">
                  <c:v>13.95</c:v>
                </c:pt>
                <c:pt idx="54">
                  <c:v>14.100000000000001</c:v>
                </c:pt>
                <c:pt idx="55">
                  <c:v>14.25</c:v>
                </c:pt>
                <c:pt idx="56">
                  <c:v>14.4</c:v>
                </c:pt>
                <c:pt idx="57">
                  <c:v>14.549999999999999</c:v>
                </c:pt>
                <c:pt idx="58">
                  <c:v>14.7</c:v>
                </c:pt>
                <c:pt idx="59">
                  <c:v>14.85</c:v>
                </c:pt>
                <c:pt idx="60">
                  <c:v>15</c:v>
                </c:pt>
                <c:pt idx="61">
                  <c:v>15.15</c:v>
                </c:pt>
                <c:pt idx="62">
                  <c:v>15.3</c:v>
                </c:pt>
                <c:pt idx="63">
                  <c:v>15.45</c:v>
                </c:pt>
                <c:pt idx="64">
                  <c:v>15.6</c:v>
                </c:pt>
                <c:pt idx="65">
                  <c:v>15.75</c:v>
                </c:pt>
                <c:pt idx="66">
                  <c:v>15.9</c:v>
                </c:pt>
                <c:pt idx="67">
                  <c:v>16.05</c:v>
                </c:pt>
                <c:pt idx="68">
                  <c:v>16.200000000000003</c:v>
                </c:pt>
                <c:pt idx="69">
                  <c:v>16.350000000000001</c:v>
                </c:pt>
                <c:pt idx="70">
                  <c:v>16.5</c:v>
                </c:pt>
                <c:pt idx="71">
                  <c:v>16.649999999999999</c:v>
                </c:pt>
                <c:pt idx="72">
                  <c:v>16.799999999999997</c:v>
                </c:pt>
                <c:pt idx="73">
                  <c:v>16.95</c:v>
                </c:pt>
                <c:pt idx="74">
                  <c:v>17.100000000000001</c:v>
                </c:pt>
                <c:pt idx="75">
                  <c:v>17.25</c:v>
                </c:pt>
                <c:pt idx="76">
                  <c:v>17.399999999999999</c:v>
                </c:pt>
                <c:pt idx="77">
                  <c:v>17.55</c:v>
                </c:pt>
                <c:pt idx="78">
                  <c:v>17.700000000000003</c:v>
                </c:pt>
                <c:pt idx="79">
                  <c:v>17.850000000000001</c:v>
                </c:pt>
                <c:pt idx="80">
                  <c:v>18</c:v>
                </c:pt>
                <c:pt idx="81">
                  <c:v>18.149999999999999</c:v>
                </c:pt>
                <c:pt idx="82">
                  <c:v>18.299999999999997</c:v>
                </c:pt>
                <c:pt idx="83">
                  <c:v>18.45</c:v>
                </c:pt>
                <c:pt idx="84">
                  <c:v>18.600000000000001</c:v>
                </c:pt>
                <c:pt idx="85">
                  <c:v>18.75</c:v>
                </c:pt>
                <c:pt idx="86">
                  <c:v>18.899999999999999</c:v>
                </c:pt>
                <c:pt idx="87">
                  <c:v>19.05</c:v>
                </c:pt>
                <c:pt idx="88">
                  <c:v>19.2</c:v>
                </c:pt>
                <c:pt idx="89">
                  <c:v>19.350000000000001</c:v>
                </c:pt>
                <c:pt idx="90">
                  <c:v>19.5</c:v>
                </c:pt>
                <c:pt idx="91">
                  <c:v>19.649999999999999</c:v>
                </c:pt>
                <c:pt idx="92">
                  <c:v>19.8</c:v>
                </c:pt>
                <c:pt idx="93">
                  <c:v>19.950000000000003</c:v>
                </c:pt>
                <c:pt idx="94">
                  <c:v>20.100000000000001</c:v>
                </c:pt>
                <c:pt idx="95">
                  <c:v>20.25</c:v>
                </c:pt>
                <c:pt idx="96">
                  <c:v>20.399999999999999</c:v>
                </c:pt>
                <c:pt idx="97">
                  <c:v>20.549999999999997</c:v>
                </c:pt>
                <c:pt idx="98">
                  <c:v>20.7</c:v>
                </c:pt>
                <c:pt idx="99">
                  <c:v>20.85</c:v>
                </c:pt>
                <c:pt idx="100">
                  <c:v>21</c:v>
                </c:pt>
                <c:pt idx="101">
                  <c:v>21.15</c:v>
                </c:pt>
                <c:pt idx="102">
                  <c:v>21.3</c:v>
                </c:pt>
                <c:pt idx="103">
                  <c:v>21.450000000000003</c:v>
                </c:pt>
                <c:pt idx="104">
                  <c:v>21.6</c:v>
                </c:pt>
                <c:pt idx="105">
                  <c:v>21.75</c:v>
                </c:pt>
                <c:pt idx="106">
                  <c:v>21.9</c:v>
                </c:pt>
                <c:pt idx="107">
                  <c:v>22.05</c:v>
                </c:pt>
                <c:pt idx="108">
                  <c:v>22.200000000000003</c:v>
                </c:pt>
                <c:pt idx="109">
                  <c:v>22.35</c:v>
                </c:pt>
                <c:pt idx="110">
                  <c:v>22.5</c:v>
                </c:pt>
                <c:pt idx="111">
                  <c:v>22.650000000000002</c:v>
                </c:pt>
                <c:pt idx="112">
                  <c:v>22.8</c:v>
                </c:pt>
                <c:pt idx="113">
                  <c:v>22.95</c:v>
                </c:pt>
                <c:pt idx="114">
                  <c:v>23.099999999999998</c:v>
                </c:pt>
                <c:pt idx="115">
                  <c:v>23.25</c:v>
                </c:pt>
                <c:pt idx="116">
                  <c:v>23.4</c:v>
                </c:pt>
                <c:pt idx="117">
                  <c:v>23.549999999999997</c:v>
                </c:pt>
                <c:pt idx="118">
                  <c:v>23.7</c:v>
                </c:pt>
                <c:pt idx="119">
                  <c:v>23.849999999999998</c:v>
                </c:pt>
                <c:pt idx="120">
                  <c:v>24</c:v>
                </c:pt>
                <c:pt idx="121">
                  <c:v>24.15</c:v>
                </c:pt>
                <c:pt idx="122">
                  <c:v>24.3</c:v>
                </c:pt>
                <c:pt idx="123">
                  <c:v>24.45</c:v>
                </c:pt>
                <c:pt idx="124">
                  <c:v>24.6</c:v>
                </c:pt>
                <c:pt idx="125">
                  <c:v>24.75</c:v>
                </c:pt>
                <c:pt idx="126">
                  <c:v>24.9</c:v>
                </c:pt>
                <c:pt idx="127">
                  <c:v>25.05</c:v>
                </c:pt>
                <c:pt idx="128">
                  <c:v>25.2</c:v>
                </c:pt>
                <c:pt idx="129">
                  <c:v>25.35</c:v>
                </c:pt>
                <c:pt idx="130">
                  <c:v>25.5</c:v>
                </c:pt>
                <c:pt idx="131">
                  <c:v>25.650000000000002</c:v>
                </c:pt>
                <c:pt idx="132">
                  <c:v>25.8</c:v>
                </c:pt>
                <c:pt idx="133">
                  <c:v>25.950000000000003</c:v>
                </c:pt>
                <c:pt idx="134">
                  <c:v>26.1</c:v>
                </c:pt>
                <c:pt idx="135">
                  <c:v>26.25</c:v>
                </c:pt>
                <c:pt idx="136">
                  <c:v>26.400000000000002</c:v>
                </c:pt>
                <c:pt idx="137">
                  <c:v>26.55</c:v>
                </c:pt>
                <c:pt idx="138">
                  <c:v>26.7</c:v>
                </c:pt>
                <c:pt idx="139">
                  <c:v>26.849999999999998</c:v>
                </c:pt>
                <c:pt idx="140">
                  <c:v>27</c:v>
                </c:pt>
                <c:pt idx="141">
                  <c:v>27.15</c:v>
                </c:pt>
                <c:pt idx="142">
                  <c:v>27.299999999999997</c:v>
                </c:pt>
                <c:pt idx="143">
                  <c:v>27.45</c:v>
                </c:pt>
                <c:pt idx="144">
                  <c:v>27.599999999999998</c:v>
                </c:pt>
                <c:pt idx="145">
                  <c:v>27.75</c:v>
                </c:pt>
                <c:pt idx="146">
                  <c:v>27.9</c:v>
                </c:pt>
                <c:pt idx="147">
                  <c:v>28.05</c:v>
                </c:pt>
                <c:pt idx="148">
                  <c:v>28.2</c:v>
                </c:pt>
                <c:pt idx="149">
                  <c:v>28.35</c:v>
                </c:pt>
                <c:pt idx="150">
                  <c:v>28.5</c:v>
                </c:pt>
                <c:pt idx="151">
                  <c:v>28.65</c:v>
                </c:pt>
                <c:pt idx="152">
                  <c:v>28.8</c:v>
                </c:pt>
                <c:pt idx="153">
                  <c:v>28.95</c:v>
                </c:pt>
                <c:pt idx="154">
                  <c:v>29.1</c:v>
                </c:pt>
                <c:pt idx="155">
                  <c:v>29.25</c:v>
                </c:pt>
                <c:pt idx="156">
                  <c:v>29.400000000000002</c:v>
                </c:pt>
                <c:pt idx="157">
                  <c:v>29.55</c:v>
                </c:pt>
                <c:pt idx="158">
                  <c:v>29.700000000000003</c:v>
                </c:pt>
                <c:pt idx="159">
                  <c:v>29.85</c:v>
                </c:pt>
                <c:pt idx="160">
                  <c:v>30</c:v>
                </c:pt>
                <c:pt idx="161">
                  <c:v>30.150000000000002</c:v>
                </c:pt>
                <c:pt idx="162">
                  <c:v>30.3</c:v>
                </c:pt>
                <c:pt idx="163">
                  <c:v>30.45</c:v>
                </c:pt>
                <c:pt idx="164">
                  <c:v>30.599999999999998</c:v>
                </c:pt>
                <c:pt idx="165">
                  <c:v>30.75</c:v>
                </c:pt>
                <c:pt idx="166">
                  <c:v>30.9</c:v>
                </c:pt>
                <c:pt idx="167">
                  <c:v>31.049999999999997</c:v>
                </c:pt>
                <c:pt idx="168">
                  <c:v>31.2</c:v>
                </c:pt>
                <c:pt idx="169">
                  <c:v>31.349999999999998</c:v>
                </c:pt>
                <c:pt idx="170">
                  <c:v>31.5</c:v>
                </c:pt>
                <c:pt idx="171">
                  <c:v>31.65</c:v>
                </c:pt>
                <c:pt idx="172">
                  <c:v>31.8</c:v>
                </c:pt>
                <c:pt idx="173">
                  <c:v>31.95</c:v>
                </c:pt>
                <c:pt idx="174">
                  <c:v>32.1</c:v>
                </c:pt>
                <c:pt idx="175">
                  <c:v>32.25</c:v>
                </c:pt>
                <c:pt idx="176">
                  <c:v>32.4</c:v>
                </c:pt>
                <c:pt idx="177">
                  <c:v>32.549999999999997</c:v>
                </c:pt>
                <c:pt idx="178">
                  <c:v>32.700000000000003</c:v>
                </c:pt>
                <c:pt idx="179">
                  <c:v>32.85</c:v>
                </c:pt>
                <c:pt idx="180">
                  <c:v>33</c:v>
                </c:pt>
                <c:pt idx="181">
                  <c:v>33.150000000000006</c:v>
                </c:pt>
                <c:pt idx="182">
                  <c:v>33.299999999999997</c:v>
                </c:pt>
                <c:pt idx="183">
                  <c:v>33.450000000000003</c:v>
                </c:pt>
                <c:pt idx="184">
                  <c:v>33.6</c:v>
                </c:pt>
                <c:pt idx="185">
                  <c:v>33.75</c:v>
                </c:pt>
                <c:pt idx="186">
                  <c:v>33.900000000000006</c:v>
                </c:pt>
                <c:pt idx="187">
                  <c:v>34.049999999999997</c:v>
                </c:pt>
                <c:pt idx="188">
                  <c:v>34.200000000000003</c:v>
                </c:pt>
                <c:pt idx="189">
                  <c:v>34.349999999999994</c:v>
                </c:pt>
                <c:pt idx="190">
                  <c:v>34.5</c:v>
                </c:pt>
                <c:pt idx="191">
                  <c:v>34.65</c:v>
                </c:pt>
                <c:pt idx="192">
                  <c:v>34.799999999999997</c:v>
                </c:pt>
                <c:pt idx="193">
                  <c:v>34.950000000000003</c:v>
                </c:pt>
                <c:pt idx="194">
                  <c:v>35.099999999999994</c:v>
                </c:pt>
                <c:pt idx="195">
                  <c:v>35.25</c:v>
                </c:pt>
                <c:pt idx="196">
                  <c:v>35.4</c:v>
                </c:pt>
                <c:pt idx="197">
                  <c:v>35.549999999999997</c:v>
                </c:pt>
                <c:pt idx="198">
                  <c:v>35.700000000000003</c:v>
                </c:pt>
                <c:pt idx="199">
                  <c:v>35.85</c:v>
                </c:pt>
                <c:pt idx="200">
                  <c:v>36</c:v>
                </c:pt>
              </c:numCache>
            </c:numRef>
          </c:xVal>
          <c:yVal>
            <c:numRef>
              <c:f>'Efficiency vs VIN Calculations'!$BL$9:$BL$209</c:f>
              <c:numCache>
                <c:formatCode>0.0</c:formatCode>
                <c:ptCount val="201"/>
                <c:pt idx="0">
                  <c:v>249.55028167129387</c:v>
                </c:pt>
                <c:pt idx="1">
                  <c:v>234.63531033692027</c:v>
                </c:pt>
                <c:pt idx="2">
                  <c:v>221.427515858329</c:v>
                </c:pt>
                <c:pt idx="3">
                  <c:v>209.65398973475902</c:v>
                </c:pt>
                <c:pt idx="4">
                  <c:v>199.09682578164643</c:v>
                </c:pt>
                <c:pt idx="5">
                  <c:v>189.57994222505459</c:v>
                </c:pt>
                <c:pt idx="6">
                  <c:v>180.95951841148789</c:v>
                </c:pt>
                <c:pt idx="7">
                  <c:v>173.11694006113106</c:v>
                </c:pt>
                <c:pt idx="8">
                  <c:v>165.95351759351988</c:v>
                </c:pt>
                <c:pt idx="9">
                  <c:v>159.38647857654345</c:v>
                </c:pt>
                <c:pt idx="10">
                  <c:v>153.34588960752819</c:v>
                </c:pt>
                <c:pt idx="11">
                  <c:v>147.77226553719839</c:v>
                </c:pt>
                <c:pt idx="12">
                  <c:v>142.61469342379164</c:v>
                </c:pt>
                <c:pt idx="13">
                  <c:v>137.82934642703043</c:v>
                </c:pt>
                <c:pt idx="14">
                  <c:v>133.3782962678892</c:v>
                </c:pt>
                <c:pt idx="15">
                  <c:v>129.22855655590595</c:v>
                </c:pt>
                <c:pt idx="16">
                  <c:v>125.35130627687411</c:v>
                </c:pt>
                <c:pt idx="17">
                  <c:v>121.72125507339288</c:v>
                </c:pt>
                <c:pt idx="18">
                  <c:v>118.3161210120376</c:v>
                </c:pt>
                <c:pt idx="19">
                  <c:v>115.11619825382475</c:v>
                </c:pt>
                <c:pt idx="20">
                  <c:v>112.10399708098886</c:v>
                </c:pt>
                <c:pt idx="21">
                  <c:v>109.26394254021407</c:v>
                </c:pt>
                <c:pt idx="22">
                  <c:v>106.58212086492031</c:v>
                </c:pt>
                <c:pt idx="23">
                  <c:v>104.04606506969141</c:v>
                </c:pt>
                <c:pt idx="24">
                  <c:v>101.64457283697547</c:v>
                </c:pt>
                <c:pt idx="25">
                  <c:v>99.367551162943869</c:v>
                </c:pt>
                <c:pt idx="26">
                  <c:v>97.20588328668596</c:v>
                </c:pt>
                <c:pt idx="27">
                  <c:v>95.151314262252157</c:v>
                </c:pt>
                <c:pt idx="28">
                  <c:v>93.196352197028503</c:v>
                </c:pt>
                <c:pt idx="29">
                  <c:v>91.334182710717627</c:v>
                </c:pt>
                <c:pt idx="30">
                  <c:v>89.5585945958493</c:v>
                </c:pt>
                <c:pt idx="31">
                  <c:v>87.863915005460811</c:v>
                </c:pt>
                <c:pt idx="32">
                  <c:v>86.244952773494518</c:v>
                </c:pt>
                <c:pt idx="33">
                  <c:v>84.696948701811522</c:v>
                </c:pt>
                <c:pt idx="34">
                  <c:v>83.215531834859334</c:v>
                </c:pt>
                <c:pt idx="35">
                  <c:v>81.796680897056802</c:v>
                </c:pt>
                <c:pt idx="36">
                  <c:v>80.436690195253775</c:v>
                </c:pt>
                <c:pt idx="37">
                  <c:v>79.132139394246991</c:v>
                </c:pt>
                <c:pt idx="38">
                  <c:v>77.87986666130476</c:v>
                </c:pt>
                <c:pt idx="39">
                  <c:v>76.67694474919179</c:v>
                </c:pt>
                <c:pt idx="40">
                  <c:v>75.520659648875821</c:v>
                </c:pt>
                <c:pt idx="41">
                  <c:v>74.408491495019575</c:v>
                </c:pt>
                <c:pt idx="42">
                  <c:v>73.338097451208938</c:v>
                </c:pt>
                <c:pt idx="43">
                  <c:v>72.307296339006029</c:v>
                </c:pt>
                <c:pt idx="44">
                  <c:v>71.314054806471304</c:v>
                </c:pt>
                <c:pt idx="45">
                  <c:v>70.356474858685417</c:v>
                </c:pt>
                <c:pt idx="46">
                  <c:v>69.432782595774299</c:v>
                </c:pt>
                <c:pt idx="47">
                  <c:v>68.541318023625109</c:v>
                </c:pt>
                <c:pt idx="48">
                  <c:v>67.680525819387782</c:v>
                </c:pt>
                <c:pt idx="49">
                  <c:v>66.84894694841806</c:v>
                </c:pt>
                <c:pt idx="50">
                  <c:v>66.045211041888365</c:v>
                </c:pt>
                <c:pt idx="51">
                  <c:v>65.268029455168957</c:v>
                </c:pt>
                <c:pt idx="52">
                  <c:v>64.516188936517054</c:v>
                </c:pt>
                <c:pt idx="53">
                  <c:v>63.788545843810695</c:v>
                </c:pt>
                <c:pt idx="54">
                  <c:v>63.084020854208035</c:v>
                </c:pt>
                <c:pt idx="55">
                  <c:v>120.51955336499655</c:v>
                </c:pt>
                <c:pt idx="56">
                  <c:v>120.65249539296643</c:v>
                </c:pt>
                <c:pt idx="57">
                  <c:v>120.79087558387151</c:v>
                </c:pt>
                <c:pt idx="58">
                  <c:v>120.93445006470763</c:v>
                </c:pt>
                <c:pt idx="59">
                  <c:v>121.08298796544497</c:v>
                </c:pt>
                <c:pt idx="60">
                  <c:v>121.23627058247814</c:v>
                </c:pt>
                <c:pt idx="61">
                  <c:v>121.39409060445097</c:v>
                </c:pt>
                <c:pt idx="62">
                  <c:v>121.55625139517906</c:v>
                </c:pt>
                <c:pt idx="63">
                  <c:v>121.72256632889314</c:v>
                </c:pt>
                <c:pt idx="64">
                  <c:v>121.89285817347287</c:v>
                </c:pt>
                <c:pt idx="65">
                  <c:v>122.066958517741</c:v>
                </c:pt>
                <c:pt idx="66">
                  <c:v>122.24470723924783</c:v>
                </c:pt>
                <c:pt idx="67">
                  <c:v>110.00713377977327</c:v>
                </c:pt>
                <c:pt idx="68">
                  <c:v>109.99109015570511</c:v>
                </c:pt>
                <c:pt idx="69">
                  <c:v>109.98363282238921</c:v>
                </c:pt>
                <c:pt idx="70">
                  <c:v>109.98434228239476</c:v>
                </c:pt>
                <c:pt idx="71">
                  <c:v>109.99281719775423</c:v>
                </c:pt>
                <c:pt idx="72">
                  <c:v>110.00867335217129</c:v>
                </c:pt>
                <c:pt idx="73">
                  <c:v>110.03154268424687</c:v>
                </c:pt>
                <c:pt idx="74">
                  <c:v>110.06107238613279</c:v>
                </c:pt>
                <c:pt idx="75">
                  <c:v>110.09692406251702</c:v>
                </c:pt>
                <c:pt idx="76">
                  <c:v>110.13877294529173</c:v>
                </c:pt>
                <c:pt idx="77">
                  <c:v>110.18630715965867</c:v>
                </c:pt>
                <c:pt idx="78">
                  <c:v>110.23922703779014</c:v>
                </c:pt>
                <c:pt idx="79">
                  <c:v>110.29724447649491</c:v>
                </c:pt>
                <c:pt idx="80">
                  <c:v>110.3600823356355</c:v>
                </c:pt>
                <c:pt idx="81">
                  <c:v>110.42747387431506</c:v>
                </c:pt>
                <c:pt idx="82">
                  <c:v>110.49916222209836</c:v>
                </c:pt>
                <c:pt idx="83">
                  <c:v>110.57489988275299</c:v>
                </c:pt>
                <c:pt idx="84">
                  <c:v>110.65444826820155</c:v>
                </c:pt>
                <c:pt idx="85">
                  <c:v>110.73757726056027</c:v>
                </c:pt>
                <c:pt idx="86">
                  <c:v>110.82406480030679</c:v>
                </c:pt>
                <c:pt idx="87">
                  <c:v>110.91369649877538</c:v>
                </c:pt>
                <c:pt idx="88">
                  <c:v>111.00626527331578</c:v>
                </c:pt>
                <c:pt idx="89">
                  <c:v>111.10157100358256</c:v>
                </c:pt>
                <c:pt idx="90">
                  <c:v>111.1994202075369</c:v>
                </c:pt>
                <c:pt idx="91">
                  <c:v>111.29962573585097</c:v>
                </c:pt>
                <c:pt idx="92">
                  <c:v>111.40200648350329</c:v>
                </c:pt>
                <c:pt idx="93">
                  <c:v>111.50638711744342</c:v>
                </c:pt>
                <c:pt idx="94">
                  <c:v>111.61259781928653</c:v>
                </c:pt>
                <c:pt idx="95">
                  <c:v>111.720474042075</c:v>
                </c:pt>
                <c:pt idx="96">
                  <c:v>111.82985628021326</c:v>
                </c:pt>
                <c:pt idx="97">
                  <c:v>111.94058985174657</c:v>
                </c:pt>
                <c:pt idx="98">
                  <c:v>112.05252469221355</c:v>
                </c:pt>
                <c:pt idx="99">
                  <c:v>112.16551515935586</c:v>
                </c:pt>
                <c:pt idx="100">
                  <c:v>112.27941984801939</c:v>
                </c:pt>
                <c:pt idx="101">
                  <c:v>112.39410141462749</c:v>
                </c:pt>
                <c:pt idx="102">
                  <c:v>112.5094264106481</c:v>
                </c:pt>
                <c:pt idx="103">
                  <c:v>112.62526512451807</c:v>
                </c:pt>
                <c:pt idx="104">
                  <c:v>112.74149143152229</c:v>
                </c:pt>
                <c:pt idx="105">
                  <c:v>112.85798265116073</c:v>
                </c:pt>
                <c:pt idx="106">
                  <c:v>112.97461941156607</c:v>
                </c:pt>
                <c:pt idx="107">
                  <c:v>113.09128552056447</c:v>
                </c:pt>
                <c:pt idx="108">
                  <c:v>113.20786784299833</c:v>
                </c:pt>
                <c:pt idx="109">
                  <c:v>113.32425618395474</c:v>
                </c:pt>
                <c:pt idx="110">
                  <c:v>113.44034317756623</c:v>
                </c:pt>
                <c:pt idx="111">
                  <c:v>113.55602418107198</c:v>
                </c:pt>
                <c:pt idx="112">
                  <c:v>113.67119717384709</c:v>
                </c:pt>
                <c:pt idx="113">
                  <c:v>113.78576266112643</c:v>
                </c:pt>
                <c:pt idx="114">
                  <c:v>58.202825526486933</c:v>
                </c:pt>
                <c:pt idx="115">
                  <c:v>58.441980869979041</c:v>
                </c:pt>
                <c:pt idx="116">
                  <c:v>58.68190992394419</c:v>
                </c:pt>
                <c:pt idx="117">
                  <c:v>58.922590676009413</c:v>
                </c:pt>
                <c:pt idx="118">
                  <c:v>59.164001995619152</c:v>
                </c:pt>
                <c:pt idx="119">
                  <c:v>59.406123591451639</c:v>
                </c:pt>
                <c:pt idx="120">
                  <c:v>59.648935971173294</c:v>
                </c:pt>
                <c:pt idx="121">
                  <c:v>59.892420403388712</c:v>
                </c:pt>
                <c:pt idx="122">
                  <c:v>60.136558881653265</c:v>
                </c:pt>
                <c:pt idx="123">
                  <c:v>60.381334090424197</c:v>
                </c:pt>
                <c:pt idx="124">
                  <c:v>60.626729372834106</c:v>
                </c:pt>
                <c:pt idx="125">
                  <c:v>60.872728700178655</c:v>
                </c:pt>
                <c:pt idx="126">
                  <c:v>61.119316643017108</c:v>
                </c:pt>
                <c:pt idx="127">
                  <c:v>61.366478343790909</c:v>
                </c:pt>
                <c:pt idx="128">
                  <c:v>61.614199490871883</c:v>
                </c:pt>
                <c:pt idx="129">
                  <c:v>61.862466293956892</c:v>
                </c:pt>
                <c:pt idx="130">
                  <c:v>62.111265460731317</c:v>
                </c:pt>
                <c:pt idx="131">
                  <c:v>62.36058417472865</c:v>
                </c:pt>
                <c:pt idx="132">
                  <c:v>62.610410074318189</c:v>
                </c:pt>
                <c:pt idx="133">
                  <c:v>62.860731232756386</c:v>
                </c:pt>
                <c:pt idx="134">
                  <c:v>63.111536139242439</c:v>
                </c:pt>
                <c:pt idx="135">
                  <c:v>63.362813680921704</c:v>
                </c:pt>
                <c:pt idx="136">
                  <c:v>63.6145531257839</c:v>
                </c:pt>
                <c:pt idx="137">
                  <c:v>63.866744106407005</c:v>
                </c:pt>
                <c:pt idx="138">
                  <c:v>64.119376604499763</c:v>
                </c:pt>
                <c:pt idx="139">
                  <c:v>64.372440936199496</c:v>
                </c:pt>
                <c:pt idx="140">
                  <c:v>64.625927738083831</c:v>
                </c:pt>
                <c:pt idx="141">
                  <c:v>64.87982795385787</c:v>
                </c:pt>
                <c:pt idx="142">
                  <c:v>65.134132821680197</c:v>
                </c:pt>
                <c:pt idx="143">
                  <c:v>65.388833862093804</c:v>
                </c:pt>
                <c:pt idx="144">
                  <c:v>65.643922866529508</c:v>
                </c:pt>
                <c:pt idx="145">
                  <c:v>65.899391886351552</c:v>
                </c:pt>
                <c:pt idx="146">
                  <c:v>66.155233222417039</c:v>
                </c:pt>
                <c:pt idx="147">
                  <c:v>66.411439415121919</c:v>
                </c:pt>
                <c:pt idx="148">
                  <c:v>66.668003234908667</c:v>
                </c:pt>
                <c:pt idx="149">
                  <c:v>66.924917673211041</c:v>
                </c:pt>
                <c:pt idx="150">
                  <c:v>67.182175933814307</c:v>
                </c:pt>
                <c:pt idx="151">
                  <c:v>67.439771424608608</c:v>
                </c:pt>
                <c:pt idx="152">
                  <c:v>67.697697749716269</c:v>
                </c:pt>
                <c:pt idx="153">
                  <c:v>67.955948701973682</c:v>
                </c:pt>
                <c:pt idx="154">
                  <c:v>68.214518255749681</c:v>
                </c:pt>
                <c:pt idx="155">
                  <c:v>68.473400560084229</c:v>
                </c:pt>
                <c:pt idx="156">
                  <c:v>68.732589932130438</c:v>
                </c:pt>
                <c:pt idx="157">
                  <c:v>68.992080850885742</c:v>
                </c:pt>
                <c:pt idx="158">
                  <c:v>69.251867951197411</c:v>
                </c:pt>
                <c:pt idx="159">
                  <c:v>69.51194601802905</c:v>
                </c:pt>
                <c:pt idx="160">
                  <c:v>69.772309980975493</c:v>
                </c:pt>
                <c:pt idx="161">
                  <c:v>70.032954909013526</c:v>
                </c:pt>
                <c:pt idx="162">
                  <c:v>70.293876005477827</c:v>
                </c:pt>
                <c:pt idx="163">
                  <c:v>70.555068603250206</c:v>
                </c:pt>
                <c:pt idx="164">
                  <c:v>70.816528160153084</c:v>
                </c:pt>
                <c:pt idx="165">
                  <c:v>71.078250254536471</c:v>
                </c:pt>
                <c:pt idx="166">
                  <c:v>71.340230581049923</c:v>
                </c:pt>
                <c:pt idx="167">
                  <c:v>71.60246494659043</c:v>
                </c:pt>
                <c:pt idx="168">
                  <c:v>71.86494926641808</c:v>
                </c:pt>
                <c:pt idx="169">
                  <c:v>72.127679560431588</c:v>
                </c:pt>
                <c:pt idx="170">
                  <c:v>72.390651949596418</c:v>
                </c:pt>
                <c:pt idx="171">
                  <c:v>72.653862652518214</c:v>
                </c:pt>
                <c:pt idx="172">
                  <c:v>72.917307982155023</c:v>
                </c:pt>
                <c:pt idx="173">
                  <c:v>73.180984342661873</c:v>
                </c:pt>
                <c:pt idx="174">
                  <c:v>73.444888226361698</c:v>
                </c:pt>
                <c:pt idx="175">
                  <c:v>73.709016210836879</c:v>
                </c:pt>
                <c:pt idx="176">
                  <c:v>73.973364956135953</c:v>
                </c:pt>
                <c:pt idx="177">
                  <c:v>74.237931202090266</c:v>
                </c:pt>
                <c:pt idx="178">
                  <c:v>74.502711765735896</c:v>
                </c:pt>
                <c:pt idx="179">
                  <c:v>74.76770353883559</c:v>
                </c:pt>
                <c:pt idx="180">
                  <c:v>75.032903485497172</c:v>
                </c:pt>
                <c:pt idx="181">
                  <c:v>75.298308639883246</c:v>
                </c:pt>
                <c:pt idx="182">
                  <c:v>75.563916104008896</c:v>
                </c:pt>
                <c:pt idx="183">
                  <c:v>75.829723045623197</c:v>
                </c:pt>
                <c:pt idx="184">
                  <c:v>76.095726696170686</c:v>
                </c:pt>
                <c:pt idx="185">
                  <c:v>76.361924348830314</c:v>
                </c:pt>
                <c:pt idx="186">
                  <c:v>76.628313356627075</c:v>
                </c:pt>
                <c:pt idx="187">
                  <c:v>76.894891130614511</c:v>
                </c:pt>
                <c:pt idx="188">
                  <c:v>77.161655138124402</c:v>
                </c:pt>
                <c:pt idx="189">
                  <c:v>77.428602901080751</c:v>
                </c:pt>
                <c:pt idx="190">
                  <c:v>77.69573199437599</c:v>
                </c:pt>
                <c:pt idx="191">
                  <c:v>77.963040044305842</c:v>
                </c:pt>
                <c:pt idx="192">
                  <c:v>78.230524727061251</c:v>
                </c:pt>
                <c:pt idx="193">
                  <c:v>78.498183767274583</c:v>
                </c:pt>
                <c:pt idx="194">
                  <c:v>78.766014936617779</c:v>
                </c:pt>
                <c:pt idx="195">
                  <c:v>79.034016052450568</c:v>
                </c:pt>
                <c:pt idx="196">
                  <c:v>79.302184976516727</c:v>
                </c:pt>
                <c:pt idx="197">
                  <c:v>79.57051961368596</c:v>
                </c:pt>
                <c:pt idx="198">
                  <c:v>79.839017910740267</c:v>
                </c:pt>
                <c:pt idx="199">
                  <c:v>80.107677855202169</c:v>
                </c:pt>
                <c:pt idx="200">
                  <c:v>80.376497474204029</c:v>
                </c:pt>
              </c:numCache>
            </c:numRef>
          </c:yVal>
          <c:smooth val="0"/>
          <c:extLst>
            <c:ext xmlns:c16="http://schemas.microsoft.com/office/drawing/2014/chart" uri="{C3380CC4-5D6E-409C-BE32-E72D297353CC}">
              <c16:uniqueId val="{00000000-C71D-4A56-AFDA-5F861315D6BF}"/>
            </c:ext>
          </c:extLst>
        </c:ser>
        <c:ser>
          <c:idx val="1"/>
          <c:order val="1"/>
          <c:tx>
            <c:v>Low-side MOSFET</c:v>
          </c:tx>
          <c:spPr>
            <a:ln w="25400">
              <a:solidFill>
                <a:srgbClr val="FF0000"/>
              </a:solidFill>
              <a:prstDash val="solid"/>
            </a:ln>
          </c:spPr>
          <c:marker>
            <c:symbol val="none"/>
          </c:marker>
          <c:xVal>
            <c:numRef>
              <c:f>'Efficiency vs VIN Calculations'!$H$9:$H$209</c:f>
              <c:numCache>
                <c:formatCode>0.00</c:formatCode>
                <c:ptCount val="201"/>
                <c:pt idx="0">
                  <c:v>6</c:v>
                </c:pt>
                <c:pt idx="1">
                  <c:v>6.15</c:v>
                </c:pt>
                <c:pt idx="2">
                  <c:v>6.3</c:v>
                </c:pt>
                <c:pt idx="3">
                  <c:v>6.45</c:v>
                </c:pt>
                <c:pt idx="4">
                  <c:v>6.6</c:v>
                </c:pt>
                <c:pt idx="5">
                  <c:v>6.75</c:v>
                </c:pt>
                <c:pt idx="6">
                  <c:v>6.9</c:v>
                </c:pt>
                <c:pt idx="7">
                  <c:v>7.05</c:v>
                </c:pt>
                <c:pt idx="8">
                  <c:v>7.2</c:v>
                </c:pt>
                <c:pt idx="9">
                  <c:v>7.35</c:v>
                </c:pt>
                <c:pt idx="10">
                  <c:v>7.5</c:v>
                </c:pt>
                <c:pt idx="11">
                  <c:v>7.65</c:v>
                </c:pt>
                <c:pt idx="12">
                  <c:v>7.8</c:v>
                </c:pt>
                <c:pt idx="13">
                  <c:v>7.95</c:v>
                </c:pt>
                <c:pt idx="14">
                  <c:v>8.1</c:v>
                </c:pt>
                <c:pt idx="15">
                  <c:v>8.25</c:v>
                </c:pt>
                <c:pt idx="16">
                  <c:v>8.4</c:v>
                </c:pt>
                <c:pt idx="17">
                  <c:v>8.5500000000000007</c:v>
                </c:pt>
                <c:pt idx="18">
                  <c:v>8.6999999999999993</c:v>
                </c:pt>
                <c:pt idx="19">
                  <c:v>8.85</c:v>
                </c:pt>
                <c:pt idx="20">
                  <c:v>9</c:v>
                </c:pt>
                <c:pt idx="21">
                  <c:v>9.15</c:v>
                </c:pt>
                <c:pt idx="22">
                  <c:v>9.3000000000000007</c:v>
                </c:pt>
                <c:pt idx="23">
                  <c:v>9.4499999999999993</c:v>
                </c:pt>
                <c:pt idx="24">
                  <c:v>9.6</c:v>
                </c:pt>
                <c:pt idx="25">
                  <c:v>9.75</c:v>
                </c:pt>
                <c:pt idx="26">
                  <c:v>9.9</c:v>
                </c:pt>
                <c:pt idx="27">
                  <c:v>10.050000000000001</c:v>
                </c:pt>
                <c:pt idx="28">
                  <c:v>10.199999999999999</c:v>
                </c:pt>
                <c:pt idx="29">
                  <c:v>10.35</c:v>
                </c:pt>
                <c:pt idx="30">
                  <c:v>10.5</c:v>
                </c:pt>
                <c:pt idx="31">
                  <c:v>10.65</c:v>
                </c:pt>
                <c:pt idx="32">
                  <c:v>10.8</c:v>
                </c:pt>
                <c:pt idx="33">
                  <c:v>10.95</c:v>
                </c:pt>
                <c:pt idx="34">
                  <c:v>11.100000000000001</c:v>
                </c:pt>
                <c:pt idx="35">
                  <c:v>11.25</c:v>
                </c:pt>
                <c:pt idx="36">
                  <c:v>11.399999999999999</c:v>
                </c:pt>
                <c:pt idx="37">
                  <c:v>11.55</c:v>
                </c:pt>
                <c:pt idx="38">
                  <c:v>11.7</c:v>
                </c:pt>
                <c:pt idx="39">
                  <c:v>11.850000000000001</c:v>
                </c:pt>
                <c:pt idx="40">
                  <c:v>12</c:v>
                </c:pt>
                <c:pt idx="41">
                  <c:v>12.149999999999999</c:v>
                </c:pt>
                <c:pt idx="42">
                  <c:v>12.3</c:v>
                </c:pt>
                <c:pt idx="43">
                  <c:v>12.45</c:v>
                </c:pt>
                <c:pt idx="44">
                  <c:v>12.6</c:v>
                </c:pt>
                <c:pt idx="45">
                  <c:v>12.75</c:v>
                </c:pt>
                <c:pt idx="46">
                  <c:v>12.9</c:v>
                </c:pt>
                <c:pt idx="47">
                  <c:v>13.05</c:v>
                </c:pt>
                <c:pt idx="48">
                  <c:v>13.2</c:v>
                </c:pt>
                <c:pt idx="49">
                  <c:v>13.35</c:v>
                </c:pt>
                <c:pt idx="50">
                  <c:v>13.5</c:v>
                </c:pt>
                <c:pt idx="51">
                  <c:v>13.65</c:v>
                </c:pt>
                <c:pt idx="52">
                  <c:v>13.8</c:v>
                </c:pt>
                <c:pt idx="53">
                  <c:v>13.95</c:v>
                </c:pt>
                <c:pt idx="54">
                  <c:v>14.100000000000001</c:v>
                </c:pt>
                <c:pt idx="55">
                  <c:v>14.25</c:v>
                </c:pt>
                <c:pt idx="56">
                  <c:v>14.4</c:v>
                </c:pt>
                <c:pt idx="57">
                  <c:v>14.549999999999999</c:v>
                </c:pt>
                <c:pt idx="58">
                  <c:v>14.7</c:v>
                </c:pt>
                <c:pt idx="59">
                  <c:v>14.85</c:v>
                </c:pt>
                <c:pt idx="60">
                  <c:v>15</c:v>
                </c:pt>
                <c:pt idx="61">
                  <c:v>15.15</c:v>
                </c:pt>
                <c:pt idx="62">
                  <c:v>15.3</c:v>
                </c:pt>
                <c:pt idx="63">
                  <c:v>15.45</c:v>
                </c:pt>
                <c:pt idx="64">
                  <c:v>15.6</c:v>
                </c:pt>
                <c:pt idx="65">
                  <c:v>15.75</c:v>
                </c:pt>
                <c:pt idx="66">
                  <c:v>15.9</c:v>
                </c:pt>
                <c:pt idx="67">
                  <c:v>16.05</c:v>
                </c:pt>
                <c:pt idx="68">
                  <c:v>16.200000000000003</c:v>
                </c:pt>
                <c:pt idx="69">
                  <c:v>16.350000000000001</c:v>
                </c:pt>
                <c:pt idx="70">
                  <c:v>16.5</c:v>
                </c:pt>
                <c:pt idx="71">
                  <c:v>16.649999999999999</c:v>
                </c:pt>
                <c:pt idx="72">
                  <c:v>16.799999999999997</c:v>
                </c:pt>
                <c:pt idx="73">
                  <c:v>16.95</c:v>
                </c:pt>
                <c:pt idx="74">
                  <c:v>17.100000000000001</c:v>
                </c:pt>
                <c:pt idx="75">
                  <c:v>17.25</c:v>
                </c:pt>
                <c:pt idx="76">
                  <c:v>17.399999999999999</c:v>
                </c:pt>
                <c:pt idx="77">
                  <c:v>17.55</c:v>
                </c:pt>
                <c:pt idx="78">
                  <c:v>17.700000000000003</c:v>
                </c:pt>
                <c:pt idx="79">
                  <c:v>17.850000000000001</c:v>
                </c:pt>
                <c:pt idx="80">
                  <c:v>18</c:v>
                </c:pt>
                <c:pt idx="81">
                  <c:v>18.149999999999999</c:v>
                </c:pt>
                <c:pt idx="82">
                  <c:v>18.299999999999997</c:v>
                </c:pt>
                <c:pt idx="83">
                  <c:v>18.45</c:v>
                </c:pt>
                <c:pt idx="84">
                  <c:v>18.600000000000001</c:v>
                </c:pt>
                <c:pt idx="85">
                  <c:v>18.75</c:v>
                </c:pt>
                <c:pt idx="86">
                  <c:v>18.899999999999999</c:v>
                </c:pt>
                <c:pt idx="87">
                  <c:v>19.05</c:v>
                </c:pt>
                <c:pt idx="88">
                  <c:v>19.2</c:v>
                </c:pt>
                <c:pt idx="89">
                  <c:v>19.350000000000001</c:v>
                </c:pt>
                <c:pt idx="90">
                  <c:v>19.5</c:v>
                </c:pt>
                <c:pt idx="91">
                  <c:v>19.649999999999999</c:v>
                </c:pt>
                <c:pt idx="92">
                  <c:v>19.8</c:v>
                </c:pt>
                <c:pt idx="93">
                  <c:v>19.950000000000003</c:v>
                </c:pt>
                <c:pt idx="94">
                  <c:v>20.100000000000001</c:v>
                </c:pt>
                <c:pt idx="95">
                  <c:v>20.25</c:v>
                </c:pt>
                <c:pt idx="96">
                  <c:v>20.399999999999999</c:v>
                </c:pt>
                <c:pt idx="97">
                  <c:v>20.549999999999997</c:v>
                </c:pt>
                <c:pt idx="98">
                  <c:v>20.7</c:v>
                </c:pt>
                <c:pt idx="99">
                  <c:v>20.85</c:v>
                </c:pt>
                <c:pt idx="100">
                  <c:v>21</c:v>
                </c:pt>
                <c:pt idx="101">
                  <c:v>21.15</c:v>
                </c:pt>
                <c:pt idx="102">
                  <c:v>21.3</c:v>
                </c:pt>
                <c:pt idx="103">
                  <c:v>21.450000000000003</c:v>
                </c:pt>
                <c:pt idx="104">
                  <c:v>21.6</c:v>
                </c:pt>
                <c:pt idx="105">
                  <c:v>21.75</c:v>
                </c:pt>
                <c:pt idx="106">
                  <c:v>21.9</c:v>
                </c:pt>
                <c:pt idx="107">
                  <c:v>22.05</c:v>
                </c:pt>
                <c:pt idx="108">
                  <c:v>22.200000000000003</c:v>
                </c:pt>
                <c:pt idx="109">
                  <c:v>22.35</c:v>
                </c:pt>
                <c:pt idx="110">
                  <c:v>22.5</c:v>
                </c:pt>
                <c:pt idx="111">
                  <c:v>22.650000000000002</c:v>
                </c:pt>
                <c:pt idx="112">
                  <c:v>22.8</c:v>
                </c:pt>
                <c:pt idx="113">
                  <c:v>22.95</c:v>
                </c:pt>
                <c:pt idx="114">
                  <c:v>23.099999999999998</c:v>
                </c:pt>
                <c:pt idx="115">
                  <c:v>23.25</c:v>
                </c:pt>
                <c:pt idx="116">
                  <c:v>23.4</c:v>
                </c:pt>
                <c:pt idx="117">
                  <c:v>23.549999999999997</c:v>
                </c:pt>
                <c:pt idx="118">
                  <c:v>23.7</c:v>
                </c:pt>
                <c:pt idx="119">
                  <c:v>23.849999999999998</c:v>
                </c:pt>
                <c:pt idx="120">
                  <c:v>24</c:v>
                </c:pt>
                <c:pt idx="121">
                  <c:v>24.15</c:v>
                </c:pt>
                <c:pt idx="122">
                  <c:v>24.3</c:v>
                </c:pt>
                <c:pt idx="123">
                  <c:v>24.45</c:v>
                </c:pt>
                <c:pt idx="124">
                  <c:v>24.6</c:v>
                </c:pt>
                <c:pt idx="125">
                  <c:v>24.75</c:v>
                </c:pt>
                <c:pt idx="126">
                  <c:v>24.9</c:v>
                </c:pt>
                <c:pt idx="127">
                  <c:v>25.05</c:v>
                </c:pt>
                <c:pt idx="128">
                  <c:v>25.2</c:v>
                </c:pt>
                <c:pt idx="129">
                  <c:v>25.35</c:v>
                </c:pt>
                <c:pt idx="130">
                  <c:v>25.5</c:v>
                </c:pt>
                <c:pt idx="131">
                  <c:v>25.650000000000002</c:v>
                </c:pt>
                <c:pt idx="132">
                  <c:v>25.8</c:v>
                </c:pt>
                <c:pt idx="133">
                  <c:v>25.950000000000003</c:v>
                </c:pt>
                <c:pt idx="134">
                  <c:v>26.1</c:v>
                </c:pt>
                <c:pt idx="135">
                  <c:v>26.25</c:v>
                </c:pt>
                <c:pt idx="136">
                  <c:v>26.400000000000002</c:v>
                </c:pt>
                <c:pt idx="137">
                  <c:v>26.55</c:v>
                </c:pt>
                <c:pt idx="138">
                  <c:v>26.7</c:v>
                </c:pt>
                <c:pt idx="139">
                  <c:v>26.849999999999998</c:v>
                </c:pt>
                <c:pt idx="140">
                  <c:v>27</c:v>
                </c:pt>
                <c:pt idx="141">
                  <c:v>27.15</c:v>
                </c:pt>
                <c:pt idx="142">
                  <c:v>27.299999999999997</c:v>
                </c:pt>
                <c:pt idx="143">
                  <c:v>27.45</c:v>
                </c:pt>
                <c:pt idx="144">
                  <c:v>27.599999999999998</c:v>
                </c:pt>
                <c:pt idx="145">
                  <c:v>27.75</c:v>
                </c:pt>
                <c:pt idx="146">
                  <c:v>27.9</c:v>
                </c:pt>
                <c:pt idx="147">
                  <c:v>28.05</c:v>
                </c:pt>
                <c:pt idx="148">
                  <c:v>28.2</c:v>
                </c:pt>
                <c:pt idx="149">
                  <c:v>28.35</c:v>
                </c:pt>
                <c:pt idx="150">
                  <c:v>28.5</c:v>
                </c:pt>
                <c:pt idx="151">
                  <c:v>28.65</c:v>
                </c:pt>
                <c:pt idx="152">
                  <c:v>28.8</c:v>
                </c:pt>
                <c:pt idx="153">
                  <c:v>28.95</c:v>
                </c:pt>
                <c:pt idx="154">
                  <c:v>29.1</c:v>
                </c:pt>
                <c:pt idx="155">
                  <c:v>29.25</c:v>
                </c:pt>
                <c:pt idx="156">
                  <c:v>29.400000000000002</c:v>
                </c:pt>
                <c:pt idx="157">
                  <c:v>29.55</c:v>
                </c:pt>
                <c:pt idx="158">
                  <c:v>29.700000000000003</c:v>
                </c:pt>
                <c:pt idx="159">
                  <c:v>29.85</c:v>
                </c:pt>
                <c:pt idx="160">
                  <c:v>30</c:v>
                </c:pt>
                <c:pt idx="161">
                  <c:v>30.150000000000002</c:v>
                </c:pt>
                <c:pt idx="162">
                  <c:v>30.3</c:v>
                </c:pt>
                <c:pt idx="163">
                  <c:v>30.45</c:v>
                </c:pt>
                <c:pt idx="164">
                  <c:v>30.599999999999998</c:v>
                </c:pt>
                <c:pt idx="165">
                  <c:v>30.75</c:v>
                </c:pt>
                <c:pt idx="166">
                  <c:v>30.9</c:v>
                </c:pt>
                <c:pt idx="167">
                  <c:v>31.049999999999997</c:v>
                </c:pt>
                <c:pt idx="168">
                  <c:v>31.2</c:v>
                </c:pt>
                <c:pt idx="169">
                  <c:v>31.349999999999998</c:v>
                </c:pt>
                <c:pt idx="170">
                  <c:v>31.5</c:v>
                </c:pt>
                <c:pt idx="171">
                  <c:v>31.65</c:v>
                </c:pt>
                <c:pt idx="172">
                  <c:v>31.8</c:v>
                </c:pt>
                <c:pt idx="173">
                  <c:v>31.95</c:v>
                </c:pt>
                <c:pt idx="174">
                  <c:v>32.1</c:v>
                </c:pt>
                <c:pt idx="175">
                  <c:v>32.25</c:v>
                </c:pt>
                <c:pt idx="176">
                  <c:v>32.4</c:v>
                </c:pt>
                <c:pt idx="177">
                  <c:v>32.549999999999997</c:v>
                </c:pt>
                <c:pt idx="178">
                  <c:v>32.700000000000003</c:v>
                </c:pt>
                <c:pt idx="179">
                  <c:v>32.85</c:v>
                </c:pt>
                <c:pt idx="180">
                  <c:v>33</c:v>
                </c:pt>
                <c:pt idx="181">
                  <c:v>33.150000000000006</c:v>
                </c:pt>
                <c:pt idx="182">
                  <c:v>33.299999999999997</c:v>
                </c:pt>
                <c:pt idx="183">
                  <c:v>33.450000000000003</c:v>
                </c:pt>
                <c:pt idx="184">
                  <c:v>33.6</c:v>
                </c:pt>
                <c:pt idx="185">
                  <c:v>33.75</c:v>
                </c:pt>
                <c:pt idx="186">
                  <c:v>33.900000000000006</c:v>
                </c:pt>
                <c:pt idx="187">
                  <c:v>34.049999999999997</c:v>
                </c:pt>
                <c:pt idx="188">
                  <c:v>34.200000000000003</c:v>
                </c:pt>
                <c:pt idx="189">
                  <c:v>34.349999999999994</c:v>
                </c:pt>
                <c:pt idx="190">
                  <c:v>34.5</c:v>
                </c:pt>
                <c:pt idx="191">
                  <c:v>34.65</c:v>
                </c:pt>
                <c:pt idx="192">
                  <c:v>34.799999999999997</c:v>
                </c:pt>
                <c:pt idx="193">
                  <c:v>34.950000000000003</c:v>
                </c:pt>
                <c:pt idx="194">
                  <c:v>35.099999999999994</c:v>
                </c:pt>
                <c:pt idx="195">
                  <c:v>35.25</c:v>
                </c:pt>
                <c:pt idx="196">
                  <c:v>35.4</c:v>
                </c:pt>
                <c:pt idx="197">
                  <c:v>35.549999999999997</c:v>
                </c:pt>
                <c:pt idx="198">
                  <c:v>35.700000000000003</c:v>
                </c:pt>
                <c:pt idx="199">
                  <c:v>35.85</c:v>
                </c:pt>
                <c:pt idx="200">
                  <c:v>36</c:v>
                </c:pt>
              </c:numCache>
            </c:numRef>
          </c:xVal>
          <c:yVal>
            <c:numRef>
              <c:f>'Efficiency vs VIN Calculations'!$BM$9:$BM$209</c:f>
              <c:numCache>
                <c:formatCode>0.0</c:formatCode>
                <c:ptCount val="201"/>
                <c:pt idx="0">
                  <c:v>102.85794918299614</c:v>
                </c:pt>
                <c:pt idx="1">
                  <c:v>99.978936314775765</c:v>
                </c:pt>
                <c:pt idx="2">
                  <c:v>97.255088547162828</c:v>
                </c:pt>
                <c:pt idx="3">
                  <c:v>94.674399480993912</c:v>
                </c:pt>
                <c:pt idx="4">
                  <c:v>92.226038320783061</c:v>
                </c:pt>
                <c:pt idx="5">
                  <c:v>89.900212273293079</c:v>
                </c:pt>
                <c:pt idx="6">
                  <c:v>87.688047394182831</c:v>
                </c:pt>
                <c:pt idx="7">
                  <c:v>85.5814851437176</c:v>
                </c:pt>
                <c:pt idx="8">
                  <c:v>83.573192351176672</c:v>
                </c:pt>
                <c:pt idx="9">
                  <c:v>81.656482652507592</c:v>
                </c:pt>
                <c:pt idx="10">
                  <c:v>79.825247769512984</c:v>
                </c:pt>
                <c:pt idx="11">
                  <c:v>78.07389725194777</c:v>
                </c:pt>
                <c:pt idx="12">
                  <c:v>76.397305515087581</c:v>
                </c:pt>
                <c:pt idx="13">
                  <c:v>74.790765181858262</c:v>
                </c:pt>
                <c:pt idx="14">
                  <c:v>73.249945886448216</c:v>
                </c:pt>
                <c:pt idx="15">
                  <c:v>71.770857820387747</c:v>
                </c:pt>
                <c:pt idx="16">
                  <c:v>70.349819406419215</c:v>
                </c:pt>
                <c:pt idx="17">
                  <c:v>68.983428573424533</c:v>
                </c:pt>
                <c:pt idx="18">
                  <c:v>67.668537179974876</c:v>
                </c:pt>
                <c:pt idx="19">
                  <c:v>66.402228196976267</c:v>
                </c:pt>
                <c:pt idx="20">
                  <c:v>65.18179531327857</c:v>
                </c:pt>
                <c:pt idx="21">
                  <c:v>64.004724673531371</c:v>
                </c:pt>
                <c:pt idx="22">
                  <c:v>62.868678496295011</c:v>
                </c:pt>
                <c:pt idx="23">
                  <c:v>61.771480353504408</c:v>
                </c:pt>
                <c:pt idx="24">
                  <c:v>60.711101920723344</c:v>
                </c:pt>
                <c:pt idx="25">
                  <c:v>59.685651031952467</c:v>
                </c:pt>
                <c:pt idx="26">
                  <c:v>58.693360893677792</c:v>
                </c:pt>
                <c:pt idx="27">
                  <c:v>57.732580330884474</c:v>
                </c:pt>
                <c:pt idx="28">
                  <c:v>56.801764953343216</c:v>
                </c:pt>
                <c:pt idx="29">
                  <c:v>55.899469143963131</c:v>
                </c:pt>
                <c:pt idx="30">
                  <c:v>55.024338782705691</c:v>
                </c:pt>
                <c:pt idx="31">
                  <c:v>54.175104629720593</c:v>
                </c:pt>
                <c:pt idx="32">
                  <c:v>53.350576300219778</c:v>
                </c:pt>
                <c:pt idx="33">
                  <c:v>52.549636771328586</c:v>
                </c:pt>
                <c:pt idx="34">
                  <c:v>51.771237367905599</c:v>
                </c:pt>
                <c:pt idx="35">
                  <c:v>51.014393180234912</c:v>
                </c:pt>
                <c:pt idx="36">
                  <c:v>50.27817887167933</c:v>
                </c:pt>
                <c:pt idx="37">
                  <c:v>49.561724838942155</c:v>
                </c:pt>
                <c:pt idx="38">
                  <c:v>48.864213691595651</c:v>
                </c:pt>
                <c:pt idx="39">
                  <c:v>48.184877021070989</c:v>
                </c:pt>
                <c:pt idx="40">
                  <c:v>47.522992432430428</c:v>
                </c:pt>
                <c:pt idx="41">
                  <c:v>46.877880815003614</c:v>
                </c:pt>
                <c:pt idx="42">
                  <c:v>46.248903830420495</c:v>
                </c:pt>
                <c:pt idx="43">
                  <c:v>45.635461598744961</c:v>
                </c:pt>
                <c:pt idx="44">
                  <c:v>45.036990565344738</c:v>
                </c:pt>
                <c:pt idx="45">
                  <c:v>44.452961532852861</c:v>
                </c:pt>
                <c:pt idx="46">
                  <c:v>43.882877844106851</c:v>
                </c:pt>
                <c:pt idx="47">
                  <c:v>43.326273703321242</c:v>
                </c:pt>
                <c:pt idx="48">
                  <c:v>42.78271262397093</c:v>
                </c:pt>
                <c:pt idx="49">
                  <c:v>42.251785992958588</c:v>
                </c:pt>
                <c:pt idx="50">
                  <c:v>41.73311174162059</c:v>
                </c:pt>
                <c:pt idx="51">
                  <c:v>41.226333115007769</c:v>
                </c:pt>
                <c:pt idx="52">
                  <c:v>40.731117531669447</c:v>
                </c:pt>
                <c:pt idx="53">
                  <c:v>40.247155526882871</c:v>
                </c:pt>
                <c:pt idx="54">
                  <c:v>39.774159772913876</c:v>
                </c:pt>
                <c:pt idx="55">
                  <c:v>43.755474989165826</c:v>
                </c:pt>
                <c:pt idx="56">
                  <c:v>43.395059305107857</c:v>
                </c:pt>
                <c:pt idx="57">
                  <c:v>43.042785277182269</c:v>
                </c:pt>
                <c:pt idx="58">
                  <c:v>42.698406670100738</c:v>
                </c:pt>
                <c:pt idx="59">
                  <c:v>42.361687837885661</c:v>
                </c:pt>
                <c:pt idx="60">
                  <c:v>42.032403169579183</c:v>
                </c:pt>
                <c:pt idx="61">
                  <c:v>41.710336569373659</c:v>
                </c:pt>
                <c:pt idx="62">
                  <c:v>41.395280968693889</c:v>
                </c:pt>
                <c:pt idx="63">
                  <c:v>41.087037867962373</c:v>
                </c:pt>
                <c:pt idx="64">
                  <c:v>40.785416905960872</c:v>
                </c:pt>
                <c:pt idx="65">
                  <c:v>40.490235454867729</c:v>
                </c:pt>
                <c:pt idx="66">
                  <c:v>40.201318239202131</c:v>
                </c:pt>
                <c:pt idx="67">
                  <c:v>23.009357522115472</c:v>
                </c:pt>
                <c:pt idx="68">
                  <c:v>23.063522936536003</c:v>
                </c:pt>
                <c:pt idx="69">
                  <c:v>23.114931042286365</c:v>
                </c:pt>
                <c:pt idx="70">
                  <c:v>23.163678474347698</c:v>
                </c:pt>
                <c:pt idx="71">
                  <c:v>23.209857898651695</c:v>
                </c:pt>
                <c:pt idx="72">
                  <c:v>23.253558207053032</c:v>
                </c:pt>
                <c:pt idx="73">
                  <c:v>23.294864701222579</c:v>
                </c:pt>
                <c:pt idx="74">
                  <c:v>23.333859266174592</c:v>
                </c:pt>
                <c:pt idx="75">
                  <c:v>23.370620534089269</c:v>
                </c:pt>
                <c:pt idx="76">
                  <c:v>23.405224039045443</c:v>
                </c:pt>
                <c:pt idx="77">
                  <c:v>23.437742363234634</c:v>
                </c:pt>
                <c:pt idx="78">
                  <c:v>23.468245275187584</c:v>
                </c:pt>
                <c:pt idx="79">
                  <c:v>23.496799860507775</c:v>
                </c:pt>
                <c:pt idx="80">
                  <c:v>23.523470645571926</c:v>
                </c:pt>
                <c:pt idx="81">
                  <c:v>23.548319714626206</c:v>
                </c:pt>
                <c:pt idx="82">
                  <c:v>23.571406820677819</c:v>
                </c:pt>
                <c:pt idx="83">
                  <c:v>23.592789490554374</c:v>
                </c:pt>
                <c:pt idx="84">
                  <c:v>23.612523124478763</c:v>
                </c:pt>
                <c:pt idx="85">
                  <c:v>23.630661090484072</c:v>
                </c:pt>
                <c:pt idx="86">
                  <c:v>23.647254813971557</c:v>
                </c:pt>
                <c:pt idx="87">
                  <c:v>23.66235386269495</c:v>
                </c:pt>
                <c:pt idx="88">
                  <c:v>23.676006027435914</c:v>
                </c:pt>
                <c:pt idx="89">
                  <c:v>23.688257398618266</c:v>
                </c:pt>
                <c:pt idx="90">
                  <c:v>23.699152439092853</c:v>
                </c:pt>
                <c:pt idx="91">
                  <c:v>23.708734053310067</c:v>
                </c:pt>
                <c:pt idx="92">
                  <c:v>23.717043653083277</c:v>
                </c:pt>
                <c:pt idx="93">
                  <c:v>23.724121220133799</c:v>
                </c:pt>
                <c:pt idx="94">
                  <c:v>23.730005365595908</c:v>
                </c:pt>
                <c:pt idx="95">
                  <c:v>23.734733386649651</c:v>
                </c:pt>
                <c:pt idx="96">
                  <c:v>23.738341320438533</c:v>
                </c:pt>
                <c:pt idx="97">
                  <c:v>23.740863995419822</c:v>
                </c:pt>
                <c:pt idx="98">
                  <c:v>23.742335080286178</c:v>
                </c:pt>
                <c:pt idx="99">
                  <c:v>23.742787130588848</c:v>
                </c:pt>
                <c:pt idx="100">
                  <c:v>23.74225163318496</c:v>
                </c:pt>
                <c:pt idx="101">
                  <c:v>23.740759048624167</c:v>
                </c:pt>
                <c:pt idx="102">
                  <c:v>23.738338851582995</c:v>
                </c:pt>
                <c:pt idx="103">
                  <c:v>23.735019569448969</c:v>
                </c:pt>
                <c:pt idx="104">
                  <c:v>23.730828819150528</c:v>
                </c:pt>
                <c:pt idx="105">
                  <c:v>23.725793342323328</c:v>
                </c:pt>
                <c:pt idx="106">
                  <c:v>23.719939038898154</c:v>
                </c:pt>
                <c:pt idx="107">
                  <c:v>23.713290999190843</c:v>
                </c:pt>
                <c:pt idx="108">
                  <c:v>23.705873534570092</c:v>
                </c:pt>
                <c:pt idx="109">
                  <c:v>23.697710206774648</c:v>
                </c:pt>
                <c:pt idx="110">
                  <c:v>23.688823855947437</c:v>
                </c:pt>
                <c:pt idx="111">
                  <c:v>23.679236627450329</c:v>
                </c:pt>
                <c:pt idx="112">
                  <c:v>23.668969997519849</c:v>
                </c:pt>
                <c:pt idx="113">
                  <c:v>23.658044797820569</c:v>
                </c:pt>
                <c:pt idx="114">
                  <c:v>20.624559965698683</c:v>
                </c:pt>
                <c:pt idx="115">
                  <c:v>20.71004033631479</c:v>
                </c:pt>
                <c:pt idx="116">
                  <c:v>20.794863686640859</c:v>
                </c:pt>
                <c:pt idx="117">
                  <c:v>20.879040338983447</c:v>
                </c:pt>
                <c:pt idx="118">
                  <c:v>20.962580275488435</c:v>
                </c:pt>
                <c:pt idx="119">
                  <c:v>21.045493155137542</c:v>
                </c:pt>
                <c:pt idx="120">
                  <c:v>21.127788329739655</c:v>
                </c:pt>
                <c:pt idx="121">
                  <c:v>21.209474858982013</c:v>
                </c:pt>
                <c:pt idx="122">
                  <c:v>21.290561524601781</c:v>
                </c:pt>
                <c:pt idx="123">
                  <c:v>21.371056843734216</c:v>
                </c:pt>
                <c:pt idx="124">
                  <c:v>21.450969081490044</c:v>
                </c:pt>
                <c:pt idx="125">
                  <c:v>21.53030626281075</c:v>
                </c:pt>
                <c:pt idx="126">
                  <c:v>21.609076183647471</c:v>
                </c:pt>
                <c:pt idx="127">
                  <c:v>21.687286421505924</c:v>
                </c:pt>
                <c:pt idx="128">
                  <c:v>21.764944345396906</c:v>
                </c:pt>
                <c:pt idx="129">
                  <c:v>21.842057125229434</c:v>
                </c:pt>
                <c:pt idx="130">
                  <c:v>21.918631740680972</c:v>
                </c:pt>
                <c:pt idx="131">
                  <c:v>21.994674989576882</c:v>
                </c:pt>
                <c:pt idx="132">
                  <c:v>22.070193495809292</c:v>
                </c:pt>
                <c:pt idx="133">
                  <c:v>22.145193716823361</c:v>
                </c:pt>
                <c:pt idx="134">
                  <c:v>22.219681950697268</c:v>
                </c:pt>
                <c:pt idx="135">
                  <c:v>22.29366434284044</c:v>
                </c:pt>
                <c:pt idx="136">
                  <c:v>22.367146892332954</c:v>
                </c:pt>
                <c:pt idx="137">
                  <c:v>22.440135457927607</c:v>
                </c:pt>
                <c:pt idx="138">
                  <c:v>22.512635763734689</c:v>
                </c:pt>
                <c:pt idx="139">
                  <c:v>22.584653404608375</c:v>
                </c:pt>
                <c:pt idx="140">
                  <c:v>22.656193851252151</c:v>
                </c:pt>
                <c:pt idx="141">
                  <c:v>22.727262455059915</c:v>
                </c:pt>
                <c:pt idx="142">
                  <c:v>22.797864452708101</c:v>
                </c:pt>
                <c:pt idx="143">
                  <c:v>22.8680049705134</c:v>
                </c:pt>
                <c:pt idx="144">
                  <c:v>22.937689028569451</c:v>
                </c:pt>
                <c:pt idx="145">
                  <c:v>23.006921544675428</c:v>
                </c:pt>
                <c:pt idx="146">
                  <c:v>23.075707338068344</c:v>
                </c:pt>
                <c:pt idx="147">
                  <c:v>23.144051132970208</c:v>
                </c:pt>
                <c:pt idx="148">
                  <c:v>23.211957561960649</c:v>
                </c:pt>
                <c:pt idx="149">
                  <c:v>23.279431169184804</c:v>
                </c:pt>
                <c:pt idx="150">
                  <c:v>23.346476413405718</c:v>
                </c:pt>
                <c:pt idx="151">
                  <c:v>23.413097670909956</c:v>
                </c:pt>
                <c:pt idx="152">
                  <c:v>23.479299238274564</c:v>
                </c:pt>
                <c:pt idx="153">
                  <c:v>23.545085335003154</c:v>
                </c:pt>
                <c:pt idx="154">
                  <c:v>23.610460106038126</c:v>
                </c:pt>
                <c:pt idx="155">
                  <c:v>23.675427624156022</c:v>
                </c:pt>
                <c:pt idx="156">
                  <c:v>23.739991892252299</c:v>
                </c:pt>
                <c:pt idx="157">
                  <c:v>23.804156845521398</c:v>
                </c:pt>
                <c:pt idx="158">
                  <c:v>23.867926353538003</c:v>
                </c:pt>
                <c:pt idx="159">
                  <c:v>23.931304222244592</c:v>
                </c:pt>
                <c:pt idx="160">
                  <c:v>23.994294195850298</c:v>
                </c:pt>
                <c:pt idx="161">
                  <c:v>24.056899958646014</c:v>
                </c:pt>
                <c:pt idx="162">
                  <c:v>24.119125136739793</c:v>
                </c:pt>
                <c:pt idx="163">
                  <c:v>24.180973299717106</c:v>
                </c:pt>
                <c:pt idx="164">
                  <c:v>24.242447962229619</c:v>
                </c:pt>
                <c:pt idx="165">
                  <c:v>24.30355258551635</c:v>
                </c:pt>
                <c:pt idx="166">
                  <c:v>24.364290578860643</c:v>
                </c:pt>
                <c:pt idx="167">
                  <c:v>24.424665300986291</c:v>
                </c:pt>
                <c:pt idx="168">
                  <c:v>24.484680061395874</c:v>
                </c:pt>
                <c:pt idx="169">
                  <c:v>24.544338121654363</c:v>
                </c:pt>
                <c:pt idx="170">
                  <c:v>24.603642696620522</c:v>
                </c:pt>
                <c:pt idx="171">
                  <c:v>24.662596955629098</c:v>
                </c:pt>
                <c:pt idx="172">
                  <c:v>24.721204023625884</c:v>
                </c:pt>
                <c:pt idx="173">
                  <c:v>24.779466982258189</c:v>
                </c:pt>
                <c:pt idx="174">
                  <c:v>24.837388870923032</c:v>
                </c:pt>
                <c:pt idx="175">
                  <c:v>24.894972687774764</c:v>
                </c:pt>
                <c:pt idx="176">
                  <c:v>24.952221390694589</c:v>
                </c:pt>
                <c:pt idx="177">
                  <c:v>25.009137898223347</c:v>
                </c:pt>
                <c:pt idx="178">
                  <c:v>25.065725090459733</c:v>
                </c:pt>
                <c:pt idx="179">
                  <c:v>25.121985809925349</c:v>
                </c:pt>
                <c:pt idx="180">
                  <c:v>25.177922862398272</c:v>
                </c:pt>
                <c:pt idx="181">
                  <c:v>25.233539017716652</c:v>
                </c:pt>
                <c:pt idx="182">
                  <c:v>25.288837010553625</c:v>
                </c:pt>
                <c:pt idx="183">
                  <c:v>25.343819541165061</c:v>
                </c:pt>
                <c:pt idx="184">
                  <c:v>25.398489276111274</c:v>
                </c:pt>
                <c:pt idx="185">
                  <c:v>25.452848848953874</c:v>
                </c:pt>
                <c:pt idx="186">
                  <c:v>25.506900860929086</c:v>
                </c:pt>
                <c:pt idx="187">
                  <c:v>25.560647881598346</c:v>
                </c:pt>
                <c:pt idx="188">
                  <c:v>25.614092449477432</c:v>
                </c:pt>
                <c:pt idx="189">
                  <c:v>25.667237072644891</c:v>
                </c:pt>
                <c:pt idx="190">
                  <c:v>25.720084229330912</c:v>
                </c:pt>
                <c:pt idx="191">
                  <c:v>25.77263636848723</c:v>
                </c:pt>
                <c:pt idx="192">
                  <c:v>25.824895910339208</c:v>
                </c:pt>
                <c:pt idx="193">
                  <c:v>25.876865246920563</c:v>
                </c:pt>
                <c:pt idx="194">
                  <c:v>25.928546742591685</c:v>
                </c:pt>
                <c:pt idx="195">
                  <c:v>25.979942734542259</c:v>
                </c:pt>
                <c:pt idx="196">
                  <c:v>26.031055533278707</c:v>
                </c:pt>
                <c:pt idx="197">
                  <c:v>26.081887423097225</c:v>
                </c:pt>
                <c:pt idx="198">
                  <c:v>26.132440662542976</c:v>
                </c:pt>
                <c:pt idx="199">
                  <c:v>26.182717484855978</c:v>
                </c:pt>
                <c:pt idx="200">
                  <c:v>26.232720098404343</c:v>
                </c:pt>
              </c:numCache>
            </c:numRef>
          </c:yVal>
          <c:smooth val="0"/>
          <c:extLst>
            <c:ext xmlns:c16="http://schemas.microsoft.com/office/drawing/2014/chart" uri="{C3380CC4-5D6E-409C-BE32-E72D297353CC}">
              <c16:uniqueId val="{00000001-C71D-4A56-AFDA-5F861315D6BF}"/>
            </c:ext>
          </c:extLst>
        </c:ser>
        <c:dLbls>
          <c:showLegendKey val="0"/>
          <c:showVal val="0"/>
          <c:showCatName val="0"/>
          <c:showSerName val="0"/>
          <c:showPercent val="0"/>
          <c:showBubbleSize val="0"/>
        </c:dLbls>
        <c:axId val="198858624"/>
        <c:axId val="198864896"/>
      </c:scatterChart>
      <c:valAx>
        <c:axId val="198858624"/>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8864896"/>
        <c:crosses val="autoZero"/>
        <c:crossBetween val="midCat"/>
      </c:valAx>
      <c:valAx>
        <c:axId val="19886489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885862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76235382341913138"/>
          <c:y val="3.6399592062826468E-2"/>
          <c:w val="0.19862061359977062"/>
          <c:h val="8.2828494922983206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3164215172691891"/>
          <c:y val="3.5618279569892476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v>High-side MOSFET</c:v>
          </c:tx>
          <c:spPr>
            <a:ln w="25400">
              <a:solidFill>
                <a:srgbClr val="000080"/>
              </a:solidFill>
              <a:prstDash val="dash"/>
            </a:ln>
          </c:spPr>
          <c:marker>
            <c:symbol val="none"/>
          </c:marker>
          <c:xVal>
            <c:numRef>
              <c:f>'Efficiency vs VIN Calculations'!$H$9:$H$209</c:f>
              <c:numCache>
                <c:formatCode>0.00</c:formatCode>
                <c:ptCount val="201"/>
                <c:pt idx="0">
                  <c:v>6</c:v>
                </c:pt>
                <c:pt idx="1">
                  <c:v>6.15</c:v>
                </c:pt>
                <c:pt idx="2">
                  <c:v>6.3</c:v>
                </c:pt>
                <c:pt idx="3">
                  <c:v>6.45</c:v>
                </c:pt>
                <c:pt idx="4">
                  <c:v>6.6</c:v>
                </c:pt>
                <c:pt idx="5">
                  <c:v>6.75</c:v>
                </c:pt>
                <c:pt idx="6">
                  <c:v>6.9</c:v>
                </c:pt>
                <c:pt idx="7">
                  <c:v>7.05</c:v>
                </c:pt>
                <c:pt idx="8">
                  <c:v>7.2</c:v>
                </c:pt>
                <c:pt idx="9">
                  <c:v>7.35</c:v>
                </c:pt>
                <c:pt idx="10">
                  <c:v>7.5</c:v>
                </c:pt>
                <c:pt idx="11">
                  <c:v>7.65</c:v>
                </c:pt>
                <c:pt idx="12">
                  <c:v>7.8</c:v>
                </c:pt>
                <c:pt idx="13">
                  <c:v>7.95</c:v>
                </c:pt>
                <c:pt idx="14">
                  <c:v>8.1</c:v>
                </c:pt>
                <c:pt idx="15">
                  <c:v>8.25</c:v>
                </c:pt>
                <c:pt idx="16">
                  <c:v>8.4</c:v>
                </c:pt>
                <c:pt idx="17">
                  <c:v>8.5500000000000007</c:v>
                </c:pt>
                <c:pt idx="18">
                  <c:v>8.6999999999999993</c:v>
                </c:pt>
                <c:pt idx="19">
                  <c:v>8.85</c:v>
                </c:pt>
                <c:pt idx="20">
                  <c:v>9</c:v>
                </c:pt>
                <c:pt idx="21">
                  <c:v>9.15</c:v>
                </c:pt>
                <c:pt idx="22">
                  <c:v>9.3000000000000007</c:v>
                </c:pt>
                <c:pt idx="23">
                  <c:v>9.4499999999999993</c:v>
                </c:pt>
                <c:pt idx="24">
                  <c:v>9.6</c:v>
                </c:pt>
                <c:pt idx="25">
                  <c:v>9.75</c:v>
                </c:pt>
                <c:pt idx="26">
                  <c:v>9.9</c:v>
                </c:pt>
                <c:pt idx="27">
                  <c:v>10.050000000000001</c:v>
                </c:pt>
                <c:pt idx="28">
                  <c:v>10.199999999999999</c:v>
                </c:pt>
                <c:pt idx="29">
                  <c:v>10.35</c:v>
                </c:pt>
                <c:pt idx="30">
                  <c:v>10.5</c:v>
                </c:pt>
                <c:pt idx="31">
                  <c:v>10.65</c:v>
                </c:pt>
                <c:pt idx="32">
                  <c:v>10.8</c:v>
                </c:pt>
                <c:pt idx="33">
                  <c:v>10.95</c:v>
                </c:pt>
                <c:pt idx="34">
                  <c:v>11.100000000000001</c:v>
                </c:pt>
                <c:pt idx="35">
                  <c:v>11.25</c:v>
                </c:pt>
                <c:pt idx="36">
                  <c:v>11.399999999999999</c:v>
                </c:pt>
                <c:pt idx="37">
                  <c:v>11.55</c:v>
                </c:pt>
                <c:pt idx="38">
                  <c:v>11.7</c:v>
                </c:pt>
                <c:pt idx="39">
                  <c:v>11.850000000000001</c:v>
                </c:pt>
                <c:pt idx="40">
                  <c:v>12</c:v>
                </c:pt>
                <c:pt idx="41">
                  <c:v>12.149999999999999</c:v>
                </c:pt>
                <c:pt idx="42">
                  <c:v>12.3</c:v>
                </c:pt>
                <c:pt idx="43">
                  <c:v>12.45</c:v>
                </c:pt>
                <c:pt idx="44">
                  <c:v>12.6</c:v>
                </c:pt>
                <c:pt idx="45">
                  <c:v>12.75</c:v>
                </c:pt>
                <c:pt idx="46">
                  <c:v>12.9</c:v>
                </c:pt>
                <c:pt idx="47">
                  <c:v>13.05</c:v>
                </c:pt>
                <c:pt idx="48">
                  <c:v>13.2</c:v>
                </c:pt>
                <c:pt idx="49">
                  <c:v>13.35</c:v>
                </c:pt>
                <c:pt idx="50">
                  <c:v>13.5</c:v>
                </c:pt>
                <c:pt idx="51">
                  <c:v>13.65</c:v>
                </c:pt>
                <c:pt idx="52">
                  <c:v>13.8</c:v>
                </c:pt>
                <c:pt idx="53">
                  <c:v>13.95</c:v>
                </c:pt>
                <c:pt idx="54">
                  <c:v>14.100000000000001</c:v>
                </c:pt>
                <c:pt idx="55">
                  <c:v>14.25</c:v>
                </c:pt>
                <c:pt idx="56">
                  <c:v>14.4</c:v>
                </c:pt>
                <c:pt idx="57">
                  <c:v>14.549999999999999</c:v>
                </c:pt>
                <c:pt idx="58">
                  <c:v>14.7</c:v>
                </c:pt>
                <c:pt idx="59">
                  <c:v>14.85</c:v>
                </c:pt>
                <c:pt idx="60">
                  <c:v>15</c:v>
                </c:pt>
                <c:pt idx="61">
                  <c:v>15.15</c:v>
                </c:pt>
                <c:pt idx="62">
                  <c:v>15.3</c:v>
                </c:pt>
                <c:pt idx="63">
                  <c:v>15.45</c:v>
                </c:pt>
                <c:pt idx="64">
                  <c:v>15.6</c:v>
                </c:pt>
                <c:pt idx="65">
                  <c:v>15.75</c:v>
                </c:pt>
                <c:pt idx="66">
                  <c:v>15.9</c:v>
                </c:pt>
                <c:pt idx="67">
                  <c:v>16.05</c:v>
                </c:pt>
                <c:pt idx="68">
                  <c:v>16.200000000000003</c:v>
                </c:pt>
                <c:pt idx="69">
                  <c:v>16.350000000000001</c:v>
                </c:pt>
                <c:pt idx="70">
                  <c:v>16.5</c:v>
                </c:pt>
                <c:pt idx="71">
                  <c:v>16.649999999999999</c:v>
                </c:pt>
                <c:pt idx="72">
                  <c:v>16.799999999999997</c:v>
                </c:pt>
                <c:pt idx="73">
                  <c:v>16.95</c:v>
                </c:pt>
                <c:pt idx="74">
                  <c:v>17.100000000000001</c:v>
                </c:pt>
                <c:pt idx="75">
                  <c:v>17.25</c:v>
                </c:pt>
                <c:pt idx="76">
                  <c:v>17.399999999999999</c:v>
                </c:pt>
                <c:pt idx="77">
                  <c:v>17.55</c:v>
                </c:pt>
                <c:pt idx="78">
                  <c:v>17.700000000000003</c:v>
                </c:pt>
                <c:pt idx="79">
                  <c:v>17.850000000000001</c:v>
                </c:pt>
                <c:pt idx="80">
                  <c:v>18</c:v>
                </c:pt>
                <c:pt idx="81">
                  <c:v>18.149999999999999</c:v>
                </c:pt>
                <c:pt idx="82">
                  <c:v>18.299999999999997</c:v>
                </c:pt>
                <c:pt idx="83">
                  <c:v>18.45</c:v>
                </c:pt>
                <c:pt idx="84">
                  <c:v>18.600000000000001</c:v>
                </c:pt>
                <c:pt idx="85">
                  <c:v>18.75</c:v>
                </c:pt>
                <c:pt idx="86">
                  <c:v>18.899999999999999</c:v>
                </c:pt>
                <c:pt idx="87">
                  <c:v>19.05</c:v>
                </c:pt>
                <c:pt idx="88">
                  <c:v>19.2</c:v>
                </c:pt>
                <c:pt idx="89">
                  <c:v>19.350000000000001</c:v>
                </c:pt>
                <c:pt idx="90">
                  <c:v>19.5</c:v>
                </c:pt>
                <c:pt idx="91">
                  <c:v>19.649999999999999</c:v>
                </c:pt>
                <c:pt idx="92">
                  <c:v>19.8</c:v>
                </c:pt>
                <c:pt idx="93">
                  <c:v>19.950000000000003</c:v>
                </c:pt>
                <c:pt idx="94">
                  <c:v>20.100000000000001</c:v>
                </c:pt>
                <c:pt idx="95">
                  <c:v>20.25</c:v>
                </c:pt>
                <c:pt idx="96">
                  <c:v>20.399999999999999</c:v>
                </c:pt>
                <c:pt idx="97">
                  <c:v>20.549999999999997</c:v>
                </c:pt>
                <c:pt idx="98">
                  <c:v>20.7</c:v>
                </c:pt>
                <c:pt idx="99">
                  <c:v>20.85</c:v>
                </c:pt>
                <c:pt idx="100">
                  <c:v>21</c:v>
                </c:pt>
                <c:pt idx="101">
                  <c:v>21.15</c:v>
                </c:pt>
                <c:pt idx="102">
                  <c:v>21.3</c:v>
                </c:pt>
                <c:pt idx="103">
                  <c:v>21.450000000000003</c:v>
                </c:pt>
                <c:pt idx="104">
                  <c:v>21.6</c:v>
                </c:pt>
                <c:pt idx="105">
                  <c:v>21.75</c:v>
                </c:pt>
                <c:pt idx="106">
                  <c:v>21.9</c:v>
                </c:pt>
                <c:pt idx="107">
                  <c:v>22.05</c:v>
                </c:pt>
                <c:pt idx="108">
                  <c:v>22.200000000000003</c:v>
                </c:pt>
                <c:pt idx="109">
                  <c:v>22.35</c:v>
                </c:pt>
                <c:pt idx="110">
                  <c:v>22.5</c:v>
                </c:pt>
                <c:pt idx="111">
                  <c:v>22.650000000000002</c:v>
                </c:pt>
                <c:pt idx="112">
                  <c:v>22.8</c:v>
                </c:pt>
                <c:pt idx="113">
                  <c:v>22.95</c:v>
                </c:pt>
                <c:pt idx="114">
                  <c:v>23.099999999999998</c:v>
                </c:pt>
                <c:pt idx="115">
                  <c:v>23.25</c:v>
                </c:pt>
                <c:pt idx="116">
                  <c:v>23.4</c:v>
                </c:pt>
                <c:pt idx="117">
                  <c:v>23.549999999999997</c:v>
                </c:pt>
                <c:pt idx="118">
                  <c:v>23.7</c:v>
                </c:pt>
                <c:pt idx="119">
                  <c:v>23.849999999999998</c:v>
                </c:pt>
                <c:pt idx="120">
                  <c:v>24</c:v>
                </c:pt>
                <c:pt idx="121">
                  <c:v>24.15</c:v>
                </c:pt>
                <c:pt idx="122">
                  <c:v>24.3</c:v>
                </c:pt>
                <c:pt idx="123">
                  <c:v>24.45</c:v>
                </c:pt>
                <c:pt idx="124">
                  <c:v>24.6</c:v>
                </c:pt>
                <c:pt idx="125">
                  <c:v>24.75</c:v>
                </c:pt>
                <c:pt idx="126">
                  <c:v>24.9</c:v>
                </c:pt>
                <c:pt idx="127">
                  <c:v>25.05</c:v>
                </c:pt>
                <c:pt idx="128">
                  <c:v>25.2</c:v>
                </c:pt>
                <c:pt idx="129">
                  <c:v>25.35</c:v>
                </c:pt>
                <c:pt idx="130">
                  <c:v>25.5</c:v>
                </c:pt>
                <c:pt idx="131">
                  <c:v>25.650000000000002</c:v>
                </c:pt>
                <c:pt idx="132">
                  <c:v>25.8</c:v>
                </c:pt>
                <c:pt idx="133">
                  <c:v>25.950000000000003</c:v>
                </c:pt>
                <c:pt idx="134">
                  <c:v>26.1</c:v>
                </c:pt>
                <c:pt idx="135">
                  <c:v>26.25</c:v>
                </c:pt>
                <c:pt idx="136">
                  <c:v>26.400000000000002</c:v>
                </c:pt>
                <c:pt idx="137">
                  <c:v>26.55</c:v>
                </c:pt>
                <c:pt idx="138">
                  <c:v>26.7</c:v>
                </c:pt>
                <c:pt idx="139">
                  <c:v>26.849999999999998</c:v>
                </c:pt>
                <c:pt idx="140">
                  <c:v>27</c:v>
                </c:pt>
                <c:pt idx="141">
                  <c:v>27.15</c:v>
                </c:pt>
                <c:pt idx="142">
                  <c:v>27.299999999999997</c:v>
                </c:pt>
                <c:pt idx="143">
                  <c:v>27.45</c:v>
                </c:pt>
                <c:pt idx="144">
                  <c:v>27.599999999999998</c:v>
                </c:pt>
                <c:pt idx="145">
                  <c:v>27.75</c:v>
                </c:pt>
                <c:pt idx="146">
                  <c:v>27.9</c:v>
                </c:pt>
                <c:pt idx="147">
                  <c:v>28.05</c:v>
                </c:pt>
                <c:pt idx="148">
                  <c:v>28.2</c:v>
                </c:pt>
                <c:pt idx="149">
                  <c:v>28.35</c:v>
                </c:pt>
                <c:pt idx="150">
                  <c:v>28.5</c:v>
                </c:pt>
                <c:pt idx="151">
                  <c:v>28.65</c:v>
                </c:pt>
                <c:pt idx="152">
                  <c:v>28.8</c:v>
                </c:pt>
                <c:pt idx="153">
                  <c:v>28.95</c:v>
                </c:pt>
                <c:pt idx="154">
                  <c:v>29.1</c:v>
                </c:pt>
                <c:pt idx="155">
                  <c:v>29.25</c:v>
                </c:pt>
                <c:pt idx="156">
                  <c:v>29.400000000000002</c:v>
                </c:pt>
                <c:pt idx="157">
                  <c:v>29.55</c:v>
                </c:pt>
                <c:pt idx="158">
                  <c:v>29.700000000000003</c:v>
                </c:pt>
                <c:pt idx="159">
                  <c:v>29.85</c:v>
                </c:pt>
                <c:pt idx="160">
                  <c:v>30</c:v>
                </c:pt>
                <c:pt idx="161">
                  <c:v>30.150000000000002</c:v>
                </c:pt>
                <c:pt idx="162">
                  <c:v>30.3</c:v>
                </c:pt>
                <c:pt idx="163">
                  <c:v>30.45</c:v>
                </c:pt>
                <c:pt idx="164">
                  <c:v>30.599999999999998</c:v>
                </c:pt>
                <c:pt idx="165">
                  <c:v>30.75</c:v>
                </c:pt>
                <c:pt idx="166">
                  <c:v>30.9</c:v>
                </c:pt>
                <c:pt idx="167">
                  <c:v>31.049999999999997</c:v>
                </c:pt>
                <c:pt idx="168">
                  <c:v>31.2</c:v>
                </c:pt>
                <c:pt idx="169">
                  <c:v>31.349999999999998</c:v>
                </c:pt>
                <c:pt idx="170">
                  <c:v>31.5</c:v>
                </c:pt>
                <c:pt idx="171">
                  <c:v>31.65</c:v>
                </c:pt>
                <c:pt idx="172">
                  <c:v>31.8</c:v>
                </c:pt>
                <c:pt idx="173">
                  <c:v>31.95</c:v>
                </c:pt>
                <c:pt idx="174">
                  <c:v>32.1</c:v>
                </c:pt>
                <c:pt idx="175">
                  <c:v>32.25</c:v>
                </c:pt>
                <c:pt idx="176">
                  <c:v>32.4</c:v>
                </c:pt>
                <c:pt idx="177">
                  <c:v>32.549999999999997</c:v>
                </c:pt>
                <c:pt idx="178">
                  <c:v>32.700000000000003</c:v>
                </c:pt>
                <c:pt idx="179">
                  <c:v>32.85</c:v>
                </c:pt>
                <c:pt idx="180">
                  <c:v>33</c:v>
                </c:pt>
                <c:pt idx="181">
                  <c:v>33.150000000000006</c:v>
                </c:pt>
                <c:pt idx="182">
                  <c:v>33.299999999999997</c:v>
                </c:pt>
                <c:pt idx="183">
                  <c:v>33.450000000000003</c:v>
                </c:pt>
                <c:pt idx="184">
                  <c:v>33.6</c:v>
                </c:pt>
                <c:pt idx="185">
                  <c:v>33.75</c:v>
                </c:pt>
                <c:pt idx="186">
                  <c:v>33.900000000000006</c:v>
                </c:pt>
                <c:pt idx="187">
                  <c:v>34.049999999999997</c:v>
                </c:pt>
                <c:pt idx="188">
                  <c:v>34.200000000000003</c:v>
                </c:pt>
                <c:pt idx="189">
                  <c:v>34.349999999999994</c:v>
                </c:pt>
                <c:pt idx="190">
                  <c:v>34.5</c:v>
                </c:pt>
                <c:pt idx="191">
                  <c:v>34.65</c:v>
                </c:pt>
                <c:pt idx="192">
                  <c:v>34.799999999999997</c:v>
                </c:pt>
                <c:pt idx="193">
                  <c:v>34.950000000000003</c:v>
                </c:pt>
                <c:pt idx="194">
                  <c:v>35.099999999999994</c:v>
                </c:pt>
                <c:pt idx="195">
                  <c:v>35.25</c:v>
                </c:pt>
                <c:pt idx="196">
                  <c:v>35.4</c:v>
                </c:pt>
                <c:pt idx="197">
                  <c:v>35.549999999999997</c:v>
                </c:pt>
                <c:pt idx="198">
                  <c:v>35.700000000000003</c:v>
                </c:pt>
                <c:pt idx="199">
                  <c:v>35.85</c:v>
                </c:pt>
                <c:pt idx="200">
                  <c:v>36</c:v>
                </c:pt>
              </c:numCache>
            </c:numRef>
          </c:xVal>
          <c:yVal>
            <c:numRef>
              <c:f>'Efficiency vs VIN Calculations'!$AK$9:$AK$209</c:f>
              <c:numCache>
                <c:formatCode>0.000</c:formatCode>
                <c:ptCount val="201"/>
                <c:pt idx="0">
                  <c:v>3.2901218452291343</c:v>
                </c:pt>
                <c:pt idx="1">
                  <c:v>3.0093756570713954</c:v>
                </c:pt>
                <c:pt idx="2">
                  <c:v>2.7675508349086924</c:v>
                </c:pt>
                <c:pt idx="3">
                  <c:v>2.5572459888867427</c:v>
                </c:pt>
                <c:pt idx="4">
                  <c:v>2.3728157095056073</c:v>
                </c:pt>
                <c:pt idx="5">
                  <c:v>2.2098794736944543</c:v>
                </c:pt>
                <c:pt idx="6">
                  <c:v>2.0649865980424358</c:v>
                </c:pt>
                <c:pt idx="7">
                  <c:v>1.935382303166344</c:v>
                </c:pt>
                <c:pt idx="8">
                  <c:v>1.8188409974635422</c:v>
                </c:pt>
                <c:pt idx="9">
                  <c:v>1.7135452781412412</c:v>
                </c:pt>
                <c:pt idx="10">
                  <c:v>1.6179966643697858</c:v>
                </c:pt>
                <c:pt idx="11">
                  <c:v>1.5309487618178226</c:v>
                </c:pt>
                <c:pt idx="12">
                  <c:v>1.4513565479873571</c:v>
                </c:pt>
                <c:pt idx="13">
                  <c:v>1.3783374182304597</c:v>
                </c:pt>
                <c:pt idx="14">
                  <c:v>1.3111409298300856</c:v>
                </c:pt>
                <c:pt idx="15">
                  <c:v>1.2491250602362294</c:v>
                </c:pt>
                <c:pt idx="16">
                  <c:v>1.1917374004565571</c:v>
                </c:pt>
                <c:pt idx="17">
                  <c:v>1.1385001273288473</c:v>
                </c:pt>
                <c:pt idx="18">
                  <c:v>1.088997897939971</c:v>
                </c:pt>
                <c:pt idx="19">
                  <c:v>1.0428680244397199</c:v>
                </c:pt>
                <c:pt idx="20">
                  <c:v>0.99979244364092601</c:v>
                </c:pt>
                <c:pt idx="21">
                  <c:v>0.95949111046505431</c:v>
                </c:pt>
                <c:pt idx="22">
                  <c:v>0.92171652937477944</c:v>
                </c:pt>
                <c:pt idx="23">
                  <c:v>0.88624920167667887</c:v>
                </c:pt>
                <c:pt idx="24">
                  <c:v>0.852893814764209</c:v>
                </c:pt>
                <c:pt idx="25">
                  <c:v>0.8214760361094825</c:v>
                </c:pt>
                <c:pt idx="26">
                  <c:v>0.79183980304648294</c:v>
                </c:pt>
                <c:pt idx="27">
                  <c:v>0.76384502125057574</c:v>
                </c:pt>
                <c:pt idx="28">
                  <c:v>0.73736560186805256</c:v>
                </c:pt>
                <c:pt idx="29">
                  <c:v>0.71228778063433351</c:v>
                </c:pt>
                <c:pt idx="30">
                  <c:v>0.68850867289473738</c:v>
                </c:pt>
                <c:pt idx="31">
                  <c:v>0.665935026847711</c:v>
                </c:pt>
                <c:pt idx="32">
                  <c:v>0.64448214405049964</c:v>
                </c:pt>
                <c:pt idx="33">
                  <c:v>0.62407294162879046</c:v>
                </c:pt>
                <c:pt idx="34">
                  <c:v>0.60463713499626848</c:v>
                </c:pt>
                <c:pt idx="35">
                  <c:v>0.58611052343381365</c:v>
                </c:pt>
                <c:pt idx="36">
                  <c:v>0.56843436376917122</c:v>
                </c:pt>
                <c:pt idx="37">
                  <c:v>0.5515548197672463</c:v>
                </c:pt>
                <c:pt idx="38">
                  <c:v>0.5354224767911886</c:v>
                </c:pt>
                <c:pt idx="39">
                  <c:v>0.51999191290604052</c:v>
                </c:pt>
                <c:pt idx="40">
                  <c:v>0.50522131893394251</c:v>
                </c:pt>
                <c:pt idx="41">
                  <c:v>0.49107216108356444</c:v>
                </c:pt>
                <c:pt idx="42">
                  <c:v>0.47750888070742942</c:v>
                </c:pt>
                <c:pt idx="43">
                  <c:v>0.46449862652171336</c:v>
                </c:pt>
                <c:pt idx="44">
                  <c:v>0.45201101528037707</c:v>
                </c:pt>
                <c:pt idx="45">
                  <c:v>0.44001791745051505</c:v>
                </c:pt>
                <c:pt idx="46">
                  <c:v>0.4284932649058682</c:v>
                </c:pt>
                <c:pt idx="47">
                  <c:v>0.41741287805485527</c:v>
                </c:pt>
                <c:pt idx="48">
                  <c:v>0.40675431015974722</c:v>
                </c:pt>
                <c:pt idx="49">
                  <c:v>0.39649670689434702</c:v>
                </c:pt>
                <c:pt idx="50">
                  <c:v>0.38662067943662659</c:v>
                </c:pt>
                <c:pt idx="51">
                  <c:v>0.37710818960671405</c:v>
                </c:pt>
                <c:pt idx="52">
                  <c:v>0.36794244574485441</c:v>
                </c:pt>
                <c:pt idx="53">
                  <c:v>0.35910780818300064</c:v>
                </c:pt>
                <c:pt idx="54">
                  <c:v>0.35058970330129108</c:v>
                </c:pt>
                <c:pt idx="55">
                  <c:v>1.0971761437871357</c:v>
                </c:pt>
                <c:pt idx="56">
                  <c:v>1.0920246197714847</c:v>
                </c:pt>
                <c:pt idx="57">
                  <c:v>1.0871122347212063</c:v>
                </c:pt>
                <c:pt idx="58">
                  <c:v>1.0824273757304208</c:v>
                </c:pt>
                <c:pt idx="59">
                  <c:v>1.0779590324956116</c:v>
                </c:pt>
                <c:pt idx="60">
                  <c:v>1.0736967572077882</c:v>
                </c:pt>
                <c:pt idx="61">
                  <c:v>1.0696306276104226</c:v>
                </c:pt>
                <c:pt idx="62">
                  <c:v>1.0657512129366351</c:v>
                </c:pt>
                <c:pt idx="63">
                  <c:v>1.0620495424682701</c:v>
                </c:pt>
                <c:pt idx="64">
                  <c:v>1.0585170764853458</c:v>
                </c:pt>
                <c:pt idx="65">
                  <c:v>1.0551456793973486</c:v>
                </c:pt>
                <c:pt idx="66">
                  <c:v>1.0519275948682998</c:v>
                </c:pt>
                <c:pt idx="67">
                  <c:v>1.0488554227657425</c:v>
                </c:pt>
                <c:pt idx="68">
                  <c:v>1.0459220977800785</c:v>
                </c:pt>
                <c:pt idx="69">
                  <c:v>1.0431208695752188</c:v>
                </c:pt>
                <c:pt idx="70">
                  <c:v>1.0404452843445349</c:v>
                </c:pt>
                <c:pt idx="71">
                  <c:v>1.0378891676577575</c:v>
                </c:pt>
                <c:pt idx="72">
                  <c:v>1.035446608494943</c:v>
                </c:pt>
                <c:pt idx="73">
                  <c:v>1.0331119443730288</c:v>
                </c:pt>
                <c:pt idx="74">
                  <c:v>1.0308797474789659</c:v>
                </c:pt>
                <c:pt idx="75">
                  <c:v>1.0287448117310312</c:v>
                </c:pt>
                <c:pt idx="76">
                  <c:v>1.026702140696796</c:v>
                </c:pt>
                <c:pt idx="77">
                  <c:v>1.0247469363024411</c:v>
                </c:pt>
                <c:pt idx="78">
                  <c:v>1.0228745882736945</c:v>
                </c:pt>
                <c:pt idx="79">
                  <c:v>1.0210806642537678</c:v>
                </c:pt>
                <c:pt idx="80">
                  <c:v>1.0193609005482382</c:v>
                </c:pt>
                <c:pt idx="81">
                  <c:v>1.017711193451001</c:v>
                </c:pt>
                <c:pt idx="82">
                  <c:v>1.0161275911092056</c:v>
                </c:pt>
                <c:pt idx="83">
                  <c:v>1.0146062858885074</c:v>
                </c:pt>
                <c:pt idx="84">
                  <c:v>1.0131436072031008</c:v>
                </c:pt>
                <c:pt idx="85">
                  <c:v>1.0117360147778502</c:v>
                </c:pt>
                <c:pt idx="86">
                  <c:v>1.0103800923124122</c:v>
                </c:pt>
                <c:pt idx="87">
                  <c:v>1.0090725415196211</c:v>
                </c:pt>
                <c:pt idx="88">
                  <c:v>1.0078101765125504</c:v>
                </c:pt>
                <c:pt idx="89">
                  <c:v>1.0065899185166549</c:v>
                </c:pt>
                <c:pt idx="90">
                  <c:v>1.0054087908851832</c:v>
                </c:pt>
                <c:pt idx="91">
                  <c:v>1.0042639143977072</c:v>
                </c:pt>
                <c:pt idx="92">
                  <c:v>1.0031525028231276</c:v>
                </c:pt>
                <c:pt idx="93">
                  <c:v>1.0020718587298987</c:v>
                </c:pt>
                <c:pt idx="94">
                  <c:v>1.0010193695274852</c:v>
                </c:pt>
                <c:pt idx="95">
                  <c:v>0.99999250372423076</c:v>
                </c:pt>
                <c:pt idx="96">
                  <c:v>0.99898880738789619</c:v>
                </c:pt>
                <c:pt idx="97">
                  <c:v>0.9980059007961013</c:v>
                </c:pt>
                <c:pt idx="98">
                  <c:v>0.99704147526482378</c:v>
                </c:pt>
                <c:pt idx="99">
                  <c:v>0.99609329014393633</c:v>
                </c:pt>
                <c:pt idx="100">
                  <c:v>0.99515916996952913</c:v>
                </c:pt>
                <c:pt idx="101">
                  <c:v>0.99423700176349983</c:v>
                </c:pt>
                <c:pt idx="102">
                  <c:v>0.99332473247150932</c:v>
                </c:pt>
                <c:pt idx="103">
                  <c:v>0.99242036653104715</c:v>
                </c:pt>
                <c:pt idx="104">
                  <c:v>0.99152196356188138</c:v>
                </c:pt>
                <c:pt idx="105">
                  <c:v>0.99062763617170357</c:v>
                </c:pt>
                <c:pt idx="106">
                  <c:v>0.9897355478702472</c:v>
                </c:pt>
                <c:pt idx="107">
                  <c:v>0.98884391108560721</c:v>
                </c:pt>
                <c:pt idx="108">
                  <c:v>0.98795098527689729</c:v>
                </c:pt>
                <c:pt idx="109">
                  <c:v>0.98705507513776525</c:v>
                </c:pt>
                <c:pt idx="110">
                  <c:v>0.98615452888563448</c:v>
                </c:pt>
                <c:pt idx="111">
                  <c:v>0.98524773663187637</c:v>
                </c:pt>
                <c:pt idx="112">
                  <c:v>0.98433312882841684</c:v>
                </c:pt>
                <c:pt idx="113">
                  <c:v>0.98340917478656054</c:v>
                </c:pt>
                <c:pt idx="114">
                  <c:v>0.89542808502287585</c:v>
                </c:pt>
                <c:pt idx="115">
                  <c:v>0.89910739799967754</c:v>
                </c:pt>
                <c:pt idx="116">
                  <c:v>0.90279861421452601</c:v>
                </c:pt>
                <c:pt idx="117">
                  <c:v>0.9065013950155294</c:v>
                </c:pt>
                <c:pt idx="118">
                  <c:v>0.91021541531721772</c:v>
                </c:pt>
                <c:pt idx="119">
                  <c:v>0.91394036294540981</c:v>
                </c:pt>
                <c:pt idx="120">
                  <c:v>0.9176759380180507</c:v>
                </c:pt>
                <c:pt idx="121">
                  <c:v>0.92142185235982632</c:v>
                </c:pt>
                <c:pt idx="122">
                  <c:v>0.92517782894851175</c:v>
                </c:pt>
                <c:pt idx="123">
                  <c:v>0.92894360139114152</c:v>
                </c:pt>
                <c:pt idx="124">
                  <c:v>0.932718913428217</c:v>
                </c:pt>
                <c:pt idx="125">
                  <c:v>0.93650351846428703</c:v>
                </c:pt>
                <c:pt idx="126">
                  <c:v>0.9402971791233401</c:v>
                </c:pt>
                <c:pt idx="127">
                  <c:v>0.94409966682755242</c:v>
                </c:pt>
                <c:pt idx="128">
                  <c:v>0.94791076139802899</c:v>
                </c:pt>
                <c:pt idx="129">
                  <c:v>0.95173025067625983</c:v>
                </c:pt>
                <c:pt idx="130">
                  <c:v>0.95555793016509716</c:v>
                </c:pt>
                <c:pt idx="131">
                  <c:v>0.95939360268813312</c:v>
                </c:pt>
                <c:pt idx="132">
                  <c:v>0.96323707806643366</c:v>
                </c:pt>
                <c:pt idx="133">
                  <c:v>0.96708817281163673</c:v>
                </c:pt>
                <c:pt idx="134">
                  <c:v>0.97094670983449904</c:v>
                </c:pt>
                <c:pt idx="135">
                  <c:v>0.97481251816802617</c:v>
                </c:pt>
                <c:pt idx="136">
                  <c:v>0.9786854327043677</c:v>
                </c:pt>
                <c:pt idx="137">
                  <c:v>0.98256529394472314</c:v>
                </c:pt>
                <c:pt idx="138">
                  <c:v>0.98645194776153489</c:v>
                </c:pt>
                <c:pt idx="139">
                  <c:v>0.99034524517229983</c:v>
                </c:pt>
                <c:pt idx="140">
                  <c:v>0.99424504212436671</c:v>
                </c:pt>
                <c:pt idx="141">
                  <c:v>0.99815119929012097</c:v>
                </c:pt>
                <c:pt idx="142">
                  <c:v>1.002063581872003</c:v>
                </c:pt>
                <c:pt idx="143">
                  <c:v>1.0059820594168278</c:v>
                </c:pt>
                <c:pt idx="144">
                  <c:v>1.0099065056389156</c:v>
                </c:pt>
                <c:pt idx="145">
                  <c:v>1.0138367982515624</c:v>
                </c:pt>
                <c:pt idx="146">
                  <c:v>1.0177728188064159</c:v>
                </c:pt>
                <c:pt idx="147">
                  <c:v>1.0217144525403372</c:v>
                </c:pt>
                <c:pt idx="148">
                  <c:v>1.025661588229364</c:v>
                </c:pt>
                <c:pt idx="149">
                  <c:v>1.0296141180494007</c:v>
                </c:pt>
                <c:pt idx="150">
                  <c:v>1.033571937443297</c:v>
                </c:pt>
                <c:pt idx="151">
                  <c:v>1.0375349449939786</c:v>
                </c:pt>
                <c:pt idx="152">
                  <c:v>1.0415030423033271</c:v>
                </c:pt>
                <c:pt idx="153">
                  <c:v>1.0454761338765182</c:v>
                </c:pt>
                <c:pt idx="154">
                  <c:v>1.0494541270115336</c:v>
                </c:pt>
                <c:pt idx="155">
                  <c:v>1.0534369316936036</c:v>
                </c:pt>
                <c:pt idx="156">
                  <c:v>1.0574244604943144</c:v>
                </c:pt>
                <c:pt idx="157">
                  <c:v>1.0614166284751652</c:v>
                </c:pt>
                <c:pt idx="158">
                  <c:v>1.0654133530953447</c:v>
                </c:pt>
                <c:pt idx="159">
                  <c:v>1.0694145541235238</c:v>
                </c:pt>
                <c:pt idx="160">
                  <c:v>1.0734201535534691</c:v>
                </c:pt>
                <c:pt idx="161">
                  <c:v>1.0774300755232851</c:v>
                </c:pt>
                <c:pt idx="162">
                  <c:v>1.0814442462381204</c:v>
                </c:pt>
                <c:pt idx="163">
                  <c:v>1.0854625938961571</c:v>
                </c:pt>
                <c:pt idx="164">
                  <c:v>1.0894850486177396</c:v>
                </c:pt>
                <c:pt idx="165">
                  <c:v>1.0935115423774842</c:v>
                </c:pt>
                <c:pt idx="166">
                  <c:v>1.0975420089392296</c:v>
                </c:pt>
                <c:pt idx="167">
                  <c:v>1.1015763837936989</c:v>
                </c:pt>
                <c:pt idx="168">
                  <c:v>1.1056146040987398</c:v>
                </c:pt>
                <c:pt idx="169">
                  <c:v>1.1096566086220245</c:v>
                </c:pt>
                <c:pt idx="170">
                  <c:v>1.1137023376860988</c:v>
                </c:pt>
                <c:pt idx="171">
                  <c:v>1.1177517331156648</c:v>
                </c:pt>
                <c:pt idx="172">
                  <c:v>1.1218047381870004</c:v>
                </c:pt>
                <c:pt idx="173">
                  <c:v>1.1258612975794133</c:v>
                </c:pt>
                <c:pt idx="174">
                  <c:v>1.1299213573286415</c:v>
                </c:pt>
                <c:pt idx="175">
                  <c:v>1.1339848647821058</c:v>
                </c:pt>
                <c:pt idx="176">
                  <c:v>1.1380517685559377</c:v>
                </c:pt>
                <c:pt idx="177">
                  <c:v>1.1421220184936964</c:v>
                </c:pt>
                <c:pt idx="178">
                  <c:v>1.146195565626706</c:v>
                </c:pt>
                <c:pt idx="179">
                  <c:v>1.1502723621359321</c:v>
                </c:pt>
                <c:pt idx="180">
                  <c:v>1.154352361315341</c:v>
                </c:pt>
                <c:pt idx="181">
                  <c:v>1.1584355175366654</c:v>
                </c:pt>
                <c:pt idx="182">
                  <c:v>1.1625217862155215</c:v>
                </c:pt>
                <c:pt idx="183">
                  <c:v>1.1666111237788184</c:v>
                </c:pt>
                <c:pt idx="184">
                  <c:v>1.1707034876333953</c:v>
                </c:pt>
                <c:pt idx="185">
                  <c:v>1.174798836135851</c:v>
                </c:pt>
                <c:pt idx="186">
                  <c:v>1.1788971285634935</c:v>
                </c:pt>
                <c:pt idx="187">
                  <c:v>1.1829983250863771</c:v>
                </c:pt>
                <c:pt idx="188">
                  <c:v>1.1871023867403754</c:v>
                </c:pt>
                <c:pt idx="189">
                  <c:v>1.1912092754012422</c:v>
                </c:pt>
                <c:pt idx="190">
                  <c:v>1.1953189537596307</c:v>
                </c:pt>
                <c:pt idx="191">
                  <c:v>1.1994313852970129</c:v>
                </c:pt>
                <c:pt idx="192">
                  <c:v>1.2035465342624807</c:v>
                </c:pt>
                <c:pt idx="193">
                  <c:v>1.2076643656503783</c:v>
                </c:pt>
                <c:pt idx="194">
                  <c:v>1.211784845178735</c:v>
                </c:pt>
                <c:pt idx="195">
                  <c:v>1.2159079392684702</c:v>
                </c:pt>
                <c:pt idx="196">
                  <c:v>1.2200336150233342</c:v>
                </c:pt>
                <c:pt idx="197">
                  <c:v>1.2241618402105532</c:v>
                </c:pt>
                <c:pt idx="198">
                  <c:v>1.2282925832421581</c:v>
                </c:pt>
                <c:pt idx="199">
                  <c:v>1.2324258131569565</c:v>
                </c:pt>
                <c:pt idx="200">
                  <c:v>1.2365614996031389</c:v>
                </c:pt>
              </c:numCache>
            </c:numRef>
          </c:yVal>
          <c:smooth val="0"/>
          <c:extLst>
            <c:ext xmlns:c16="http://schemas.microsoft.com/office/drawing/2014/chart" uri="{C3380CC4-5D6E-409C-BE32-E72D297353CC}">
              <c16:uniqueId val="{00000000-9986-44B7-8173-9CEF6BCB9CA4}"/>
            </c:ext>
          </c:extLst>
        </c:ser>
        <c:ser>
          <c:idx val="3"/>
          <c:order val="1"/>
          <c:tx>
            <c:v>Low-side MOSFET</c:v>
          </c:tx>
          <c:spPr>
            <a:ln w="25400">
              <a:solidFill>
                <a:srgbClr val="FF0000"/>
              </a:solidFill>
              <a:prstDash val="solid"/>
            </a:ln>
          </c:spPr>
          <c:marker>
            <c:symbol val="none"/>
          </c:marker>
          <c:xVal>
            <c:numRef>
              <c:f>'Efficiency vs VIN Calculations'!$H$9:$H$209</c:f>
              <c:numCache>
                <c:formatCode>0.00</c:formatCode>
                <c:ptCount val="201"/>
                <c:pt idx="0">
                  <c:v>6</c:v>
                </c:pt>
                <c:pt idx="1">
                  <c:v>6.15</c:v>
                </c:pt>
                <c:pt idx="2">
                  <c:v>6.3</c:v>
                </c:pt>
                <c:pt idx="3">
                  <c:v>6.45</c:v>
                </c:pt>
                <c:pt idx="4">
                  <c:v>6.6</c:v>
                </c:pt>
                <c:pt idx="5">
                  <c:v>6.75</c:v>
                </c:pt>
                <c:pt idx="6">
                  <c:v>6.9</c:v>
                </c:pt>
                <c:pt idx="7">
                  <c:v>7.05</c:v>
                </c:pt>
                <c:pt idx="8">
                  <c:v>7.2</c:v>
                </c:pt>
                <c:pt idx="9">
                  <c:v>7.35</c:v>
                </c:pt>
                <c:pt idx="10">
                  <c:v>7.5</c:v>
                </c:pt>
                <c:pt idx="11">
                  <c:v>7.65</c:v>
                </c:pt>
                <c:pt idx="12">
                  <c:v>7.8</c:v>
                </c:pt>
                <c:pt idx="13">
                  <c:v>7.95</c:v>
                </c:pt>
                <c:pt idx="14">
                  <c:v>8.1</c:v>
                </c:pt>
                <c:pt idx="15">
                  <c:v>8.25</c:v>
                </c:pt>
                <c:pt idx="16">
                  <c:v>8.4</c:v>
                </c:pt>
                <c:pt idx="17">
                  <c:v>8.5500000000000007</c:v>
                </c:pt>
                <c:pt idx="18">
                  <c:v>8.6999999999999993</c:v>
                </c:pt>
                <c:pt idx="19">
                  <c:v>8.85</c:v>
                </c:pt>
                <c:pt idx="20">
                  <c:v>9</c:v>
                </c:pt>
                <c:pt idx="21">
                  <c:v>9.15</c:v>
                </c:pt>
                <c:pt idx="22">
                  <c:v>9.3000000000000007</c:v>
                </c:pt>
                <c:pt idx="23">
                  <c:v>9.4499999999999993</c:v>
                </c:pt>
                <c:pt idx="24">
                  <c:v>9.6</c:v>
                </c:pt>
                <c:pt idx="25">
                  <c:v>9.75</c:v>
                </c:pt>
                <c:pt idx="26">
                  <c:v>9.9</c:v>
                </c:pt>
                <c:pt idx="27">
                  <c:v>10.050000000000001</c:v>
                </c:pt>
                <c:pt idx="28">
                  <c:v>10.199999999999999</c:v>
                </c:pt>
                <c:pt idx="29">
                  <c:v>10.35</c:v>
                </c:pt>
                <c:pt idx="30">
                  <c:v>10.5</c:v>
                </c:pt>
                <c:pt idx="31">
                  <c:v>10.65</c:v>
                </c:pt>
                <c:pt idx="32">
                  <c:v>10.8</c:v>
                </c:pt>
                <c:pt idx="33">
                  <c:v>10.95</c:v>
                </c:pt>
                <c:pt idx="34">
                  <c:v>11.100000000000001</c:v>
                </c:pt>
                <c:pt idx="35">
                  <c:v>11.25</c:v>
                </c:pt>
                <c:pt idx="36">
                  <c:v>11.399999999999999</c:v>
                </c:pt>
                <c:pt idx="37">
                  <c:v>11.55</c:v>
                </c:pt>
                <c:pt idx="38">
                  <c:v>11.7</c:v>
                </c:pt>
                <c:pt idx="39">
                  <c:v>11.850000000000001</c:v>
                </c:pt>
                <c:pt idx="40">
                  <c:v>12</c:v>
                </c:pt>
                <c:pt idx="41">
                  <c:v>12.149999999999999</c:v>
                </c:pt>
                <c:pt idx="42">
                  <c:v>12.3</c:v>
                </c:pt>
                <c:pt idx="43">
                  <c:v>12.45</c:v>
                </c:pt>
                <c:pt idx="44">
                  <c:v>12.6</c:v>
                </c:pt>
                <c:pt idx="45">
                  <c:v>12.75</c:v>
                </c:pt>
                <c:pt idx="46">
                  <c:v>12.9</c:v>
                </c:pt>
                <c:pt idx="47">
                  <c:v>13.05</c:v>
                </c:pt>
                <c:pt idx="48">
                  <c:v>13.2</c:v>
                </c:pt>
                <c:pt idx="49">
                  <c:v>13.35</c:v>
                </c:pt>
                <c:pt idx="50">
                  <c:v>13.5</c:v>
                </c:pt>
                <c:pt idx="51">
                  <c:v>13.65</c:v>
                </c:pt>
                <c:pt idx="52">
                  <c:v>13.8</c:v>
                </c:pt>
                <c:pt idx="53">
                  <c:v>13.95</c:v>
                </c:pt>
                <c:pt idx="54">
                  <c:v>14.100000000000001</c:v>
                </c:pt>
                <c:pt idx="55">
                  <c:v>14.25</c:v>
                </c:pt>
                <c:pt idx="56">
                  <c:v>14.4</c:v>
                </c:pt>
                <c:pt idx="57">
                  <c:v>14.549999999999999</c:v>
                </c:pt>
                <c:pt idx="58">
                  <c:v>14.7</c:v>
                </c:pt>
                <c:pt idx="59">
                  <c:v>14.85</c:v>
                </c:pt>
                <c:pt idx="60">
                  <c:v>15</c:v>
                </c:pt>
                <c:pt idx="61">
                  <c:v>15.15</c:v>
                </c:pt>
                <c:pt idx="62">
                  <c:v>15.3</c:v>
                </c:pt>
                <c:pt idx="63">
                  <c:v>15.45</c:v>
                </c:pt>
                <c:pt idx="64">
                  <c:v>15.6</c:v>
                </c:pt>
                <c:pt idx="65">
                  <c:v>15.75</c:v>
                </c:pt>
                <c:pt idx="66">
                  <c:v>15.9</c:v>
                </c:pt>
                <c:pt idx="67">
                  <c:v>16.05</c:v>
                </c:pt>
                <c:pt idx="68">
                  <c:v>16.200000000000003</c:v>
                </c:pt>
                <c:pt idx="69">
                  <c:v>16.350000000000001</c:v>
                </c:pt>
                <c:pt idx="70">
                  <c:v>16.5</c:v>
                </c:pt>
                <c:pt idx="71">
                  <c:v>16.649999999999999</c:v>
                </c:pt>
                <c:pt idx="72">
                  <c:v>16.799999999999997</c:v>
                </c:pt>
                <c:pt idx="73">
                  <c:v>16.95</c:v>
                </c:pt>
                <c:pt idx="74">
                  <c:v>17.100000000000001</c:v>
                </c:pt>
                <c:pt idx="75">
                  <c:v>17.25</c:v>
                </c:pt>
                <c:pt idx="76">
                  <c:v>17.399999999999999</c:v>
                </c:pt>
                <c:pt idx="77">
                  <c:v>17.55</c:v>
                </c:pt>
                <c:pt idx="78">
                  <c:v>17.700000000000003</c:v>
                </c:pt>
                <c:pt idx="79">
                  <c:v>17.850000000000001</c:v>
                </c:pt>
                <c:pt idx="80">
                  <c:v>18</c:v>
                </c:pt>
                <c:pt idx="81">
                  <c:v>18.149999999999999</c:v>
                </c:pt>
                <c:pt idx="82">
                  <c:v>18.299999999999997</c:v>
                </c:pt>
                <c:pt idx="83">
                  <c:v>18.45</c:v>
                </c:pt>
                <c:pt idx="84">
                  <c:v>18.600000000000001</c:v>
                </c:pt>
                <c:pt idx="85">
                  <c:v>18.75</c:v>
                </c:pt>
                <c:pt idx="86">
                  <c:v>18.899999999999999</c:v>
                </c:pt>
                <c:pt idx="87">
                  <c:v>19.05</c:v>
                </c:pt>
                <c:pt idx="88">
                  <c:v>19.2</c:v>
                </c:pt>
                <c:pt idx="89">
                  <c:v>19.350000000000001</c:v>
                </c:pt>
                <c:pt idx="90">
                  <c:v>19.5</c:v>
                </c:pt>
                <c:pt idx="91">
                  <c:v>19.649999999999999</c:v>
                </c:pt>
                <c:pt idx="92">
                  <c:v>19.8</c:v>
                </c:pt>
                <c:pt idx="93">
                  <c:v>19.950000000000003</c:v>
                </c:pt>
                <c:pt idx="94">
                  <c:v>20.100000000000001</c:v>
                </c:pt>
                <c:pt idx="95">
                  <c:v>20.25</c:v>
                </c:pt>
                <c:pt idx="96">
                  <c:v>20.399999999999999</c:v>
                </c:pt>
                <c:pt idx="97">
                  <c:v>20.549999999999997</c:v>
                </c:pt>
                <c:pt idx="98">
                  <c:v>20.7</c:v>
                </c:pt>
                <c:pt idx="99">
                  <c:v>20.85</c:v>
                </c:pt>
                <c:pt idx="100">
                  <c:v>21</c:v>
                </c:pt>
                <c:pt idx="101">
                  <c:v>21.15</c:v>
                </c:pt>
                <c:pt idx="102">
                  <c:v>21.3</c:v>
                </c:pt>
                <c:pt idx="103">
                  <c:v>21.450000000000003</c:v>
                </c:pt>
                <c:pt idx="104">
                  <c:v>21.6</c:v>
                </c:pt>
                <c:pt idx="105">
                  <c:v>21.75</c:v>
                </c:pt>
                <c:pt idx="106">
                  <c:v>21.9</c:v>
                </c:pt>
                <c:pt idx="107">
                  <c:v>22.05</c:v>
                </c:pt>
                <c:pt idx="108">
                  <c:v>22.200000000000003</c:v>
                </c:pt>
                <c:pt idx="109">
                  <c:v>22.35</c:v>
                </c:pt>
                <c:pt idx="110">
                  <c:v>22.5</c:v>
                </c:pt>
                <c:pt idx="111">
                  <c:v>22.650000000000002</c:v>
                </c:pt>
                <c:pt idx="112">
                  <c:v>22.8</c:v>
                </c:pt>
                <c:pt idx="113">
                  <c:v>22.95</c:v>
                </c:pt>
                <c:pt idx="114">
                  <c:v>23.099999999999998</c:v>
                </c:pt>
                <c:pt idx="115">
                  <c:v>23.25</c:v>
                </c:pt>
                <c:pt idx="116">
                  <c:v>23.4</c:v>
                </c:pt>
                <c:pt idx="117">
                  <c:v>23.549999999999997</c:v>
                </c:pt>
                <c:pt idx="118">
                  <c:v>23.7</c:v>
                </c:pt>
                <c:pt idx="119">
                  <c:v>23.849999999999998</c:v>
                </c:pt>
                <c:pt idx="120">
                  <c:v>24</c:v>
                </c:pt>
                <c:pt idx="121">
                  <c:v>24.15</c:v>
                </c:pt>
                <c:pt idx="122">
                  <c:v>24.3</c:v>
                </c:pt>
                <c:pt idx="123">
                  <c:v>24.45</c:v>
                </c:pt>
                <c:pt idx="124">
                  <c:v>24.6</c:v>
                </c:pt>
                <c:pt idx="125">
                  <c:v>24.75</c:v>
                </c:pt>
                <c:pt idx="126">
                  <c:v>24.9</c:v>
                </c:pt>
                <c:pt idx="127">
                  <c:v>25.05</c:v>
                </c:pt>
                <c:pt idx="128">
                  <c:v>25.2</c:v>
                </c:pt>
                <c:pt idx="129">
                  <c:v>25.35</c:v>
                </c:pt>
                <c:pt idx="130">
                  <c:v>25.5</c:v>
                </c:pt>
                <c:pt idx="131">
                  <c:v>25.650000000000002</c:v>
                </c:pt>
                <c:pt idx="132">
                  <c:v>25.8</c:v>
                </c:pt>
                <c:pt idx="133">
                  <c:v>25.950000000000003</c:v>
                </c:pt>
                <c:pt idx="134">
                  <c:v>26.1</c:v>
                </c:pt>
                <c:pt idx="135">
                  <c:v>26.25</c:v>
                </c:pt>
                <c:pt idx="136">
                  <c:v>26.400000000000002</c:v>
                </c:pt>
                <c:pt idx="137">
                  <c:v>26.55</c:v>
                </c:pt>
                <c:pt idx="138">
                  <c:v>26.7</c:v>
                </c:pt>
                <c:pt idx="139">
                  <c:v>26.849999999999998</c:v>
                </c:pt>
                <c:pt idx="140">
                  <c:v>27</c:v>
                </c:pt>
                <c:pt idx="141">
                  <c:v>27.15</c:v>
                </c:pt>
                <c:pt idx="142">
                  <c:v>27.299999999999997</c:v>
                </c:pt>
                <c:pt idx="143">
                  <c:v>27.45</c:v>
                </c:pt>
                <c:pt idx="144">
                  <c:v>27.599999999999998</c:v>
                </c:pt>
                <c:pt idx="145">
                  <c:v>27.75</c:v>
                </c:pt>
                <c:pt idx="146">
                  <c:v>27.9</c:v>
                </c:pt>
                <c:pt idx="147">
                  <c:v>28.05</c:v>
                </c:pt>
                <c:pt idx="148">
                  <c:v>28.2</c:v>
                </c:pt>
                <c:pt idx="149">
                  <c:v>28.35</c:v>
                </c:pt>
                <c:pt idx="150">
                  <c:v>28.5</c:v>
                </c:pt>
                <c:pt idx="151">
                  <c:v>28.65</c:v>
                </c:pt>
                <c:pt idx="152">
                  <c:v>28.8</c:v>
                </c:pt>
                <c:pt idx="153">
                  <c:v>28.95</c:v>
                </c:pt>
                <c:pt idx="154">
                  <c:v>29.1</c:v>
                </c:pt>
                <c:pt idx="155">
                  <c:v>29.25</c:v>
                </c:pt>
                <c:pt idx="156">
                  <c:v>29.400000000000002</c:v>
                </c:pt>
                <c:pt idx="157">
                  <c:v>29.55</c:v>
                </c:pt>
                <c:pt idx="158">
                  <c:v>29.700000000000003</c:v>
                </c:pt>
                <c:pt idx="159">
                  <c:v>29.85</c:v>
                </c:pt>
                <c:pt idx="160">
                  <c:v>30</c:v>
                </c:pt>
                <c:pt idx="161">
                  <c:v>30.150000000000002</c:v>
                </c:pt>
                <c:pt idx="162">
                  <c:v>30.3</c:v>
                </c:pt>
                <c:pt idx="163">
                  <c:v>30.45</c:v>
                </c:pt>
                <c:pt idx="164">
                  <c:v>30.599999999999998</c:v>
                </c:pt>
                <c:pt idx="165">
                  <c:v>30.75</c:v>
                </c:pt>
                <c:pt idx="166">
                  <c:v>30.9</c:v>
                </c:pt>
                <c:pt idx="167">
                  <c:v>31.049999999999997</c:v>
                </c:pt>
                <c:pt idx="168">
                  <c:v>31.2</c:v>
                </c:pt>
                <c:pt idx="169">
                  <c:v>31.349999999999998</c:v>
                </c:pt>
                <c:pt idx="170">
                  <c:v>31.5</c:v>
                </c:pt>
                <c:pt idx="171">
                  <c:v>31.65</c:v>
                </c:pt>
                <c:pt idx="172">
                  <c:v>31.8</c:v>
                </c:pt>
                <c:pt idx="173">
                  <c:v>31.95</c:v>
                </c:pt>
                <c:pt idx="174">
                  <c:v>32.1</c:v>
                </c:pt>
                <c:pt idx="175">
                  <c:v>32.25</c:v>
                </c:pt>
                <c:pt idx="176">
                  <c:v>32.4</c:v>
                </c:pt>
                <c:pt idx="177">
                  <c:v>32.549999999999997</c:v>
                </c:pt>
                <c:pt idx="178">
                  <c:v>32.700000000000003</c:v>
                </c:pt>
                <c:pt idx="179">
                  <c:v>32.85</c:v>
                </c:pt>
                <c:pt idx="180">
                  <c:v>33</c:v>
                </c:pt>
                <c:pt idx="181">
                  <c:v>33.150000000000006</c:v>
                </c:pt>
                <c:pt idx="182">
                  <c:v>33.299999999999997</c:v>
                </c:pt>
                <c:pt idx="183">
                  <c:v>33.450000000000003</c:v>
                </c:pt>
                <c:pt idx="184">
                  <c:v>33.6</c:v>
                </c:pt>
                <c:pt idx="185">
                  <c:v>33.75</c:v>
                </c:pt>
                <c:pt idx="186">
                  <c:v>33.900000000000006</c:v>
                </c:pt>
                <c:pt idx="187">
                  <c:v>34.049999999999997</c:v>
                </c:pt>
                <c:pt idx="188">
                  <c:v>34.200000000000003</c:v>
                </c:pt>
                <c:pt idx="189">
                  <c:v>34.349999999999994</c:v>
                </c:pt>
                <c:pt idx="190">
                  <c:v>34.5</c:v>
                </c:pt>
                <c:pt idx="191">
                  <c:v>34.65</c:v>
                </c:pt>
                <c:pt idx="192">
                  <c:v>34.799999999999997</c:v>
                </c:pt>
                <c:pt idx="193">
                  <c:v>34.950000000000003</c:v>
                </c:pt>
                <c:pt idx="194">
                  <c:v>35.099999999999994</c:v>
                </c:pt>
                <c:pt idx="195">
                  <c:v>35.25</c:v>
                </c:pt>
                <c:pt idx="196">
                  <c:v>35.4</c:v>
                </c:pt>
                <c:pt idx="197">
                  <c:v>35.549999999999997</c:v>
                </c:pt>
                <c:pt idx="198">
                  <c:v>35.700000000000003</c:v>
                </c:pt>
                <c:pt idx="199">
                  <c:v>35.85</c:v>
                </c:pt>
                <c:pt idx="200">
                  <c:v>36</c:v>
                </c:pt>
              </c:numCache>
            </c:numRef>
          </c:xVal>
          <c:yVal>
            <c:numRef>
              <c:f>'Efficiency vs VIN Calculations'!$AO$9:$AO$209</c:f>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0.34004143791083047</c:v>
                </c:pt>
                <c:pt idx="56">
                  <c:v>0.34152698767452838</c:v>
                </c:pt>
                <c:pt idx="57">
                  <c:v>0.34294612953528347</c:v>
                </c:pt>
                <c:pt idx="58">
                  <c:v>0.34430139832636497</c:v>
                </c:pt>
                <c:pt idx="59">
                  <c:v>0.34559521310798197</c:v>
                </c:pt>
                <c:pt idx="60">
                  <c:v>0.34682988346951099</c:v>
                </c:pt>
                <c:pt idx="61">
                  <c:v>0.34800761543562342</c:v>
                </c:pt>
                <c:pt idx="62">
                  <c:v>0.34913051700444342</c:v>
                </c:pt>
                <c:pt idx="63">
                  <c:v>0.35020060334364755</c:v>
                </c:pt>
                <c:pt idx="64">
                  <c:v>0.35121980166838751</c:v>
                </c:pt>
                <c:pt idx="65">
                  <c:v>0.352189955823067</c:v>
                </c:pt>
                <c:pt idx="66">
                  <c:v>0.35311283058730336</c:v>
                </c:pt>
                <c:pt idx="67">
                  <c:v>0.35399011572485339</c:v>
                </c:pt>
                <c:pt idx="68">
                  <c:v>0.35482342979286158</c:v>
                </c:pt>
                <c:pt idx="69">
                  <c:v>0.35561432372748253</c:v>
                </c:pt>
                <c:pt idx="70">
                  <c:v>0.3563642842207338</c:v>
                </c:pt>
                <c:pt idx="71">
                  <c:v>0.35707473690233377</c:v>
                </c:pt>
                <c:pt idx="72">
                  <c:v>0.35774704933927742</c:v>
                </c:pt>
                <c:pt idx="73">
                  <c:v>0.35838253386496277</c:v>
                </c:pt>
                <c:pt idx="74">
                  <c:v>0.3589824502488399</c:v>
                </c:pt>
                <c:pt idx="75">
                  <c:v>0.35954800821675797</c:v>
                </c:pt>
                <c:pt idx="76">
                  <c:v>0.36008036983146835</c:v>
                </c:pt>
                <c:pt idx="77">
                  <c:v>0.36058065174207127</c:v>
                </c:pt>
                <c:pt idx="78">
                  <c:v>0.36104992731057822</c:v>
                </c:pt>
                <c:pt idx="79">
                  <c:v>0.36148922862319655</c:v>
                </c:pt>
                <c:pt idx="80">
                  <c:v>0.36189954839341426</c:v>
                </c:pt>
                <c:pt idx="81">
                  <c:v>0.36228184176348011</c:v>
                </c:pt>
                <c:pt idx="82">
                  <c:v>0.36263702801042796</c:v>
                </c:pt>
                <c:pt idx="83">
                  <c:v>0.36296599216237496</c:v>
                </c:pt>
                <c:pt idx="84">
                  <c:v>0.3632695865304425</c:v>
                </c:pt>
                <c:pt idx="85">
                  <c:v>0.36354863216129341</c:v>
                </c:pt>
                <c:pt idx="86">
                  <c:v>0.36380392021494701</c:v>
                </c:pt>
                <c:pt idx="87">
                  <c:v>0.36403621327223001</c:v>
                </c:pt>
                <c:pt idx="88">
                  <c:v>0.36424624657593713</c:v>
                </c:pt>
                <c:pt idx="89">
                  <c:v>0.36443472920951175</c:v>
                </c:pt>
                <c:pt idx="90">
                  <c:v>0.36460234521681312</c:v>
                </c:pt>
                <c:pt idx="91">
                  <c:v>0.36474975466630871</c:v>
                </c:pt>
                <c:pt idx="92">
                  <c:v>0.36487759466281966</c:v>
                </c:pt>
                <c:pt idx="93">
                  <c:v>0.36498648030975078</c:v>
                </c:pt>
                <c:pt idx="94">
                  <c:v>0.36507700562455242</c:v>
                </c:pt>
                <c:pt idx="95">
                  <c:v>0.36514974440999465</c:v>
                </c:pt>
                <c:pt idx="96">
                  <c:v>0.36520525108366975</c:v>
                </c:pt>
                <c:pt idx="97">
                  <c:v>0.36524406146799726</c:v>
                </c:pt>
                <c:pt idx="98">
                  <c:v>0.36526669354286428</c:v>
                </c:pt>
                <c:pt idx="99">
                  <c:v>0.36527364816290536</c:v>
                </c:pt>
                <c:pt idx="100">
                  <c:v>0.36526540974130706</c:v>
                </c:pt>
                <c:pt idx="101">
                  <c:v>0.36524244690191027</c:v>
                </c:pt>
                <c:pt idx="102">
                  <c:v>0.36520521310127685</c:v>
                </c:pt>
                <c:pt idx="103">
                  <c:v>0.36515414722229184</c:v>
                </c:pt>
                <c:pt idx="104">
                  <c:v>0.36508967414077736</c:v>
                </c:pt>
                <c:pt idx="105">
                  <c:v>0.36501220526651273</c:v>
                </c:pt>
                <c:pt idx="106">
                  <c:v>0.36492213905997162</c:v>
                </c:pt>
                <c:pt idx="107">
                  <c:v>0.36481986152601298</c:v>
                </c:pt>
                <c:pt idx="108">
                  <c:v>0.36470574668569372</c:v>
                </c:pt>
                <c:pt idx="109">
                  <c:v>0.36458015702730229</c:v>
                </c:pt>
                <c:pt idx="110">
                  <c:v>0.36444344393765288</c:v>
                </c:pt>
                <c:pt idx="111">
                  <c:v>0.36429594811462046</c:v>
                </c:pt>
                <c:pt idx="112">
                  <c:v>0.36413799996184382</c:v>
                </c:pt>
                <c:pt idx="113">
                  <c:v>0.36396991996647027</c:v>
                </c:pt>
                <c:pt idx="114">
                  <c:v>0.3173009225492105</c:v>
                </c:pt>
                <c:pt idx="115">
                  <c:v>0.31861600517407368</c:v>
                </c:pt>
                <c:pt idx="116">
                  <c:v>0.31992097979447476</c:v>
                </c:pt>
                <c:pt idx="117">
                  <c:v>0.32121600521512994</c:v>
                </c:pt>
                <c:pt idx="118">
                  <c:v>0.32250123500751438</c:v>
                </c:pt>
                <c:pt idx="119">
                  <c:v>0.32377681777134681</c:v>
                </c:pt>
                <c:pt idx="120">
                  <c:v>0.3250428973806101</c:v>
                </c:pt>
                <c:pt idx="121">
                  <c:v>0.32629961321510786</c:v>
                </c:pt>
                <c:pt idx="122">
                  <c:v>0.32754710037848894</c:v>
                </c:pt>
                <c:pt idx="123">
                  <c:v>0.32878548990360335</c:v>
                </c:pt>
                <c:pt idx="124">
                  <c:v>0.33001490894600066</c:v>
                </c:pt>
                <c:pt idx="125">
                  <c:v>0.33123548096631922</c:v>
                </c:pt>
                <c:pt idx="126">
                  <c:v>0.33244732590226878</c:v>
                </c:pt>
                <c:pt idx="127">
                  <c:v>0.33365056033086038</c:v>
                </c:pt>
                <c:pt idx="128">
                  <c:v>0.33484529762149084</c:v>
                </c:pt>
                <c:pt idx="129">
                  <c:v>0.33603164808045283</c:v>
                </c:pt>
                <c:pt idx="130">
                  <c:v>0.33720971908739955</c:v>
                </c:pt>
                <c:pt idx="131">
                  <c:v>0.33837961522425974</c:v>
                </c:pt>
                <c:pt idx="132">
                  <c:v>0.33954143839706602</c:v>
                </c:pt>
                <c:pt idx="133">
                  <c:v>0.34069528795112863</c:v>
                </c:pt>
                <c:pt idx="134">
                  <c:v>0.34184126077995797</c:v>
                </c:pt>
                <c:pt idx="135">
                  <c:v>0.34297945142831449</c:v>
                </c:pt>
                <c:pt idx="136">
                  <c:v>0.34410995218973778</c:v>
                </c:pt>
                <c:pt idx="137">
                  <c:v>0.34523285319888625</c:v>
                </c:pt>
                <c:pt idx="138">
                  <c:v>0.34634824251899521</c:v>
                </c:pt>
                <c:pt idx="139">
                  <c:v>0.34745620622474421</c:v>
                </c:pt>
                <c:pt idx="140">
                  <c:v>0.34855682848080233</c:v>
                </c:pt>
                <c:pt idx="141">
                  <c:v>0.34965019161630639</c:v>
                </c:pt>
                <c:pt idx="142">
                  <c:v>0.35073637619550924</c:v>
                </c:pt>
                <c:pt idx="143">
                  <c:v>0.35181546108482153</c:v>
                </c:pt>
                <c:pt idx="144">
                  <c:v>0.35288752351645308</c:v>
                </c:pt>
                <c:pt idx="145">
                  <c:v>0.35395263914885272</c:v>
                </c:pt>
                <c:pt idx="146">
                  <c:v>0.3550108821241284</c:v>
                </c:pt>
                <c:pt idx="147">
                  <c:v>0.35606232512261859</c:v>
                </c:pt>
                <c:pt idx="148">
                  <c:v>0.35710703941477923</c:v>
                </c:pt>
                <c:pt idx="149">
                  <c:v>0.35814509491053542</c:v>
                </c:pt>
                <c:pt idx="150">
                  <c:v>0.35917656020624183</c:v>
                </c:pt>
                <c:pt idx="151">
                  <c:v>0.36020150262938394</c:v>
                </c:pt>
                <c:pt idx="152">
                  <c:v>0.36121998828114715</c:v>
                </c:pt>
                <c:pt idx="153">
                  <c:v>0.36223208207697161</c:v>
                </c:pt>
                <c:pt idx="154">
                  <c:v>0.36323784778520191</c:v>
                </c:pt>
                <c:pt idx="155">
                  <c:v>0.36423734806393882</c:v>
                </c:pt>
                <c:pt idx="156">
                  <c:v>0.36523064449618919</c:v>
                </c:pt>
                <c:pt idx="157">
                  <c:v>0.36621779762340612</c:v>
                </c:pt>
                <c:pt idx="158">
                  <c:v>0.36719886697750775</c:v>
                </c:pt>
                <c:pt idx="159">
                  <c:v>0.36817391111145525</c:v>
                </c:pt>
                <c:pt idx="160">
                  <c:v>0.36914298762846615</c:v>
                </c:pt>
                <c:pt idx="161">
                  <c:v>0.37010615320993867</c:v>
                </c:pt>
                <c:pt idx="162">
                  <c:v>0.37106346364215065</c:v>
                </c:pt>
                <c:pt idx="163">
                  <c:v>0.37201497384180165</c:v>
                </c:pt>
                <c:pt idx="164">
                  <c:v>0.37296073788045569</c:v>
                </c:pt>
                <c:pt idx="165">
                  <c:v>0.37390080900794387</c:v>
                </c:pt>
                <c:pt idx="166">
                  <c:v>0.37483523967477911</c:v>
                </c:pt>
                <c:pt idx="167">
                  <c:v>0.37576408155363522</c:v>
                </c:pt>
                <c:pt idx="168">
                  <c:v>0.37668738555993653</c:v>
                </c:pt>
                <c:pt idx="169">
                  <c:v>0.37760520187160557</c:v>
                </c:pt>
                <c:pt idx="170">
                  <c:v>0.37851757994800805</c:v>
                </c:pt>
                <c:pt idx="171">
                  <c:v>0.37942456854814</c:v>
                </c:pt>
                <c:pt idx="172">
                  <c:v>0.3803262157480905</c:v>
                </c:pt>
                <c:pt idx="173">
                  <c:v>0.38122256895781831</c:v>
                </c:pt>
                <c:pt idx="174">
                  <c:v>0.38211367493727744</c:v>
                </c:pt>
                <c:pt idx="175">
                  <c:v>0.38299957981191945</c:v>
                </c:pt>
                <c:pt idx="176">
                  <c:v>0.38388032908760905</c:v>
                </c:pt>
                <c:pt idx="177">
                  <c:v>0.38475596766497455</c:v>
                </c:pt>
                <c:pt idx="178">
                  <c:v>0.38562653985322665</c:v>
                </c:pt>
                <c:pt idx="179">
                  <c:v>0.38649208938346691</c:v>
                </c:pt>
                <c:pt idx="180">
                  <c:v>0.38735265942151187</c:v>
                </c:pt>
                <c:pt idx="181">
                  <c:v>0.38820829258025619</c:v>
                </c:pt>
                <c:pt idx="182">
                  <c:v>0.38905903093159422</c:v>
                </c:pt>
                <c:pt idx="183">
                  <c:v>0.38990491601792404</c:v>
                </c:pt>
                <c:pt idx="184">
                  <c:v>0.39074598886325035</c:v>
                </c:pt>
                <c:pt idx="185">
                  <c:v>0.39158228998390576</c:v>
                </c:pt>
                <c:pt idx="186">
                  <c:v>0.39241385939890899</c:v>
                </c:pt>
                <c:pt idx="187">
                  <c:v>0.39324073663997455</c:v>
                </c:pt>
                <c:pt idx="188">
                  <c:v>0.39406296076119129</c:v>
                </c:pt>
                <c:pt idx="189">
                  <c:v>0.39488057034838292</c:v>
                </c:pt>
                <c:pt idx="190">
                  <c:v>0.39569360352816785</c:v>
                </c:pt>
                <c:pt idx="191">
                  <c:v>0.39650209797672664</c:v>
                </c:pt>
                <c:pt idx="192">
                  <c:v>0.3973060909282955</c:v>
                </c:pt>
                <c:pt idx="193">
                  <c:v>0.39810561918339327</c:v>
                </c:pt>
                <c:pt idx="194">
                  <c:v>0.39890071911679514</c:v>
                </c:pt>
                <c:pt idx="195">
                  <c:v>0.39969142668526553</c:v>
                </c:pt>
                <c:pt idx="196">
                  <c:v>0.40047777743505703</c:v>
                </c:pt>
                <c:pt idx="197">
                  <c:v>0.40125980650918808</c:v>
                </c:pt>
                <c:pt idx="198">
                  <c:v>0.4020375486545073</c:v>
                </c:pt>
                <c:pt idx="199">
                  <c:v>0.40281103822855352</c:v>
                </c:pt>
                <c:pt idx="200">
                  <c:v>0.40358030920622068</c:v>
                </c:pt>
              </c:numCache>
            </c:numRef>
          </c:yVal>
          <c:smooth val="0"/>
          <c:extLst>
            <c:ext xmlns:c16="http://schemas.microsoft.com/office/drawing/2014/chart" uri="{C3380CC4-5D6E-409C-BE32-E72D297353CC}">
              <c16:uniqueId val="{00000001-9986-44B7-8173-9CEF6BCB9CA4}"/>
            </c:ext>
          </c:extLst>
        </c:ser>
        <c:ser>
          <c:idx val="0"/>
          <c:order val="2"/>
          <c:tx>
            <c:v>Inductor Loss</c:v>
          </c:tx>
          <c:spPr>
            <a:ln w="31750">
              <a:solidFill>
                <a:srgbClr val="FF6600"/>
              </a:solidFill>
              <a:prstDash val="lgDash"/>
            </a:ln>
          </c:spPr>
          <c:marker>
            <c:symbol val="none"/>
          </c:marker>
          <c:xVal>
            <c:numRef>
              <c:f>'Efficiency vs VIN Calculations'!$H$9:$H$209</c:f>
              <c:numCache>
                <c:formatCode>0.00</c:formatCode>
                <c:ptCount val="201"/>
                <c:pt idx="0">
                  <c:v>6</c:v>
                </c:pt>
                <c:pt idx="1">
                  <c:v>6.15</c:v>
                </c:pt>
                <c:pt idx="2">
                  <c:v>6.3</c:v>
                </c:pt>
                <c:pt idx="3">
                  <c:v>6.45</c:v>
                </c:pt>
                <c:pt idx="4">
                  <c:v>6.6</c:v>
                </c:pt>
                <c:pt idx="5">
                  <c:v>6.75</c:v>
                </c:pt>
                <c:pt idx="6">
                  <c:v>6.9</c:v>
                </c:pt>
                <c:pt idx="7">
                  <c:v>7.05</c:v>
                </c:pt>
                <c:pt idx="8">
                  <c:v>7.2</c:v>
                </c:pt>
                <c:pt idx="9">
                  <c:v>7.35</c:v>
                </c:pt>
                <c:pt idx="10">
                  <c:v>7.5</c:v>
                </c:pt>
                <c:pt idx="11">
                  <c:v>7.65</c:v>
                </c:pt>
                <c:pt idx="12">
                  <c:v>7.8</c:v>
                </c:pt>
                <c:pt idx="13">
                  <c:v>7.95</c:v>
                </c:pt>
                <c:pt idx="14">
                  <c:v>8.1</c:v>
                </c:pt>
                <c:pt idx="15">
                  <c:v>8.25</c:v>
                </c:pt>
                <c:pt idx="16">
                  <c:v>8.4</c:v>
                </c:pt>
                <c:pt idx="17">
                  <c:v>8.5500000000000007</c:v>
                </c:pt>
                <c:pt idx="18">
                  <c:v>8.6999999999999993</c:v>
                </c:pt>
                <c:pt idx="19">
                  <c:v>8.85</c:v>
                </c:pt>
                <c:pt idx="20">
                  <c:v>9</c:v>
                </c:pt>
                <c:pt idx="21">
                  <c:v>9.15</c:v>
                </c:pt>
                <c:pt idx="22">
                  <c:v>9.3000000000000007</c:v>
                </c:pt>
                <c:pt idx="23">
                  <c:v>9.4499999999999993</c:v>
                </c:pt>
                <c:pt idx="24">
                  <c:v>9.6</c:v>
                </c:pt>
                <c:pt idx="25">
                  <c:v>9.75</c:v>
                </c:pt>
                <c:pt idx="26">
                  <c:v>9.9</c:v>
                </c:pt>
                <c:pt idx="27">
                  <c:v>10.050000000000001</c:v>
                </c:pt>
                <c:pt idx="28">
                  <c:v>10.199999999999999</c:v>
                </c:pt>
                <c:pt idx="29">
                  <c:v>10.35</c:v>
                </c:pt>
                <c:pt idx="30">
                  <c:v>10.5</c:v>
                </c:pt>
                <c:pt idx="31">
                  <c:v>10.65</c:v>
                </c:pt>
                <c:pt idx="32">
                  <c:v>10.8</c:v>
                </c:pt>
                <c:pt idx="33">
                  <c:v>10.95</c:v>
                </c:pt>
                <c:pt idx="34">
                  <c:v>11.100000000000001</c:v>
                </c:pt>
                <c:pt idx="35">
                  <c:v>11.25</c:v>
                </c:pt>
                <c:pt idx="36">
                  <c:v>11.399999999999999</c:v>
                </c:pt>
                <c:pt idx="37">
                  <c:v>11.55</c:v>
                </c:pt>
                <c:pt idx="38">
                  <c:v>11.7</c:v>
                </c:pt>
                <c:pt idx="39">
                  <c:v>11.850000000000001</c:v>
                </c:pt>
                <c:pt idx="40">
                  <c:v>12</c:v>
                </c:pt>
                <c:pt idx="41">
                  <c:v>12.149999999999999</c:v>
                </c:pt>
                <c:pt idx="42">
                  <c:v>12.3</c:v>
                </c:pt>
                <c:pt idx="43">
                  <c:v>12.45</c:v>
                </c:pt>
                <c:pt idx="44">
                  <c:v>12.6</c:v>
                </c:pt>
                <c:pt idx="45">
                  <c:v>12.75</c:v>
                </c:pt>
                <c:pt idx="46">
                  <c:v>12.9</c:v>
                </c:pt>
                <c:pt idx="47">
                  <c:v>13.05</c:v>
                </c:pt>
                <c:pt idx="48">
                  <c:v>13.2</c:v>
                </c:pt>
                <c:pt idx="49">
                  <c:v>13.35</c:v>
                </c:pt>
                <c:pt idx="50">
                  <c:v>13.5</c:v>
                </c:pt>
                <c:pt idx="51">
                  <c:v>13.65</c:v>
                </c:pt>
                <c:pt idx="52">
                  <c:v>13.8</c:v>
                </c:pt>
                <c:pt idx="53">
                  <c:v>13.95</c:v>
                </c:pt>
                <c:pt idx="54">
                  <c:v>14.100000000000001</c:v>
                </c:pt>
                <c:pt idx="55">
                  <c:v>14.25</c:v>
                </c:pt>
                <c:pt idx="56">
                  <c:v>14.4</c:v>
                </c:pt>
                <c:pt idx="57">
                  <c:v>14.549999999999999</c:v>
                </c:pt>
                <c:pt idx="58">
                  <c:v>14.7</c:v>
                </c:pt>
                <c:pt idx="59">
                  <c:v>14.85</c:v>
                </c:pt>
                <c:pt idx="60">
                  <c:v>15</c:v>
                </c:pt>
                <c:pt idx="61">
                  <c:v>15.15</c:v>
                </c:pt>
                <c:pt idx="62">
                  <c:v>15.3</c:v>
                </c:pt>
                <c:pt idx="63">
                  <c:v>15.45</c:v>
                </c:pt>
                <c:pt idx="64">
                  <c:v>15.6</c:v>
                </c:pt>
                <c:pt idx="65">
                  <c:v>15.75</c:v>
                </c:pt>
                <c:pt idx="66">
                  <c:v>15.9</c:v>
                </c:pt>
                <c:pt idx="67">
                  <c:v>16.05</c:v>
                </c:pt>
                <c:pt idx="68">
                  <c:v>16.200000000000003</c:v>
                </c:pt>
                <c:pt idx="69">
                  <c:v>16.350000000000001</c:v>
                </c:pt>
                <c:pt idx="70">
                  <c:v>16.5</c:v>
                </c:pt>
                <c:pt idx="71">
                  <c:v>16.649999999999999</c:v>
                </c:pt>
                <c:pt idx="72">
                  <c:v>16.799999999999997</c:v>
                </c:pt>
                <c:pt idx="73">
                  <c:v>16.95</c:v>
                </c:pt>
                <c:pt idx="74">
                  <c:v>17.100000000000001</c:v>
                </c:pt>
                <c:pt idx="75">
                  <c:v>17.25</c:v>
                </c:pt>
                <c:pt idx="76">
                  <c:v>17.399999999999999</c:v>
                </c:pt>
                <c:pt idx="77">
                  <c:v>17.55</c:v>
                </c:pt>
                <c:pt idx="78">
                  <c:v>17.700000000000003</c:v>
                </c:pt>
                <c:pt idx="79">
                  <c:v>17.850000000000001</c:v>
                </c:pt>
                <c:pt idx="80">
                  <c:v>18</c:v>
                </c:pt>
                <c:pt idx="81">
                  <c:v>18.149999999999999</c:v>
                </c:pt>
                <c:pt idx="82">
                  <c:v>18.299999999999997</c:v>
                </c:pt>
                <c:pt idx="83">
                  <c:v>18.45</c:v>
                </c:pt>
                <c:pt idx="84">
                  <c:v>18.600000000000001</c:v>
                </c:pt>
                <c:pt idx="85">
                  <c:v>18.75</c:v>
                </c:pt>
                <c:pt idx="86">
                  <c:v>18.899999999999999</c:v>
                </c:pt>
                <c:pt idx="87">
                  <c:v>19.05</c:v>
                </c:pt>
                <c:pt idx="88">
                  <c:v>19.2</c:v>
                </c:pt>
                <c:pt idx="89">
                  <c:v>19.350000000000001</c:v>
                </c:pt>
                <c:pt idx="90">
                  <c:v>19.5</c:v>
                </c:pt>
                <c:pt idx="91">
                  <c:v>19.649999999999999</c:v>
                </c:pt>
                <c:pt idx="92">
                  <c:v>19.8</c:v>
                </c:pt>
                <c:pt idx="93">
                  <c:v>19.950000000000003</c:v>
                </c:pt>
                <c:pt idx="94">
                  <c:v>20.100000000000001</c:v>
                </c:pt>
                <c:pt idx="95">
                  <c:v>20.25</c:v>
                </c:pt>
                <c:pt idx="96">
                  <c:v>20.399999999999999</c:v>
                </c:pt>
                <c:pt idx="97">
                  <c:v>20.549999999999997</c:v>
                </c:pt>
                <c:pt idx="98">
                  <c:v>20.7</c:v>
                </c:pt>
                <c:pt idx="99">
                  <c:v>20.85</c:v>
                </c:pt>
                <c:pt idx="100">
                  <c:v>21</c:v>
                </c:pt>
                <c:pt idx="101">
                  <c:v>21.15</c:v>
                </c:pt>
                <c:pt idx="102">
                  <c:v>21.3</c:v>
                </c:pt>
                <c:pt idx="103">
                  <c:v>21.450000000000003</c:v>
                </c:pt>
                <c:pt idx="104">
                  <c:v>21.6</c:v>
                </c:pt>
                <c:pt idx="105">
                  <c:v>21.75</c:v>
                </c:pt>
                <c:pt idx="106">
                  <c:v>21.9</c:v>
                </c:pt>
                <c:pt idx="107">
                  <c:v>22.05</c:v>
                </c:pt>
                <c:pt idx="108">
                  <c:v>22.200000000000003</c:v>
                </c:pt>
                <c:pt idx="109">
                  <c:v>22.35</c:v>
                </c:pt>
                <c:pt idx="110">
                  <c:v>22.5</c:v>
                </c:pt>
                <c:pt idx="111">
                  <c:v>22.650000000000002</c:v>
                </c:pt>
                <c:pt idx="112">
                  <c:v>22.8</c:v>
                </c:pt>
                <c:pt idx="113">
                  <c:v>22.95</c:v>
                </c:pt>
                <c:pt idx="114">
                  <c:v>23.099999999999998</c:v>
                </c:pt>
                <c:pt idx="115">
                  <c:v>23.25</c:v>
                </c:pt>
                <c:pt idx="116">
                  <c:v>23.4</c:v>
                </c:pt>
                <c:pt idx="117">
                  <c:v>23.549999999999997</c:v>
                </c:pt>
                <c:pt idx="118">
                  <c:v>23.7</c:v>
                </c:pt>
                <c:pt idx="119">
                  <c:v>23.849999999999998</c:v>
                </c:pt>
                <c:pt idx="120">
                  <c:v>24</c:v>
                </c:pt>
                <c:pt idx="121">
                  <c:v>24.15</c:v>
                </c:pt>
                <c:pt idx="122">
                  <c:v>24.3</c:v>
                </c:pt>
                <c:pt idx="123">
                  <c:v>24.45</c:v>
                </c:pt>
                <c:pt idx="124">
                  <c:v>24.6</c:v>
                </c:pt>
                <c:pt idx="125">
                  <c:v>24.75</c:v>
                </c:pt>
                <c:pt idx="126">
                  <c:v>24.9</c:v>
                </c:pt>
                <c:pt idx="127">
                  <c:v>25.05</c:v>
                </c:pt>
                <c:pt idx="128">
                  <c:v>25.2</c:v>
                </c:pt>
                <c:pt idx="129">
                  <c:v>25.35</c:v>
                </c:pt>
                <c:pt idx="130">
                  <c:v>25.5</c:v>
                </c:pt>
                <c:pt idx="131">
                  <c:v>25.650000000000002</c:v>
                </c:pt>
                <c:pt idx="132">
                  <c:v>25.8</c:v>
                </c:pt>
                <c:pt idx="133">
                  <c:v>25.950000000000003</c:v>
                </c:pt>
                <c:pt idx="134">
                  <c:v>26.1</c:v>
                </c:pt>
                <c:pt idx="135">
                  <c:v>26.25</c:v>
                </c:pt>
                <c:pt idx="136">
                  <c:v>26.400000000000002</c:v>
                </c:pt>
                <c:pt idx="137">
                  <c:v>26.55</c:v>
                </c:pt>
                <c:pt idx="138">
                  <c:v>26.7</c:v>
                </c:pt>
                <c:pt idx="139">
                  <c:v>26.849999999999998</c:v>
                </c:pt>
                <c:pt idx="140">
                  <c:v>27</c:v>
                </c:pt>
                <c:pt idx="141">
                  <c:v>27.15</c:v>
                </c:pt>
                <c:pt idx="142">
                  <c:v>27.299999999999997</c:v>
                </c:pt>
                <c:pt idx="143">
                  <c:v>27.45</c:v>
                </c:pt>
                <c:pt idx="144">
                  <c:v>27.599999999999998</c:v>
                </c:pt>
                <c:pt idx="145">
                  <c:v>27.75</c:v>
                </c:pt>
                <c:pt idx="146">
                  <c:v>27.9</c:v>
                </c:pt>
                <c:pt idx="147">
                  <c:v>28.05</c:v>
                </c:pt>
                <c:pt idx="148">
                  <c:v>28.2</c:v>
                </c:pt>
                <c:pt idx="149">
                  <c:v>28.35</c:v>
                </c:pt>
                <c:pt idx="150">
                  <c:v>28.5</c:v>
                </c:pt>
                <c:pt idx="151">
                  <c:v>28.65</c:v>
                </c:pt>
                <c:pt idx="152">
                  <c:v>28.8</c:v>
                </c:pt>
                <c:pt idx="153">
                  <c:v>28.95</c:v>
                </c:pt>
                <c:pt idx="154">
                  <c:v>29.1</c:v>
                </c:pt>
                <c:pt idx="155">
                  <c:v>29.25</c:v>
                </c:pt>
                <c:pt idx="156">
                  <c:v>29.400000000000002</c:v>
                </c:pt>
                <c:pt idx="157">
                  <c:v>29.55</c:v>
                </c:pt>
                <c:pt idx="158">
                  <c:v>29.700000000000003</c:v>
                </c:pt>
                <c:pt idx="159">
                  <c:v>29.85</c:v>
                </c:pt>
                <c:pt idx="160">
                  <c:v>30</c:v>
                </c:pt>
                <c:pt idx="161">
                  <c:v>30.150000000000002</c:v>
                </c:pt>
                <c:pt idx="162">
                  <c:v>30.3</c:v>
                </c:pt>
                <c:pt idx="163">
                  <c:v>30.45</c:v>
                </c:pt>
                <c:pt idx="164">
                  <c:v>30.599999999999998</c:v>
                </c:pt>
                <c:pt idx="165">
                  <c:v>30.75</c:v>
                </c:pt>
                <c:pt idx="166">
                  <c:v>30.9</c:v>
                </c:pt>
                <c:pt idx="167">
                  <c:v>31.049999999999997</c:v>
                </c:pt>
                <c:pt idx="168">
                  <c:v>31.2</c:v>
                </c:pt>
                <c:pt idx="169">
                  <c:v>31.349999999999998</c:v>
                </c:pt>
                <c:pt idx="170">
                  <c:v>31.5</c:v>
                </c:pt>
                <c:pt idx="171">
                  <c:v>31.65</c:v>
                </c:pt>
                <c:pt idx="172">
                  <c:v>31.8</c:v>
                </c:pt>
                <c:pt idx="173">
                  <c:v>31.95</c:v>
                </c:pt>
                <c:pt idx="174">
                  <c:v>32.1</c:v>
                </c:pt>
                <c:pt idx="175">
                  <c:v>32.25</c:v>
                </c:pt>
                <c:pt idx="176">
                  <c:v>32.4</c:v>
                </c:pt>
                <c:pt idx="177">
                  <c:v>32.549999999999997</c:v>
                </c:pt>
                <c:pt idx="178">
                  <c:v>32.700000000000003</c:v>
                </c:pt>
                <c:pt idx="179">
                  <c:v>32.85</c:v>
                </c:pt>
                <c:pt idx="180">
                  <c:v>33</c:v>
                </c:pt>
                <c:pt idx="181">
                  <c:v>33.150000000000006</c:v>
                </c:pt>
                <c:pt idx="182">
                  <c:v>33.299999999999997</c:v>
                </c:pt>
                <c:pt idx="183">
                  <c:v>33.450000000000003</c:v>
                </c:pt>
                <c:pt idx="184">
                  <c:v>33.6</c:v>
                </c:pt>
                <c:pt idx="185">
                  <c:v>33.75</c:v>
                </c:pt>
                <c:pt idx="186">
                  <c:v>33.900000000000006</c:v>
                </c:pt>
                <c:pt idx="187">
                  <c:v>34.049999999999997</c:v>
                </c:pt>
                <c:pt idx="188">
                  <c:v>34.200000000000003</c:v>
                </c:pt>
                <c:pt idx="189">
                  <c:v>34.349999999999994</c:v>
                </c:pt>
                <c:pt idx="190">
                  <c:v>34.5</c:v>
                </c:pt>
                <c:pt idx="191">
                  <c:v>34.65</c:v>
                </c:pt>
                <c:pt idx="192">
                  <c:v>34.799999999999997</c:v>
                </c:pt>
                <c:pt idx="193">
                  <c:v>34.950000000000003</c:v>
                </c:pt>
                <c:pt idx="194">
                  <c:v>35.099999999999994</c:v>
                </c:pt>
                <c:pt idx="195">
                  <c:v>35.25</c:v>
                </c:pt>
                <c:pt idx="196">
                  <c:v>35.4</c:v>
                </c:pt>
                <c:pt idx="197">
                  <c:v>35.549999999999997</c:v>
                </c:pt>
                <c:pt idx="198">
                  <c:v>35.700000000000003</c:v>
                </c:pt>
                <c:pt idx="199">
                  <c:v>35.85</c:v>
                </c:pt>
                <c:pt idx="200">
                  <c:v>36</c:v>
                </c:pt>
              </c:numCache>
            </c:numRef>
          </c:xVal>
          <c:yVal>
            <c:numRef>
              <c:f>'Efficiency vs VIN Calculations'!$Z$9:$Z$209</c:f>
              <c:numCache>
                <c:formatCode>0.000</c:formatCode>
                <c:ptCount val="201"/>
                <c:pt idx="0">
                  <c:v>2.88983500570881</c:v>
                </c:pt>
                <c:pt idx="1">
                  <c:v>2.8105582541239764</c:v>
                </c:pt>
                <c:pt idx="2">
                  <c:v>2.7382345780605668</c:v>
                </c:pt>
                <c:pt idx="3">
                  <c:v>2.6718610152061699</c:v>
                </c:pt>
                <c:pt idx="4">
                  <c:v>2.6105704873926081</c:v>
                </c:pt>
                <c:pt idx="5">
                  <c:v>2.5536101627485621</c:v>
                </c:pt>
                <c:pt idx="6">
                  <c:v>2.5003239570439644</c:v>
                </c:pt>
                <c:pt idx="7">
                  <c:v>2.4501382818093127</c:v>
                </c:pt>
                <c:pt idx="8">
                  <c:v>2.4025503595425741</c:v>
                </c:pt>
                <c:pt idx="9">
                  <c:v>2.3571185836950432</c:v>
                </c:pt>
                <c:pt idx="10">
                  <c:v>2.3134545186996647</c:v>
                </c:pt>
                <c:pt idx="11">
                  <c:v>2.2712162239464559</c:v>
                </c:pt>
                <c:pt idx="12">
                  <c:v>2.2301026530137822</c:v>
                </c:pt>
                <c:pt idx="13">
                  <c:v>2.1898489311341311</c:v>
                </c:pt>
                <c:pt idx="14">
                  <c:v>2.1502223537826914</c:v>
                </c:pt>
                <c:pt idx="15">
                  <c:v>2.1110189803243626</c:v>
                </c:pt>
                <c:pt idx="16">
                  <c:v>2.0720607209709123</c:v>
                </c:pt>
                <c:pt idx="17">
                  <c:v>2.0331928344660479</c:v>
                </c:pt>
                <c:pt idx="18">
                  <c:v>1.9942817691140737</c:v>
                </c:pt>
                <c:pt idx="19">
                  <c:v>1.9552132918879965</c:v>
                </c:pt>
                <c:pt idx="20">
                  <c:v>1.9158908600707993</c:v>
                </c:pt>
                <c:pt idx="21">
                  <c:v>1.8762341977150983</c:v>
                </c:pt>
                <c:pt idx="22">
                  <c:v>1.8361780455479462</c:v>
                </c:pt>
                <c:pt idx="23">
                  <c:v>1.7956710581059498</c:v>
                </c:pt>
                <c:pt idx="24">
                  <c:v>1.7546748260995408</c:v>
                </c:pt>
                <c:pt idx="25">
                  <c:v>1.7131630054606264</c:v>
                </c:pt>
                <c:pt idx="26">
                  <c:v>1.6711205373718152</c:v>
                </c:pt>
                <c:pt idx="27">
                  <c:v>1.6285429459234806</c:v>
                </c:pt>
                <c:pt idx="28">
                  <c:v>1.5854357019890351</c:v>
                </c:pt>
                <c:pt idx="29">
                  <c:v>1.5418136435223166</c:v>
                </c:pt>
                <c:pt idx="30">
                  <c:v>1.4977004438220296</c:v>
                </c:pt>
                <c:pt idx="31">
                  <c:v>1.4531281204238695</c:v>
                </c:pt>
                <c:pt idx="32">
                  <c:v>1.4081365782089699</c:v>
                </c:pt>
                <c:pt idx="33">
                  <c:v>1.3627731810874582</c:v>
                </c:pt>
                <c:pt idx="34">
                  <c:v>1.3170923472530429</c:v>
                </c:pt>
                <c:pt idx="35">
                  <c:v>1.2711551635273703</c:v>
                </c:pt>
                <c:pt idx="36">
                  <c:v>1.2250290147372036</c:v>
                </c:pt>
                <c:pt idx="37">
                  <c:v>1.1787872244048114</c:v>
                </c:pt>
                <c:pt idx="38">
                  <c:v>1.1325087032913839</c:v>
                </c:pt>
                <c:pt idx="39">
                  <c:v>1.0862776025209127</c:v>
                </c:pt>
                <c:pt idx="40">
                  <c:v>1.0401829681316459</c:v>
                </c:pt>
                <c:pt idx="41">
                  <c:v>0.99431839395512012</c:v>
                </c:pt>
                <c:pt idx="42">
                  <c:v>0.9487816697075746</c:v>
                </c:pt>
                <c:pt idx="43">
                  <c:v>0.90367442109108742</c:v>
                </c:pt>
                <c:pt idx="44">
                  <c:v>0.85910173853429361</c:v>
                </c:pt>
                <c:pt idx="45">
                  <c:v>0.81517179094338554</c:v>
                </c:pt>
                <c:pt idx="46">
                  <c:v>0.77199542046555192</c:v>
                </c:pt>
                <c:pt idx="47">
                  <c:v>0.72968571376482216</c:v>
                </c:pt>
                <c:pt idx="48">
                  <c:v>0.68835754463917265</c:v>
                </c:pt>
                <c:pt idx="49">
                  <c:v>0.64812708191909518</c:v>
                </c:pt>
                <c:pt idx="50">
                  <c:v>0.60911125541168443</c:v>
                </c:pt>
                <c:pt idx="51">
                  <c:v>0.57142717109103625</c:v>
                </c:pt>
                <c:pt idx="52">
                  <c:v>0.53519146463977152</c:v>
                </c:pt>
                <c:pt idx="53">
                  <c:v>0.50051957960202742</c:v>
                </c:pt>
                <c:pt idx="54">
                  <c:v>0.46752495248821313</c:v>
                </c:pt>
                <c:pt idx="55">
                  <c:v>1.2884738174849553</c:v>
                </c:pt>
                <c:pt idx="56">
                  <c:v>1.2711291932891571</c:v>
                </c:pt>
                <c:pt idx="57">
                  <c:v>1.2536450182730023</c:v>
                </c:pt>
                <c:pt idx="58">
                  <c:v>1.236031913705427</c:v>
                </c:pt>
                <c:pt idx="59">
                  <c:v>1.2183006245665791</c:v>
                </c:pt>
                <c:pt idx="60">
                  <c:v>1.2004620001848609</c:v>
                </c:pt>
                <c:pt idx="61">
                  <c:v>1.1825269760587309</c:v>
                </c:pt>
                <c:pt idx="62">
                  <c:v>1.1645065567790376</c:v>
                </c:pt>
                <c:pt idx="63">
                  <c:v>1.1464117999741865</c:v>
                </c:pt>
                <c:pt idx="64">
                  <c:v>1.1282538012064152</c:v>
                </c:pt>
                <c:pt idx="65">
                  <c:v>1.1100436797528372</c:v>
                </c:pt>
                <c:pt idx="66">
                  <c:v>1.0917925652098384</c:v>
                </c:pt>
                <c:pt idx="67">
                  <c:v>1.0883428004190978</c:v>
                </c:pt>
                <c:pt idx="68">
                  <c:v>1.1148890503793767</c:v>
                </c:pt>
                <c:pt idx="69">
                  <c:v>1.1419362559659283</c:v>
                </c:pt>
                <c:pt idx="70">
                  <c:v>1.1694702009491811</c:v>
                </c:pt>
                <c:pt idx="71">
                  <c:v>1.1974769837365873</c:v>
                </c:pt>
                <c:pt idx="72">
                  <c:v>1.2259430121252841</c:v>
                </c:pt>
                <c:pt idx="73">
                  <c:v>1.254854997965724</c:v>
                </c:pt>
                <c:pt idx="74">
                  <c:v>1.2841999517605061</c:v>
                </c:pt>
                <c:pt idx="75">
                  <c:v>1.3139651772196239</c:v>
                </c:pt>
                <c:pt idx="76">
                  <c:v>1.3441382657906087</c:v>
                </c:pt>
                <c:pt idx="77">
                  <c:v>1.374707091179767</c:v>
                </c:pt>
                <c:pt idx="78">
                  <c:v>1.405659803878565</c:v>
                </c:pt>
                <c:pt idx="79">
                  <c:v>1.4369848257074778</c:v>
                </c:pt>
                <c:pt idx="80">
                  <c:v>1.4686708443879655</c:v>
                </c:pt>
                <c:pt idx="81">
                  <c:v>1.5007068081518244</c:v>
                </c:pt>
                <c:pt idx="82">
                  <c:v>1.5330819203959802</c:v>
                </c:pt>
                <c:pt idx="83">
                  <c:v>1.5657856343896206</c:v>
                </c:pt>
                <c:pt idx="84">
                  <c:v>1.5988076480395859</c:v>
                </c:pt>
                <c:pt idx="85">
                  <c:v>1.6321378987191772</c:v>
                </c:pt>
                <c:pt idx="86">
                  <c:v>1.6657665581646186</c:v>
                </c:pt>
                <c:pt idx="87">
                  <c:v>1.6996840274428657</c:v>
                </c:pt>
                <c:pt idx="88">
                  <c:v>1.7338809319937982</c:v>
                </c:pt>
                <c:pt idx="89">
                  <c:v>1.7683481167492801</c:v>
                </c:pt>
                <c:pt idx="90">
                  <c:v>1.8030766413311412</c:v>
                </c:pt>
                <c:pt idx="91">
                  <c:v>1.8380577753297016</c:v>
                </c:pt>
                <c:pt idx="92">
                  <c:v>1.8732829936640707</c:v>
                </c:pt>
                <c:pt idx="93">
                  <c:v>1.9087439720251025</c:v>
                </c:pt>
                <c:pt idx="94">
                  <c:v>1.9444325824017197</c:v>
                </c:pt>
                <c:pt idx="95">
                  <c:v>1.9803408886908589</c:v>
                </c:pt>
                <c:pt idx="96">
                  <c:v>2.0164611423912508</c:v>
                </c:pt>
                <c:pt idx="97">
                  <c:v>2.0527857783809291</c:v>
                </c:pt>
                <c:pt idx="98">
                  <c:v>2.0893074107782197</c:v>
                </c:pt>
                <c:pt idx="99">
                  <c:v>2.1260188288858455</c:v>
                </c:pt>
                <c:pt idx="100">
                  <c:v>2.1629129932175375</c:v>
                </c:pt>
                <c:pt idx="101">
                  <c:v>2.1999830316065707</c:v>
                </c:pt>
                <c:pt idx="102">
                  <c:v>2.2372222353953948</c:v>
                </c:pt>
                <c:pt idx="103">
                  <c:v>2.2746240557055151</c:v>
                </c:pt>
                <c:pt idx="104">
                  <c:v>2.3121820997867188</c:v>
                </c:pt>
                <c:pt idx="105">
                  <c:v>2.3498901274446169</c:v>
                </c:pt>
                <c:pt idx="106">
                  <c:v>2.3877420475453994</c:v>
                </c:pt>
                <c:pt idx="107">
                  <c:v>2.4257319145967884</c:v>
                </c:pt>
                <c:pt idx="108">
                  <c:v>2.4638539254039293</c:v>
                </c:pt>
                <c:pt idx="109">
                  <c:v>2.5021024157990959</c:v>
                </c:pt>
                <c:pt idx="110">
                  <c:v>2.5404718574439955</c:v>
                </c:pt>
                <c:pt idx="111">
                  <c:v>2.5789568547033799</c:v>
                </c:pt>
                <c:pt idx="112">
                  <c:v>2.617552141588769</c:v>
                </c:pt>
                <c:pt idx="113">
                  <c:v>2.6562525787709914</c:v>
                </c:pt>
                <c:pt idx="114">
                  <c:v>2.0816618701282796</c:v>
                </c:pt>
                <c:pt idx="115">
                  <c:v>2.144967622147163</c:v>
                </c:pt>
                <c:pt idx="116">
                  <c:v>2.2086319653644924</c:v>
                </c:pt>
                <c:pt idx="117">
                  <c:v>2.2726307088565356</c:v>
                </c:pt>
                <c:pt idx="118">
                  <c:v>2.3369405435930006</c:v>
                </c:pt>
                <c:pt idx="119">
                  <c:v>2.4015390138192525</c:v>
                </c:pt>
                <c:pt idx="120">
                  <c:v>2.4664044891102628</c:v>
                </c:pt>
                <c:pt idx="121">
                  <c:v>2.5315161371154824</c:v>
                </c:pt>
                <c:pt idx="122">
                  <c:v>2.5968538970078003</c:v>
                </c:pt>
                <c:pt idx="123">
                  <c:v>2.662398453644669</c:v>
                </c:pt>
                <c:pt idx="124">
                  <c:v>2.7281312124450934</c:v>
                </c:pt>
                <c:pt idx="125">
                  <c:v>2.7940342749824798</c:v>
                </c:pt>
                <c:pt idx="126">
                  <c:v>2.8600904152902609</c:v>
                </c:pt>
                <c:pt idx="127">
                  <c:v>2.9262830568744724</c:v>
                </c:pt>
                <c:pt idx="128">
                  <c:v>2.9925962504254073</c:v>
                </c:pt>
                <c:pt idx="129">
                  <c:v>3.0590146522184898</c:v>
                </c:pt>
                <c:pt idx="130">
                  <c:v>3.1255235031931412</c:v>
                </c:pt>
                <c:pt idx="131">
                  <c:v>3.1921086086970227</c:v>
                </c:pt>
                <c:pt idx="132">
                  <c:v>3.2587563188821922</c:v>
                </c:pt>
                <c:pt idx="133">
                  <c:v>3.3254535097388773</c:v>
                </c:pt>
                <c:pt idx="134">
                  <c:v>3.3921875647518949</c:v>
                </c:pt>
                <c:pt idx="135">
                  <c:v>3.4589463571644283</c:v>
                </c:pt>
                <c:pt idx="136">
                  <c:v>3.5257182328334511</c:v>
                </c:pt>
                <c:pt idx="137">
                  <c:v>3.5924919936609609</c:v>
                </c:pt>
                <c:pt idx="138">
                  <c:v>3.6592568815849904</c:v>
                </c:pt>
                <c:pt idx="139">
                  <c:v>3.7260025631145108</c:v>
                </c:pt>
                <c:pt idx="140">
                  <c:v>3.7927191143921517</c:v>
                </c:pt>
                <c:pt idx="141">
                  <c:v>3.8593970067690666</c:v>
                </c:pt>
                <c:pt idx="142">
                  <c:v>3.9260270928761813</c:v>
                </c:pt>
                <c:pt idx="143">
                  <c:v>3.9926005931764075</c:v>
                </c:pt>
                <c:pt idx="144">
                  <c:v>4.0591090829826513</c:v>
                </c:pt>
                <c:pt idx="145">
                  <c:v>4.125544479926651</c:v>
                </c:pt>
                <c:pt idx="146">
                  <c:v>4.1918990318639908</c:v>
                </c:pt>
                <c:pt idx="147">
                  <c:v>4.2581653052010342</c:v>
                </c:pt>
                <c:pt idx="148">
                  <c:v>4.3243361736297503</c:v>
                </c:pt>
                <c:pt idx="149">
                  <c:v>4.3904048072567523</c:v>
                </c:pt>
                <c:pt idx="150">
                  <c:v>4.4563646621133106</c:v>
                </c:pt>
                <c:pt idx="151">
                  <c:v>4.5222094700333999</c:v>
                </c:pt>
                <c:pt idx="152">
                  <c:v>4.5879332288871</c:v>
                </c:pt>
                <c:pt idx="153">
                  <c:v>4.6535301931572661</c:v>
                </c:pt>
                <c:pt idx="154">
                  <c:v>4.718994864847434</c:v>
                </c:pt>
                <c:pt idx="155">
                  <c:v>4.7843219847096501</c:v>
                </c:pt>
                <c:pt idx="156">
                  <c:v>4.8495065237808817</c:v>
                </c:pt>
                <c:pt idx="157">
                  <c:v>4.9145436752172778</c:v>
                </c:pt>
                <c:pt idx="158">
                  <c:v>4.979428846415864</c:v>
                </c:pt>
                <c:pt idx="159">
                  <c:v>5.0441576514134328</c:v>
                </c:pt>
                <c:pt idx="160">
                  <c:v>5.1087259035529087</c:v>
                </c:pt>
                <c:pt idx="161">
                  <c:v>5.1731296084077574</c:v>
                </c:pt>
                <c:pt idx="162">
                  <c:v>5.2373649569551297</c:v>
                </c:pt>
                <c:pt idx="163">
                  <c:v>5.3014283189890561</c:v>
                </c:pt>
                <c:pt idx="164">
                  <c:v>5.3653162367650875</c:v>
                </c:pt>
                <c:pt idx="165">
                  <c:v>5.4290254188681288</c:v>
                </c:pt>
                <c:pt idx="166">
                  <c:v>5.4925527342954616</c:v>
                </c:pt>
                <c:pt idx="167">
                  <c:v>5.5558952067473584</c:v>
                </c:pt>
                <c:pt idx="168">
                  <c:v>5.619050009117867</c:v>
                </c:pt>
                <c:pt idx="169">
                  <c:v>5.6820144581784495</c:v>
                </c:pt>
                <c:pt idx="170">
                  <c:v>5.7447860094478331</c:v>
                </c:pt>
                <c:pt idx="171">
                  <c:v>5.8073622522412132</c:v>
                </c:pt>
                <c:pt idx="172">
                  <c:v>5.8697409048924554</c:v>
                </c:pt>
                <c:pt idx="173">
                  <c:v>5.931919810143139</c:v>
                </c:pt>
                <c:pt idx="174">
                  <c:v>5.9938969306924834</c:v>
                </c:pt>
                <c:pt idx="175">
                  <c:v>6.0556703449022447</c:v>
                </c:pt>
                <c:pt idx="176">
                  <c:v>6.1172382426513821</c:v>
                </c:pt>
                <c:pt idx="177">
                  <c:v>6.1785989213347241</c:v>
                </c:pt>
                <c:pt idx="178">
                  <c:v>6.2397507820008968</c:v>
                </c:pt>
                <c:pt idx="179">
                  <c:v>6.3006923256241905</c:v>
                </c:pt>
                <c:pt idx="180">
                  <c:v>6.3614221495058745</c:v>
                </c:pt>
                <c:pt idx="181">
                  <c:v>6.4219389438002024</c:v>
                </c:pt>
                <c:pt idx="182">
                  <c:v>6.4822414881606774</c:v>
                </c:pt>
                <c:pt idx="183">
                  <c:v>6.5423286485023588</c:v>
                </c:pt>
                <c:pt idx="184">
                  <c:v>6.6021993738760081</c:v>
                </c:pt>
                <c:pt idx="185">
                  <c:v>6.6618526934502125</c:v>
                </c:pt>
                <c:pt idx="186">
                  <c:v>6.7212877135975635</c:v>
                </c:pt>
                <c:pt idx="187">
                  <c:v>6.7805036150812406</c:v>
                </c:pt>
                <c:pt idx="188">
                  <c:v>6.8394996503384649</c:v>
                </c:pt>
                <c:pt idx="189">
                  <c:v>6.8982751408573693</c:v>
                </c:pt>
                <c:pt idx="190">
                  <c:v>6.9568294746440582</c:v>
                </c:pt>
                <c:pt idx="191">
                  <c:v>7.0151621037765466</c:v>
                </c:pt>
                <c:pt idx="192">
                  <c:v>7.0732725420426412</c:v>
                </c:pt>
                <c:pt idx="193">
                  <c:v>7.131160362658874</c:v>
                </c:pt>
                <c:pt idx="194">
                  <c:v>7.1888251960672944</c:v>
                </c:pt>
                <c:pt idx="195">
                  <c:v>7.2462667278079573</c:v>
                </c:pt>
                <c:pt idx="196">
                  <c:v>7.3034846964639044</c:v>
                </c:pt>
                <c:pt idx="197">
                  <c:v>7.3604788916764328</c:v>
                </c:pt>
                <c:pt idx="198">
                  <c:v>7.4172491522281394</c:v>
                </c:pt>
                <c:pt idx="199">
                  <c:v>7.4737953641912682</c:v>
                </c:pt>
                <c:pt idx="200">
                  <c:v>7.530117459139265</c:v>
                </c:pt>
              </c:numCache>
            </c:numRef>
          </c:yVal>
          <c:smooth val="0"/>
          <c:extLst>
            <c:ext xmlns:c16="http://schemas.microsoft.com/office/drawing/2014/chart" uri="{C3380CC4-5D6E-409C-BE32-E72D297353CC}">
              <c16:uniqueId val="{00000002-9986-44B7-8173-9CEF6BCB9CA4}"/>
            </c:ext>
          </c:extLst>
        </c:ser>
        <c:dLbls>
          <c:showLegendKey val="0"/>
          <c:showVal val="0"/>
          <c:showCatName val="0"/>
          <c:showSerName val="0"/>
          <c:showPercent val="0"/>
          <c:showBubbleSize val="0"/>
        </c:dLbls>
        <c:axId val="195434752"/>
        <c:axId val="195453312"/>
      </c:scatterChart>
      <c:valAx>
        <c:axId val="195434752"/>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5453312"/>
        <c:crosses val="autoZero"/>
        <c:crossBetween val="midCat"/>
      </c:valAx>
      <c:valAx>
        <c:axId val="195453312"/>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5434752"/>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77115673503774995"/>
          <c:y val="1.0080645161290322E-2"/>
          <c:w val="0.20336554227017919"/>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'Efficiency vs VIN Calculations'!$H$9:$H$209</c:f>
              <c:numCache>
                <c:formatCode>0.00</c:formatCode>
                <c:ptCount val="201"/>
                <c:pt idx="0">
                  <c:v>6</c:v>
                </c:pt>
                <c:pt idx="1">
                  <c:v>6.15</c:v>
                </c:pt>
                <c:pt idx="2">
                  <c:v>6.3</c:v>
                </c:pt>
                <c:pt idx="3">
                  <c:v>6.45</c:v>
                </c:pt>
                <c:pt idx="4">
                  <c:v>6.6</c:v>
                </c:pt>
                <c:pt idx="5">
                  <c:v>6.75</c:v>
                </c:pt>
                <c:pt idx="6">
                  <c:v>6.9</c:v>
                </c:pt>
                <c:pt idx="7">
                  <c:v>7.05</c:v>
                </c:pt>
                <c:pt idx="8">
                  <c:v>7.2</c:v>
                </c:pt>
                <c:pt idx="9">
                  <c:v>7.35</c:v>
                </c:pt>
                <c:pt idx="10">
                  <c:v>7.5</c:v>
                </c:pt>
                <c:pt idx="11">
                  <c:v>7.65</c:v>
                </c:pt>
                <c:pt idx="12">
                  <c:v>7.8</c:v>
                </c:pt>
                <c:pt idx="13">
                  <c:v>7.95</c:v>
                </c:pt>
                <c:pt idx="14">
                  <c:v>8.1</c:v>
                </c:pt>
                <c:pt idx="15">
                  <c:v>8.25</c:v>
                </c:pt>
                <c:pt idx="16">
                  <c:v>8.4</c:v>
                </c:pt>
                <c:pt idx="17">
                  <c:v>8.5500000000000007</c:v>
                </c:pt>
                <c:pt idx="18">
                  <c:v>8.6999999999999993</c:v>
                </c:pt>
                <c:pt idx="19">
                  <c:v>8.85</c:v>
                </c:pt>
                <c:pt idx="20">
                  <c:v>9</c:v>
                </c:pt>
                <c:pt idx="21">
                  <c:v>9.15</c:v>
                </c:pt>
                <c:pt idx="22">
                  <c:v>9.3000000000000007</c:v>
                </c:pt>
                <c:pt idx="23">
                  <c:v>9.4499999999999993</c:v>
                </c:pt>
                <c:pt idx="24">
                  <c:v>9.6</c:v>
                </c:pt>
                <c:pt idx="25">
                  <c:v>9.75</c:v>
                </c:pt>
                <c:pt idx="26">
                  <c:v>9.9</c:v>
                </c:pt>
                <c:pt idx="27">
                  <c:v>10.050000000000001</c:v>
                </c:pt>
                <c:pt idx="28">
                  <c:v>10.199999999999999</c:v>
                </c:pt>
                <c:pt idx="29">
                  <c:v>10.35</c:v>
                </c:pt>
                <c:pt idx="30">
                  <c:v>10.5</c:v>
                </c:pt>
                <c:pt idx="31">
                  <c:v>10.65</c:v>
                </c:pt>
                <c:pt idx="32">
                  <c:v>10.8</c:v>
                </c:pt>
                <c:pt idx="33">
                  <c:v>10.95</c:v>
                </c:pt>
                <c:pt idx="34">
                  <c:v>11.100000000000001</c:v>
                </c:pt>
                <c:pt idx="35">
                  <c:v>11.25</c:v>
                </c:pt>
                <c:pt idx="36">
                  <c:v>11.399999999999999</c:v>
                </c:pt>
                <c:pt idx="37">
                  <c:v>11.55</c:v>
                </c:pt>
                <c:pt idx="38">
                  <c:v>11.7</c:v>
                </c:pt>
                <c:pt idx="39">
                  <c:v>11.850000000000001</c:v>
                </c:pt>
                <c:pt idx="40">
                  <c:v>12</c:v>
                </c:pt>
                <c:pt idx="41">
                  <c:v>12.149999999999999</c:v>
                </c:pt>
                <c:pt idx="42">
                  <c:v>12.3</c:v>
                </c:pt>
                <c:pt idx="43">
                  <c:v>12.45</c:v>
                </c:pt>
                <c:pt idx="44">
                  <c:v>12.6</c:v>
                </c:pt>
                <c:pt idx="45">
                  <c:v>12.75</c:v>
                </c:pt>
                <c:pt idx="46">
                  <c:v>12.9</c:v>
                </c:pt>
                <c:pt idx="47">
                  <c:v>13.05</c:v>
                </c:pt>
                <c:pt idx="48">
                  <c:v>13.2</c:v>
                </c:pt>
                <c:pt idx="49">
                  <c:v>13.35</c:v>
                </c:pt>
                <c:pt idx="50">
                  <c:v>13.5</c:v>
                </c:pt>
                <c:pt idx="51">
                  <c:v>13.65</c:v>
                </c:pt>
                <c:pt idx="52">
                  <c:v>13.8</c:v>
                </c:pt>
                <c:pt idx="53">
                  <c:v>13.95</c:v>
                </c:pt>
                <c:pt idx="54">
                  <c:v>14.100000000000001</c:v>
                </c:pt>
                <c:pt idx="55">
                  <c:v>14.25</c:v>
                </c:pt>
                <c:pt idx="56">
                  <c:v>14.4</c:v>
                </c:pt>
                <c:pt idx="57">
                  <c:v>14.549999999999999</c:v>
                </c:pt>
                <c:pt idx="58">
                  <c:v>14.7</c:v>
                </c:pt>
                <c:pt idx="59">
                  <c:v>14.85</c:v>
                </c:pt>
                <c:pt idx="60">
                  <c:v>15</c:v>
                </c:pt>
                <c:pt idx="61">
                  <c:v>15.15</c:v>
                </c:pt>
                <c:pt idx="62">
                  <c:v>15.3</c:v>
                </c:pt>
                <c:pt idx="63">
                  <c:v>15.45</c:v>
                </c:pt>
                <c:pt idx="64">
                  <c:v>15.6</c:v>
                </c:pt>
                <c:pt idx="65">
                  <c:v>15.75</c:v>
                </c:pt>
                <c:pt idx="66">
                  <c:v>15.9</c:v>
                </c:pt>
                <c:pt idx="67">
                  <c:v>16.05</c:v>
                </c:pt>
                <c:pt idx="68">
                  <c:v>16.200000000000003</c:v>
                </c:pt>
                <c:pt idx="69">
                  <c:v>16.350000000000001</c:v>
                </c:pt>
                <c:pt idx="70">
                  <c:v>16.5</c:v>
                </c:pt>
                <c:pt idx="71">
                  <c:v>16.649999999999999</c:v>
                </c:pt>
                <c:pt idx="72">
                  <c:v>16.799999999999997</c:v>
                </c:pt>
                <c:pt idx="73">
                  <c:v>16.95</c:v>
                </c:pt>
                <c:pt idx="74">
                  <c:v>17.100000000000001</c:v>
                </c:pt>
                <c:pt idx="75">
                  <c:v>17.25</c:v>
                </c:pt>
                <c:pt idx="76">
                  <c:v>17.399999999999999</c:v>
                </c:pt>
                <c:pt idx="77">
                  <c:v>17.55</c:v>
                </c:pt>
                <c:pt idx="78">
                  <c:v>17.700000000000003</c:v>
                </c:pt>
                <c:pt idx="79">
                  <c:v>17.850000000000001</c:v>
                </c:pt>
                <c:pt idx="80">
                  <c:v>18</c:v>
                </c:pt>
                <c:pt idx="81">
                  <c:v>18.149999999999999</c:v>
                </c:pt>
                <c:pt idx="82">
                  <c:v>18.299999999999997</c:v>
                </c:pt>
                <c:pt idx="83">
                  <c:v>18.45</c:v>
                </c:pt>
                <c:pt idx="84">
                  <c:v>18.600000000000001</c:v>
                </c:pt>
                <c:pt idx="85">
                  <c:v>18.75</c:v>
                </c:pt>
                <c:pt idx="86">
                  <c:v>18.899999999999999</c:v>
                </c:pt>
                <c:pt idx="87">
                  <c:v>19.05</c:v>
                </c:pt>
                <c:pt idx="88">
                  <c:v>19.2</c:v>
                </c:pt>
                <c:pt idx="89">
                  <c:v>19.350000000000001</c:v>
                </c:pt>
                <c:pt idx="90">
                  <c:v>19.5</c:v>
                </c:pt>
                <c:pt idx="91">
                  <c:v>19.649999999999999</c:v>
                </c:pt>
                <c:pt idx="92">
                  <c:v>19.8</c:v>
                </c:pt>
                <c:pt idx="93">
                  <c:v>19.950000000000003</c:v>
                </c:pt>
                <c:pt idx="94">
                  <c:v>20.100000000000001</c:v>
                </c:pt>
                <c:pt idx="95">
                  <c:v>20.25</c:v>
                </c:pt>
                <c:pt idx="96">
                  <c:v>20.399999999999999</c:v>
                </c:pt>
                <c:pt idx="97">
                  <c:v>20.549999999999997</c:v>
                </c:pt>
                <c:pt idx="98">
                  <c:v>20.7</c:v>
                </c:pt>
                <c:pt idx="99">
                  <c:v>20.85</c:v>
                </c:pt>
                <c:pt idx="100">
                  <c:v>21</c:v>
                </c:pt>
                <c:pt idx="101">
                  <c:v>21.15</c:v>
                </c:pt>
                <c:pt idx="102">
                  <c:v>21.3</c:v>
                </c:pt>
                <c:pt idx="103">
                  <c:v>21.450000000000003</c:v>
                </c:pt>
                <c:pt idx="104">
                  <c:v>21.6</c:v>
                </c:pt>
                <c:pt idx="105">
                  <c:v>21.75</c:v>
                </c:pt>
                <c:pt idx="106">
                  <c:v>21.9</c:v>
                </c:pt>
                <c:pt idx="107">
                  <c:v>22.05</c:v>
                </c:pt>
                <c:pt idx="108">
                  <c:v>22.200000000000003</c:v>
                </c:pt>
                <c:pt idx="109">
                  <c:v>22.35</c:v>
                </c:pt>
                <c:pt idx="110">
                  <c:v>22.5</c:v>
                </c:pt>
                <c:pt idx="111">
                  <c:v>22.650000000000002</c:v>
                </c:pt>
                <c:pt idx="112">
                  <c:v>22.8</c:v>
                </c:pt>
                <c:pt idx="113">
                  <c:v>22.95</c:v>
                </c:pt>
                <c:pt idx="114">
                  <c:v>23.099999999999998</c:v>
                </c:pt>
                <c:pt idx="115">
                  <c:v>23.25</c:v>
                </c:pt>
                <c:pt idx="116">
                  <c:v>23.4</c:v>
                </c:pt>
                <c:pt idx="117">
                  <c:v>23.549999999999997</c:v>
                </c:pt>
                <c:pt idx="118">
                  <c:v>23.7</c:v>
                </c:pt>
                <c:pt idx="119">
                  <c:v>23.849999999999998</c:v>
                </c:pt>
                <c:pt idx="120">
                  <c:v>24</c:v>
                </c:pt>
                <c:pt idx="121">
                  <c:v>24.15</c:v>
                </c:pt>
                <c:pt idx="122">
                  <c:v>24.3</c:v>
                </c:pt>
                <c:pt idx="123">
                  <c:v>24.45</c:v>
                </c:pt>
                <c:pt idx="124">
                  <c:v>24.6</c:v>
                </c:pt>
                <c:pt idx="125">
                  <c:v>24.75</c:v>
                </c:pt>
                <c:pt idx="126">
                  <c:v>24.9</c:v>
                </c:pt>
                <c:pt idx="127">
                  <c:v>25.05</c:v>
                </c:pt>
                <c:pt idx="128">
                  <c:v>25.2</c:v>
                </c:pt>
                <c:pt idx="129">
                  <c:v>25.35</c:v>
                </c:pt>
                <c:pt idx="130">
                  <c:v>25.5</c:v>
                </c:pt>
                <c:pt idx="131">
                  <c:v>25.650000000000002</c:v>
                </c:pt>
                <c:pt idx="132">
                  <c:v>25.8</c:v>
                </c:pt>
                <c:pt idx="133">
                  <c:v>25.950000000000003</c:v>
                </c:pt>
                <c:pt idx="134">
                  <c:v>26.1</c:v>
                </c:pt>
                <c:pt idx="135">
                  <c:v>26.25</c:v>
                </c:pt>
                <c:pt idx="136">
                  <c:v>26.400000000000002</c:v>
                </c:pt>
                <c:pt idx="137">
                  <c:v>26.55</c:v>
                </c:pt>
                <c:pt idx="138">
                  <c:v>26.7</c:v>
                </c:pt>
                <c:pt idx="139">
                  <c:v>26.849999999999998</c:v>
                </c:pt>
                <c:pt idx="140">
                  <c:v>27</c:v>
                </c:pt>
                <c:pt idx="141">
                  <c:v>27.15</c:v>
                </c:pt>
                <c:pt idx="142">
                  <c:v>27.299999999999997</c:v>
                </c:pt>
                <c:pt idx="143">
                  <c:v>27.45</c:v>
                </c:pt>
                <c:pt idx="144">
                  <c:v>27.599999999999998</c:v>
                </c:pt>
                <c:pt idx="145">
                  <c:v>27.75</c:v>
                </c:pt>
                <c:pt idx="146">
                  <c:v>27.9</c:v>
                </c:pt>
                <c:pt idx="147">
                  <c:v>28.05</c:v>
                </c:pt>
                <c:pt idx="148">
                  <c:v>28.2</c:v>
                </c:pt>
                <c:pt idx="149">
                  <c:v>28.35</c:v>
                </c:pt>
                <c:pt idx="150">
                  <c:v>28.5</c:v>
                </c:pt>
                <c:pt idx="151">
                  <c:v>28.65</c:v>
                </c:pt>
                <c:pt idx="152">
                  <c:v>28.8</c:v>
                </c:pt>
                <c:pt idx="153">
                  <c:v>28.95</c:v>
                </c:pt>
                <c:pt idx="154">
                  <c:v>29.1</c:v>
                </c:pt>
                <c:pt idx="155">
                  <c:v>29.25</c:v>
                </c:pt>
                <c:pt idx="156">
                  <c:v>29.400000000000002</c:v>
                </c:pt>
                <c:pt idx="157">
                  <c:v>29.55</c:v>
                </c:pt>
                <c:pt idx="158">
                  <c:v>29.700000000000003</c:v>
                </c:pt>
                <c:pt idx="159">
                  <c:v>29.85</c:v>
                </c:pt>
                <c:pt idx="160">
                  <c:v>30</c:v>
                </c:pt>
                <c:pt idx="161">
                  <c:v>30.150000000000002</c:v>
                </c:pt>
                <c:pt idx="162">
                  <c:v>30.3</c:v>
                </c:pt>
                <c:pt idx="163">
                  <c:v>30.45</c:v>
                </c:pt>
                <c:pt idx="164">
                  <c:v>30.599999999999998</c:v>
                </c:pt>
                <c:pt idx="165">
                  <c:v>30.75</c:v>
                </c:pt>
                <c:pt idx="166">
                  <c:v>30.9</c:v>
                </c:pt>
                <c:pt idx="167">
                  <c:v>31.049999999999997</c:v>
                </c:pt>
                <c:pt idx="168">
                  <c:v>31.2</c:v>
                </c:pt>
                <c:pt idx="169">
                  <c:v>31.349999999999998</c:v>
                </c:pt>
                <c:pt idx="170">
                  <c:v>31.5</c:v>
                </c:pt>
                <c:pt idx="171">
                  <c:v>31.65</c:v>
                </c:pt>
                <c:pt idx="172">
                  <c:v>31.8</c:v>
                </c:pt>
                <c:pt idx="173">
                  <c:v>31.95</c:v>
                </c:pt>
                <c:pt idx="174">
                  <c:v>32.1</c:v>
                </c:pt>
                <c:pt idx="175">
                  <c:v>32.25</c:v>
                </c:pt>
                <c:pt idx="176">
                  <c:v>32.4</c:v>
                </c:pt>
                <c:pt idx="177">
                  <c:v>32.549999999999997</c:v>
                </c:pt>
                <c:pt idx="178">
                  <c:v>32.700000000000003</c:v>
                </c:pt>
                <c:pt idx="179">
                  <c:v>32.85</c:v>
                </c:pt>
                <c:pt idx="180">
                  <c:v>33</c:v>
                </c:pt>
                <c:pt idx="181">
                  <c:v>33.150000000000006</c:v>
                </c:pt>
                <c:pt idx="182">
                  <c:v>33.299999999999997</c:v>
                </c:pt>
                <c:pt idx="183">
                  <c:v>33.450000000000003</c:v>
                </c:pt>
                <c:pt idx="184">
                  <c:v>33.6</c:v>
                </c:pt>
                <c:pt idx="185">
                  <c:v>33.75</c:v>
                </c:pt>
                <c:pt idx="186">
                  <c:v>33.900000000000006</c:v>
                </c:pt>
                <c:pt idx="187">
                  <c:v>34.049999999999997</c:v>
                </c:pt>
                <c:pt idx="188">
                  <c:v>34.200000000000003</c:v>
                </c:pt>
                <c:pt idx="189">
                  <c:v>34.349999999999994</c:v>
                </c:pt>
                <c:pt idx="190">
                  <c:v>34.5</c:v>
                </c:pt>
                <c:pt idx="191">
                  <c:v>34.65</c:v>
                </c:pt>
                <c:pt idx="192">
                  <c:v>34.799999999999997</c:v>
                </c:pt>
                <c:pt idx="193">
                  <c:v>34.950000000000003</c:v>
                </c:pt>
                <c:pt idx="194">
                  <c:v>35.099999999999994</c:v>
                </c:pt>
                <c:pt idx="195">
                  <c:v>35.25</c:v>
                </c:pt>
                <c:pt idx="196">
                  <c:v>35.4</c:v>
                </c:pt>
                <c:pt idx="197">
                  <c:v>35.549999999999997</c:v>
                </c:pt>
                <c:pt idx="198">
                  <c:v>35.700000000000003</c:v>
                </c:pt>
                <c:pt idx="199">
                  <c:v>35.85</c:v>
                </c:pt>
                <c:pt idx="200">
                  <c:v>36</c:v>
                </c:pt>
              </c:numCache>
            </c:numRef>
          </c:xVal>
          <c:yVal>
            <c:numRef>
              <c:f>'Efficiency vs VIN Calculations'!$BK$9:$BK$209</c:f>
              <c:numCache>
                <c:formatCode>0.0%</c:formatCode>
                <c:ptCount val="201"/>
                <c:pt idx="0">
                  <c:v>0.90269434259229264</c:v>
                </c:pt>
                <c:pt idx="1">
                  <c:v>0.90697357746782037</c:v>
                </c:pt>
                <c:pt idx="2">
                  <c:v>0.91079447692378446</c:v>
                </c:pt>
                <c:pt idx="3">
                  <c:v>0.91422989519220854</c:v>
                </c:pt>
                <c:pt idx="4">
                  <c:v>0.91733799510015435</c:v>
                </c:pt>
                <c:pt idx="5">
                  <c:v>0.92016587556559049</c:v>
                </c:pt>
                <c:pt idx="6">
                  <c:v>0.92275215259309307</c:v>
                </c:pt>
                <c:pt idx="7">
                  <c:v>0.92512883419249925</c:v>
                </c:pt>
                <c:pt idx="8">
                  <c:v>0.92732270762220836</c:v>
                </c:pt>
                <c:pt idx="9">
                  <c:v>0.92935638273584109</c:v>
                </c:pt>
                <c:pt idx="10">
                  <c:v>0.93124908828061392</c:v>
                </c:pt>
                <c:pt idx="11">
                  <c:v>0.93301728773698245</c:v>
                </c:pt>
                <c:pt idx="12">
                  <c:v>0.93467516133885409</c:v>
                </c:pt>
                <c:pt idx="13">
                  <c:v>0.93623498749233802</c:v>
                </c:pt>
                <c:pt idx="14">
                  <c:v>0.93770744761541291</c:v>
                </c:pt>
                <c:pt idx="15">
                  <c:v>0.93910187201473583</c:v>
                </c:pt>
                <c:pt idx="16">
                  <c:v>0.94042643988436714</c:v>
                </c:pt>
                <c:pt idx="17">
                  <c:v>0.94168834326061779</c:v>
                </c:pt>
                <c:pt idx="18">
                  <c:v>0.94289392240513659</c:v>
                </c:pt>
                <c:pt idx="19">
                  <c:v>0.94404877835128964</c:v>
                </c:pt>
                <c:pt idx="20">
                  <c:v>0.94515786705719362</c:v>
                </c:pt>
                <c:pt idx="21">
                  <c:v>0.94622557863832879</c:v>
                </c:pt>
                <c:pt idx="22">
                  <c:v>0.94725580441650636</c:v>
                </c:pt>
                <c:pt idx="23">
                  <c:v>0.94825199395854309</c:v>
                </c:pt>
                <c:pt idx="24">
                  <c:v>0.94921720384309194</c:v>
                </c:pt>
                <c:pt idx="25">
                  <c:v>0.95015413955576988</c:v>
                </c:pt>
                <c:pt idx="26">
                  <c:v>0.95106519164756853</c:v>
                </c:pt>
                <c:pt idx="27">
                  <c:v>0.95195246708230008</c:v>
                </c:pt>
                <c:pt idx="28">
                  <c:v>0.95281781653262621</c:v>
                </c:pt>
                <c:pt idx="29">
                  <c:v>0.95366285825140007</c:v>
                </c:pt>
                <c:pt idx="30">
                  <c:v>0.95448899903830031</c:v>
                </c:pt>
                <c:pt idx="31">
                  <c:v>0.95529745273548261</c:v>
                </c:pt>
                <c:pt idx="32">
                  <c:v>0.95608925661592914</c:v>
                </c:pt>
                <c:pt idx="33">
                  <c:v>0.95686528597106324</c:v>
                </c:pt>
                <c:pt idx="34">
                  <c:v>0.95762626715739352</c:v>
                </c:pt>
                <c:pt idx="35">
                  <c:v>0.95837278932352032</c:v>
                </c:pt>
                <c:pt idx="36">
                  <c:v>0.95910531500713614</c:v>
                </c:pt>
                <c:pt idx="37">
                  <c:v>0.95982418976548123</c:v>
                </c:pt>
                <c:pt idx="38">
                  <c:v>0.96052965098108523</c:v>
                </c:pt>
                <c:pt idx="39">
                  <c:v>0.96122183596674271</c:v>
                </c:pt>
                <c:pt idx="40">
                  <c:v>0.96190078947894497</c:v>
                </c:pt>
                <c:pt idx="41">
                  <c:v>0.96256647073692925</c:v>
                </c:pt>
                <c:pt idx="42">
                  <c:v>0.96321876003473972</c:v>
                </c:pt>
                <c:pt idx="43">
                  <c:v>0.9638574650259456</c:v>
                </c:pt>
                <c:pt idx="44">
                  <c:v>0.96448232675473511</c:v>
                </c:pt>
                <c:pt idx="45">
                  <c:v>0.96509302550287512</c:v>
                </c:pt>
                <c:pt idx="46">
                  <c:v>0.96568918651946434</c:v>
                </c:pt>
                <c:pt idx="47">
                  <c:v>0.96627038569953982</c:v>
                </c:pt>
                <c:pt idx="48">
                  <c:v>0.96683615527856859</c:v>
                </c:pt>
                <c:pt idx="49">
                  <c:v>0.96738598961295097</c:v>
                </c:pt>
                <c:pt idx="50">
                  <c:v>0.96791935112227334</c:v>
                </c:pt>
                <c:pt idx="51">
                  <c:v>0.96843567647789663</c:v>
                </c:pt>
                <c:pt idx="52">
                  <c:v>0.96893438313552549</c:v>
                </c:pt>
                <c:pt idx="53">
                  <c:v>0.96941487632826195</c:v>
                </c:pt>
                <c:pt idx="54">
                  <c:v>0.96987655666365069</c:v>
                </c:pt>
                <c:pt idx="55">
                  <c:v>0.94163222595421825</c:v>
                </c:pt>
                <c:pt idx="56">
                  <c:v>0.94180663540419374</c:v>
                </c:pt>
                <c:pt idx="57">
                  <c:v>0.94197943765280556</c:v>
                </c:pt>
                <c:pt idx="58">
                  <c:v>0.94215067271412711</c:v>
                </c:pt>
                <c:pt idx="59">
                  <c:v>0.94232037385629963</c:v>
                </c:pt>
                <c:pt idx="60">
                  <c:v>0.94248856811101545</c:v>
                </c:pt>
                <c:pt idx="61">
                  <c:v>0.94265527674623684</c:v>
                </c:pt>
                <c:pt idx="62">
                  <c:v>0.94282051570525427</c:v>
                </c:pt>
                <c:pt idx="63">
                  <c:v>0.94298429601488776</c:v>
                </c:pt>
                <c:pt idx="64">
                  <c:v>0.94314662416538231</c:v>
                </c:pt>
                <c:pt idx="65">
                  <c:v>0.94330750246430173</c:v>
                </c:pt>
                <c:pt idx="66">
                  <c:v>0.94346692936652421</c:v>
                </c:pt>
                <c:pt idx="67">
                  <c:v>0.9447492839725895</c:v>
                </c:pt>
                <c:pt idx="68">
                  <c:v>0.94459340724432173</c:v>
                </c:pt>
                <c:pt idx="69">
                  <c:v>0.94443249985089905</c:v>
                </c:pt>
                <c:pt idx="70">
                  <c:v>0.94426673124547078</c:v>
                </c:pt>
                <c:pt idx="71">
                  <c:v>0.94409626578618766</c:v>
                </c:pt>
                <c:pt idx="72">
                  <c:v>0.94392126292342182</c:v>
                </c:pt>
                <c:pt idx="73">
                  <c:v>0.94374187737786097</c:v>
                </c:pt>
                <c:pt idx="74">
                  <c:v>0.94355825931006043</c:v>
                </c:pt>
                <c:pt idx="75">
                  <c:v>0.94337055448198381</c:v>
                </c:pt>
                <c:pt idx="76">
                  <c:v>0.94317890441103458</c:v>
                </c:pt>
                <c:pt idx="77">
                  <c:v>0.94298344651703059</c:v>
                </c:pt>
                <c:pt idx="78">
                  <c:v>0.94278431426255149</c:v>
                </c:pt>
                <c:pt idx="79">
                  <c:v>0.94258163728704525</c:v>
                </c:pt>
                <c:pt idx="80">
                  <c:v>0.94237554153506664</c:v>
                </c:pt>
                <c:pt idx="81">
                  <c:v>0.94216614937897769</c:v>
                </c:pt>
                <c:pt idx="82">
                  <c:v>0.94195357973642957</c:v>
                </c:pt>
                <c:pt idx="83">
                  <c:v>0.94173794818291512</c:v>
                </c:pt>
                <c:pt idx="84">
                  <c:v>0.94151936705966377</c:v>
                </c:pt>
                <c:pt idx="85">
                  <c:v>0.94129794557713242</c:v>
                </c:pt>
                <c:pt idx="86">
                  <c:v>0.94107378991432744</c:v>
                </c:pt>
                <c:pt idx="87">
                  <c:v>0.94084700331417714</c:v>
                </c:pt>
                <c:pt idx="88">
                  <c:v>0.94061768617515851</c:v>
                </c:pt>
                <c:pt idx="89">
                  <c:v>0.94038593613937405</c:v>
                </c:pt>
                <c:pt idx="90">
                  <c:v>0.94015184817725272</c:v>
                </c:pt>
                <c:pt idx="91">
                  <c:v>0.93991551466904599</c:v>
                </c:pt>
                <c:pt idx="92">
                  <c:v>0.93967702548327425</c:v>
                </c:pt>
                <c:pt idx="93">
                  <c:v>0.93943646805227288</c:v>
                </c:pt>
                <c:pt idx="94">
                  <c:v>0.93919392744497465</c:v>
                </c:pt>
                <c:pt idx="95">
                  <c:v>0.93894948643705767</c:v>
                </c:pt>
                <c:pt idx="96">
                  <c:v>0.93870322557858321</c:v>
                </c:pt>
                <c:pt idx="97">
                  <c:v>0.93845522325923547</c:v>
                </c:pt>
                <c:pt idx="98">
                  <c:v>0.93820555577127429</c:v>
                </c:pt>
                <c:pt idx="99">
                  <c:v>0.93795429737030012</c:v>
                </c:pt>
                <c:pt idx="100">
                  <c:v>0.93770152033392795</c:v>
                </c:pt>
                <c:pt idx="101">
                  <c:v>0.93744729501846269</c:v>
                </c:pt>
                <c:pt idx="102">
                  <c:v>0.9371916899136582</c:v>
                </c:pt>
                <c:pt idx="103">
                  <c:v>0.9369347716956451</c:v>
                </c:pt>
                <c:pt idx="104">
                  <c:v>0.93667660527809959</c:v>
                </c:pt>
                <c:pt idx="105">
                  <c:v>0.93641725386172969</c:v>
                </c:pt>
                <c:pt idx="106">
                  <c:v>0.93615677898214478</c:v>
                </c:pt>
                <c:pt idx="107">
                  <c:v>0.93589524055617523</c:v>
                </c:pt>
                <c:pt idx="108">
                  <c:v>0.9356326969267027</c:v>
                </c:pt>
                <c:pt idx="109">
                  <c:v>0.93536920490606201</c:v>
                </c:pt>
                <c:pt idx="110">
                  <c:v>0.93510481981806615</c:v>
                </c:pt>
                <c:pt idx="111">
                  <c:v>0.93483959553871288</c:v>
                </c:pt>
                <c:pt idx="112">
                  <c:v>0.93457358453561812</c:v>
                </c:pt>
                <c:pt idx="113">
                  <c:v>0.93430683790622859</c:v>
                </c:pt>
                <c:pt idx="114">
                  <c:v>0.95832707043492182</c:v>
                </c:pt>
                <c:pt idx="115">
                  <c:v>0.9578078427160055</c:v>
                </c:pt>
                <c:pt idx="116">
                  <c:v>0.95728667000920575</c:v>
                </c:pt>
                <c:pt idx="117">
                  <c:v>0.95676373341690468</c:v>
                </c:pt>
                <c:pt idx="118">
                  <c:v>0.95623920693035702</c:v>
                </c:pt>
                <c:pt idx="119">
                  <c:v>0.95571325766665172</c:v>
                </c:pt>
                <c:pt idx="120">
                  <c:v>0.95518604610026492</c:v>
                </c:pt>
                <c:pt idx="121">
                  <c:v>0.95465772628902046</c:v>
                </c:pt>
                <c:pt idx="122">
                  <c:v>0.95412844609432257</c:v>
                </c:pt>
                <c:pt idx="123">
                  <c:v>0.95359834739557392</c:v>
                </c:pt>
                <c:pt idx="124">
                  <c:v>0.95306756629872391</c:v>
                </c:pt>
                <c:pt idx="125">
                  <c:v>0.95253623333892956</c:v>
                </c:pt>
                <c:pt idx="126">
                  <c:v>0.95200447367733843</c:v>
                </c:pt>
                <c:pt idx="127">
                  <c:v>0.95147240729202009</c:v>
                </c:pt>
                <c:pt idx="128">
                  <c:v>0.9509401491631051</c:v>
                </c:pt>
                <c:pt idx="129">
                  <c:v>0.95040780945219294</c:v>
                </c:pt>
                <c:pt idx="130">
                  <c:v>0.94987549367611401</c:v>
                </c:pt>
                <c:pt idx="131">
                  <c:v>0.94934330287514046</c:v>
                </c:pt>
                <c:pt idx="132">
                  <c:v>0.94881133377574789</c:v>
                </c:pt>
                <c:pt idx="133">
                  <c:v>0.94827967894803666</c:v>
                </c:pt>
                <c:pt idx="134">
                  <c:v>0.94774842695793604</c:v>
                </c:pt>
                <c:pt idx="135">
                  <c:v>0.94721766251430584</c:v>
                </c:pt>
                <c:pt idx="136">
                  <c:v>0.94668746661106618</c:v>
                </c:pt>
                <c:pt idx="137">
                  <c:v>0.94615791666448268</c:v>
                </c:pt>
                <c:pt idx="138">
                  <c:v>0.94562908664573253</c:v>
                </c:pt>
                <c:pt idx="139">
                  <c:v>0.94510104720888766</c:v>
                </c:pt>
                <c:pt idx="140">
                  <c:v>0.94457386581444325</c:v>
                </c:pt>
                <c:pt idx="141">
                  <c:v>0.94404760684851918</c:v>
                </c:pt>
                <c:pt idx="142">
                  <c:v>0.94352233173787026</c:v>
                </c:pt>
                <c:pt idx="143">
                  <c:v>0.94299809906082621</c:v>
                </c:pt>
                <c:pt idx="144">
                  <c:v>0.94247496465429437</c:v>
                </c:pt>
                <c:pt idx="145">
                  <c:v>0.94195298171694608</c:v>
                </c:pt>
                <c:pt idx="146">
                  <c:v>0.94143220090871005</c:v>
                </c:pt>
                <c:pt idx="147">
                  <c:v>0.9409126704466938</c:v>
                </c:pt>
                <c:pt idx="148">
                  <c:v>0.94039443619765173</c:v>
                </c:pt>
                <c:pt idx="149">
                  <c:v>0.93987754176711202</c:v>
                </c:pt>
                <c:pt idx="150">
                  <c:v>0.93936202858527829</c:v>
                </c:pt>
                <c:pt idx="151">
                  <c:v>0.93884793598981298</c:v>
                </c:pt>
                <c:pt idx="152">
                  <c:v>0.9383353013056116</c:v>
                </c:pt>
                <c:pt idx="153">
                  <c:v>0.9378241599216689</c:v>
                </c:pt>
                <c:pt idx="154">
                  <c:v>0.93731454536514214</c:v>
                </c:pt>
                <c:pt idx="155">
                  <c:v>0.93680648937270472</c:v>
                </c:pt>
                <c:pt idx="156">
                  <c:v>0.93630002195928952</c:v>
                </c:pt>
                <c:pt idx="157">
                  <c:v>0.93579517148431257</c:v>
                </c:pt>
                <c:pt idx="158">
                  <c:v>0.93529196471546516</c:v>
                </c:pt>
                <c:pt idx="159">
                  <c:v>0.93479042689016467</c:v>
                </c:pt>
                <c:pt idx="160">
                  <c:v>0.93429058177474533</c:v>
                </c:pt>
                <c:pt idx="161">
                  <c:v>0.93379245172146952</c:v>
                </c:pt>
                <c:pt idx="162">
                  <c:v>0.93329605772344248</c:v>
                </c:pt>
                <c:pt idx="163">
                  <c:v>0.93280141946750006</c:v>
                </c:pt>
                <c:pt idx="164">
                  <c:v>0.93230855538514901</c:v>
                </c:pt>
                <c:pt idx="165">
                  <c:v>0.93181748270162601</c:v>
                </c:pt>
                <c:pt idx="166">
                  <c:v>0.93132821748314742</c:v>
                </c:pt>
                <c:pt idx="167">
                  <c:v>0.93084077468241366</c:v>
                </c:pt>
                <c:pt idx="168">
                  <c:v>0.93035516818243225</c:v>
                </c:pt>
                <c:pt idx="169">
                  <c:v>0.92987141083872271</c:v>
                </c:pt>
                <c:pt idx="170">
                  <c:v>0.92938951451996032</c:v>
                </c:pt>
                <c:pt idx="171">
                  <c:v>0.92890949014711854</c:v>
                </c:pt>
                <c:pt idx="172">
                  <c:v>0.92843134773116298</c:v>
                </c:pt>
                <c:pt idx="173">
                  <c:v>0.92795509640935148</c:v>
                </c:pt>
                <c:pt idx="174">
                  <c:v>0.92748074448019202</c:v>
                </c:pt>
                <c:pt idx="175">
                  <c:v>0.92700829943710727</c:v>
                </c:pt>
                <c:pt idx="176">
                  <c:v>0.9265377680008523</c:v>
                </c:pt>
                <c:pt idx="177">
                  <c:v>0.92606915615073437</c:v>
                </c:pt>
                <c:pt idx="178">
                  <c:v>0.92560246915467626</c:v>
                </c:pt>
                <c:pt idx="179">
                  <c:v>0.92513771159816727</c:v>
                </c:pt>
                <c:pt idx="180">
                  <c:v>0.92467488741214277</c:v>
                </c:pt>
                <c:pt idx="181">
                  <c:v>0.92421399989983088</c:v>
                </c:pt>
                <c:pt idx="182">
                  <c:v>0.92375505176260631</c:v>
                </c:pt>
                <c:pt idx="183">
                  <c:v>0.92329804512488634</c:v>
                </c:pt>
                <c:pt idx="184">
                  <c:v>0.92284298155810385</c:v>
                </c:pt>
                <c:pt idx="185">
                  <c:v>0.92238986210379559</c:v>
                </c:pt>
                <c:pt idx="186">
                  <c:v>0.92193868729583106</c:v>
                </c:pt>
                <c:pt idx="187">
                  <c:v>0.92148945718182174</c:v>
                </c:pt>
                <c:pt idx="188">
                  <c:v>0.92104217134373401</c:v>
                </c:pt>
                <c:pt idx="189">
                  <c:v>0.92059682891774108</c:v>
                </c:pt>
                <c:pt idx="190">
                  <c:v>0.92015342861333571</c:v>
                </c:pt>
                <c:pt idx="191">
                  <c:v>0.91971196873173788</c:v>
                </c:pt>
                <c:pt idx="192">
                  <c:v>0.91927244718361711</c:v>
                </c:pt>
                <c:pt idx="193">
                  <c:v>0.91883486150615734</c:v>
                </c:pt>
                <c:pt idx="194">
                  <c:v>0.91839920887949245</c:v>
                </c:pt>
                <c:pt idx="195">
                  <c:v>0.91796548614252527</c:v>
                </c:pt>
                <c:pt idx="196">
                  <c:v>0.91753368980816441</c:v>
                </c:pt>
                <c:pt idx="197">
                  <c:v>0.91710381607799352</c:v>
                </c:pt>
                <c:pt idx="198">
                  <c:v>0.91667586085639308</c:v>
                </c:pt>
                <c:pt idx="199">
                  <c:v>0.91624981976414077</c:v>
                </c:pt>
                <c:pt idx="200">
                  <c:v>0.91582568815150267</c:v>
                </c:pt>
              </c:numCache>
            </c:numRef>
          </c:yVal>
          <c:smooth val="0"/>
          <c:extLst>
            <c:ext xmlns:c16="http://schemas.microsoft.com/office/drawing/2014/chart" uri="{C3380CC4-5D6E-409C-BE32-E72D297353CC}">
              <c16:uniqueId val="{00000000-382B-45D5-8B8C-46D82CE646D4}"/>
            </c:ext>
          </c:extLst>
        </c:ser>
        <c:dLbls>
          <c:showLegendKey val="0"/>
          <c:showVal val="0"/>
          <c:showCatName val="0"/>
          <c:showSerName val="0"/>
          <c:showPercent val="0"/>
          <c:showBubbleSize val="0"/>
        </c:dLbls>
        <c:axId val="195464192"/>
        <c:axId val="195478656"/>
      </c:scatterChart>
      <c:valAx>
        <c:axId val="195464192"/>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5478656"/>
        <c:crosses val="autoZero"/>
        <c:crossBetween val="midCat"/>
      </c:valAx>
      <c:valAx>
        <c:axId val="195478656"/>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5464192"/>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5636970175475957"/>
          <c:y val="3.6290322580645726E-2"/>
          <c:w val="0.11788632112042907"/>
          <c:h val="4.2338709677419352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297037571498782"/>
          <c:y val="5.9812039624079237E-2"/>
          <c:w val="0.80603751224324049"/>
          <c:h val="0.81048450596901189"/>
        </c:manualLayout>
      </c:layout>
      <c:scatterChart>
        <c:scatterStyle val="lineMarker"/>
        <c:varyColors val="0"/>
        <c:ser>
          <c:idx val="1"/>
          <c:order val="1"/>
          <c:tx>
            <c:v>Boost D</c:v>
          </c:tx>
          <c:spPr>
            <a:ln>
              <a:solidFill>
                <a:srgbClr val="FF0000"/>
              </a:solidFill>
            </a:ln>
          </c:spPr>
          <c:marker>
            <c:symbol val="none"/>
          </c:marker>
          <c:xVal>
            <c:numRef>
              <c:f>'Efficiency vs VIN Calculations'!$H$9:$H$209</c:f>
              <c:numCache>
                <c:formatCode>0.00</c:formatCode>
                <c:ptCount val="201"/>
                <c:pt idx="0">
                  <c:v>6</c:v>
                </c:pt>
                <c:pt idx="1">
                  <c:v>6.15</c:v>
                </c:pt>
                <c:pt idx="2">
                  <c:v>6.3</c:v>
                </c:pt>
                <c:pt idx="3">
                  <c:v>6.45</c:v>
                </c:pt>
                <c:pt idx="4">
                  <c:v>6.6</c:v>
                </c:pt>
                <c:pt idx="5">
                  <c:v>6.75</c:v>
                </c:pt>
                <c:pt idx="6">
                  <c:v>6.9</c:v>
                </c:pt>
                <c:pt idx="7">
                  <c:v>7.05</c:v>
                </c:pt>
                <c:pt idx="8">
                  <c:v>7.2</c:v>
                </c:pt>
                <c:pt idx="9">
                  <c:v>7.35</c:v>
                </c:pt>
                <c:pt idx="10">
                  <c:v>7.5</c:v>
                </c:pt>
                <c:pt idx="11">
                  <c:v>7.65</c:v>
                </c:pt>
                <c:pt idx="12">
                  <c:v>7.8</c:v>
                </c:pt>
                <c:pt idx="13">
                  <c:v>7.95</c:v>
                </c:pt>
                <c:pt idx="14">
                  <c:v>8.1</c:v>
                </c:pt>
                <c:pt idx="15">
                  <c:v>8.25</c:v>
                </c:pt>
                <c:pt idx="16">
                  <c:v>8.4</c:v>
                </c:pt>
                <c:pt idx="17">
                  <c:v>8.5500000000000007</c:v>
                </c:pt>
                <c:pt idx="18">
                  <c:v>8.6999999999999993</c:v>
                </c:pt>
                <c:pt idx="19">
                  <c:v>8.85</c:v>
                </c:pt>
                <c:pt idx="20">
                  <c:v>9</c:v>
                </c:pt>
                <c:pt idx="21">
                  <c:v>9.15</c:v>
                </c:pt>
                <c:pt idx="22">
                  <c:v>9.3000000000000007</c:v>
                </c:pt>
                <c:pt idx="23">
                  <c:v>9.4499999999999993</c:v>
                </c:pt>
                <c:pt idx="24">
                  <c:v>9.6</c:v>
                </c:pt>
                <c:pt idx="25">
                  <c:v>9.75</c:v>
                </c:pt>
                <c:pt idx="26">
                  <c:v>9.9</c:v>
                </c:pt>
                <c:pt idx="27">
                  <c:v>10.050000000000001</c:v>
                </c:pt>
                <c:pt idx="28">
                  <c:v>10.199999999999999</c:v>
                </c:pt>
                <c:pt idx="29">
                  <c:v>10.35</c:v>
                </c:pt>
                <c:pt idx="30">
                  <c:v>10.5</c:v>
                </c:pt>
                <c:pt idx="31">
                  <c:v>10.65</c:v>
                </c:pt>
                <c:pt idx="32">
                  <c:v>10.8</c:v>
                </c:pt>
                <c:pt idx="33">
                  <c:v>10.95</c:v>
                </c:pt>
                <c:pt idx="34">
                  <c:v>11.100000000000001</c:v>
                </c:pt>
                <c:pt idx="35">
                  <c:v>11.25</c:v>
                </c:pt>
                <c:pt idx="36">
                  <c:v>11.399999999999999</c:v>
                </c:pt>
                <c:pt idx="37">
                  <c:v>11.55</c:v>
                </c:pt>
                <c:pt idx="38">
                  <c:v>11.7</c:v>
                </c:pt>
                <c:pt idx="39">
                  <c:v>11.850000000000001</c:v>
                </c:pt>
                <c:pt idx="40">
                  <c:v>12</c:v>
                </c:pt>
                <c:pt idx="41">
                  <c:v>12.149999999999999</c:v>
                </c:pt>
                <c:pt idx="42">
                  <c:v>12.3</c:v>
                </c:pt>
                <c:pt idx="43">
                  <c:v>12.45</c:v>
                </c:pt>
                <c:pt idx="44">
                  <c:v>12.6</c:v>
                </c:pt>
                <c:pt idx="45">
                  <c:v>12.75</c:v>
                </c:pt>
                <c:pt idx="46">
                  <c:v>12.9</c:v>
                </c:pt>
                <c:pt idx="47">
                  <c:v>13.05</c:v>
                </c:pt>
                <c:pt idx="48">
                  <c:v>13.2</c:v>
                </c:pt>
                <c:pt idx="49">
                  <c:v>13.35</c:v>
                </c:pt>
                <c:pt idx="50">
                  <c:v>13.5</c:v>
                </c:pt>
                <c:pt idx="51">
                  <c:v>13.65</c:v>
                </c:pt>
                <c:pt idx="52">
                  <c:v>13.8</c:v>
                </c:pt>
                <c:pt idx="53">
                  <c:v>13.95</c:v>
                </c:pt>
                <c:pt idx="54">
                  <c:v>14.100000000000001</c:v>
                </c:pt>
                <c:pt idx="55">
                  <c:v>14.25</c:v>
                </c:pt>
                <c:pt idx="56">
                  <c:v>14.4</c:v>
                </c:pt>
                <c:pt idx="57">
                  <c:v>14.549999999999999</c:v>
                </c:pt>
                <c:pt idx="58">
                  <c:v>14.7</c:v>
                </c:pt>
                <c:pt idx="59">
                  <c:v>14.85</c:v>
                </c:pt>
                <c:pt idx="60">
                  <c:v>15</c:v>
                </c:pt>
                <c:pt idx="61">
                  <c:v>15.15</c:v>
                </c:pt>
                <c:pt idx="62">
                  <c:v>15.3</c:v>
                </c:pt>
                <c:pt idx="63">
                  <c:v>15.45</c:v>
                </c:pt>
                <c:pt idx="64">
                  <c:v>15.6</c:v>
                </c:pt>
                <c:pt idx="65">
                  <c:v>15.75</c:v>
                </c:pt>
                <c:pt idx="66">
                  <c:v>15.9</c:v>
                </c:pt>
                <c:pt idx="67">
                  <c:v>16.05</c:v>
                </c:pt>
                <c:pt idx="68">
                  <c:v>16.200000000000003</c:v>
                </c:pt>
                <c:pt idx="69">
                  <c:v>16.350000000000001</c:v>
                </c:pt>
                <c:pt idx="70">
                  <c:v>16.5</c:v>
                </c:pt>
                <c:pt idx="71">
                  <c:v>16.649999999999999</c:v>
                </c:pt>
                <c:pt idx="72">
                  <c:v>16.799999999999997</c:v>
                </c:pt>
                <c:pt idx="73">
                  <c:v>16.95</c:v>
                </c:pt>
                <c:pt idx="74">
                  <c:v>17.100000000000001</c:v>
                </c:pt>
                <c:pt idx="75">
                  <c:v>17.25</c:v>
                </c:pt>
                <c:pt idx="76">
                  <c:v>17.399999999999999</c:v>
                </c:pt>
                <c:pt idx="77">
                  <c:v>17.55</c:v>
                </c:pt>
                <c:pt idx="78">
                  <c:v>17.700000000000003</c:v>
                </c:pt>
                <c:pt idx="79">
                  <c:v>17.850000000000001</c:v>
                </c:pt>
                <c:pt idx="80">
                  <c:v>18</c:v>
                </c:pt>
                <c:pt idx="81">
                  <c:v>18.149999999999999</c:v>
                </c:pt>
                <c:pt idx="82">
                  <c:v>18.299999999999997</c:v>
                </c:pt>
                <c:pt idx="83">
                  <c:v>18.45</c:v>
                </c:pt>
                <c:pt idx="84">
                  <c:v>18.600000000000001</c:v>
                </c:pt>
                <c:pt idx="85">
                  <c:v>18.75</c:v>
                </c:pt>
                <c:pt idx="86">
                  <c:v>18.899999999999999</c:v>
                </c:pt>
                <c:pt idx="87">
                  <c:v>19.05</c:v>
                </c:pt>
                <c:pt idx="88">
                  <c:v>19.2</c:v>
                </c:pt>
                <c:pt idx="89">
                  <c:v>19.350000000000001</c:v>
                </c:pt>
                <c:pt idx="90">
                  <c:v>19.5</c:v>
                </c:pt>
                <c:pt idx="91">
                  <c:v>19.649999999999999</c:v>
                </c:pt>
                <c:pt idx="92">
                  <c:v>19.8</c:v>
                </c:pt>
                <c:pt idx="93">
                  <c:v>19.950000000000003</c:v>
                </c:pt>
                <c:pt idx="94">
                  <c:v>20.100000000000001</c:v>
                </c:pt>
                <c:pt idx="95">
                  <c:v>20.25</c:v>
                </c:pt>
                <c:pt idx="96">
                  <c:v>20.399999999999999</c:v>
                </c:pt>
                <c:pt idx="97">
                  <c:v>20.549999999999997</c:v>
                </c:pt>
                <c:pt idx="98">
                  <c:v>20.7</c:v>
                </c:pt>
                <c:pt idx="99">
                  <c:v>20.85</c:v>
                </c:pt>
                <c:pt idx="100">
                  <c:v>21</c:v>
                </c:pt>
                <c:pt idx="101">
                  <c:v>21.15</c:v>
                </c:pt>
                <c:pt idx="102">
                  <c:v>21.3</c:v>
                </c:pt>
                <c:pt idx="103">
                  <c:v>21.450000000000003</c:v>
                </c:pt>
                <c:pt idx="104">
                  <c:v>21.6</c:v>
                </c:pt>
                <c:pt idx="105">
                  <c:v>21.75</c:v>
                </c:pt>
                <c:pt idx="106">
                  <c:v>21.9</c:v>
                </c:pt>
                <c:pt idx="107">
                  <c:v>22.05</c:v>
                </c:pt>
                <c:pt idx="108">
                  <c:v>22.200000000000003</c:v>
                </c:pt>
                <c:pt idx="109">
                  <c:v>22.35</c:v>
                </c:pt>
                <c:pt idx="110">
                  <c:v>22.5</c:v>
                </c:pt>
                <c:pt idx="111">
                  <c:v>22.650000000000002</c:v>
                </c:pt>
                <c:pt idx="112">
                  <c:v>22.8</c:v>
                </c:pt>
                <c:pt idx="113">
                  <c:v>22.95</c:v>
                </c:pt>
                <c:pt idx="114">
                  <c:v>23.099999999999998</c:v>
                </c:pt>
                <c:pt idx="115">
                  <c:v>23.25</c:v>
                </c:pt>
                <c:pt idx="116">
                  <c:v>23.4</c:v>
                </c:pt>
                <c:pt idx="117">
                  <c:v>23.549999999999997</c:v>
                </c:pt>
                <c:pt idx="118">
                  <c:v>23.7</c:v>
                </c:pt>
                <c:pt idx="119">
                  <c:v>23.849999999999998</c:v>
                </c:pt>
                <c:pt idx="120">
                  <c:v>24</c:v>
                </c:pt>
                <c:pt idx="121">
                  <c:v>24.15</c:v>
                </c:pt>
                <c:pt idx="122">
                  <c:v>24.3</c:v>
                </c:pt>
                <c:pt idx="123">
                  <c:v>24.45</c:v>
                </c:pt>
                <c:pt idx="124">
                  <c:v>24.6</c:v>
                </c:pt>
                <c:pt idx="125">
                  <c:v>24.75</c:v>
                </c:pt>
                <c:pt idx="126">
                  <c:v>24.9</c:v>
                </c:pt>
                <c:pt idx="127">
                  <c:v>25.05</c:v>
                </c:pt>
                <c:pt idx="128">
                  <c:v>25.2</c:v>
                </c:pt>
                <c:pt idx="129">
                  <c:v>25.35</c:v>
                </c:pt>
                <c:pt idx="130">
                  <c:v>25.5</c:v>
                </c:pt>
                <c:pt idx="131">
                  <c:v>25.650000000000002</c:v>
                </c:pt>
                <c:pt idx="132">
                  <c:v>25.8</c:v>
                </c:pt>
                <c:pt idx="133">
                  <c:v>25.950000000000003</c:v>
                </c:pt>
                <c:pt idx="134">
                  <c:v>26.1</c:v>
                </c:pt>
                <c:pt idx="135">
                  <c:v>26.25</c:v>
                </c:pt>
                <c:pt idx="136">
                  <c:v>26.400000000000002</c:v>
                </c:pt>
                <c:pt idx="137">
                  <c:v>26.55</c:v>
                </c:pt>
                <c:pt idx="138">
                  <c:v>26.7</c:v>
                </c:pt>
                <c:pt idx="139">
                  <c:v>26.849999999999998</c:v>
                </c:pt>
                <c:pt idx="140">
                  <c:v>27</c:v>
                </c:pt>
                <c:pt idx="141">
                  <c:v>27.15</c:v>
                </c:pt>
                <c:pt idx="142">
                  <c:v>27.299999999999997</c:v>
                </c:pt>
                <c:pt idx="143">
                  <c:v>27.45</c:v>
                </c:pt>
                <c:pt idx="144">
                  <c:v>27.599999999999998</c:v>
                </c:pt>
                <c:pt idx="145">
                  <c:v>27.75</c:v>
                </c:pt>
                <c:pt idx="146">
                  <c:v>27.9</c:v>
                </c:pt>
                <c:pt idx="147">
                  <c:v>28.05</c:v>
                </c:pt>
                <c:pt idx="148">
                  <c:v>28.2</c:v>
                </c:pt>
                <c:pt idx="149">
                  <c:v>28.35</c:v>
                </c:pt>
                <c:pt idx="150">
                  <c:v>28.5</c:v>
                </c:pt>
                <c:pt idx="151">
                  <c:v>28.65</c:v>
                </c:pt>
                <c:pt idx="152">
                  <c:v>28.8</c:v>
                </c:pt>
                <c:pt idx="153">
                  <c:v>28.95</c:v>
                </c:pt>
                <c:pt idx="154">
                  <c:v>29.1</c:v>
                </c:pt>
                <c:pt idx="155">
                  <c:v>29.25</c:v>
                </c:pt>
                <c:pt idx="156">
                  <c:v>29.400000000000002</c:v>
                </c:pt>
                <c:pt idx="157">
                  <c:v>29.55</c:v>
                </c:pt>
                <c:pt idx="158">
                  <c:v>29.700000000000003</c:v>
                </c:pt>
                <c:pt idx="159">
                  <c:v>29.85</c:v>
                </c:pt>
                <c:pt idx="160">
                  <c:v>30</c:v>
                </c:pt>
                <c:pt idx="161">
                  <c:v>30.150000000000002</c:v>
                </c:pt>
                <c:pt idx="162">
                  <c:v>30.3</c:v>
                </c:pt>
                <c:pt idx="163">
                  <c:v>30.45</c:v>
                </c:pt>
                <c:pt idx="164">
                  <c:v>30.599999999999998</c:v>
                </c:pt>
                <c:pt idx="165">
                  <c:v>30.75</c:v>
                </c:pt>
                <c:pt idx="166">
                  <c:v>30.9</c:v>
                </c:pt>
                <c:pt idx="167">
                  <c:v>31.049999999999997</c:v>
                </c:pt>
                <c:pt idx="168">
                  <c:v>31.2</c:v>
                </c:pt>
                <c:pt idx="169">
                  <c:v>31.349999999999998</c:v>
                </c:pt>
                <c:pt idx="170">
                  <c:v>31.5</c:v>
                </c:pt>
                <c:pt idx="171">
                  <c:v>31.65</c:v>
                </c:pt>
                <c:pt idx="172">
                  <c:v>31.8</c:v>
                </c:pt>
                <c:pt idx="173">
                  <c:v>31.95</c:v>
                </c:pt>
                <c:pt idx="174">
                  <c:v>32.1</c:v>
                </c:pt>
                <c:pt idx="175">
                  <c:v>32.25</c:v>
                </c:pt>
                <c:pt idx="176">
                  <c:v>32.4</c:v>
                </c:pt>
                <c:pt idx="177">
                  <c:v>32.549999999999997</c:v>
                </c:pt>
                <c:pt idx="178">
                  <c:v>32.700000000000003</c:v>
                </c:pt>
                <c:pt idx="179">
                  <c:v>32.85</c:v>
                </c:pt>
                <c:pt idx="180">
                  <c:v>33</c:v>
                </c:pt>
                <c:pt idx="181">
                  <c:v>33.150000000000006</c:v>
                </c:pt>
                <c:pt idx="182">
                  <c:v>33.299999999999997</c:v>
                </c:pt>
                <c:pt idx="183">
                  <c:v>33.450000000000003</c:v>
                </c:pt>
                <c:pt idx="184">
                  <c:v>33.6</c:v>
                </c:pt>
                <c:pt idx="185">
                  <c:v>33.75</c:v>
                </c:pt>
                <c:pt idx="186">
                  <c:v>33.900000000000006</c:v>
                </c:pt>
                <c:pt idx="187">
                  <c:v>34.049999999999997</c:v>
                </c:pt>
                <c:pt idx="188">
                  <c:v>34.200000000000003</c:v>
                </c:pt>
                <c:pt idx="189">
                  <c:v>34.349999999999994</c:v>
                </c:pt>
                <c:pt idx="190">
                  <c:v>34.5</c:v>
                </c:pt>
                <c:pt idx="191">
                  <c:v>34.65</c:v>
                </c:pt>
                <c:pt idx="192">
                  <c:v>34.799999999999997</c:v>
                </c:pt>
                <c:pt idx="193">
                  <c:v>34.950000000000003</c:v>
                </c:pt>
                <c:pt idx="194">
                  <c:v>35.099999999999994</c:v>
                </c:pt>
                <c:pt idx="195">
                  <c:v>35.25</c:v>
                </c:pt>
                <c:pt idx="196">
                  <c:v>35.4</c:v>
                </c:pt>
                <c:pt idx="197">
                  <c:v>35.549999999999997</c:v>
                </c:pt>
                <c:pt idx="198">
                  <c:v>35.700000000000003</c:v>
                </c:pt>
                <c:pt idx="199">
                  <c:v>35.85</c:v>
                </c:pt>
                <c:pt idx="200">
                  <c:v>36</c:v>
                </c:pt>
              </c:numCache>
            </c:numRef>
          </c:xVal>
          <c:yVal>
            <c:numRef>
              <c:f>'Efficiency vs VIN Calculations'!$U$9:$U$209</c:f>
              <c:numCache>
                <c:formatCode>0.000</c:formatCode>
                <c:ptCount val="201"/>
                <c:pt idx="0">
                  <c:v>0.63556313273340825</c:v>
                </c:pt>
                <c:pt idx="1">
                  <c:v>0.62591331810154138</c:v>
                </c:pt>
                <c:pt idx="2">
                  <c:v>0.6162766126602619</c:v>
                </c:pt>
                <c:pt idx="3">
                  <c:v>0.60665210025992722</c:v>
                </c:pt>
                <c:pt idx="4">
                  <c:v>0.59703894817560232</c:v>
                </c:pt>
                <c:pt idx="5">
                  <c:v>0.5874363978225895</c:v>
                </c:pt>
                <c:pt idx="6">
                  <c:v>0.57784375668490051</c:v>
                </c:pt>
                <c:pt idx="7">
                  <c:v>0.5682603912757398</c:v>
                </c:pt>
                <c:pt idx="8">
                  <c:v>0.55868572097926672</c:v>
                </c:pt>
                <c:pt idx="9">
                  <c:v>0.54911921264755237</c:v>
                </c:pt>
                <c:pt idx="10">
                  <c:v>0.53956037584685024</c:v>
                </c:pt>
                <c:pt idx="11">
                  <c:v>0.53000875866392916</c:v>
                </c:pt>
                <c:pt idx="12">
                  <c:v>0.52046394399697282</c:v>
                </c:pt>
                <c:pt idx="13">
                  <c:v>0.51092554626695486</c:v>
                </c:pt>
                <c:pt idx="14">
                  <c:v>0.50139320849491198</c:v>
                </c:pt>
                <c:pt idx="15">
                  <c:v>0.49186659969848351</c:v>
                </c:pt>
                <c:pt idx="16">
                  <c:v>0.48234541256775737</c:v>
                </c:pt>
                <c:pt idx="17">
                  <c:v>0.47282936138607756</c:v>
                </c:pt>
                <c:pt idx="18">
                  <c:v>0.46331818016621046</c:v>
                </c:pt>
                <c:pt idx="19">
                  <c:v>0.45381162097628946</c:v>
                </c:pt>
                <c:pt idx="20">
                  <c:v>0.44430945243336933</c:v>
                </c:pt>
                <c:pt idx="21">
                  <c:v>0.43481145834533114</c:v>
                </c:pt>
                <c:pt idx="22">
                  <c:v>0.4253174364843732</c:v>
                </c:pt>
                <c:pt idx="23">
                  <c:v>0.41582719747744545</c:v>
                </c:pt>
                <c:pt idx="24">
                  <c:v>0.40634056380082556</c:v>
                </c:pt>
                <c:pt idx="25">
                  <c:v>0.39685736886760853</c:v>
                </c:pt>
                <c:pt idx="26">
                  <c:v>0.38737745619824149</c:v>
                </c:pt>
                <c:pt idx="27">
                  <c:v>0.37790067866542248</c:v>
                </c:pt>
                <c:pt idx="28">
                  <c:v>0.3684268978056946</c:v>
                </c:pt>
                <c:pt idx="29">
                  <c:v>0.35895598319096739</c:v>
                </c:pt>
                <c:pt idx="30">
                  <c:v>0.34948781185396305</c:v>
                </c:pt>
                <c:pt idx="31">
                  <c:v>0.34002226776226602</c:v>
                </c:pt>
                <c:pt idx="32">
                  <c:v>0.33055924133624726</c:v>
                </c:pt>
                <c:pt idx="33">
                  <c:v>0.32109862900664932</c:v>
                </c:pt>
                <c:pt idx="34">
                  <c:v>0.31164033280807996</c:v>
                </c:pt>
                <c:pt idx="35">
                  <c:v>0.30218426000505744</c:v>
                </c:pt>
                <c:pt idx="36">
                  <c:v>0.2927303227476063</c:v>
                </c:pt>
                <c:pt idx="37">
                  <c:v>0.28327843775371514</c:v>
                </c:pt>
                <c:pt idx="38">
                  <c:v>0.27382852601624547</c:v>
                </c:pt>
                <c:pt idx="39">
                  <c:v>0.26438051253211936</c:v>
                </c:pt>
                <c:pt idx="40">
                  <c:v>0.25493432605183675</c:v>
                </c:pt>
                <c:pt idx="41">
                  <c:v>0.24548989884756464</c:v>
                </c:pt>
                <c:pt idx="42">
                  <c:v>0.23604716649820973</c:v>
                </c:pt>
                <c:pt idx="43">
                  <c:v>0.22660606769004246</c:v>
                </c:pt>
                <c:pt idx="44">
                  <c:v>0.21716654403157293</c:v>
                </c:pt>
                <c:pt idx="45">
                  <c:v>0.20772853988150808</c:v>
                </c:pt>
                <c:pt idx="46">
                  <c:v>0.19829200218871981</c:v>
                </c:pt>
                <c:pt idx="47">
                  <c:v>0.18885688034326031</c:v>
                </c:pt>
                <c:pt idx="48">
                  <c:v>0.17942312603754323</c:v>
                </c:pt>
                <c:pt idx="49">
                  <c:v>0.16999069313689133</c:v>
                </c:pt>
                <c:pt idx="50">
                  <c:v>0.16055953755872202</c:v>
                </c:pt>
                <c:pt idx="51">
                  <c:v>0.15112961715970391</c:v>
                </c:pt>
                <c:pt idx="52">
                  <c:v>0.14170089163027863</c:v>
                </c:pt>
                <c:pt idx="53">
                  <c:v>0.13227332239599457</c:v>
                </c:pt>
                <c:pt idx="54">
                  <c:v>0.12284687252514083</c:v>
                </c:pt>
                <c:pt idx="55">
                  <c:v>0.60035307064299614</c:v>
                </c:pt>
                <c:pt idx="56">
                  <c:v>0.60035308113708918</c:v>
                </c:pt>
                <c:pt idx="57">
                  <c:v>0.60035309152813054</c:v>
                </c:pt>
                <c:pt idx="58">
                  <c:v>0.6003531018176308</c:v>
                </c:pt>
                <c:pt idx="59">
                  <c:v>0.60035311200707109</c:v>
                </c:pt>
                <c:pt idx="60">
                  <c:v>0.60035312209790392</c:v>
                </c:pt>
                <c:pt idx="61">
                  <c:v>0.60035313209155372</c:v>
                </c:pt>
                <c:pt idx="62">
                  <c:v>0.60035314198941769</c:v>
                </c:pt>
                <c:pt idx="63">
                  <c:v>0.60035315179286652</c:v>
                </c:pt>
                <c:pt idx="64">
                  <c:v>0.60035316150324458</c:v>
                </c:pt>
                <c:pt idx="65">
                  <c:v>0.60035317112187114</c:v>
                </c:pt>
                <c:pt idx="66">
                  <c:v>0.60035318065004029</c:v>
                </c:pt>
                <c:pt idx="67">
                  <c:v>0.60035319008902222</c:v>
                </c:pt>
                <c:pt idx="68">
                  <c:v>0.60035319944006338</c:v>
                </c:pt>
                <c:pt idx="69">
                  <c:v>0.60035320870438691</c:v>
                </c:pt>
                <c:pt idx="70">
                  <c:v>0.60035321788319373</c:v>
                </c:pt>
                <c:pt idx="71">
                  <c:v>0.60035322697766225</c:v>
                </c:pt>
                <c:pt idx="72">
                  <c:v>0.60035323598894974</c:v>
                </c:pt>
                <c:pt idx="73">
                  <c:v>0.60035324491819209</c:v>
                </c:pt>
                <c:pt idx="74">
                  <c:v>0.60035325376650472</c:v>
                </c:pt>
                <c:pt idx="75">
                  <c:v>0.60035326253498289</c:v>
                </c:pt>
                <c:pt idx="76">
                  <c:v>0.60035327122470239</c:v>
                </c:pt>
                <c:pt idx="77">
                  <c:v>0.60035327983671949</c:v>
                </c:pt>
                <c:pt idx="78">
                  <c:v>0.60035328837207169</c:v>
                </c:pt>
                <c:pt idx="79">
                  <c:v>0.60035329683177818</c:v>
                </c:pt>
                <c:pt idx="80">
                  <c:v>0.60035330521684027</c:v>
                </c:pt>
                <c:pt idx="81">
                  <c:v>0.60035331352824151</c:v>
                </c:pt>
                <c:pt idx="82">
                  <c:v>0.60035332176694822</c:v>
                </c:pt>
                <c:pt idx="83">
                  <c:v>0.60035332993391011</c:v>
                </c:pt>
                <c:pt idx="84">
                  <c:v>0.60035333803006008</c:v>
                </c:pt>
                <c:pt idx="85">
                  <c:v>0.6003533460563153</c:v>
                </c:pt>
                <c:pt idx="86">
                  <c:v>0.60035335401357692</c:v>
                </c:pt>
                <c:pt idx="87">
                  <c:v>0.6003533619027307</c:v>
                </c:pt>
                <c:pt idx="88">
                  <c:v>0.60035336972464748</c:v>
                </c:pt>
                <c:pt idx="89">
                  <c:v>0.60035337748018291</c:v>
                </c:pt>
                <c:pt idx="90">
                  <c:v>0.60035338517017878</c:v>
                </c:pt>
                <c:pt idx="91">
                  <c:v>0.60035339279546207</c:v>
                </c:pt>
                <c:pt idx="92">
                  <c:v>0.60035340035684637</c:v>
                </c:pt>
                <c:pt idx="93">
                  <c:v>0.60035340785513147</c:v>
                </c:pt>
                <c:pt idx="94">
                  <c:v>0.60035341529110398</c:v>
                </c:pt>
                <c:pt idx="95">
                  <c:v>0.60035342266553748</c:v>
                </c:pt>
                <c:pt idx="96">
                  <c:v>0.60035342997919261</c:v>
                </c:pt>
                <c:pt idx="97">
                  <c:v>0.60035343723281775</c:v>
                </c:pt>
                <c:pt idx="98">
                  <c:v>0.60035344442714889</c:v>
                </c:pt>
                <c:pt idx="99">
                  <c:v>0.6003534515629102</c:v>
                </c:pt>
                <c:pt idx="100">
                  <c:v>0.60035345864081402</c:v>
                </c:pt>
                <c:pt idx="101">
                  <c:v>0.60035346566156111</c:v>
                </c:pt>
                <c:pt idx="102">
                  <c:v>0.60035347262584116</c:v>
                </c:pt>
                <c:pt idx="103">
                  <c:v>0.60035347953433249</c:v>
                </c:pt>
                <c:pt idx="104">
                  <c:v>0.60035348638770292</c:v>
                </c:pt>
                <c:pt idx="105">
                  <c:v>0.60035349318660947</c:v>
                </c:pt>
                <c:pt idx="106">
                  <c:v>0.60035349993169884</c:v>
                </c:pt>
                <c:pt idx="107">
                  <c:v>0.60035350662360742</c:v>
                </c:pt>
                <c:pt idx="108">
                  <c:v>0.60035351326296171</c:v>
                </c:pt>
                <c:pt idx="109">
                  <c:v>0.60035351985037855</c:v>
                </c:pt>
                <c:pt idx="110">
                  <c:v>0.60035352638646478</c:v>
                </c:pt>
                <c:pt idx="111">
                  <c:v>0.60035353287181814</c:v>
                </c:pt>
                <c:pt idx="112">
                  <c:v>0.60035353930702706</c:v>
                </c:pt>
                <c:pt idx="113">
                  <c:v>0.60035354569267074</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0"/>
          <c:extLst>
            <c:ext xmlns:c16="http://schemas.microsoft.com/office/drawing/2014/chart" uri="{C3380CC4-5D6E-409C-BE32-E72D297353CC}">
              <c16:uniqueId val="{00000000-3B86-487D-8A5B-EE4E3C3187EF}"/>
            </c:ext>
          </c:extLst>
        </c:ser>
        <c:dLbls>
          <c:showLegendKey val="0"/>
          <c:showVal val="0"/>
          <c:showCatName val="0"/>
          <c:showSerName val="0"/>
          <c:showPercent val="0"/>
          <c:showBubbleSize val="0"/>
        </c:dLbls>
        <c:axId val="198908928"/>
        <c:axId val="198919296"/>
      </c:scatterChart>
      <c:scatterChart>
        <c:scatterStyle val="lineMarker"/>
        <c:varyColors val="0"/>
        <c:ser>
          <c:idx val="0"/>
          <c:order val="0"/>
          <c:tx>
            <c:v>Buck D</c:v>
          </c:tx>
          <c:spPr>
            <a:ln w="31750">
              <a:solidFill>
                <a:srgbClr val="0000FF"/>
              </a:solidFill>
              <a:prstDash val="sysDash"/>
            </a:ln>
          </c:spPr>
          <c:marker>
            <c:symbol val="none"/>
          </c:marker>
          <c:xVal>
            <c:numRef>
              <c:f>'Efficiency vs VIN Calculations'!$H$9:$H$209</c:f>
              <c:numCache>
                <c:formatCode>0.00</c:formatCode>
                <c:ptCount val="201"/>
                <c:pt idx="0">
                  <c:v>6</c:v>
                </c:pt>
                <c:pt idx="1">
                  <c:v>6.15</c:v>
                </c:pt>
                <c:pt idx="2">
                  <c:v>6.3</c:v>
                </c:pt>
                <c:pt idx="3">
                  <c:v>6.45</c:v>
                </c:pt>
                <c:pt idx="4">
                  <c:v>6.6</c:v>
                </c:pt>
                <c:pt idx="5">
                  <c:v>6.75</c:v>
                </c:pt>
                <c:pt idx="6">
                  <c:v>6.9</c:v>
                </c:pt>
                <c:pt idx="7">
                  <c:v>7.05</c:v>
                </c:pt>
                <c:pt idx="8">
                  <c:v>7.2</c:v>
                </c:pt>
                <c:pt idx="9">
                  <c:v>7.35</c:v>
                </c:pt>
                <c:pt idx="10">
                  <c:v>7.5</c:v>
                </c:pt>
                <c:pt idx="11">
                  <c:v>7.65</c:v>
                </c:pt>
                <c:pt idx="12">
                  <c:v>7.8</c:v>
                </c:pt>
                <c:pt idx="13">
                  <c:v>7.95</c:v>
                </c:pt>
                <c:pt idx="14">
                  <c:v>8.1</c:v>
                </c:pt>
                <c:pt idx="15">
                  <c:v>8.25</c:v>
                </c:pt>
                <c:pt idx="16">
                  <c:v>8.4</c:v>
                </c:pt>
                <c:pt idx="17">
                  <c:v>8.5500000000000007</c:v>
                </c:pt>
                <c:pt idx="18">
                  <c:v>8.6999999999999993</c:v>
                </c:pt>
                <c:pt idx="19">
                  <c:v>8.85</c:v>
                </c:pt>
                <c:pt idx="20">
                  <c:v>9</c:v>
                </c:pt>
                <c:pt idx="21">
                  <c:v>9.15</c:v>
                </c:pt>
                <c:pt idx="22">
                  <c:v>9.3000000000000007</c:v>
                </c:pt>
                <c:pt idx="23">
                  <c:v>9.4499999999999993</c:v>
                </c:pt>
                <c:pt idx="24">
                  <c:v>9.6</c:v>
                </c:pt>
                <c:pt idx="25">
                  <c:v>9.75</c:v>
                </c:pt>
                <c:pt idx="26">
                  <c:v>9.9</c:v>
                </c:pt>
                <c:pt idx="27">
                  <c:v>10.050000000000001</c:v>
                </c:pt>
                <c:pt idx="28">
                  <c:v>10.199999999999999</c:v>
                </c:pt>
                <c:pt idx="29">
                  <c:v>10.35</c:v>
                </c:pt>
                <c:pt idx="30">
                  <c:v>10.5</c:v>
                </c:pt>
                <c:pt idx="31">
                  <c:v>10.65</c:v>
                </c:pt>
                <c:pt idx="32">
                  <c:v>10.8</c:v>
                </c:pt>
                <c:pt idx="33">
                  <c:v>10.95</c:v>
                </c:pt>
                <c:pt idx="34">
                  <c:v>11.100000000000001</c:v>
                </c:pt>
                <c:pt idx="35">
                  <c:v>11.25</c:v>
                </c:pt>
                <c:pt idx="36">
                  <c:v>11.399999999999999</c:v>
                </c:pt>
                <c:pt idx="37">
                  <c:v>11.55</c:v>
                </c:pt>
                <c:pt idx="38">
                  <c:v>11.7</c:v>
                </c:pt>
                <c:pt idx="39">
                  <c:v>11.850000000000001</c:v>
                </c:pt>
                <c:pt idx="40">
                  <c:v>12</c:v>
                </c:pt>
                <c:pt idx="41">
                  <c:v>12.149999999999999</c:v>
                </c:pt>
                <c:pt idx="42">
                  <c:v>12.3</c:v>
                </c:pt>
                <c:pt idx="43">
                  <c:v>12.45</c:v>
                </c:pt>
                <c:pt idx="44">
                  <c:v>12.6</c:v>
                </c:pt>
                <c:pt idx="45">
                  <c:v>12.75</c:v>
                </c:pt>
                <c:pt idx="46">
                  <c:v>12.9</c:v>
                </c:pt>
                <c:pt idx="47">
                  <c:v>13.05</c:v>
                </c:pt>
                <c:pt idx="48">
                  <c:v>13.2</c:v>
                </c:pt>
                <c:pt idx="49">
                  <c:v>13.35</c:v>
                </c:pt>
                <c:pt idx="50">
                  <c:v>13.5</c:v>
                </c:pt>
                <c:pt idx="51">
                  <c:v>13.65</c:v>
                </c:pt>
                <c:pt idx="52">
                  <c:v>13.8</c:v>
                </c:pt>
                <c:pt idx="53">
                  <c:v>13.95</c:v>
                </c:pt>
                <c:pt idx="54">
                  <c:v>14.100000000000001</c:v>
                </c:pt>
                <c:pt idx="55">
                  <c:v>14.25</c:v>
                </c:pt>
                <c:pt idx="56">
                  <c:v>14.4</c:v>
                </c:pt>
                <c:pt idx="57">
                  <c:v>14.549999999999999</c:v>
                </c:pt>
                <c:pt idx="58">
                  <c:v>14.7</c:v>
                </c:pt>
                <c:pt idx="59">
                  <c:v>14.85</c:v>
                </c:pt>
                <c:pt idx="60">
                  <c:v>15</c:v>
                </c:pt>
                <c:pt idx="61">
                  <c:v>15.15</c:v>
                </c:pt>
                <c:pt idx="62">
                  <c:v>15.3</c:v>
                </c:pt>
                <c:pt idx="63">
                  <c:v>15.45</c:v>
                </c:pt>
                <c:pt idx="64">
                  <c:v>15.6</c:v>
                </c:pt>
                <c:pt idx="65">
                  <c:v>15.75</c:v>
                </c:pt>
                <c:pt idx="66">
                  <c:v>15.9</c:v>
                </c:pt>
                <c:pt idx="67">
                  <c:v>16.05</c:v>
                </c:pt>
                <c:pt idx="68">
                  <c:v>16.200000000000003</c:v>
                </c:pt>
                <c:pt idx="69">
                  <c:v>16.350000000000001</c:v>
                </c:pt>
                <c:pt idx="70">
                  <c:v>16.5</c:v>
                </c:pt>
                <c:pt idx="71">
                  <c:v>16.649999999999999</c:v>
                </c:pt>
                <c:pt idx="72">
                  <c:v>16.799999999999997</c:v>
                </c:pt>
                <c:pt idx="73">
                  <c:v>16.95</c:v>
                </c:pt>
                <c:pt idx="74">
                  <c:v>17.100000000000001</c:v>
                </c:pt>
                <c:pt idx="75">
                  <c:v>17.25</c:v>
                </c:pt>
                <c:pt idx="76">
                  <c:v>17.399999999999999</c:v>
                </c:pt>
                <c:pt idx="77">
                  <c:v>17.55</c:v>
                </c:pt>
                <c:pt idx="78">
                  <c:v>17.700000000000003</c:v>
                </c:pt>
                <c:pt idx="79">
                  <c:v>17.850000000000001</c:v>
                </c:pt>
                <c:pt idx="80">
                  <c:v>18</c:v>
                </c:pt>
                <c:pt idx="81">
                  <c:v>18.149999999999999</c:v>
                </c:pt>
                <c:pt idx="82">
                  <c:v>18.299999999999997</c:v>
                </c:pt>
                <c:pt idx="83">
                  <c:v>18.45</c:v>
                </c:pt>
                <c:pt idx="84">
                  <c:v>18.600000000000001</c:v>
                </c:pt>
                <c:pt idx="85">
                  <c:v>18.75</c:v>
                </c:pt>
                <c:pt idx="86">
                  <c:v>18.899999999999999</c:v>
                </c:pt>
                <c:pt idx="87">
                  <c:v>19.05</c:v>
                </c:pt>
                <c:pt idx="88">
                  <c:v>19.2</c:v>
                </c:pt>
                <c:pt idx="89">
                  <c:v>19.350000000000001</c:v>
                </c:pt>
                <c:pt idx="90">
                  <c:v>19.5</c:v>
                </c:pt>
                <c:pt idx="91">
                  <c:v>19.649999999999999</c:v>
                </c:pt>
                <c:pt idx="92">
                  <c:v>19.8</c:v>
                </c:pt>
                <c:pt idx="93">
                  <c:v>19.950000000000003</c:v>
                </c:pt>
                <c:pt idx="94">
                  <c:v>20.100000000000001</c:v>
                </c:pt>
                <c:pt idx="95">
                  <c:v>20.25</c:v>
                </c:pt>
                <c:pt idx="96">
                  <c:v>20.399999999999999</c:v>
                </c:pt>
                <c:pt idx="97">
                  <c:v>20.549999999999997</c:v>
                </c:pt>
                <c:pt idx="98">
                  <c:v>20.7</c:v>
                </c:pt>
                <c:pt idx="99">
                  <c:v>20.85</c:v>
                </c:pt>
                <c:pt idx="100">
                  <c:v>21</c:v>
                </c:pt>
                <c:pt idx="101">
                  <c:v>21.15</c:v>
                </c:pt>
                <c:pt idx="102">
                  <c:v>21.3</c:v>
                </c:pt>
                <c:pt idx="103">
                  <c:v>21.450000000000003</c:v>
                </c:pt>
                <c:pt idx="104">
                  <c:v>21.6</c:v>
                </c:pt>
                <c:pt idx="105">
                  <c:v>21.75</c:v>
                </c:pt>
                <c:pt idx="106">
                  <c:v>21.9</c:v>
                </c:pt>
                <c:pt idx="107">
                  <c:v>22.05</c:v>
                </c:pt>
                <c:pt idx="108">
                  <c:v>22.200000000000003</c:v>
                </c:pt>
                <c:pt idx="109">
                  <c:v>22.35</c:v>
                </c:pt>
                <c:pt idx="110">
                  <c:v>22.5</c:v>
                </c:pt>
                <c:pt idx="111">
                  <c:v>22.650000000000002</c:v>
                </c:pt>
                <c:pt idx="112">
                  <c:v>22.8</c:v>
                </c:pt>
                <c:pt idx="113">
                  <c:v>22.95</c:v>
                </c:pt>
                <c:pt idx="114">
                  <c:v>23.099999999999998</c:v>
                </c:pt>
                <c:pt idx="115">
                  <c:v>23.25</c:v>
                </c:pt>
                <c:pt idx="116">
                  <c:v>23.4</c:v>
                </c:pt>
                <c:pt idx="117">
                  <c:v>23.549999999999997</c:v>
                </c:pt>
                <c:pt idx="118">
                  <c:v>23.7</c:v>
                </c:pt>
                <c:pt idx="119">
                  <c:v>23.849999999999998</c:v>
                </c:pt>
                <c:pt idx="120">
                  <c:v>24</c:v>
                </c:pt>
                <c:pt idx="121">
                  <c:v>24.15</c:v>
                </c:pt>
                <c:pt idx="122">
                  <c:v>24.3</c:v>
                </c:pt>
                <c:pt idx="123">
                  <c:v>24.45</c:v>
                </c:pt>
                <c:pt idx="124">
                  <c:v>24.6</c:v>
                </c:pt>
                <c:pt idx="125">
                  <c:v>24.75</c:v>
                </c:pt>
                <c:pt idx="126">
                  <c:v>24.9</c:v>
                </c:pt>
                <c:pt idx="127">
                  <c:v>25.05</c:v>
                </c:pt>
                <c:pt idx="128">
                  <c:v>25.2</c:v>
                </c:pt>
                <c:pt idx="129">
                  <c:v>25.35</c:v>
                </c:pt>
                <c:pt idx="130">
                  <c:v>25.5</c:v>
                </c:pt>
                <c:pt idx="131">
                  <c:v>25.650000000000002</c:v>
                </c:pt>
                <c:pt idx="132">
                  <c:v>25.8</c:v>
                </c:pt>
                <c:pt idx="133">
                  <c:v>25.950000000000003</c:v>
                </c:pt>
                <c:pt idx="134">
                  <c:v>26.1</c:v>
                </c:pt>
                <c:pt idx="135">
                  <c:v>26.25</c:v>
                </c:pt>
                <c:pt idx="136">
                  <c:v>26.400000000000002</c:v>
                </c:pt>
                <c:pt idx="137">
                  <c:v>26.55</c:v>
                </c:pt>
                <c:pt idx="138">
                  <c:v>26.7</c:v>
                </c:pt>
                <c:pt idx="139">
                  <c:v>26.849999999999998</c:v>
                </c:pt>
                <c:pt idx="140">
                  <c:v>27</c:v>
                </c:pt>
                <c:pt idx="141">
                  <c:v>27.15</c:v>
                </c:pt>
                <c:pt idx="142">
                  <c:v>27.299999999999997</c:v>
                </c:pt>
                <c:pt idx="143">
                  <c:v>27.45</c:v>
                </c:pt>
                <c:pt idx="144">
                  <c:v>27.599999999999998</c:v>
                </c:pt>
                <c:pt idx="145">
                  <c:v>27.75</c:v>
                </c:pt>
                <c:pt idx="146">
                  <c:v>27.9</c:v>
                </c:pt>
                <c:pt idx="147">
                  <c:v>28.05</c:v>
                </c:pt>
                <c:pt idx="148">
                  <c:v>28.2</c:v>
                </c:pt>
                <c:pt idx="149">
                  <c:v>28.35</c:v>
                </c:pt>
                <c:pt idx="150">
                  <c:v>28.5</c:v>
                </c:pt>
                <c:pt idx="151">
                  <c:v>28.65</c:v>
                </c:pt>
                <c:pt idx="152">
                  <c:v>28.8</c:v>
                </c:pt>
                <c:pt idx="153">
                  <c:v>28.95</c:v>
                </c:pt>
                <c:pt idx="154">
                  <c:v>29.1</c:v>
                </c:pt>
                <c:pt idx="155">
                  <c:v>29.25</c:v>
                </c:pt>
                <c:pt idx="156">
                  <c:v>29.400000000000002</c:v>
                </c:pt>
                <c:pt idx="157">
                  <c:v>29.55</c:v>
                </c:pt>
                <c:pt idx="158">
                  <c:v>29.700000000000003</c:v>
                </c:pt>
                <c:pt idx="159">
                  <c:v>29.85</c:v>
                </c:pt>
                <c:pt idx="160">
                  <c:v>30</c:v>
                </c:pt>
                <c:pt idx="161">
                  <c:v>30.150000000000002</c:v>
                </c:pt>
                <c:pt idx="162">
                  <c:v>30.3</c:v>
                </c:pt>
                <c:pt idx="163">
                  <c:v>30.45</c:v>
                </c:pt>
                <c:pt idx="164">
                  <c:v>30.599999999999998</c:v>
                </c:pt>
                <c:pt idx="165">
                  <c:v>30.75</c:v>
                </c:pt>
                <c:pt idx="166">
                  <c:v>30.9</c:v>
                </c:pt>
                <c:pt idx="167">
                  <c:v>31.049999999999997</c:v>
                </c:pt>
                <c:pt idx="168">
                  <c:v>31.2</c:v>
                </c:pt>
                <c:pt idx="169">
                  <c:v>31.349999999999998</c:v>
                </c:pt>
                <c:pt idx="170">
                  <c:v>31.5</c:v>
                </c:pt>
                <c:pt idx="171">
                  <c:v>31.65</c:v>
                </c:pt>
                <c:pt idx="172">
                  <c:v>31.8</c:v>
                </c:pt>
                <c:pt idx="173">
                  <c:v>31.95</c:v>
                </c:pt>
                <c:pt idx="174">
                  <c:v>32.1</c:v>
                </c:pt>
                <c:pt idx="175">
                  <c:v>32.25</c:v>
                </c:pt>
                <c:pt idx="176">
                  <c:v>32.4</c:v>
                </c:pt>
                <c:pt idx="177">
                  <c:v>32.549999999999997</c:v>
                </c:pt>
                <c:pt idx="178">
                  <c:v>32.700000000000003</c:v>
                </c:pt>
                <c:pt idx="179">
                  <c:v>32.85</c:v>
                </c:pt>
                <c:pt idx="180">
                  <c:v>33</c:v>
                </c:pt>
                <c:pt idx="181">
                  <c:v>33.150000000000006</c:v>
                </c:pt>
                <c:pt idx="182">
                  <c:v>33.299999999999997</c:v>
                </c:pt>
                <c:pt idx="183">
                  <c:v>33.450000000000003</c:v>
                </c:pt>
                <c:pt idx="184">
                  <c:v>33.6</c:v>
                </c:pt>
                <c:pt idx="185">
                  <c:v>33.75</c:v>
                </c:pt>
                <c:pt idx="186">
                  <c:v>33.900000000000006</c:v>
                </c:pt>
                <c:pt idx="187">
                  <c:v>34.049999999999997</c:v>
                </c:pt>
                <c:pt idx="188">
                  <c:v>34.200000000000003</c:v>
                </c:pt>
                <c:pt idx="189">
                  <c:v>34.349999999999994</c:v>
                </c:pt>
                <c:pt idx="190">
                  <c:v>34.5</c:v>
                </c:pt>
                <c:pt idx="191">
                  <c:v>34.65</c:v>
                </c:pt>
                <c:pt idx="192">
                  <c:v>34.799999999999997</c:v>
                </c:pt>
                <c:pt idx="193">
                  <c:v>34.950000000000003</c:v>
                </c:pt>
                <c:pt idx="194">
                  <c:v>35.099999999999994</c:v>
                </c:pt>
                <c:pt idx="195">
                  <c:v>35.25</c:v>
                </c:pt>
                <c:pt idx="196">
                  <c:v>35.4</c:v>
                </c:pt>
                <c:pt idx="197">
                  <c:v>35.549999999999997</c:v>
                </c:pt>
                <c:pt idx="198">
                  <c:v>35.700000000000003</c:v>
                </c:pt>
                <c:pt idx="199">
                  <c:v>35.85</c:v>
                </c:pt>
                <c:pt idx="200">
                  <c:v>36</c:v>
                </c:pt>
              </c:numCache>
            </c:numRef>
          </c:xVal>
          <c:yVal>
            <c:numRef>
              <c:f>'Efficiency vs VIN Calculations'!$T$9:$T$209</c:f>
              <c:numCache>
                <c:formatCode>0.000</c:formatCode>
                <c:ptCount val="2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0.24611635934669882</c:v>
                </c:pt>
                <c:pt idx="56">
                  <c:v>0.24193971032134071</c:v>
                </c:pt>
                <c:pt idx="57">
                  <c:v>0.23780407585269653</c:v>
                </c:pt>
                <c:pt idx="58">
                  <c:v>0.23370885475019534</c:v>
                </c:pt>
                <c:pt idx="59">
                  <c:v>0.22965345751578983</c:v>
                </c:pt>
                <c:pt idx="60">
                  <c:v>0.2256373060610721</c:v>
                </c:pt>
                <c:pt idx="61">
                  <c:v>0.22165983343256354</c:v>
                </c:pt>
                <c:pt idx="62">
                  <c:v>0.21772048354490328</c:v>
                </c:pt>
                <c:pt idx="63">
                  <c:v>0.21381871092167229</c:v>
                </c:pt>
                <c:pt idx="64">
                  <c:v>0.2099539804435985</c:v>
                </c:pt>
                <c:pt idx="65">
                  <c:v>0.20612576710390024</c:v>
                </c:pt>
                <c:pt idx="66">
                  <c:v>0.20233355577053141</c:v>
                </c:pt>
                <c:pt idx="67">
                  <c:v>0.19857684095510364</c:v>
                </c:pt>
                <c:pt idx="68">
                  <c:v>0.19485512658826667</c:v>
                </c:pt>
                <c:pt idx="69">
                  <c:v>0.19116792580133873</c:v>
                </c:pt>
                <c:pt idx="70">
                  <c:v>0.1875147607139824</c:v>
                </c:pt>
                <c:pt idx="71">
                  <c:v>0.18389516222773503</c:v>
                </c:pt>
                <c:pt idx="72">
                  <c:v>0.18030866982520333</c:v>
                </c:pt>
                <c:pt idx="73">
                  <c:v>0.17675483137474315</c:v>
                </c:pt>
                <c:pt idx="74">
                  <c:v>0.1732332029404503</c:v>
                </c:pt>
                <c:pt idx="75">
                  <c:v>0.16974334859729401</c:v>
                </c:pt>
                <c:pt idx="76">
                  <c:v>0.16628484025123189</c:v>
                </c:pt>
                <c:pt idx="77">
                  <c:v>0.16285725746415092</c:v>
                </c:pt>
                <c:pt idx="78">
                  <c:v>0.15946018728348313</c:v>
                </c:pt>
                <c:pt idx="79">
                  <c:v>0.15609322407635159</c:v>
                </c:pt>
                <c:pt idx="80">
                  <c:v>0.15275596936810651</c:v>
                </c:pt>
                <c:pt idx="81">
                  <c:v>0.14944803168511692</c:v>
                </c:pt>
                <c:pt idx="82">
                  <c:v>0.14616902640168694</c:v>
                </c:pt>
                <c:pt idx="83">
                  <c:v>0.14291857559097185</c:v>
                </c:pt>
                <c:pt idx="84">
                  <c:v>0.13969630787977161</c:v>
                </c:pt>
                <c:pt idx="85">
                  <c:v>0.13650185830708539</c:v>
                </c:pt>
                <c:pt idx="86">
                  <c:v>0.1333348681863134</c:v>
                </c:pt>
                <c:pt idx="87">
                  <c:v>0.13019498497099732</c:v>
                </c:pt>
                <c:pt idx="88">
                  <c:v>0.12708186212399367</c:v>
                </c:pt>
                <c:pt idx="89">
                  <c:v>0.12399515898997721</c:v>
                </c:pt>
                <c:pt idx="90">
                  <c:v>0.12093454067117788</c:v>
                </c:pt>
                <c:pt idx="91">
                  <c:v>0.11789967790625341</c:v>
                </c:pt>
                <c:pt idx="92">
                  <c:v>0.11489024695220822</c:v>
                </c:pt>
                <c:pt idx="93">
                  <c:v>0.11190592946926761</c:v>
                </c:pt>
                <c:pt idx="94">
                  <c:v>0.10894641240862302</c:v>
                </c:pt>
                <c:pt idx="95">
                  <c:v>0.10601138790296311</c:v>
                </c:pt>
                <c:pt idx="96">
                  <c:v>0.10310055315971238</c:v>
                </c:pt>
                <c:pt idx="97">
                  <c:v>0.1002136103568988</c:v>
                </c:pt>
                <c:pt idx="98">
                  <c:v>9.7350266541574068E-2</c:v>
                </c:pt>
                <c:pt idx="99">
                  <c:v>9.4510233530716067E-2</c:v>
                </c:pt>
                <c:pt idx="100">
                  <c:v>9.1693227814540743E-2</c:v>
                </c:pt>
                <c:pt idx="101">
                  <c:v>8.8898970462156876E-2</c:v>
                </c:pt>
                <c:pt idx="102">
                  <c:v>8.6127187029497218E-2</c:v>
                </c:pt>
                <c:pt idx="103">
                  <c:v>8.3377607469462309E-2</c:v>
                </c:pt>
                <c:pt idx="104">
                  <c:v>8.0649966044214996E-2</c:v>
                </c:pt>
                <c:pt idx="105">
                  <c:v>7.7944001239565686E-2</c:v>
                </c:pt>
                <c:pt idx="106">
                  <c:v>7.5259455681391182E-2</c:v>
                </c:pt>
                <c:pt idx="107">
                  <c:v>7.2596076054030054E-2</c:v>
                </c:pt>
                <c:pt idx="108">
                  <c:v>6.9953613020601074E-2</c:v>
                </c:pt>
                <c:pt idx="109">
                  <c:v>6.7331821145191179E-2</c:v>
                </c:pt>
                <c:pt idx="110">
                  <c:v>6.4730458816862388E-2</c:v>
                </c:pt>
                <c:pt idx="111">
                  <c:v>6.2149288175428703E-2</c:v>
                </c:pt>
                <c:pt idx="112">
                  <c:v>5.9588075038954656E-2</c:v>
                </c:pt>
                <c:pt idx="113">
                  <c:v>5.7046588832928326E-2</c:v>
                </c:pt>
                <c:pt idx="114">
                  <c:v>0.69509831071725292</c:v>
                </c:pt>
                <c:pt idx="115">
                  <c:v>0.69061581056215715</c:v>
                </c:pt>
                <c:pt idx="116">
                  <c:v>0.68619075282780306</c:v>
                </c:pt>
                <c:pt idx="117">
                  <c:v>0.68182204037282901</c:v>
                </c:pt>
                <c:pt idx="118">
                  <c:v>0.67750860381942102</c:v>
                </c:pt>
                <c:pt idx="119">
                  <c:v>0.67324940068062566</c:v>
                </c:pt>
                <c:pt idx="120">
                  <c:v>0.66904341452037452</c:v>
                </c:pt>
                <c:pt idx="121">
                  <c:v>0.66488965414479895</c:v>
                </c:pt>
                <c:pt idx="122">
                  <c:v>0.66078715282348288</c:v>
                </c:pt>
                <c:pt idx="123">
                  <c:v>0.65673496753936977</c:v>
                </c:pt>
                <c:pt idx="124">
                  <c:v>0.65273217826609886</c:v>
                </c:pt>
                <c:pt idx="125">
                  <c:v>0.64877788727161112</c:v>
                </c:pt>
                <c:pt idx="126">
                  <c:v>0.64487121844691375</c:v>
                </c:pt>
                <c:pt idx="127">
                  <c:v>0.64101131665895195</c:v>
                </c:pt>
                <c:pt idx="128">
                  <c:v>0.63719734712658271</c:v>
                </c:pt>
                <c:pt idx="129">
                  <c:v>0.63342849481869368</c:v>
                </c:pt>
                <c:pt idx="130">
                  <c:v>0.62970396387355743</c:v>
                </c:pt>
                <c:pt idx="131">
                  <c:v>0.62602297703854959</c:v>
                </c:pt>
                <c:pt idx="132">
                  <c:v>0.62238477512940515</c:v>
                </c:pt>
                <c:pt idx="133">
                  <c:v>0.61878861650822015</c:v>
                </c:pt>
                <c:pt idx="134">
                  <c:v>0.61523377657944722</c:v>
                </c:pt>
                <c:pt idx="135">
                  <c:v>0.61171954730316369</c:v>
                </c:pt>
                <c:pt idx="136">
                  <c:v>0.60824523672492647</c:v>
                </c:pt>
                <c:pt idx="137">
                  <c:v>0.60481016852155833</c:v>
                </c:pt>
                <c:pt idx="138">
                  <c:v>0.60141368156223796</c:v>
                </c:pt>
                <c:pt idx="139">
                  <c:v>0.59805512948429662</c:v>
                </c:pt>
                <c:pt idx="140">
                  <c:v>0.59473388028315022</c:v>
                </c:pt>
                <c:pt idx="141">
                  <c:v>0.59144931591581862</c:v>
                </c:pt>
                <c:pt idx="142">
                  <c:v>0.58820083191751138</c:v>
                </c:pt>
                <c:pt idx="143">
                  <c:v>0.58498783703077883</c:v>
                </c:pt>
                <c:pt idx="144">
                  <c:v>0.5818097528467534</c:v>
                </c:pt>
                <c:pt idx="145">
                  <c:v>0.57866601345801938</c:v>
                </c:pt>
                <c:pt idx="146">
                  <c:v>0.57555606512267832</c:v>
                </c:pt>
                <c:pt idx="147">
                  <c:v>0.57247936593918824</c:v>
                </c:pt>
                <c:pt idx="148">
                  <c:v>0.56943538553157702</c:v>
                </c:pt>
                <c:pt idx="149">
                  <c:v>0.56642360474464393</c:v>
                </c:pt>
                <c:pt idx="150">
                  <c:v>0.56344351534878501</c:v>
                </c:pt>
                <c:pt idx="151">
                  <c:v>0.56049461975408577</c:v>
                </c:pt>
                <c:pt idx="152">
                  <c:v>0.55757643073334628</c:v>
                </c:pt>
                <c:pt idx="153">
                  <c:v>0.55468847115371334</c:v>
                </c:pt>
                <c:pt idx="154">
                  <c:v>0.55183027371660986</c:v>
                </c:pt>
                <c:pt idx="155">
                  <c:v>0.54900138070566362</c:v>
                </c:pt>
                <c:pt idx="156">
                  <c:v>0.54620134374234963</c:v>
                </c:pt>
                <c:pt idx="157">
                  <c:v>0.54342972354907237</c:v>
                </c:pt>
                <c:pt idx="158">
                  <c:v>0.54068608971942478</c:v>
                </c:pt>
                <c:pt idx="159">
                  <c:v>0.53797002049537179</c:v>
                </c:pt>
                <c:pt idx="160">
                  <c:v>0.53528110255111561</c:v>
                </c:pt>
                <c:pt idx="161">
                  <c:v>0.53261893078341127</c:v>
                </c:pt>
                <c:pt idx="162">
                  <c:v>0.52998310810810811</c:v>
                </c:pt>
                <c:pt idx="163">
                  <c:v>0.5273732452627018</c:v>
                </c:pt>
                <c:pt idx="164">
                  <c:v>0.52478896061469305</c:v>
                </c:pt>
                <c:pt idx="165">
                  <c:v>0.52222987997555292</c:v>
                </c:pt>
                <c:pt idx="166">
                  <c:v>0.51969563642010452</c:v>
                </c:pt>
                <c:pt idx="167">
                  <c:v>0.51718587011113837</c:v>
                </c:pt>
                <c:pt idx="168">
                  <c:v>0.51470022812908522</c:v>
                </c:pt>
                <c:pt idx="169">
                  <c:v>0.51223836430657776</c:v>
                </c:pt>
                <c:pt idx="170">
                  <c:v>0.50979993906773635</c:v>
                </c:pt>
                <c:pt idx="171">
                  <c:v>0.50738461927202438</c:v>
                </c:pt>
                <c:pt idx="172">
                  <c:v>0.50499207806252044</c:v>
                </c:pt>
                <c:pt idx="173">
                  <c:v>0.50262199471846414</c:v>
                </c:pt>
                <c:pt idx="174">
                  <c:v>0.50027405451193385</c:v>
                </c:pt>
                <c:pt idx="175">
                  <c:v>0.4979479485685237</c:v>
                </c:pt>
                <c:pt idx="176">
                  <c:v>0.4956433737318886</c:v>
                </c:pt>
                <c:pt idx="177">
                  <c:v>0.49336003243203408</c:v>
                </c:pt>
                <c:pt idx="178">
                  <c:v>0.49109763255722949</c:v>
                </c:pt>
                <c:pt idx="179">
                  <c:v>0.48885588732942997</c:v>
                </c:pt>
                <c:pt idx="180">
                  <c:v>0.48663451518309386</c:v>
                </c:pt>
                <c:pt idx="181">
                  <c:v>0.48443323964729013</c:v>
                </c:pt>
                <c:pt idx="182">
                  <c:v>0.48225178923099099</c:v>
                </c:pt>
                <c:pt idx="183">
                  <c:v>0.48008989731144874</c:v>
                </c:pt>
                <c:pt idx="184">
                  <c:v>0.47794730202556351</c:v>
                </c:pt>
                <c:pt idx="185">
                  <c:v>0.47582374616414502</c:v>
                </c:pt>
                <c:pt idx="186">
                  <c:v>0.47371897706898175</c:v>
                </c:pt>
                <c:pt idx="187">
                  <c:v>0.47163274653263038</c:v>
                </c:pt>
                <c:pt idx="188">
                  <c:v>0.4695648107008395</c:v>
                </c:pt>
                <c:pt idx="189">
                  <c:v>0.46751492997753241</c:v>
                </c:pt>
                <c:pt idx="190">
                  <c:v>0.46548286893226393</c:v>
                </c:pt>
                <c:pt idx="191">
                  <c:v>0.46346839621008418</c:v>
                </c:pt>
                <c:pt idx="192">
                  <c:v>0.46147128444372953</c:v>
                </c:pt>
                <c:pt idx="193">
                  <c:v>0.45949131016807587</c:v>
                </c:pt>
                <c:pt idx="194">
                  <c:v>0.45752825373678463</c:v>
                </c:pt>
                <c:pt idx="195">
                  <c:v>0.45558189924107501</c:v>
                </c:pt>
                <c:pt idx="196">
                  <c:v>0.45365203443056284</c:v>
                </c:pt>
                <c:pt idx="197">
                  <c:v>0.45173845063610091</c:v>
                </c:pt>
                <c:pt idx="198">
                  <c:v>0.44984094269456515</c:v>
                </c:pt>
                <c:pt idx="199">
                  <c:v>0.44795930887552848</c:v>
                </c:pt>
                <c:pt idx="200">
                  <c:v>0.44609335080976609</c:v>
                </c:pt>
              </c:numCache>
            </c:numRef>
          </c:yVal>
          <c:smooth val="0"/>
          <c:extLst>
            <c:ext xmlns:c16="http://schemas.microsoft.com/office/drawing/2014/chart" uri="{C3380CC4-5D6E-409C-BE32-E72D297353CC}">
              <c16:uniqueId val="{00000001-3B86-487D-8A5B-EE4E3C3187EF}"/>
            </c:ext>
          </c:extLst>
        </c:ser>
        <c:dLbls>
          <c:showLegendKey val="0"/>
          <c:showVal val="0"/>
          <c:showCatName val="0"/>
          <c:showSerName val="0"/>
          <c:showPercent val="0"/>
          <c:showBubbleSize val="0"/>
        </c:dLbls>
        <c:axId val="198923392"/>
        <c:axId val="198921216"/>
      </c:scatterChart>
      <c:valAx>
        <c:axId val="198908928"/>
        <c:scaling>
          <c:orientation val="minMax"/>
          <c:max val="18"/>
          <c:min val="6"/>
        </c:scaling>
        <c:delete val="0"/>
        <c:axPos val="b"/>
        <c:majorGridlines/>
        <c:title>
          <c:tx>
            <c:rich>
              <a:bodyPr/>
              <a:lstStyle/>
              <a:p>
                <a:pPr>
                  <a:defRPr sz="1200" b="1" i="0" u="none" strike="noStrike" baseline="0">
                    <a:solidFill>
                      <a:srgbClr val="000000"/>
                    </a:solidFill>
                    <a:latin typeface="Arial"/>
                    <a:ea typeface="Arial"/>
                    <a:cs typeface="Arial"/>
                  </a:defRPr>
                </a:pPr>
                <a:r>
                  <a:rPr lang="en-US" sz="1200"/>
                  <a:t>Input</a:t>
                </a:r>
                <a:r>
                  <a:rPr lang="en-US" sz="1200" baseline="0"/>
                  <a:t> Voltage (V)</a:t>
                </a:r>
                <a:endParaRPr lang="en-US" sz="1200"/>
              </a:p>
            </c:rich>
          </c:tx>
          <c:layout>
            <c:manualLayout>
              <c:xMode val="edge"/>
              <c:yMode val="edge"/>
              <c:x val="0.42044692620593743"/>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98919296"/>
        <c:crosses val="autoZero"/>
        <c:crossBetween val="midCat"/>
      </c:valAx>
      <c:valAx>
        <c:axId val="198919296"/>
        <c:scaling>
          <c:orientation val="minMax"/>
          <c:max val="0.55000000000000004"/>
          <c:min val="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sz="1200">
                    <a:solidFill>
                      <a:srgbClr val="FF0000"/>
                    </a:solidFill>
                  </a:rPr>
                  <a:t>Boost Duty Cycle</a:t>
                </a:r>
              </a:p>
            </c:rich>
          </c:tx>
          <c:layout>
            <c:manualLayout>
              <c:xMode val="edge"/>
              <c:yMode val="edge"/>
              <c:x val="1.7399239437699769E-2"/>
              <c:y val="0.3629036491406316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a:ea typeface="Arial"/>
                <a:cs typeface="Arial"/>
              </a:defRPr>
            </a:pPr>
            <a:endParaRPr lang="en-US"/>
          </a:p>
        </c:txPr>
        <c:crossAx val="198908928"/>
        <c:crosses val="autoZero"/>
        <c:crossBetween val="midCat"/>
        <c:majorUnit val="0.1"/>
        <c:minorUnit val="5.000000000000001E-2"/>
      </c:valAx>
      <c:valAx>
        <c:axId val="198921216"/>
        <c:scaling>
          <c:orientation val="minMax"/>
          <c:max val="1.05"/>
          <c:min val="0.5"/>
        </c:scaling>
        <c:delete val="0"/>
        <c:axPos val="r"/>
        <c:title>
          <c:tx>
            <c:rich>
              <a:bodyPr rot="-5400000" vert="horz"/>
              <a:lstStyle/>
              <a:p>
                <a:pPr>
                  <a:defRPr sz="1200" b="1">
                    <a:solidFill>
                      <a:srgbClr val="0000FF"/>
                    </a:solidFill>
                  </a:defRPr>
                </a:pPr>
                <a:r>
                  <a:rPr lang="en-US" sz="1200" b="1">
                    <a:solidFill>
                      <a:srgbClr val="0000FF"/>
                    </a:solidFill>
                  </a:rPr>
                  <a:t>Buck Duty Cycle</a:t>
                </a:r>
              </a:p>
            </c:rich>
          </c:tx>
          <c:overlay val="0"/>
        </c:title>
        <c:numFmt formatCode="General" sourceLinked="0"/>
        <c:majorTickMark val="out"/>
        <c:minorTickMark val="none"/>
        <c:tickLblPos val="nextTo"/>
        <c:txPr>
          <a:bodyPr/>
          <a:lstStyle/>
          <a:p>
            <a:pPr>
              <a:defRPr sz="1050" b="1">
                <a:solidFill>
                  <a:srgbClr val="0000FF"/>
                </a:solidFill>
              </a:defRPr>
            </a:pPr>
            <a:endParaRPr lang="en-US"/>
          </a:p>
        </c:txPr>
        <c:crossAx val="198923392"/>
        <c:crosses val="max"/>
        <c:crossBetween val="midCat"/>
        <c:majorUnit val="0.1"/>
      </c:valAx>
      <c:valAx>
        <c:axId val="198923392"/>
        <c:scaling>
          <c:orientation val="minMax"/>
        </c:scaling>
        <c:delete val="1"/>
        <c:axPos val="b"/>
        <c:numFmt formatCode="0.00" sourceLinked="1"/>
        <c:majorTickMark val="out"/>
        <c:minorTickMark val="none"/>
        <c:tickLblPos val="nextTo"/>
        <c:crossAx val="19892121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73773316184082571"/>
          <c:y val="0.14112903225806453"/>
          <c:w val="0.15360806990759621"/>
          <c:h val="0.10786681906697147"/>
        </c:manualLayout>
      </c:layout>
      <c:overlay val="0"/>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no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'Efficiency vs Load Calculations'!$BL$8</c:f>
              <c:strCache>
                <c:ptCount val="1"/>
                <c:pt idx="0">
                  <c:v>'CONTROL'' MOSFET Temp Rise</c:v>
                </c:pt>
              </c:strCache>
            </c:strRef>
          </c:tx>
          <c:spPr>
            <a:ln w="31750">
              <a:solidFill>
                <a:srgbClr val="000080"/>
              </a:solidFill>
              <a:prstDash val="dash"/>
            </a:ln>
          </c:spPr>
          <c:marker>
            <c:symbol val="none"/>
          </c:marker>
          <c:xVal>
            <c:numRef>
              <c:f>'Efficiency vs Load Calculations'!$K$9:$K$109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'Efficiency vs Load Calculations'!$BL$9:$BL$109</c:f>
              <c:numCache>
                <c:formatCode>0.0</c:formatCode>
                <c:ptCount val="101"/>
                <c:pt idx="0">
                  <c:v>25.294586652216069</c:v>
                </c:pt>
                <c:pt idx="1">
                  <c:v>25.875234672141222</c:v>
                </c:pt>
                <c:pt idx="2">
                  <c:v>26.209919412233511</c:v>
                </c:pt>
                <c:pt idx="3">
                  <c:v>26.550449338546262</c:v>
                </c:pt>
                <c:pt idx="4">
                  <c:v>26.896848943414323</c:v>
                </c:pt>
                <c:pt idx="5">
                  <c:v>27.249143535359856</c:v>
                </c:pt>
                <c:pt idx="6">
                  <c:v>27.607359245239898</c:v>
                </c:pt>
                <c:pt idx="7">
                  <c:v>27.971523032680931</c:v>
                </c:pt>
                <c:pt idx="8">
                  <c:v>28.34166269280373</c:v>
                </c:pt>
                <c:pt idx="9">
                  <c:v>28.717806863241982</c:v>
                </c:pt>
                <c:pt idx="10">
                  <c:v>29.099985031458441</c:v>
                </c:pt>
                <c:pt idx="11">
                  <c:v>29.488227542362438</c:v>
                </c:pt>
                <c:pt idx="12">
                  <c:v>29.882565606232891</c:v>
                </c:pt>
                <c:pt idx="13">
                  <c:v>30.283031306951095</c:v>
                </c:pt>
                <c:pt idx="14">
                  <c:v>30.689657610547794</c:v>
                </c:pt>
                <c:pt idx="15">
                  <c:v>31.102478374069261</c:v>
                </c:pt>
                <c:pt idx="16">
                  <c:v>31.521528354767341</c:v>
                </c:pt>
                <c:pt idx="17">
                  <c:v>31.946843219618586</c:v>
                </c:pt>
                <c:pt idx="18">
                  <c:v>32.378459555177812</c:v>
                </c:pt>
                <c:pt idx="19">
                  <c:v>32.84732255637045</c:v>
                </c:pt>
                <c:pt idx="20">
                  <c:v>33.40084218993637</c:v>
                </c:pt>
                <c:pt idx="21">
                  <c:v>33.960882874277331</c:v>
                </c:pt>
                <c:pt idx="22">
                  <c:v>34.527492703109488</c:v>
                </c:pt>
                <c:pt idx="23">
                  <c:v>35.100720774753881</c:v>
                </c:pt>
                <c:pt idx="24">
                  <c:v>35.680617205992732</c:v>
                </c:pt>
                <c:pt idx="25">
                  <c:v>36.267233146321523</c:v>
                </c:pt>
                <c:pt idx="26">
                  <c:v>36.860620792605417</c:v>
                </c:pt>
                <c:pt idx="27">
                  <c:v>37.460833404148602</c:v>
                </c:pt>
                <c:pt idx="28">
                  <c:v>38.067925318185615</c:v>
                </c:pt>
                <c:pt idx="29">
                  <c:v>38.68195196580384</c:v>
                </c:pt>
                <c:pt idx="30">
                  <c:v>39.302969888306926</c:v>
                </c:pt>
                <c:pt idx="31">
                  <c:v>39.931036754028931</c:v>
                </c:pt>
                <c:pt idx="32">
                  <c:v>40.566211375609662</c:v>
                </c:pt>
                <c:pt idx="33">
                  <c:v>41.208553727741744</c:v>
                </c:pt>
                <c:pt idx="34">
                  <c:v>41.858124965400464</c:v>
                </c:pt>
                <c:pt idx="35">
                  <c:v>42.514987442567843</c:v>
                </c:pt>
                <c:pt idx="36">
                  <c:v>43.179204731462733</c:v>
                </c:pt>
                <c:pt idx="37">
                  <c:v>43.850841642289012</c:v>
                </c:pt>
                <c:pt idx="38">
                  <c:v>44.529964243514662</c:v>
                </c:pt>
                <c:pt idx="39">
                  <c:v>45.216639882694672</c:v>
                </c:pt>
                <c:pt idx="40">
                  <c:v>45.910937207851319</c:v>
                </c:pt>
                <c:pt idx="41">
                  <c:v>46.61292618942565</c:v>
                </c:pt>
                <c:pt idx="42">
                  <c:v>47.32267814281478</c:v>
                </c:pt>
                <c:pt idx="43">
                  <c:v>48.040265751509764</c:v>
                </c:pt>
                <c:pt idx="44">
                  <c:v>48.765763090849454</c:v>
                </c:pt>
                <c:pt idx="45">
                  <c:v>49.499245652406515</c:v>
                </c:pt>
                <c:pt idx="46">
                  <c:v>50.240790369021781</c:v>
                </c:pt>
                <c:pt idx="47">
                  <c:v>50.990475640504172</c:v>
                </c:pt>
                <c:pt idx="48">
                  <c:v>51.748381360013845</c:v>
                </c:pt>
                <c:pt idx="49">
                  <c:v>52.514588941146634</c:v>
                </c:pt>
                <c:pt idx="50">
                  <c:v>53.289181345738861</c:v>
                </c:pt>
                <c:pt idx="51">
                  <c:v>54.072243112411869</c:v>
                </c:pt>
                <c:pt idx="52">
                  <c:v>54.863860385876407</c:v>
                </c:pt>
                <c:pt idx="53">
                  <c:v>55.66412094701797</c:v>
                </c:pt>
                <c:pt idx="54">
                  <c:v>56.473114243784408</c:v>
                </c:pt>
                <c:pt idx="55">
                  <c:v>57.290931422898261</c:v>
                </c:pt>
                <c:pt idx="56">
                  <c:v>58.117665362416993</c:v>
                </c:pt>
                <c:pt idx="57">
                  <c:v>58.953410705164707</c:v>
                </c:pt>
                <c:pt idx="58">
                  <c:v>59.798263893060692</c:v>
                </c:pt>
                <c:pt idx="59">
                  <c:v>60.652323202369608</c:v>
                </c:pt>
                <c:pt idx="60">
                  <c:v>61.515688779900387</c:v>
                </c:pt>
                <c:pt idx="61">
                  <c:v>62.388462680181114</c:v>
                </c:pt>
                <c:pt idx="62">
                  <c:v>63.270748903638008</c:v>
                </c:pt>
                <c:pt idx="63">
                  <c:v>64.162653435808338</c:v>
                </c:pt>
                <c:pt idx="64">
                  <c:v>65.064284287617284</c:v>
                </c:pt>
                <c:pt idx="65">
                  <c:v>65.975751536750451</c:v>
                </c:pt>
                <c:pt idx="66">
                  <c:v>66.897167370154364</c:v>
                </c:pt>
                <c:pt idx="67">
                  <c:v>67.8286461276994</c:v>
                </c:pt>
                <c:pt idx="68">
                  <c:v>68.7703043470392</c:v>
                </c:pt>
                <c:pt idx="69">
                  <c:v>69.722260809703542</c:v>
                </c:pt>
                <c:pt idx="70">
                  <c:v>70.684636588461899</c:v>
                </c:pt>
                <c:pt idx="71">
                  <c:v>71.657555095996642</c:v>
                </c:pt>
                <c:pt idx="72">
                  <c:v>72.641142134926199</c:v>
                </c:pt>
                <c:pt idx="73">
                  <c:v>73.635525949219982</c:v>
                </c:pt>
                <c:pt idx="74">
                  <c:v>74.640837277048448</c:v>
                </c:pt>
                <c:pt idx="75">
                  <c:v>75.657209405113093</c:v>
                </c:pt>
                <c:pt idx="76">
                  <c:v>76.684778224502963</c:v>
                </c:pt>
                <c:pt idx="77">
                  <c:v>77.723682288126113</c:v>
                </c:pt>
                <c:pt idx="78">
                  <c:v>78.774062869765885</c:v>
                </c:pt>
                <c:pt idx="79">
                  <c:v>79.836064024814334</c:v>
                </c:pt>
                <c:pt idx="80">
                  <c:v>80.909832652736014</c:v>
                </c:pt>
                <c:pt idx="81">
                  <c:v>81.995518561318931</c:v>
                </c:pt>
                <c:pt idx="82">
                  <c:v>83.093274532769954</c:v>
                </c:pt>
                <c:pt idx="83">
                  <c:v>84.203256391715641</c:v>
                </c:pt>
                <c:pt idx="84">
                  <c:v>85.325623075170085</c:v>
                </c:pt>
                <c:pt idx="85">
                  <c:v>86.460536704536011</c:v>
                </c:pt>
                <c:pt idx="86">
                  <c:v>87.608162659705215</c:v>
                </c:pt>
                <c:pt idx="87">
                  <c:v>88.768669655329447</c:v>
                </c:pt>
                <c:pt idx="88">
                  <c:v>89.942229819333988</c:v>
                </c:pt>
                <c:pt idx="89">
                  <c:v>91.129018773749635</c:v>
                </c:pt>
                <c:pt idx="90">
                  <c:v>92.32921571794185</c:v>
                </c:pt>
                <c:pt idx="91">
                  <c:v>93.543003514318215</c:v>
                </c:pt>
                <c:pt idx="92">
                  <c:v>94.770568776600001</c:v>
                </c:pt>
                <c:pt idx="93">
                  <c:v>96.012101960745184</c:v>
                </c:pt>
                <c:pt idx="94">
                  <c:v>97.267797458615206</c:v>
                </c:pt>
                <c:pt idx="95">
                  <c:v>98.537853694481086</c:v>
                </c:pt>
                <c:pt idx="96">
                  <c:v>99.822473224467601</c:v>
                </c:pt>
                <c:pt idx="97">
                  <c:v>101.12186283903966</c:v>
                </c:pt>
                <c:pt idx="98">
                  <c:v>102.43623366863788</c:v>
                </c:pt>
                <c:pt idx="99">
                  <c:v>103.76580129257557</c:v>
                </c:pt>
                <c:pt idx="100">
                  <c:v>105.11078585131341</c:v>
                </c:pt>
              </c:numCache>
            </c:numRef>
          </c:yVal>
          <c:smooth val="0"/>
          <c:extLst>
            <c:ext xmlns:c16="http://schemas.microsoft.com/office/drawing/2014/chart" uri="{C3380CC4-5D6E-409C-BE32-E72D297353CC}">
              <c16:uniqueId val="{00000000-1B1D-4223-A89E-0F1635099D50}"/>
            </c:ext>
          </c:extLst>
        </c:ser>
        <c:ser>
          <c:idx val="1"/>
          <c:order val="1"/>
          <c:tx>
            <c:strRef>
              <c:f>'Efficiency vs Load Calculations'!$BM$8</c:f>
              <c:strCache>
                <c:ptCount val="1"/>
                <c:pt idx="0">
                  <c:v>'SYNC'' MOSFET Temp Rise</c:v>
                </c:pt>
              </c:strCache>
            </c:strRef>
          </c:tx>
          <c:spPr>
            <a:ln w="25400">
              <a:solidFill>
                <a:srgbClr val="FF0000"/>
              </a:solidFill>
              <a:prstDash val="solid"/>
            </a:ln>
          </c:spPr>
          <c:marker>
            <c:symbol val="none"/>
          </c:marker>
          <c:xVal>
            <c:numRef>
              <c:f>'Efficiency vs Load Calculations'!$K$9:$K$109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'Efficiency vs Load Calculations'!$BM$9:$BM$109</c:f>
              <c:numCache>
                <c:formatCode>0.0</c:formatCode>
                <c:ptCount val="101"/>
                <c:pt idx="0">
                  <c:v>2.2828673146322003</c:v>
                </c:pt>
                <c:pt idx="1">
                  <c:v>2.4793568717092707</c:v>
                </c:pt>
                <c:pt idx="2">
                  <c:v>2.5976686707405738</c:v>
                </c:pt>
                <c:pt idx="3">
                  <c:v>2.7217955984918558</c:v>
                </c:pt>
                <c:pt idx="4">
                  <c:v>2.8517472235086476</c:v>
                </c:pt>
                <c:pt idx="5">
                  <c:v>2.9875339201741369</c:v>
                </c:pt>
                <c:pt idx="6">
                  <c:v>3.1291668714199368</c:v>
                </c:pt>
                <c:pt idx="7">
                  <c:v>3.2766580717172102</c:v>
                </c:pt>
                <c:pt idx="8">
                  <c:v>3.4300203303497336</c:v>
                </c:pt>
                <c:pt idx="9">
                  <c:v>3.5892672749707479</c:v>
                </c:pt>
                <c:pt idx="10">
                  <c:v>3.7544133554456436</c:v>
                </c:pt>
                <c:pt idx="11">
                  <c:v>3.9254738479826279</c:v>
                </c:pt>
                <c:pt idx="12">
                  <c:v>4.1024648595538071</c:v>
                </c:pt>
                <c:pt idx="13">
                  <c:v>4.2854033326092562</c:v>
                </c:pt>
                <c:pt idx="14">
                  <c:v>4.4743070500868463</c:v>
                </c:pt>
                <c:pt idx="15">
                  <c:v>4.6691946407208009</c:v>
                </c:pt>
                <c:pt idx="16">
                  <c:v>4.8700855846521813</c:v>
                </c:pt>
                <c:pt idx="17">
                  <c:v>5.077000219344626</c:v>
                </c:pt>
                <c:pt idx="18">
                  <c:v>5.2899597458089662</c:v>
                </c:pt>
                <c:pt idx="19">
                  <c:v>5.5398939137390961</c:v>
                </c:pt>
                <c:pt idx="20">
                  <c:v>5.8741971812701186</c:v>
                </c:pt>
                <c:pt idx="21">
                  <c:v>6.2147183911088923</c:v>
                </c:pt>
                <c:pt idx="22">
                  <c:v>6.5614899904366135</c:v>
                </c:pt>
                <c:pt idx="23">
                  <c:v>6.9145453564144637</c:v>
                </c:pt>
                <c:pt idx="24">
                  <c:v>7.2739188062179894</c:v>
                </c:pt>
                <c:pt idx="25">
                  <c:v>7.6396456074284833</c:v>
                </c:pt>
                <c:pt idx="26">
                  <c:v>8.0117619887877005</c:v>
                </c:pt>
                <c:pt idx="27">
                  <c:v>8.3903051513225293</c:v>
                </c:pt>
                <c:pt idx="28">
                  <c:v>8.7753132798465501</c:v>
                </c:pt>
                <c:pt idx="29">
                  <c:v>9.1668255548455519</c:v>
                </c:pt>
                <c:pt idx="30">
                  <c:v>9.5648821647545912</c:v>
                </c:pt>
                <c:pt idx="31">
                  <c:v>9.9695243186341767</c:v>
                </c:pt>
                <c:pt idx="32">
                  <c:v>10.380794259253792</c:v>
                </c:pt>
                <c:pt idx="33">
                  <c:v>10.798735276590936</c:v>
                </c:pt>
                <c:pt idx="34">
                  <c:v>11.22339172175452</c:v>
                </c:pt>
                <c:pt idx="35">
                  <c:v>11.654809021341428</c:v>
                </c:pt>
                <c:pt idx="36">
                  <c:v>12.093033692235799</c:v>
                </c:pt>
                <c:pt idx="37">
                  <c:v>12.538113356860476</c:v>
                </c:pt>
                <c:pt idx="38">
                  <c:v>12.990096758890814</c:v>
                </c:pt>
                <c:pt idx="39">
                  <c:v>13.449033779441228</c:v>
                </c:pt>
                <c:pt idx="40">
                  <c:v>13.91497545373522</c:v>
                </c:pt>
                <c:pt idx="41">
                  <c:v>14.387973988270062</c:v>
                </c:pt>
                <c:pt idx="42">
                  <c:v>14.868082778487794</c:v>
                </c:pt>
                <c:pt idx="43">
                  <c:v>15.355356426964452</c:v>
                </c:pt>
                <c:pt idx="44">
                  <c:v>15.849850762129957</c:v>
                </c:pt>
                <c:pt idx="45">
                  <c:v>16.351622857531673</c:v>
                </c:pt>
                <c:pt idx="46">
                  <c:v>16.860731051654728</c:v>
                </c:pt>
                <c:pt idx="47">
                  <c:v>17.37723496831315</c:v>
                </c:pt>
                <c:pt idx="48">
                  <c:v>17.901195537626013</c:v>
                </c:pt>
                <c:pt idx="49">
                  <c:v>18.432675017593361</c:v>
                </c:pt>
                <c:pt idx="50">
                  <c:v>18.971737016287346</c:v>
                </c:pt>
                <c:pt idx="51">
                  <c:v>19.518446514674419</c:v>
                </c:pt>
                <c:pt idx="52">
                  <c:v>20.072869890084991</c:v>
                </c:pt>
                <c:pt idx="53">
                  <c:v>20.635074940347675</c:v>
                </c:pt>
                <c:pt idx="54">
                  <c:v>21.205130908605653</c:v>
                </c:pt>
                <c:pt idx="55">
                  <c:v>21.783108508833486</c:v>
                </c:pt>
                <c:pt idx="56">
                  <c:v>22.36907995207325</c:v>
                </c:pt>
                <c:pt idx="57">
                  <c:v>22.963118973409621</c:v>
                </c:pt>
                <c:pt idx="58">
                  <c:v>23.565300859704156</c:v>
                </c:pt>
                <c:pt idx="59">
                  <c:v>24.175702478109724</c:v>
                </c:pt>
                <c:pt idx="60">
                  <c:v>24.794402305386928</c:v>
                </c:pt>
                <c:pt idx="61">
                  <c:v>25.421480458045043</c:v>
                </c:pt>
                <c:pt idx="62">
                  <c:v>26.05701872333066</c:v>
                </c:pt>
                <c:pt idx="63">
                  <c:v>26.701100591088391</c:v>
                </c:pt>
                <c:pt idx="64">
                  <c:v>27.353811286518628</c:v>
                </c:pt>
                <c:pt idx="65">
                  <c:v>28.015237803858163</c:v>
                </c:pt>
                <c:pt idx="66">
                  <c:v>28.685468941010637</c:v>
                </c:pt>
                <c:pt idx="67">
                  <c:v>29.364595335154846</c:v>
                </c:pt>
                <c:pt idx="68">
                  <c:v>30.052709499359437</c:v>
                </c:pt>
                <c:pt idx="69">
                  <c:v>30.749905860234033</c:v>
                </c:pt>
                <c:pt idx="70">
                  <c:v>31.456280796648013</c:v>
                </c:pt>
                <c:pt idx="71">
                  <c:v>32.171932679548647</c:v>
                </c:pt>
                <c:pt idx="72">
                  <c:v>32.896961912912317</c:v>
                </c:pt>
                <c:pt idx="73">
                  <c:v>33.63147097586306</c:v>
                </c:pt>
                <c:pt idx="74">
                  <c:v>34.375564465994501</c:v>
                </c:pt>
                <c:pt idx="75">
                  <c:v>35.129349143932103</c:v>
                </c:pt>
                <c:pt idx="76">
                  <c:v>35.892933979174359</c:v>
                </c:pt>
                <c:pt idx="77">
                  <c:v>36.666430197252936</c:v>
                </c:pt>
                <c:pt idx="78">
                  <c:v>37.449951328253135</c:v>
                </c:pt>
                <c:pt idx="79">
                  <c:v>38.243613256737788</c:v>
                </c:pt>
                <c:pt idx="80">
                  <c:v>39.047534273119091</c:v>
                </c:pt>
                <c:pt idx="81">
                  <c:v>39.861835126524859</c:v>
                </c:pt>
                <c:pt idx="82">
                  <c:v>40.686639079207168</c:v>
                </c:pt>
                <c:pt idx="83">
                  <c:v>41.522071962543627</c:v>
                </c:pt>
                <c:pt idx="84">
                  <c:v>42.368262234682362</c:v>
                </c:pt>
                <c:pt idx="85">
                  <c:v>43.225341039885741</c:v>
                </c:pt>
                <c:pt idx="86">
                  <c:v>44.093442269627481</c:v>
                </c:pt>
                <c:pt idx="87">
                  <c:v>44.972702625502208</c:v>
                </c:pt>
                <c:pt idx="88">
                  <c:v>45.86326168400749</c:v>
                </c:pt>
                <c:pt idx="89">
                  <c:v>46.765261963260713</c:v>
                </c:pt>
                <c:pt idx="90">
                  <c:v>47.678848991716642</c:v>
                </c:pt>
                <c:pt idx="91">
                  <c:v>48.604171378952934</c:v>
                </c:pt>
                <c:pt idx="92">
                  <c:v>49.54138088859424</c:v>
                </c:pt>
                <c:pt idx="93">
                  <c:v>50.49063251344819</c:v>
                </c:pt>
                <c:pt idx="94">
                  <c:v>51.452084552929215</c:v>
                </c:pt>
                <c:pt idx="95">
                  <c:v>52.425898692850012</c:v>
                </c:pt>
                <c:pt idx="96">
                  <c:v>53.41224008766217</c:v>
                </c:pt>
                <c:pt idx="97">
                  <c:v>54.411277445232862</c:v>
                </c:pt>
                <c:pt idx="98">
                  <c:v>55.423183114246072</c:v>
                </c:pt>
                <c:pt idx="99">
                  <c:v>56.44813317432169</c:v>
                </c:pt>
                <c:pt idx="100">
                  <c:v>57.48630752894919</c:v>
                </c:pt>
              </c:numCache>
            </c:numRef>
          </c:yVal>
          <c:smooth val="0"/>
          <c:extLst>
            <c:ext xmlns:c16="http://schemas.microsoft.com/office/drawing/2014/chart" uri="{C3380CC4-5D6E-409C-BE32-E72D297353CC}">
              <c16:uniqueId val="{00000001-1B1D-4223-A89E-0F1635099D50}"/>
            </c:ext>
          </c:extLst>
        </c:ser>
        <c:dLbls>
          <c:showLegendKey val="0"/>
          <c:showVal val="0"/>
          <c:showCatName val="0"/>
          <c:showSerName val="0"/>
          <c:showPercent val="0"/>
          <c:showBubbleSize val="0"/>
        </c:dLbls>
        <c:axId val="199431680"/>
        <c:axId val="199433600"/>
      </c:scatterChart>
      <c:valAx>
        <c:axId val="199431680"/>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9433600"/>
        <c:crosses val="autoZero"/>
        <c:crossBetween val="midCat"/>
      </c:valAx>
      <c:valAx>
        <c:axId val="19943360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9431680"/>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vs Load Calculations'!$BR$8</c:f>
              <c:strCache>
                <c:ptCount val="1"/>
                <c:pt idx="0">
                  <c:v>Buck ''Control'' MOSFET Loss</c:v>
                </c:pt>
              </c:strCache>
            </c:strRef>
          </c:tx>
          <c:spPr>
            <a:ln w="25400">
              <a:solidFill>
                <a:srgbClr val="000080"/>
              </a:solidFill>
              <a:prstDash val="dash"/>
            </a:ln>
          </c:spPr>
          <c:marker>
            <c:symbol val="none"/>
          </c:marker>
          <c:xVal>
            <c:numRef>
              <c:f>'Efficiency vs Load Calculations'!$K$9:$K$109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'Efficiency vs Load Calculations'!$BR$9:$BR$109</c:f>
              <c:numCache>
                <c:formatCode>0.000</c:formatCode>
                <c:ptCount val="101"/>
                <c:pt idx="0">
                  <c:v>0.24048276693798412</c:v>
                </c:pt>
                <c:pt idx="1">
                  <c:v>0.24052903217875934</c:v>
                </c:pt>
                <c:pt idx="2">
                  <c:v>0.24066378912188777</c:v>
                </c:pt>
                <c:pt idx="3">
                  <c:v>0.24088705634607868</c:v>
                </c:pt>
                <c:pt idx="4">
                  <c:v>0.24119886463707982</c:v>
                </c:pt>
                <c:pt idx="5">
                  <c:v>0.24159925699829138</c:v>
                </c:pt>
                <c:pt idx="6">
                  <c:v>0.2420882886655969</c:v>
                </c:pt>
                <c:pt idx="7">
                  <c:v>0.2426660271264201</c:v>
                </c:pt>
                <c:pt idx="8">
                  <c:v>0.2433325521430208</c:v>
                </c:pt>
                <c:pt idx="9">
                  <c:v>0.24408795578004389</c:v>
                </c:pt>
                <c:pt idx="10">
                  <c:v>0.24493234243634018</c:v>
                </c:pt>
                <c:pt idx="11">
                  <c:v>0.24586582888107872</c:v>
                </c:pt>
                <c:pt idx="12">
                  <c:v>0.2468885442941747</c:v>
                </c:pt>
                <c:pt idx="13">
                  <c:v>0.24800063031105873</c:v>
                </c:pt>
                <c:pt idx="14">
                  <c:v>0.24920224107181629</c:v>
                </c:pt>
                <c:pt idx="15">
                  <c:v>0.25049354327472995</c:v>
                </c:pt>
                <c:pt idx="16">
                  <c:v>0.25187471623425839</c:v>
                </c:pt>
                <c:pt idx="17">
                  <c:v>0.25334595194349047</c:v>
                </c:pt>
                <c:pt idx="18">
                  <c:v>0.25490745514111479</c:v>
                </c:pt>
                <c:pt idx="19">
                  <c:v>0.25655944338294884</c:v>
                </c:pt>
                <c:pt idx="20">
                  <c:v>0.25830214711807414</c:v>
                </c:pt>
                <c:pt idx="21">
                  <c:v>0.26013580976962786</c:v>
                </c:pt>
                <c:pt idx="22">
                  <c:v>0.26206068782030351</c:v>
                </c:pt>
                <c:pt idx="23">
                  <c:v>0.26407705090261746</c:v>
                </c:pt>
                <c:pt idx="24">
                  <c:v>0.26618518189400098</c:v>
                </c:pt>
                <c:pt idx="25">
                  <c:v>0.26838537701678067</c:v>
                </c:pt>
                <c:pt idx="26">
                  <c:v>0.27067794594311367</c:v>
                </c:pt>
                <c:pt idx="27">
                  <c:v>0.27306321190494781</c:v>
                </c:pt>
                <c:pt idx="28">
                  <c:v>0.27554151180908037</c:v>
                </c:pt>
                <c:pt idx="29">
                  <c:v>0.27811319635739207</c:v>
                </c:pt>
                <c:pt idx="30">
                  <c:v>0.28077863017233778</c:v>
                </c:pt>
                <c:pt idx="31">
                  <c:v>0.28353819192777863</c:v>
                </c:pt>
                <c:pt idx="32">
                  <c:v>0.28639227448524374</c:v>
                </c:pt>
                <c:pt idx="33">
                  <c:v>0.28934128503571477</c:v>
                </c:pt>
                <c:pt idx="34">
                  <c:v>0.29238564524703015</c:v>
                </c:pt>
                <c:pt idx="35">
                  <c:v>0.2955257914170088</c:v>
                </c:pt>
                <c:pt idx="36">
                  <c:v>0.29876217463240151</c:v>
                </c:pt>
                <c:pt idx="37">
                  <c:v>0.30209526093377576</c:v>
                </c:pt>
                <c:pt idx="38">
                  <c:v>0.30552553148645228</c:v>
                </c:pt>
                <c:pt idx="39">
                  <c:v>0.30905348275761035</c:v>
                </c:pt>
                <c:pt idx="40">
                  <c:v>0.31267962669968591</c:v>
                </c:pt>
                <c:pt idx="41">
                  <c:v>0.31640449094019207</c:v>
                </c:pt>
                <c:pt idx="42">
                  <c:v>0.32022861897809596</c:v>
                </c:pt>
                <c:pt idx="43">
                  <c:v>0.32415257038689105</c:v>
                </c:pt>
                <c:pt idx="44">
                  <c:v>0.32817692102450968</c:v>
                </c:pt>
                <c:pt idx="45">
                  <c:v>0.33230226325022716</c:v>
                </c:pt>
                <c:pt idx="46">
                  <c:v>0.33652920614871207</c:v>
                </c:pt>
                <c:pt idx="47">
                  <c:v>0.34085837576138694</c:v>
                </c:pt>
                <c:pt idx="48">
                  <c:v>0.34529041532526622</c:v>
                </c:pt>
                <c:pt idx="49">
                  <c:v>0.34982598551944699</c:v>
                </c:pt>
                <c:pt idx="50">
                  <c:v>0.35446576471943381</c:v>
                </c:pt>
                <c:pt idx="51">
                  <c:v>0.35921044925948586</c:v>
                </c:pt>
                <c:pt idx="52">
                  <c:v>0.36406075370318136</c:v>
                </c:pt>
                <c:pt idx="53">
                  <c:v>0.36901741112240261</c:v>
                </c:pt>
                <c:pt idx="54">
                  <c:v>0.37408117338495039</c:v>
                </c:pt>
                <c:pt idx="55">
                  <c:v>0.37925281145100692</c:v>
                </c:pt>
                <c:pt idx="56">
                  <c:v>0.38453311567867243</c:v>
                </c:pt>
                <c:pt idx="57">
                  <c:v>0.38992289613881004</c:v>
                </c:pt>
                <c:pt idx="58">
                  <c:v>0.39542298293944161</c:v>
                </c:pt>
                <c:pt idx="59">
                  <c:v>0.40103422655994692</c:v>
                </c:pt>
                <c:pt idx="60">
                  <c:v>0.40675749819532614</c:v>
                </c:pt>
                <c:pt idx="61">
                  <c:v>0.41259369011079861</c:v>
                </c:pt>
                <c:pt idx="62">
                  <c:v>0.41854371600701556</c:v>
                </c:pt>
                <c:pt idx="63">
                  <c:v>0.4246085113961815</c:v>
                </c:pt>
                <c:pt idx="64">
                  <c:v>0.43078903398938306</c:v>
                </c:pt>
                <c:pt idx="65">
                  <c:v>0.43708626409544005</c:v>
                </c:pt>
                <c:pt idx="66">
                  <c:v>0.44350120503160151</c:v>
                </c:pt>
                <c:pt idx="67">
                  <c:v>0.45003488354642679</c:v>
                </c:pt>
                <c:pt idx="68">
                  <c:v>0.45668835025519661</c:v>
                </c:pt>
                <c:pt idx="69">
                  <c:v>0.46346268008821756</c:v>
                </c:pt>
                <c:pt idx="70">
                  <c:v>0.47035897275239769</c:v>
                </c:pt>
                <c:pt idx="71">
                  <c:v>0.47737835320647803</c:v>
                </c:pt>
                <c:pt idx="72">
                  <c:v>0.48452197215032844</c:v>
                </c:pt>
                <c:pt idx="73">
                  <c:v>0.4917910065287231</c:v>
                </c:pt>
                <c:pt idx="74">
                  <c:v>0.49918666005003393</c:v>
                </c:pt>
                <c:pt idx="75">
                  <c:v>0.50671016372028921</c:v>
                </c:pt>
                <c:pt idx="76">
                  <c:v>0.51436277639306716</c:v>
                </c:pt>
                <c:pt idx="77">
                  <c:v>0.5221457853357121</c:v>
                </c:pt>
                <c:pt idx="78">
                  <c:v>0.53006050681237249</c:v>
                </c:pt>
                <c:pt idx="79">
                  <c:v>0.53810828668438937</c:v>
                </c:pt>
                <c:pt idx="80">
                  <c:v>0.54629050102857346</c:v>
                </c:pt>
                <c:pt idx="81">
                  <c:v>0.55460855677393894</c:v>
                </c:pt>
                <c:pt idx="82">
                  <c:v>0.56306389235747578</c:v>
                </c:pt>
                <c:pt idx="83">
                  <c:v>0.57165797839957411</c:v>
                </c:pt>
                <c:pt idx="84">
                  <c:v>0.58039231839972238</c:v>
                </c:pt>
                <c:pt idx="85">
                  <c:v>0.58926844945314882</c:v>
                </c:pt>
                <c:pt idx="86">
                  <c:v>0.59828794298907351</c:v>
                </c:pt>
                <c:pt idx="87">
                  <c:v>0.60745240553129221</c:v>
                </c:pt>
                <c:pt idx="88">
                  <c:v>0.6167634794818182</c:v>
                </c:pt>
                <c:pt idx="89">
                  <c:v>0.62622284392835181</c:v>
                </c:pt>
                <c:pt idx="90">
                  <c:v>0.63583221547637203</c:v>
                </c:pt>
                <c:pt idx="91">
                  <c:v>0.6455933491066761</c:v>
                </c:pt>
                <c:pt idx="92">
                  <c:v>0.65550803905922861</c:v>
                </c:pt>
                <c:pt idx="93">
                  <c:v>0.66557811974421166</c:v>
                </c:pt>
                <c:pt idx="94">
                  <c:v>0.67580546668120656</c:v>
                </c:pt>
                <c:pt idx="95">
                  <c:v>0.68619199746748005</c:v>
                </c:pt>
                <c:pt idx="96">
                  <c:v>0.6967396727763705</c:v>
                </c:pt>
                <c:pt idx="97">
                  <c:v>0.70745049738683496</c:v>
                </c:pt>
                <c:pt idx="98">
                  <c:v>0.71832652124523755</c:v>
                </c:pt>
                <c:pt idx="99">
                  <c:v>0.72936984056052145</c:v>
                </c:pt>
                <c:pt idx="100">
                  <c:v>0.74058259893394252</c:v>
                </c:pt>
              </c:numCache>
            </c:numRef>
          </c:yVal>
          <c:smooth val="0"/>
          <c:extLst>
            <c:ext xmlns:c16="http://schemas.microsoft.com/office/drawing/2014/chart" uri="{C3380CC4-5D6E-409C-BE32-E72D297353CC}">
              <c16:uniqueId val="{00000000-A1FB-4ABB-AB17-BBCBCB0F78C5}"/>
            </c:ext>
          </c:extLst>
        </c:ser>
        <c:ser>
          <c:idx val="3"/>
          <c:order val="1"/>
          <c:tx>
            <c:strRef>
              <c:f>'Efficiency vs Load Calculations'!$BS$8</c:f>
              <c:strCache>
                <c:ptCount val="1"/>
                <c:pt idx="0">
                  <c:v>Buck ''SYNC'' MOSFET Loss</c:v>
                </c:pt>
              </c:strCache>
            </c:strRef>
          </c:tx>
          <c:spPr>
            <a:ln w="25400">
              <a:solidFill>
                <a:srgbClr val="FF0000"/>
              </a:solidFill>
              <a:prstDash val="solid"/>
            </a:ln>
          </c:spPr>
          <c:marker>
            <c:symbol val="none"/>
          </c:marker>
          <c:xVal>
            <c:numRef>
              <c:f>'Efficiency vs Load Calculations'!$K$9:$K$109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'Efficiency vs Load Calculations'!$BS$9:$BS$109</c:f>
              <c:numCache>
                <c:formatCode>0.000</c:formatCode>
                <c:ptCount val="101"/>
                <c:pt idx="0">
                  <c:v>0.11768064</c:v>
                </c:pt>
                <c:pt idx="1">
                  <c:v>0.12284839217875934</c:v>
                </c:pt>
                <c:pt idx="2">
                  <c:v>0.12298314912188776</c:v>
                </c:pt>
                <c:pt idx="3">
                  <c:v>0.12320641634607868</c:v>
                </c:pt>
                <c:pt idx="4">
                  <c:v>0.1235182246370798</c:v>
                </c:pt>
                <c:pt idx="5">
                  <c:v>0.12391861699829139</c:v>
                </c:pt>
                <c:pt idx="6">
                  <c:v>0.12440764866559688</c:v>
                </c:pt>
                <c:pt idx="7">
                  <c:v>0.1249853871264201</c:v>
                </c:pt>
                <c:pt idx="8">
                  <c:v>0.12565191214302079</c:v>
                </c:pt>
                <c:pt idx="9">
                  <c:v>0.12640731578004388</c:v>
                </c:pt>
                <c:pt idx="10">
                  <c:v>0.12725170243634018</c:v>
                </c:pt>
                <c:pt idx="11">
                  <c:v>0.12818518888107872</c:v>
                </c:pt>
                <c:pt idx="12">
                  <c:v>0.1292079042941747</c:v>
                </c:pt>
                <c:pt idx="13">
                  <c:v>0.13031999031105873</c:v>
                </c:pt>
                <c:pt idx="14">
                  <c:v>0.13152160107181629</c:v>
                </c:pt>
                <c:pt idx="15">
                  <c:v>0.13281290327472994</c:v>
                </c:pt>
                <c:pt idx="16">
                  <c:v>0.13419407623425839</c:v>
                </c:pt>
                <c:pt idx="17">
                  <c:v>0.13566531194349046</c:v>
                </c:pt>
                <c:pt idx="18">
                  <c:v>0.13722681514111476</c:v>
                </c:pt>
                <c:pt idx="19">
                  <c:v>0.13887880338294883</c:v>
                </c:pt>
                <c:pt idx="20">
                  <c:v>0.14062150711807414</c:v>
                </c:pt>
                <c:pt idx="21">
                  <c:v>0.14245516976962788</c:v>
                </c:pt>
                <c:pt idx="22">
                  <c:v>0.1443800478203035</c:v>
                </c:pt>
                <c:pt idx="23">
                  <c:v>0.14639641090261743</c:v>
                </c:pt>
                <c:pt idx="24">
                  <c:v>0.14850454189400097</c:v>
                </c:pt>
                <c:pt idx="25">
                  <c:v>0.15070473701678067</c:v>
                </c:pt>
                <c:pt idx="26">
                  <c:v>0.15299730594311367</c:v>
                </c:pt>
                <c:pt idx="27">
                  <c:v>0.15538257190494781</c:v>
                </c:pt>
                <c:pt idx="28">
                  <c:v>0.15786087180908037</c:v>
                </c:pt>
                <c:pt idx="29">
                  <c:v>0.16043255635739206</c:v>
                </c:pt>
                <c:pt idx="30">
                  <c:v>0.16309799017233778</c:v>
                </c:pt>
                <c:pt idx="31">
                  <c:v>0.16585755192777862</c:v>
                </c:pt>
                <c:pt idx="32">
                  <c:v>0.16871163448524373</c:v>
                </c:pt>
                <c:pt idx="33">
                  <c:v>0.17166064503571477</c:v>
                </c:pt>
                <c:pt idx="34">
                  <c:v>0.17470500524703012</c:v>
                </c:pt>
                <c:pt idx="35">
                  <c:v>0.17784515141700882</c:v>
                </c:pt>
                <c:pt idx="36">
                  <c:v>0.18108153463240148</c:v>
                </c:pt>
                <c:pt idx="37">
                  <c:v>0.18441462093377575</c:v>
                </c:pt>
                <c:pt idx="38">
                  <c:v>0.18784489148645228</c:v>
                </c:pt>
                <c:pt idx="39">
                  <c:v>0.19137284275761032</c:v>
                </c:pt>
                <c:pt idx="40">
                  <c:v>0.19499898669968591</c:v>
                </c:pt>
                <c:pt idx="41">
                  <c:v>0.19872385094019207</c:v>
                </c:pt>
                <c:pt idx="42">
                  <c:v>0.20254797897809595</c:v>
                </c:pt>
                <c:pt idx="43">
                  <c:v>0.20647193038689104</c:v>
                </c:pt>
                <c:pt idx="44">
                  <c:v>0.21049628102450968</c:v>
                </c:pt>
                <c:pt idx="45">
                  <c:v>0.21462162325022716</c:v>
                </c:pt>
                <c:pt idx="46">
                  <c:v>0.21884856614871209</c:v>
                </c:pt>
                <c:pt idx="47">
                  <c:v>0.22317773576138694</c:v>
                </c:pt>
                <c:pt idx="48">
                  <c:v>0.22760977532526622</c:v>
                </c:pt>
                <c:pt idx="49">
                  <c:v>0.23214534551944702</c:v>
                </c:pt>
                <c:pt idx="50">
                  <c:v>0.2367851247194338</c:v>
                </c:pt>
                <c:pt idx="51">
                  <c:v>0.24152980925948583</c:v>
                </c:pt>
                <c:pt idx="52">
                  <c:v>0.24638011370318136</c:v>
                </c:pt>
                <c:pt idx="53">
                  <c:v>0.2513367711224026</c:v>
                </c:pt>
                <c:pt idx="54">
                  <c:v>0.25640053338495039</c:v>
                </c:pt>
                <c:pt idx="55">
                  <c:v>0.26157217145100692</c:v>
                </c:pt>
                <c:pt idx="56">
                  <c:v>0.26685247567867243</c:v>
                </c:pt>
                <c:pt idx="57">
                  <c:v>0.27224225613881003</c:v>
                </c:pt>
                <c:pt idx="58">
                  <c:v>0.27774234293944161</c:v>
                </c:pt>
                <c:pt idx="59">
                  <c:v>0.28335358655994691</c:v>
                </c:pt>
                <c:pt idx="60">
                  <c:v>0.28907685819532614</c:v>
                </c:pt>
                <c:pt idx="61">
                  <c:v>0.2949130501107986</c:v>
                </c:pt>
                <c:pt idx="62">
                  <c:v>0.30086307600701556</c:v>
                </c:pt>
                <c:pt idx="63">
                  <c:v>0.3069278713961815</c:v>
                </c:pt>
                <c:pt idx="64">
                  <c:v>0.31310839398938306</c:v>
                </c:pt>
                <c:pt idx="65">
                  <c:v>0.31940562409544004</c:v>
                </c:pt>
                <c:pt idx="66">
                  <c:v>0.32582056503160151</c:v>
                </c:pt>
                <c:pt idx="67">
                  <c:v>0.33235424354642679</c:v>
                </c:pt>
                <c:pt idx="68">
                  <c:v>0.3390077102551966</c:v>
                </c:pt>
                <c:pt idx="69">
                  <c:v>0.34578204008821756</c:v>
                </c:pt>
                <c:pt idx="70">
                  <c:v>0.35267833275239768</c:v>
                </c:pt>
                <c:pt idx="71">
                  <c:v>0.35969771320647803</c:v>
                </c:pt>
                <c:pt idx="72">
                  <c:v>0.36684133215032844</c:v>
                </c:pt>
                <c:pt idx="73">
                  <c:v>0.37411036652872309</c:v>
                </c:pt>
                <c:pt idx="74">
                  <c:v>0.38150602005003392</c:v>
                </c:pt>
                <c:pt idx="75">
                  <c:v>0.38902952372028921</c:v>
                </c:pt>
                <c:pt idx="76">
                  <c:v>0.39668213639306721</c:v>
                </c:pt>
                <c:pt idx="77">
                  <c:v>0.40446514533571215</c:v>
                </c:pt>
                <c:pt idx="78">
                  <c:v>0.41237986681237254</c:v>
                </c:pt>
                <c:pt idx="79">
                  <c:v>0.42042764668438931</c:v>
                </c:pt>
                <c:pt idx="80">
                  <c:v>0.4286098610285734</c:v>
                </c:pt>
                <c:pt idx="81">
                  <c:v>0.43692791677393888</c:v>
                </c:pt>
                <c:pt idx="82">
                  <c:v>0.44538325235747583</c:v>
                </c:pt>
                <c:pt idx="83">
                  <c:v>0.4539773383995741</c:v>
                </c:pt>
                <c:pt idx="84">
                  <c:v>0.46271167839972244</c:v>
                </c:pt>
                <c:pt idx="85">
                  <c:v>0.47158780945314877</c:v>
                </c:pt>
                <c:pt idx="86">
                  <c:v>0.48060730298907356</c:v>
                </c:pt>
                <c:pt idx="87">
                  <c:v>0.48977176553129226</c:v>
                </c:pt>
                <c:pt idx="88">
                  <c:v>0.49908283948181825</c:v>
                </c:pt>
                <c:pt idx="89">
                  <c:v>0.50854220392835181</c:v>
                </c:pt>
                <c:pt idx="90">
                  <c:v>0.51815157547637203</c:v>
                </c:pt>
                <c:pt idx="91">
                  <c:v>0.5279127091066762</c:v>
                </c:pt>
                <c:pt idx="92">
                  <c:v>0.53782739905922861</c:v>
                </c:pt>
                <c:pt idx="93">
                  <c:v>0.54789747974421166</c:v>
                </c:pt>
                <c:pt idx="94">
                  <c:v>0.55812482668120644</c:v>
                </c:pt>
                <c:pt idx="95">
                  <c:v>0.56851135746748005</c:v>
                </c:pt>
                <c:pt idx="96">
                  <c:v>0.5790590327763705</c:v>
                </c:pt>
                <c:pt idx="97">
                  <c:v>0.58976985738683485</c:v>
                </c:pt>
                <c:pt idx="98">
                  <c:v>0.60064588124523755</c:v>
                </c:pt>
                <c:pt idx="99">
                  <c:v>0.61168920056052145</c:v>
                </c:pt>
                <c:pt idx="100">
                  <c:v>0.62290195893394251</c:v>
                </c:pt>
              </c:numCache>
            </c:numRef>
          </c:yVal>
          <c:smooth val="0"/>
          <c:extLst>
            <c:ext xmlns:c16="http://schemas.microsoft.com/office/drawing/2014/chart" uri="{C3380CC4-5D6E-409C-BE32-E72D297353CC}">
              <c16:uniqueId val="{00000001-A1FB-4ABB-AB17-BBCBCB0F78C5}"/>
            </c:ext>
          </c:extLst>
        </c:ser>
        <c:ser>
          <c:idx val="0"/>
          <c:order val="2"/>
          <c:tx>
            <c:v>Inductor Loss</c:v>
          </c:tx>
          <c:spPr>
            <a:ln w="31750">
              <a:solidFill>
                <a:srgbClr val="FF6600"/>
              </a:solidFill>
              <a:prstDash val="lgDash"/>
            </a:ln>
          </c:spPr>
          <c:marker>
            <c:symbol val="none"/>
          </c:marker>
          <c:xVal>
            <c:numRef>
              <c:f>'Efficiency vs Load Calculations'!$K$9:$K$109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'Efficiency vs Load Calculations'!$Z$9:$Z$109</c:f>
              <c:numCache>
                <c:formatCode>0.000</c:formatCode>
                <c:ptCount val="101"/>
                <c:pt idx="0">
                  <c:v>0.59557241428100605</c:v>
                </c:pt>
                <c:pt idx="1">
                  <c:v>0.59588313229006429</c:v>
                </c:pt>
                <c:pt idx="2">
                  <c:v>0.59627467145309188</c:v>
                </c:pt>
                <c:pt idx="3">
                  <c:v>0.59674703654241235</c:v>
                </c:pt>
                <c:pt idx="4">
                  <c:v>0.59730023545934519</c:v>
                </c:pt>
                <c:pt idx="5">
                  <c:v>0.59793427923499132</c:v>
                </c:pt>
                <c:pt idx="6">
                  <c:v>0.59864918203128548</c:v>
                </c:pt>
                <c:pt idx="7">
                  <c:v>0.59944496114237467</c:v>
                </c:pt>
                <c:pt idx="8">
                  <c:v>0.60032163699629348</c:v>
                </c:pt>
                <c:pt idx="9">
                  <c:v>0.6012792331569371</c:v>
                </c:pt>
                <c:pt idx="10">
                  <c:v>0.60231777632635286</c:v>
                </c:pt>
                <c:pt idx="11">
                  <c:v>0.60343729634732424</c:v>
                </c:pt>
                <c:pt idx="12">
                  <c:v>0.60463782620626283</c:v>
                </c:pt>
                <c:pt idx="13">
                  <c:v>0.60591940203641215</c:v>
                </c:pt>
                <c:pt idx="14">
                  <c:v>0.60728206312134869</c:v>
                </c:pt>
                <c:pt idx="15">
                  <c:v>0.60872585189879536</c:v>
                </c:pt>
                <c:pt idx="16">
                  <c:v>0.61025081396474523</c:v>
                </c:pt>
                <c:pt idx="17">
                  <c:v>0.61185699807788896</c:v>
                </c:pt>
                <c:pt idx="18">
                  <c:v>0.61354445616434738</c:v>
                </c:pt>
                <c:pt idx="19">
                  <c:v>0.61531324332272863</c:v>
                </c:pt>
                <c:pt idx="20">
                  <c:v>0.61716341782947715</c:v>
                </c:pt>
                <c:pt idx="21">
                  <c:v>0.61909504114455471</c:v>
                </c:pt>
                <c:pt idx="22">
                  <c:v>0.62110817791741901</c:v>
                </c:pt>
                <c:pt idx="23">
                  <c:v>0.62320289599331979</c:v>
                </c:pt>
                <c:pt idx="24">
                  <c:v>0.62537926641991903</c:v>
                </c:pt>
                <c:pt idx="25">
                  <c:v>0.62763736345421184</c:v>
                </c:pt>
                <c:pt idx="26">
                  <c:v>0.62997726456978487</c:v>
                </c:pt>
                <c:pt idx="27">
                  <c:v>0.63239905046437417</c:v>
                </c:pt>
                <c:pt idx="28">
                  <c:v>0.63490280506775454</c:v>
                </c:pt>
                <c:pt idx="29">
                  <c:v>0.63748861554995395</c:v>
                </c:pt>
                <c:pt idx="30">
                  <c:v>0.64015657232977408</c:v>
                </c:pt>
                <c:pt idx="31">
                  <c:v>0.64290676908366073</c:v>
                </c:pt>
                <c:pt idx="32">
                  <c:v>0.64573930275488001</c:v>
                </c:pt>
                <c:pt idx="33">
                  <c:v>0.64865427356303096</c:v>
                </c:pt>
                <c:pt idx="34">
                  <c:v>0.6516517850138942</c:v>
                </c:pt>
                <c:pt idx="35">
                  <c:v>0.65473194390959144</c:v>
                </c:pt>
                <c:pt idx="36">
                  <c:v>0.6578948603591106</c:v>
                </c:pt>
                <c:pt idx="37">
                  <c:v>0.66114064778913784</c:v>
                </c:pt>
                <c:pt idx="38">
                  <c:v>0.66446942295524192</c:v>
                </c:pt>
                <c:pt idx="39">
                  <c:v>0.66788130595339301</c:v>
                </c:pt>
                <c:pt idx="40">
                  <c:v>0.67137642023183053</c:v>
                </c:pt>
                <c:pt idx="41">
                  <c:v>0.67495489260325925</c:v>
                </c:pt>
                <c:pt idx="42">
                  <c:v>0.67861685325741439</c:v>
                </c:pt>
                <c:pt idx="43">
                  <c:v>0.68236243577395417</c:v>
                </c:pt>
                <c:pt idx="44">
                  <c:v>0.68619177713571666</c:v>
                </c:pt>
                <c:pt idx="45">
                  <c:v>0.69010501774232536</c:v>
                </c:pt>
                <c:pt idx="46">
                  <c:v>0.69410230142414497</c:v>
                </c:pt>
                <c:pt idx="47">
                  <c:v>0.69818377545661447</c:v>
                </c:pt>
                <c:pt idx="48">
                  <c:v>0.7023495905749173</c:v>
                </c:pt>
                <c:pt idx="49">
                  <c:v>0.70659990098903624</c:v>
                </c:pt>
                <c:pt idx="50">
                  <c:v>0.71093486439915998</c:v>
                </c:pt>
                <c:pt idx="51">
                  <c:v>0.7153546420114687</c:v>
                </c:pt>
                <c:pt idx="52">
                  <c:v>0.71985939855429182</c:v>
                </c:pt>
                <c:pt idx="53">
                  <c:v>0.72444930229463722</c:v>
                </c:pt>
                <c:pt idx="54">
                  <c:v>0.72912452505510195</c:v>
                </c:pt>
                <c:pt idx="55">
                  <c:v>0.73388524223116625</c:v>
                </c:pt>
                <c:pt idx="56">
                  <c:v>0.73873163280887177</c:v>
                </c:pt>
                <c:pt idx="57">
                  <c:v>0.74366387938288681</c:v>
                </c:pt>
                <c:pt idx="58">
                  <c:v>0.74868216817496891</c:v>
                </c:pt>
                <c:pt idx="59">
                  <c:v>0.75378668905281865</c:v>
                </c:pt>
                <c:pt idx="60">
                  <c:v>0.75897763554933495</c:v>
                </c:pt>
                <c:pt idx="61">
                  <c:v>0.76425520488226939</c:v>
                </c:pt>
                <c:pt idx="62">
                  <c:v>0.76961959797429813</c:v>
                </c:pt>
                <c:pt idx="63">
                  <c:v>0.77507101947349077</c:v>
                </c:pt>
                <c:pt idx="64">
                  <c:v>0.78060967777420498</c:v>
                </c:pt>
                <c:pt idx="65">
                  <c:v>0.78623578503839664</c:v>
                </c:pt>
                <c:pt idx="66">
                  <c:v>0.79194955721734406</c:v>
                </c:pt>
                <c:pt idx="67">
                  <c:v>0.79775121407381633</c:v>
                </c:pt>
                <c:pt idx="68">
                  <c:v>0.80364097920465893</c:v>
                </c:pt>
                <c:pt idx="69">
                  <c:v>0.80961908006382177</c:v>
                </c:pt>
                <c:pt idx="70">
                  <c:v>0.81568574798582527</c:v>
                </c:pt>
                <c:pt idx="71">
                  <c:v>0.8218412182096726</c:v>
                </c:pt>
                <c:pt idx="72">
                  <c:v>0.82808572990321305</c:v>
                </c:pt>
                <c:pt idx="73">
                  <c:v>0.83441952618795001</c:v>
                </c:pt>
                <c:pt idx="74">
                  <c:v>0.84084285416432913</c:v>
                </c:pt>
                <c:pt idx="75">
                  <c:v>0.8473559649374669</c:v>
                </c:pt>
                <c:pt idx="76">
                  <c:v>0.85395911364336463</c:v>
                </c:pt>
                <c:pt idx="77">
                  <c:v>0.86065255947558961</c:v>
                </c:pt>
                <c:pt idx="78">
                  <c:v>0.86743656571244265</c:v>
                </c:pt>
                <c:pt idx="79">
                  <c:v>0.87431139974460481</c:v>
                </c:pt>
                <c:pt idx="80">
                  <c:v>0.88127733310327705</c:v>
                </c:pt>
                <c:pt idx="81">
                  <c:v>0.88833464148881958</c:v>
                </c:pt>
                <c:pt idx="82">
                  <c:v>0.89548360479988265</c:v>
                </c:pt>
                <c:pt idx="83">
                  <c:v>0.90272450716306929</c:v>
                </c:pt>
                <c:pt idx="84">
                  <c:v>0.91005763696308417</c:v>
                </c:pt>
                <c:pt idx="85">
                  <c:v>0.91748328687342096</c:v>
                </c:pt>
                <c:pt idx="86">
                  <c:v>0.92500175388757011</c:v>
                </c:pt>
                <c:pt idx="87">
                  <c:v>0.93261333935076041</c:v>
                </c:pt>
                <c:pt idx="88">
                  <c:v>0.94031834899224087</c:v>
                </c:pt>
                <c:pt idx="89">
                  <c:v>0.94811709295811042</c:v>
                </c:pt>
                <c:pt idx="90">
                  <c:v>0.95600988584469448</c:v>
                </c:pt>
                <c:pt idx="91">
                  <c:v>0.96399704673249054</c:v>
                </c:pt>
                <c:pt idx="92">
                  <c:v>0.97207889922067192</c:v>
                </c:pt>
                <c:pt idx="93">
                  <c:v>0.98025577146216691</c:v>
                </c:pt>
                <c:pt idx="94">
                  <c:v>0.98852799619932796</c:v>
                </c:pt>
                <c:pt idx="95">
                  <c:v>0.99689591080018047</c:v>
                </c:pt>
                <c:pt idx="96">
                  <c:v>1.0053598572952684</c:v>
                </c:pt>
                <c:pt idx="97">
                  <c:v>1.0139201824151118</c:v>
                </c:pt>
                <c:pt idx="98">
                  <c:v>1.0225772376282645</c:v>
                </c:pt>
                <c:pt idx="99">
                  <c:v>1.0313313791800047</c:v>
                </c:pt>
                <c:pt idx="100">
                  <c:v>1.0401829681316459</c:v>
                </c:pt>
              </c:numCache>
            </c:numRef>
          </c:yVal>
          <c:smooth val="0"/>
          <c:extLst>
            <c:ext xmlns:c16="http://schemas.microsoft.com/office/drawing/2014/chart" uri="{C3380CC4-5D6E-409C-BE32-E72D297353CC}">
              <c16:uniqueId val="{00000002-A1FB-4ABB-AB17-BBCBCB0F78C5}"/>
            </c:ext>
          </c:extLst>
        </c:ser>
        <c:dLbls>
          <c:showLegendKey val="0"/>
          <c:showVal val="0"/>
          <c:showCatName val="0"/>
          <c:showSerName val="0"/>
          <c:showPercent val="0"/>
          <c:showBubbleSize val="0"/>
        </c:dLbls>
        <c:axId val="199480832"/>
        <c:axId val="199482752"/>
      </c:scatterChart>
      <c:valAx>
        <c:axId val="199480832"/>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9482752"/>
        <c:crosses val="autoZero"/>
        <c:crossBetween val="midCat"/>
      </c:valAx>
      <c:valAx>
        <c:axId val="199482752"/>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9480832"/>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'Efficiency vs Load Calculations'!$K$9:$K$109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'Efficiency vs Load Calculations'!$BK$9:$BK$109</c:f>
              <c:numCache>
                <c:formatCode>0.0%</c:formatCode>
                <c:ptCount val="101"/>
                <c:pt idx="0">
                  <c:v>0</c:v>
                </c:pt>
                <c:pt idx="1">
                  <c:v>0.3189748980467883</c:v>
                </c:pt>
                <c:pt idx="2">
                  <c:v>0.48296877554669715</c:v>
                </c:pt>
                <c:pt idx="3">
                  <c:v>0.58281399777780385</c:v>
                </c:pt>
                <c:pt idx="4">
                  <c:v>0.64996266954247006</c:v>
                </c:pt>
                <c:pt idx="5">
                  <c:v>0.69819392057330687</c:v>
                </c:pt>
                <c:pt idx="6">
                  <c:v>0.73449803312868533</c:v>
                </c:pt>
                <c:pt idx="7">
                  <c:v>0.76279893188409165</c:v>
                </c:pt>
                <c:pt idx="8">
                  <c:v>0.78546937862754418</c:v>
                </c:pt>
                <c:pt idx="9">
                  <c:v>0.80402851965337852</c:v>
                </c:pt>
                <c:pt idx="10">
                  <c:v>0.81949407538033037</c:v>
                </c:pt>
                <c:pt idx="11">
                  <c:v>0.83257345157964091</c:v>
                </c:pt>
                <c:pt idx="12">
                  <c:v>0.8437736343393395</c:v>
                </c:pt>
                <c:pt idx="13">
                  <c:v>0.85346747214081786</c:v>
                </c:pt>
                <c:pt idx="14">
                  <c:v>0.8619352851838713</c:v>
                </c:pt>
                <c:pt idx="15">
                  <c:v>0.86939189088900326</c:v>
                </c:pt>
                <c:pt idx="16">
                  <c:v>0.87600467991093245</c:v>
                </c:pt>
                <c:pt idx="17">
                  <c:v>0.88190601937401281</c:v>
                </c:pt>
                <c:pt idx="18">
                  <c:v>0.88720195708845828</c:v>
                </c:pt>
                <c:pt idx="19">
                  <c:v>0.89194734189105174</c:v>
                </c:pt>
                <c:pt idx="20">
                  <c:v>0.89617066689192226</c:v>
                </c:pt>
                <c:pt idx="21">
                  <c:v>0.90001128942587361</c:v>
                </c:pt>
                <c:pt idx="22">
                  <c:v>0.90351687102665057</c:v>
                </c:pt>
                <c:pt idx="23">
                  <c:v>0.90672746533292192</c:v>
                </c:pt>
                <c:pt idx="24">
                  <c:v>0.90967697750294541</c:v>
                </c:pt>
                <c:pt idx="25">
                  <c:v>0.91239430008906319</c:v>
                </c:pt>
                <c:pt idx="26">
                  <c:v>0.91490420607072109</c:v>
                </c:pt>
                <c:pt idx="27">
                  <c:v>0.91722805753251813</c:v>
                </c:pt>
                <c:pt idx="28">
                  <c:v>0.91938437291092867</c:v>
                </c:pt>
                <c:pt idx="29">
                  <c:v>0.92138928467933179</c:v>
                </c:pt>
                <c:pt idx="30">
                  <c:v>0.92325691138962829</c:v>
                </c:pt>
                <c:pt idx="31">
                  <c:v>0.92499966220170449</c:v>
                </c:pt>
                <c:pt idx="32">
                  <c:v>0.92662848777390805</c:v>
                </c:pt>
                <c:pt idx="33">
                  <c:v>0.92815308822255138</c:v>
                </c:pt>
                <c:pt idx="34">
                  <c:v>0.92958208648315288</c:v>
                </c:pt>
                <c:pt idx="35">
                  <c:v>0.93092317360760868</c:v>
                </c:pt>
                <c:pt idx="36">
                  <c:v>0.93218323115820279</c:v>
                </c:pt>
                <c:pt idx="37">
                  <c:v>0.93336843480246789</c:v>
                </c:pt>
                <c:pt idx="38">
                  <c:v>0.93448434239342726</c:v>
                </c:pt>
                <c:pt idx="39">
                  <c:v>0.93553596917988024</c:v>
                </c:pt>
                <c:pt idx="40">
                  <c:v>0.93652785228841395</c:v>
                </c:pt>
                <c:pt idx="41">
                  <c:v>0.93746410622097609</c:v>
                </c:pt>
                <c:pt idx="42">
                  <c:v>0.93834847079524397</c:v>
                </c:pt>
                <c:pt idx="43">
                  <c:v>0.93918435270165901</c:v>
                </c:pt>
                <c:pt idx="44">
                  <c:v>0.93997486164713073</c:v>
                </c:pt>
                <c:pt idx="45">
                  <c:v>0.94072284189053368</c:v>
                </c:pt>
                <c:pt idx="46">
                  <c:v>0.94143089984111417</c:v>
                </c:pt>
                <c:pt idx="47">
                  <c:v>0.94210142828149701</c:v>
                </c:pt>
                <c:pt idx="48">
                  <c:v>0.94273662768722777</c:v>
                </c:pt>
                <c:pt idx="49">
                  <c:v>0.94333852504085014</c:v>
                </c:pt>
                <c:pt idx="50">
                  <c:v>0.94390899047736432</c:v>
                </c:pt>
                <c:pt idx="51">
                  <c:v>0.94444975204712767</c:v>
                </c:pt>
                <c:pt idx="52">
                  <c:v>0.94496240883992921</c:v>
                </c:pt>
                <c:pt idx="53">
                  <c:v>0.94544844267856221</c:v>
                </c:pt>
                <c:pt idx="54">
                  <c:v>0.94590922856048776</c:v>
                </c:pt>
                <c:pt idx="55">
                  <c:v>0.94634604400115074</c:v>
                </c:pt>
                <c:pt idx="56">
                  <c:v>0.94676007741134205</c:v>
                </c:pt>
                <c:pt idx="57">
                  <c:v>0.94715243562308193</c:v>
                </c:pt>
                <c:pt idx="58">
                  <c:v>0.94752415066323881</c:v>
                </c:pt>
                <c:pt idx="59">
                  <c:v>0.94787618586110878</c:v>
                </c:pt>
                <c:pt idx="60">
                  <c:v>0.94820944136506136</c:v>
                </c:pt>
                <c:pt idx="61">
                  <c:v>0.94852475913383216</c:v>
                </c:pt>
                <c:pt idx="62">
                  <c:v>0.9488229274598502</c:v>
                </c:pt>
                <c:pt idx="63">
                  <c:v>0.94910468507493528</c:v>
                </c:pt>
                <c:pt idx="64">
                  <c:v>0.94937072488260021</c:v>
                </c:pt>
                <c:pt idx="65">
                  <c:v>0.94962169735592095</c:v>
                </c:pt>
                <c:pt idx="66">
                  <c:v>0.94985821363535072</c:v>
                </c:pt>
                <c:pt idx="67">
                  <c:v>0.95008084835688034</c:v>
                </c:pt>
                <c:pt idx="68">
                  <c:v>0.95029014223746766</c:v>
                </c:pt>
                <c:pt idx="69">
                  <c:v>0.95048660444163091</c:v>
                </c:pt>
                <c:pt idx="70">
                  <c:v>0.95067071475044984</c:v>
                </c:pt>
                <c:pt idx="71">
                  <c:v>0.9508429255518851</c:v>
                </c:pt>
                <c:pt idx="72">
                  <c:v>0.95100366366929268</c:v>
                </c:pt>
                <c:pt idx="73">
                  <c:v>0.95115333204320229</c:v>
                </c:pt>
                <c:pt idx="74">
                  <c:v>0.95129231127984715</c:v>
                </c:pt>
                <c:pt idx="75">
                  <c:v>0.95142096107853447</c:v>
                </c:pt>
                <c:pt idx="76">
                  <c:v>0.9515396215486992</c:v>
                </c:pt>
                <c:pt idx="77">
                  <c:v>0.95164861442639315</c:v>
                </c:pt>
                <c:pt idx="78">
                  <c:v>0.9517482441989833</c:v>
                </c:pt>
                <c:pt idx="79">
                  <c:v>0.9518387991459657</c:v>
                </c:pt>
                <c:pt idx="80">
                  <c:v>0.95192055230303141</c:v>
                </c:pt>
                <c:pt idx="81">
                  <c:v>0.95199376235583366</c:v>
                </c:pt>
                <c:pt idx="82">
                  <c:v>0.95205867446928893</c:v>
                </c:pt>
                <c:pt idx="83">
                  <c:v>0.95211552105769592</c:v>
                </c:pt>
                <c:pt idx="84">
                  <c:v>0.95216452250046668</c:v>
                </c:pt>
                <c:pt idx="85">
                  <c:v>0.9522058878078189</c:v>
                </c:pt>
                <c:pt idx="86">
                  <c:v>0.95223981524038637</c:v>
                </c:pt>
                <c:pt idx="87">
                  <c:v>0.95226649288634502</c:v>
                </c:pt>
                <c:pt idx="88">
                  <c:v>0.95228609919933527</c:v>
                </c:pt>
                <c:pt idx="89">
                  <c:v>0.9522988035001686</c:v>
                </c:pt>
                <c:pt idx="90">
                  <c:v>0.95230476644504702</c:v>
                </c:pt>
                <c:pt idx="91">
                  <c:v>0.95230414046279155</c:v>
                </c:pt>
                <c:pt idx="92">
                  <c:v>0.9522970701633563</c:v>
                </c:pt>
                <c:pt idx="93">
                  <c:v>0.95228369271971891</c:v>
                </c:pt>
                <c:pt idx="94">
                  <c:v>0.95226413822505884</c:v>
                </c:pt>
                <c:pt idx="95">
                  <c:v>0.95223853002697634</c:v>
                </c:pt>
                <c:pt idx="96">
                  <c:v>0.95220698504036405</c:v>
                </c:pt>
                <c:pt idx="97">
                  <c:v>0.95216961404040856</c:v>
                </c:pt>
                <c:pt idx="98">
                  <c:v>0.95212652193708047</c:v>
                </c:pt>
                <c:pt idx="99">
                  <c:v>0.95207780803236575</c:v>
                </c:pt>
                <c:pt idx="100">
                  <c:v>0.95202356626138773</c:v>
                </c:pt>
              </c:numCache>
            </c:numRef>
          </c:yVal>
          <c:smooth val="0"/>
          <c:extLst>
            <c:ext xmlns:c16="http://schemas.microsoft.com/office/drawing/2014/chart" uri="{C3380CC4-5D6E-409C-BE32-E72D297353CC}">
              <c16:uniqueId val="{00000000-2D78-4718-9F29-44AC368EE18F}"/>
            </c:ext>
          </c:extLst>
        </c:ser>
        <c:dLbls>
          <c:showLegendKey val="0"/>
          <c:showVal val="0"/>
          <c:showCatName val="0"/>
          <c:showSerName val="0"/>
          <c:showPercent val="0"/>
          <c:showBubbleSize val="0"/>
        </c:dLbls>
        <c:axId val="199520256"/>
        <c:axId val="199522176"/>
      </c:scatterChart>
      <c:valAx>
        <c:axId val="199520256"/>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9522176"/>
        <c:crosses val="autoZero"/>
        <c:crossBetween val="midCat"/>
      </c:valAx>
      <c:valAx>
        <c:axId val="199522176"/>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952025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5636970175475957"/>
          <c:y val="3.6290322580645726E-2"/>
          <c:w val="0.11788632112042907"/>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22" fmlaRange="$1:$1048576" noThreeD="1" sel="0" val="0"/>
</file>

<file path=xl/ctrlProps/ctrlProp4.xml><?xml version="1.0" encoding="utf-8"?>
<formControlPr xmlns="http://schemas.microsoft.com/office/spreadsheetml/2009/9/main" objectType="Spin" dx="16" fmlaLink="$E$83" max="100" min="1" page="10" val="4"/>
</file>

<file path=xl/ctrlProps/ctrlProp5.xml><?xml version="1.0" encoding="utf-8"?>
<formControlPr xmlns="http://schemas.microsoft.com/office/spreadsheetml/2009/9/main" objectType="Spin" dx="16" fmlaLink="$E$7" max="58" page="10" val="12"/>
</file>

<file path=xl/ctrlProps/ctrlProp6.xml><?xml version="1.0" encoding="utf-8"?>
<formControlPr xmlns="http://schemas.microsoft.com/office/spreadsheetml/2009/9/main" objectType="Drop" dropLines="2" dropStyle="combo" dx="16" fmlaLink="'Variable Management'!$L$10" fmlaRange="'Variable Management'!$K$8:$K$9" noThreeD="1" sel="1" val="0"/>
</file>

<file path=xl/ctrlProps/ctrlProp7.xml><?xml version="1.0" encoding="utf-8"?>
<formControlPr xmlns="http://schemas.microsoft.com/office/spreadsheetml/2009/9/main" objectType="Spin" dx="16" fmlaLink="$E$7" max="58" page="10" val="12"/>
</file>

<file path=xl/ctrlProps/ctrlProp8.xml><?xml version="1.0" encoding="utf-8"?>
<formControlPr xmlns="http://schemas.microsoft.com/office/spreadsheetml/2009/9/main" objectType="Drop" dropLines="2" dropStyle="combo" dx="16" fmlaLink="'CFG Setting'!$C$27" fmlaRange="'CFG Setting'!$C$22:$C$23" noThreeD="1" sel="1" val="0"/>
</file>

<file path=xl/ctrlProps/ctrlProp9.xml><?xml version="1.0" encoding="utf-8"?>
<formControlPr xmlns="http://schemas.microsoft.com/office/spreadsheetml/2009/9/main" objectType="Drop" dropLines="2" dropStyle="combo" dx="16" fmlaLink="'CFG Setting'!$D$27" fmlaRange="'CFG Setting'!$D$22:$D$23" noThreeD="1" sel="2" val="0"/>
</file>

<file path=xl/ctrlProps/ctrlProp10.xml><?xml version="1.0" encoding="utf-8"?>
<formControlPr xmlns="http://schemas.microsoft.com/office/spreadsheetml/2009/9/main" objectType="Drop" dropLines="2" dropStyle="combo" dx="16" fmlaLink="'CFG Setting'!$E$27" fmlaRange="'CFG Setting'!$E$22:$E$23" noThreeD="1" sel="1" val="0"/>
</file>

<file path=xl/ctrlProps/ctrlProp11.xml><?xml version="1.0" encoding="utf-8"?>
<formControlPr xmlns="http://schemas.microsoft.com/office/spreadsheetml/2009/9/main" objectType="Drop" dropLines="4" dropStyle="combo" dx="16" fmlaLink="'CFG Setting'!$F$27" fmlaRange="'CFG Setting'!$F$22:$F$25" noThreeD="1" sel="3" val="0"/>
</file>

<file path=xl/ctrlProps/ctrlProp12.xml><?xml version="1.0" encoding="utf-8"?>
<formControlPr xmlns="http://schemas.microsoft.com/office/spreadsheetml/2009/9/main" objectType="Spin" dx="16" fmlaLink="$E$7" max="58" page="10" val="12"/>
</file>

<file path=xl/ctrlProps/ctrlProp13.xml><?xml version="1.0" encoding="utf-8"?>
<formControlPr xmlns="http://schemas.microsoft.com/office/spreadsheetml/2009/9/main" objectType="CheckBox" fmlaLink="'Variable Management'!$L$11" lockText="1" noThreeD="1"/>
</file>

<file path=xl/ctrlProps/ctrlProp14.xml><?xml version="1.0" encoding="utf-8"?>
<formControlPr xmlns="http://schemas.microsoft.com/office/spreadsheetml/2009/9/main" objectType="Drop" dropLines="2" dropStyle="combo" dx="16" fmlaLink="'Variable Management'!$C$29" fmlaRange="'Variable Management'!$L$29:$L$30" noThreeD="1" sel="1" val="0"/>
</file>

<file path=xl/ctrlProps/ctrlProp15.xml><?xml version="1.0" encoding="utf-8"?>
<formControlPr xmlns="http://schemas.microsoft.com/office/spreadsheetml/2009/9/main" objectType="CheckBox" fmlaLink="'[1]Variable Management'!$L$11"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drawing2.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9.gif"/><Relationship Id="rId1" Type="http://schemas.openxmlformats.org/officeDocument/2006/relationships/hyperlink" Target="http://www.ti.com"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10.png"/><Relationship Id="rId6" Type="http://schemas.openxmlformats.org/officeDocument/2006/relationships/image" Target="../media/image15.png"/><Relationship Id="rId5" Type="http://schemas.openxmlformats.org/officeDocument/2006/relationships/image" Target="../media/image14.png"/><Relationship Id="rId4" Type="http://schemas.openxmlformats.org/officeDocument/2006/relationships/image" Target="../media/image13.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4.xml"/><Relationship Id="rId13" Type="http://schemas.openxmlformats.org/officeDocument/2006/relationships/chart" Target="../charts/chart19.xml"/><Relationship Id="rId3" Type="http://schemas.openxmlformats.org/officeDocument/2006/relationships/chart" Target="../charts/chart9.xml"/><Relationship Id="rId7" Type="http://schemas.openxmlformats.org/officeDocument/2006/relationships/chart" Target="../charts/chart13.xml"/><Relationship Id="rId12" Type="http://schemas.openxmlformats.org/officeDocument/2006/relationships/chart" Target="../charts/chart18.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11" Type="http://schemas.openxmlformats.org/officeDocument/2006/relationships/chart" Target="../charts/chart17.xml"/><Relationship Id="rId5" Type="http://schemas.openxmlformats.org/officeDocument/2006/relationships/chart" Target="../charts/chart11.xml"/><Relationship Id="rId10" Type="http://schemas.openxmlformats.org/officeDocument/2006/relationships/chart" Target="../charts/chart16.xml"/><Relationship Id="rId4" Type="http://schemas.openxmlformats.org/officeDocument/2006/relationships/chart" Target="../charts/chart10.xml"/><Relationship Id="rId9" Type="http://schemas.openxmlformats.org/officeDocument/2006/relationships/chart" Target="../charts/chart15.xml"/><Relationship Id="rId14" Type="http://schemas.openxmlformats.org/officeDocument/2006/relationships/chart" Target="../charts/chart2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9.xml.rels><?xml version="1.0" encoding="UTF-8" standalone="yes"?>
<Relationships xmlns="http://schemas.openxmlformats.org/package/2006/relationships"><Relationship Id="rId8" Type="http://schemas.openxmlformats.org/officeDocument/2006/relationships/image" Target="../media/image27.png"/><Relationship Id="rId3" Type="http://schemas.openxmlformats.org/officeDocument/2006/relationships/image" Target="../media/image22.png"/><Relationship Id="rId7" Type="http://schemas.openxmlformats.org/officeDocument/2006/relationships/image" Target="../media/image26.png"/><Relationship Id="rId2" Type="http://schemas.openxmlformats.org/officeDocument/2006/relationships/image" Target="../media/image21.png"/><Relationship Id="rId1" Type="http://schemas.openxmlformats.org/officeDocument/2006/relationships/image" Target="../media/image20.png"/><Relationship Id="rId6" Type="http://schemas.openxmlformats.org/officeDocument/2006/relationships/image" Target="../media/image25.png"/><Relationship Id="rId11" Type="http://schemas.openxmlformats.org/officeDocument/2006/relationships/chart" Target="../charts/chart25.xml"/><Relationship Id="rId5" Type="http://schemas.openxmlformats.org/officeDocument/2006/relationships/image" Target="../media/image24.png"/><Relationship Id="rId10" Type="http://schemas.openxmlformats.org/officeDocument/2006/relationships/image" Target="../media/image29.png"/><Relationship Id="rId4" Type="http://schemas.openxmlformats.org/officeDocument/2006/relationships/image" Target="../media/image23.png"/><Relationship Id="rId9" Type="http://schemas.openxmlformats.org/officeDocument/2006/relationships/image" Target="../media/image28.png"/></Relationships>
</file>

<file path=xl/drawings/_rels/drawing10.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 Id="rId4" Type="http://schemas.openxmlformats.org/officeDocument/2006/relationships/chart" Target="../charts/chart29.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2.xml"/><Relationship Id="rId2" Type="http://schemas.openxmlformats.org/officeDocument/2006/relationships/chart" Target="../charts/chart31.xml"/><Relationship Id="rId1" Type="http://schemas.openxmlformats.org/officeDocument/2006/relationships/chart" Target="../charts/chart3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 Id="rId4"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285750</xdr:colOff>
          <xdr:row>95</xdr:row>
          <xdr:rowOff>47625</xdr:rowOff>
        </xdr:from>
        <xdr:to>
          <xdr:col>16</xdr:col>
          <xdr:colOff>2209800</xdr:colOff>
          <xdr:row>123</xdr:row>
          <xdr:rowOff>0</xdr:rowOff>
        </xdr:to>
        <xdr:pic>
          <xdr:nvPicPr>
            <xdr:cNvPr id="31" name="Picture 30">
              <a:extLst>
                <a:ext uri="{FF2B5EF4-FFF2-40B4-BE49-F238E27FC236}">
                  <a16:creationId xmlns:a16="http://schemas.microsoft.com/office/drawing/2014/main" id="{3F497272-A1D2-4800-B5C8-359C19D29AAC}"/>
                </a:ext>
              </a:extLst>
            </xdr:cNvPr>
            <xdr:cNvPicPr>
              <a:picLocks noChangeAspect="1" noChangeArrowheads="1"/>
              <a:extLst>
                <a:ext uri="{84589F7E-364E-4C9E-8A38-B11213B215E9}">
                  <a14:cameraTool cellRange="PICTURE" spid="_x0000_s733820"/>
                </a:ext>
              </a:extLst>
            </xdr:cNvPicPr>
          </xdr:nvPicPr>
          <xdr:blipFill rotWithShape="1">
            <a:blip xmlns:r="http://schemas.openxmlformats.org/officeDocument/2006/relationships" r:embed="rId1"/>
            <a:srcRect r="6325"/>
            <a:stretch>
              <a:fillRect/>
            </a:stretch>
          </xdr:blipFill>
          <xdr:spPr bwMode="auto">
            <a:xfrm>
              <a:off x="4248150" y="18249900"/>
              <a:ext cx="8181975" cy="521017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314325</xdr:colOff>
          <xdr:row>57</xdr:row>
          <xdr:rowOff>104775</xdr:rowOff>
        </xdr:from>
        <xdr:to>
          <xdr:col>16</xdr:col>
          <xdr:colOff>2347632</xdr:colOff>
          <xdr:row>85</xdr:row>
          <xdr:rowOff>36979</xdr:rowOff>
        </xdr:to>
        <xdr:pic>
          <xdr:nvPicPr>
            <xdr:cNvPr id="29" name="Picture 28">
              <a:extLst>
                <a:ext uri="{FF2B5EF4-FFF2-40B4-BE49-F238E27FC236}">
                  <a16:creationId xmlns:a16="http://schemas.microsoft.com/office/drawing/2014/main" id="{6736A63A-76C4-43F7-AB94-924572084FA6}"/>
                </a:ext>
              </a:extLst>
            </xdr:cNvPr>
            <xdr:cNvPicPr>
              <a:picLocks noChangeAspect="1" noChangeArrowheads="1"/>
              <a:extLst>
                <a:ext uri="{84589F7E-364E-4C9E-8A38-B11213B215E9}">
                  <a14:cameraTool cellRange="Picture_Bode" spid="_x0000_s733821"/>
                </a:ext>
              </a:extLst>
            </xdr:cNvPicPr>
          </xdr:nvPicPr>
          <xdr:blipFill>
            <a:blip xmlns:r="http://schemas.openxmlformats.org/officeDocument/2006/relationships" r:embed="rId2"/>
            <a:srcRect/>
            <a:stretch>
              <a:fillRect/>
            </a:stretch>
          </xdr:blipFill>
          <xdr:spPr bwMode="auto">
            <a:xfrm>
              <a:off x="3838575" y="11039475"/>
              <a:ext cx="8729382" cy="5199529"/>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2</xdr:col>
          <xdr:colOff>741872</xdr:colOff>
          <xdr:row>90</xdr:row>
          <xdr:rowOff>94891</xdr:rowOff>
        </xdr:from>
        <xdr:to>
          <xdr:col>3</xdr:col>
          <xdr:colOff>448574</xdr:colOff>
          <xdr:row>92</xdr:row>
          <xdr:rowOff>172528</xdr:rowOff>
        </xdr:to>
        <xdr:sp macro="" textlink="">
          <xdr:nvSpPr>
            <xdr:cNvPr id="673260" name="Button 492" hidden="1">
              <a:extLst>
                <a:ext uri="{63B3BB69-23CF-44E3-9099-C40C66FF867C}">
                  <a14:compatExt spid="_x0000_s673260"/>
                </a:ext>
                <a:ext uri="{FF2B5EF4-FFF2-40B4-BE49-F238E27FC236}">
                  <a16:creationId xmlns:a16="http://schemas.microsoft.com/office/drawing/2014/main" id="{00000000-0008-0000-0000-0000EC45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TW" alt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741872</xdr:colOff>
          <xdr:row>90</xdr:row>
          <xdr:rowOff>94891</xdr:rowOff>
        </xdr:from>
        <xdr:to>
          <xdr:col>3</xdr:col>
          <xdr:colOff>448574</xdr:colOff>
          <xdr:row>92</xdr:row>
          <xdr:rowOff>172528</xdr:rowOff>
        </xdr:to>
        <xdr:sp macro="" textlink="">
          <xdr:nvSpPr>
            <xdr:cNvPr id="673288" name="Button 520" hidden="1">
              <a:extLst>
                <a:ext uri="{63B3BB69-23CF-44E3-9099-C40C66FF867C}">
                  <a14:compatExt spid="_x0000_s673288"/>
                </a:ext>
                <a:ext uri="{FF2B5EF4-FFF2-40B4-BE49-F238E27FC236}">
                  <a16:creationId xmlns:a16="http://schemas.microsoft.com/office/drawing/2014/main" id="{00000000-0008-0000-0000-00000846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TW" altLang="en-US" sz="900" b="1" i="0" u="none" strike="noStrike" baseline="0">
                  <a:solidFill>
                    <a:srgbClr val="000000"/>
                  </a:solidFill>
                  <a:latin typeface="Arial"/>
                  <a:cs typeface="Arial"/>
                </a:rPr>
                <a:t>FIX</a:t>
              </a:r>
            </a:p>
            <a:p>
              <a:pPr algn="ctr" rtl="0">
                <a:defRPr sz="1000"/>
              </a:pPr>
              <a:r>
                <a:rPr lang="zh-TW" alt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517585</xdr:colOff>
          <xdr:row>10</xdr:row>
          <xdr:rowOff>189781</xdr:rowOff>
        </xdr:from>
        <xdr:to>
          <xdr:col>8</xdr:col>
          <xdr:colOff>534838</xdr:colOff>
          <xdr:row>13</xdr:row>
          <xdr:rowOff>8626</xdr:rowOff>
        </xdr:to>
        <xdr:sp macro="" textlink="">
          <xdr:nvSpPr>
            <xdr:cNvPr id="673664" name="Drop Down 896" descr="used to fix comment show issue on excel" hidden="1">
              <a:extLst>
                <a:ext uri="{63B3BB69-23CF-44E3-9099-C40C66FF867C}">
                  <a14:compatExt spid="_x0000_s673664"/>
                </a:ext>
                <a:ext uri="{FF2B5EF4-FFF2-40B4-BE49-F238E27FC236}">
                  <a16:creationId xmlns:a16="http://schemas.microsoft.com/office/drawing/2014/main" id="{00000000-0008-0000-0000-00008047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8626</xdr:colOff>
          <xdr:row>82</xdr:row>
          <xdr:rowOff>0</xdr:rowOff>
        </xdr:from>
        <xdr:to>
          <xdr:col>5</xdr:col>
          <xdr:colOff>181155</xdr:colOff>
          <xdr:row>83</xdr:row>
          <xdr:rowOff>0</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155275</xdr:colOff>
          <xdr:row>6</xdr:row>
          <xdr:rowOff>8626</xdr:rowOff>
        </xdr:from>
        <xdr:to>
          <xdr:col>5</xdr:col>
          <xdr:colOff>301925</xdr:colOff>
          <xdr:row>7</xdr:row>
          <xdr:rowOff>25879</xdr:rowOff>
        </xdr:to>
        <xdr:sp macro="" textlink="">
          <xdr:nvSpPr>
            <xdr:cNvPr id="672895" name="Spinner 127" hidden="1">
              <a:extLst>
                <a:ext uri="{63B3BB69-23CF-44E3-9099-C40C66FF867C}">
                  <a14:compatExt spid="_x0000_s672895"/>
                </a:ext>
                <a:ext uri="{FF2B5EF4-FFF2-40B4-BE49-F238E27FC236}">
                  <a16:creationId xmlns:a16="http://schemas.microsoft.com/office/drawing/2014/main" id="{00000000-0008-0000-0000-00007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58613</xdr:colOff>
      <xdr:row>0</xdr:row>
      <xdr:rowOff>29308</xdr:rowOff>
    </xdr:from>
    <xdr:to>
      <xdr:col>3</xdr:col>
      <xdr:colOff>339529</xdr:colOff>
      <xdr:row>0</xdr:row>
      <xdr:rowOff>567964</xdr:rowOff>
    </xdr:to>
    <xdr:pic macro="[0]!OpenLM27403ProductFolder">
      <xdr:nvPicPr>
        <xdr:cNvPr id="69" name="Picture 68">
          <a:extLst>
            <a:ext uri="{FF2B5EF4-FFF2-40B4-BE49-F238E27FC236}">
              <a16:creationId xmlns:a16="http://schemas.microsoft.com/office/drawing/2014/main" id="{00000000-0008-0000-0000-000045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4896" b="8304"/>
        <a:stretch/>
      </xdr:blipFill>
      <xdr:spPr>
        <a:xfrm>
          <a:off x="58613" y="29308"/>
          <a:ext cx="2283071" cy="538656"/>
        </a:xfrm>
        <a:prstGeom prst="rect">
          <a:avLst/>
        </a:prstGeom>
      </xdr:spPr>
    </xdr:pic>
    <xdr:clientData/>
  </xdr:twoCellAnchor>
  <xdr:twoCellAnchor>
    <xdr:from>
      <xdr:col>12</xdr:col>
      <xdr:colOff>580465</xdr:colOff>
      <xdr:row>101</xdr:row>
      <xdr:rowOff>24932</xdr:rowOff>
    </xdr:from>
    <xdr:to>
      <xdr:col>13</xdr:col>
      <xdr:colOff>392808</xdr:colOff>
      <xdr:row>102</xdr:row>
      <xdr:rowOff>72557</xdr:rowOff>
    </xdr:to>
    <xdr:sp macro="" textlink="'Variable Management'!$B$522">
      <xdr:nvSpPr>
        <xdr:cNvPr id="74" name="Text Box 24">
          <a:extLst>
            <a:ext uri="{FF2B5EF4-FFF2-40B4-BE49-F238E27FC236}">
              <a16:creationId xmlns:a16="http://schemas.microsoft.com/office/drawing/2014/main" id="{00000000-0008-0000-0000-00004A000000}"/>
            </a:ext>
          </a:extLst>
        </xdr:cNvPr>
        <xdr:cNvSpPr txBox="1">
          <a:spLocks noChangeArrowheads="1" noTextEdit="1"/>
        </xdr:cNvSpPr>
      </xdr:nvSpPr>
      <xdr:spPr bwMode="auto">
        <a:xfrm>
          <a:off x="8238565" y="19455932"/>
          <a:ext cx="983918"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0.7%</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8</xdr:col>
      <xdr:colOff>151840</xdr:colOff>
      <xdr:row>101</xdr:row>
      <xdr:rowOff>24932</xdr:rowOff>
    </xdr:from>
    <xdr:to>
      <xdr:col>8</xdr:col>
      <xdr:colOff>573783</xdr:colOff>
      <xdr:row>102</xdr:row>
      <xdr:rowOff>72557</xdr:rowOff>
    </xdr:to>
    <xdr:sp macro="" textlink="'Variable Management'!$B$520">
      <xdr:nvSpPr>
        <xdr:cNvPr id="89" name="Text Box 24">
          <a:extLst>
            <a:ext uri="{FF2B5EF4-FFF2-40B4-BE49-F238E27FC236}">
              <a16:creationId xmlns:a16="http://schemas.microsoft.com/office/drawing/2014/main" id="{00000000-0008-0000-0000-000059000000}"/>
            </a:ext>
          </a:extLst>
        </xdr:cNvPr>
        <xdr:cNvSpPr txBox="1">
          <a:spLocks noChangeArrowheads="1" noTextEdit="1"/>
        </xdr:cNvSpPr>
      </xdr:nvSpPr>
      <xdr:spPr bwMode="auto">
        <a:xfrm>
          <a:off x="5257240" y="16922282"/>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432ED2DE-3BD0-4309-A8FE-05B28CC10D2D}" type="TxLink">
            <a:rPr lang="en-US" sz="1000" b="0" i="0" u="none" strike="noStrike" baseline="0">
              <a:solidFill>
                <a:srgbClr val="000000"/>
              </a:solidFill>
              <a:latin typeface="Arial"/>
              <a:cs typeface="Arial"/>
            </a:rPr>
            <a:pPr algn="l" rtl="0">
              <a:defRPr sz="1000"/>
            </a:pPr>
            <a:t> </a:t>
          </a:fld>
          <a:endParaRPr lang="en-US" sz="900" b="1"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13</xdr:col>
          <xdr:colOff>534838</xdr:colOff>
          <xdr:row>57</xdr:row>
          <xdr:rowOff>250166</xdr:rowOff>
        </xdr:from>
        <xdr:to>
          <xdr:col>14</xdr:col>
          <xdr:colOff>77638</xdr:colOff>
          <xdr:row>59</xdr:row>
          <xdr:rowOff>0</xdr:rowOff>
        </xdr:to>
        <xdr:sp macro="" textlink="">
          <xdr:nvSpPr>
            <xdr:cNvPr id="673295" name="Spinner 527" hidden="1">
              <a:extLst>
                <a:ext uri="{63B3BB69-23CF-44E3-9099-C40C66FF867C}">
                  <a14:compatExt spid="_x0000_s673295"/>
                </a:ext>
                <a:ext uri="{FF2B5EF4-FFF2-40B4-BE49-F238E27FC236}">
                  <a16:creationId xmlns:a16="http://schemas.microsoft.com/office/drawing/2014/main" id="{00000000-0008-0000-0000-00000F46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8626</xdr:colOff>
          <xdr:row>61</xdr:row>
          <xdr:rowOff>8626</xdr:rowOff>
        </xdr:from>
        <xdr:to>
          <xdr:col>1</xdr:col>
          <xdr:colOff>129396</xdr:colOff>
          <xdr:row>62</xdr:row>
          <xdr:rowOff>0</xdr:rowOff>
        </xdr:to>
        <xdr:sp macro="" textlink="">
          <xdr:nvSpPr>
            <xdr:cNvPr id="686805" name="Drop Down 1749" hidden="1">
              <a:extLst>
                <a:ext uri="{63B3BB69-23CF-44E3-9099-C40C66FF867C}">
                  <a14:compatExt spid="_x0000_s686805"/>
                </a:ext>
                <a:ext uri="{FF2B5EF4-FFF2-40B4-BE49-F238E27FC236}">
                  <a16:creationId xmlns:a16="http://schemas.microsoft.com/office/drawing/2014/main" id="{00000000-0008-0000-0000-0000D57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172528</xdr:colOff>
          <xdr:row>61</xdr:row>
          <xdr:rowOff>8626</xdr:rowOff>
        </xdr:from>
        <xdr:to>
          <xdr:col>2</xdr:col>
          <xdr:colOff>388189</xdr:colOff>
          <xdr:row>62</xdr:row>
          <xdr:rowOff>0</xdr:rowOff>
        </xdr:to>
        <xdr:sp macro="" textlink="">
          <xdr:nvSpPr>
            <xdr:cNvPr id="686808" name="Drop Down 1752" hidden="1">
              <a:extLst>
                <a:ext uri="{63B3BB69-23CF-44E3-9099-C40C66FF867C}">
                  <a14:compatExt spid="_x0000_s686808"/>
                </a:ext>
                <a:ext uri="{FF2B5EF4-FFF2-40B4-BE49-F238E27FC236}">
                  <a16:creationId xmlns:a16="http://schemas.microsoft.com/office/drawing/2014/main" id="{00000000-0008-0000-0000-0000D87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439947</xdr:colOff>
          <xdr:row>61</xdr:row>
          <xdr:rowOff>8626</xdr:rowOff>
        </xdr:from>
        <xdr:to>
          <xdr:col>3</xdr:col>
          <xdr:colOff>448574</xdr:colOff>
          <xdr:row>62</xdr:row>
          <xdr:rowOff>0</xdr:rowOff>
        </xdr:to>
        <xdr:sp macro="" textlink="">
          <xdr:nvSpPr>
            <xdr:cNvPr id="686809" name="Drop Down 1753" hidden="1">
              <a:extLst>
                <a:ext uri="{63B3BB69-23CF-44E3-9099-C40C66FF867C}">
                  <a14:compatExt spid="_x0000_s686809"/>
                </a:ext>
                <a:ext uri="{FF2B5EF4-FFF2-40B4-BE49-F238E27FC236}">
                  <a16:creationId xmlns:a16="http://schemas.microsoft.com/office/drawing/2014/main" id="{00000000-0008-0000-0000-0000D97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491706</xdr:colOff>
          <xdr:row>61</xdr:row>
          <xdr:rowOff>8626</xdr:rowOff>
        </xdr:from>
        <xdr:to>
          <xdr:col>5</xdr:col>
          <xdr:colOff>457200</xdr:colOff>
          <xdr:row>62</xdr:row>
          <xdr:rowOff>0</xdr:rowOff>
        </xdr:to>
        <xdr:sp macro="" textlink="">
          <xdr:nvSpPr>
            <xdr:cNvPr id="686810" name="Drop Down 1754" hidden="1">
              <a:extLst>
                <a:ext uri="{63B3BB69-23CF-44E3-9099-C40C66FF867C}">
                  <a14:compatExt spid="_x0000_s686810"/>
                </a:ext>
                <a:ext uri="{FF2B5EF4-FFF2-40B4-BE49-F238E27FC236}">
                  <a16:creationId xmlns:a16="http://schemas.microsoft.com/office/drawing/2014/main" id="{00000000-0008-0000-0000-0000DA7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96</xdr:row>
          <xdr:rowOff>0</xdr:rowOff>
        </xdr:from>
        <xdr:to>
          <xdr:col>14</xdr:col>
          <xdr:colOff>189781</xdr:colOff>
          <xdr:row>97</xdr:row>
          <xdr:rowOff>0</xdr:rowOff>
        </xdr:to>
        <xdr:sp macro="" textlink="">
          <xdr:nvSpPr>
            <xdr:cNvPr id="701838" name="Spinner 2446" hidden="1">
              <a:extLst>
                <a:ext uri="{63B3BB69-23CF-44E3-9099-C40C66FF867C}">
                  <a14:compatExt spid="_x0000_s701838"/>
                </a:ext>
                <a:ext uri="{FF2B5EF4-FFF2-40B4-BE49-F238E27FC236}">
                  <a16:creationId xmlns:a16="http://schemas.microsoft.com/office/drawing/2014/main" id="{00000000-0008-0000-0000-00008EB5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586596</xdr:colOff>
          <xdr:row>95</xdr:row>
          <xdr:rowOff>60385</xdr:rowOff>
        </xdr:from>
        <xdr:to>
          <xdr:col>9</xdr:col>
          <xdr:colOff>569343</xdr:colOff>
          <xdr:row>96</xdr:row>
          <xdr:rowOff>51758</xdr:rowOff>
        </xdr:to>
        <xdr:sp macro="" textlink="">
          <xdr:nvSpPr>
            <xdr:cNvPr id="672924" name="Drop Down 156" hidden="1">
              <a:extLst>
                <a:ext uri="{63B3BB69-23CF-44E3-9099-C40C66FF867C}">
                  <a14:compatExt spid="_x0000_s672924"/>
                </a:ext>
                <a:ext uri="{FF2B5EF4-FFF2-40B4-BE49-F238E27FC236}">
                  <a16:creationId xmlns:a16="http://schemas.microsoft.com/office/drawing/2014/main" id="{00000000-0008-0000-0000-00009C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1639019</xdr:colOff>
          <xdr:row>59</xdr:row>
          <xdr:rowOff>34506</xdr:rowOff>
        </xdr:from>
        <xdr:to>
          <xdr:col>15</xdr:col>
          <xdr:colOff>181155</xdr:colOff>
          <xdr:row>60</xdr:row>
          <xdr:rowOff>86264</xdr:rowOff>
        </xdr:to>
        <xdr:sp macro="" textlink="">
          <xdr:nvSpPr>
            <xdr:cNvPr id="717244" name="Check Box 3516" descr="Show I_Limit Bode Plot" hidden="1">
              <a:extLst>
                <a:ext uri="{63B3BB69-23CF-44E3-9099-C40C66FF867C}">
                  <a14:compatExt spid="_x0000_s717244"/>
                </a:ext>
                <a:ext uri="{FF2B5EF4-FFF2-40B4-BE49-F238E27FC236}">
                  <a16:creationId xmlns:a16="http://schemas.microsoft.com/office/drawing/2014/main" id="{00000000-0008-0000-0000-0000BCF1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zh-TW" altLang="en-US" sz="800" b="0" i="0" u="none" strike="noStrike" baseline="0">
                  <a:solidFill>
                    <a:srgbClr val="000000"/>
                  </a:solidFill>
                  <a:latin typeface="Segoe UI"/>
                  <a:cs typeface="Segoe UI"/>
                </a:rPr>
                <a:t>Show I_Limit Bode Plot</a:t>
              </a:r>
            </a:p>
          </xdr:txBody>
        </xdr:sp>
        <xdr:clientData/>
      </xdr:twoCellAnchor>
    </mc:Choice>
    <mc:Fallback/>
  </mc:AlternateContent>
  <xdr:twoCellAnchor>
    <xdr:from>
      <xdr:col>7</xdr:col>
      <xdr:colOff>561975</xdr:colOff>
      <xdr:row>79</xdr:row>
      <xdr:rowOff>104775</xdr:rowOff>
    </xdr:from>
    <xdr:to>
      <xdr:col>10</xdr:col>
      <xdr:colOff>528297</xdr:colOff>
      <xdr:row>80</xdr:row>
      <xdr:rowOff>138917</xdr:rowOff>
    </xdr:to>
    <xdr:sp macro="" textlink="'Variable Management'!A517">
      <xdr:nvSpPr>
        <xdr:cNvPr id="23" name="Text Box 23">
          <a:extLst>
            <a:ext uri="{FF2B5EF4-FFF2-40B4-BE49-F238E27FC236}">
              <a16:creationId xmlns:a16="http://schemas.microsoft.com/office/drawing/2014/main" id="{00000000-0008-0000-0000-000017000000}"/>
            </a:ext>
          </a:extLst>
        </xdr:cNvPr>
        <xdr:cNvSpPr txBox="1">
          <a:spLocks noChangeArrowheads="1" noTextEdit="1"/>
        </xdr:cNvSpPr>
      </xdr:nvSpPr>
      <xdr:spPr bwMode="auto">
        <a:xfrm>
          <a:off x="4524375" y="14763750"/>
          <a:ext cx="2195172" cy="224642"/>
        </a:xfrm>
        <a:prstGeom prst="rect">
          <a:avLst/>
        </a:prstGeom>
        <a:solidFill>
          <a:schemeClr val="bg1"/>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469CC80A-1B1C-488B-BE50-B6EFE9D60C7B}" type="TxLink">
            <a:rPr lang="en-US" sz="1000" b="1" i="0" u="none" strike="noStrike" baseline="0">
              <a:solidFill>
                <a:srgbClr val="FF0000"/>
              </a:solidFill>
              <a:latin typeface="Arial"/>
              <a:cs typeface="Arial"/>
            </a:rPr>
            <a:pPr algn="l" rtl="0">
              <a:defRPr sz="1000"/>
            </a:pPr>
            <a:t>Crossover Frequency = 4 kHz</a:t>
          </a:fld>
          <a:endParaRPr lang="en-US" sz="1200" b="1" i="0" u="none" strike="noStrike" baseline="0">
            <a:solidFill>
              <a:srgbClr val="FF0000"/>
            </a:solidFill>
            <a:latin typeface="Arial"/>
            <a:cs typeface="Arial"/>
          </a:endParaRPr>
        </a:p>
      </xdr:txBody>
    </xdr:sp>
    <xdr:clientData/>
  </xdr:twoCellAnchor>
  <xdr:twoCellAnchor>
    <xdr:from>
      <xdr:col>7</xdr:col>
      <xdr:colOff>561975</xdr:colOff>
      <xdr:row>80</xdr:row>
      <xdr:rowOff>114662</xdr:rowOff>
    </xdr:from>
    <xdr:to>
      <xdr:col>9</xdr:col>
      <xdr:colOff>594563</xdr:colOff>
      <xdr:row>81</xdr:row>
      <xdr:rowOff>114300</xdr:rowOff>
    </xdr:to>
    <xdr:sp macro="" textlink="'Variable Management'!A518">
      <xdr:nvSpPr>
        <xdr:cNvPr id="24" name="Text Box 24">
          <a:extLst>
            <a:ext uri="{FF2B5EF4-FFF2-40B4-BE49-F238E27FC236}">
              <a16:creationId xmlns:a16="http://schemas.microsoft.com/office/drawing/2014/main" id="{00000000-0008-0000-0000-000018000000}"/>
            </a:ext>
          </a:extLst>
        </xdr:cNvPr>
        <xdr:cNvSpPr txBox="1">
          <a:spLocks noChangeArrowheads="1" noTextEdit="1"/>
        </xdr:cNvSpPr>
      </xdr:nvSpPr>
      <xdr:spPr bwMode="auto">
        <a:xfrm>
          <a:off x="4524375" y="15364187"/>
          <a:ext cx="1432763" cy="190138"/>
        </a:xfrm>
        <a:prstGeom prst="rect">
          <a:avLst/>
        </a:prstGeom>
        <a:solidFill>
          <a:schemeClr val="bg1"/>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F3FB94EA-7712-472D-9E66-3E1FB888E0E1}" type="TxLink">
            <a:rPr lang="en-US" sz="1000" b="1" i="0" u="none" strike="noStrike" baseline="0">
              <a:solidFill>
                <a:srgbClr val="002060"/>
              </a:solidFill>
              <a:latin typeface="Arial"/>
              <a:cs typeface="Arial"/>
            </a:rPr>
            <a:pPr algn="l" rtl="0">
              <a:defRPr sz="1000"/>
            </a:pPr>
            <a:t>Phase Margin = 72°</a:t>
          </a:fld>
          <a:endParaRPr lang="en-US" sz="1200" b="1" i="0" u="none" strike="noStrike" baseline="0">
            <a:solidFill>
              <a:srgbClr val="00206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6</xdr:col>
          <xdr:colOff>309563</xdr:colOff>
          <xdr:row>7</xdr:row>
          <xdr:rowOff>100014</xdr:rowOff>
        </xdr:from>
        <xdr:to>
          <xdr:col>16</xdr:col>
          <xdr:colOff>2167221</xdr:colOff>
          <xdr:row>34</xdr:row>
          <xdr:rowOff>110490</xdr:rowOff>
        </xdr:to>
        <xdr:pic>
          <xdr:nvPicPr>
            <xdr:cNvPr id="22" name="Picture 21">
              <a:extLst>
                <a:ext uri="{FF2B5EF4-FFF2-40B4-BE49-F238E27FC236}">
                  <a16:creationId xmlns:a16="http://schemas.microsoft.com/office/drawing/2014/main" id="{00000000-0008-0000-0000-000016000000}"/>
                </a:ext>
              </a:extLst>
            </xdr:cNvPr>
            <xdr:cNvPicPr>
              <a:picLocks noChangeAspect="1" noChangeArrowheads="1"/>
              <a:extLst>
                <a:ext uri="{84589F7E-364E-4C9E-8A38-B11213B215E9}">
                  <a14:cameraTool cellRange="PICTURE2" spid="_x0000_s733822"/>
                </a:ext>
              </a:extLst>
            </xdr:cNvPicPr>
          </xdr:nvPicPr>
          <xdr:blipFill>
            <a:blip xmlns:r="http://schemas.openxmlformats.org/officeDocument/2006/relationships" r:embed="rId4"/>
            <a:srcRect/>
            <a:stretch>
              <a:fillRect/>
            </a:stretch>
          </xdr:blipFill>
          <xdr:spPr bwMode="auto">
            <a:xfrm>
              <a:off x="3833813" y="1833564"/>
              <a:ext cx="8557543" cy="4986336"/>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xdr:twoCellAnchor>
    <xdr:from>
      <xdr:col>9</xdr:col>
      <xdr:colOff>320387</xdr:colOff>
      <xdr:row>20</xdr:row>
      <xdr:rowOff>7184</xdr:rowOff>
    </xdr:from>
    <xdr:to>
      <xdr:col>10</xdr:col>
      <xdr:colOff>173182</xdr:colOff>
      <xdr:row>21</xdr:row>
      <xdr:rowOff>30456</xdr:rowOff>
    </xdr:to>
    <xdr:sp macro="" textlink="Device">
      <xdr:nvSpPr>
        <xdr:cNvPr id="2" name="TextBox 1">
          <a:extLst>
            <a:ext uri="{FF2B5EF4-FFF2-40B4-BE49-F238E27FC236}">
              <a16:creationId xmlns:a16="http://schemas.microsoft.com/office/drawing/2014/main" id="{00000000-0008-0000-0000-000002000000}"/>
            </a:ext>
          </a:extLst>
        </xdr:cNvPr>
        <xdr:cNvSpPr txBox="1"/>
      </xdr:nvSpPr>
      <xdr:spPr bwMode="auto">
        <a:xfrm>
          <a:off x="5687232" y="4079943"/>
          <a:ext cx="680484" cy="213772"/>
        </a:xfrm>
        <a:prstGeom prst="rect">
          <a:avLst/>
        </a:prstGeom>
        <a:solidFill>
          <a:schemeClr val="bg1"/>
        </a:solidFill>
        <a:ln w="9525">
          <a:noFill/>
          <a:miter lim="800000"/>
          <a:headEnd/>
          <a:tailEnd/>
        </a:ln>
      </xdr:spPr>
      <xdr:txBody>
        <a:bodyPr vertOverflow="clip" horzOverflow="clip" wrap="none" lIns="0" tIns="0" rIns="0" bIns="0" rtlCol="0" anchor="t" upright="1"/>
        <a:lstStyle/>
        <a:p>
          <a:pPr algn="ctr" rtl="0"/>
          <a:fld id="{8FF4FAC1-A530-4BE5-BB9C-250B2E534FB4}" type="TxLink">
            <a:rPr lang="en-US" sz="1000" b="1" i="0" u="none" strike="noStrike">
              <a:solidFill>
                <a:srgbClr val="000000"/>
              </a:solidFill>
              <a:latin typeface="Arial"/>
              <a:cs typeface="Arial"/>
            </a:rPr>
            <a:pPr algn="ctr" rtl="0"/>
            <a:t>LM51770</a:t>
          </a:fld>
          <a:endParaRPr lang="en-US" sz="1000" b="1" i="0"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16</xdr:col>
      <xdr:colOff>933450</xdr:colOff>
      <xdr:row>101</xdr:row>
      <xdr:rowOff>57150</xdr:rowOff>
    </xdr:from>
    <xdr:to>
      <xdr:col>16</xdr:col>
      <xdr:colOff>1917368</xdr:colOff>
      <xdr:row>102</xdr:row>
      <xdr:rowOff>104775</xdr:rowOff>
    </xdr:to>
    <xdr:sp macro="" textlink="'Variable Management'!B521">
      <xdr:nvSpPr>
        <xdr:cNvPr id="32" name="Text Box 24">
          <a:extLst>
            <a:ext uri="{FF2B5EF4-FFF2-40B4-BE49-F238E27FC236}">
              <a16:creationId xmlns:a16="http://schemas.microsoft.com/office/drawing/2014/main" id="{E7A17633-D880-460A-976D-C39D22BB864D}"/>
            </a:ext>
          </a:extLst>
        </xdr:cNvPr>
        <xdr:cNvSpPr txBox="1">
          <a:spLocks noChangeArrowheads="1" noTextEdit="1"/>
        </xdr:cNvSpPr>
      </xdr:nvSpPr>
      <xdr:spPr bwMode="auto">
        <a:xfrm>
          <a:off x="11153775" y="19488150"/>
          <a:ext cx="983918"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005950EE-278D-44BE-BC08-C6D0E34A17DE}" type="TxLink">
            <a:rPr lang="en-US" sz="1000" b="0" i="0" u="none" strike="noStrike" baseline="0">
              <a:solidFill>
                <a:srgbClr val="000000"/>
              </a:solidFill>
              <a:latin typeface="Arial"/>
              <a:cs typeface="Arial"/>
            </a:rPr>
            <a:pPr algn="l" rtl="0">
              <a:defRPr sz="1000"/>
            </a:pPr>
            <a:t>1%</a:t>
          </a:fld>
          <a:endParaRPr lang="en-US" sz="900" b="1"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3</xdr:col>
          <xdr:colOff>552091</xdr:colOff>
          <xdr:row>4</xdr:row>
          <xdr:rowOff>77638</xdr:rowOff>
        </xdr:from>
        <xdr:to>
          <xdr:col>6</xdr:col>
          <xdr:colOff>8626</xdr:colOff>
          <xdr:row>4</xdr:row>
          <xdr:rowOff>241540</xdr:rowOff>
        </xdr:to>
        <xdr:sp macro="" textlink="">
          <xdr:nvSpPr>
            <xdr:cNvPr id="733795" name="Drop Down 4707" hidden="1">
              <a:extLst>
                <a:ext uri="{63B3BB69-23CF-44E3-9099-C40C66FF867C}">
                  <a14:compatExt spid="_x0000_s733795"/>
                </a:ext>
                <a:ext uri="{FF2B5EF4-FFF2-40B4-BE49-F238E27FC236}">
                  <a16:creationId xmlns:a16="http://schemas.microsoft.com/office/drawing/2014/main" id="{00000000-0008-0000-0000-00006332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152400</xdr:rowOff>
    </xdr:from>
    <xdr:to>
      <xdr:col>1</xdr:col>
      <xdr:colOff>600075</xdr:colOff>
      <xdr:row>2</xdr:row>
      <xdr:rowOff>85676</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152400"/>
          <a:ext cx="2314575" cy="2952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200025</xdr:colOff>
      <xdr:row>0</xdr:row>
      <xdr:rowOff>114300</xdr:rowOff>
    </xdr:from>
    <xdr:ext cx="3752850" cy="381708"/>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914525" y="114300"/>
          <a:ext cx="3752850" cy="3817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a:latin typeface="Arial Black" panose="020B0A04020102020204" pitchFamily="34" charset="0"/>
            </a:rPr>
            <a:t>About this tool...</a:t>
          </a:r>
        </a:p>
      </xdr:txBody>
    </xdr:sp>
    <xdr:clientData/>
  </xdr:oneCellAnchor>
  <xdr:oneCellAnchor>
    <xdr:from>
      <xdr:col>3</xdr:col>
      <xdr:colOff>323850</xdr:colOff>
      <xdr:row>1</xdr:row>
      <xdr:rowOff>28575</xdr:rowOff>
    </xdr:from>
    <xdr:ext cx="4719497" cy="254557"/>
    <xdr:sp macro="" textlink="">
      <xdr:nvSpPr>
        <xdr:cNvPr id="4" name="TextBox 3">
          <a:hlinkClick xmlns:r="http://schemas.openxmlformats.org/officeDocument/2006/relationships" r:id="rId3"/>
          <a:extLst>
            <a:ext uri="{FF2B5EF4-FFF2-40B4-BE49-F238E27FC236}">
              <a16:creationId xmlns:a16="http://schemas.microsoft.com/office/drawing/2014/main" id="{00000000-0008-0000-0100-000004000000}"/>
            </a:ext>
          </a:extLst>
        </xdr:cNvPr>
        <xdr:cNvSpPr txBox="1"/>
      </xdr:nvSpPr>
      <xdr:spPr>
        <a:xfrm>
          <a:off x="6419850" y="209550"/>
          <a:ext cx="4719497"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none" strike="noStrike">
              <a:solidFill>
                <a:schemeClr val="tx1"/>
              </a:solidFill>
              <a:effectLst/>
              <a:latin typeface="Arial" panose="020B0604020202020204" pitchFamily="34" charset="0"/>
              <a:ea typeface="+mn-ea"/>
              <a:cs typeface="Arial" panose="020B0604020202020204" pitchFamily="34" charset="0"/>
              <a:hlinkClick xmlns:r="http://schemas.openxmlformats.org/officeDocument/2006/relationships" r:id=""/>
            </a:rPr>
            <a:t>© Copyright 2026</a:t>
          </a:r>
          <a:r>
            <a:rPr lang="en-US" sz="1100" b="0" i="0">
              <a:solidFill>
                <a:schemeClr val="tx1"/>
              </a:solidFill>
              <a:effectLst/>
              <a:latin typeface="Arial" panose="020B0604020202020204" pitchFamily="34" charset="0"/>
              <a:ea typeface="+mn-ea"/>
              <a:cs typeface="Arial" panose="020B0604020202020204" pitchFamily="34" charset="0"/>
            </a:rPr>
            <a:t> Texas Instruments Incorporated. All rights reserved.</a:t>
          </a:r>
          <a:endParaRPr lang="en-US" sz="1100" b="0">
            <a:latin typeface="Arial" panose="020B0604020202020204" pitchFamily="34" charset="0"/>
            <a:cs typeface="Arial" panose="020B0604020202020204" pitchFamily="34" charset="0"/>
          </a:endParaRPr>
        </a:p>
      </xdr:txBody>
    </xdr:sp>
    <xdr:clientData/>
  </xdr:oneCellAnchor>
  <xdr:oneCellAnchor>
    <xdr:from>
      <xdr:col>0</xdr:col>
      <xdr:colOff>95247</xdr:colOff>
      <xdr:row>6</xdr:row>
      <xdr:rowOff>47623</xdr:rowOff>
    </xdr:from>
    <xdr:ext cx="11229977" cy="4267202"/>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5247" y="1114423"/>
          <a:ext cx="11229977" cy="4267202"/>
        </a:xfrm>
        <a:prstGeom prst="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none" spc="0" normalizeH="0" baseline="0" noProof="0">
              <a:ln>
                <a:noFill/>
              </a:ln>
              <a:solidFill>
                <a:sysClr val="windowText" lastClr="000000"/>
              </a:solidFill>
              <a:effectLst/>
              <a:uLnTx/>
              <a:uFillTx/>
              <a:latin typeface="+mn-lt"/>
              <a:ea typeface="+mn-ea"/>
              <a:cs typeface="+mn-cs"/>
            </a:rPr>
            <a:t>IMPORTANT NOTICE AND DISCLAIMER</a:t>
          </a:r>
        </a:p>
        <a:p>
          <a:pPr marL="0" marR="0" lvl="0" indent="0" defTabSz="914400" eaLnBrk="1" fontAlgn="auto" latinLnBrk="0" hangingPunct="1">
            <a:lnSpc>
              <a:spcPct val="100000"/>
            </a:lnSpc>
            <a:spcBef>
              <a:spcPts val="0"/>
            </a:spcBef>
            <a:spcAft>
              <a:spcPts val="0"/>
            </a:spcAft>
            <a:buClrTx/>
            <a:buSzTx/>
            <a:buFontTx/>
            <a:buNone/>
            <a:tabLst/>
            <a:defRPr/>
          </a:pPr>
          <a:br>
            <a:rPr kumimoji="0" lang="en-US" sz="10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TI PROVIDES TECHNICAL AND RELIABILITY DATA (INCLUDING DATA SHEETS), DESIGN RESOURCES (INCLUDING REFERENCE</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DESIGNS), APPLICATION OR OTHER DESIGN ADVICE, WEB TOOLS, SAFETY INFORMATION, AND OTHER RESOURCES “AS IS”</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AND WITH ALL FAULTS, AND DISCLAIMS ALL WARRANTIES, EXPRESS AND IMPLIED, INCLUDING WITHOUT LIMITATION ANY</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IMPLIED WARRANTIES OF MERCHANTABILITY, FITNESS FOR A PARTICULAR PURPOSE OR NON-INFRINGEMENT OF THIRD</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PARTY INTELLECTUAL PROPERTY RIGHTS.</a:t>
          </a:r>
        </a:p>
        <a:p>
          <a:pPr marL="0" marR="0" lvl="0" indent="0" defTabSz="914400" eaLnBrk="1" fontAlgn="auto" latinLnBrk="0" hangingPunct="1">
            <a:lnSpc>
              <a:spcPct val="100000"/>
            </a:lnSpc>
            <a:spcBef>
              <a:spcPts val="0"/>
            </a:spcBef>
            <a:spcAft>
              <a:spcPts val="0"/>
            </a:spcAft>
            <a:buClrTx/>
            <a:buSzTx/>
            <a:buFontTx/>
            <a:buNone/>
            <a:tabLst/>
            <a:defRPr/>
          </a:pP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These resources are intended for skilled developers designing with TI products. You are solely responsible for (1) selecting the appropriate</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TI products for your application, (2) designing, validating and testing your application, and (3) ensuring your application meets applicable</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standards, and any other safety, security, regulatory or other requirements.</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These resources are subject to change without notice. TI grants you permission to use these resources only for development of an</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application that uses the TI products described in the resource. Other reproduction and display of these resources is prohibited. No license</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is granted to any other TI intellectual property right or to any third party intellectual property right. TI disclaims responsibility for, and you</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will fully indemnify TI and its representatives against, any claims, damages, costs, losses, and liabilities arising out of your use of these</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resources.</a:t>
          </a:r>
        </a:p>
        <a:p>
          <a:pPr marL="0" marR="0" lvl="0" indent="0" defTabSz="914400" eaLnBrk="1" fontAlgn="auto" latinLnBrk="0" hangingPunct="1">
            <a:lnSpc>
              <a:spcPct val="100000"/>
            </a:lnSpc>
            <a:spcBef>
              <a:spcPts val="0"/>
            </a:spcBef>
            <a:spcAft>
              <a:spcPts val="0"/>
            </a:spcAft>
            <a:buClrTx/>
            <a:buSzTx/>
            <a:buFontTx/>
            <a:buNone/>
            <a:tabLst/>
            <a:defRPr/>
          </a:pP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TI’s products are provided subject to TI’s Terms of Sale or other applicable terms available either on ti.com or provided in conjunction with</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such TI products. TI’s provision of these resources does not expand or otherwise alter TI’s applicable warranties or warranty disclaimers for</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TI products.</a:t>
          </a:r>
        </a:p>
        <a:p>
          <a:pPr marL="0" marR="0" lvl="0" indent="0" algn="l" defTabSz="914400" eaLnBrk="1" fontAlgn="auto" latinLnBrk="0" hangingPunct="1">
            <a:lnSpc>
              <a:spcPct val="100000"/>
            </a:lnSpc>
            <a:spcBef>
              <a:spcPts val="0"/>
            </a:spcBef>
            <a:spcAft>
              <a:spcPts val="0"/>
            </a:spcAft>
            <a:buClrTx/>
            <a:buSzTx/>
            <a:buFontTx/>
            <a:buNone/>
            <a:tabLst/>
            <a:defRPr/>
          </a:pP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TI objects to and rejects any additional or different terms you may have proposed. IMPORTANT NOTICE</a:t>
          </a:r>
        </a:p>
        <a:p>
          <a:pPr marL="0" marR="0" lvl="0" indent="0" algn="ctr" defTabSz="914400" eaLnBrk="1" fontAlgn="auto" latinLnBrk="0" hangingPunct="1">
            <a:lnSpc>
              <a:spcPct val="100000"/>
            </a:lnSpc>
            <a:spcBef>
              <a:spcPts val="0"/>
            </a:spcBef>
            <a:spcAft>
              <a:spcPts val="0"/>
            </a:spcAft>
            <a:buClrTx/>
            <a:buSzTx/>
            <a:buFontTx/>
            <a:buNone/>
            <a:tabLst/>
            <a:defRPr/>
          </a:pP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Mailing Address: Texas Instruments, Post Office Box 655303, Dallas, Texas 75265</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Copyright © 2026, Texas Instruments Incorporated</a:t>
          </a:r>
          <a:endParaRPr kumimoji="0" lang="en-US" sz="7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xdr:txBody>
    </xdr:sp>
    <xdr:clientData/>
  </xdr:oneCellAnchor>
  <xdr:oneCellAnchor>
    <xdr:from>
      <xdr:col>0</xdr:col>
      <xdr:colOff>99057</xdr:colOff>
      <xdr:row>30</xdr:row>
      <xdr:rowOff>16998</xdr:rowOff>
    </xdr:from>
    <xdr:ext cx="11229977" cy="634512"/>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99057" y="5150973"/>
          <a:ext cx="11229977" cy="634512"/>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chemeClr val="tx1"/>
              </a:solidFill>
              <a:effectLst/>
              <a:latin typeface="+mn-lt"/>
              <a:ea typeface="+mn-ea"/>
              <a:cs typeface="+mn-cs"/>
            </a:rPr>
            <a:t>IMPORTANT</a:t>
          </a:r>
          <a:r>
            <a:rPr lang="en-US" sz="1100" b="1" baseline="0">
              <a:solidFill>
                <a:schemeClr val="tx1"/>
              </a:solidFill>
              <a:effectLst/>
              <a:latin typeface="+mn-lt"/>
              <a:ea typeface="+mn-ea"/>
              <a:cs typeface="+mn-cs"/>
            </a:rPr>
            <a:t>:   </a:t>
          </a:r>
          <a:endParaRPr lang="en-US" sz="800">
            <a:effectLst/>
          </a:endParaRPr>
        </a:p>
        <a:p>
          <a:r>
            <a:rPr lang="en-US" sz="1100" baseline="0">
              <a:solidFill>
                <a:schemeClr val="tx1"/>
              </a:solidFill>
              <a:effectLst/>
              <a:latin typeface="+mn-lt"/>
              <a:ea typeface="+mn-ea"/>
              <a:cs typeface="+mn-cs"/>
            </a:rPr>
            <a:t>1.  Do not delete this worksheet!</a:t>
          </a:r>
          <a:endParaRPr lang="en-US" sz="800">
            <a:effectLst/>
          </a:endParaRPr>
        </a:p>
        <a:p>
          <a:pPr eaLnBrk="1" fontAlgn="auto" latinLnBrk="0" hangingPunct="1"/>
          <a:r>
            <a:rPr lang="en-US" sz="1100" baseline="0">
              <a:solidFill>
                <a:schemeClr val="tx1"/>
              </a:solidFill>
              <a:effectLst/>
              <a:latin typeface="+mn-lt"/>
              <a:ea typeface="+mn-ea"/>
              <a:cs typeface="+mn-cs"/>
            </a:rPr>
            <a:t>2.  Redistributions must retain the above copyright and the following disclaimer.</a:t>
          </a:r>
          <a:endParaRPr lang="en-US" sz="800">
            <a:effectLst/>
          </a:endParaRPr>
        </a:p>
        <a:p>
          <a:endParaRPr lang="en-US" sz="800" baseline="0">
            <a:latin typeface="Arial" panose="020B0604020202020204" pitchFamily="34" charset="0"/>
            <a:cs typeface="Arial" panose="020B0604020202020204" pitchFamily="34" charset="0"/>
          </a:endParaRP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14</xdr:col>
      <xdr:colOff>104775</xdr:colOff>
      <xdr:row>24</xdr:row>
      <xdr:rowOff>95250</xdr:rowOff>
    </xdr:from>
    <xdr:to>
      <xdr:col>24</xdr:col>
      <xdr:colOff>295275</xdr:colOff>
      <xdr:row>60</xdr:row>
      <xdr:rowOff>28575</xdr:rowOff>
    </xdr:to>
    <xdr:grpSp>
      <xdr:nvGrpSpPr>
        <xdr:cNvPr id="2" name="Group 14">
          <a:extLst>
            <a:ext uri="{FF2B5EF4-FFF2-40B4-BE49-F238E27FC236}">
              <a16:creationId xmlns:a16="http://schemas.microsoft.com/office/drawing/2014/main" id="{00000000-0008-0000-0200-000002000000}"/>
            </a:ext>
          </a:extLst>
        </xdr:cNvPr>
        <xdr:cNvGrpSpPr>
          <a:grpSpLocks/>
        </xdr:cNvGrpSpPr>
      </xdr:nvGrpSpPr>
      <xdr:grpSpPr bwMode="auto">
        <a:xfrm>
          <a:off x="14571273" y="4270435"/>
          <a:ext cx="6565421" cy="6032200"/>
          <a:chOff x="3209925" y="19650076"/>
          <a:chExt cx="5619750" cy="5910101"/>
        </a:xfrm>
      </xdr:grpSpPr>
      <xdr:pic>
        <xdr:nvPicPr>
          <xdr:cNvPr id="3" name="Picture 11" descr="Error amp - no ref des.tif">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3209925" y="19659867"/>
            <a:ext cx="5619750" cy="5900310"/>
          </a:xfrm>
          <a:prstGeom prst="rect">
            <a:avLst/>
          </a:prstGeom>
          <a:noFill/>
          <a:ln w="9525">
            <a:noFill/>
            <a:miter lim="800000"/>
            <a:headEnd/>
            <a:tailEnd/>
          </a:ln>
        </xdr:spPr>
      </xdr:pic>
      <xdr:sp macro="" textlink="$A$506">
        <xdr:nvSpPr>
          <xdr:cNvPr id="4" name="Text Box 5">
            <a:extLst>
              <a:ext uri="{FF2B5EF4-FFF2-40B4-BE49-F238E27FC236}">
                <a16:creationId xmlns:a16="http://schemas.microsoft.com/office/drawing/2014/main" id="{00000000-0008-0000-0200-000004000000}"/>
              </a:ext>
            </a:extLst>
          </xdr:cNvPr>
          <xdr:cNvSpPr txBox="1">
            <a:spLocks noChangeArrowheads="1" noTextEdit="1"/>
          </xdr:cNvSpPr>
        </xdr:nvSpPr>
        <xdr:spPr bwMode="auto">
          <a:xfrm>
            <a:off x="5400675" y="23797353"/>
            <a:ext cx="961159" cy="287619"/>
          </a:xfrm>
          <a:prstGeom prst="rect">
            <a:avLst/>
          </a:prstGeom>
          <a:noFill/>
          <a:ln w="9525">
            <a:noFill/>
            <a:miter lim="800000"/>
            <a:headEnd/>
            <a:tailEnd/>
          </a:ln>
        </xdr:spPr>
        <xdr:txBody>
          <a:bodyPr vertOverflow="clip" wrap="square" lIns="27432" tIns="22860" rIns="0" bIns="0" anchor="t" upright="1"/>
          <a:lstStyle/>
          <a:p>
            <a:pPr algn="l" rtl="0">
              <a:defRPr sz="1000"/>
            </a:pPr>
            <a:fld id="{646744A9-B6E0-4B97-A665-5D50832E7F13}" type="TxLink">
              <a:rPr lang="en-US" sz="1000" b="1" i="0" u="none" strike="noStrike" baseline="0">
                <a:solidFill>
                  <a:srgbClr val="000000"/>
                </a:solidFill>
                <a:latin typeface="Arialri"/>
                <a:cs typeface="Arial"/>
              </a:rPr>
              <a:pPr algn="l" rtl="0">
                <a:defRPr sz="1000"/>
              </a:pPr>
              <a:t>CC1 = 56nF</a:t>
            </a:fld>
            <a:endParaRPr lang="en-US" sz="1000" b="1" i="0" u="none" strike="noStrike" baseline="0">
              <a:solidFill>
                <a:srgbClr val="000000"/>
              </a:solidFill>
              <a:latin typeface="Arial"/>
              <a:cs typeface="Arial"/>
            </a:endParaRPr>
          </a:p>
        </xdr:txBody>
      </xdr:sp>
      <xdr:sp macro="" textlink="#REF!">
        <xdr:nvSpPr>
          <xdr:cNvPr id="5" name="Text Box 6">
            <a:extLst>
              <a:ext uri="{FF2B5EF4-FFF2-40B4-BE49-F238E27FC236}">
                <a16:creationId xmlns:a16="http://schemas.microsoft.com/office/drawing/2014/main" id="{00000000-0008-0000-0200-000005000000}"/>
              </a:ext>
            </a:extLst>
          </xdr:cNvPr>
          <xdr:cNvSpPr txBox="1">
            <a:spLocks noChangeArrowheads="1" noTextEdit="1"/>
          </xdr:cNvSpPr>
        </xdr:nvSpPr>
        <xdr:spPr bwMode="auto">
          <a:xfrm>
            <a:off x="3322493" y="23862299"/>
            <a:ext cx="805295" cy="556681"/>
          </a:xfrm>
          <a:prstGeom prst="rect">
            <a:avLst/>
          </a:prstGeom>
          <a:noFill/>
          <a:ln w="9525">
            <a:noFill/>
            <a:miter lim="800000"/>
            <a:headEnd/>
            <a:tailEnd/>
          </a:ln>
        </xdr:spPr>
        <xdr:txBody>
          <a:bodyPr vertOverflow="clip" wrap="square" lIns="27432" tIns="22860" rIns="0" bIns="0" anchor="t" upright="1"/>
          <a:lstStyle/>
          <a:p>
            <a:pPr algn="r" rtl="0">
              <a:defRPr sz="1000"/>
            </a:pPr>
            <a:fld id="{872494E3-3BCB-4B8A-8556-319E6FBD4F6C}" type="TxLink">
              <a:rPr lang="en-US" sz="1000" b="1" i="0" u="none" strike="noStrike" baseline="0">
                <a:solidFill>
                  <a:srgbClr val="000000"/>
                </a:solidFill>
                <a:latin typeface="Arialri"/>
                <a:cs typeface="Arial"/>
              </a:rPr>
              <a:pPr algn="r" rtl="0">
                <a:defRPr sz="1000"/>
              </a:pPr>
              <a:t> </a:t>
            </a:fld>
            <a:endParaRPr lang="en-US" sz="1000" b="1" i="0" u="none" strike="noStrike" baseline="0">
              <a:solidFill>
                <a:srgbClr val="000000"/>
              </a:solidFill>
              <a:latin typeface="Arial"/>
              <a:cs typeface="Arial"/>
            </a:endParaRPr>
          </a:p>
        </xdr:txBody>
      </xdr:sp>
      <xdr:sp macro="" textlink="$A$515">
        <xdr:nvSpPr>
          <xdr:cNvPr id="6" name="Text Box 9">
            <a:extLst>
              <a:ext uri="{FF2B5EF4-FFF2-40B4-BE49-F238E27FC236}">
                <a16:creationId xmlns:a16="http://schemas.microsoft.com/office/drawing/2014/main" id="{00000000-0008-0000-0200-000006000000}"/>
              </a:ext>
            </a:extLst>
          </xdr:cNvPr>
          <xdr:cNvSpPr txBox="1">
            <a:spLocks noChangeArrowheads="1" noTextEdit="1"/>
          </xdr:cNvSpPr>
        </xdr:nvSpPr>
        <xdr:spPr bwMode="auto">
          <a:xfrm>
            <a:off x="7539470" y="20865497"/>
            <a:ext cx="909205" cy="528847"/>
          </a:xfrm>
          <a:prstGeom prst="rect">
            <a:avLst/>
          </a:prstGeom>
          <a:noFill/>
          <a:ln w="9525">
            <a:noFill/>
            <a:miter lim="800000"/>
            <a:headEnd/>
            <a:tailEnd/>
          </a:ln>
        </xdr:spPr>
        <xdr:txBody>
          <a:bodyPr vertOverflow="clip" wrap="square" lIns="27432" tIns="22860" rIns="0" bIns="0" anchor="t" upright="1"/>
          <a:lstStyle/>
          <a:p>
            <a:pPr algn="r" rtl="0">
              <a:defRPr sz="1000"/>
            </a:pPr>
            <a:fld id="{52D31661-C732-4DB5-B625-AC6B80EEA28C}" type="TxLink">
              <a:rPr lang="en-US" sz="1000" b="1" i="0" u="none" strike="noStrike" baseline="0">
                <a:solidFill>
                  <a:srgbClr val="000000"/>
                </a:solidFill>
                <a:latin typeface="Arialri"/>
                <a:cs typeface="Arial"/>
              </a:rPr>
              <a:pPr algn="r" rtl="0">
                <a:defRPr sz="1000"/>
              </a:pPr>
              <a:t>RFB1 = 71.5kΩ</a:t>
            </a:fld>
            <a:endParaRPr lang="el-GR" sz="1000" b="1" i="0" u="none" strike="noStrike" baseline="0">
              <a:solidFill>
                <a:srgbClr val="000000"/>
              </a:solidFill>
              <a:latin typeface="Arial"/>
              <a:cs typeface="Arial"/>
            </a:endParaRPr>
          </a:p>
        </xdr:txBody>
      </xdr:sp>
      <xdr:sp macro="" textlink="$A$516">
        <xdr:nvSpPr>
          <xdr:cNvPr id="7" name="Text Box 10">
            <a:extLst>
              <a:ext uri="{FF2B5EF4-FFF2-40B4-BE49-F238E27FC236}">
                <a16:creationId xmlns:a16="http://schemas.microsoft.com/office/drawing/2014/main" id="{00000000-0008-0000-0200-000007000000}"/>
              </a:ext>
            </a:extLst>
          </xdr:cNvPr>
          <xdr:cNvSpPr txBox="1">
            <a:spLocks noChangeArrowheads="1" noTextEdit="1"/>
          </xdr:cNvSpPr>
        </xdr:nvSpPr>
        <xdr:spPr bwMode="auto">
          <a:xfrm>
            <a:off x="7565449" y="22257201"/>
            <a:ext cx="917864" cy="324731"/>
          </a:xfrm>
          <a:prstGeom prst="rect">
            <a:avLst/>
          </a:prstGeom>
          <a:noFill/>
          <a:ln w="9525">
            <a:noFill/>
            <a:miter lim="800000"/>
            <a:headEnd/>
            <a:tailEnd/>
          </a:ln>
        </xdr:spPr>
        <xdr:txBody>
          <a:bodyPr vertOverflow="clip" wrap="square" lIns="27432" tIns="22860" rIns="0" bIns="0" anchor="t" upright="1"/>
          <a:lstStyle/>
          <a:p>
            <a:pPr algn="r" rtl="0">
              <a:defRPr sz="1000"/>
            </a:pPr>
            <a:fld id="{49F0D989-1BAE-4B3F-9979-B5F5B92776AD}" type="TxLink">
              <a:rPr lang="en-US" sz="1000" b="1" i="0" u="none" strike="noStrike" baseline="0">
                <a:solidFill>
                  <a:srgbClr val="000000"/>
                </a:solidFill>
                <a:latin typeface="Arialri"/>
                <a:cs typeface="Arial"/>
              </a:rPr>
              <a:pPr algn="r" rtl="0">
                <a:defRPr sz="1000"/>
              </a:pPr>
              <a:t>RFB2 = 4.75kΩ</a:t>
            </a:fld>
            <a:endParaRPr lang="el-GR" sz="1000" b="1" i="0" u="none" strike="noStrike" baseline="0">
              <a:solidFill>
                <a:srgbClr val="000000"/>
              </a:solidFill>
              <a:latin typeface="Arial"/>
              <a:cs typeface="Arial"/>
            </a:endParaRPr>
          </a:p>
        </xdr:txBody>
      </xdr:sp>
      <xdr:sp macro="" textlink="$A$505">
        <xdr:nvSpPr>
          <xdr:cNvPr id="8" name="Text Box 4">
            <a:extLst>
              <a:ext uri="{FF2B5EF4-FFF2-40B4-BE49-F238E27FC236}">
                <a16:creationId xmlns:a16="http://schemas.microsoft.com/office/drawing/2014/main" id="{00000000-0008-0000-0200-000008000000}"/>
              </a:ext>
            </a:extLst>
          </xdr:cNvPr>
          <xdr:cNvSpPr txBox="1">
            <a:spLocks noChangeArrowheads="1" noTextEdit="1"/>
          </xdr:cNvSpPr>
        </xdr:nvSpPr>
        <xdr:spPr bwMode="auto">
          <a:xfrm>
            <a:off x="5314083" y="22860271"/>
            <a:ext cx="874568" cy="417511"/>
          </a:xfrm>
          <a:prstGeom prst="rect">
            <a:avLst/>
          </a:prstGeom>
          <a:noFill/>
          <a:ln w="9525">
            <a:noFill/>
            <a:miter lim="800000"/>
            <a:headEnd/>
            <a:tailEnd/>
          </a:ln>
        </xdr:spPr>
        <xdr:txBody>
          <a:bodyPr vertOverflow="clip" wrap="square" lIns="27432" tIns="22860" rIns="0" bIns="0" anchor="t" upright="1"/>
          <a:lstStyle/>
          <a:p>
            <a:pPr algn="l" rtl="0">
              <a:defRPr sz="1000"/>
            </a:pPr>
            <a:fld id="{899FBA2F-0000-4A1A-AACB-0C4C45759FAE}" type="TxLink">
              <a:rPr lang="en-US" sz="1000" b="1" i="0" u="none" strike="noStrike" baseline="0">
                <a:solidFill>
                  <a:srgbClr val="000000"/>
                </a:solidFill>
                <a:latin typeface="Arialri"/>
                <a:cs typeface="Arial"/>
              </a:rPr>
              <a:pPr algn="l" rtl="0">
                <a:defRPr sz="1000"/>
              </a:pPr>
              <a:t>RC1 = 1.5kΩ</a:t>
            </a:fld>
            <a:endParaRPr lang="el-GR" sz="1000" b="1" i="0" u="none" strike="noStrike" baseline="0">
              <a:solidFill>
                <a:srgbClr val="000000"/>
              </a:solidFill>
              <a:latin typeface="Arial"/>
              <a:cs typeface="Arial"/>
            </a:endParaRPr>
          </a:p>
        </xdr:txBody>
      </xdr:sp>
      <xdr:sp macro="" textlink="$A$495">
        <xdr:nvSpPr>
          <xdr:cNvPr id="9" name="Text Box 9">
            <a:extLst>
              <a:ext uri="{FF2B5EF4-FFF2-40B4-BE49-F238E27FC236}">
                <a16:creationId xmlns:a16="http://schemas.microsoft.com/office/drawing/2014/main" id="{00000000-0008-0000-0200-000009000000}"/>
              </a:ext>
            </a:extLst>
          </xdr:cNvPr>
          <xdr:cNvSpPr txBox="1">
            <a:spLocks noChangeArrowheads="1" noTextEdit="1"/>
          </xdr:cNvSpPr>
        </xdr:nvSpPr>
        <xdr:spPr bwMode="auto">
          <a:xfrm>
            <a:off x="7452880" y="19650076"/>
            <a:ext cx="1082386" cy="315453"/>
          </a:xfrm>
          <a:prstGeom prst="rect">
            <a:avLst/>
          </a:prstGeom>
          <a:noFill/>
          <a:ln w="9525">
            <a:noFill/>
            <a:miter lim="800000"/>
            <a:headEnd/>
            <a:tailEnd/>
          </a:ln>
        </xdr:spPr>
        <xdr:txBody>
          <a:bodyPr vertOverflow="clip" wrap="square" lIns="27432" tIns="22860" rIns="0" bIns="0" anchor="t" upright="1"/>
          <a:lstStyle/>
          <a:p>
            <a:pPr algn="r" rtl="0">
              <a:defRPr sz="1000"/>
            </a:pPr>
            <a:fld id="{97BF0309-416E-405E-B585-4983CCA02D3E}" type="TxLink">
              <a:rPr lang="en-US" sz="1000" b="1" i="0" u="none" strike="noStrike" baseline="0">
                <a:solidFill>
                  <a:srgbClr val="000000"/>
                </a:solidFill>
                <a:latin typeface="Arialri"/>
                <a:cs typeface="Arial"/>
              </a:rPr>
              <a:pPr algn="r" rtl="0">
                <a:defRPr sz="1000"/>
              </a:pPr>
              <a:t>VOUT = 16V</a:t>
            </a:fld>
            <a:endParaRPr lang="el-GR" sz="1000" b="1" i="0" u="none" strike="noStrike" baseline="0">
              <a:solidFill>
                <a:srgbClr val="000000"/>
              </a:solidFill>
              <a:latin typeface="Arial"/>
              <a:cs typeface="Arial"/>
            </a:endParaRPr>
          </a:p>
        </xdr:txBody>
      </xdr:sp>
    </xdr:grpSp>
    <xdr:clientData/>
  </xdr:twoCellAnchor>
  <xdr:twoCellAnchor>
    <xdr:from>
      <xdr:col>13</xdr:col>
      <xdr:colOff>66675</xdr:colOff>
      <xdr:row>16</xdr:row>
      <xdr:rowOff>152401</xdr:rowOff>
    </xdr:from>
    <xdr:to>
      <xdr:col>14</xdr:col>
      <xdr:colOff>504825</xdr:colOff>
      <xdr:row>18</xdr:row>
      <xdr:rowOff>95251</xdr:rowOff>
    </xdr:to>
    <xdr:sp macro="" textlink="$A$509">
      <xdr:nvSpPr>
        <xdr:cNvPr id="10" name="Text Box 4">
          <a:extLst>
            <a:ext uri="{FF2B5EF4-FFF2-40B4-BE49-F238E27FC236}">
              <a16:creationId xmlns:a16="http://schemas.microsoft.com/office/drawing/2014/main" id="{00000000-0008-0000-0200-00000A000000}"/>
            </a:ext>
          </a:extLst>
        </xdr:cNvPr>
        <xdr:cNvSpPr txBox="1">
          <a:spLocks noChangeArrowheads="1" noTextEdit="1"/>
        </xdr:cNvSpPr>
      </xdr:nvSpPr>
      <xdr:spPr bwMode="auto">
        <a:xfrm>
          <a:off x="13173075" y="2647951"/>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DCFBE156-977E-4C45-9B24-0A2E6E91FFAB}" type="TxLink">
            <a:rPr lang="en-US" sz="1000" b="1" i="0" u="none" strike="noStrike" baseline="0">
              <a:solidFill>
                <a:srgbClr val="000000"/>
              </a:solidFill>
              <a:latin typeface="Arialri"/>
              <a:cs typeface="Arial"/>
            </a:rPr>
            <a:pPr algn="r" rtl="0">
              <a:defRPr sz="1000"/>
            </a:pPr>
            <a:t>gm = 0.6mS</a:t>
          </a:fld>
          <a:endParaRPr lang="el-GR" sz="1000" b="1" i="0" u="none" strike="noStrike" baseline="0">
            <a:solidFill>
              <a:srgbClr val="000000"/>
            </a:solidFill>
            <a:latin typeface="Arial"/>
            <a:cs typeface="Arial"/>
          </a:endParaRPr>
        </a:p>
      </xdr:txBody>
    </xdr:sp>
    <xdr:clientData/>
  </xdr:twoCellAnchor>
  <xdr:twoCellAnchor>
    <xdr:from>
      <xdr:col>13</xdr:col>
      <xdr:colOff>95250</xdr:colOff>
      <xdr:row>21</xdr:row>
      <xdr:rowOff>0</xdr:rowOff>
    </xdr:from>
    <xdr:to>
      <xdr:col>14</xdr:col>
      <xdr:colOff>533400</xdr:colOff>
      <xdr:row>23</xdr:row>
      <xdr:rowOff>104775</xdr:rowOff>
    </xdr:to>
    <xdr:sp macro="" textlink="$A$510">
      <xdr:nvSpPr>
        <xdr:cNvPr id="11" name="Text Box 4">
          <a:extLst>
            <a:ext uri="{FF2B5EF4-FFF2-40B4-BE49-F238E27FC236}">
              <a16:creationId xmlns:a16="http://schemas.microsoft.com/office/drawing/2014/main" id="{00000000-0008-0000-0200-00000B000000}"/>
            </a:ext>
          </a:extLst>
        </xdr:cNvPr>
        <xdr:cNvSpPr txBox="1">
          <a:spLocks noChangeArrowheads="1" noTextEdit="1"/>
        </xdr:cNvSpPr>
      </xdr:nvSpPr>
      <xdr:spPr bwMode="auto">
        <a:xfrm>
          <a:off x="13201650" y="3267075"/>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4772262A-5BC4-4AF8-A8E2-DF3959B443C1}" type="TxLink">
            <a:rPr lang="en-US" sz="1000" b="1" i="0" u="none" strike="noStrike" baseline="0">
              <a:solidFill>
                <a:srgbClr val="000000"/>
              </a:solidFill>
              <a:latin typeface="Arialri"/>
              <a:cs typeface="Arial"/>
            </a:rPr>
            <a:pPr algn="r" rtl="0">
              <a:defRPr sz="1000"/>
            </a:pPr>
            <a:t>RoEA = 10MΩ</a:t>
          </a:fld>
          <a:endParaRPr lang="el-GR" sz="1000" b="1" i="0" u="none" strike="noStrike" baseline="0">
            <a:solidFill>
              <a:srgbClr val="000000"/>
            </a:solidFill>
            <a:latin typeface="Arial"/>
            <a:cs typeface="Arial"/>
          </a:endParaRPr>
        </a:p>
      </xdr:txBody>
    </xdr:sp>
    <xdr:clientData/>
  </xdr:twoCellAnchor>
  <xdr:twoCellAnchor>
    <xdr:from>
      <xdr:col>13</xdr:col>
      <xdr:colOff>95250</xdr:colOff>
      <xdr:row>19</xdr:row>
      <xdr:rowOff>0</xdr:rowOff>
    </xdr:from>
    <xdr:to>
      <xdr:col>14</xdr:col>
      <xdr:colOff>533400</xdr:colOff>
      <xdr:row>20</xdr:row>
      <xdr:rowOff>104775</xdr:rowOff>
    </xdr:to>
    <xdr:sp macro="" textlink="$A$511">
      <xdr:nvSpPr>
        <xdr:cNvPr id="12" name="Text Box 4">
          <a:extLst>
            <a:ext uri="{FF2B5EF4-FFF2-40B4-BE49-F238E27FC236}">
              <a16:creationId xmlns:a16="http://schemas.microsoft.com/office/drawing/2014/main" id="{00000000-0008-0000-0200-00000C000000}"/>
            </a:ext>
          </a:extLst>
        </xdr:cNvPr>
        <xdr:cNvSpPr txBox="1">
          <a:spLocks noChangeArrowheads="1" noTextEdit="1"/>
        </xdr:cNvSpPr>
      </xdr:nvSpPr>
      <xdr:spPr bwMode="auto">
        <a:xfrm>
          <a:off x="13201650" y="2981325"/>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6540ECFD-AAA0-44C8-8BEA-3C65071BF767}" type="TxLink">
            <a:rPr lang="en-US" sz="1000" b="1" i="0" u="none" strike="noStrike" baseline="0">
              <a:solidFill>
                <a:srgbClr val="000000"/>
              </a:solidFill>
              <a:latin typeface="Arialri"/>
              <a:cs typeface="Arial"/>
            </a:rPr>
            <a:pPr algn="r" rtl="0">
              <a:defRPr sz="1000"/>
            </a:pPr>
            <a:t>GBW = 13MHz</a:t>
          </a:fld>
          <a:endParaRPr lang="el-GR" sz="1000" b="1" i="0" u="none" strike="noStrike" baseline="0">
            <a:solidFill>
              <a:srgbClr val="000000"/>
            </a:solidFill>
            <a:latin typeface="Arial"/>
            <a:cs typeface="Arial"/>
          </a:endParaRPr>
        </a:p>
      </xdr:txBody>
    </xdr:sp>
    <xdr:clientData/>
  </xdr:twoCellAnchor>
  <xdr:twoCellAnchor editAs="oneCell">
    <xdr:from>
      <xdr:col>2</xdr:col>
      <xdr:colOff>352425</xdr:colOff>
      <xdr:row>39</xdr:row>
      <xdr:rowOff>123825</xdr:rowOff>
    </xdr:from>
    <xdr:to>
      <xdr:col>5</xdr:col>
      <xdr:colOff>361657</xdr:colOff>
      <xdr:row>43</xdr:row>
      <xdr:rowOff>18982</xdr:rowOff>
    </xdr:to>
    <xdr:pic>
      <xdr:nvPicPr>
        <xdr:cNvPr id="13" name="Picture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2"/>
        <a:stretch>
          <a:fillRect/>
        </a:stretch>
      </xdr:blipFill>
      <xdr:spPr>
        <a:xfrm>
          <a:off x="3743325" y="5857875"/>
          <a:ext cx="2342857" cy="542857"/>
        </a:xfrm>
        <a:prstGeom prst="rect">
          <a:avLst/>
        </a:prstGeom>
      </xdr:spPr>
    </xdr:pic>
    <xdr:clientData/>
  </xdr:twoCellAnchor>
  <xdr:twoCellAnchor editAs="oneCell">
    <xdr:from>
      <xdr:col>6</xdr:col>
      <xdr:colOff>28575</xdr:colOff>
      <xdr:row>39</xdr:row>
      <xdr:rowOff>28575</xdr:rowOff>
    </xdr:from>
    <xdr:to>
      <xdr:col>7</xdr:col>
      <xdr:colOff>704662</xdr:colOff>
      <xdr:row>43</xdr:row>
      <xdr:rowOff>18970</xdr:rowOff>
    </xdr:to>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3"/>
        <a:stretch>
          <a:fillRect/>
        </a:stretch>
      </xdr:blipFill>
      <xdr:spPr>
        <a:xfrm>
          <a:off x="6362700" y="5762625"/>
          <a:ext cx="1504762" cy="638095"/>
        </a:xfrm>
        <a:prstGeom prst="rect">
          <a:avLst/>
        </a:prstGeom>
      </xdr:spPr>
    </xdr:pic>
    <xdr:clientData/>
  </xdr:twoCellAnchor>
  <xdr:twoCellAnchor editAs="oneCell">
    <xdr:from>
      <xdr:col>2</xdr:col>
      <xdr:colOff>361950</xdr:colOff>
      <xdr:row>43</xdr:row>
      <xdr:rowOff>114300</xdr:rowOff>
    </xdr:from>
    <xdr:to>
      <xdr:col>4</xdr:col>
      <xdr:colOff>399849</xdr:colOff>
      <xdr:row>47</xdr:row>
      <xdr:rowOff>3742</xdr:rowOff>
    </xdr:to>
    <xdr:pic>
      <xdr:nvPicPr>
        <xdr:cNvPr id="16" name="Picture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4"/>
        <a:stretch>
          <a:fillRect/>
        </a:stretch>
      </xdr:blipFill>
      <xdr:spPr>
        <a:xfrm>
          <a:off x="3752850" y="6496050"/>
          <a:ext cx="1609524" cy="542857"/>
        </a:xfrm>
        <a:prstGeom prst="rect">
          <a:avLst/>
        </a:prstGeom>
      </xdr:spPr>
    </xdr:pic>
    <xdr:clientData/>
  </xdr:twoCellAnchor>
  <xdr:twoCellAnchor editAs="oneCell">
    <xdr:from>
      <xdr:col>4</xdr:col>
      <xdr:colOff>752475</xdr:colOff>
      <xdr:row>43</xdr:row>
      <xdr:rowOff>85725</xdr:rowOff>
    </xdr:from>
    <xdr:to>
      <xdr:col>7</xdr:col>
      <xdr:colOff>990286</xdr:colOff>
      <xdr:row>46</xdr:row>
      <xdr:rowOff>133282</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5"/>
        <a:stretch>
          <a:fillRect/>
        </a:stretch>
      </xdr:blipFill>
      <xdr:spPr>
        <a:xfrm>
          <a:off x="5705475" y="6467475"/>
          <a:ext cx="2514286" cy="542857"/>
        </a:xfrm>
        <a:prstGeom prst="rect">
          <a:avLst/>
        </a:prstGeom>
      </xdr:spPr>
    </xdr:pic>
    <xdr:clientData/>
  </xdr:twoCellAnchor>
  <xdr:twoCellAnchor>
    <xdr:from>
      <xdr:col>17</xdr:col>
      <xdr:colOff>0</xdr:colOff>
      <xdr:row>63</xdr:row>
      <xdr:rowOff>0</xdr:rowOff>
    </xdr:from>
    <xdr:to>
      <xdr:col>23</xdr:col>
      <xdr:colOff>238125</xdr:colOff>
      <xdr:row>81</xdr:row>
      <xdr:rowOff>47625</xdr:rowOff>
    </xdr:to>
    <xdr:pic>
      <xdr:nvPicPr>
        <xdr:cNvPr id="18" name="Picture 2" descr="image001">
          <a:extLst>
            <a:ext uri="{FF2B5EF4-FFF2-40B4-BE49-F238E27FC236}">
              <a16:creationId xmlns:a16="http://schemas.microsoft.com/office/drawing/2014/main" id="{00000000-0008-0000-0200-000012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716250" y="10287000"/>
          <a:ext cx="3895725" cy="2695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36</xdr:col>
      <xdr:colOff>345099</xdr:colOff>
      <xdr:row>71</xdr:row>
      <xdr:rowOff>142875</xdr:rowOff>
    </xdr:from>
    <xdr:to>
      <xdr:col>47</xdr:col>
      <xdr:colOff>172916</xdr:colOff>
      <xdr:row>97</xdr:row>
      <xdr:rowOff>65942</xdr:rowOff>
    </xdr:to>
    <xdr:graphicFrame macro="">
      <xdr:nvGraphicFramePr>
        <xdr:cNvPr id="2" name="Chart 102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342900</xdr:colOff>
      <xdr:row>18</xdr:row>
      <xdr:rowOff>123825</xdr:rowOff>
    </xdr:from>
    <xdr:to>
      <xdr:col>47</xdr:col>
      <xdr:colOff>170717</xdr:colOff>
      <xdr:row>44</xdr:row>
      <xdr:rowOff>46892</xdr:rowOff>
    </xdr:to>
    <xdr:graphicFrame macro="">
      <xdr:nvGraphicFramePr>
        <xdr:cNvPr id="8" name="Chart 1029">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36</xdr:col>
      <xdr:colOff>342900</xdr:colOff>
      <xdr:row>45</xdr:row>
      <xdr:rowOff>38100</xdr:rowOff>
    </xdr:from>
    <xdr:to>
      <xdr:col>47</xdr:col>
      <xdr:colOff>170717</xdr:colOff>
      <xdr:row>70</xdr:row>
      <xdr:rowOff>123092</xdr:rowOff>
    </xdr:to>
    <xdr:graphicFrame macro="">
      <xdr:nvGraphicFramePr>
        <xdr:cNvPr id="10" name="Chart 1029">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65</xdr:col>
      <xdr:colOff>345099</xdr:colOff>
      <xdr:row>71</xdr:row>
      <xdr:rowOff>142875</xdr:rowOff>
    </xdr:from>
    <xdr:to>
      <xdr:col>74</xdr:col>
      <xdr:colOff>172916</xdr:colOff>
      <xdr:row>97</xdr:row>
      <xdr:rowOff>65942</xdr:rowOff>
    </xdr:to>
    <xdr:graphicFrame macro="">
      <xdr:nvGraphicFramePr>
        <xdr:cNvPr id="2" name="Chart 1029">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65</xdr:col>
      <xdr:colOff>342900</xdr:colOff>
      <xdr:row>18</xdr:row>
      <xdr:rowOff>123825</xdr:rowOff>
    </xdr:from>
    <xdr:to>
      <xdr:col>74</xdr:col>
      <xdr:colOff>170717</xdr:colOff>
      <xdr:row>44</xdr:row>
      <xdr:rowOff>46892</xdr:rowOff>
    </xdr:to>
    <xdr:graphicFrame macro="">
      <xdr:nvGraphicFramePr>
        <xdr:cNvPr id="3" name="Chart 1029">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65</xdr:col>
      <xdr:colOff>342900</xdr:colOff>
      <xdr:row>45</xdr:row>
      <xdr:rowOff>38100</xdr:rowOff>
    </xdr:from>
    <xdr:to>
      <xdr:col>74</xdr:col>
      <xdr:colOff>170717</xdr:colOff>
      <xdr:row>70</xdr:row>
      <xdr:rowOff>123092</xdr:rowOff>
    </xdr:to>
    <xdr:graphicFrame macro="">
      <xdr:nvGraphicFramePr>
        <xdr:cNvPr id="4" name="Chart 1029">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xdr:row>
          <xdr:rowOff>0</xdr:rowOff>
        </xdr:from>
        <xdr:to>
          <xdr:col>3</xdr:col>
          <xdr:colOff>7090913</xdr:colOff>
          <xdr:row>4</xdr:row>
          <xdr:rowOff>4658264</xdr:rowOff>
        </xdr:to>
        <xdr:sp macro="" textlink="">
          <xdr:nvSpPr>
            <xdr:cNvPr id="676913" name="Object 49" hidden="1">
              <a:extLst>
                <a:ext uri="{63B3BB69-23CF-44E3-9099-C40C66FF867C}">
                  <a14:compatExt spid="_x0000_s676913"/>
                </a:ext>
                <a:ext uri="{FF2B5EF4-FFF2-40B4-BE49-F238E27FC236}">
                  <a16:creationId xmlns:a16="http://schemas.microsoft.com/office/drawing/2014/main" id="{00000000-0008-0000-0700-000031540A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0</xdr:rowOff>
        </xdr:from>
        <xdr:to>
          <xdr:col>5</xdr:col>
          <xdr:colOff>7090913</xdr:colOff>
          <xdr:row>4</xdr:row>
          <xdr:rowOff>4658264</xdr:rowOff>
        </xdr:to>
        <xdr:sp macro="" textlink="">
          <xdr:nvSpPr>
            <xdr:cNvPr id="676914" name="Object 50" hidden="1">
              <a:extLst>
                <a:ext uri="{63B3BB69-23CF-44E3-9099-C40C66FF867C}">
                  <a14:compatExt spid="_x0000_s676914"/>
                </a:ext>
                <a:ext uri="{FF2B5EF4-FFF2-40B4-BE49-F238E27FC236}">
                  <a16:creationId xmlns:a16="http://schemas.microsoft.com/office/drawing/2014/main" id="{00000000-0008-0000-0700-000032540A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xdr:row>
          <xdr:rowOff>0</xdr:rowOff>
        </xdr:from>
        <xdr:to>
          <xdr:col>7</xdr:col>
          <xdr:colOff>7090913</xdr:colOff>
          <xdr:row>4</xdr:row>
          <xdr:rowOff>4658264</xdr:rowOff>
        </xdr:to>
        <xdr:sp macro="" textlink="">
          <xdr:nvSpPr>
            <xdr:cNvPr id="676915" name="Object 51" hidden="1">
              <a:extLst>
                <a:ext uri="{63B3BB69-23CF-44E3-9099-C40C66FF867C}">
                  <a14:compatExt spid="_x0000_s676915"/>
                </a:ext>
                <a:ext uri="{FF2B5EF4-FFF2-40B4-BE49-F238E27FC236}">
                  <a16:creationId xmlns:a16="http://schemas.microsoft.com/office/drawing/2014/main" id="{00000000-0008-0000-0700-000033540A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7090913</xdr:colOff>
          <xdr:row>4</xdr:row>
          <xdr:rowOff>4658264</xdr:rowOff>
        </xdr:to>
        <xdr:sp macro="" textlink="">
          <xdr:nvSpPr>
            <xdr:cNvPr id="676916" name="Object 52" hidden="1">
              <a:extLst>
                <a:ext uri="{63B3BB69-23CF-44E3-9099-C40C66FF867C}">
                  <a14:compatExt spid="_x0000_s676916"/>
                </a:ext>
                <a:ext uri="{FF2B5EF4-FFF2-40B4-BE49-F238E27FC236}">
                  <a16:creationId xmlns:a16="http://schemas.microsoft.com/office/drawing/2014/main" id="{00000000-0008-0000-0700-000034540A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xdr:col>
      <xdr:colOff>25400</xdr:colOff>
      <xdr:row>4</xdr:row>
      <xdr:rowOff>12700</xdr:rowOff>
    </xdr:from>
    <xdr:to>
      <xdr:col>1</xdr:col>
      <xdr:colOff>8150225</xdr:colOff>
      <xdr:row>4</xdr:row>
      <xdr:rowOff>5165725</xdr:rowOff>
    </xdr:to>
    <xdr:graphicFrame macro="">
      <xdr:nvGraphicFramePr>
        <xdr:cNvPr id="4" name="Chart 25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38100</xdr:colOff>
      <xdr:row>6</xdr:row>
      <xdr:rowOff>6350</xdr:rowOff>
    </xdr:from>
    <xdr:to>
      <xdr:col>1</xdr:col>
      <xdr:colOff>8162925</xdr:colOff>
      <xdr:row>6</xdr:row>
      <xdr:rowOff>5159375</xdr:rowOff>
    </xdr:to>
    <xdr:graphicFrame macro="">
      <xdr:nvGraphicFramePr>
        <xdr:cNvPr id="5" name="Chart 253">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4</xdr:row>
      <xdr:rowOff>0</xdr:rowOff>
    </xdr:from>
    <xdr:to>
      <xdr:col>30</xdr:col>
      <xdr:colOff>164647</xdr:colOff>
      <xdr:row>4</xdr:row>
      <xdr:rowOff>5153025</xdr:rowOff>
    </xdr:to>
    <xdr:graphicFrame macro="">
      <xdr:nvGraphicFramePr>
        <xdr:cNvPr id="9" name="Chart 253">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4</xdr:row>
      <xdr:rowOff>0</xdr:rowOff>
    </xdr:from>
    <xdr:to>
      <xdr:col>15</xdr:col>
      <xdr:colOff>164646</xdr:colOff>
      <xdr:row>4</xdr:row>
      <xdr:rowOff>5153025</xdr:rowOff>
    </xdr:to>
    <xdr:graphicFrame macro="">
      <xdr:nvGraphicFramePr>
        <xdr:cNvPr id="10" name="Chart 253">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0</xdr:colOff>
      <xdr:row>4</xdr:row>
      <xdr:rowOff>0</xdr:rowOff>
    </xdr:from>
    <xdr:to>
      <xdr:col>44</xdr:col>
      <xdr:colOff>164647</xdr:colOff>
      <xdr:row>4</xdr:row>
      <xdr:rowOff>5153025</xdr:rowOff>
    </xdr:to>
    <xdr:graphicFrame macro="">
      <xdr:nvGraphicFramePr>
        <xdr:cNvPr id="11" name="Chart 253">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45</xdr:col>
      <xdr:colOff>0</xdr:colOff>
      <xdr:row>4</xdr:row>
      <xdr:rowOff>0</xdr:rowOff>
    </xdr:from>
    <xdr:to>
      <xdr:col>58</xdr:col>
      <xdr:colOff>164647</xdr:colOff>
      <xdr:row>4</xdr:row>
      <xdr:rowOff>5153025</xdr:rowOff>
    </xdr:to>
    <xdr:graphicFrame macro="">
      <xdr:nvGraphicFramePr>
        <xdr:cNvPr id="12" name="Chart 253">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6</xdr:row>
      <xdr:rowOff>0</xdr:rowOff>
    </xdr:from>
    <xdr:to>
      <xdr:col>15</xdr:col>
      <xdr:colOff>164646</xdr:colOff>
      <xdr:row>6</xdr:row>
      <xdr:rowOff>5153025</xdr:rowOff>
    </xdr:to>
    <xdr:graphicFrame macro="">
      <xdr:nvGraphicFramePr>
        <xdr:cNvPr id="13" name="Chart 253">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0</xdr:colOff>
      <xdr:row>6</xdr:row>
      <xdr:rowOff>0</xdr:rowOff>
    </xdr:from>
    <xdr:to>
      <xdr:col>30</xdr:col>
      <xdr:colOff>164647</xdr:colOff>
      <xdr:row>6</xdr:row>
      <xdr:rowOff>5153025</xdr:rowOff>
    </xdr:to>
    <xdr:graphicFrame macro="">
      <xdr:nvGraphicFramePr>
        <xdr:cNvPr id="14" name="Chart 25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31</xdr:col>
      <xdr:colOff>0</xdr:colOff>
      <xdr:row>6</xdr:row>
      <xdr:rowOff>0</xdr:rowOff>
    </xdr:from>
    <xdr:to>
      <xdr:col>44</xdr:col>
      <xdr:colOff>164647</xdr:colOff>
      <xdr:row>6</xdr:row>
      <xdr:rowOff>5153025</xdr:rowOff>
    </xdr:to>
    <xdr:graphicFrame macro="">
      <xdr:nvGraphicFramePr>
        <xdr:cNvPr id="15" name="Chart 253">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45</xdr:col>
      <xdr:colOff>0</xdr:colOff>
      <xdr:row>6</xdr:row>
      <xdr:rowOff>0</xdr:rowOff>
    </xdr:from>
    <xdr:to>
      <xdr:col>58</xdr:col>
      <xdr:colOff>164647</xdr:colOff>
      <xdr:row>6</xdr:row>
      <xdr:rowOff>5153025</xdr:rowOff>
    </xdr:to>
    <xdr:graphicFrame macro="">
      <xdr:nvGraphicFramePr>
        <xdr:cNvPr id="16" name="Chart 253">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0</xdr:colOff>
      <xdr:row>9</xdr:row>
      <xdr:rowOff>0</xdr:rowOff>
    </xdr:from>
    <xdr:to>
      <xdr:col>30</xdr:col>
      <xdr:colOff>164647</xdr:colOff>
      <xdr:row>9</xdr:row>
      <xdr:rowOff>5153025</xdr:rowOff>
    </xdr:to>
    <xdr:graphicFrame macro="">
      <xdr:nvGraphicFramePr>
        <xdr:cNvPr id="17" name="Chart 253">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31</xdr:col>
      <xdr:colOff>0</xdr:colOff>
      <xdr:row>9</xdr:row>
      <xdr:rowOff>0</xdr:rowOff>
    </xdr:from>
    <xdr:to>
      <xdr:col>44</xdr:col>
      <xdr:colOff>164647</xdr:colOff>
      <xdr:row>9</xdr:row>
      <xdr:rowOff>5153025</xdr:rowOff>
    </xdr:to>
    <xdr:graphicFrame macro="">
      <xdr:nvGraphicFramePr>
        <xdr:cNvPr id="18" name="Chart 253">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45</xdr:col>
      <xdr:colOff>0</xdr:colOff>
      <xdr:row>9</xdr:row>
      <xdr:rowOff>0</xdr:rowOff>
    </xdr:from>
    <xdr:to>
      <xdr:col>58</xdr:col>
      <xdr:colOff>164647</xdr:colOff>
      <xdr:row>9</xdr:row>
      <xdr:rowOff>5153025</xdr:rowOff>
    </xdr:to>
    <xdr:graphicFrame macro="">
      <xdr:nvGraphicFramePr>
        <xdr:cNvPr id="19" name="Chart 253">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59</xdr:col>
      <xdr:colOff>0</xdr:colOff>
      <xdr:row>9</xdr:row>
      <xdr:rowOff>0</xdr:rowOff>
    </xdr:from>
    <xdr:to>
      <xdr:col>72</xdr:col>
      <xdr:colOff>164647</xdr:colOff>
      <xdr:row>9</xdr:row>
      <xdr:rowOff>5153025</xdr:rowOff>
    </xdr:to>
    <xdr:graphicFrame macro="">
      <xdr:nvGraphicFramePr>
        <xdr:cNvPr id="20" name="Chart 253">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428625</xdr:colOff>
      <xdr:row>4</xdr:row>
      <xdr:rowOff>1009650</xdr:rowOff>
    </xdr:from>
    <xdr:to>
      <xdr:col>5</xdr:col>
      <xdr:colOff>240968</xdr:colOff>
      <xdr:row>4</xdr:row>
      <xdr:rowOff>1238250</xdr:rowOff>
    </xdr:to>
    <xdr:sp macro="" textlink="'[1]Variable Management'!$B$506">
      <xdr:nvSpPr>
        <xdr:cNvPr id="2" name="Text Box 24">
          <a:extLst>
            <a:ext uri="{FF2B5EF4-FFF2-40B4-BE49-F238E27FC236}">
              <a16:creationId xmlns:a16="http://schemas.microsoft.com/office/drawing/2014/main" id="{00000000-0008-0000-0900-000002000000}"/>
            </a:ext>
          </a:extLst>
        </xdr:cNvPr>
        <xdr:cNvSpPr txBox="1">
          <a:spLocks noChangeArrowheads="1" noTextEdit="1"/>
        </xdr:cNvSpPr>
      </xdr:nvSpPr>
      <xdr:spPr bwMode="auto">
        <a:xfrm>
          <a:off x="11201400" y="165735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92.4%</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3</xdr:col>
      <xdr:colOff>419100</xdr:colOff>
      <xdr:row>4</xdr:row>
      <xdr:rowOff>1000125</xdr:rowOff>
    </xdr:from>
    <xdr:to>
      <xdr:col>4</xdr:col>
      <xdr:colOff>231443</xdr:colOff>
      <xdr:row>4</xdr:row>
      <xdr:rowOff>1228725</xdr:rowOff>
    </xdr:to>
    <xdr:sp macro="" textlink="'[1]Variable Management'!$B$507">
      <xdr:nvSpPr>
        <xdr:cNvPr id="3" name="Text Box 24">
          <a:extLst>
            <a:ext uri="{FF2B5EF4-FFF2-40B4-BE49-F238E27FC236}">
              <a16:creationId xmlns:a16="http://schemas.microsoft.com/office/drawing/2014/main" id="{00000000-0008-0000-0900-000003000000}"/>
            </a:ext>
          </a:extLst>
        </xdr:cNvPr>
        <xdr:cNvSpPr txBox="1">
          <a:spLocks noChangeArrowheads="1" noTextEdit="1"/>
        </xdr:cNvSpPr>
      </xdr:nvSpPr>
      <xdr:spPr bwMode="auto">
        <a:xfrm>
          <a:off x="10582275" y="164782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92.5%</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xdr:col>
      <xdr:colOff>25400</xdr:colOff>
      <xdr:row>4</xdr:row>
      <xdr:rowOff>12700</xdr:rowOff>
    </xdr:from>
    <xdr:to>
      <xdr:col>1</xdr:col>
      <xdr:colOff>8150225</xdr:colOff>
      <xdr:row>4</xdr:row>
      <xdr:rowOff>5165725</xdr:rowOff>
    </xdr:to>
    <xdr:graphicFrame macro="">
      <xdr:nvGraphicFramePr>
        <xdr:cNvPr id="4" name="Chart 25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38100</xdr:colOff>
      <xdr:row>6</xdr:row>
      <xdr:rowOff>6350</xdr:rowOff>
    </xdr:from>
    <xdr:to>
      <xdr:col>1</xdr:col>
      <xdr:colOff>8162925</xdr:colOff>
      <xdr:row>6</xdr:row>
      <xdr:rowOff>5159375</xdr:rowOff>
    </xdr:to>
    <xdr:graphicFrame macro="">
      <xdr:nvGraphicFramePr>
        <xdr:cNvPr id="5" name="Chart 253">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276045</xdr:colOff>
          <xdr:row>9</xdr:row>
          <xdr:rowOff>163902</xdr:rowOff>
        </xdr:from>
        <xdr:to>
          <xdr:col>4</xdr:col>
          <xdr:colOff>276045</xdr:colOff>
          <xdr:row>9</xdr:row>
          <xdr:rowOff>379562</xdr:rowOff>
        </xdr:to>
        <xdr:sp macro="" textlink="">
          <xdr:nvSpPr>
            <xdr:cNvPr id="751617" name="Check Box 1" hidden="1">
              <a:extLst>
                <a:ext uri="{63B3BB69-23CF-44E3-9099-C40C66FF867C}">
                  <a14:compatExt spid="_x0000_s751617"/>
                </a:ext>
                <a:ext uri="{FF2B5EF4-FFF2-40B4-BE49-F238E27FC236}">
                  <a16:creationId xmlns:a16="http://schemas.microsoft.com/office/drawing/2014/main" id="{00000000-0008-0000-0900-00000178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zh-TW" altLang="en-US" sz="800" b="0" i="0" u="none" strike="noStrike" baseline="0">
                  <a:solidFill>
                    <a:srgbClr val="000000"/>
                  </a:solidFill>
                  <a:latin typeface="Segoe UI"/>
                  <a:cs typeface="Segoe UI"/>
                </a:rPr>
                <a:t>Show I_Limit Gain</a:t>
              </a:r>
            </a:p>
          </xdr:txBody>
        </xdr:sp>
        <xdr:clientData/>
      </xdr:twoCellAnchor>
    </mc:Choice>
    <mc:Fallback/>
  </mc:AlternateContent>
  <xdr:twoCellAnchor editAs="absolute">
    <xdr:from>
      <xdr:col>1</xdr:col>
      <xdr:colOff>0</xdr:colOff>
      <xdr:row>9</xdr:row>
      <xdr:rowOff>0</xdr:rowOff>
    </xdr:from>
    <xdr:to>
      <xdr:col>1</xdr:col>
      <xdr:colOff>8705735</xdr:colOff>
      <xdr:row>9</xdr:row>
      <xdr:rowOff>5184048</xdr:rowOff>
    </xdr:to>
    <xdr:graphicFrame macro="">
      <xdr:nvGraphicFramePr>
        <xdr:cNvPr id="9" name="Chart 12">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0</xdr:colOff>
      <xdr:row>11</xdr:row>
      <xdr:rowOff>0</xdr:rowOff>
    </xdr:from>
    <xdr:to>
      <xdr:col>1</xdr:col>
      <xdr:colOff>8709272</xdr:colOff>
      <xdr:row>11</xdr:row>
      <xdr:rowOff>5160644</xdr:rowOff>
    </xdr:to>
    <xdr:graphicFrame macro="">
      <xdr:nvGraphicFramePr>
        <xdr:cNvPr id="10" name="Chart 12">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19</xdr:col>
      <xdr:colOff>0</xdr:colOff>
      <xdr:row>22</xdr:row>
      <xdr:rowOff>0</xdr:rowOff>
    </xdr:from>
    <xdr:to>
      <xdr:col>23</xdr:col>
      <xdr:colOff>805614</xdr:colOff>
      <xdr:row>26</xdr:row>
      <xdr:rowOff>152528</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3706475" y="4191000"/>
          <a:ext cx="3367839" cy="914528"/>
        </a:xfrm>
        <a:prstGeom prst="rect">
          <a:avLst/>
        </a:prstGeom>
      </xdr:spPr>
    </xdr:pic>
    <xdr:clientData/>
  </xdr:twoCellAnchor>
  <xdr:twoCellAnchor editAs="oneCell">
    <xdr:from>
      <xdr:col>19</xdr:col>
      <xdr:colOff>0</xdr:colOff>
      <xdr:row>28</xdr:row>
      <xdr:rowOff>0</xdr:rowOff>
    </xdr:from>
    <xdr:to>
      <xdr:col>23</xdr:col>
      <xdr:colOff>305200</xdr:colOff>
      <xdr:row>36</xdr:row>
      <xdr:rowOff>213</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13706475" y="5334000"/>
          <a:ext cx="2867425" cy="1524213"/>
        </a:xfrm>
        <a:prstGeom prst="rect">
          <a:avLst/>
        </a:prstGeom>
      </xdr:spPr>
    </xdr:pic>
    <xdr:clientData/>
  </xdr:twoCellAnchor>
  <xdr:twoCellAnchor editAs="oneCell">
    <xdr:from>
      <xdr:col>19</xdr:col>
      <xdr:colOff>219075</xdr:colOff>
      <xdr:row>52</xdr:row>
      <xdr:rowOff>0</xdr:rowOff>
    </xdr:from>
    <xdr:to>
      <xdr:col>23</xdr:col>
      <xdr:colOff>429012</xdr:colOff>
      <xdr:row>59</xdr:row>
      <xdr:rowOff>186</xdr:rowOff>
    </xdr:to>
    <xdr:pic>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3"/>
        <a:stretch>
          <a:fillRect/>
        </a:stretch>
      </xdr:blipFill>
      <xdr:spPr>
        <a:xfrm>
          <a:off x="13925550" y="9906000"/>
          <a:ext cx="2772162" cy="1333686"/>
        </a:xfrm>
        <a:prstGeom prst="rect">
          <a:avLst/>
        </a:prstGeom>
      </xdr:spPr>
    </xdr:pic>
    <xdr:clientData/>
  </xdr:twoCellAnchor>
  <xdr:twoCellAnchor editAs="oneCell">
    <xdr:from>
      <xdr:col>19</xdr:col>
      <xdr:colOff>104775</xdr:colOff>
      <xdr:row>61</xdr:row>
      <xdr:rowOff>0</xdr:rowOff>
    </xdr:from>
    <xdr:to>
      <xdr:col>24</xdr:col>
      <xdr:colOff>526686</xdr:colOff>
      <xdr:row>68</xdr:row>
      <xdr:rowOff>133555</xdr:rowOff>
    </xdr:to>
    <xdr:pic>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4"/>
        <a:stretch>
          <a:fillRect/>
        </a:stretch>
      </xdr:blipFill>
      <xdr:spPr>
        <a:xfrm>
          <a:off x="13811250" y="11620500"/>
          <a:ext cx="4079511" cy="1467055"/>
        </a:xfrm>
        <a:prstGeom prst="rect">
          <a:avLst/>
        </a:prstGeom>
      </xdr:spPr>
    </xdr:pic>
    <xdr:clientData/>
  </xdr:twoCellAnchor>
  <xdr:twoCellAnchor editAs="oneCell">
    <xdr:from>
      <xdr:col>2</xdr:col>
      <xdr:colOff>400050</xdr:colOff>
      <xdr:row>21</xdr:row>
      <xdr:rowOff>142875</xdr:rowOff>
    </xdr:from>
    <xdr:to>
      <xdr:col>8</xdr:col>
      <xdr:colOff>286391</xdr:colOff>
      <xdr:row>32</xdr:row>
      <xdr:rowOff>28852</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5"/>
        <a:stretch>
          <a:fillRect/>
        </a:stretch>
      </xdr:blipFill>
      <xdr:spPr>
        <a:xfrm>
          <a:off x="1638300" y="4143375"/>
          <a:ext cx="4591691" cy="1981477"/>
        </a:xfrm>
        <a:prstGeom prst="rect">
          <a:avLst/>
        </a:prstGeom>
      </xdr:spPr>
    </xdr:pic>
    <xdr:clientData/>
  </xdr:twoCellAnchor>
  <xdr:twoCellAnchor editAs="oneCell">
    <xdr:from>
      <xdr:col>2</xdr:col>
      <xdr:colOff>400050</xdr:colOff>
      <xdr:row>33</xdr:row>
      <xdr:rowOff>38100</xdr:rowOff>
    </xdr:from>
    <xdr:to>
      <xdr:col>8</xdr:col>
      <xdr:colOff>334022</xdr:colOff>
      <xdr:row>41</xdr:row>
      <xdr:rowOff>152629</xdr:rowOff>
    </xdr:to>
    <xdr:pic>
      <xdr:nvPicPr>
        <xdr:cNvPr id="7" name="Picture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6"/>
        <a:stretch>
          <a:fillRect/>
        </a:stretch>
      </xdr:blipFill>
      <xdr:spPr>
        <a:xfrm>
          <a:off x="1638300" y="6324600"/>
          <a:ext cx="4639322" cy="1638529"/>
        </a:xfrm>
        <a:prstGeom prst="rect">
          <a:avLst/>
        </a:prstGeom>
      </xdr:spPr>
    </xdr:pic>
    <xdr:clientData/>
  </xdr:twoCellAnchor>
  <xdr:twoCellAnchor editAs="oneCell">
    <xdr:from>
      <xdr:col>19</xdr:col>
      <xdr:colOff>0</xdr:colOff>
      <xdr:row>38</xdr:row>
      <xdr:rowOff>0</xdr:rowOff>
    </xdr:from>
    <xdr:to>
      <xdr:col>22</xdr:col>
      <xdr:colOff>514694</xdr:colOff>
      <xdr:row>46</xdr:row>
      <xdr:rowOff>76423</xdr:rowOff>
    </xdr:to>
    <xdr:pic>
      <xdr:nvPicPr>
        <xdr:cNvPr id="8" name="Picture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7"/>
        <a:stretch>
          <a:fillRect/>
        </a:stretch>
      </xdr:blipFill>
      <xdr:spPr>
        <a:xfrm>
          <a:off x="13706475" y="7239000"/>
          <a:ext cx="2467319" cy="1600423"/>
        </a:xfrm>
        <a:prstGeom prst="rect">
          <a:avLst/>
        </a:prstGeom>
      </xdr:spPr>
    </xdr:pic>
    <xdr:clientData/>
  </xdr:twoCellAnchor>
  <xdr:twoCellAnchor editAs="oneCell">
    <xdr:from>
      <xdr:col>5</xdr:col>
      <xdr:colOff>0</xdr:colOff>
      <xdr:row>88</xdr:row>
      <xdr:rowOff>0</xdr:rowOff>
    </xdr:from>
    <xdr:to>
      <xdr:col>10</xdr:col>
      <xdr:colOff>19531</xdr:colOff>
      <xdr:row>90</xdr:row>
      <xdr:rowOff>123895</xdr:rowOff>
    </xdr:to>
    <xdr:pic>
      <xdr:nvPicPr>
        <xdr:cNvPr id="9" name="Picture 8">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8"/>
        <a:stretch>
          <a:fillRect/>
        </a:stretch>
      </xdr:blipFill>
      <xdr:spPr>
        <a:xfrm>
          <a:off x="3743325" y="16764000"/>
          <a:ext cx="3448531" cy="504895"/>
        </a:xfrm>
        <a:prstGeom prst="rect">
          <a:avLst/>
        </a:prstGeom>
      </xdr:spPr>
    </xdr:pic>
    <xdr:clientData/>
  </xdr:twoCellAnchor>
  <xdr:twoCellAnchor editAs="oneCell">
    <xdr:from>
      <xdr:col>11</xdr:col>
      <xdr:colOff>0</xdr:colOff>
      <xdr:row>88</xdr:row>
      <xdr:rowOff>0</xdr:rowOff>
    </xdr:from>
    <xdr:to>
      <xdr:col>13</xdr:col>
      <xdr:colOff>857584</xdr:colOff>
      <xdr:row>96</xdr:row>
      <xdr:rowOff>9739</xdr:rowOff>
    </xdr:to>
    <xdr:pic>
      <xdr:nvPicPr>
        <xdr:cNvPr id="10" name="Picture 9">
          <a:extLst>
            <a:ext uri="{FF2B5EF4-FFF2-40B4-BE49-F238E27FC236}">
              <a16:creationId xmlns:a16="http://schemas.microsoft.com/office/drawing/2014/main" id="{00000000-0008-0000-0A00-00000A000000}"/>
            </a:ext>
          </a:extLst>
        </xdr:cNvPr>
        <xdr:cNvPicPr>
          <a:picLocks noChangeAspect="1"/>
        </xdr:cNvPicPr>
      </xdr:nvPicPr>
      <xdr:blipFill>
        <a:blip xmlns:r="http://schemas.openxmlformats.org/officeDocument/2006/relationships" r:embed="rId9"/>
        <a:stretch>
          <a:fillRect/>
        </a:stretch>
      </xdr:blipFill>
      <xdr:spPr>
        <a:xfrm>
          <a:off x="7972425" y="16764000"/>
          <a:ext cx="2391109" cy="1533739"/>
        </a:xfrm>
        <a:prstGeom prst="rect">
          <a:avLst/>
        </a:prstGeom>
      </xdr:spPr>
    </xdr:pic>
    <xdr:clientData/>
  </xdr:twoCellAnchor>
  <xdr:twoCellAnchor editAs="oneCell">
    <xdr:from>
      <xdr:col>3</xdr:col>
      <xdr:colOff>0</xdr:colOff>
      <xdr:row>45</xdr:row>
      <xdr:rowOff>190499</xdr:rowOff>
    </xdr:from>
    <xdr:to>
      <xdr:col>8</xdr:col>
      <xdr:colOff>15225</xdr:colOff>
      <xdr:row>62</xdr:row>
      <xdr:rowOff>7326</xdr:rowOff>
    </xdr:to>
    <xdr:pic>
      <xdr:nvPicPr>
        <xdr:cNvPr id="11" name="Picture 10">
          <a:extLst>
            <a:ext uri="{FF2B5EF4-FFF2-40B4-BE49-F238E27FC236}">
              <a16:creationId xmlns:a16="http://schemas.microsoft.com/office/drawing/2014/main" id="{00000000-0008-0000-0A00-00000B000000}"/>
            </a:ext>
          </a:extLst>
        </xdr:cNvPr>
        <xdr:cNvPicPr>
          <a:picLocks noChangeAspect="1"/>
        </xdr:cNvPicPr>
      </xdr:nvPicPr>
      <xdr:blipFill>
        <a:blip xmlns:r="http://schemas.openxmlformats.org/officeDocument/2006/relationships" r:embed="rId10"/>
        <a:stretch>
          <a:fillRect/>
        </a:stretch>
      </xdr:blipFill>
      <xdr:spPr>
        <a:xfrm>
          <a:off x="1857375" y="8762999"/>
          <a:ext cx="4101450" cy="3055327"/>
        </a:xfrm>
        <a:prstGeom prst="rect">
          <a:avLst/>
        </a:prstGeom>
      </xdr:spPr>
    </xdr:pic>
    <xdr:clientData/>
  </xdr:twoCellAnchor>
  <xdr:twoCellAnchor>
    <xdr:from>
      <xdr:col>24</xdr:col>
      <xdr:colOff>65689</xdr:colOff>
      <xdr:row>31</xdr:row>
      <xdr:rowOff>114300</xdr:rowOff>
    </xdr:from>
    <xdr:to>
      <xdr:col>33</xdr:col>
      <xdr:colOff>319087</xdr:colOff>
      <xdr:row>45</xdr:row>
      <xdr:rowOff>32845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43</xdr:col>
      <xdr:colOff>209550</xdr:colOff>
      <xdr:row>122</xdr:row>
      <xdr:rowOff>114300</xdr:rowOff>
    </xdr:from>
    <xdr:to>
      <xdr:col>54</xdr:col>
      <xdr:colOff>76200</xdr:colOff>
      <xdr:row>152</xdr:row>
      <xdr:rowOff>85725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31</xdr:col>
      <xdr:colOff>552450</xdr:colOff>
      <xdr:row>122</xdr:row>
      <xdr:rowOff>95250</xdr:rowOff>
    </xdr:from>
    <xdr:to>
      <xdr:col>43</xdr:col>
      <xdr:colOff>38100</xdr:colOff>
      <xdr:row>151</xdr:row>
      <xdr:rowOff>123825</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28575</xdr:colOff>
      <xdr:row>122</xdr:row>
      <xdr:rowOff>79132</xdr:rowOff>
    </xdr:from>
    <xdr:to>
      <xdr:col>31</xdr:col>
      <xdr:colOff>384662</xdr:colOff>
      <xdr:row>151</xdr:row>
      <xdr:rowOff>107707</xdr:rowOff>
    </xdr:to>
    <xdr:graphicFrame macro="">
      <xdr:nvGraphicFramePr>
        <xdr:cNvPr id="4" name="Chart 4">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180974</xdr:colOff>
      <xdr:row>92</xdr:row>
      <xdr:rowOff>0</xdr:rowOff>
    </xdr:from>
    <xdr:to>
      <xdr:col>34</xdr:col>
      <xdr:colOff>352424</xdr:colOff>
      <xdr:row>121</xdr:row>
      <xdr:rowOff>28575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36</xdr:col>
      <xdr:colOff>474519</xdr:colOff>
      <xdr:row>40</xdr:row>
      <xdr:rowOff>122959</xdr:rowOff>
    </xdr:from>
    <xdr:to>
      <xdr:col>43</xdr:col>
      <xdr:colOff>762001</xdr:colOff>
      <xdr:row>69</xdr:row>
      <xdr:rowOff>121227</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352425</xdr:colOff>
      <xdr:row>41</xdr:row>
      <xdr:rowOff>9525</xdr:rowOff>
    </xdr:from>
    <xdr:to>
      <xdr:col>36</xdr:col>
      <xdr:colOff>103909</xdr:colOff>
      <xdr:row>69</xdr:row>
      <xdr:rowOff>69273</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40</xdr:row>
      <xdr:rowOff>128489</xdr:rowOff>
    </xdr:from>
    <xdr:to>
      <xdr:col>29</xdr:col>
      <xdr:colOff>51953</xdr:colOff>
      <xdr:row>69</xdr:row>
      <xdr:rowOff>34637</xdr:rowOff>
    </xdr:to>
    <xdr:graphicFrame macro="">
      <xdr:nvGraphicFramePr>
        <xdr:cNvPr id="4" name="Chart 4">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0196876\Desktop\LM5177\Quickstart%20Tool\NDA_LM51772Q1%20Buck-Boost%20Quickstart%20Tool%20V1_1_3_unprotecte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a0196876\Desktop\LM5177\Quickstart%20Tool\NDA_LM251772%20Buck-Boost%20Quickstart%20Tool%20V1_0_2+_unprotect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sign Converter"/>
      <sheetName val="Licenses"/>
      <sheetName val="BOM &amp; Schematic"/>
      <sheetName val="EVMs"/>
      <sheetName val="MOSFET LOSS"/>
      <sheetName val="Efficiency Plot Details"/>
      <sheetName val="DeviceParameter"/>
      <sheetName val="Variable Management"/>
      <sheetName val="Inductor Current"/>
      <sheetName val="Timings"/>
      <sheetName val="CFG Setting"/>
      <sheetName val="Schematic Management"/>
      <sheetName val="Stability Calculations"/>
      <sheetName val="IL Stability Calculations"/>
      <sheetName val="Efficiency Plot Management"/>
      <sheetName val="Efficiency vs VIN Calculations"/>
      <sheetName val="Efficiency vs Load Calculations"/>
      <sheetName val="Standard Value Calculator"/>
      <sheetName val="Snubber"/>
      <sheetName val="Parallel Output Caps"/>
    </sheetNames>
    <sheetDataSet>
      <sheetData sheetId="0" refreshError="1"/>
      <sheetData sheetId="1" refreshError="1"/>
      <sheetData sheetId="2" refreshError="1"/>
      <sheetData sheetId="3" refreshError="1"/>
      <sheetData sheetId="4" refreshError="1"/>
      <sheetData sheetId="5" refreshError="1"/>
      <sheetData sheetId="6">
        <row r="8">
          <cell r="N8">
            <v>10</v>
          </cell>
        </row>
      </sheetData>
      <sheetData sheetId="7">
        <row r="7">
          <cell r="B7">
            <v>8</v>
          </cell>
        </row>
      </sheetData>
      <sheetData sheetId="8" refreshError="1"/>
      <sheetData sheetId="9">
        <row r="6">
          <cell r="Y6">
            <v>1.7500004500001798</v>
          </cell>
        </row>
      </sheetData>
      <sheetData sheetId="10">
        <row r="162">
          <cell r="B162">
            <v>1</v>
          </cell>
        </row>
      </sheetData>
      <sheetData sheetId="11">
        <row r="2">
          <cell r="A2" t="str">
            <v>SCH772_RCS_LIM_NO_CDC</v>
          </cell>
        </row>
      </sheetData>
      <sheetData sheetId="12">
        <row r="4">
          <cell r="L4">
            <v>2818.3687839189802</v>
          </cell>
        </row>
      </sheetData>
      <sheetData sheetId="13">
        <row r="4">
          <cell r="O4">
            <v>2818.3687839189802</v>
          </cell>
        </row>
      </sheetData>
      <sheetData sheetId="14">
        <row r="2">
          <cell r="A2" t="str">
            <v>EFF_IOUT</v>
          </cell>
        </row>
      </sheetData>
      <sheetData sheetId="15">
        <row r="8">
          <cell r="BR8" t="str">
            <v>Buck ''Control'' MOSFET Loss</v>
          </cell>
        </row>
        <row r="9">
          <cell r="BQ9">
            <v>3.4839399945305165</v>
          </cell>
        </row>
        <row r="10">
          <cell r="BQ10">
            <v>3.3954181115467037</v>
          </cell>
        </row>
        <row r="11">
          <cell r="BQ11">
            <v>3.3111215086963037</v>
          </cell>
        </row>
        <row r="12">
          <cell r="BQ12">
            <v>3.2307587569818677</v>
          </cell>
        </row>
        <row r="13">
          <cell r="BQ13">
            <v>3.1540646566511938</v>
          </cell>
        </row>
        <row r="14">
          <cell r="BQ14">
            <v>3.0807973478287876</v>
          </cell>
        </row>
        <row r="15">
          <cell r="BQ15">
            <v>3.0107357968253941</v>
          </cell>
        </row>
        <row r="16">
          <cell r="BQ16">
            <v>2.9436776021148487</v>
          </cell>
        </row>
        <row r="17">
          <cell r="BQ17">
            <v>2.8794370733443833</v>
          </cell>
        </row>
        <row r="18">
          <cell r="BQ18">
            <v>2.8178435443868377</v>
          </cell>
        </row>
        <row r="19">
          <cell r="BQ19">
            <v>2.7587398877010596</v>
          </cell>
        </row>
        <row r="20">
          <cell r="BQ20">
            <v>2.7019812024139518</v>
          </cell>
        </row>
        <row r="21">
          <cell r="BQ21">
            <v>2.6474336527892812</v>
          </cell>
        </row>
        <row r="22">
          <cell r="BQ22">
            <v>2.5949734372748634</v>
          </cell>
        </row>
        <row r="23">
          <cell r="BQ23">
            <v>2.544485871256156</v>
          </cell>
        </row>
        <row r="24">
          <cell r="BQ24">
            <v>2.4958645690985608</v>
          </cell>
        </row>
        <row r="25">
          <cell r="BQ25">
            <v>2.4490107131195491</v>
          </cell>
        </row>
        <row r="26">
          <cell r="BQ26">
            <v>2.4038323988645813</v>
          </cell>
        </row>
        <row r="27">
          <cell r="BQ27">
            <v>2.3602440475244704</v>
          </cell>
        </row>
        <row r="28">
          <cell r="BQ28">
            <v>2.3181658775717726</v>
          </cell>
        </row>
        <row r="29">
          <cell r="BQ29">
            <v>2.2775234287477302</v>
          </cell>
        </row>
        <row r="30">
          <cell r="BQ30">
            <v>2.2382471324295663</v>
          </cell>
        </row>
        <row r="31">
          <cell r="BQ31">
            <v>2.2002719231759564</v>
          </cell>
        </row>
        <row r="32">
          <cell r="BQ32">
            <v>3.8731084886643408</v>
          </cell>
        </row>
        <row r="33">
          <cell r="BQ33">
            <v>3.8573528991952526</v>
          </cell>
        </row>
        <row r="34">
          <cell r="BQ34">
            <v>3.8421990245280027</v>
          </cell>
        </row>
        <row r="35">
          <cell r="BQ35">
            <v>3.8276191373981381</v>
          </cell>
        </row>
        <row r="36">
          <cell r="BQ36">
            <v>3.81358707109103</v>
          </cell>
        </row>
        <row r="37">
          <cell r="BQ37">
            <v>3.8000781097981089</v>
          </cell>
        </row>
        <row r="38">
          <cell r="BQ38">
            <v>3.7870688881013264</v>
          </cell>
        </row>
        <row r="39">
          <cell r="BQ39">
            <v>3.7745372987119028</v>
          </cell>
        </row>
        <row r="40">
          <cell r="BQ40">
            <v>3.7624624076836999</v>
          </cell>
        </row>
        <row r="41">
          <cell r="BQ41">
            <v>3.7508243764045552</v>
          </cell>
        </row>
        <row r="42">
          <cell r="BQ42">
            <v>3.7396043897421221</v>
          </cell>
        </row>
        <row r="43">
          <cell r="BQ43">
            <v>3.7287845897853868</v>
          </cell>
        </row>
        <row r="44">
          <cell r="BQ44">
            <v>3.7183480146802435</v>
          </cell>
        </row>
        <row r="45">
          <cell r="BQ45">
            <v>3.708278542108268</v>
          </cell>
        </row>
        <row r="46">
          <cell r="BQ46">
            <v>3.6985608370027587</v>
          </cell>
        </row>
        <row r="47">
          <cell r="BQ47">
            <v>3.6891803031361894</v>
          </cell>
        </row>
        <row r="48">
          <cell r="BQ48">
            <v>3.6801230382488574</v>
          </cell>
        </row>
        <row r="49">
          <cell r="BQ49">
            <v>3.6713757924202692</v>
          </cell>
        </row>
        <row r="50">
          <cell r="BQ50">
            <v>3.6629259294131762</v>
          </cell>
        </row>
        <row r="51">
          <cell r="BQ51">
            <v>3.6547613907456324</v>
          </cell>
        </row>
        <row r="52">
          <cell r="BQ52">
            <v>3.6468706622690448</v>
          </cell>
        </row>
        <row r="53">
          <cell r="BQ53">
            <v>3.6392427430507182</v>
          </cell>
        </row>
        <row r="54">
          <cell r="BQ54">
            <v>3.6318671163775962</v>
          </cell>
        </row>
        <row r="55">
          <cell r="BQ55">
            <v>3.6247337227143834</v>
          </cell>
        </row>
        <row r="56">
          <cell r="BQ56">
            <v>3.6178329344640829</v>
          </cell>
        </row>
        <row r="57">
          <cell r="BQ57">
            <v>3.6111555323922691</v>
          </cell>
        </row>
        <row r="58">
          <cell r="BQ58">
            <v>3.6046926835885209</v>
          </cell>
        </row>
        <row r="59">
          <cell r="BQ59">
            <v>3.5984359208492958</v>
          </cell>
        </row>
        <row r="60">
          <cell r="BQ60">
            <v>3.592377123376346</v>
          </cell>
        </row>
        <row r="61">
          <cell r="BQ61">
            <v>3.5865084986937452</v>
          </cell>
        </row>
        <row r="62">
          <cell r="BQ62">
            <v>3.5808225656946187</v>
          </cell>
        </row>
        <row r="63">
          <cell r="BQ63">
            <v>3.5753121387360181</v>
          </cell>
        </row>
        <row r="64">
          <cell r="BQ64">
            <v>3.5699703127070399</v>
          </cell>
        </row>
        <row r="65">
          <cell r="BQ65">
            <v>3.5647904490013365</v>
          </cell>
        </row>
        <row r="66">
          <cell r="BQ66">
            <v>3.5597661623306651</v>
          </cell>
        </row>
        <row r="67">
          <cell r="BQ67">
            <v>3.5548913083211722</v>
          </cell>
        </row>
        <row r="68">
          <cell r="BQ68">
            <v>3.5501599718386072</v>
          </cell>
        </row>
        <row r="69">
          <cell r="BQ69">
            <v>3.5455664559929603</v>
          </cell>
        </row>
        <row r="70">
          <cell r="BQ70">
            <v>3.5411052717766962</v>
          </cell>
        </row>
        <row r="71">
          <cell r="BQ71">
            <v>3.5367711282943439</v>
          </cell>
        </row>
        <row r="72">
          <cell r="BQ72">
            <v>3.5325589235443431</v>
          </cell>
        </row>
        <row r="73">
          <cell r="BQ73">
            <v>3.5284637357169997</v>
          </cell>
        </row>
        <row r="74">
          <cell r="BQ74">
            <v>3.5244808149750515</v>
          </cell>
        </row>
        <row r="75">
          <cell r="BQ75">
            <v>3.5206055756858339</v>
          </cell>
        </row>
        <row r="76">
          <cell r="BQ76">
            <v>2.0097314033834048</v>
          </cell>
        </row>
        <row r="77">
          <cell r="BQ77">
            <v>2.0176913793388747</v>
          </cell>
        </row>
        <row r="78">
          <cell r="BQ78">
            <v>2.0256567998655735</v>
          </cell>
        </row>
        <row r="79">
          <cell r="BQ79">
            <v>2.0336273664764195</v>
          </cell>
        </row>
        <row r="80">
          <cell r="BQ80">
            <v>2.0416027947130155</v>
          </cell>
        </row>
        <row r="81">
          <cell r="BQ81">
            <v>2.0495828134317988</v>
          </cell>
        </row>
        <row r="82">
          <cell r="BQ82">
            <v>2.0575671641308166</v>
          </cell>
        </row>
        <row r="83">
          <cell r="BQ83">
            <v>2.0655556003145406</v>
          </cell>
        </row>
        <row r="84">
          <cell r="BQ84">
            <v>2.0735478868943193</v>
          </cell>
        </row>
        <row r="85">
          <cell r="BQ85">
            <v>2.0815437996222252</v>
          </cell>
        </row>
        <row r="86">
          <cell r="BQ86">
            <v>2.0895431245562288</v>
          </cell>
        </row>
        <row r="87">
          <cell r="BQ87">
            <v>2.0975456575547482</v>
          </cell>
        </row>
        <row r="88">
          <cell r="BQ88">
            <v>2.1055512037987887</v>
          </cell>
        </row>
        <row r="89">
          <cell r="BQ89">
            <v>2.1135595773399727</v>
          </cell>
        </row>
        <row r="90">
          <cell r="BQ90">
            <v>2.1215706006729147</v>
          </cell>
        </row>
        <row r="91">
          <cell r="BQ91">
            <v>2.1295841043304602</v>
          </cell>
        </row>
        <row r="92">
          <cell r="BQ92">
            <v>2.1375999265004357</v>
          </cell>
        </row>
        <row r="93">
          <cell r="BQ93">
            <v>2.1456179126626385</v>
          </cell>
        </row>
        <row r="94">
          <cell r="BQ94">
            <v>2.1536379152448601</v>
          </cell>
        </row>
        <row r="95">
          <cell r="BQ95">
            <v>2.1616597932968569</v>
          </cell>
        </row>
        <row r="96">
          <cell r="BQ96">
            <v>2.1696834121811985</v>
          </cell>
        </row>
        <row r="97">
          <cell r="BQ97">
            <v>2.1777086432800439</v>
          </cell>
        </row>
        <row r="98">
          <cell r="BQ98">
            <v>2.1857353637169163</v>
          </cell>
        </row>
        <row r="99">
          <cell r="BQ99">
            <v>2.1937634560926411</v>
          </cell>
        </row>
        <row r="100">
          <cell r="BQ100">
            <v>2.2017928082346283</v>
          </cell>
        </row>
        <row r="101">
          <cell r="BQ101">
            <v>2.2098233129587639</v>
          </cell>
        </row>
        <row r="102">
          <cell r="BQ102">
            <v>2.2178548678432</v>
          </cell>
        </row>
        <row r="103">
          <cell r="BQ103">
            <v>2.225887375013385</v>
          </cell>
        </row>
        <row r="104">
          <cell r="BQ104">
            <v>2.2339207409377186</v>
          </cell>
        </row>
        <row r="105">
          <cell r="BQ105">
            <v>2.2419548762332404</v>
          </cell>
        </row>
        <row r="106">
          <cell r="BQ106">
            <v>2.2499896954808198</v>
          </cell>
        </row>
        <row r="107">
          <cell r="BQ107">
            <v>2.2580251170493213</v>
          </cell>
        </row>
        <row r="108">
          <cell r="BQ108">
            <v>2.2660610629282694</v>
          </cell>
        </row>
        <row r="109">
          <cell r="BQ109">
            <v>2.2740974585685523</v>
          </cell>
        </row>
        <row r="110">
          <cell r="BQ110">
            <v>2.2821342327307486</v>
          </cell>
        </row>
        <row r="111">
          <cell r="BQ111">
            <v>2.290171317340663</v>
          </cell>
        </row>
        <row r="112">
          <cell r="BQ112">
            <v>2.2982086473516987</v>
          </cell>
        </row>
        <row r="113">
          <cell r="BQ113">
            <v>2.3062461606137075</v>
          </cell>
        </row>
        <row r="114">
          <cell r="BQ114">
            <v>2.3142837977479802</v>
          </cell>
        </row>
        <row r="115">
          <cell r="BQ115">
            <v>2.3223215020280672</v>
          </cell>
        </row>
        <row r="116">
          <cell r="BQ116">
            <v>2.3303592192661182</v>
          </cell>
        </row>
        <row r="117">
          <cell r="BQ117">
            <v>2.3383968977044716</v>
          </cell>
        </row>
        <row r="118">
          <cell r="BQ118">
            <v>2.3464344879122163</v>
          </cell>
        </row>
        <row r="119">
          <cell r="BQ119">
            <v>2.3544719426864864</v>
          </cell>
        </row>
        <row r="120">
          <cell r="BQ120">
            <v>2.3625092169582356</v>
          </cell>
        </row>
        <row r="121">
          <cell r="BQ121">
            <v>2.3705462677022897</v>
          </cell>
        </row>
        <row r="122">
          <cell r="BQ122">
            <v>2.3785830538514392</v>
          </cell>
        </row>
        <row r="123">
          <cell r="BQ123">
            <v>2.3866195362143894</v>
          </cell>
        </row>
        <row r="124">
          <cell r="BQ124">
            <v>2.3946556773973775</v>
          </cell>
        </row>
        <row r="125">
          <cell r="BQ125">
            <v>2.4026914417292695</v>
          </cell>
        </row>
        <row r="126">
          <cell r="BQ126">
            <v>2.4107267951899698</v>
          </cell>
        </row>
        <row r="127">
          <cell r="BQ127">
            <v>2.4187617053419932</v>
          </cell>
        </row>
        <row r="128">
          <cell r="BQ128">
            <v>2.4267961412650298</v>
          </cell>
        </row>
        <row r="129">
          <cell r="BQ129">
            <v>2.4348300734933725</v>
          </cell>
        </row>
        <row r="130">
          <cell r="BQ130">
            <v>2.4428634739560664</v>
          </cell>
        </row>
        <row r="131">
          <cell r="BQ131">
            <v>2.4508963159196511</v>
          </cell>
        </row>
        <row r="132">
          <cell r="BQ132">
            <v>2.4589285739333708</v>
          </cell>
        </row>
        <row r="133">
          <cell r="BQ133">
            <v>2.4669602237767467</v>
          </cell>
        </row>
        <row r="134">
          <cell r="BQ134">
            <v>2.4749912424093754</v>
          </cell>
        </row>
        <row r="135">
          <cell r="BQ135">
            <v>2.4830216079228902</v>
          </cell>
        </row>
        <row r="136">
          <cell r="BQ136">
            <v>2.4910512994949467</v>
          </cell>
        </row>
        <row r="137">
          <cell r="BQ137">
            <v>2.4990802973451567</v>
          </cell>
        </row>
        <row r="138">
          <cell r="BQ138">
            <v>2.5071085826928856</v>
          </cell>
        </row>
        <row r="139">
          <cell r="BQ139">
            <v>2.5151361377168162</v>
          </cell>
        </row>
        <row r="140">
          <cell r="BQ140">
            <v>2.523162945516205</v>
          </cell>
        </row>
        <row r="141">
          <cell r="BQ141">
            <v>2.5311889900737543</v>
          </cell>
        </row>
        <row r="142">
          <cell r="BQ142">
            <v>2.5392142562200242</v>
          </cell>
        </row>
        <row r="143">
          <cell r="BQ143">
            <v>2.5472387295993193</v>
          </cell>
        </row>
        <row r="144">
          <cell r="BQ144">
            <v>2.5552623966369832</v>
          </cell>
        </row>
        <row r="145">
          <cell r="BQ145">
            <v>2.5632852445080339</v>
          </cell>
        </row>
        <row r="146">
          <cell r="BQ146">
            <v>2.5713072611070849</v>
          </cell>
        </row>
        <row r="147">
          <cell r="BQ147">
            <v>2.5793284350194958</v>
          </cell>
        </row>
        <row r="148">
          <cell r="BQ148">
            <v>2.5873487554936965</v>
          </cell>
        </row>
        <row r="149">
          <cell r="BQ149">
            <v>2.5953682124146313</v>
          </cell>
        </row>
        <row r="150">
          <cell r="BQ150">
            <v>2.6033867962782824</v>
          </cell>
        </row>
        <row r="151">
          <cell r="BQ151">
            <v>2.61140449816721</v>
          </cell>
        </row>
        <row r="152">
          <cell r="BQ152">
            <v>2.6194213097270893</v>
          </cell>
        </row>
        <row r="153">
          <cell r="BQ153">
            <v>2.6274372231441747</v>
          </cell>
        </row>
        <row r="154">
          <cell r="BQ154">
            <v>2.6354522311236712</v>
          </cell>
        </row>
        <row r="155">
          <cell r="BQ155">
            <v>2.6434663268689671</v>
          </cell>
        </row>
        <row r="156">
          <cell r="BQ156">
            <v>2.6514795040616854</v>
          </cell>
        </row>
        <row r="157">
          <cell r="BQ157">
            <v>2.6594917568425327</v>
          </cell>
        </row>
        <row r="158">
          <cell r="BQ158">
            <v>2.6675030797929025</v>
          </cell>
        </row>
        <row r="159">
          <cell r="BQ159">
            <v>2.6755134679171979</v>
          </cell>
        </row>
        <row r="160">
          <cell r="BQ160">
            <v>2.6835229166258556</v>
          </cell>
        </row>
        <row r="161">
          <cell r="BQ161">
            <v>2.6915314217190329</v>
          </cell>
        </row>
        <row r="162">
          <cell r="BQ162">
            <v>2.6995389793709257</v>
          </cell>
        </row>
        <row r="163">
          <cell r="BQ163">
            <v>2.7075455861147137</v>
          </cell>
        </row>
        <row r="164">
          <cell r="BQ164">
            <v>2.7155512388280707</v>
          </cell>
        </row>
        <row r="165">
          <cell r="BQ165">
            <v>2.7235559347192528</v>
          </cell>
        </row>
        <row r="166">
          <cell r="BQ166">
            <v>2.7315596713137205</v>
          </cell>
        </row>
        <row r="167">
          <cell r="BQ167">
            <v>2.7395624464412727</v>
          </cell>
        </row>
        <row r="168">
          <cell r="BQ168">
            <v>2.747564258223683</v>
          </cell>
        </row>
        <row r="169">
          <cell r="BQ169">
            <v>2.7555651050628089</v>
          </cell>
        </row>
        <row r="170">
          <cell r="BQ170">
            <v>2.7635649856291553</v>
          </cell>
        </row>
        <row r="171">
          <cell r="BQ171">
            <v>2.7715638988508813</v>
          </cell>
        </row>
        <row r="172">
          <cell r="BQ172">
            <v>2.7795618439032195</v>
          </cell>
        </row>
        <row r="173">
          <cell r="BQ173">
            <v>2.7875588201983037</v>
          </cell>
        </row>
        <row r="174">
          <cell r="BQ174">
            <v>2.7955548273753879</v>
          </cell>
        </row>
        <row r="175">
          <cell r="BQ175">
            <v>2.8035498652914237</v>
          </cell>
        </row>
        <row r="176">
          <cell r="BQ176">
            <v>2.8115439340120147</v>
          </cell>
        </row>
        <row r="177">
          <cell r="BQ177">
            <v>2.8195370338026899</v>
          </cell>
        </row>
        <row r="178">
          <cell r="BQ178">
            <v>2.8275291651205312</v>
          </cell>
        </row>
        <row r="179">
          <cell r="BQ179">
            <v>2.8355203286060973</v>
          </cell>
        </row>
        <row r="180">
          <cell r="BQ180">
            <v>2.8435105250756632</v>
          </cell>
        </row>
        <row r="181">
          <cell r="BQ181">
            <v>2.8514997555137516</v>
          </cell>
        </row>
        <row r="182">
          <cell r="BQ182">
            <v>2.8594880210659341</v>
          </cell>
        </row>
        <row r="183">
          <cell r="BQ183">
            <v>2.8674753230319205</v>
          </cell>
        </row>
        <row r="184">
          <cell r="BQ184">
            <v>2.87546166285889</v>
          </cell>
        </row>
        <row r="185">
          <cell r="BQ185">
            <v>2.8834470421350815</v>
          </cell>
        </row>
        <row r="186">
          <cell r="BQ186">
            <v>2.8914314625836242</v>
          </cell>
        </row>
        <row r="187">
          <cell r="BQ187">
            <v>2.8994149260565911</v>
          </cell>
        </row>
        <row r="188">
          <cell r="BQ188">
            <v>2.9073974345292832</v>
          </cell>
        </row>
        <row r="189">
          <cell r="BQ189">
            <v>2.915378990094724</v>
          </cell>
        </row>
        <row r="190">
          <cell r="BQ190">
            <v>2.923359594958352</v>
          </cell>
        </row>
        <row r="191">
          <cell r="BQ191">
            <v>2.931339251432926</v>
          </cell>
        </row>
        <row r="192">
          <cell r="BQ192">
            <v>2.939317961933603</v>
          </cell>
        </row>
        <row r="193">
          <cell r="BQ193">
            <v>2.9472957289732111</v>
          </cell>
        </row>
        <row r="194">
          <cell r="BQ194">
            <v>2.9552725551576957</v>
          </cell>
        </row>
        <row r="195">
          <cell r="BQ195">
            <v>2.9632484431817256</v>
          </cell>
        </row>
        <row r="196">
          <cell r="BQ196">
            <v>2.9712233958244805</v>
          </cell>
        </row>
        <row r="197">
          <cell r="BQ197">
            <v>2.9791974159455745</v>
          </cell>
        </row>
        <row r="198">
          <cell r="BQ198">
            <v>2.9871705064811476</v>
          </cell>
        </row>
        <row r="199">
          <cell r="BQ199">
            <v>2.9951426704400896</v>
          </cell>
        </row>
        <row r="200">
          <cell r="BQ200">
            <v>3.0031139109004146</v>
          </cell>
        </row>
        <row r="201">
          <cell r="BQ201">
            <v>3.0110842310057597</v>
          </cell>
        </row>
        <row r="202">
          <cell r="BQ202">
            <v>3.0190536339620242</v>
          </cell>
        </row>
        <row r="203">
          <cell r="BQ203">
            <v>3.0270221230341234</v>
          </cell>
        </row>
        <row r="204">
          <cell r="BQ204">
            <v>3.0349897015428704</v>
          </cell>
        </row>
        <row r="205">
          <cell r="BQ205">
            <v>3.0429563728619708</v>
          </cell>
        </row>
        <row r="206">
          <cell r="BQ206">
            <v>3.0509221404151292</v>
          </cell>
        </row>
        <row r="207">
          <cell r="BQ207">
            <v>3.0588870076732602</v>
          </cell>
        </row>
        <row r="208">
          <cell r="BQ208">
            <v>3.0668509781518116</v>
          </cell>
        </row>
        <row r="209">
          <cell r="BQ209">
            <v>3.0748140554081753</v>
          </cell>
        </row>
      </sheetData>
      <sheetData sheetId="16">
        <row r="8">
          <cell r="BR8" t="str">
            <v>Buck ''Control'' MOSFET Loss</v>
          </cell>
        </row>
      </sheetData>
      <sheetData sheetId="17" refreshError="1"/>
      <sheetData sheetId="18" refreshError="1"/>
      <sheetData sheetId="1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sign Converter"/>
      <sheetName val="Licenses"/>
      <sheetName val="Internal Notes"/>
      <sheetName val="BOM &amp; Schematic"/>
      <sheetName val="EVMs"/>
      <sheetName val="MOSFET LOSS"/>
      <sheetName val="DeviceParameter"/>
      <sheetName val="Variable Management"/>
      <sheetName val="Inductor Current"/>
      <sheetName val="Timings"/>
      <sheetName val="CFG Setting"/>
      <sheetName val="Schematic Management"/>
      <sheetName val="Stability Calculations"/>
      <sheetName val="IL Stability Calculations"/>
      <sheetName val="Efficiency Plot Management"/>
      <sheetName val="Efficiency Plot Details"/>
      <sheetName val="Efficiency vs VIN Calculations"/>
      <sheetName val="Efficiency vs VOUT Calculations"/>
      <sheetName val="Efficiency vs Load Calculations"/>
      <sheetName val="Standard Value Calculator"/>
      <sheetName val="Snubber"/>
      <sheetName val="Parallel Output Caps"/>
      <sheetName val="NDA_LM251772 Buck-Boost Quickst"/>
    </sheetNames>
    <sheetDataSet>
      <sheetData sheetId="0" refreshError="1"/>
      <sheetData sheetId="1" refreshError="1"/>
      <sheetData sheetId="2" refreshError="1"/>
      <sheetData sheetId="3" refreshError="1"/>
      <sheetData sheetId="4" refreshError="1"/>
      <sheetData sheetId="5" refreshError="1"/>
      <sheetData sheetId="6">
        <row r="8">
          <cell r="N8">
            <v>10</v>
          </cell>
        </row>
      </sheetData>
      <sheetData sheetId="7">
        <row r="7">
          <cell r="B7">
            <v>9</v>
          </cell>
        </row>
      </sheetData>
      <sheetData sheetId="8" refreshError="1"/>
      <sheetData sheetId="9">
        <row r="6">
          <cell r="Y6">
            <v>6.6394598414509467</v>
          </cell>
        </row>
      </sheetData>
      <sheetData sheetId="10">
        <row r="162">
          <cell r="B162">
            <v>3</v>
          </cell>
        </row>
      </sheetData>
      <sheetData sheetId="11">
        <row r="2">
          <cell r="A2" t="str">
            <v>SCH772_RCS_LIM_NO_CDC</v>
          </cell>
        </row>
      </sheetData>
      <sheetData sheetId="12" refreshError="1"/>
      <sheetData sheetId="13" refreshError="1"/>
      <sheetData sheetId="14">
        <row r="2">
          <cell r="A2" t="str">
            <v>EFF_IOUT</v>
          </cell>
        </row>
      </sheetData>
      <sheetData sheetId="15" refreshError="1"/>
      <sheetData sheetId="16"/>
      <sheetData sheetId="17" refreshError="1"/>
      <sheetData sheetId="18" refreshError="1"/>
      <sheetData sheetId="19" refreshError="1"/>
      <sheetData sheetId="20" refreshError="1"/>
      <sheetData sheetId="21" refreshError="1"/>
      <sheetData sheetId="2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E900933-7E27-43AE-983D-CB9B92B930FF}" name="Table16" displayName="Table16" ref="G8:BV209" totalsRowShown="0" headerRowDxfId="134">
  <autoFilter ref="G8:BV209" xr:uid="{E2929490-3442-45A6-BF09-9D53420916D4}">
    <filterColumn colId="0" hiddenButton="1"/>
    <filterColumn colId="1" hiddenButton="1"/>
    <filterColumn colId="2" hiddenButton="1"/>
    <filterColumn colId="3" hiddenButton="1"/>
    <filterColumn colId="4" hiddenButton="1"/>
    <filterColumn colId="5"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7" hiddenButton="1"/>
  </autoFilter>
  <tableColumns count="68">
    <tableColumn id="1" xr3:uid="{8AB063BF-CAE8-42AC-97E3-0F17F4C7A727}" name="Step"/>
    <tableColumn id="2" xr3:uid="{1989A988-9C2C-489C-BC2D-0A94AC189767}" name="Vin" dataDxfId="133">
      <calculatedColumnFormula>VIN_min+(VIN_max-VIN_min)*(Table16[[#This Row],[Step]]/200)</calculatedColumnFormula>
    </tableColumn>
    <tableColumn id="3" xr3:uid="{7383FA29-95F4-4EFF-ABAF-536C1CF8A14D}" name="Mode" dataDxfId="132">
      <calculatedColumnFormula>IF(Mode = 2,IF(Table16[[#This Row],[Vin]]&gt;Vout, "BUCK","BOOST"),IF(Table16[[#This Row],[Vin]]&gt;VIN_BB_to_buck, "BUCK", IF(Table16[[#This Row],[Vin]]&lt;=VIN_boost_to_BB,"BOOST","BUCK-BST")))</calculatedColumnFormula>
    </tableColumn>
    <tableColumn id="4" xr3:uid="{7C7095C0-5CB5-47D2-89D2-56FACFD83D80}" name="Mode Digit" dataDxfId="131">
      <calculatedColumnFormula>IF(Table16[[#This Row],[Mode]]="BOOST",2, IF(Table16[[#This Row],[Mode]]="BUCK", 1,3))</calculatedColumnFormula>
    </tableColumn>
    <tableColumn id="5" xr3:uid="{F0516678-7FB7-438C-B007-99762D77A5DA}" name="Iout">
      <calculatedColumnFormula>Iout</calculatedColumnFormula>
    </tableColumn>
    <tableColumn id="6" xr3:uid="{E7153E12-F366-4117-A3B1-4B7A62E24F14}" name="Iin" dataDxfId="130">
      <calculatedColumnFormula>Vout*Table16[[#This Row],[Iout]]/(Table16[[#This Row],[Vin]]*Efficiency)</calculatedColumnFormula>
    </tableColumn>
    <tableColumn id="67" xr3:uid="{66B90897-387B-43DA-BE2F-B390FA8C45B9}" name="t1_Ph_II" dataDxfId="129">
      <calculatedColumnFormula>MIN(1/Fsw,CHOOSE(Table16[[#This Row],[Mode Digit]],(Vout+(Rdson2+Rs+Rdcr)*Table16[[#This Row],[Iout]])/(Table16[[#This Row],[Vin]]+(Rs+Rdson2-Rdson1)*Table16[[#This Row],[Iout]])/Fsw,(Vout+(Rdson3+Rdcr)*Table16[[#This Row],[Iin]]-Table16[[#This Row],[Vin]])/(Vout+(Rdson3-Rdson4-Rs)*Table16[[#This Row],[Iin]])/Fsw,t1_Ph_II))</calculatedColumnFormula>
    </tableColumn>
    <tableColumn id="66" xr3:uid="{BEE6CBD6-7A71-4714-8CA7-169C5654E25E}" name="t2_Ph_I" dataDxfId="128">
      <calculatedColumnFormula>CHOOSE(Table16[[#This Row],[Mode Digit]],1/Fsw-Table16[[#This Row],[t1_Ph_II]],1/Fsw-Table16[[#This Row],[t1_Ph_II]],(Vout/Fsw-Table16[[#This Row],[Vin]]*t1_Ph_II)/(Table16[[#This Row],[Vin]]+Vout))</calculatedColumnFormula>
    </tableColumn>
    <tableColumn id="65" xr3:uid="{1E23C922-D4E7-4381-92AD-796363855DF2}" name="t3_Ph_III" dataDxfId="127">
      <calculatedColumnFormula>1/Fsw-(Table16[[#This Row],[t1_Ph_II]]+Table16[[#This Row],[t2_Ph_I]])</calculatedColumnFormula>
    </tableColumn>
    <tableColumn id="64" xr3:uid="{CCB2D0F2-D269-4AD2-96F8-7B9059230352}" name="I_0" dataDxfId="126">
      <calculatedColumnFormula>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calculatedColumnFormula>
    </tableColumn>
    <tableColumn id="63" xr3:uid="{56B5475D-9C82-467C-AF4F-3D91446F3078}" name="I_1" dataDxfId="125">
      <calculatedColumnFormula>CHOOSE(Table16[[#This Row],[Mode Digit]],Table16[[#This Row],[I_0]]+1/Lf*(Table16[[#This Row],[Vin]]-Vout)*Table16[[#This Row],[t1_Ph_II]],Table16[[#This Row],[I_0]]+1/Lf*Table16[[#This Row],[Vin]]*Table16[[#This Row],[t1_Ph_II]],Table16[[#This Row],[I_0]]+(Table16[[#This Row],[Vin]]-Vout)/L*Table16[[#This Row],[t1_Ph_II]])</calculatedColumnFormula>
    </tableColumn>
    <tableColumn id="10" xr3:uid="{0CED3E1D-CA11-4D34-96EE-7D506A78B8FE}" name="I_2" dataDxfId="124">
      <calculatedColumnFormula>CHOOSE(Table16[[#This Row],[Mode Digit]],0,0,Table16[[#This Row],[I_1]]+Table16[[#This Row],[Vin]]/L*Table16[[#This Row],[t2_Ph_I]])</calculatedColumnFormula>
    </tableColumn>
    <tableColumn id="7" xr3:uid="{5767DE19-7E14-4055-9E2B-9BD3C31687CE}" name="Avg IL" dataDxfId="123">
      <calculatedColumnFormula>Fsw*(Table16[[#This Row],[I_0]]*Table16[[#This Row],[t1_Ph_II]]+Table16[[#This Row],[I_1]]*Table16[[#This Row],[t2_Ph_I]]+Table16[[#This Row],[I_2]]*Table16[[#This Row],[t3_Ph_III]])</calculatedColumnFormula>
    </tableColumn>
    <tableColumn id="8" xr3:uid="{78F066D5-FD89-4AC0-8D00-737C40EB73E7}" name="Duty Cycle BUCK Leg" dataDxfId="122">
      <calculatedColumnFormula>MIN(1,CHOOSE(Table16[[#This Row],[Mode Digit]],(Vout+(Rdson2+Rs+Rdcr)*Table16[[#This Row],[Iout]])/(Table16[[#This Row],[Vin]]+(Rs+Rdson2-Rdson1)*Table16[[#This Row],[Iout]]),1,Fsw*Table16[[#This Row],[t2_Ph_I]]+Table16[[#This Row],[t1_Ph_II]]))</calculatedColumnFormula>
    </tableColumn>
    <tableColumn id="9" xr3:uid="{8635983C-A86E-4AD3-BDD3-6BAB55B67564}" name="Duty Cycle BOOST Leg" dataDxfId="121">
      <calculatedColumnFormula>MIN(1,CHOOSE(Table16[[#This Row],[Mode Digit]],0,(Vout+(Rdson3+Rdcr)*Table16[[#This Row],[Iin]]-Table16[[#This Row],[Vin]])/(Vout+(Rdson3-Rdson4-Rs)*Table16[[#This Row],[Iin]]),Fsw*Table16[[#This Row],[t1_Ph_II]]+Table16[[#This Row],[t3_Ph_III]]))</calculatedColumnFormula>
    </tableColumn>
    <tableColumn id="14" xr3:uid="{81897277-6165-43D6-B8E7-2494FCCEA44E}" name="Ripple Current pk-pk" dataDxfId="120">
      <calculatedColumnFormula>MAX(Table16[[#This Row],[I_0]:[I_2]])-MIN(Table16[[#This Row],[I_0]:[I_1]])</calculatedColumnFormula>
    </tableColumn>
    <tableColumn id="15" xr3:uid="{8372CC55-E149-4A7D-B1D0-C2C09E085C9A}" name="Irms Lf" dataDxfId="119">
      <calculatedColumnFormula>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calculatedColumnFormula>
    </tableColumn>
    <tableColumn id="16" xr3:uid="{9BE38C14-CBBB-40B5-BA84-0074F9266864}" name="DCR    Loss" dataDxfId="118">
      <calculatedColumnFormula>(Table16[[#This Row],[Irms Lf]]^2*Rdcr*(1+Ltc*Ta-Ltc*25))/(1-Table16[[#This Row],[Irms Lf]]^2*Rdcr*Ltc*ThetaCa)</calculatedColumnFormula>
    </tableColumn>
    <tableColumn id="17" xr3:uid="{6BF48D63-BF51-4BEE-A146-4E0D10B0A358}" name="Core Loss" dataDxfId="117">
      <calculatedColumnFormula>ABS(7.759*10^-3*Fsw^0.9458*(0.00787*Table16[[#This Row],[Ripple Current pk-pk]])^2.304)</calculatedColumnFormula>
    </tableColumn>
    <tableColumn id="18" xr3:uid="{65375902-02D4-460C-94A1-738DB9A060D6}" name="Total Inductor Loss" dataDxfId="116">
      <calculatedColumnFormula>Table16[[#This Row],[DCR    Loss]]+Table16[[#This Row],[Core Loss]]</calculatedColumnFormula>
    </tableColumn>
    <tableColumn id="19" xr3:uid="{9181BD61-B3F5-415F-9EF6-7237B31F3575}" name="Irms Cout" dataDxfId="115">
      <calculatedColumnFormula>IF(Table16[[#This Row],[Vin]]&gt;Vout, Table16[[#This Row],[Ripple Current pk-pk]]/SQRT(12), SQRT(Table16[[#This Row],[Duty Cycle BOOST Leg]]/(1-Table16[[#This Row],[Duty Cycle BOOST Leg]]))*SQRT(Table16[[#This Row],[Iout]]^2+(Table16[[#This Row],[Ripple Current pk-pk]]^2)/12))</calculatedColumnFormula>
    </tableColumn>
    <tableColumn id="20" xr3:uid="{5DE2A5B0-2E01-490E-B8C2-8D107B16D7D0}" name="Cout ESR Loss" dataDxfId="114">
      <calculatedColumnFormula>RCoutEsr*Table16[[#This Row],[Irms Cout]]^2</calculatedColumnFormula>
    </tableColumn>
    <tableColumn id="21" xr3:uid="{62A1A2B6-0B76-48C6-B78D-34E2DE60AB47}" name="Total Cout Loss" dataDxfId="113">
      <calculatedColumnFormula>Table16[[#This Row],[Cout ESR Loss]]</calculatedColumnFormula>
    </tableColumn>
    <tableColumn id="22" xr3:uid="{41B7DF24-1C90-4DCC-88FD-1DA7B6DD48BD}" name="Irms Cin" dataDxfId="112">
      <calculatedColumnFormula>IF(Table16[[#This Row],[Vin]]&gt;Vout, SQRT(Table16[[#This Row],[Duty Cycle BUCK Leg]]*(1-Table16[[#This Row],[Duty Cycle BUCK Leg]]))*SQRT(Table16[[#This Row],[Iout]]^2+(Table16[[#This Row],[Ripple Current pk-pk]]^2)/12), Table16[[#This Row],[Ripple Current pk-pk]]/SQRT(12))</calculatedColumnFormula>
    </tableColumn>
    <tableColumn id="23" xr3:uid="{F8BEEC3D-AF02-446A-B5E7-688FF4DDE098}" name="Cin ESR Loss" dataDxfId="111">
      <calculatedColumnFormula>RCinEsr*Table16[[#This Row],[Irms Cin]]^2</calculatedColumnFormula>
    </tableColumn>
    <tableColumn id="24" xr3:uid="{403DB52C-DEA3-4B10-9EBC-F2B4B4CF3900}" name="Total Cin Loss" dataDxfId="110">
      <calculatedColumnFormula>Table16[[#This Row],[Cin ESR Loss]]</calculatedColumnFormula>
    </tableColumn>
    <tableColumn id="25" xr3:uid="{E79102D2-AE6D-450F-863D-35A7A8546836}" name="Irms BuCtrl" dataDxfId="109">
      <calculatedColumnFormula>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calculatedColumnFormula>
    </tableColumn>
    <tableColumn id="26" xr3:uid="{E4FB2B88-C911-4096-A5EE-5C1720E51351}" name="RDS(on) Loss BuCtrl" dataDxfId="108">
      <calculatedColumnFormula>Rdson1*Table16[[#This Row],[Irms BuCtrl]]^2</calculatedColumnFormula>
    </tableColumn>
    <tableColumn id="27" xr3:uid="{CC7F26FB-59C2-4208-B674-D0EA68F0F5AA}" name="Transition Loss BuCtrl" dataDxfId="107">
      <calculatedColumnFormula>CHOOSE(Table16[[#This Row],[Mode Digit]], (Table16[[#This Row],[Vin]]*Table16[[#This Row],[Iout]]/2)*(Fsw)*(Tr_buck+Tf_buck), 0, (Table16[[#This Row],[Vin]]*Table16[[#This Row],[Avg IL]]/2)*(Fsw/1)*(Tr_buck+Tf_buck))</calculatedColumnFormula>
    </tableColumn>
    <tableColumn id="28" xr3:uid="{22BB35CB-4B64-40CF-AC7F-6F27D8ABD671}" name="Dead Time Loss BuCtrl" dataDxfId="106">
      <calculatedColumnFormula>IF(Table16[[#This Row],[Vin]]&gt;Vout, IF(Table16[[#This Row],[Iout]]&gt;Table16[[#This Row],[Ripple Current pk-pk]]/2,0,ABS(Table16[[#This Row],[Iout]]-Table16[[#This Row],[Ripple Current pk-pk]]/2)*Vsd_Q1*Deadtime*Fsw),0)</calculatedColumnFormula>
    </tableColumn>
    <tableColumn id="29" xr3:uid="{9CF77F51-34D6-407C-8852-2C10F47F1168}" name="Total Control Bu MOSFET Loss" dataDxfId="105">
      <calculatedColumnFormula>(Table16[[#This Row],[Dead Time Loss BuCtrl]]+Table16[[#This Row],[Transition Loss BuCtrl]]+Table16[[#This Row],[RDS(on) Loss BuCtrl]]*(1+RdsonTopTc*Ta-RdsonTopTc*25))/(1-Table16[[#This Row],[RDS(on) Loss BuCtrl]]*RdsonTopTc*ThetaJA_Q1)</calculatedColumnFormula>
    </tableColumn>
    <tableColumn id="30" xr3:uid="{F33E9553-FD2A-4995-852D-DAC01471EEBE}" name="Irms BuSync" dataDxfId="104">
      <calculatedColumnFormula>CHOOSE(Table16[[#This Row],[Mode Digit]],SQRT((Fsw*(Table16[[#This Row],[t2_Ph_I]]+0))*((Table16[[#This Row],[I_0]]*Table16[[#This Row],[I_1]]+((Table16[[#This Row],[I_0]]-Table16[[#This Row],[I_1]])^2)/3))),0,SQRT((Fsw*(Table16[[#This Row],[t3_Ph_III]]+0))*((Table16[[#This Row],[I_0]]*Table16[[#This Row],[I_2]]+((Table16[[#This Row],[I_0]]-Table16[[#This Row],[I_2]])^2)/3))))</calculatedColumnFormula>
    </tableColumn>
    <tableColumn id="31" xr3:uid="{DCA86B1B-AE2F-4B1D-AD19-95555375D227}" name="RDS(on) Loss BuSync" dataDxfId="103">
      <calculatedColumnFormula>Rdson2*Table16[[#This Row],[Irms BuSync]]^2</calculatedColumnFormula>
    </tableColumn>
    <tableColumn id="32" xr3:uid="{85A091B5-8E3B-4D9E-A9CD-D6163D474B4F}" name="Deadtime Loss BuSync" dataDxfId="102">
      <calculatedColumnFormula>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calculatedColumnFormula>
    </tableColumn>
    <tableColumn id="33" xr3:uid="{E669A6CD-4161-4902-83B0-5D4CCB33C214}" name="Total Sync Bu MOSFET Loss" dataDxfId="101">
      <calculatedColumnFormula>(Table16[[#This Row],[Deadtime Loss BuSync]]+Table16[[#This Row],[RDS(on) Loss BuSync]]*(1+RdsonBotTc*Ta-RdsonBotTc*25))/(1-Table16[[#This Row],[RDS(on) Loss BuSync]]*RdsonBotTc*ThetaJA_Q2)</calculatedColumnFormula>
    </tableColumn>
    <tableColumn id="34" xr3:uid="{AA0199E4-350A-4C09-A9DA-7DAB9DEBC1E8}" name="Irms BoCtlr" dataDxfId="100">
      <calculatedColumnFormula>CHOOSE(Table16[[#This Row],[Mode Digit]],0,SQRT((Fsw*(Table16[[#This Row],[t1_Ph_II]]+0))*((Table16[[#This Row],[I_0]]*Table16[[#This Row],[I_1]]+((Table16[[#This Row],[I_0]]-Table16[[#This Row],[I_1]])^2)/3))),SQRT((Fsw*(Table16[[#This Row],[t2_Ph_I]]+0))*((Table16[[#This Row],[I_1]]*Table16[[#This Row],[I_2]]+((Table16[[#This Row],[I_1]]-Table16[[#This Row],[I_2]])^2)/3))))</calculatedColumnFormula>
    </tableColumn>
    <tableColumn id="35" xr3:uid="{7EA18A26-C716-4E4C-BCA2-0FEB65D9B029}" name="RDS(on) Loss BoCtlr" dataDxfId="99">
      <calculatedColumnFormula>Rdson4*Table16[[#This Row],[Irms BoCtlr]]^2</calculatedColumnFormula>
    </tableColumn>
    <tableColumn id="36" xr3:uid="{2406AF05-69D6-43A0-A754-A80A715BEDCE}" name="Transition Loss BoCtlr" dataDxfId="98">
      <calculatedColumnFormula>CHOOSE(Table16[[#This Row],[Mode Digit]], 0, (Vout*Table16[[#This Row],[Iin]]/2)*(Fsw)*(Tr_boost+Tf_boost), (Vout*Iout/2)*(Fsw/1)*(Tr_boost+Tf_boost))</calculatedColumnFormula>
    </tableColumn>
    <tableColumn id="37" xr3:uid="{1020A587-A242-4361-A61A-8A780DE482C4}" name="Dead Time Loss BoCtlr" dataDxfId="97">
      <calculatedColumnFormula>IF(Table16[[#This Row],[Vin]]&gt;Vout, 0, IF(Table16[[#This Row],[Iin]]&gt;Table16[[#This Row],[Ripple Current pk-pk]]/2,0,ABS(Table16[[#This Row],[Iin]]-Table16[[#This Row],[Ripple Current pk-pk]]/2)*Vsd_Q4*Deadtime*Fsw))</calculatedColumnFormula>
    </tableColumn>
    <tableColumn id="38" xr3:uid="{FCB93C7C-906D-4D2A-A405-5CB29C702D42}" name="Total Control Bo MOSFET Loss" dataDxfId="96">
      <calculatedColumnFormula>(Table16[[#This Row],[Dead Time Loss BoCtlr]]+Table16[[#This Row],[Transition Loss BoCtlr]]+Table16[[#This Row],[RDS(on) Loss BoCtlr]]*(1+RdsonTopTc*Ta-RdsonTopTc*25))/(1-Table16[[#This Row],[RDS(on) Loss BoCtlr]]*RdsonTopTc*ThetaJA_Q4)</calculatedColumnFormula>
    </tableColumn>
    <tableColumn id="39" xr3:uid="{8EC26605-D3B8-42E4-A620-C5A8ECEF4375}" name="Irms BoSync" dataDxfId="95">
      <calculatedColumnFormula>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calculatedColumnFormula>
    </tableColumn>
    <tableColumn id="40" xr3:uid="{33D22A86-7971-4D28-BE6A-D3111DED92A7}" name="RDS(on) Loss BoSync" dataDxfId="94">
      <calculatedColumnFormula>Rdson3*Table16[[#This Row],[Irms BoSync]]^2</calculatedColumnFormula>
    </tableColumn>
    <tableColumn id="41" xr3:uid="{F3BB798C-ADDD-48F4-B027-C622E0A66005}" name="Deadtime Loss BoSync" dataDxfId="93">
      <calculatedColumnFormula>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calculatedColumnFormula>
    </tableColumn>
    <tableColumn id="42" xr3:uid="{03F6757C-A0A3-414F-8704-1507961D6B5D}" name="Total Sync Bo MOSFET Loss" dataDxfId="92">
      <calculatedColumnFormula>(Table16[[#This Row],[Deadtime Loss BoSync]]+Table16[[#This Row],[RDS(on) Loss BoSync]]*(1+RdsonBotTc*Ta-RdsonBotTc*25))/(1-Table16[[#This Row],[RDS(on) Loss BoSync]]*RdsonBotTc*ThetaJA_Q3)</calculatedColumnFormula>
    </tableColumn>
    <tableColumn id="43" xr3:uid="{EB60F4E6-3953-49C1-87D9-E2EC2A827DE7}" name="Q1/Q3 RDS(on) Loss @ D = 100%" dataDxfId="91">
      <calculatedColumnFormula>CHOOSE(Table16[[#This Row],[Mode Digit]], Rdson3*Table16[[#This Row],[Irms Lf]]^2, Rdson1*Table16[[#This Row],[Irms Lf]]^2, 0)</calculatedColumnFormula>
    </tableColumn>
    <tableColumn id="44" xr3:uid="{0915891A-64DA-4378-ADF4-0AFBD4C4A9B5}" name="Deadtime Loss ext D" dataDxfId="90">
      <calculatedColumnFormula>CHOOSE(Table16[[#This Row],[Mode Digit]], 2*Deadtime*Fsw*IF(VfdSky_Q2&gt;0,VfdSky_Q2,0)*Table16[[#This Row],[Iout]], 2*Deadtime*Fsw*IF(VfdSky_Q3&gt;0,VfdSky_Q3,0)*Table16[[#This Row],[Iin]], 2*Deadtime*Fsw*IF(VfdSky_Q2&gt;0,VfdSky_Q2,0)*Table16[[#This Row],[Iout]]+2*Deadtime*Fsw*IF(VfdSky_Q3&gt;0,VfdSky_Q3,0)*Table16[[#This Row],[Iin]])</calculatedColumnFormula>
    </tableColumn>
    <tableColumn id="11" xr3:uid="{B01B4C4C-D538-4892-8921-312689EE9722}" name="Reverse Recovery Loss MOSFET D BUCK" dataDxfId="89">
      <calculatedColumnFormula>CHOOSE(Table16[[#This Row],[Mode Digit]], IF(QrrSky_Q2&gt;0,QrrSky_Q2,Qrr_Q2)*Fsw*(Table16[[#This Row],[Vin]]-Table16[[#This Row],[Iout]]*Rdson1),0,  IF(QrrSky_Q2&gt;0,QrrSky_Q2,Qrr_Q2)*Fsw*(Table16[[#This Row],[Vin]]-Table16[[#This Row],[Iout]]*Rdson1)+IF(QrrSky_Q3&gt;0,QrrSky_Q3,Qrr_Q3)*Fsw*Vout)</calculatedColumnFormula>
    </tableColumn>
    <tableColumn id="45" xr3:uid="{A2C674AF-54F7-4E02-9156-A31F114140EA}" name="Reverse Recovery Loss MOSFET D BOOST" dataDxfId="88">
      <calculatedColumnFormula>CHOOSE(Table16[[#This Row],[Mode Digit]],0, IF(QrrSky_Q3&gt;0,QrrSky_Q3,Qrr_Q3)*Fsw*Vout,  IF(QrrSky_Q2&gt;0,QrrSky_Q2,Qrr_Q2)*Fsw*(Table16[[#This Row],[Vin]]-Table16[[#This Row],[Iout]]*Rdson1)+IF(QrrSky_Q3&gt;0,QrrSky_Q3,Qrr_Q3)*Fsw*Vout)</calculatedColumnFormula>
    </tableColumn>
    <tableColumn id="46" xr3:uid="{03929ECB-2508-4977-B7F2-BB501159E24D}" name="Isense Shunt Loss" dataDxfId="87">
      <calculatedColumnFormula>CHOOSE(Table16[[#This Row],[Mode Digit]], Rs*Table16[[#This Row],[Irms BuSync]]^2, Rs*Table16[[#This Row],[Irms BoCtlr]]^2, Rs*(Table16[[#This Row],[Irms BuSync]]^2+Table16[[#This Row],[Irms BoCtlr]]^2))</calculatedColumnFormula>
    </tableColumn>
    <tableColumn id="47" xr3:uid="{4EF44379-13A5-40B0-9D6D-BFE1A904B702}" name="Iout Shunt Loss" dataDxfId="86">
      <calculatedColumnFormula>Rshunt/1000*Iout^2</calculatedColumnFormula>
    </tableColumn>
    <tableColumn id="48" xr3:uid="{9FDEB546-0FCD-40F9-B89E-C94C095798B2}" name="IQ Loss" dataDxfId="85">
      <calculatedColumnFormula>IF(Vout&gt;8, Iq*Vout, Iq*Table16[[#This Row],[Vin]])</calculatedColumnFormula>
    </tableColumn>
    <tableColumn id="49" xr3:uid="{CF2BE5CF-B9C7-42E3-875A-3DAB5945ABAA}" name="Switching Current Loss" dataDxfId="84">
      <calculatedColumnFormula>CHOOSE(Table16[[#This Row],[Mode Digit]], (Qg_Q1+Qg_Q2)*Fsw, (Qg_Q3+Qg_Q4)*Fsw, (Qg_Q1+Qg_Q2+Qg_Q3+Qg_Q4)*Fsw)*IF(Vout&gt;8, Vout, Table16[[#This Row],[Vin]])</calculatedColumnFormula>
    </tableColumn>
    <tableColumn id="50" xr3:uid="{94FD2CD5-691F-4DD8-9919-F5EFBD59C7AD}" name="Switching Current Diss" dataDxfId="83">
      <calculatedColumnFormula>(Vin-Vdd)*Fsw*(Qg_Q1+Qg_Q2)+(RdsonDRT+RdsonDRT2)*Fsw*Qg_Q1*Vdd/(RdsonDRT+2*Rgate1+RdsonDRT2)+(RdsonDRB+RdsonDRB2)*Fsw*Qg_Q2*Vdd/(RdsonDRB+2*Rgate2+RdsonDRB2)</calculatedColumnFormula>
    </tableColumn>
    <tableColumn id="51" xr3:uid="{52E1F4FA-8592-4548-9FEB-5F617D97C6B9}" name="Total IC Loss" dataDxfId="82">
      <calculatedColumnFormula>Table16[[#This Row],[IQ Loss]]+Table16[[#This Row],[Switching Current Loss]]</calculatedColumnFormula>
    </tableColumn>
    <tableColumn id="52" xr3:uid="{6DDA61AF-7F1C-4098-AF1E-C88733DD7745}" name="Total Loss" dataDxfId="81">
      <calculatedColumnFormula>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calculatedColumnFormula>
    </tableColumn>
    <tableColumn id="53" xr3:uid="{98ED69F9-676C-4EFF-85D8-736C349FB5ED}" name="Pout" dataDxfId="80">
      <calculatedColumnFormula>Vout*Table16[[#This Row],[Iout]]</calculatedColumnFormula>
    </tableColumn>
    <tableColumn id="54" xr3:uid="{7B11A2B0-8AD8-4D50-80BD-18603BEFAD79}" name="EFF, h" dataDxfId="79">
      <calculatedColumnFormula>Table16[[#This Row],[Pout]]/(Table16[[#This Row],[Pout]]+Table16[[#This Row],[Total Loss]])</calculatedColumnFormula>
    </tableColumn>
    <tableColumn id="55" xr3:uid="{E8250191-946A-434E-ABF1-E93334C08778}" name="Control FET Temp Rise" dataDxfId="78">
      <calculatedColumnFormula>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calculatedColumnFormula>
    </tableColumn>
    <tableColumn id="56" xr3:uid="{CA4EC1DB-BC92-411A-B8BF-ADC985749D80}" name="Sync FET Temp Rise" dataDxfId="77">
      <calculatedColumnFormula>IF(Table16[[#This Row],[Vin]]&gt;Vout, Table16[[#This Row],[Total Sync Bu MOSFET Loss]]*ThetaJA_Q2, ThetaJA_Q3*Table16[[#This Row],[Total Sync Bo MOSFET Loss]])</calculatedColumnFormula>
    </tableColumn>
    <tableColumn id="57" xr3:uid="{BA778059-7E32-4C1D-B392-05F4F8E0FB12}" name="Column1" dataDxfId="76"/>
    <tableColumn id="58" xr3:uid="{17655E73-E1EA-4CF8-825C-99A35E856350}" name="h" dataDxfId="75">
      <calculatedColumnFormula>Table16[[#This Row],[EFF, h]]*100</calculatedColumnFormula>
    </tableColumn>
    <tableColumn id="59" xr3:uid="{22F2490D-29AD-4BC2-BDC0-9061541DAEC3}" name="Inductor Cu &amp; Core Loss" dataDxfId="74">
      <calculatedColumnFormula>Table16[[#This Row],[Total Inductor Loss]]</calculatedColumnFormula>
    </tableColumn>
    <tableColumn id="60" xr3:uid="{E5057B27-BE8A-4961-B9D3-F66847EBECFB}" name="Total MOSFET Loss" dataDxfId="73">
      <calculatedColumnFormula>Table16[[#This Row],[Total Control Bu MOSFET Loss]]+Table16[[#This Row],[Total Sync Bu MOSFET Loss]]+Table16[[#This Row],[Total Control Bo MOSFET Loss]]+Table16[[#This Row],[Total Sync Bo MOSFET Loss]]+Table16[[#This Row],[Reverse Recovery Loss MOSFET D BUCK]]+Table16[[#This Row],[Reverse Recovery Loss MOSFET D BOOST]]</calculatedColumnFormula>
    </tableColumn>
    <tableColumn id="61" xr3:uid="{BF601E5D-D488-4A5A-A855-94F8B369288F}" name="Buck ''Control'' MOSFET Loss" dataDxfId="72">
      <calculatedColumnFormula>Table16[[#This Row],[Total Control Bu MOSFET Loss]]+Table16[[#This Row],[Reverse Recovery Loss MOSFET D BUCK]]*0.66</calculatedColumnFormula>
    </tableColumn>
    <tableColumn id="69" xr3:uid="{01081D70-0CFC-42D4-A024-921B4266CA96}" name="Buck ''SYNC'' MOSFET Loss" dataDxfId="71">
      <calculatedColumnFormula>Table16[[#This Row],[Total Sync Bu MOSFET Loss]]+Table16[[#This Row],[Reverse Recovery Loss MOSFET D BUCK]]*0.33</calculatedColumnFormula>
    </tableColumn>
    <tableColumn id="68" xr3:uid="{A010E9FA-6343-41D2-9F2D-A4E3329B440B}" name="Boost ''Control'' MOSFET Loss" dataDxfId="70">
      <calculatedColumnFormula xml:space="preserve"> Table16[[#This Row],[Total Control Bo MOSFET Loss]]+Table16[[#This Row],[Reverse Recovery Loss MOSFET D BOOST]]*0.66</calculatedColumnFormula>
    </tableColumn>
    <tableColumn id="70" xr3:uid="{DBF3CF4A-7360-4C7B-8459-ACB6A41B12B9}" name="Boost ''SYNC'' MOSFET Loss" dataDxfId="69">
      <calculatedColumnFormula xml:space="preserve"> Table16[[#This Row],[Total Sync Bo MOSFET Loss]]+Table16[[#This Row],[Reverse Recovery Loss MOSFET D BOOST]]*0.33</calculatedColumnFormula>
    </tableColumn>
    <tableColumn id="62" xr3:uid="{6CE5FCBC-3430-4526-AE60-578981E146B2}" name="Shunt Loss" dataDxfId="68">
      <calculatedColumnFormula>Table16[[#This Row],[Isense Shunt Loss]]</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224A76A-FCE8-46B1-B19D-A2A36B76DC5A}" name="Table25" displayName="Table25" ref="G8:BV109" totalsRowShown="0" headerRowDxfId="67">
  <autoFilter ref="G8:BV109" xr:uid="{0781F152-903E-43E6-B9F0-B3524499DF20}">
    <filterColumn colId="0" hiddenButton="1"/>
    <filterColumn colId="1" hiddenButton="1"/>
    <filterColumn colId="2" hiddenButton="1"/>
    <filterColumn colId="3" hiddenButton="1"/>
    <filterColumn colId="4" hiddenButton="1"/>
    <filterColumn colId="5"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7" hiddenButton="1"/>
  </autoFilter>
  <tableColumns count="68">
    <tableColumn id="1" xr3:uid="{B9ED6E42-D1B2-4E00-A3B6-5AEF97CFA261}" name="Step"/>
    <tableColumn id="2" xr3:uid="{9EB38485-3D01-4F88-AE85-7312E83005C1}" name="Vin" dataDxfId="66">
      <calculatedColumnFormula>Vin</calculatedColumnFormula>
    </tableColumn>
    <tableColumn id="3" xr3:uid="{79A93288-E181-47D2-9CDB-41FDF06AA152}" name="Mode" dataDxfId="65">
      <calculatedColumnFormula>IF(Mode = 2,IF(Table25[[#This Row],[Vin]]&gt;Vout, "BUCK","BOOST"),IF(Table25[[#This Row],[Vin]]&gt;VIN_BB_to_buck, "BUCK", IF(Table25[[#This Row],[Vin]]&lt;=VIN_boost_to_BB,"BOOST","BUCK-BST")))</calculatedColumnFormula>
    </tableColumn>
    <tableColumn id="4" xr3:uid="{1F7E4A18-A3DA-4B57-A524-E1B3E8D8AB4C}" name="Mode Digit" dataDxfId="64">
      <calculatedColumnFormula>IF(Table25[[#This Row],[Mode]]="BOOST",2, IF(Table25[[#This Row],[Mode]]="BUCK", 1,3))</calculatedColumnFormula>
    </tableColumn>
    <tableColumn id="5" xr3:uid="{40F86390-580A-4EA2-BF83-9258AE0F1FBB}" name="Iout" dataDxfId="63">
      <calculatedColumnFormula>Iout*G9/100</calculatedColumnFormula>
    </tableColumn>
    <tableColumn id="6" xr3:uid="{C4D6F6C9-F167-44D3-8A9F-5567ECC7283E}" name="Iin" dataDxfId="62">
      <calculatedColumnFormula>Vout*Table25[[#This Row],[Iout]]/(Table25[[#This Row],[Vin]]*Efficiency)</calculatedColumnFormula>
    </tableColumn>
    <tableColumn id="69" xr3:uid="{3B19C918-35D9-468E-BC47-872E2C2CD91F}" name="t1_Ph_II" dataDxfId="61">
      <calculatedColumnFormula>CHOOSE(Table25[[#This Row],[Mode Digit]],(Vout+(Rdson2+Rs+Rdcr)*Table25[[#This Row],[Iout]])/(Table25[[#This Row],[Vin]]+(Rs+Rdson2-Rdson1)*Table25[[#This Row],[Iout]])/Fsw,(Vout+(Rdson3+Rdcr)*Table25[[#This Row],[Iin]]-Table25[[#This Row],[Vin]])/(Vout+(Rdson3-Rdson4-Rs)*Table25[[#This Row],[Iin]])/Fsw,t1_Ph_II)</calculatedColumnFormula>
    </tableColumn>
    <tableColumn id="68" xr3:uid="{59E82E47-B050-44ED-8379-D1FF6D5A9E30}" name="t2_Ph_I" dataDxfId="60">
      <calculatedColumnFormula>CHOOSE(Table25[[#This Row],[Mode Digit]],1/Fsw-Table25[[#This Row],[t1_Ph_II]],1/Fsw-Table25[[#This Row],[t1_Ph_II]],(Vout/Fsw-Table25[[#This Row],[Vin]]*t1_Ph_II)/(Table25[[#This Row],[Vin]]+Vout))</calculatedColumnFormula>
    </tableColumn>
    <tableColumn id="67" xr3:uid="{7B63DFB0-7E24-468A-BC1E-522DF540B237}" name="t3_Ph_III" dataDxfId="59">
      <calculatedColumnFormula>1/Fsw-(Table25[[#This Row],[t1_Ph_II]]+Table25[[#This Row],[t2_Ph_I]])</calculatedColumnFormula>
    </tableColumn>
    <tableColumn id="66" xr3:uid="{85A7B50D-FE7C-487A-94BC-F1B88B50D215}" name="I_0" dataDxfId="58">
      <calculatedColumnFormula>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calculatedColumnFormula>
    </tableColumn>
    <tableColumn id="65" xr3:uid="{210C8961-D25B-48BC-A034-7C1EA34B64B6}" name="I_1" dataDxfId="57">
      <calculatedColumnFormula>CHOOSE(Table25[[#This Row],[Mode Digit]],Table25[[#This Row],[I_0]]+1/Lf*(Table25[[#This Row],[Vin]]-Vout)*Table25[[#This Row],[t1_Ph_II]],Table25[[#This Row],[I_0]]+1/Lf*Table25[[#This Row],[Vin]]*Table25[[#This Row],[t1_Ph_II]],Table25[[#This Row],[I_0]]+(Table25[[#This Row],[Vin]]-Vout)/L*Table25[[#This Row],[t1_Ph_II]])</calculatedColumnFormula>
    </tableColumn>
    <tableColumn id="64" xr3:uid="{B84A7F89-4C86-48C7-B597-1BC1C7D78983}" name="I_2" dataDxfId="56">
      <calculatedColumnFormula>CHOOSE(Table25[[#This Row],[Mode Digit]],0,0,Table25[[#This Row],[I_1]]+Table25[[#This Row],[Vin]]/L*Table25[[#This Row],[t2_Ph_I]])</calculatedColumnFormula>
    </tableColumn>
    <tableColumn id="10" xr3:uid="{2B81198C-5AB5-46DF-9029-A1F38CE56C11}" name="Avg IL" dataDxfId="55">
      <calculatedColumnFormula>Fsw*(Table25[[#This Row],[I_0]]*Table25[[#This Row],[t1_Ph_II]]+Table25[[#This Row],[I_1]]*Table25[[#This Row],[t2_Ph_I]]+Table25[[#This Row],[I_2]]*Table25[[#This Row],[t3_Ph_III]])</calculatedColumnFormula>
    </tableColumn>
    <tableColumn id="8" xr3:uid="{EE4C21FA-8978-4E5B-8B81-7BE1A97EBFCC}" name="Duty Cycle BUCK Leg" dataDxfId="54">
      <calculatedColumnFormula>CHOOSE(Table25[[#This Row],[Mode Digit]],(Vout+(Rdson2+Rs+Rdcr)*Table25[[#This Row],[Iout]])/(Table25[[#This Row],[Vin]]+(Rs+Rdson2-Rdson1)*Table25[[#This Row],[Iout]]),1,Fsw*Table25[[#This Row],[t2_Ph_I]]+Table25[[#This Row],[t1_Ph_II]])</calculatedColumnFormula>
    </tableColumn>
    <tableColumn id="9" xr3:uid="{CFC4FB4B-DAAE-43DA-A2EB-AB52D1A4D168}" name="Duty Cycle BOOST Leg" dataDxfId="53">
      <calculatedColumnFormula>CHOOSE(Table25[[#This Row],[Mode Digit]],0,(Vout+(Rdson3+Rdcr)*Table25[[#This Row],[Iin]]-Table25[[#This Row],[Vin]])/(Vout+(Rdson3-Rdson4-Rs)*Table25[[#This Row],[Iin]]),Fsw*Table25[[#This Row],[t1_Ph_II]]+Table25[[#This Row],[t3_Ph_III]])</calculatedColumnFormula>
    </tableColumn>
    <tableColumn id="14" xr3:uid="{EDB7BA89-8A45-44DF-A8F7-C7260FF252F6}" name="Ripple Current pk-pk" dataDxfId="52">
      <calculatedColumnFormula>MAX(Table25[[#This Row],[I_0]:[I_2]])-MIN(Table25[[#This Row],[I_0]:[I_1]])</calculatedColumnFormula>
    </tableColumn>
    <tableColumn id="15" xr3:uid="{5F70991C-8A2B-4A7E-B2D5-6A4F04252248}" name="Irms Lf" dataDxfId="51">
      <calculatedColumnFormula>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calculatedColumnFormula>
    </tableColumn>
    <tableColumn id="16" xr3:uid="{13A2F5AF-DB60-4E5A-AD0B-5A23725F69EB}" name="DCR    Loss" dataDxfId="50">
      <calculatedColumnFormula>(Table25[[#This Row],[Irms Lf]]^2*Rdcr*(1+Ltc*Ta-Ltc*25))/(1-Table25[[#This Row],[Irms Lf]]^2*Rdcr*Ltc*ThetaCa)</calculatedColumnFormula>
    </tableColumn>
    <tableColumn id="17" xr3:uid="{B875192F-4F08-42C0-AF23-34F16A60CFA4}" name="Core Loss" dataDxfId="49">
      <calculatedColumnFormula>ABS(7.759*10^-3*Fsw^0.9458*(0.00787*Table25[[#This Row],[Ripple Current pk-pk]])^2.304)</calculatedColumnFormula>
    </tableColumn>
    <tableColumn id="18" xr3:uid="{37FCA910-3048-42E6-B185-E6628B3445BB}" name="Total Inductor Loss" dataDxfId="48">
      <calculatedColumnFormula>Table25[[#This Row],[DCR    Loss]]+Table25[[#This Row],[Core Loss]]</calculatedColumnFormula>
    </tableColumn>
    <tableColumn id="19" xr3:uid="{8508FAE1-030C-425E-B6A1-379B9D28ECA0}" name="Irms Cout" dataDxfId="47">
      <calculatedColumnFormula>IF(Table25[[#This Row],[Vin]]&gt;Vout, Table25[[#This Row],[Ripple Current pk-pk]]/SQRT(12), SQRT(Table25[[#This Row],[Duty Cycle BOOST Leg]]/(1-Table25[[#This Row],[Duty Cycle BOOST Leg]]))*SQRT(Table25[[#This Row],[Iout]]^2+(Table25[[#This Row],[Ripple Current pk-pk]]^2)/12))</calculatedColumnFormula>
    </tableColumn>
    <tableColumn id="20" xr3:uid="{046407F7-C2E4-4ABF-B481-D4D44CA77767}" name="Cout ESR Loss" dataDxfId="46">
      <calculatedColumnFormula>RCoutEsr*Table25[[#This Row],[Irms Cout]]^2</calculatedColumnFormula>
    </tableColumn>
    <tableColumn id="21" xr3:uid="{C692BC66-67AC-4D43-80CC-977EA1422580}" name="Total Cout Loss" dataDxfId="45">
      <calculatedColumnFormula>Table25[[#This Row],[Cout ESR Loss]]</calculatedColumnFormula>
    </tableColumn>
    <tableColumn id="22" xr3:uid="{111FE046-F3CE-4E59-B1A3-8128A20E7D6E}" name="Irms Cin" dataDxfId="44">
      <calculatedColumnFormula>IF(Table25[[#This Row],[Vin]]&gt;Vout, SQRT(Table25[[#This Row],[Duty Cycle BUCK Leg]]*(1-Table25[[#This Row],[Duty Cycle BUCK Leg]]))*SQRT(Table25[[#This Row],[Iout]]^2+(Table25[[#This Row],[Ripple Current pk-pk]]^2)/12), Table25[[#This Row],[Ripple Current pk-pk]]/SQRT(12))</calculatedColumnFormula>
    </tableColumn>
    <tableColumn id="23" xr3:uid="{F031EF37-5232-4096-BF96-BE29B0A6C70E}" name="Cin ESR Loss" dataDxfId="43">
      <calculatedColumnFormula>RCinEsr*Table25[[#This Row],[Irms Cin]]^2</calculatedColumnFormula>
    </tableColumn>
    <tableColumn id="24" xr3:uid="{7CBA1EB1-F886-4F17-BDBF-78781DB3CC8F}" name="Total Cin Loss" dataDxfId="42">
      <calculatedColumnFormula>Table25[[#This Row],[Cin ESR Loss]]</calculatedColumnFormula>
    </tableColumn>
    <tableColumn id="25" xr3:uid="{CB2F1DDE-B688-4AD9-BCED-AE599BB22D3F}" name="Irms BuCtrl" dataDxfId="41">
      <calculatedColumnFormula>[2]!Table1[[#This Row],[Irms Lf]]</calculatedColumnFormula>
    </tableColumn>
    <tableColumn id="26" xr3:uid="{2557F7CF-E0D9-43B0-85BA-17059FB036A0}" name="RDS(on) Loss BuCtrl" dataDxfId="40">
      <calculatedColumnFormula>Rdson1*Table25[[#This Row],[Irms BuCtrl]]^2</calculatedColumnFormula>
    </tableColumn>
    <tableColumn id="27" xr3:uid="{06CC71BF-47FE-40D5-A4E8-45A0DA28D5C8}" name="Transition Loss BuCtrl" dataDxfId="39">
      <calculatedColumnFormula>CHOOSE(Table25[[#This Row],[Mode Digit]], (Table25[[#This Row],[Vin]]*Table25[[#This Row],[Iout]]/2)*(Fsw)*(Tr_buck+Tf_buck), 0, (Table25[[#This Row],[Vin]]*Table25[[#This Row],[Avg IL]]/2)*(Fsw/1)*(Tr_buck+Tf_buck))</calculatedColumnFormula>
    </tableColumn>
    <tableColumn id="28" xr3:uid="{A6096D0A-6738-4F0A-92E2-AAA37C4AAD60}" name="Dead Time Loss BuCtrl" dataDxfId="38">
      <calculatedColumnFormula>IF(Table25[[#This Row],[Vin]]&gt;Vout, IF(Table25[[#This Row],[Iout]]&gt;Table25[[#This Row],[Ripple Current pk-pk]]/2,0,ABS(Table25[[#This Row],[Iout]]-Table25[[#This Row],[Ripple Current pk-pk]]/2)*Vsd_Q1*Deadtime*Fsw),0)</calculatedColumnFormula>
    </tableColumn>
    <tableColumn id="29" xr3:uid="{C579D47F-A70A-47D8-9341-110BBBC8104A}" name="Total Control Bu MOSFET Loss" dataDxfId="37">
      <calculatedColumnFormula>(Table25[[#This Row],[Dead Time Loss BuCtrl]]+Table25[[#This Row],[Transition Loss BuCtrl]]+Table25[[#This Row],[RDS(on) Loss BuCtrl]]*(1+RdsonTopTc*Ta-RdsonTopTc*25))/(1-Table25[[#This Row],[RDS(on) Loss BuCtrl]]*RdsonTopTc*ThetaJA_Q1)</calculatedColumnFormula>
    </tableColumn>
    <tableColumn id="30" xr3:uid="{C78454CF-4262-4908-A37C-E3737B2423DA}" name="Irms BuSync" dataDxfId="36">
      <calculatedColumnFormula>[2]!Table1[[#This Row],[Irms Lf]]</calculatedColumnFormula>
    </tableColumn>
    <tableColumn id="31" xr3:uid="{32DEA7C6-98C7-4E78-BBCA-5986D39AD2FF}" name="RDS(on) Loss BuSync" dataDxfId="35">
      <calculatedColumnFormula>Rdson2*Table25[[#This Row],[Irms BuSync]]^2</calculatedColumnFormula>
    </tableColumn>
    <tableColumn id="32" xr3:uid="{DE54593A-CBDB-47E7-824C-4ADA9CAD670C}" name="Deadtime Loss BuSync" dataDxfId="34">
      <calculatedColumnFormula>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calculatedColumnFormula>
    </tableColumn>
    <tableColumn id="33" xr3:uid="{0F40DBE8-0F95-41B8-8949-5BBD664DFF61}" name="Total Sync Bu MOSFET Loss" dataDxfId="33">
      <calculatedColumnFormula>(Table25[[#This Row],[Deadtime Loss BuSync]]+Table25[[#This Row],[RDS(on) Loss BuSync]]*(1+RdsonBotTc*Ta-RdsonBotTc*25))/(1-Table25[[#This Row],[RDS(on) Loss BuSync]]*RdsonBotTc*ThetaJA_Q2)</calculatedColumnFormula>
    </tableColumn>
    <tableColumn id="34" xr3:uid="{A35FAA9F-1E50-4220-87A3-CFA2DF866C82}" name="Irms BoCtlr" dataDxfId="32">
      <calculatedColumnFormula>[2]!Table1[[#This Row],[Irms Lf]]</calculatedColumnFormula>
    </tableColumn>
    <tableColumn id="35" xr3:uid="{5320CE20-2B94-4056-B098-85FBA7041076}" name="RDS(on) Loss BoCtlr" dataDxfId="31">
      <calculatedColumnFormula>Rdson4*Table25[[#This Row],[Irms BoCtlr]]^2</calculatedColumnFormula>
    </tableColumn>
    <tableColumn id="36" xr3:uid="{724B64E3-214A-4CF4-BC12-3230EDF1FB66}" name="Transition Loss BoCtlr" dataDxfId="30">
      <calculatedColumnFormula>CHOOSE(Table25[[#This Row],[Mode Digit]], 0, (Vout*Table25[[#This Row],[Iin]]/2)*(Fsw)*(Tr_boost+Tf_boost), (Vout*Iout/2)*(Fsw/1)*(Tr_boost+Tf_boost))</calculatedColumnFormula>
    </tableColumn>
    <tableColumn id="37" xr3:uid="{3A6F14D3-120C-4EF3-9E5C-C41E52F86B18}" name="Dead Time Loss BoCtlr" dataDxfId="29">
      <calculatedColumnFormula>IF(Table25[[#This Row],[Vin]]&gt;Vout, 0, IF(Table25[[#This Row],[Iin]]&gt;Table25[[#This Row],[Ripple Current pk-pk]]/2,0,ABS(Table25[[#This Row],[Iin]]-Table25[[#This Row],[Ripple Current pk-pk]]/2)*Vsd_Q4*Deadtime*Fsw))</calculatedColumnFormula>
    </tableColumn>
    <tableColumn id="38" xr3:uid="{0EDF899C-6E5D-4C70-9087-7D27B1CFD7A9}" name="Total Control Bo MOSFET Loss" dataDxfId="28">
      <calculatedColumnFormula>(Table25[[#This Row],[Dead Time Loss BoCtlr]]+Table25[[#This Row],[Transition Loss BoCtlr]]+Table25[[#This Row],[RDS(on) Loss BoCtlr]]*(1+RdsonTopTc*Ta-RdsonTopTc*25))/(1-Table25[[#This Row],[RDS(on) Loss BoCtlr]]*RdsonTopTc*ThetaJA_Q4)</calculatedColumnFormula>
    </tableColumn>
    <tableColumn id="39" xr3:uid="{ED8EC1A0-939B-45DB-BA60-FCA4E1FFCEC5}" name="Irms BoSync" dataDxfId="27">
      <calculatedColumnFormula>[2]!Table1[[#This Row],[Irms Lf]]</calculatedColumnFormula>
    </tableColumn>
    <tableColumn id="40" xr3:uid="{CEA2C242-89F8-4FBB-A7DC-2FECF8BEC3A0}" name="RDS(on) Loss BoSync" dataDxfId="26">
      <calculatedColumnFormula>Rdson3*Table25[[#This Row],[Irms BoSync]]^2</calculatedColumnFormula>
    </tableColumn>
    <tableColumn id="41" xr3:uid="{0B1D520E-71D6-4424-80B7-AA14D691185A}" name="Deadtime Loss BoSync" dataDxfId="25">
      <calculatedColumnFormula>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calculatedColumnFormula>
    </tableColumn>
    <tableColumn id="42" xr3:uid="{68CD6D90-8D4A-4D4C-84EE-83FD8DAFEB36}" name="Total Sync Bo MOSFET Loss" dataDxfId="24">
      <calculatedColumnFormula>(Table25[[#This Row],[Deadtime Loss BoSync]]+Table25[[#This Row],[RDS(on) Loss BoSync]]*(1+RdsonBotTc*Ta-RdsonBotTc*25))/(1-Table25[[#This Row],[RDS(on) Loss BoSync]]*RdsonBotTc*ThetaJA_Q3)</calculatedColumnFormula>
    </tableColumn>
    <tableColumn id="43" xr3:uid="{0E1C48CE-9FCB-4E38-9ACE-14A3CE2D9EEE}" name="Q1/Q3 RDS(on) Loss @ D = 100%" dataDxfId="23">
      <calculatedColumnFormula>CHOOSE(Table25[[#This Row],[Mode Digit]], Rdson3*Table25[[#This Row],[Irms Lf]]^2, Rdson1*Table25[[#This Row],[Irms Lf]]^2, 0)</calculatedColumnFormula>
    </tableColumn>
    <tableColumn id="44" xr3:uid="{C78BCB94-4117-4343-A433-A99B4259D817}" name="Deadtime Loss ext D" dataDxfId="22">
      <calculatedColumnFormula>CHOOSE(Table25[[#This Row],[Mode Digit]], 2*Deadtime*Fsw*IF(VfdSky_Q2&gt;0,VfdSky_Q2,0)*Table25[[#This Row],[Iout]], 2*Deadtime*Fsw*IF(VfdSky_Q3&gt;0,VfdSky_Q3,0)*Table25[[#This Row],[Iin]], 2*Deadtime*Fsw*IF(VfdSky_Q2&gt;0,VfdSky_Q2,0)*Table25[[#This Row],[Iout]]+2*Deadtime*Fsw*IF(VfdSky_Q3&gt;0,VfdSky_Q3,0)*Table25[[#This Row],[Iin]])</calculatedColumnFormula>
    </tableColumn>
    <tableColumn id="7" xr3:uid="{EA099F83-4FEF-4F67-BADF-9CD7985F2453}" name="Reverse Recovery Loss MOSFET D BUCK" dataDxfId="21">
      <calculatedColumnFormula>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calculatedColumnFormula>
    </tableColumn>
    <tableColumn id="45" xr3:uid="{B4E0CE74-A9F7-49D3-9C3C-10A1EC3A8882}" name="Reverse Recovery Loss MOSFET D BOOST" dataDxfId="20">
      <calculatedColumnFormula>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calculatedColumnFormula>
    </tableColumn>
    <tableColumn id="46" xr3:uid="{60C860BE-AE0D-4359-A898-B7EA8CB215B6}" name="Isense Shunt Loss" dataDxfId="19">
      <calculatedColumnFormula>CHOOSE(Table25[[#This Row],[Mode Digit]], Rs*Table25[[#This Row],[Irms BuSync]]^2, Rs*Table25[[#This Row],[Irms BoCtlr]]^2, Rs*(Table25[[#This Row],[Irms BuSync]]^2+Table25[[#This Row],[Irms BoCtlr]]^2))</calculatedColumnFormula>
    </tableColumn>
    <tableColumn id="47" xr3:uid="{FA5AA223-B608-47CC-A7EE-F8B989C8F751}" name="Iout Shunt Loss" dataDxfId="18">
      <calculatedColumnFormula>Rshunt/1000*Iout^2</calculatedColumnFormula>
    </tableColumn>
    <tableColumn id="48" xr3:uid="{B6F01CE8-42E5-4C3D-9797-21996EC095CC}" name="IQ Loss" dataDxfId="17">
      <calculatedColumnFormula>IF(Vout&gt;8, Iq*Vout, Iq*Table25[[#This Row],[Vin]])</calculatedColumnFormula>
    </tableColumn>
    <tableColumn id="49" xr3:uid="{8A0F2766-9E18-46C3-8615-36E01608D6C5}" name="Switching Current Loss" dataDxfId="16">
      <calculatedColumnFormula>CHOOSE(Table25[[#This Row],[Mode Digit]], (Qg_Q1+Qg_Q2)*Fsw, (Qg_Q3+Qg_Q4)*Fsw, (Qg_Q1+Qg_Q2+Qg_Q3+Qg_Q4)*Fsw)*IF(Vout&gt;8,  MIN( Table25[[#This Row],[Vin]], Vout), Table25[[#This Row],[Vin]])</calculatedColumnFormula>
    </tableColumn>
    <tableColumn id="50" xr3:uid="{D43A85DC-835F-470F-ABB6-F1AA7AD5D638}" name="Switching Current Diss" dataDxfId="15">
      <calculatedColumnFormula>(Vin-Vdd)*Fsw*(Qg_Q1+Qg_Q2)+(RdsonDRT+RdsonDRT2)*Fsw*Qg_Q1*Vdd/(RdsonDRT+2*Rgate1+RdsonDRT2)+(RdsonDRB+RdsonDRB2)*Fsw*Qg_Q2*Vdd/(RdsonDRB+2*Rgate2+RdsonDRB2)</calculatedColumnFormula>
    </tableColumn>
    <tableColumn id="51" xr3:uid="{1B7890F5-F560-4E00-9E67-8E95A7CC5F97}" name="Total IC Loss" dataDxfId="14">
      <calculatedColumnFormula>Table25[[#This Row],[IQ Loss]]+Table25[[#This Row],[Switching Current Loss]]</calculatedColumnFormula>
    </tableColumn>
    <tableColumn id="52" xr3:uid="{6A7068E6-DAE9-43DF-8992-4CF3636903D8}" name="Total Loss" dataDxfId="13">
      <calculatedColumnFormula>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calculatedColumnFormula>
    </tableColumn>
    <tableColumn id="53" xr3:uid="{6C7589F9-8400-4690-BD1B-7E9470B59FC8}" name="Pout" dataDxfId="12">
      <calculatedColumnFormula>Vout*Table25[[#This Row],[Iout]]</calculatedColumnFormula>
    </tableColumn>
    <tableColumn id="54" xr3:uid="{2E85528E-9BD2-4269-8609-8DE6DE8063F5}" name="EFF, h" dataDxfId="11">
      <calculatedColumnFormula>Table25[[#This Row],[Pout]]/(Table25[[#This Row],[Pout]]+Table25[[#This Row],[Total Loss]])</calculatedColumnFormula>
    </tableColumn>
    <tableColumn id="55" xr3:uid="{32CBED55-5901-4565-848B-3A1D05C0FE26}" name="'CONTROL'' MOSFET Temp Rise" dataDxfId="10">
      <calculatedColumnFormula>IF(Table25[[#This Row],[Vin]]&gt;Vout,ThetaJA_Q1*(Table25[[#This Row],[Total Control Bu MOSFET Loss]]+Table25[[#This Row],[Reverse Recovery Loss MOSFET D BUCK]]),ThetaJA_Q4*(Table25[[#This Row],[Total Control Bo MOSFET Loss]]+Table25[[#This Row],[Reverse Recovery Loss MOSFET D BOOST]]))</calculatedColumnFormula>
    </tableColumn>
    <tableColumn id="56" xr3:uid="{6FF3670E-D200-4F18-B209-1DE5F3C82D29}" name="'SYNC'' MOSFET Temp Rise" dataDxfId="9">
      <calculatedColumnFormula>IF(Table25[[#This Row],[Vin]]&gt;Vout, Table25[[#This Row],[Total Sync Bu MOSFET Loss]]*ThetaJA_Q2, ThetaJA_Q3*Table25[[#This Row],[Total Sync Bo MOSFET Loss]])</calculatedColumnFormula>
    </tableColumn>
    <tableColumn id="57" xr3:uid="{F4B9DAD8-8A70-490F-A5F3-CEF4C4CADEE2}" name="Column14" dataDxfId="8"/>
    <tableColumn id="58" xr3:uid="{39CCDE23-E690-46F6-84AB-41917604BA39}" name="h" dataDxfId="7">
      <calculatedColumnFormula>Table25[[#This Row],[EFF, h]]*100</calculatedColumnFormula>
    </tableColumn>
    <tableColumn id="59" xr3:uid="{584EAF54-2CAB-43A2-8B9B-898D8006B309}" name="Inductor Cu &amp; Core Loss" dataDxfId="6">
      <calculatedColumnFormula>Table25[[#This Row],[Total Inductor Loss]]</calculatedColumnFormula>
    </tableColumn>
    <tableColumn id="60" xr3:uid="{56E6A3EC-4B35-4C25-ADAA-C2DF09BA8B60}" name="Total MOSFET Loss" dataDxfId="5">
      <calculatedColumnFormula>Table25[[#This Row],[Total Control Bu MOSFET Loss]]+Table25[[#This Row],[Total Sync Bu MOSFET Loss]]+Table25[[#This Row],[Total Control Bo MOSFET Loss]]+Table25[[#This Row],[Total Sync Bo MOSFET Loss]]+Table25[[#This Row],[Reverse Recovery Loss MOSFET D BUCK]]+Table25[[#This Row],[Reverse Recovery Loss MOSFET D BOOST]]</calculatedColumnFormula>
    </tableColumn>
    <tableColumn id="61" xr3:uid="{C1A8DEE6-A547-4B4E-9DE0-C0EFB1A13BBB}" name="Buck ''Control'' MOSFET Loss" dataDxfId="4">
      <calculatedColumnFormula xml:space="preserve"> Table25[[#This Row],[Total Control Bu MOSFET Loss]]+Table25[[#This Row],[Reverse Recovery Loss MOSFET D BUCK]]*0.66</calculatedColumnFormula>
    </tableColumn>
    <tableColumn id="62" xr3:uid="{4E86831D-8C04-4FF0-9223-20730B03E277}" name="Buck ''SYNC'' MOSFET Loss" dataDxfId="3">
      <calculatedColumnFormula>Table25[[#This Row],[Total Sync Bu MOSFET Loss]]+Table25[[#This Row],[Reverse Recovery Loss MOSFET D BUCK]]*0.33</calculatedColumnFormula>
    </tableColumn>
    <tableColumn id="71" xr3:uid="{66A36E1F-F3B7-456E-B78B-07CEB18E042E}" name="Boost ''Control'' MOSFET Loss" dataDxfId="2">
      <calculatedColumnFormula xml:space="preserve"> Table25[[#This Row],[Total Control Bo MOSFET Loss]]+Table25[[#This Row],[Reverse Recovery Loss MOSFET D BOOST]]*0.66</calculatedColumnFormula>
    </tableColumn>
    <tableColumn id="70" xr3:uid="{DCB6821D-C355-47EE-9E92-6FCEF45706B2}" name="Boost ''SYNC'' MOSFET Loss" dataDxfId="1">
      <calculatedColumnFormula xml:space="preserve"> Table25[[#This Row],[Total Sync Bo MOSFET Loss]]+Table25[[#This Row],[Reverse Recovery Loss MOSFET D BOOST]]*0.33</calculatedColumnFormula>
    </tableColumn>
    <tableColumn id="63" xr3:uid="{3C46915E-3FDF-41D3-B1F0-BE71A9492D76}" name="Shunt Loss" dataDxfId="0">
      <calculatedColumnFormula>Table25[[#This Row],[Isense Shunt Loss]]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printerSettings" Target="../printerSettings/printerSettings1.bin"/><Relationship Id="rId21" Type="http://schemas.openxmlformats.org/officeDocument/2006/relationships/comments" Target="../comments1.xm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hyperlink" Target="http://www.ti.com/product/lm51770" TargetMode="External"/><Relationship Id="rId16" Type="http://schemas.openxmlformats.org/officeDocument/2006/relationships/ctrlProp" Target="../ctrlProps/ctrlProp10.xml"/><Relationship Id="rId20" Type="http://schemas.openxmlformats.org/officeDocument/2006/relationships/ctrlProp" Target="../ctrlProps/ctrlProp14.xml"/><Relationship Id="rId1" Type="http://schemas.openxmlformats.org/officeDocument/2006/relationships/hyperlink" Target="http://www.ti.com/pol" TargetMode="External"/><Relationship Id="rId6" Type="http://schemas.openxmlformats.org/officeDocument/2006/relationships/vmlDrawing" Target="../drawings/vmlDrawing2.vml"/><Relationship Id="rId11" Type="http://schemas.openxmlformats.org/officeDocument/2006/relationships/ctrlProp" Target="../ctrlProps/ctrlProp5.xml"/><Relationship Id="rId5" Type="http://schemas.openxmlformats.org/officeDocument/2006/relationships/vmlDrawing" Target="../drawings/vmlDrawing1.vml"/><Relationship Id="rId15" Type="http://schemas.openxmlformats.org/officeDocument/2006/relationships/ctrlProp" Target="../ctrlProps/ctrlProp9.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package" Target="../embeddings/Microsoft_Visio_Drawing2.vsdx"/><Relationship Id="rId3" Type="http://schemas.openxmlformats.org/officeDocument/2006/relationships/vmlDrawing" Target="../drawings/vmlDrawing4.vml"/><Relationship Id="rId7" Type="http://schemas.openxmlformats.org/officeDocument/2006/relationships/image" Target="../media/image17.emf"/><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package" Target="../embeddings/Microsoft_Visio_Drawing1.vsdx"/><Relationship Id="rId11" Type="http://schemas.openxmlformats.org/officeDocument/2006/relationships/image" Target="../media/image19.emf"/><Relationship Id="rId5" Type="http://schemas.openxmlformats.org/officeDocument/2006/relationships/image" Target="../media/image16.emf"/><Relationship Id="rId10" Type="http://schemas.openxmlformats.org/officeDocument/2006/relationships/package" Target="../embeddings/Microsoft_Visio_Drawing3.vsdx"/><Relationship Id="rId4" Type="http://schemas.openxmlformats.org/officeDocument/2006/relationships/package" Target="../embeddings/Microsoft_Visio_Drawing.vsdx"/><Relationship Id="rId9" Type="http://schemas.openxmlformats.org/officeDocument/2006/relationships/image" Target="../media/image18.emf"/></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trlProp" Target="../ctrlProps/ctrlProp1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AI475"/>
  <sheetViews>
    <sheetView tabSelected="1" zoomScale="115" zoomScaleNormal="115" zoomScaleSheetLayoutView="100" workbookViewId="0">
      <selection activeCell="E18" sqref="E18"/>
    </sheetView>
  </sheetViews>
  <sheetFormatPr defaultColWidth="9.125" defaultRowHeight="13.6" x14ac:dyDescent="0.25"/>
  <cols>
    <col min="1" max="1" width="8.25" style="156" customWidth="1"/>
    <col min="2" max="2" width="8.25" style="44" customWidth="1"/>
    <col min="3" max="3" width="13.625" style="44" customWidth="1"/>
    <col min="4" max="4" width="8.25" style="44" customWidth="1"/>
    <col min="5" max="5" width="6.875" style="44" customWidth="1"/>
    <col min="6" max="6" width="7.625" style="44" customWidth="1"/>
    <col min="7" max="7" width="6.625" style="44" customWidth="1"/>
    <col min="8" max="8" width="11.875" style="44" customWidth="1"/>
    <col min="9" max="9" width="9.125" style="44"/>
    <col min="10" max="10" width="12.375" style="44" bestFit="1" customWidth="1"/>
    <col min="11" max="11" width="9.625" style="44" bestFit="1" customWidth="1"/>
    <col min="12" max="12" width="12.375" style="44" bestFit="1" customWidth="1"/>
    <col min="13" max="13" width="17.625" style="44" customWidth="1"/>
    <col min="14" max="14" width="9" style="44" customWidth="1"/>
    <col min="15" max="15" width="6.625" style="44" customWidth="1"/>
    <col min="16" max="16" width="5.25" style="44" customWidth="1"/>
    <col min="17" max="17" width="36" style="44" customWidth="1"/>
    <col min="18" max="18" width="3.125" style="44" customWidth="1"/>
    <col min="19" max="19" width="10" style="44" bestFit="1" customWidth="1"/>
    <col min="20" max="16384" width="9.125" style="44"/>
  </cols>
  <sheetData>
    <row r="1" spans="1:18" ht="47.25" customHeight="1" x14ac:dyDescent="0.25">
      <c r="A1" s="722" t="str">
        <f>CONCATENATE(Device," DC/DC Controller Design Tool")</f>
        <v>LM51770 DC/DC Controller Design Tool</v>
      </c>
      <c r="B1" s="723"/>
      <c r="C1" s="723"/>
      <c r="D1" s="723"/>
      <c r="E1" s="723"/>
      <c r="F1" s="723"/>
      <c r="G1" s="723"/>
      <c r="H1" s="723"/>
      <c r="I1" s="723"/>
      <c r="J1" s="723"/>
      <c r="K1" s="723"/>
      <c r="L1" s="723"/>
      <c r="M1" s="723"/>
      <c r="N1" s="723"/>
      <c r="O1" s="723"/>
      <c r="P1" s="723"/>
      <c r="Q1" s="723"/>
      <c r="R1" s="405"/>
    </row>
    <row r="2" spans="1:18" ht="14.1" customHeight="1" x14ac:dyDescent="0.5">
      <c r="A2" s="408"/>
      <c r="B2" s="409"/>
      <c r="C2" s="409"/>
      <c r="D2" s="409"/>
      <c r="E2" s="409"/>
      <c r="F2" s="409"/>
      <c r="G2" s="409"/>
      <c r="H2" s="409"/>
      <c r="I2" s="409"/>
      <c r="J2" s="409"/>
      <c r="K2" s="409"/>
      <c r="L2" s="409"/>
      <c r="M2" s="409"/>
      <c r="N2" s="409"/>
      <c r="O2" s="491"/>
      <c r="P2" s="491"/>
      <c r="Q2" s="409"/>
      <c r="R2" s="405"/>
    </row>
    <row r="3" spans="1:18" ht="16" customHeight="1" x14ac:dyDescent="0.5">
      <c r="A3" s="410" t="s">
        <v>291</v>
      </c>
      <c r="B3" s="411"/>
      <c r="C3" s="419" t="s">
        <v>292</v>
      </c>
      <c r="D3" s="412"/>
      <c r="E3" s="83"/>
      <c r="F3" s="414" t="s">
        <v>175</v>
      </c>
      <c r="G3" s="415"/>
      <c r="H3" s="409"/>
      <c r="I3" s="409"/>
      <c r="J3" s="617" t="str">
        <f>HYPERLINK(CONCATENATE("http://www.ti.com/product/",LOWER(Device)))</f>
        <v>http://www.ti.com/product/lm51770</v>
      </c>
      <c r="K3" s="416"/>
      <c r="L3" s="405"/>
      <c r="M3" s="405"/>
      <c r="N3" s="492" t="s">
        <v>55</v>
      </c>
      <c r="O3" s="492"/>
      <c r="P3" s="492"/>
      <c r="Q3" s="405" t="s">
        <v>197</v>
      </c>
      <c r="R3" s="405"/>
    </row>
    <row r="4" spans="1:18" ht="13.6" customHeight="1" thickBot="1" x14ac:dyDescent="0.3">
      <c r="A4" s="531"/>
      <c r="B4" s="532"/>
      <c r="C4" s="413"/>
      <c r="D4" s="413"/>
      <c r="E4" s="413"/>
      <c r="F4" s="413"/>
      <c r="G4" s="413"/>
      <c r="H4" s="413"/>
      <c r="I4" s="413"/>
      <c r="J4" s="532" t="str">
        <f>CONCATENATE("Version: ",Licenses!B5)</f>
        <v>Version: 1.0.1</v>
      </c>
      <c r="K4" s="413"/>
      <c r="L4" s="413"/>
      <c r="M4" s="417"/>
      <c r="N4" s="417"/>
      <c r="O4" s="417"/>
      <c r="P4" s="417"/>
      <c r="Q4" s="418"/>
      <c r="R4" s="405"/>
    </row>
    <row r="5" spans="1:18" ht="20.05" customHeight="1" thickBot="1" x14ac:dyDescent="0.4">
      <c r="A5" s="151" t="s">
        <v>276</v>
      </c>
      <c r="B5" s="82"/>
      <c r="C5" s="45"/>
      <c r="D5" s="45"/>
      <c r="E5" s="47"/>
      <c r="F5" s="45"/>
      <c r="G5" s="74"/>
      <c r="H5" s="48"/>
      <c r="I5" s="48"/>
      <c r="J5" s="48"/>
      <c r="K5" s="48"/>
      <c r="L5" s="48"/>
      <c r="M5" s="48"/>
      <c r="N5" s="48"/>
      <c r="O5" s="48"/>
      <c r="P5" s="48"/>
      <c r="Q5" s="73"/>
      <c r="R5" s="405"/>
    </row>
    <row r="6" spans="1:18" ht="13.6" customHeight="1" x14ac:dyDescent="0.25">
      <c r="A6" s="197"/>
      <c r="B6" s="198"/>
      <c r="C6" s="199"/>
      <c r="D6" s="200" t="s">
        <v>652</v>
      </c>
      <c r="E6" s="535">
        <v>6</v>
      </c>
      <c r="F6" s="201" t="s">
        <v>0</v>
      </c>
      <c r="G6" s="92"/>
      <c r="H6" s="90"/>
      <c r="I6" s="48"/>
      <c r="J6" s="48"/>
      <c r="K6" s="48"/>
      <c r="L6" s="48"/>
      <c r="M6" s="48"/>
      <c r="N6" s="48"/>
      <c r="O6" s="48"/>
      <c r="P6" s="48"/>
      <c r="Q6" s="73"/>
      <c r="R6" s="405"/>
    </row>
    <row r="7" spans="1:18" ht="13.6" customHeight="1" x14ac:dyDescent="0.25">
      <c r="A7" s="188"/>
      <c r="B7" s="187"/>
      <c r="C7" s="189"/>
      <c r="D7" s="202" t="s">
        <v>653</v>
      </c>
      <c r="E7" s="203">
        <v>12</v>
      </c>
      <c r="F7" s="217" t="s">
        <v>0</v>
      </c>
      <c r="G7" s="92"/>
      <c r="H7" s="90"/>
      <c r="I7" s="48"/>
      <c r="J7" s="48"/>
      <c r="K7" s="48"/>
      <c r="L7" s="48"/>
      <c r="M7" s="48"/>
      <c r="N7" s="48"/>
      <c r="O7" s="48"/>
      <c r="P7" s="48"/>
      <c r="Q7" s="73"/>
      <c r="R7" s="405"/>
    </row>
    <row r="8" spans="1:18" ht="13.6" customHeight="1" x14ac:dyDescent="0.25">
      <c r="A8" s="188"/>
      <c r="B8" s="187"/>
      <c r="C8" s="189"/>
      <c r="D8" s="202" t="s">
        <v>654</v>
      </c>
      <c r="E8" s="203">
        <v>36</v>
      </c>
      <c r="F8" s="204" t="s">
        <v>0</v>
      </c>
      <c r="G8" s="92"/>
      <c r="H8" s="90"/>
      <c r="I8" s="48"/>
      <c r="J8" s="48"/>
      <c r="K8" s="48"/>
      <c r="L8" s="48"/>
      <c r="M8" s="48"/>
      <c r="N8" s="48"/>
      <c r="O8" s="48"/>
      <c r="P8" s="48"/>
      <c r="Q8" s="73"/>
      <c r="R8" s="405"/>
    </row>
    <row r="9" spans="1:18" ht="13.6" customHeight="1" x14ac:dyDescent="0.25">
      <c r="A9" s="188"/>
      <c r="B9" s="187"/>
      <c r="C9" s="189"/>
      <c r="D9" s="202" t="s">
        <v>326</v>
      </c>
      <c r="E9" s="203">
        <v>16</v>
      </c>
      <c r="F9" s="204" t="s">
        <v>0</v>
      </c>
      <c r="G9" s="92"/>
      <c r="H9" s="90"/>
      <c r="I9" s="48"/>
      <c r="J9" s="48"/>
      <c r="K9" s="48"/>
      <c r="L9" s="48"/>
      <c r="M9" s="48"/>
      <c r="N9" s="48"/>
      <c r="O9" s="48"/>
      <c r="P9" s="48"/>
      <c r="Q9" s="73"/>
      <c r="R9" s="405"/>
    </row>
    <row r="10" spans="1:18" ht="13.6" customHeight="1" x14ac:dyDescent="0.25">
      <c r="A10" s="188"/>
      <c r="B10" s="187"/>
      <c r="C10" s="189"/>
      <c r="D10" s="202" t="s">
        <v>782</v>
      </c>
      <c r="E10" s="203">
        <v>8</v>
      </c>
      <c r="F10" s="204" t="s">
        <v>2</v>
      </c>
      <c r="G10" s="92"/>
      <c r="H10" s="90"/>
      <c r="I10" s="48"/>
      <c r="J10" s="48"/>
      <c r="K10" s="48"/>
      <c r="L10" s="48"/>
      <c r="M10" s="48"/>
      <c r="N10" s="48"/>
      <c r="O10" s="48"/>
      <c r="P10" s="48"/>
      <c r="Q10" s="73"/>
      <c r="R10" s="405"/>
    </row>
    <row r="11" spans="1:18" ht="13.6" customHeight="1" x14ac:dyDescent="0.25">
      <c r="A11" s="188"/>
      <c r="B11" s="187"/>
      <c r="C11" s="189"/>
      <c r="D11" s="202" t="s">
        <v>96</v>
      </c>
      <c r="E11" s="205">
        <v>398</v>
      </c>
      <c r="F11" s="204" t="s">
        <v>3</v>
      </c>
      <c r="G11" s="92"/>
      <c r="H11" s="90"/>
      <c r="I11" s="48"/>
      <c r="J11" s="48"/>
      <c r="K11" s="48"/>
      <c r="L11" s="48"/>
      <c r="M11" s="48"/>
      <c r="N11" s="48"/>
      <c r="O11" s="48"/>
      <c r="P11" s="48"/>
      <c r="Q11" s="73"/>
      <c r="R11" s="405"/>
    </row>
    <row r="12" spans="1:18" ht="17.350000000000001" customHeight="1" thickBot="1" x14ac:dyDescent="0.3">
      <c r="A12" s="193"/>
      <c r="B12" s="194"/>
      <c r="C12" s="195"/>
      <c r="D12" s="195" t="s">
        <v>328</v>
      </c>
      <c r="E12" s="195">
        <f>IF('Standard Value Calculator'!O4/1000&gt;288, "N/A",'Standard Value Calculator'!O4/1000)</f>
        <v>75</v>
      </c>
      <c r="F12" s="196" t="s">
        <v>54</v>
      </c>
      <c r="G12" s="92"/>
      <c r="H12" s="90"/>
      <c r="I12" s="48"/>
      <c r="J12" s="48"/>
      <c r="K12" s="48"/>
      <c r="L12" s="48"/>
      <c r="M12" s="48"/>
      <c r="N12" s="48"/>
      <c r="O12" s="48"/>
      <c r="P12" s="48"/>
      <c r="Q12" s="73"/>
      <c r="R12" s="405"/>
    </row>
    <row r="13" spans="1:18" ht="14.1" customHeight="1" x14ac:dyDescent="0.25">
      <c r="A13" s="89"/>
      <c r="B13" s="90"/>
      <c r="C13" s="90"/>
      <c r="D13" s="95"/>
      <c r="E13" s="96"/>
      <c r="F13" s="90"/>
      <c r="G13" s="92"/>
      <c r="H13" s="90"/>
      <c r="I13" s="48"/>
      <c r="J13" s="48"/>
      <c r="K13" s="48"/>
      <c r="L13" s="48"/>
      <c r="M13" s="48"/>
      <c r="N13" s="48"/>
      <c r="O13" s="48"/>
      <c r="P13" s="48"/>
      <c r="Q13" s="73"/>
      <c r="R13" s="405"/>
    </row>
    <row r="14" spans="1:18" ht="19.55" customHeight="1" thickBot="1" x14ac:dyDescent="0.35">
      <c r="A14" s="151" t="s">
        <v>275</v>
      </c>
      <c r="B14" s="97"/>
      <c r="C14" s="98"/>
      <c r="D14" s="98"/>
      <c r="E14" s="99"/>
      <c r="F14" s="98"/>
      <c r="G14" s="92"/>
      <c r="H14" s="90"/>
      <c r="I14" s="48"/>
      <c r="J14" s="48"/>
      <c r="K14" s="48"/>
      <c r="L14" s="48"/>
      <c r="M14" s="48"/>
      <c r="N14" s="48"/>
      <c r="O14" s="48"/>
      <c r="P14" s="48"/>
      <c r="Q14" s="73"/>
      <c r="R14" s="405"/>
    </row>
    <row r="15" spans="1:18" ht="13.6" customHeight="1" x14ac:dyDescent="0.25">
      <c r="A15" s="152"/>
      <c r="B15" s="140"/>
      <c r="C15" s="536"/>
      <c r="D15" s="536" t="s">
        <v>286</v>
      </c>
      <c r="E15" s="539">
        <f>Lopt_Limit*1000000</f>
        <v>1.8291457286432162</v>
      </c>
      <c r="F15" s="141" t="s">
        <v>265</v>
      </c>
      <c r="G15" s="92"/>
      <c r="H15" s="90"/>
      <c r="I15" s="48"/>
      <c r="J15" s="48"/>
      <c r="K15" s="48"/>
      <c r="L15" s="48"/>
      <c r="M15" s="48"/>
      <c r="N15" s="48"/>
      <c r="O15" s="48"/>
      <c r="P15" s="48"/>
      <c r="Q15" s="73"/>
      <c r="R15" s="405"/>
    </row>
    <row r="16" spans="1:18" ht="13.6" customHeight="1" x14ac:dyDescent="0.3">
      <c r="A16" s="89"/>
      <c r="B16" s="90"/>
      <c r="C16" s="87"/>
      <c r="D16" s="117" t="s">
        <v>327</v>
      </c>
      <c r="E16" s="91">
        <v>1.8</v>
      </c>
      <c r="F16" s="122" t="s">
        <v>265</v>
      </c>
      <c r="G16" s="92"/>
      <c r="H16" s="90"/>
      <c r="I16" s="48"/>
      <c r="J16" s="48"/>
      <c r="K16" s="48"/>
      <c r="L16" s="48"/>
      <c r="M16" s="48"/>
      <c r="N16" s="48"/>
      <c r="O16" s="48"/>
      <c r="P16" s="48"/>
      <c r="Q16" s="73"/>
      <c r="R16" s="405"/>
    </row>
    <row r="17" spans="1:18" ht="13.6" customHeight="1" x14ac:dyDescent="0.25">
      <c r="A17" s="89"/>
      <c r="B17" s="90"/>
      <c r="C17" s="87"/>
      <c r="D17" s="117" t="s">
        <v>287</v>
      </c>
      <c r="E17" s="91">
        <v>3.2</v>
      </c>
      <c r="F17" s="122" t="s">
        <v>53</v>
      </c>
      <c r="G17" s="92"/>
      <c r="H17" s="90"/>
      <c r="I17" s="48"/>
      <c r="J17" s="48"/>
      <c r="K17" s="48"/>
      <c r="L17" s="48"/>
      <c r="M17" s="48"/>
      <c r="N17" s="48"/>
      <c r="O17" s="48"/>
      <c r="P17" s="48"/>
      <c r="Q17" s="73"/>
      <c r="R17" s="405"/>
    </row>
    <row r="18" spans="1:18" ht="13.6" customHeight="1" x14ac:dyDescent="0.25">
      <c r="A18" s="188"/>
      <c r="B18" s="187"/>
      <c r="C18" s="189"/>
      <c r="D18" s="189" t="s">
        <v>655</v>
      </c>
      <c r="E18" s="190">
        <f>'Variable Management'!B87</f>
        <v>5.2817577294044264</v>
      </c>
      <c r="F18" s="191" t="s">
        <v>280</v>
      </c>
      <c r="G18" s="92"/>
      <c r="H18" s="90"/>
      <c r="I18" s="48"/>
      <c r="J18" s="48"/>
      <c r="K18" s="48"/>
      <c r="L18" s="48"/>
      <c r="M18" s="48"/>
      <c r="N18" s="48"/>
      <c r="O18" s="48"/>
      <c r="P18" s="48"/>
      <c r="Q18" s="73"/>
      <c r="R18" s="405"/>
    </row>
    <row r="19" spans="1:18" ht="13.6" customHeight="1" x14ac:dyDescent="0.25">
      <c r="A19" s="188"/>
      <c r="B19" s="187"/>
      <c r="C19" s="189"/>
      <c r="D19" s="189" t="s">
        <v>656</v>
      </c>
      <c r="E19" s="190">
        <f>'Variable Management'!B88</f>
        <v>4.2290777716166232</v>
      </c>
      <c r="F19" s="191" t="s">
        <v>280</v>
      </c>
      <c r="G19" s="92"/>
      <c r="H19" s="90"/>
      <c r="I19" s="48"/>
      <c r="J19" s="48"/>
      <c r="K19" s="48"/>
      <c r="L19" s="48"/>
      <c r="M19" s="48"/>
      <c r="N19" s="48"/>
      <c r="O19" s="48"/>
      <c r="P19" s="48"/>
      <c r="Q19" s="73"/>
      <c r="R19" s="405"/>
    </row>
    <row r="20" spans="1:18" ht="13.6" customHeight="1" x14ac:dyDescent="0.25">
      <c r="A20" s="188"/>
      <c r="B20" s="187"/>
      <c r="C20" s="189"/>
      <c r="D20" s="189" t="s">
        <v>657</v>
      </c>
      <c r="E20" s="190">
        <f>'Variable Management'!B89</f>
        <v>12.432043485718992</v>
      </c>
      <c r="F20" s="191" t="s">
        <v>280</v>
      </c>
      <c r="G20" s="92"/>
      <c r="H20" s="90"/>
      <c r="I20" s="48"/>
      <c r="J20" s="48"/>
      <c r="K20" s="48"/>
      <c r="L20" s="48"/>
      <c r="M20" s="48"/>
      <c r="N20" s="48"/>
      <c r="O20" s="48"/>
      <c r="P20" s="48"/>
      <c r="Q20" s="73"/>
      <c r="R20" s="405"/>
    </row>
    <row r="21" spans="1:18" ht="14.95" customHeight="1" x14ac:dyDescent="0.25">
      <c r="A21" s="188"/>
      <c r="B21" s="187"/>
      <c r="C21" s="189"/>
      <c r="D21" s="189" t="s">
        <v>377</v>
      </c>
      <c r="E21" s="192">
        <f>'Variable Management'!B99*100</f>
        <v>23.520327388754087</v>
      </c>
      <c r="F21" s="191" t="s">
        <v>185</v>
      </c>
      <c r="G21" s="92"/>
      <c r="H21" s="90"/>
      <c r="I21" s="48"/>
      <c r="J21" s="48"/>
      <c r="K21" s="48"/>
      <c r="L21" s="48"/>
      <c r="M21" s="48"/>
      <c r="N21" s="48"/>
      <c r="O21" s="48"/>
      <c r="P21" s="48"/>
      <c r="Q21" s="73"/>
      <c r="R21" s="405"/>
    </row>
    <row r="22" spans="1:18" ht="14.95" customHeight="1" x14ac:dyDescent="0.25">
      <c r="A22" s="188"/>
      <c r="B22" s="187"/>
      <c r="C22" s="189"/>
      <c r="D22" s="189" t="s">
        <v>378</v>
      </c>
      <c r="E22" s="192">
        <f>'Variable Management'!B100*100</f>
        <v>37.665223903460557</v>
      </c>
      <c r="F22" s="191" t="s">
        <v>185</v>
      </c>
      <c r="G22" s="92"/>
      <c r="H22" s="90"/>
      <c r="I22" s="48"/>
      <c r="J22" s="48"/>
      <c r="K22" s="48"/>
      <c r="L22" s="48"/>
      <c r="M22" s="48"/>
      <c r="N22" s="48"/>
      <c r="O22" s="48"/>
      <c r="P22" s="48"/>
      <c r="Q22" s="73"/>
      <c r="R22" s="405"/>
    </row>
    <row r="23" spans="1:18" ht="15.8" customHeight="1" x14ac:dyDescent="0.25">
      <c r="A23" s="537"/>
      <c r="B23" s="187"/>
      <c r="C23" s="189"/>
      <c r="D23" s="189" t="s">
        <v>379</v>
      </c>
      <c r="E23" s="192">
        <f>'Variable Management'!B101*100</f>
        <v>155.40054357148739</v>
      </c>
      <c r="F23" s="191" t="s">
        <v>185</v>
      </c>
      <c r="G23" s="92"/>
      <c r="H23" s="90"/>
      <c r="I23" s="48"/>
      <c r="J23" s="48"/>
      <c r="K23" s="48"/>
      <c r="L23" s="48"/>
      <c r="M23" s="48"/>
      <c r="N23" s="48"/>
      <c r="O23" s="48"/>
      <c r="P23" s="48"/>
      <c r="Q23" s="73"/>
      <c r="R23" s="405"/>
    </row>
    <row r="24" spans="1:18" ht="15.8" customHeight="1" x14ac:dyDescent="0.25">
      <c r="A24" s="550"/>
      <c r="B24" s="551"/>
      <c r="C24" s="456"/>
      <c r="D24" s="456" t="s">
        <v>988</v>
      </c>
      <c r="E24" s="552">
        <f>R_CS</f>
        <v>10</v>
      </c>
      <c r="F24" s="553" t="s">
        <v>167</v>
      </c>
      <c r="G24" s="92"/>
      <c r="H24" s="90"/>
      <c r="I24" s="48"/>
      <c r="J24" s="48"/>
      <c r="K24" s="48"/>
      <c r="L24" s="48"/>
      <c r="M24" s="48"/>
      <c r="N24" s="48"/>
      <c r="O24" s="48"/>
      <c r="P24" s="48"/>
      <c r="Q24" s="73"/>
      <c r="R24" s="405"/>
    </row>
    <row r="25" spans="1:18" ht="15.8" customHeight="1" thickBot="1" x14ac:dyDescent="0.3">
      <c r="A25" s="554"/>
      <c r="B25" s="555"/>
      <c r="C25" s="556"/>
      <c r="D25" s="556" t="s">
        <v>989</v>
      </c>
      <c r="E25" s="557">
        <f>C_CS_ideal*1000000000000</f>
        <v>180</v>
      </c>
      <c r="F25" s="558" t="s">
        <v>32</v>
      </c>
      <c r="G25" s="92"/>
      <c r="H25" s="90"/>
      <c r="I25" s="48"/>
      <c r="J25" s="48"/>
      <c r="K25" s="48"/>
      <c r="L25" s="48"/>
      <c r="M25" s="48"/>
      <c r="N25" s="48"/>
      <c r="O25" s="48"/>
      <c r="P25" s="48"/>
      <c r="Q25" s="73"/>
      <c r="R25" s="405"/>
    </row>
    <row r="26" spans="1:18" ht="14.1" customHeight="1" x14ac:dyDescent="0.25">
      <c r="A26" s="89"/>
      <c r="B26" s="90"/>
      <c r="C26" s="90"/>
      <c r="D26" s="90"/>
      <c r="E26" s="90"/>
      <c r="F26" s="90"/>
      <c r="G26" s="92"/>
      <c r="H26" s="90"/>
      <c r="I26" s="48"/>
      <c r="J26" s="48"/>
      <c r="K26" s="48"/>
      <c r="L26" s="48"/>
      <c r="M26" s="48"/>
      <c r="N26" s="48"/>
      <c r="O26" s="48"/>
      <c r="P26" s="48"/>
      <c r="Q26" s="73"/>
      <c r="R26" s="405"/>
    </row>
    <row r="27" spans="1:18" ht="20.05" customHeight="1" thickBot="1" x14ac:dyDescent="0.35">
      <c r="A27" s="151" t="s">
        <v>599</v>
      </c>
      <c r="B27" s="97"/>
      <c r="C27" s="90"/>
      <c r="D27" s="90"/>
      <c r="E27" s="90"/>
      <c r="F27" s="90"/>
      <c r="G27" s="92"/>
      <c r="H27" s="90"/>
      <c r="I27" s="48"/>
      <c r="J27" s="48"/>
      <c r="K27" s="48"/>
      <c r="L27" s="48"/>
      <c r="M27" s="48"/>
      <c r="N27" s="48"/>
      <c r="O27" s="48"/>
      <c r="P27" s="48"/>
      <c r="Q27" s="73"/>
      <c r="R27" s="405"/>
    </row>
    <row r="28" spans="1:18" ht="14.95" customHeight="1" x14ac:dyDescent="0.25">
      <c r="A28" s="197"/>
      <c r="B28" s="118"/>
      <c r="C28" s="118"/>
      <c r="D28" s="529" t="s">
        <v>947</v>
      </c>
      <c r="E28" s="530">
        <v>20</v>
      </c>
      <c r="F28" s="126" t="s">
        <v>185</v>
      </c>
      <c r="G28" s="92"/>
      <c r="H28" s="90"/>
      <c r="I28" s="48"/>
      <c r="J28" s="48"/>
      <c r="K28" s="48"/>
      <c r="L28" s="48"/>
      <c r="M28" s="48"/>
      <c r="N28" s="48"/>
      <c r="O28" s="48"/>
      <c r="P28" s="48"/>
      <c r="Q28" s="73"/>
      <c r="R28" s="405"/>
    </row>
    <row r="29" spans="1:18" ht="14.95" customHeight="1" x14ac:dyDescent="0.25">
      <c r="A29" s="188"/>
      <c r="B29" s="90"/>
      <c r="C29" s="90"/>
      <c r="D29" s="87" t="s">
        <v>381</v>
      </c>
      <c r="E29" s="236">
        <f>Rs_ideal*1000</f>
        <v>1.6389860139860142</v>
      </c>
      <c r="F29" s="127" t="s">
        <v>53</v>
      </c>
      <c r="G29" s="92"/>
      <c r="H29" s="90"/>
      <c r="I29" s="48"/>
      <c r="J29" s="48"/>
      <c r="K29" s="48"/>
      <c r="L29" s="48"/>
      <c r="M29" s="48"/>
      <c r="N29" s="48"/>
      <c r="O29" s="48"/>
      <c r="P29" s="48"/>
      <c r="Q29" s="73"/>
      <c r="R29" s="405"/>
    </row>
    <row r="30" spans="1:18" ht="13.75" customHeight="1" x14ac:dyDescent="0.3">
      <c r="A30" s="188"/>
      <c r="B30" s="90"/>
      <c r="C30" s="90"/>
      <c r="D30" s="117" t="s">
        <v>380</v>
      </c>
      <c r="E30" s="91">
        <v>1.3</v>
      </c>
      <c r="F30" s="122" t="s">
        <v>53</v>
      </c>
      <c r="G30" s="92"/>
      <c r="H30" s="90"/>
      <c r="I30" s="48"/>
      <c r="J30" s="48"/>
      <c r="K30" s="48"/>
      <c r="L30" s="48"/>
      <c r="M30" s="48"/>
      <c r="N30" s="48"/>
      <c r="O30" s="48"/>
      <c r="P30" s="48"/>
      <c r="Q30" s="73"/>
      <c r="R30" s="405"/>
    </row>
    <row r="31" spans="1:18" ht="13.6" customHeight="1" x14ac:dyDescent="0.35">
      <c r="A31" s="188"/>
      <c r="B31" s="90"/>
      <c r="C31" s="90"/>
      <c r="D31" s="436" t="s">
        <v>967</v>
      </c>
      <c r="E31" s="448">
        <f>'Variable Management'!B159</f>
        <v>44.230769230769234</v>
      </c>
      <c r="F31" s="127" t="s">
        <v>2</v>
      </c>
      <c r="G31" s="92"/>
      <c r="H31" s="90"/>
      <c r="I31" s="48"/>
      <c r="J31" s="48"/>
      <c r="K31" s="48"/>
      <c r="L31" s="48"/>
      <c r="M31" s="48"/>
      <c r="N31" s="48"/>
      <c r="O31" s="48"/>
      <c r="P31" s="48"/>
      <c r="Q31" s="73"/>
      <c r="R31" s="405"/>
    </row>
    <row r="32" spans="1:18" ht="13.6" customHeight="1" x14ac:dyDescent="0.35">
      <c r="A32" s="537"/>
      <c r="B32" s="90"/>
      <c r="C32" s="90"/>
      <c r="D32" s="436" t="s">
        <v>959</v>
      </c>
      <c r="E32" s="448">
        <f>Ipeak_inductor_max</f>
        <v>25.097019215579405</v>
      </c>
      <c r="F32" s="127" t="s">
        <v>2</v>
      </c>
      <c r="G32" s="92"/>
      <c r="H32" s="90"/>
      <c r="I32" s="48"/>
      <c r="J32" s="48"/>
      <c r="K32" s="48"/>
      <c r="L32" s="48"/>
      <c r="M32" s="48"/>
      <c r="N32" s="48"/>
      <c r="O32" s="48"/>
      <c r="P32" s="48"/>
      <c r="Q32" s="73"/>
      <c r="R32" s="405"/>
    </row>
    <row r="33" spans="1:18" ht="13.75" customHeight="1" x14ac:dyDescent="0.25">
      <c r="A33" s="188"/>
      <c r="B33" s="90"/>
      <c r="C33" s="90"/>
      <c r="D33" s="436" t="s">
        <v>966</v>
      </c>
      <c r="E33" s="437">
        <f>'Variable Management'!B162</f>
        <v>1.1303418803418803</v>
      </c>
      <c r="F33" s="127" t="s">
        <v>118</v>
      </c>
      <c r="G33" s="92"/>
      <c r="H33" s="90"/>
      <c r="I33" s="48"/>
      <c r="J33" s="48"/>
      <c r="K33" s="48"/>
      <c r="L33" s="48"/>
      <c r="M33" s="48"/>
      <c r="N33" s="48"/>
      <c r="O33" s="48"/>
      <c r="P33" s="48"/>
      <c r="Q33" s="73"/>
      <c r="R33" s="405"/>
    </row>
    <row r="34" spans="1:18" ht="13.75" customHeight="1" x14ac:dyDescent="0.25">
      <c r="A34" s="188"/>
      <c r="B34" s="90"/>
      <c r="C34" s="87"/>
      <c r="D34" s="525" t="s">
        <v>1028</v>
      </c>
      <c r="E34" s="478">
        <f>'Variable Management'!B165/1000</f>
        <v>69.8</v>
      </c>
      <c r="F34" s="526" t="s">
        <v>54</v>
      </c>
      <c r="G34" s="92"/>
      <c r="H34" s="90"/>
      <c r="I34" s="48"/>
      <c r="J34" s="48"/>
      <c r="K34" s="48"/>
      <c r="L34" s="48"/>
      <c r="M34" s="48"/>
      <c r="N34" s="48"/>
      <c r="O34" s="48"/>
      <c r="P34" s="48"/>
      <c r="Q34" s="73"/>
      <c r="R34" s="405"/>
    </row>
    <row r="35" spans="1:18" ht="13.75" customHeight="1" x14ac:dyDescent="0.3">
      <c r="A35" s="188"/>
      <c r="B35" s="90"/>
      <c r="C35" s="90"/>
      <c r="D35" s="117" t="s">
        <v>837</v>
      </c>
      <c r="E35" s="91">
        <f>'Variable Management'!B165/1000</f>
        <v>69.8</v>
      </c>
      <c r="F35" s="122" t="s">
        <v>54</v>
      </c>
      <c r="G35" s="92"/>
      <c r="H35" s="90"/>
      <c r="I35" s="48"/>
      <c r="J35" s="48"/>
      <c r="K35" s="48"/>
      <c r="L35" s="48"/>
      <c r="M35" s="48"/>
      <c r="N35" s="48"/>
      <c r="O35" s="48"/>
      <c r="P35" s="48"/>
      <c r="Q35" s="73"/>
      <c r="R35" s="405"/>
    </row>
    <row r="36" spans="1:18" ht="13.6" customHeight="1" x14ac:dyDescent="0.35">
      <c r="A36" s="188"/>
      <c r="B36" s="90"/>
      <c r="C36" s="76"/>
      <c r="D36" s="235" t="s">
        <v>333</v>
      </c>
      <c r="E36" s="190">
        <f>'Variable Management'!B151</f>
        <v>13.230651740500456</v>
      </c>
      <c r="F36" s="191" t="s">
        <v>2</v>
      </c>
      <c r="G36" s="92"/>
      <c r="H36" s="90"/>
      <c r="I36" s="48"/>
      <c r="J36" s="48"/>
      <c r="K36" s="48"/>
      <c r="L36" s="48"/>
      <c r="M36" s="48"/>
      <c r="N36" s="48"/>
      <c r="O36" s="48"/>
      <c r="P36" s="48"/>
      <c r="Q36" s="73"/>
      <c r="R36" s="405"/>
    </row>
    <row r="37" spans="1:18" ht="14.95" customHeight="1" x14ac:dyDescent="0.35">
      <c r="A37" s="188"/>
      <c r="B37" s="90"/>
      <c r="C37" s="87" t="s">
        <v>661</v>
      </c>
      <c r="D37" s="235" t="s">
        <v>334</v>
      </c>
      <c r="E37" s="190">
        <f>'Variable Management'!B152</f>
        <v>27.170256583880604</v>
      </c>
      <c r="F37" s="191" t="s">
        <v>2</v>
      </c>
      <c r="G37" s="92"/>
      <c r="H37" s="90"/>
      <c r="I37" s="48"/>
      <c r="J37" s="48"/>
      <c r="K37" s="48"/>
      <c r="L37" s="48"/>
      <c r="M37" s="48"/>
      <c r="N37" s="48"/>
      <c r="O37" s="48"/>
      <c r="P37" s="48"/>
      <c r="Q37" s="73"/>
      <c r="R37" s="405"/>
    </row>
    <row r="38" spans="1:18" ht="15.8" customHeight="1" thickBot="1" x14ac:dyDescent="0.4">
      <c r="A38" s="212"/>
      <c r="B38" s="143"/>
      <c r="C38" s="143"/>
      <c r="D38" s="512" t="s">
        <v>335</v>
      </c>
      <c r="E38" s="513">
        <f>'Variable Management'!B153</f>
        <v>32.245516718678971</v>
      </c>
      <c r="F38" s="214" t="s">
        <v>2</v>
      </c>
      <c r="G38" s="92"/>
      <c r="H38" s="90"/>
      <c r="I38" s="48"/>
      <c r="J38" s="48"/>
      <c r="K38" s="48"/>
      <c r="L38" s="48"/>
      <c r="M38" s="48"/>
      <c r="N38" s="48"/>
      <c r="O38" s="48"/>
      <c r="P38" s="48"/>
      <c r="Q38" s="73"/>
      <c r="R38" s="405"/>
    </row>
    <row r="39" spans="1:18" ht="14.1" customHeight="1" x14ac:dyDescent="0.25">
      <c r="A39" s="89"/>
      <c r="B39" s="90"/>
      <c r="C39" s="100"/>
      <c r="D39" s="100"/>
      <c r="E39" s="100"/>
      <c r="F39" s="100"/>
      <c r="G39" s="90"/>
      <c r="H39" s="90"/>
      <c r="I39" s="48"/>
      <c r="J39" s="48"/>
      <c r="K39" s="48"/>
      <c r="L39" s="48"/>
      <c r="M39" s="48"/>
      <c r="N39" s="48"/>
      <c r="O39" s="48"/>
      <c r="P39" s="48"/>
      <c r="Q39" s="73"/>
      <c r="R39" s="405"/>
    </row>
    <row r="40" spans="1:18" ht="19.05" thickBot="1" x14ac:dyDescent="0.35">
      <c r="A40" s="151" t="s">
        <v>168</v>
      </c>
      <c r="B40" s="97"/>
      <c r="C40" s="98"/>
      <c r="D40" s="98"/>
      <c r="E40" s="99"/>
      <c r="F40" s="98"/>
      <c r="G40" s="90"/>
      <c r="H40" s="90"/>
      <c r="I40" s="90"/>
      <c r="J40" s="90"/>
      <c r="K40" s="90"/>
      <c r="L40" s="90"/>
      <c r="M40" s="90"/>
      <c r="N40" s="90"/>
      <c r="O40" s="90"/>
      <c r="P40" s="90"/>
      <c r="Q40" s="73"/>
      <c r="R40" s="405"/>
    </row>
    <row r="41" spans="1:18" ht="15.8" customHeight="1" x14ac:dyDescent="0.3">
      <c r="A41" s="138"/>
      <c r="B41" s="129"/>
      <c r="C41" s="119"/>
      <c r="D41" s="130" t="s">
        <v>752</v>
      </c>
      <c r="E41" s="131">
        <v>150</v>
      </c>
      <c r="F41" s="121" t="s">
        <v>281</v>
      </c>
      <c r="G41" s="90"/>
      <c r="H41" s="90"/>
      <c r="I41" s="90"/>
      <c r="J41" s="90"/>
      <c r="K41" s="90"/>
      <c r="L41" s="90"/>
      <c r="M41" s="90"/>
      <c r="N41" s="90"/>
      <c r="O41" s="90"/>
      <c r="P41" s="90"/>
      <c r="Q41" s="73"/>
      <c r="R41" s="405"/>
    </row>
    <row r="42" spans="1:18" ht="14.1" customHeight="1" x14ac:dyDescent="0.25">
      <c r="A42" s="89"/>
      <c r="B42" s="90"/>
      <c r="C42" s="87"/>
      <c r="D42" s="87" t="s">
        <v>545</v>
      </c>
      <c r="E42" s="431">
        <f>'Variable Management'!B197</f>
        <v>84.508123670470837</v>
      </c>
      <c r="F42" s="127" t="s">
        <v>266</v>
      </c>
      <c r="G42" s="90"/>
      <c r="H42" s="90"/>
      <c r="I42" s="90"/>
      <c r="J42" s="90"/>
      <c r="K42" s="90"/>
      <c r="L42" s="90"/>
      <c r="M42" s="90"/>
      <c r="N42" s="90"/>
      <c r="O42" s="90"/>
      <c r="P42" s="90"/>
      <c r="Q42" s="73"/>
      <c r="R42" s="405"/>
    </row>
    <row r="43" spans="1:18" ht="14.1" customHeight="1" x14ac:dyDescent="0.3">
      <c r="A43" s="89"/>
      <c r="B43" s="90"/>
      <c r="C43" s="87"/>
      <c r="D43" s="86" t="s">
        <v>329</v>
      </c>
      <c r="E43" s="93">
        <v>130</v>
      </c>
      <c r="F43" s="122" t="s">
        <v>266</v>
      </c>
      <c r="G43" s="92"/>
      <c r="H43" s="90"/>
      <c r="I43" s="90"/>
      <c r="J43" s="90"/>
      <c r="K43" s="90"/>
      <c r="L43" s="90"/>
      <c r="M43" s="90"/>
      <c r="N43" s="90"/>
      <c r="O43" s="90"/>
      <c r="P43" s="90"/>
      <c r="Q43" s="73"/>
      <c r="R43" s="405"/>
    </row>
    <row r="44" spans="1:18" ht="14.1" customHeight="1" x14ac:dyDescent="0.25">
      <c r="A44" s="89"/>
      <c r="B44" s="90"/>
      <c r="C44" s="87"/>
      <c r="D44" s="87" t="s">
        <v>288</v>
      </c>
      <c r="E44" s="430">
        <f>'Variable Management'!B201</f>
        <v>6.5613283167590133</v>
      </c>
      <c r="F44" s="127" t="s">
        <v>53</v>
      </c>
      <c r="G44" s="92"/>
      <c r="H44" s="90"/>
      <c r="I44" s="90"/>
      <c r="J44" s="90"/>
      <c r="K44" s="90"/>
      <c r="L44" s="90"/>
      <c r="M44" s="90"/>
      <c r="N44" s="90"/>
      <c r="O44" s="90"/>
      <c r="P44" s="90"/>
      <c r="Q44" s="73"/>
      <c r="R44" s="405"/>
    </row>
    <row r="45" spans="1:18" ht="14.1" customHeight="1" x14ac:dyDescent="0.25">
      <c r="A45" s="89"/>
      <c r="B45" s="90"/>
      <c r="C45" s="87"/>
      <c r="D45" s="86" t="s">
        <v>289</v>
      </c>
      <c r="E45" s="93">
        <v>2</v>
      </c>
      <c r="F45" s="122" t="s">
        <v>53</v>
      </c>
      <c r="G45" s="92"/>
      <c r="H45" s="90"/>
      <c r="I45" s="90"/>
      <c r="J45" s="90"/>
      <c r="K45" s="90"/>
      <c r="L45" s="90"/>
      <c r="M45" s="90"/>
      <c r="N45" s="90"/>
      <c r="O45" s="90"/>
      <c r="P45" s="90"/>
      <c r="Q45" s="73"/>
      <c r="R45" s="405"/>
    </row>
    <row r="46" spans="1:18" ht="14.1" customHeight="1" x14ac:dyDescent="0.35">
      <c r="A46" s="89"/>
      <c r="B46" s="90"/>
      <c r="C46" s="90"/>
      <c r="D46" s="87" t="s">
        <v>746</v>
      </c>
      <c r="E46" s="116">
        <f>Vripple2*1000</f>
        <v>113.50937346592789</v>
      </c>
      <c r="F46" s="127" t="s">
        <v>282</v>
      </c>
      <c r="G46" s="92"/>
      <c r="H46" s="90"/>
      <c r="I46" s="90"/>
      <c r="J46" s="90"/>
      <c r="K46" s="90"/>
      <c r="L46" s="90"/>
      <c r="M46" s="90"/>
      <c r="N46" s="90"/>
      <c r="O46" s="90"/>
      <c r="P46" s="90"/>
      <c r="Q46" s="73"/>
      <c r="R46" s="405"/>
    </row>
    <row r="47" spans="1:18" ht="14.1" customHeight="1" thickBot="1" x14ac:dyDescent="0.3">
      <c r="A47" s="123"/>
      <c r="B47" s="124"/>
      <c r="C47" s="124"/>
      <c r="D47" s="88" t="s">
        <v>747</v>
      </c>
      <c r="E47" s="128">
        <f>'Variable Management'!B192</f>
        <v>10.327955589886445</v>
      </c>
      <c r="F47" s="125" t="s">
        <v>174</v>
      </c>
      <c r="G47" s="94"/>
      <c r="H47" s="90"/>
      <c r="I47" s="90"/>
      <c r="J47" s="90"/>
      <c r="K47" s="90"/>
      <c r="L47" s="90"/>
      <c r="M47" s="90"/>
      <c r="N47" s="90"/>
      <c r="O47" s="90"/>
      <c r="P47" s="90"/>
      <c r="Q47" s="73"/>
      <c r="R47" s="405"/>
    </row>
    <row r="48" spans="1:18" ht="17.149999999999999" customHeight="1" x14ac:dyDescent="0.25">
      <c r="A48" s="153"/>
      <c r="B48" s="100"/>
      <c r="C48" s="100"/>
      <c r="D48" s="100"/>
      <c r="E48" s="100"/>
      <c r="F48" s="100"/>
      <c r="G48" s="90"/>
      <c r="H48" s="90"/>
      <c r="I48" s="90"/>
      <c r="J48" s="90"/>
      <c r="K48" s="90"/>
      <c r="L48" s="90"/>
      <c r="M48" s="90"/>
      <c r="N48" s="90"/>
      <c r="O48" s="90"/>
      <c r="P48" s="90"/>
      <c r="Q48" s="73"/>
      <c r="R48" s="405"/>
    </row>
    <row r="49" spans="1:18" ht="19.05" thickBot="1" x14ac:dyDescent="0.35">
      <c r="A49" s="151" t="s">
        <v>169</v>
      </c>
      <c r="B49" s="97"/>
      <c r="C49" s="98"/>
      <c r="D49" s="98"/>
      <c r="E49" s="90"/>
      <c r="F49" s="90"/>
      <c r="G49" s="90"/>
      <c r="H49" s="90"/>
      <c r="I49" s="90"/>
      <c r="J49" s="90"/>
      <c r="K49" s="90"/>
      <c r="L49" s="90"/>
      <c r="M49" s="90"/>
      <c r="N49" s="90"/>
      <c r="O49" s="90"/>
      <c r="P49" s="90"/>
      <c r="Q49" s="73"/>
      <c r="R49" s="405"/>
    </row>
    <row r="50" spans="1:18" ht="14.1" customHeight="1" x14ac:dyDescent="0.3">
      <c r="A50" s="138"/>
      <c r="B50" s="129"/>
      <c r="C50" s="118"/>
      <c r="D50" s="120" t="s">
        <v>753</v>
      </c>
      <c r="E50" s="131">
        <v>180</v>
      </c>
      <c r="F50" s="121" t="s">
        <v>281</v>
      </c>
      <c r="G50" s="90"/>
      <c r="H50" s="90"/>
      <c r="I50" s="90"/>
      <c r="J50" s="90"/>
      <c r="K50" s="90"/>
      <c r="L50" s="90"/>
      <c r="M50" s="90"/>
      <c r="N50" s="90"/>
      <c r="O50" s="90"/>
      <c r="P50" s="90"/>
      <c r="Q50" s="73"/>
      <c r="R50" s="405"/>
    </row>
    <row r="51" spans="1:18" ht="14.1" customHeight="1" x14ac:dyDescent="0.25">
      <c r="A51" s="101"/>
      <c r="B51" s="98"/>
      <c r="C51" s="90"/>
      <c r="D51" s="87" t="s">
        <v>754</v>
      </c>
      <c r="E51" s="430">
        <f>'Variable Management'!B217</f>
        <v>27.917364600781685</v>
      </c>
      <c r="F51" s="127" t="s">
        <v>266</v>
      </c>
      <c r="G51" s="90"/>
      <c r="H51" s="90"/>
      <c r="I51" s="90"/>
      <c r="J51" s="90"/>
      <c r="K51" s="90"/>
      <c r="L51" s="90"/>
      <c r="M51" s="90"/>
      <c r="N51" s="90"/>
      <c r="O51" s="90"/>
      <c r="P51" s="90"/>
      <c r="Q51" s="73"/>
      <c r="R51" s="405"/>
    </row>
    <row r="52" spans="1:18" ht="14.1" customHeight="1" x14ac:dyDescent="0.3">
      <c r="A52" s="89"/>
      <c r="B52" s="90"/>
      <c r="C52" s="98"/>
      <c r="D52" s="117" t="s">
        <v>330</v>
      </c>
      <c r="E52" s="91">
        <v>100</v>
      </c>
      <c r="F52" s="122" t="s">
        <v>266</v>
      </c>
      <c r="G52" s="90"/>
      <c r="H52" s="90"/>
      <c r="I52" s="90"/>
      <c r="J52" s="90"/>
      <c r="K52" s="90"/>
      <c r="L52" s="90"/>
      <c r="M52" s="90"/>
      <c r="N52" s="90"/>
      <c r="O52" s="90"/>
      <c r="P52" s="90"/>
      <c r="Q52" s="73"/>
      <c r="R52" s="405"/>
    </row>
    <row r="53" spans="1:18" ht="14.1" customHeight="1" x14ac:dyDescent="0.25">
      <c r="A53" s="89"/>
      <c r="B53" s="90"/>
      <c r="C53" s="98"/>
      <c r="D53" s="87" t="s">
        <v>288</v>
      </c>
      <c r="E53" s="430">
        <f>'Variable Management'!B222</f>
        <v>9.1269376247095213</v>
      </c>
      <c r="F53" s="127" t="s">
        <v>53</v>
      </c>
      <c r="G53" s="90"/>
      <c r="H53" s="90"/>
      <c r="I53" s="90"/>
      <c r="J53" s="90"/>
      <c r="K53" s="90"/>
      <c r="L53" s="90"/>
      <c r="M53" s="90"/>
      <c r="N53" s="90"/>
      <c r="O53" s="90"/>
      <c r="P53" s="90"/>
      <c r="Q53" s="73" t="s">
        <v>210</v>
      </c>
      <c r="R53" s="405"/>
    </row>
    <row r="54" spans="1:18" ht="14.1" customHeight="1" x14ac:dyDescent="0.25">
      <c r="A54" s="89"/>
      <c r="B54" s="90"/>
      <c r="C54" s="98"/>
      <c r="D54" s="117" t="s">
        <v>290</v>
      </c>
      <c r="E54" s="91">
        <v>2</v>
      </c>
      <c r="F54" s="122" t="s">
        <v>53</v>
      </c>
      <c r="G54" s="90"/>
      <c r="H54" s="90"/>
      <c r="I54" s="90"/>
      <c r="J54" s="90"/>
      <c r="K54" s="90"/>
      <c r="L54" s="90"/>
      <c r="M54" s="90"/>
      <c r="N54" s="90"/>
      <c r="O54" s="90"/>
      <c r="P54" s="90"/>
      <c r="Q54" s="73"/>
      <c r="R54" s="405"/>
    </row>
    <row r="55" spans="1:18" ht="14.1" customHeight="1" x14ac:dyDescent="0.35">
      <c r="A55" s="89"/>
      <c r="B55" s="90"/>
      <c r="C55" s="98"/>
      <c r="D55" s="87" t="s">
        <v>745</v>
      </c>
      <c r="E55" s="116">
        <f>Vinripple2*1000</f>
        <v>78.68329976712603</v>
      </c>
      <c r="F55" s="127" t="s">
        <v>282</v>
      </c>
      <c r="G55" s="90"/>
      <c r="H55" s="90"/>
      <c r="I55" s="90"/>
      <c r="J55" s="90"/>
      <c r="K55" s="90"/>
      <c r="L55" s="90"/>
      <c r="M55" s="90"/>
      <c r="N55" s="90"/>
      <c r="O55" s="90"/>
      <c r="P55" s="90"/>
      <c r="Q55" s="73"/>
      <c r="R55" s="405"/>
    </row>
    <row r="56" spans="1:18" ht="14.1" customHeight="1" thickBot="1" x14ac:dyDescent="0.3">
      <c r="A56" s="123"/>
      <c r="B56" s="124"/>
      <c r="C56" s="124"/>
      <c r="D56" s="88" t="s">
        <v>748</v>
      </c>
      <c r="E56" s="128">
        <f>'Variable Management'!B210</f>
        <v>3.9760051349203773</v>
      </c>
      <c r="F56" s="125" t="s">
        <v>174</v>
      </c>
      <c r="G56" s="90"/>
      <c r="H56" s="90"/>
      <c r="I56" s="90"/>
      <c r="J56" s="90"/>
      <c r="K56" s="90"/>
      <c r="L56" s="90"/>
      <c r="M56" s="90"/>
      <c r="N56" s="90"/>
      <c r="O56" s="90"/>
      <c r="P56" s="90"/>
      <c r="Q56" s="73"/>
      <c r="R56" s="405"/>
    </row>
    <row r="57" spans="1:18" ht="14.1" customHeight="1" x14ac:dyDescent="0.25">
      <c r="A57" s="89"/>
      <c r="B57" s="90"/>
      <c r="C57" s="90"/>
      <c r="D57" s="87"/>
      <c r="E57" s="90"/>
      <c r="F57" s="90"/>
      <c r="G57" s="90"/>
      <c r="H57" s="253"/>
      <c r="I57" s="48"/>
      <c r="J57" s="48"/>
      <c r="K57" s="48"/>
      <c r="L57" s="48"/>
      <c r="M57" s="48"/>
      <c r="N57" s="48"/>
      <c r="O57" s="48"/>
      <c r="P57" s="48"/>
      <c r="Q57" s="73"/>
      <c r="R57" s="405"/>
    </row>
    <row r="58" spans="1:18" ht="19.05" thickBot="1" x14ac:dyDescent="0.35">
      <c r="A58" s="151" t="s">
        <v>846</v>
      </c>
      <c r="B58" s="97"/>
      <c r="C58" s="90"/>
      <c r="D58" s="87"/>
      <c r="E58" s="90"/>
      <c r="F58" s="90"/>
      <c r="G58" s="90"/>
      <c r="H58" s="102"/>
      <c r="I58" s="76"/>
      <c r="J58" s="76"/>
      <c r="K58" s="76"/>
      <c r="L58" s="76"/>
      <c r="M58" s="76"/>
      <c r="N58" s="48"/>
      <c r="O58" s="48"/>
      <c r="P58" s="48"/>
      <c r="Q58" s="73"/>
      <c r="R58" s="405"/>
    </row>
    <row r="59" spans="1:18" ht="13.75" customHeight="1" x14ac:dyDescent="0.25">
      <c r="A59" s="197"/>
      <c r="B59" s="198"/>
      <c r="C59" s="198"/>
      <c r="D59" s="476" t="s">
        <v>866</v>
      </c>
      <c r="E59" s="477">
        <f>E43*0.000001*E9/(E10)*1000</f>
        <v>0.25999999999999995</v>
      </c>
      <c r="F59" s="215" t="s">
        <v>178</v>
      </c>
      <c r="G59" s="90"/>
      <c r="H59" s="100"/>
      <c r="I59" s="76"/>
      <c r="J59" s="76"/>
      <c r="K59" s="76"/>
      <c r="L59" s="76"/>
      <c r="M59" s="202" t="s">
        <v>817</v>
      </c>
      <c r="N59" s="494" t="str">
        <f>VIN_nom&amp;"V"</f>
        <v>12V</v>
      </c>
      <c r="O59" s="48"/>
      <c r="P59" s="48"/>
      <c r="Q59" s="73"/>
      <c r="R59" s="405"/>
    </row>
    <row r="60" spans="1:18" ht="13.75" customHeight="1" x14ac:dyDescent="0.25">
      <c r="A60" s="188"/>
      <c r="B60" s="187"/>
      <c r="C60" s="187"/>
      <c r="D60" s="207" t="s">
        <v>332</v>
      </c>
      <c r="E60" s="203">
        <v>1.8</v>
      </c>
      <c r="F60" s="204" t="s">
        <v>178</v>
      </c>
      <c r="G60" s="90"/>
      <c r="H60" s="100"/>
      <c r="I60" s="76"/>
      <c r="J60" s="76"/>
      <c r="K60" s="76"/>
      <c r="L60" s="76"/>
      <c r="M60" s="76"/>
      <c r="N60" s="48"/>
      <c r="O60" s="48"/>
      <c r="P60" s="48"/>
      <c r="Q60" s="73"/>
      <c r="R60" s="405"/>
    </row>
    <row r="61" spans="1:18" ht="13.75" customHeight="1" x14ac:dyDescent="0.25">
      <c r="A61" s="188"/>
      <c r="B61" s="187"/>
      <c r="C61" s="187"/>
      <c r="D61" s="189" t="s">
        <v>331</v>
      </c>
      <c r="E61" s="206">
        <f>Css_u*1000000000</f>
        <v>18</v>
      </c>
      <c r="F61" s="191" t="s">
        <v>170</v>
      </c>
      <c r="G61" s="90"/>
      <c r="H61" s="100"/>
      <c r="I61" s="76"/>
      <c r="J61" s="76"/>
      <c r="K61" s="76"/>
      <c r="L61" s="76"/>
      <c r="M61" s="76"/>
      <c r="N61" s="48"/>
      <c r="O61" s="48"/>
      <c r="P61" s="48"/>
      <c r="Q61" s="73"/>
      <c r="R61" s="405"/>
    </row>
    <row r="62" spans="1:18" ht="13.75" customHeight="1" x14ac:dyDescent="0.25">
      <c r="A62" s="188"/>
      <c r="B62" s="187"/>
      <c r="C62" s="187"/>
      <c r="D62" s="189"/>
      <c r="E62" s="206"/>
      <c r="F62" s="191"/>
      <c r="G62" s="90"/>
      <c r="H62" s="100"/>
      <c r="I62" s="76"/>
      <c r="J62" s="76"/>
      <c r="K62" s="76"/>
      <c r="L62" s="76"/>
      <c r="M62" s="76"/>
      <c r="N62" s="48"/>
      <c r="O62" s="48"/>
      <c r="P62" s="48"/>
      <c r="Q62" s="73"/>
      <c r="R62" s="405"/>
    </row>
    <row r="63" spans="1:18" ht="13.75" customHeight="1" x14ac:dyDescent="0.25">
      <c r="A63" s="188"/>
      <c r="B63" s="187"/>
      <c r="C63" s="187"/>
      <c r="D63" s="189" t="s">
        <v>867</v>
      </c>
      <c r="E63" s="478">
        <f>CFG</f>
        <v>7</v>
      </c>
      <c r="F63" s="204"/>
      <c r="G63" s="90"/>
      <c r="H63" s="90"/>
      <c r="I63" s="48"/>
      <c r="J63" s="46"/>
      <c r="K63" s="85"/>
      <c r="L63" s="48"/>
      <c r="M63" s="76"/>
      <c r="N63" s="48"/>
      <c r="O63" s="48"/>
      <c r="P63" s="48"/>
      <c r="Q63" s="73"/>
      <c r="R63" s="405"/>
    </row>
    <row r="64" spans="1:18" ht="13.75" customHeight="1" x14ac:dyDescent="0.25">
      <c r="A64" s="188"/>
      <c r="B64" s="187"/>
      <c r="C64" s="187"/>
      <c r="D64" s="189" t="s">
        <v>845</v>
      </c>
      <c r="E64" s="456">
        <f>INDEX('CFG Setting'!B4:B19,CFG,0)</f>
        <v>5.0999999999999996</v>
      </c>
      <c r="F64" s="191" t="s">
        <v>54</v>
      </c>
      <c r="G64" s="90"/>
      <c r="H64" s="90"/>
      <c r="I64" s="48"/>
      <c r="J64" s="46"/>
      <c r="K64" s="85"/>
      <c r="L64" s="48"/>
      <c r="M64" s="76"/>
      <c r="N64" s="48"/>
      <c r="O64" s="48"/>
      <c r="P64" s="48"/>
      <c r="Q64" s="73"/>
      <c r="R64" s="405"/>
    </row>
    <row r="65" spans="1:35" ht="13.75" customHeight="1" x14ac:dyDescent="0.25">
      <c r="A65" s="188"/>
      <c r="B65" s="187"/>
      <c r="C65" s="208"/>
      <c r="D65" s="209" t="s">
        <v>348</v>
      </c>
      <c r="E65" s="210">
        <v>4.5999999999999996</v>
      </c>
      <c r="F65" s="204" t="s">
        <v>0</v>
      </c>
      <c r="G65" s="90"/>
      <c r="H65" s="90"/>
      <c r="I65" s="48"/>
      <c r="J65" s="46"/>
      <c r="K65" s="85"/>
      <c r="L65" s="48"/>
      <c r="M65" s="76"/>
      <c r="N65" s="48"/>
      <c r="O65" s="48"/>
      <c r="P65" s="48"/>
      <c r="Q65" s="73"/>
      <c r="R65" s="405"/>
    </row>
    <row r="66" spans="1:35" ht="13.75" customHeight="1" x14ac:dyDescent="0.25">
      <c r="A66" s="188"/>
      <c r="B66" s="187"/>
      <c r="C66" s="187"/>
      <c r="D66" s="189" t="s">
        <v>313</v>
      </c>
      <c r="E66" s="210">
        <v>4.0250000000000004</v>
      </c>
      <c r="F66" s="204" t="s">
        <v>0</v>
      </c>
      <c r="G66" s="90"/>
      <c r="H66" s="90"/>
      <c r="I66" s="48"/>
      <c r="J66" s="46"/>
      <c r="K66" s="85"/>
      <c r="L66" s="48"/>
      <c r="M66" s="76"/>
      <c r="N66" s="48"/>
      <c r="O66" s="48"/>
      <c r="P66" s="48"/>
      <c r="Q66" s="73"/>
      <c r="R66" s="405"/>
    </row>
    <row r="67" spans="1:35" ht="13.75" customHeight="1" x14ac:dyDescent="0.25">
      <c r="A67" s="188"/>
      <c r="B67" s="187"/>
      <c r="C67" s="208"/>
      <c r="D67" s="209" t="s">
        <v>347</v>
      </c>
      <c r="E67" s="189">
        <f>'Variable Management'!G241</f>
        <v>32.4</v>
      </c>
      <c r="F67" s="191" t="s">
        <v>54</v>
      </c>
      <c r="G67" s="90"/>
      <c r="H67" s="90"/>
      <c r="I67" s="48"/>
      <c r="J67" s="46"/>
      <c r="K67" s="85"/>
      <c r="L67" s="48"/>
      <c r="M67" s="76"/>
      <c r="N67" s="48"/>
      <c r="O67" s="48"/>
      <c r="P67" s="48"/>
      <c r="Q67" s="73"/>
      <c r="R67" s="405"/>
    </row>
    <row r="68" spans="1:35" ht="14.95" customHeight="1" thickBot="1" x14ac:dyDescent="0.3">
      <c r="A68" s="212"/>
      <c r="B68" s="213"/>
      <c r="C68" s="213"/>
      <c r="D68" s="211" t="s">
        <v>346</v>
      </c>
      <c r="E68" s="211">
        <f>'Variable Management'!G242</f>
        <v>13.3</v>
      </c>
      <c r="F68" s="214" t="s">
        <v>54</v>
      </c>
      <c r="G68" s="90"/>
      <c r="H68" s="90"/>
      <c r="I68" s="48"/>
      <c r="J68" s="46"/>
      <c r="K68" s="85"/>
      <c r="L68" s="48"/>
      <c r="M68" s="76"/>
      <c r="N68" s="48"/>
      <c r="O68" s="48"/>
      <c r="P68" s="48"/>
      <c r="Q68" s="73"/>
      <c r="R68" s="405"/>
    </row>
    <row r="69" spans="1:35" ht="14.95" customHeight="1" x14ac:dyDescent="0.25">
      <c r="A69" s="188"/>
      <c r="B69" s="187"/>
      <c r="C69" s="90"/>
      <c r="D69" s="510" t="s">
        <v>907</v>
      </c>
      <c r="E69" s="190"/>
      <c r="F69" s="191"/>
      <c r="G69" s="90"/>
      <c r="H69" s="90"/>
      <c r="I69" s="48"/>
      <c r="J69" s="46"/>
      <c r="K69" s="85"/>
      <c r="L69" s="48"/>
      <c r="M69" s="76"/>
      <c r="N69" s="48"/>
      <c r="O69" s="48"/>
      <c r="P69" s="48"/>
      <c r="Q69" s="73"/>
      <c r="R69" s="405"/>
    </row>
    <row r="70" spans="1:35" ht="14.95" customHeight="1" x14ac:dyDescent="0.25">
      <c r="A70" s="188"/>
      <c r="B70" s="187"/>
      <c r="C70" s="90"/>
      <c r="D70" s="436" t="str">
        <f>CHOOSE(IMONLIM_select+1,"","Maximum Current to Monitor","Average Current Limit","Average Current Limit")</f>
        <v>Average Current Limit</v>
      </c>
      <c r="E70" s="210">
        <v>5</v>
      </c>
      <c r="F70" s="122" t="s">
        <v>2</v>
      </c>
      <c r="G70" s="90"/>
      <c r="H70" s="90"/>
      <c r="I70" s="48"/>
      <c r="J70" s="46"/>
      <c r="K70" s="85"/>
      <c r="L70" s="48"/>
      <c r="M70" s="76"/>
      <c r="N70" s="48"/>
      <c r="O70" s="48"/>
      <c r="P70" s="48"/>
      <c r="Q70" s="73"/>
      <c r="R70" s="405"/>
    </row>
    <row r="71" spans="1:35" ht="14.3" customHeight="1" x14ac:dyDescent="0.25">
      <c r="A71" s="188"/>
      <c r="B71" s="187"/>
      <c r="C71" s="90"/>
      <c r="D71" s="436" t="str">
        <f>CHOOSE(IMONLIM_select+1,"","Maximum Voltage at IMONOUT","", "")</f>
        <v/>
      </c>
      <c r="E71" s="210" t="str">
        <f>CHOOSE(IMONLIM_select+1,"","1.5","5", "0")</f>
        <v>5</v>
      </c>
      <c r="F71" s="122" t="s">
        <v>0</v>
      </c>
      <c r="G71" s="90"/>
      <c r="H71" s="90"/>
      <c r="I71" s="48"/>
      <c r="J71" s="46"/>
      <c r="K71" s="85"/>
      <c r="L71" s="48"/>
      <c r="M71" s="76"/>
      <c r="N71" s="48"/>
      <c r="O71" s="48"/>
      <c r="P71" s="48"/>
      <c r="Q71" s="73"/>
      <c r="R71" s="405"/>
    </row>
    <row r="72" spans="1:35" ht="14.95" customHeight="1" x14ac:dyDescent="0.35">
      <c r="A72" s="188"/>
      <c r="B72" s="187"/>
      <c r="C72" s="90"/>
      <c r="D72" s="87" t="s">
        <v>906</v>
      </c>
      <c r="E72" s="511">
        <f>Rshunt</f>
        <v>10</v>
      </c>
      <c r="F72" s="127" t="s">
        <v>53</v>
      </c>
      <c r="G72" s="90"/>
      <c r="H72" s="90"/>
      <c r="I72" s="48"/>
      <c r="J72" s="46"/>
      <c r="K72" s="85"/>
      <c r="L72" s="48"/>
      <c r="M72" s="76"/>
      <c r="N72" s="48"/>
      <c r="O72" s="48"/>
      <c r="P72" s="48"/>
      <c r="Q72" s="73"/>
      <c r="R72" s="405"/>
    </row>
    <row r="73" spans="1:35" ht="14.95" customHeight="1" x14ac:dyDescent="0.25">
      <c r="A73" s="188"/>
      <c r="B73" s="187"/>
      <c r="C73" s="90"/>
      <c r="D73" s="87" t="str">
        <f>CHOOSE(IMONLIM_select+1,"","IMONOUT Resistance, RIMON","SYNC pin during startup", "SYNC pin during startup")</f>
        <v>SYNC pin during startup</v>
      </c>
      <c r="E73" s="511" t="str">
        <f>CHOOSE(IMONLIM_select+1,"",'Variable Management'!B274/1000,"High", "Low")</f>
        <v>High</v>
      </c>
      <c r="F73" s="127" t="s">
        <v>54</v>
      </c>
      <c r="G73" s="90"/>
      <c r="H73" s="90"/>
      <c r="I73" s="48"/>
      <c r="J73" s="46"/>
      <c r="K73" s="85"/>
      <c r="L73" s="48"/>
      <c r="M73" s="76"/>
      <c r="N73" s="48"/>
      <c r="O73" s="48"/>
      <c r="P73" s="48"/>
      <c r="Q73" s="73"/>
      <c r="R73" s="405"/>
    </row>
    <row r="74" spans="1:35" ht="14.95" customHeight="1" x14ac:dyDescent="0.25">
      <c r="A74" s="188"/>
      <c r="B74" s="187"/>
      <c r="C74" s="90"/>
      <c r="D74" s="87"/>
      <c r="E74" s="87"/>
      <c r="F74" s="603"/>
      <c r="G74" s="90"/>
      <c r="H74" s="90"/>
      <c r="I74" s="48"/>
      <c r="J74" s="46"/>
      <c r="K74" s="85"/>
      <c r="L74" s="48"/>
      <c r="M74" s="76"/>
      <c r="N74" s="48"/>
      <c r="O74" s="48"/>
      <c r="P74" s="48"/>
      <c r="Q74" s="73"/>
      <c r="R74" s="405"/>
    </row>
    <row r="75" spans="1:35" ht="14.95" customHeight="1" thickBot="1" x14ac:dyDescent="0.3">
      <c r="A75" s="212"/>
      <c r="B75" s="213"/>
      <c r="C75" s="143"/>
      <c r="D75" s="514"/>
      <c r="E75" s="514"/>
      <c r="F75" s="604"/>
      <c r="G75" s="90"/>
      <c r="H75" s="90"/>
      <c r="I75" s="48"/>
      <c r="J75" s="46"/>
      <c r="K75" s="85"/>
      <c r="L75" s="48"/>
      <c r="M75" s="76"/>
      <c r="N75" s="48"/>
      <c r="O75" s="48"/>
      <c r="P75" s="48"/>
      <c r="Q75" s="73"/>
      <c r="R75" s="405"/>
    </row>
    <row r="76" spans="1:35" ht="14.95" customHeight="1" x14ac:dyDescent="0.25">
      <c r="A76" s="188"/>
      <c r="B76" s="187"/>
      <c r="C76" s="187"/>
      <c r="D76" s="189"/>
      <c r="E76" s="189"/>
      <c r="F76" s="187"/>
      <c r="G76" s="90"/>
      <c r="H76" s="90"/>
      <c r="I76" s="48"/>
      <c r="J76" s="46"/>
      <c r="K76" s="85"/>
      <c r="L76" s="48"/>
      <c r="M76" s="76"/>
      <c r="N76" s="48"/>
      <c r="O76" s="48"/>
      <c r="P76" s="48"/>
      <c r="Q76" s="73"/>
      <c r="R76" s="405"/>
    </row>
    <row r="77" spans="1:35" ht="19.55" customHeight="1" thickBot="1" x14ac:dyDescent="0.3">
      <c r="A77" s="151" t="s">
        <v>284</v>
      </c>
      <c r="B77" s="104"/>
      <c r="C77" s="98"/>
      <c r="D77" s="449"/>
      <c r="E77" s="99"/>
      <c r="F77" s="98"/>
      <c r="G77" s="90"/>
      <c r="H77" s="90"/>
      <c r="I77" s="90"/>
      <c r="J77" s="90"/>
      <c r="K77" s="90"/>
      <c r="L77" s="90"/>
      <c r="M77" s="90"/>
      <c r="N77" s="90"/>
      <c r="O77" s="90"/>
      <c r="P77" s="90"/>
      <c r="Q77" s="73"/>
      <c r="R77" s="404"/>
      <c r="S77" s="25"/>
      <c r="T77" s="25"/>
      <c r="W77" s="25"/>
      <c r="X77" s="25"/>
      <c r="Y77" s="25"/>
      <c r="AB77" s="25"/>
      <c r="AC77" s="25"/>
      <c r="AD77" s="25"/>
      <c r="AG77" s="25"/>
      <c r="AH77" s="25"/>
      <c r="AI77" s="25"/>
    </row>
    <row r="78" spans="1:35" ht="14.95" customHeight="1" x14ac:dyDescent="0.25">
      <c r="A78" s="197"/>
      <c r="B78" s="198"/>
      <c r="C78" s="199"/>
      <c r="D78" s="199" t="s">
        <v>350</v>
      </c>
      <c r="E78" s="300">
        <f>Fp_dominant</f>
        <v>1224.2687930145796</v>
      </c>
      <c r="F78" s="215" t="s">
        <v>10</v>
      </c>
      <c r="G78" s="90"/>
      <c r="H78" s="90"/>
      <c r="I78" s="90"/>
      <c r="J78" s="90"/>
      <c r="K78" s="90"/>
      <c r="L78" s="90"/>
      <c r="M78" s="90"/>
      <c r="N78" s="90"/>
      <c r="O78" s="90"/>
      <c r="P78" s="90"/>
      <c r="Q78" s="522"/>
      <c r="R78" s="404"/>
      <c r="S78" s="25"/>
      <c r="T78" s="25"/>
      <c r="W78" s="25"/>
      <c r="X78" s="25"/>
      <c r="Y78" s="25"/>
      <c r="AB78" s="25"/>
      <c r="AC78" s="25"/>
      <c r="AD78" s="25"/>
      <c r="AG78" s="25"/>
      <c r="AH78" s="25"/>
      <c r="AI78" s="25"/>
    </row>
    <row r="79" spans="1:35" ht="14.95" customHeight="1" x14ac:dyDescent="0.25">
      <c r="A79" s="188"/>
      <c r="B79" s="187"/>
      <c r="C79" s="189"/>
      <c r="D79" s="189" t="s">
        <v>349</v>
      </c>
      <c r="E79" s="192">
        <f>Fesr/1000</f>
        <v>612.13439650728981</v>
      </c>
      <c r="F79" s="191" t="s">
        <v>3</v>
      </c>
      <c r="G79" s="90"/>
      <c r="H79" s="90"/>
      <c r="I79" s="90"/>
      <c r="J79" s="90"/>
      <c r="K79" s="90"/>
      <c r="L79" s="90"/>
      <c r="M79" s="90"/>
      <c r="N79" s="90"/>
      <c r="O79" s="90"/>
      <c r="P79" s="90"/>
      <c r="Q79" s="73"/>
      <c r="R79" s="404"/>
      <c r="S79" s="25"/>
      <c r="T79" s="25"/>
      <c r="W79" s="25"/>
      <c r="X79" s="25"/>
      <c r="Y79" s="25"/>
      <c r="AB79" s="25"/>
      <c r="AC79" s="25"/>
      <c r="AD79" s="25"/>
      <c r="AG79" s="25"/>
      <c r="AH79" s="25"/>
      <c r="AI79" s="25"/>
    </row>
    <row r="80" spans="1:35" ht="14.95" customHeight="1" x14ac:dyDescent="0.25">
      <c r="A80" s="188"/>
      <c r="B80" s="187"/>
      <c r="C80" s="189"/>
      <c r="D80" s="189" t="s">
        <v>864</v>
      </c>
      <c r="E80" s="206">
        <f>IF(E6&lt;E9,Frhp_Vinmin/1000,"---")</f>
        <v>24.125312134570716</v>
      </c>
      <c r="F80" s="191" t="s">
        <v>3</v>
      </c>
      <c r="G80" s="90"/>
      <c r="H80" s="90"/>
      <c r="I80" s="90"/>
      <c r="J80" s="90"/>
      <c r="K80" s="90"/>
      <c r="L80" s="90"/>
      <c r="M80" s="90"/>
      <c r="N80" s="90"/>
      <c r="O80" s="90"/>
      <c r="P80" s="90"/>
      <c r="Q80" s="726"/>
      <c r="R80" s="404"/>
      <c r="S80" s="25"/>
      <c r="T80" s="25"/>
      <c r="W80" s="25"/>
      <c r="X80" s="25"/>
      <c r="Y80" s="25"/>
      <c r="AB80" s="25"/>
      <c r="AC80" s="25"/>
      <c r="AD80" s="25"/>
      <c r="AG80" s="25"/>
      <c r="AH80" s="25"/>
      <c r="AI80" s="25"/>
    </row>
    <row r="81" spans="1:35" ht="14.95" customHeight="1" x14ac:dyDescent="0.25">
      <c r="A81" s="188"/>
      <c r="B81" s="187"/>
      <c r="C81" s="189"/>
      <c r="D81" s="189" t="s">
        <v>863</v>
      </c>
      <c r="E81" s="206">
        <f>IF(E7&lt;E9,Frhp/1000,"---")</f>
        <v>98.816159236725326</v>
      </c>
      <c r="F81" s="191" t="s">
        <v>3</v>
      </c>
      <c r="G81" s="90"/>
      <c r="H81" s="90"/>
      <c r="I81" s="90"/>
      <c r="J81" s="90"/>
      <c r="K81" s="90"/>
      <c r="L81" s="90"/>
      <c r="M81" s="90"/>
      <c r="N81" s="90"/>
      <c r="O81" s="90"/>
      <c r="P81" s="90"/>
      <c r="Q81" s="726"/>
      <c r="R81" s="404"/>
      <c r="S81" s="25"/>
      <c r="T81" s="25"/>
      <c r="W81" s="25"/>
      <c r="X81" s="25"/>
      <c r="Y81" s="25"/>
      <c r="AB81" s="25"/>
      <c r="AC81" s="25"/>
      <c r="AD81" s="25"/>
      <c r="AG81" s="25"/>
      <c r="AH81" s="25"/>
      <c r="AI81" s="25"/>
    </row>
    <row r="82" spans="1:35" ht="14.95" customHeight="1" x14ac:dyDescent="0.25">
      <c r="A82" s="537"/>
      <c r="B82" s="187"/>
      <c r="C82" s="189"/>
      <c r="D82" s="189" t="s">
        <v>1047</v>
      </c>
      <c r="E82" s="206">
        <f>MIN(Fsw/1000*0.05,E80/4,IF(E81&lt;&gt;"---",E81/4,E80/4))</f>
        <v>6.0313280336426791</v>
      </c>
      <c r="F82" s="191" t="s">
        <v>3</v>
      </c>
      <c r="G82" s="90"/>
      <c r="H82" s="90"/>
      <c r="I82" s="90"/>
      <c r="J82" s="90"/>
      <c r="K82" s="90"/>
      <c r="L82" s="90"/>
      <c r="M82" s="90"/>
      <c r="N82" s="90"/>
      <c r="O82" s="90"/>
      <c r="P82" s="90"/>
      <c r="Q82" s="726"/>
      <c r="R82" s="404"/>
      <c r="S82" s="25"/>
      <c r="T82" s="25"/>
      <c r="W82" s="25"/>
      <c r="X82" s="25"/>
      <c r="Y82" s="25"/>
      <c r="AB82" s="25"/>
      <c r="AC82" s="25"/>
      <c r="AD82" s="25"/>
      <c r="AG82" s="25"/>
      <c r="AH82" s="25"/>
      <c r="AI82" s="25"/>
    </row>
    <row r="83" spans="1:35" ht="14.95" customHeight="1" x14ac:dyDescent="0.25">
      <c r="A83" s="188"/>
      <c r="B83" s="187"/>
      <c r="C83" s="189"/>
      <c r="D83" s="209" t="s">
        <v>505</v>
      </c>
      <c r="E83" s="216">
        <v>4</v>
      </c>
      <c r="F83" s="217" t="str">
        <f>"     kHz "</f>
        <v xml:space="preserve">     kHz </v>
      </c>
      <c r="G83" s="90"/>
      <c r="H83" s="90"/>
      <c r="I83" s="90"/>
      <c r="J83" s="90"/>
      <c r="K83" s="90"/>
      <c r="L83" s="90"/>
      <c r="M83" s="90"/>
      <c r="N83" s="90"/>
      <c r="O83" s="90"/>
      <c r="P83" s="90"/>
      <c r="Q83" s="726"/>
      <c r="R83" s="404"/>
      <c r="S83" s="25"/>
      <c r="T83" s="25"/>
      <c r="W83" s="25"/>
      <c r="X83" s="25"/>
      <c r="Y83" s="25"/>
      <c r="AB83" s="25"/>
      <c r="AC83" s="25"/>
      <c r="AD83" s="25"/>
      <c r="AG83" s="25"/>
      <c r="AH83" s="25"/>
      <c r="AI83" s="25"/>
    </row>
    <row r="84" spans="1:35" ht="14.95" customHeight="1" x14ac:dyDescent="0.25">
      <c r="A84" s="188"/>
      <c r="B84" s="187"/>
      <c r="C84" s="189"/>
      <c r="D84" s="189" t="s">
        <v>1048</v>
      </c>
      <c r="E84" s="192">
        <f>Fp1_u</f>
        <v>0.2841626311265727</v>
      </c>
      <c r="F84" s="191" t="s">
        <v>10</v>
      </c>
      <c r="G84" s="90"/>
      <c r="H84" s="90"/>
      <c r="I84" s="90"/>
      <c r="J84" s="90"/>
      <c r="K84" s="90"/>
      <c r="L84" s="90"/>
      <c r="M84" s="90"/>
      <c r="N84" s="90"/>
      <c r="O84" s="90"/>
      <c r="P84" s="90"/>
      <c r="Q84" s="726"/>
      <c r="R84" s="404"/>
      <c r="S84" s="25"/>
      <c r="T84" s="25"/>
      <c r="W84" s="25"/>
      <c r="X84" s="25"/>
      <c r="Y84" s="25"/>
      <c r="AB84" s="25"/>
      <c r="AC84" s="25"/>
      <c r="AD84" s="25"/>
      <c r="AG84" s="25"/>
      <c r="AH84" s="25"/>
      <c r="AI84" s="25"/>
    </row>
    <row r="85" spans="1:35" ht="14.95" customHeight="1" x14ac:dyDescent="0.25">
      <c r="A85" s="188"/>
      <c r="B85" s="187"/>
      <c r="C85" s="189"/>
      <c r="D85" s="209" t="s">
        <v>858</v>
      </c>
      <c r="E85" s="218">
        <v>71.5</v>
      </c>
      <c r="F85" s="204" t="s">
        <v>54</v>
      </c>
      <c r="G85" s="90"/>
      <c r="H85" s="90"/>
      <c r="I85" s="90"/>
      <c r="J85" s="90"/>
      <c r="K85" s="90"/>
      <c r="L85" s="90"/>
      <c r="M85" s="90"/>
      <c r="N85" s="90"/>
      <c r="O85" s="90"/>
      <c r="P85" s="90"/>
      <c r="Q85" s="73"/>
      <c r="R85" s="404"/>
      <c r="S85" s="25"/>
      <c r="T85" s="25"/>
      <c r="W85" s="25"/>
      <c r="X85" s="25"/>
      <c r="Y85" s="25"/>
      <c r="AB85" s="25"/>
      <c r="AC85" s="25"/>
      <c r="AD85" s="25"/>
      <c r="AG85" s="25"/>
      <c r="AH85" s="25"/>
      <c r="AI85" s="25"/>
    </row>
    <row r="86" spans="1:35" ht="17.350000000000001" customHeight="1" x14ac:dyDescent="0.25">
      <c r="A86" s="537"/>
      <c r="B86" s="187"/>
      <c r="C86" s="189"/>
      <c r="D86" s="189" t="s">
        <v>859</v>
      </c>
      <c r="E86" s="189">
        <f>IF(Vout=Vref,"OPEN",Rfb2_u/1000)</f>
        <v>4.75</v>
      </c>
      <c r="F86" s="191" t="str">
        <f>IF(Vout=Vref,"","kΩ")</f>
        <v>kΩ</v>
      </c>
      <c r="G86" s="90"/>
      <c r="H86" s="90"/>
      <c r="I86" s="48"/>
      <c r="J86" s="48"/>
      <c r="K86" s="48"/>
      <c r="L86" s="48"/>
      <c r="M86" s="48"/>
      <c r="N86" s="48"/>
      <c r="O86" s="48"/>
      <c r="P86" s="48"/>
      <c r="Q86" s="73"/>
      <c r="R86" s="404"/>
      <c r="S86" s="25"/>
      <c r="T86" s="25"/>
      <c r="W86" s="25"/>
      <c r="X86" s="25"/>
      <c r="Y86" s="25"/>
      <c r="AB86" s="25"/>
      <c r="AC86" s="25"/>
      <c r="AD86" s="25"/>
      <c r="AG86" s="25"/>
      <c r="AH86" s="25"/>
      <c r="AI86" s="25"/>
    </row>
    <row r="87" spans="1:35" ht="17.350000000000001" customHeight="1" thickBot="1" x14ac:dyDescent="0.3">
      <c r="A87" s="212"/>
      <c r="B87" s="213"/>
      <c r="C87" s="211"/>
      <c r="D87" s="211" t="s">
        <v>1049</v>
      </c>
      <c r="E87" s="618">
        <f>1/E86*(E85+E86)</f>
        <v>16.052631578947366</v>
      </c>
      <c r="F87" s="214" t="s">
        <v>0</v>
      </c>
      <c r="G87" s="90"/>
      <c r="H87" s="90"/>
      <c r="I87" s="48"/>
      <c r="J87" s="48"/>
      <c r="K87" s="48"/>
      <c r="L87" s="48"/>
      <c r="M87" s="48"/>
      <c r="N87" s="48"/>
      <c r="O87" s="48"/>
      <c r="P87" s="48"/>
      <c r="Q87" s="73"/>
      <c r="R87" s="404"/>
      <c r="S87" s="25"/>
      <c r="T87" s="25"/>
      <c r="W87" s="25"/>
      <c r="X87" s="25"/>
      <c r="Y87" s="25"/>
      <c r="AB87" s="25"/>
      <c r="AC87" s="25"/>
      <c r="AD87" s="25"/>
      <c r="AG87" s="25"/>
      <c r="AH87" s="25"/>
      <c r="AI87" s="25"/>
    </row>
    <row r="88" spans="1:35" ht="13.6" customHeight="1" x14ac:dyDescent="0.25">
      <c r="A88" s="154"/>
      <c r="B88" s="446"/>
      <c r="C88" s="110"/>
      <c r="D88" s="100"/>
      <c r="E88" s="100"/>
      <c r="F88" s="100"/>
      <c r="G88" s="109"/>
      <c r="H88" s="108"/>
      <c r="I88" s="48"/>
      <c r="J88" s="48"/>
      <c r="K88" s="48"/>
      <c r="L88" s="48"/>
      <c r="M88" s="48"/>
      <c r="N88" s="48"/>
      <c r="O88" s="48"/>
      <c r="P88" s="48"/>
      <c r="Q88" s="73"/>
      <c r="R88" s="404"/>
      <c r="S88" s="25"/>
      <c r="T88" s="25"/>
      <c r="W88" s="25"/>
      <c r="X88" s="25"/>
      <c r="Y88" s="25"/>
      <c r="AB88" s="25"/>
      <c r="AC88" s="25"/>
      <c r="AD88" s="25"/>
      <c r="AG88" s="25"/>
      <c r="AH88" s="25"/>
      <c r="AI88" s="25"/>
    </row>
    <row r="89" spans="1:35" ht="15.8" customHeight="1" x14ac:dyDescent="0.25">
      <c r="A89" s="377" t="s">
        <v>1034</v>
      </c>
      <c r="B89" s="111"/>
      <c r="C89" s="87"/>
      <c r="D89" s="105"/>
      <c r="E89" s="106"/>
      <c r="F89" s="107"/>
      <c r="G89" s="112"/>
      <c r="H89" s="90"/>
      <c r="I89" s="48"/>
      <c r="J89" s="590" t="s">
        <v>1033</v>
      </c>
      <c r="K89" s="591"/>
      <c r="L89" s="592"/>
      <c r="M89" s="593"/>
      <c r="N89" s="594"/>
      <c r="O89" s="592"/>
      <c r="P89" s="48"/>
      <c r="Q89" s="73"/>
      <c r="R89" s="404"/>
      <c r="S89" s="157"/>
      <c r="T89" s="157"/>
      <c r="U89" s="158"/>
      <c r="V89" s="158"/>
      <c r="W89" s="157"/>
      <c r="X89" s="157"/>
      <c r="Y89" s="157"/>
      <c r="Z89" s="158"/>
      <c r="AA89" s="158"/>
      <c r="AB89" s="157"/>
      <c r="AC89" s="157"/>
      <c r="AD89" s="157"/>
      <c r="AE89" s="158"/>
      <c r="AF89" s="158"/>
      <c r="AG89" s="25"/>
      <c r="AH89" s="25"/>
      <c r="AI89" s="25"/>
    </row>
    <row r="90" spans="1:35" s="169" customFormat="1" ht="13.6" customHeight="1" thickBot="1" x14ac:dyDescent="0.3">
      <c r="A90" s="174"/>
      <c r="B90" s="175" t="s">
        <v>285</v>
      </c>
      <c r="C90" s="497" t="s">
        <v>278</v>
      </c>
      <c r="D90" s="498"/>
      <c r="E90" s="176" t="s">
        <v>278</v>
      </c>
      <c r="F90" s="449"/>
      <c r="G90" s="496" t="s">
        <v>279</v>
      </c>
      <c r="H90" s="496"/>
      <c r="I90" s="164"/>
      <c r="J90" s="595"/>
      <c r="K90" s="596" t="s">
        <v>285</v>
      </c>
      <c r="L90" s="597" t="s">
        <v>278</v>
      </c>
      <c r="M90" s="598" t="str">
        <f>"    Selected"</f>
        <v xml:space="preserve">    Selected</v>
      </c>
      <c r="N90" s="599"/>
      <c r="O90" s="164"/>
      <c r="P90" s="164"/>
      <c r="Q90" s="165"/>
      <c r="R90" s="406"/>
      <c r="S90" s="166"/>
      <c r="T90" s="166"/>
      <c r="U90" s="167"/>
      <c r="V90" s="167"/>
      <c r="W90" s="166"/>
      <c r="X90" s="166"/>
      <c r="Y90" s="166"/>
      <c r="Z90" s="167"/>
      <c r="AA90" s="167"/>
      <c r="AB90" s="166"/>
      <c r="AC90" s="166"/>
      <c r="AD90" s="166"/>
      <c r="AE90" s="167"/>
      <c r="AF90" s="167"/>
      <c r="AG90" s="168"/>
      <c r="AH90" s="168"/>
      <c r="AI90" s="168"/>
    </row>
    <row r="91" spans="1:35" ht="17" x14ac:dyDescent="0.35">
      <c r="A91" s="136" t="s">
        <v>977</v>
      </c>
      <c r="B91" s="149">
        <f>Rcea1/1000</f>
        <v>1.5139607071843058</v>
      </c>
      <c r="C91" s="132">
        <f>'Standard Value Calculator'!O27</f>
        <v>1.5</v>
      </c>
      <c r="D91" s="132"/>
      <c r="E91" s="133">
        <f>C91</f>
        <v>1.5</v>
      </c>
      <c r="F91" s="134" t="s">
        <v>54</v>
      </c>
      <c r="G91" s="420">
        <f>Fp1_u</f>
        <v>0.2841626311265727</v>
      </c>
      <c r="H91" s="366" t="s">
        <v>568</v>
      </c>
      <c r="I91" s="48"/>
      <c r="J91" s="607" t="s">
        <v>1035</v>
      </c>
      <c r="K91" s="609">
        <f>C_IL_recommend*1000000000</f>
        <v>1.3960048602141129</v>
      </c>
      <c r="L91" s="609">
        <f>'Variable Management'!F292*1000000000</f>
        <v>1.5</v>
      </c>
      <c r="M91" s="613">
        <v>2.2000000000000002</v>
      </c>
      <c r="N91" s="204" t="s">
        <v>170</v>
      </c>
      <c r="O91" s="48"/>
      <c r="P91" s="48"/>
      <c r="Q91" s="73"/>
      <c r="R91" s="404"/>
      <c r="S91" s="157"/>
      <c r="T91" s="157"/>
      <c r="U91" s="158"/>
      <c r="V91" s="158"/>
      <c r="W91" s="157"/>
      <c r="X91" s="157"/>
      <c r="Y91" s="157"/>
      <c r="Z91" s="158"/>
      <c r="AA91" s="158"/>
      <c r="AB91" s="157"/>
      <c r="AC91" s="157"/>
      <c r="AD91" s="157"/>
      <c r="AE91" s="158"/>
      <c r="AF91" s="158"/>
      <c r="AG91" s="25"/>
      <c r="AH91" s="25"/>
      <c r="AI91" s="25"/>
    </row>
    <row r="92" spans="1:35" ht="17" x14ac:dyDescent="0.35">
      <c r="A92" s="137" t="s">
        <v>978</v>
      </c>
      <c r="B92" s="388">
        <f>Cc1ea*1000000000</f>
        <v>57.244990742098622</v>
      </c>
      <c r="C92" s="108">
        <f>'Standard Value Calculator'!O28</f>
        <v>56</v>
      </c>
      <c r="D92" s="108"/>
      <c r="E92" s="113">
        <f>C92</f>
        <v>56</v>
      </c>
      <c r="F92" s="135" t="s">
        <v>170</v>
      </c>
      <c r="G92" s="367">
        <f>Fz1_u/1000</f>
        <v>1.8947017034749443</v>
      </c>
      <c r="H92" s="368" t="s">
        <v>647</v>
      </c>
      <c r="I92" s="48"/>
      <c r="J92" s="608" t="s">
        <v>1036</v>
      </c>
      <c r="K92" s="610">
        <f>R_IL_recommend/1000</f>
        <v>0.47728618543810081</v>
      </c>
      <c r="L92" s="610">
        <f>'Variable Management'!F293/1000</f>
        <v>0.47499999999999998</v>
      </c>
      <c r="M92" s="614">
        <v>0.7</v>
      </c>
      <c r="N92" s="122" t="s">
        <v>54</v>
      </c>
      <c r="O92" s="48"/>
      <c r="P92" s="48"/>
      <c r="Q92" s="73"/>
      <c r="R92" s="404"/>
      <c r="S92" s="157"/>
      <c r="T92" s="157"/>
      <c r="U92" s="158"/>
      <c r="V92" s="158"/>
      <c r="W92" s="157"/>
      <c r="X92" s="157"/>
      <c r="Y92" s="157"/>
      <c r="Z92" s="158"/>
      <c r="AA92" s="158"/>
      <c r="AB92" s="157"/>
      <c r="AC92" s="157"/>
      <c r="AD92" s="157"/>
      <c r="AE92" s="158"/>
      <c r="AF92" s="158"/>
      <c r="AG92" s="25"/>
      <c r="AH92" s="25"/>
      <c r="AI92" s="25"/>
    </row>
    <row r="93" spans="1:35" ht="17.7" thickBot="1" x14ac:dyDescent="0.4">
      <c r="A93" s="301" t="s">
        <v>979</v>
      </c>
      <c r="B93" s="150">
        <f>IF(Cc2ea*1000000000000&lt;0, 0, Cc2ea*1000000000000)</f>
        <v>2620.7764768154075</v>
      </c>
      <c r="C93" s="146">
        <f>'Standard Value Calculator'!O29</f>
        <v>2700</v>
      </c>
      <c r="D93" s="146"/>
      <c r="E93" s="147">
        <f>C93</f>
        <v>2700</v>
      </c>
      <c r="F93" s="148" t="s">
        <v>32</v>
      </c>
      <c r="G93" s="373">
        <f>Fp2_u/1000</f>
        <v>39.190894171248786</v>
      </c>
      <c r="H93" s="369" t="s">
        <v>648</v>
      </c>
      <c r="I93" s="48"/>
      <c r="J93" s="600"/>
      <c r="K93" s="611"/>
      <c r="L93" s="612"/>
      <c r="M93" s="601"/>
      <c r="N93" s="602"/>
      <c r="O93" s="48"/>
      <c r="P93" s="48"/>
      <c r="Q93" s="73"/>
      <c r="R93" s="404"/>
      <c r="S93" s="157"/>
      <c r="T93" s="157"/>
      <c r="U93" s="158"/>
      <c r="V93" s="158"/>
      <c r="W93" s="157"/>
      <c r="X93" s="157"/>
      <c r="Y93" s="157"/>
      <c r="Z93" s="158"/>
      <c r="AA93" s="158"/>
      <c r="AB93" s="157"/>
      <c r="AC93" s="157"/>
      <c r="AD93" s="157"/>
      <c r="AE93" s="158"/>
      <c r="AF93" s="158"/>
      <c r="AG93" s="25"/>
      <c r="AH93" s="25"/>
      <c r="AI93" s="25"/>
    </row>
    <row r="94" spans="1:35" ht="14.3" thickBot="1" x14ac:dyDescent="0.3">
      <c r="A94" s="89"/>
      <c r="B94" s="87"/>
      <c r="C94" s="87"/>
      <c r="D94" s="90"/>
      <c r="E94" s="90"/>
      <c r="F94" s="90"/>
      <c r="G94" s="90"/>
      <c r="H94" s="90"/>
      <c r="I94" s="48"/>
      <c r="J94" s="48"/>
      <c r="K94" s="48"/>
      <c r="L94" s="48"/>
      <c r="M94" s="48"/>
      <c r="N94" s="48"/>
      <c r="O94" s="48"/>
      <c r="P94" s="48"/>
      <c r="Q94" s="73"/>
      <c r="R94" s="404"/>
      <c r="S94" s="157"/>
      <c r="T94" s="157"/>
      <c r="U94" s="158"/>
      <c r="V94" s="158"/>
      <c r="W94" s="157"/>
      <c r="X94" s="157"/>
      <c r="Y94" s="157"/>
      <c r="Z94" s="158"/>
      <c r="AA94" s="158"/>
      <c r="AB94" s="157"/>
      <c r="AC94" s="157"/>
      <c r="AD94" s="157"/>
      <c r="AE94" s="158"/>
      <c r="AF94" s="158"/>
      <c r="AG94" s="25"/>
      <c r="AH94" s="25"/>
      <c r="AI94" s="25"/>
    </row>
    <row r="95" spans="1:35" s="51" customFormat="1" ht="19.05" thickBot="1" x14ac:dyDescent="0.35">
      <c r="A95" s="155" t="s">
        <v>283</v>
      </c>
      <c r="B95" s="103"/>
      <c r="C95" s="114"/>
      <c r="D95" s="114"/>
      <c r="E95" s="114"/>
      <c r="F95" s="114"/>
      <c r="G95" s="114"/>
      <c r="H95" s="114"/>
      <c r="I95" s="49"/>
      <c r="J95" s="49"/>
      <c r="K95" s="49"/>
      <c r="L95" s="49"/>
      <c r="M95" s="49"/>
      <c r="N95" s="49"/>
      <c r="O95" s="49"/>
      <c r="P95" s="49"/>
      <c r="Q95" s="50"/>
      <c r="R95" s="407"/>
      <c r="S95" s="159"/>
      <c r="T95" s="159"/>
      <c r="U95" s="160"/>
      <c r="V95" s="160"/>
      <c r="W95" s="159"/>
      <c r="X95" s="159"/>
      <c r="Y95" s="159"/>
      <c r="Z95" s="160"/>
      <c r="AA95" s="160"/>
      <c r="AB95" s="159"/>
      <c r="AC95" s="159"/>
      <c r="AD95" s="159"/>
      <c r="AE95" s="160"/>
      <c r="AF95" s="160"/>
      <c r="AG95" s="26"/>
      <c r="AH95" s="26"/>
      <c r="AI95" s="26"/>
    </row>
    <row r="96" spans="1:35" ht="16.5" customHeight="1" x14ac:dyDescent="0.25">
      <c r="A96" s="153"/>
      <c r="B96" s="100"/>
      <c r="C96" s="90"/>
      <c r="D96" s="90"/>
      <c r="E96" s="90"/>
      <c r="F96" s="90"/>
      <c r="G96" s="90"/>
      <c r="H96" s="90"/>
      <c r="I96" s="48"/>
      <c r="J96" s="48"/>
      <c r="K96" s="48"/>
      <c r="L96" s="48"/>
      <c r="M96" s="48"/>
      <c r="N96" s="48"/>
      <c r="O96" s="48"/>
      <c r="P96" s="48"/>
      <c r="Q96" s="73"/>
      <c r="R96" s="404"/>
      <c r="S96" s="157"/>
      <c r="T96" s="157"/>
      <c r="U96" s="158"/>
      <c r="V96" s="158"/>
      <c r="W96" s="157"/>
      <c r="X96" s="157"/>
      <c r="Y96" s="157"/>
      <c r="Z96" s="158"/>
      <c r="AA96" s="158"/>
      <c r="AB96" s="157"/>
      <c r="AC96" s="157"/>
      <c r="AD96" s="157"/>
      <c r="AE96" s="158"/>
      <c r="AF96" s="158"/>
      <c r="AG96" s="25"/>
      <c r="AH96" s="25"/>
      <c r="AI96" s="25"/>
    </row>
    <row r="97" spans="1:35" ht="19.05" thickBot="1" x14ac:dyDescent="0.35">
      <c r="A97" s="115" t="s">
        <v>225</v>
      </c>
      <c r="B97" s="97"/>
      <c r="C97" s="90"/>
      <c r="D97" s="90"/>
      <c r="E97" s="90"/>
      <c r="F97" s="90"/>
      <c r="G97" s="90"/>
      <c r="H97" s="90"/>
      <c r="I97" s="48"/>
      <c r="J97" s="48"/>
      <c r="K97" s="48"/>
      <c r="L97" s="48"/>
      <c r="M97" s="202" t="s">
        <v>817</v>
      </c>
      <c r="N97" s="494" t="str">
        <f>VIN_nom&amp;"V"</f>
        <v>12V</v>
      </c>
      <c r="O97" s="48"/>
      <c r="P97" s="48"/>
      <c r="Q97" s="73"/>
      <c r="R97" s="404"/>
      <c r="S97" s="157"/>
      <c r="T97" s="157"/>
      <c r="U97" s="158"/>
      <c r="V97" s="158"/>
      <c r="W97" s="157"/>
      <c r="X97" s="157"/>
      <c r="Y97" s="157"/>
      <c r="Z97" s="158"/>
      <c r="AA97" s="158"/>
      <c r="AB97" s="157"/>
      <c r="AC97" s="157"/>
      <c r="AD97" s="157"/>
      <c r="AE97" s="158"/>
      <c r="AF97" s="158"/>
      <c r="AG97" s="25"/>
      <c r="AH97" s="25"/>
      <c r="AI97" s="25"/>
    </row>
    <row r="98" spans="1:35" ht="18" customHeight="1" x14ac:dyDescent="0.3">
      <c r="A98" s="138"/>
      <c r="B98" s="139"/>
      <c r="C98" s="140"/>
      <c r="D98" s="170" t="s">
        <v>711</v>
      </c>
      <c r="E98" s="185" t="s">
        <v>868</v>
      </c>
      <c r="F98" s="140"/>
      <c r="G98" s="141"/>
      <c r="H98" s="90"/>
      <c r="I98" s="48"/>
      <c r="J98" s="48"/>
      <c r="K98" s="48"/>
      <c r="L98" s="48"/>
      <c r="M98" s="48"/>
      <c r="N98" s="48"/>
      <c r="O98" s="48"/>
      <c r="P98" s="48"/>
      <c r="Q98" s="73"/>
      <c r="R98" s="404"/>
      <c r="S98" s="157"/>
      <c r="T98" s="84"/>
      <c r="U98" s="84"/>
      <c r="V98" s="158"/>
      <c r="W98" s="157"/>
      <c r="X98" s="157"/>
      <c r="Y98" s="157"/>
      <c r="Z98" s="158"/>
      <c r="AA98" s="158"/>
      <c r="AB98" s="157"/>
      <c r="AC98" s="157"/>
      <c r="AD98" s="157"/>
      <c r="AE98" s="158"/>
      <c r="AF98" s="158"/>
      <c r="AG98" s="25"/>
      <c r="AH98" s="25"/>
      <c r="AI98" s="25"/>
    </row>
    <row r="99" spans="1:35" ht="14.45" customHeight="1" x14ac:dyDescent="0.25">
      <c r="A99" s="386"/>
      <c r="B99" s="76"/>
      <c r="C99" s="76"/>
      <c r="D99" s="76"/>
      <c r="E99" s="387" t="s">
        <v>685</v>
      </c>
      <c r="F99" s="724" t="s">
        <v>712</v>
      </c>
      <c r="G99" s="725"/>
      <c r="H99" s="90"/>
      <c r="I99" s="48"/>
      <c r="J99" s="48"/>
      <c r="K99" s="48"/>
      <c r="L99" s="48"/>
      <c r="M99" s="48"/>
      <c r="N99" s="48"/>
      <c r="O99" s="48"/>
      <c r="P99" s="48"/>
      <c r="Q99" s="73"/>
      <c r="R99" s="404"/>
      <c r="S99" s="157"/>
      <c r="T99" s="84"/>
      <c r="U99" s="84"/>
      <c r="V99" s="158"/>
      <c r="W99" s="157"/>
      <c r="X99" s="157"/>
      <c r="Y99" s="157"/>
      <c r="Z99" s="158"/>
      <c r="AA99" s="158"/>
      <c r="AB99" s="157"/>
      <c r="AC99" s="157"/>
      <c r="AD99" s="157"/>
      <c r="AE99" s="158"/>
      <c r="AF99" s="158"/>
      <c r="AG99" s="25"/>
      <c r="AH99" s="25"/>
      <c r="AI99" s="25"/>
    </row>
    <row r="100" spans="1:35" ht="14.45" customHeight="1" x14ac:dyDescent="0.3">
      <c r="A100" s="89"/>
      <c r="B100" s="90"/>
      <c r="C100" s="98"/>
      <c r="D100" s="86" t="s">
        <v>317</v>
      </c>
      <c r="E100" s="184">
        <v>3.5</v>
      </c>
      <c r="F100" s="184">
        <v>3.5</v>
      </c>
      <c r="G100" s="127" t="s">
        <v>53</v>
      </c>
      <c r="H100" s="90"/>
      <c r="I100" s="48"/>
      <c r="J100" s="48"/>
      <c r="K100" s="48"/>
      <c r="L100" s="48"/>
      <c r="M100" s="48"/>
      <c r="N100" s="48"/>
      <c r="O100" s="48"/>
      <c r="P100" s="48"/>
      <c r="Q100" s="73"/>
      <c r="R100" s="404"/>
      <c r="S100" s="157"/>
      <c r="T100" s="84"/>
      <c r="U100" s="84"/>
      <c r="V100" s="158"/>
      <c r="W100" s="157"/>
      <c r="X100" s="157"/>
      <c r="Y100" s="157"/>
      <c r="Z100" s="158"/>
      <c r="AA100" s="158"/>
      <c r="AB100" s="157"/>
      <c r="AC100" s="157"/>
      <c r="AD100" s="157"/>
      <c r="AE100" s="158"/>
      <c r="AF100" s="158"/>
      <c r="AG100" s="25"/>
      <c r="AH100" s="25"/>
      <c r="AI100" s="25"/>
    </row>
    <row r="101" spans="1:35" ht="14.45" customHeight="1" x14ac:dyDescent="0.3">
      <c r="A101" s="89"/>
      <c r="B101" s="90"/>
      <c r="C101" s="98"/>
      <c r="D101" s="86" t="s">
        <v>318</v>
      </c>
      <c r="E101" s="91">
        <v>67</v>
      </c>
      <c r="F101" s="91">
        <v>67</v>
      </c>
      <c r="G101" s="127" t="s">
        <v>69</v>
      </c>
      <c r="H101" s="90"/>
      <c r="I101" s="48"/>
      <c r="J101" s="48"/>
      <c r="K101" s="48"/>
      <c r="L101" s="48"/>
      <c r="M101" s="48"/>
      <c r="N101" s="48"/>
      <c r="O101" s="48"/>
      <c r="P101" s="48"/>
      <c r="Q101" s="73"/>
      <c r="R101" s="404"/>
      <c r="S101" s="157"/>
      <c r="T101" s="84"/>
      <c r="U101" s="84"/>
      <c r="V101" s="158"/>
      <c r="W101" s="157"/>
      <c r="X101" s="157"/>
      <c r="Y101" s="157"/>
      <c r="Z101" s="158"/>
      <c r="AA101" s="158"/>
      <c r="AB101" s="157"/>
      <c r="AC101" s="157"/>
      <c r="AD101" s="157"/>
      <c r="AE101" s="158"/>
      <c r="AF101" s="158"/>
      <c r="AG101" s="25"/>
      <c r="AH101" s="25"/>
      <c r="AI101" s="25"/>
    </row>
    <row r="102" spans="1:35" ht="14.45" customHeight="1" x14ac:dyDescent="0.3">
      <c r="A102" s="89"/>
      <c r="B102" s="90"/>
      <c r="C102" s="98"/>
      <c r="D102" s="86" t="s">
        <v>319</v>
      </c>
      <c r="E102" s="91">
        <v>10.31</v>
      </c>
      <c r="F102" s="91">
        <v>10.31</v>
      </c>
      <c r="G102" s="127" t="s">
        <v>69</v>
      </c>
      <c r="H102" s="90"/>
      <c r="I102" s="48"/>
      <c r="J102" s="48"/>
      <c r="K102" s="48"/>
      <c r="L102" s="48"/>
      <c r="M102" s="48"/>
      <c r="N102" s="48"/>
      <c r="O102" s="48"/>
      <c r="P102" s="48"/>
      <c r="Q102" s="73"/>
      <c r="R102" s="404"/>
      <c r="S102" s="157"/>
      <c r="T102" s="84"/>
      <c r="U102" s="84"/>
      <c r="V102" s="158"/>
      <c r="W102" s="157"/>
      <c r="X102" s="157"/>
      <c r="Y102" s="157"/>
      <c r="Z102" s="158"/>
      <c r="AA102" s="158"/>
      <c r="AB102" s="157"/>
      <c r="AC102" s="157"/>
      <c r="AD102" s="157"/>
      <c r="AE102" s="158"/>
      <c r="AF102" s="158"/>
      <c r="AG102" s="25"/>
      <c r="AH102" s="25"/>
      <c r="AI102" s="25"/>
    </row>
    <row r="103" spans="1:35" ht="14.45" customHeight="1" x14ac:dyDescent="0.3">
      <c r="A103" s="89"/>
      <c r="B103" s="90"/>
      <c r="C103" s="98"/>
      <c r="D103" s="86" t="s">
        <v>320</v>
      </c>
      <c r="E103" s="91">
        <v>11.25</v>
      </c>
      <c r="F103" s="91">
        <v>11.25</v>
      </c>
      <c r="G103" s="127" t="s">
        <v>69</v>
      </c>
      <c r="H103" s="90"/>
      <c r="I103" s="48"/>
      <c r="J103" s="48"/>
      <c r="K103" s="48"/>
      <c r="L103" s="48"/>
      <c r="M103" s="48"/>
      <c r="N103" s="48"/>
      <c r="O103" s="48"/>
      <c r="P103" s="48"/>
      <c r="Q103" s="73"/>
      <c r="R103" s="404"/>
      <c r="S103" s="157"/>
      <c r="T103" s="84"/>
      <c r="U103" s="84"/>
      <c r="V103" s="158"/>
      <c r="W103" s="157"/>
      <c r="X103" s="157"/>
      <c r="Y103" s="157"/>
      <c r="Z103" s="158"/>
      <c r="AA103" s="158"/>
      <c r="AB103" s="157"/>
      <c r="AC103" s="157"/>
      <c r="AD103" s="157"/>
      <c r="AE103" s="158"/>
      <c r="AF103" s="158"/>
      <c r="AG103" s="25"/>
      <c r="AH103" s="25"/>
      <c r="AI103" s="25"/>
    </row>
    <row r="104" spans="1:35" ht="14.45" customHeight="1" x14ac:dyDescent="0.3">
      <c r="A104" s="89"/>
      <c r="B104" s="90"/>
      <c r="C104" s="98"/>
      <c r="D104" s="86" t="s">
        <v>321</v>
      </c>
      <c r="E104" s="91">
        <v>0.63</v>
      </c>
      <c r="F104" s="91">
        <v>0.63</v>
      </c>
      <c r="G104" s="127" t="s">
        <v>167</v>
      </c>
      <c r="H104" s="90"/>
      <c r="I104" s="48"/>
      <c r="J104" s="48"/>
      <c r="K104" s="48"/>
      <c r="L104" s="48"/>
      <c r="M104" s="48"/>
      <c r="N104" s="48"/>
      <c r="O104" s="48"/>
      <c r="P104" s="48"/>
      <c r="Q104" s="73"/>
      <c r="R104" s="404"/>
      <c r="S104" s="157"/>
      <c r="T104" s="84"/>
      <c r="U104" s="84"/>
      <c r="V104" s="158"/>
      <c r="W104" s="157"/>
      <c r="X104" s="157"/>
      <c r="Y104" s="157"/>
      <c r="Z104" s="158"/>
      <c r="AA104" s="158"/>
      <c r="AB104" s="157"/>
      <c r="AC104" s="157"/>
      <c r="AD104" s="157"/>
      <c r="AE104" s="158"/>
      <c r="AF104" s="158"/>
      <c r="AG104" s="25"/>
      <c r="AH104" s="25"/>
      <c r="AI104" s="25"/>
    </row>
    <row r="105" spans="1:35" ht="14.45" customHeight="1" x14ac:dyDescent="0.3">
      <c r="A105" s="89"/>
      <c r="B105" s="90"/>
      <c r="C105" s="98"/>
      <c r="D105" s="86" t="s">
        <v>322</v>
      </c>
      <c r="E105" s="91">
        <v>117</v>
      </c>
      <c r="F105" s="91">
        <v>117</v>
      </c>
      <c r="G105" s="127" t="s">
        <v>70</v>
      </c>
      <c r="H105" s="90"/>
      <c r="I105" s="48"/>
      <c r="J105" s="48"/>
      <c r="K105" s="48"/>
      <c r="L105" s="48"/>
      <c r="M105" s="48"/>
      <c r="N105" s="48"/>
      <c r="O105" s="48"/>
      <c r="P105" s="48"/>
      <c r="Q105" s="73"/>
      <c r="R105" s="404"/>
      <c r="S105" s="157"/>
      <c r="T105" s="84"/>
      <c r="U105" s="84"/>
      <c r="V105" s="158"/>
      <c r="W105" s="157"/>
      <c r="X105" s="157"/>
      <c r="Y105" s="157"/>
      <c r="Z105" s="158"/>
      <c r="AA105" s="158"/>
      <c r="AB105" s="157"/>
      <c r="AC105" s="157"/>
      <c r="AD105" s="157"/>
      <c r="AE105" s="158"/>
      <c r="AF105" s="158"/>
      <c r="AG105" s="25"/>
      <c r="AH105" s="25"/>
      <c r="AI105" s="25"/>
    </row>
    <row r="106" spans="1:35" ht="14.45" customHeight="1" x14ac:dyDescent="0.3">
      <c r="A106" s="89"/>
      <c r="B106" s="90"/>
      <c r="C106" s="98"/>
      <c r="D106" s="86" t="s">
        <v>708</v>
      </c>
      <c r="E106" s="91">
        <v>2</v>
      </c>
      <c r="F106" s="91">
        <v>2</v>
      </c>
      <c r="G106" s="127" t="s">
        <v>0</v>
      </c>
      <c r="H106" s="90"/>
      <c r="I106" s="48"/>
      <c r="J106" s="48"/>
      <c r="K106" s="48"/>
      <c r="L106" s="48"/>
      <c r="M106" s="48"/>
      <c r="N106" s="48"/>
      <c r="O106" s="48"/>
      <c r="P106" s="48"/>
      <c r="Q106" s="73"/>
      <c r="R106" s="404"/>
      <c r="S106" s="157"/>
      <c r="T106" s="84"/>
      <c r="U106" s="84"/>
      <c r="V106" s="158"/>
      <c r="W106" s="157"/>
      <c r="X106" s="157"/>
      <c r="Y106" s="157"/>
      <c r="Z106" s="158"/>
      <c r="AA106" s="158"/>
      <c r="AB106" s="157"/>
      <c r="AC106" s="157"/>
      <c r="AD106" s="157"/>
      <c r="AE106" s="158"/>
      <c r="AF106" s="158"/>
      <c r="AG106" s="25"/>
      <c r="AH106" s="25"/>
      <c r="AI106" s="25"/>
    </row>
    <row r="107" spans="1:35" ht="14.45" customHeight="1" x14ac:dyDescent="0.3">
      <c r="A107" s="89"/>
      <c r="B107" s="90"/>
      <c r="C107" s="98"/>
      <c r="D107" s="86" t="s">
        <v>705</v>
      </c>
      <c r="E107" s="91">
        <v>0.75</v>
      </c>
      <c r="F107" s="91">
        <v>0.75</v>
      </c>
      <c r="G107" s="127" t="s">
        <v>0</v>
      </c>
      <c r="H107" s="90"/>
      <c r="I107" s="48"/>
      <c r="J107" s="48"/>
      <c r="K107" s="48"/>
      <c r="L107" s="48"/>
      <c r="M107" s="48"/>
      <c r="N107" s="48"/>
      <c r="O107" s="48"/>
      <c r="P107" s="48"/>
      <c r="Q107" s="73"/>
      <c r="R107" s="404"/>
      <c r="S107" s="157"/>
      <c r="T107" s="84"/>
      <c r="U107" s="84"/>
      <c r="V107" s="158"/>
      <c r="W107" s="157"/>
      <c r="X107" s="157"/>
      <c r="Y107" s="157"/>
      <c r="Z107" s="158"/>
      <c r="AA107" s="158"/>
      <c r="AB107" s="157"/>
      <c r="AC107" s="157"/>
      <c r="AD107" s="157"/>
      <c r="AE107" s="158"/>
      <c r="AF107" s="158"/>
      <c r="AG107" s="25"/>
      <c r="AH107" s="25"/>
      <c r="AI107" s="25"/>
    </row>
    <row r="108" spans="1:35" ht="14.45" customHeight="1" x14ac:dyDescent="0.3">
      <c r="A108" s="89"/>
      <c r="B108" s="90"/>
      <c r="C108" s="90"/>
      <c r="D108" s="86" t="s">
        <v>707</v>
      </c>
      <c r="E108" s="2"/>
      <c r="F108" s="91">
        <f>45</f>
        <v>45</v>
      </c>
      <c r="G108" s="127" t="s">
        <v>69</v>
      </c>
      <c r="H108" s="90"/>
      <c r="I108" s="48"/>
      <c r="J108" s="48"/>
      <c r="K108" s="48"/>
      <c r="L108" s="48"/>
      <c r="M108" s="48"/>
      <c r="N108" s="48"/>
      <c r="O108" s="48"/>
      <c r="P108" s="48"/>
      <c r="Q108" s="73"/>
      <c r="R108" s="404"/>
      <c r="S108" s="157"/>
      <c r="T108" s="84"/>
      <c r="U108" s="84"/>
      <c r="V108" s="158"/>
      <c r="W108" s="157"/>
      <c r="X108" s="157"/>
      <c r="Y108" s="157"/>
      <c r="Z108" s="158"/>
      <c r="AA108" s="158"/>
      <c r="AB108" s="157"/>
      <c r="AC108" s="157"/>
      <c r="AD108" s="157"/>
      <c r="AE108" s="158"/>
      <c r="AF108" s="158"/>
      <c r="AG108" s="25"/>
      <c r="AH108" s="25"/>
      <c r="AI108" s="25"/>
    </row>
    <row r="109" spans="1:35" ht="14.45" customHeight="1" thickBot="1" x14ac:dyDescent="0.35">
      <c r="A109" s="161"/>
      <c r="B109" s="143"/>
      <c r="C109" s="162"/>
      <c r="D109" s="144" t="s">
        <v>323</v>
      </c>
      <c r="E109" s="181">
        <v>65</v>
      </c>
      <c r="F109" s="181">
        <v>65</v>
      </c>
      <c r="G109" s="145" t="s">
        <v>236</v>
      </c>
      <c r="H109" s="90"/>
      <c r="I109" s="48"/>
      <c r="J109" s="48"/>
      <c r="K109" s="48"/>
      <c r="L109" s="48"/>
      <c r="M109" s="48"/>
      <c r="N109" s="48"/>
      <c r="O109" s="48"/>
      <c r="P109" s="48"/>
      <c r="Q109" s="73"/>
      <c r="R109" s="404"/>
      <c r="S109" s="157"/>
      <c r="T109" s="84"/>
      <c r="U109" s="84"/>
      <c r="V109" s="158"/>
      <c r="W109" s="157"/>
      <c r="X109" s="157"/>
      <c r="Y109" s="157"/>
      <c r="Z109" s="158"/>
      <c r="AA109" s="158"/>
      <c r="AB109" s="157"/>
      <c r="AC109" s="157"/>
      <c r="AD109" s="157"/>
      <c r="AE109" s="158"/>
      <c r="AF109" s="158"/>
      <c r="AG109" s="25"/>
      <c r="AH109" s="25"/>
      <c r="AI109" s="25"/>
    </row>
    <row r="110" spans="1:35" ht="18" customHeight="1" thickBot="1" x14ac:dyDescent="0.3">
      <c r="A110" s="89"/>
      <c r="B110" s="90"/>
      <c r="C110" s="98"/>
      <c r="D110" s="86"/>
      <c r="E110" s="616"/>
      <c r="F110" s="163"/>
      <c r="G110" s="90"/>
      <c r="H110" s="90"/>
      <c r="I110" s="48"/>
      <c r="J110" s="48"/>
      <c r="K110" s="48"/>
      <c r="L110" s="48"/>
      <c r="M110" s="48"/>
      <c r="N110" s="48"/>
      <c r="O110" s="48"/>
      <c r="P110" s="48"/>
      <c r="Q110" s="73"/>
      <c r="R110" s="404"/>
      <c r="S110" s="157"/>
      <c r="T110" s="84"/>
      <c r="U110" s="84"/>
      <c r="V110" s="158"/>
      <c r="W110" s="157"/>
      <c r="X110" s="157"/>
      <c r="Y110" s="157"/>
      <c r="Z110" s="158"/>
      <c r="AA110" s="158"/>
      <c r="AB110" s="157"/>
      <c r="AC110" s="157"/>
      <c r="AD110" s="157"/>
      <c r="AE110" s="158"/>
      <c r="AF110" s="158"/>
      <c r="AG110" s="25"/>
      <c r="AH110" s="25"/>
      <c r="AI110" s="25"/>
    </row>
    <row r="111" spans="1:35" ht="14.45" customHeight="1" x14ac:dyDescent="0.3">
      <c r="A111" s="138"/>
      <c r="B111" s="139"/>
      <c r="C111" s="142"/>
      <c r="D111" s="170" t="s">
        <v>710</v>
      </c>
      <c r="E111" s="185" t="s">
        <v>868</v>
      </c>
      <c r="F111" s="140"/>
      <c r="G111" s="141"/>
      <c r="H111" s="90"/>
      <c r="I111" s="48"/>
      <c r="J111" s="48"/>
      <c r="K111" s="48"/>
      <c r="L111" s="48"/>
      <c r="M111" s="48"/>
      <c r="N111" s="48"/>
      <c r="O111" s="48"/>
      <c r="P111" s="48"/>
      <c r="Q111" s="73"/>
      <c r="R111" s="404"/>
      <c r="S111" s="157"/>
      <c r="T111" s="84"/>
      <c r="U111" s="84"/>
      <c r="V111" s="158"/>
      <c r="W111" s="157"/>
      <c r="X111" s="157"/>
      <c r="Y111" s="157"/>
      <c r="Z111" s="158"/>
      <c r="AA111" s="158"/>
      <c r="AB111" s="157"/>
      <c r="AC111" s="157"/>
      <c r="AD111" s="157"/>
      <c r="AE111" s="158"/>
      <c r="AF111" s="158"/>
      <c r="AG111" s="25"/>
      <c r="AH111" s="25"/>
      <c r="AI111" s="25"/>
    </row>
    <row r="112" spans="1:35" ht="14.45" customHeight="1" x14ac:dyDescent="0.25">
      <c r="A112" s="386"/>
      <c r="B112" s="76"/>
      <c r="C112" s="76"/>
      <c r="D112" s="76"/>
      <c r="E112" s="394" t="s">
        <v>685</v>
      </c>
      <c r="F112" s="393" t="s">
        <v>712</v>
      </c>
      <c r="G112" s="191"/>
      <c r="H112" s="90"/>
      <c r="I112" s="48"/>
      <c r="J112" s="48"/>
      <c r="K112" s="48"/>
      <c r="L112" s="48"/>
      <c r="M112" s="48"/>
      <c r="N112" s="48"/>
      <c r="O112" s="48"/>
      <c r="P112" s="48"/>
      <c r="Q112" s="73"/>
      <c r="R112" s="404"/>
      <c r="S112" s="157"/>
      <c r="T112" s="84"/>
      <c r="U112" s="84"/>
      <c r="V112" s="158"/>
      <c r="W112" s="157"/>
      <c r="X112" s="157"/>
      <c r="Y112" s="157"/>
      <c r="Z112" s="158"/>
      <c r="AA112" s="158"/>
      <c r="AB112" s="157"/>
      <c r="AC112" s="157"/>
      <c r="AD112" s="157"/>
      <c r="AE112" s="158"/>
      <c r="AF112" s="158"/>
      <c r="AG112" s="25"/>
      <c r="AH112" s="25"/>
      <c r="AI112" s="25"/>
    </row>
    <row r="113" spans="1:35" ht="14.45" customHeight="1" x14ac:dyDescent="0.3">
      <c r="A113" s="89"/>
      <c r="B113" s="90"/>
      <c r="C113" s="90"/>
      <c r="D113" s="86" t="s">
        <v>317</v>
      </c>
      <c r="E113" s="184">
        <v>3.5</v>
      </c>
      <c r="F113" s="184">
        <v>3.5</v>
      </c>
      <c r="G113" s="127" t="s">
        <v>53</v>
      </c>
      <c r="H113" s="90"/>
      <c r="I113" s="48"/>
      <c r="J113" s="48"/>
      <c r="K113" s="48"/>
      <c r="L113" s="48"/>
      <c r="M113" s="48"/>
      <c r="N113" s="48"/>
      <c r="O113" s="48"/>
      <c r="P113" s="48"/>
      <c r="Q113" s="73"/>
      <c r="R113" s="404"/>
      <c r="S113" s="157"/>
      <c r="T113" s="84"/>
      <c r="U113" s="84"/>
      <c r="V113" s="158"/>
      <c r="W113" s="157"/>
      <c r="X113" s="157"/>
      <c r="Y113" s="157"/>
      <c r="Z113" s="158"/>
      <c r="AA113" s="158"/>
      <c r="AB113" s="157"/>
      <c r="AC113" s="157"/>
      <c r="AD113" s="157"/>
      <c r="AE113" s="158"/>
      <c r="AF113" s="158"/>
      <c r="AG113" s="25"/>
      <c r="AH113" s="25"/>
      <c r="AI113" s="25"/>
    </row>
    <row r="114" spans="1:35" ht="14.45" customHeight="1" x14ac:dyDescent="0.3">
      <c r="A114" s="89"/>
      <c r="B114" s="90"/>
      <c r="C114" s="90"/>
      <c r="D114" s="86" t="s">
        <v>318</v>
      </c>
      <c r="E114" s="91">
        <v>67</v>
      </c>
      <c r="F114" s="91">
        <v>67</v>
      </c>
      <c r="G114" s="127" t="s">
        <v>69</v>
      </c>
      <c r="H114" s="90"/>
      <c r="I114" s="48"/>
      <c r="J114" s="48"/>
      <c r="K114" s="48"/>
      <c r="L114" s="48"/>
      <c r="M114" s="48"/>
      <c r="N114" s="48"/>
      <c r="O114" s="48"/>
      <c r="P114" s="48"/>
      <c r="Q114" s="73"/>
      <c r="R114" s="404"/>
      <c r="S114" s="157"/>
      <c r="T114" s="84"/>
      <c r="U114" s="84"/>
      <c r="V114" s="158"/>
      <c r="W114" s="157"/>
      <c r="X114" s="157"/>
      <c r="Y114" s="157"/>
      <c r="Z114" s="158"/>
      <c r="AA114" s="158"/>
      <c r="AB114" s="157"/>
      <c r="AC114" s="157"/>
      <c r="AD114" s="157"/>
      <c r="AE114" s="158"/>
      <c r="AF114" s="158"/>
      <c r="AG114" s="25"/>
      <c r="AH114" s="25"/>
      <c r="AI114" s="25"/>
    </row>
    <row r="115" spans="1:35" ht="14.45" customHeight="1" x14ac:dyDescent="0.3">
      <c r="A115" s="89"/>
      <c r="B115" s="90"/>
      <c r="C115" s="98"/>
      <c r="D115" s="86" t="s">
        <v>319</v>
      </c>
      <c r="E115" s="91">
        <v>10.31</v>
      </c>
      <c r="F115" s="91">
        <v>10.31</v>
      </c>
      <c r="G115" s="127" t="s">
        <v>69</v>
      </c>
      <c r="H115" s="90"/>
      <c r="I115" s="48"/>
      <c r="J115" s="48"/>
      <c r="K115" s="48"/>
      <c r="L115" s="48"/>
      <c r="M115" s="48"/>
      <c r="N115" s="48"/>
      <c r="O115" s="48"/>
      <c r="P115" s="48"/>
      <c r="Q115" s="73"/>
      <c r="R115" s="404"/>
      <c r="S115" s="157"/>
      <c r="T115" s="84"/>
      <c r="U115" s="84"/>
      <c r="V115" s="158"/>
      <c r="W115" s="157"/>
      <c r="X115" s="157"/>
      <c r="Y115" s="157"/>
      <c r="Z115" s="158"/>
      <c r="AA115" s="158"/>
      <c r="AB115" s="157"/>
      <c r="AC115" s="157"/>
      <c r="AD115" s="157"/>
      <c r="AE115" s="158"/>
      <c r="AF115" s="158"/>
      <c r="AG115" s="25"/>
      <c r="AH115" s="25"/>
      <c r="AI115" s="25"/>
    </row>
    <row r="116" spans="1:35" ht="14.45" customHeight="1" x14ac:dyDescent="0.3">
      <c r="A116" s="89"/>
      <c r="B116" s="90"/>
      <c r="C116" s="98"/>
      <c r="D116" s="86" t="s">
        <v>320</v>
      </c>
      <c r="E116" s="91">
        <v>11.25</v>
      </c>
      <c r="F116" s="91">
        <v>11.25</v>
      </c>
      <c r="G116" s="127" t="s">
        <v>69</v>
      </c>
      <c r="H116" s="90"/>
      <c r="I116" s="48"/>
      <c r="J116" s="48"/>
      <c r="K116" s="48"/>
      <c r="L116" s="48"/>
      <c r="M116" s="48"/>
      <c r="N116" s="48"/>
      <c r="O116" s="48"/>
      <c r="P116" s="48"/>
      <c r="Q116" s="73"/>
      <c r="R116" s="404"/>
      <c r="S116" s="157"/>
      <c r="T116" s="84"/>
      <c r="U116" s="84"/>
      <c r="V116" s="158"/>
      <c r="W116" s="157"/>
      <c r="X116" s="157"/>
      <c r="Y116" s="157"/>
      <c r="Z116" s="158"/>
      <c r="AA116" s="158"/>
      <c r="AB116" s="157"/>
      <c r="AC116" s="157"/>
      <c r="AD116" s="157"/>
      <c r="AE116" s="158"/>
      <c r="AF116" s="158"/>
      <c r="AG116" s="25"/>
      <c r="AH116" s="25"/>
      <c r="AI116" s="25"/>
    </row>
    <row r="117" spans="1:35" ht="14.45" customHeight="1" x14ac:dyDescent="0.3">
      <c r="A117" s="89"/>
      <c r="B117" s="90"/>
      <c r="C117" s="98"/>
      <c r="D117" s="86" t="s">
        <v>321</v>
      </c>
      <c r="E117" s="91">
        <v>0.63</v>
      </c>
      <c r="F117" s="91">
        <v>0.63</v>
      </c>
      <c r="G117" s="127" t="s">
        <v>167</v>
      </c>
      <c r="H117" s="90"/>
      <c r="I117" s="48"/>
      <c r="J117" s="48"/>
      <c r="K117" s="48"/>
      <c r="L117" s="48"/>
      <c r="M117" s="48"/>
      <c r="N117" s="48"/>
      <c r="O117" s="48"/>
      <c r="P117" s="48"/>
      <c r="Q117" s="73"/>
      <c r="R117" s="404"/>
      <c r="S117" s="157"/>
      <c r="T117" s="84"/>
      <c r="U117" s="84"/>
      <c r="V117" s="158"/>
      <c r="W117" s="157"/>
      <c r="X117" s="157"/>
      <c r="Y117" s="157"/>
      <c r="Z117" s="158"/>
      <c r="AA117" s="158"/>
      <c r="AB117" s="157"/>
      <c r="AC117" s="157"/>
      <c r="AD117" s="157"/>
      <c r="AE117" s="158"/>
      <c r="AF117" s="158"/>
      <c r="AG117" s="25"/>
      <c r="AH117" s="25"/>
      <c r="AI117" s="25"/>
    </row>
    <row r="118" spans="1:35" ht="14.45" customHeight="1" x14ac:dyDescent="0.3">
      <c r="A118" s="89"/>
      <c r="B118" s="90"/>
      <c r="C118" s="98"/>
      <c r="D118" s="86" t="s">
        <v>322</v>
      </c>
      <c r="E118" s="91">
        <v>117</v>
      </c>
      <c r="F118" s="91">
        <v>117</v>
      </c>
      <c r="G118" s="127" t="s">
        <v>70</v>
      </c>
      <c r="H118" s="90"/>
      <c r="I118" s="48"/>
      <c r="J118" s="48"/>
      <c r="K118" s="48"/>
      <c r="L118" s="48"/>
      <c r="M118" s="48"/>
      <c r="N118" s="48"/>
      <c r="O118" s="48"/>
      <c r="P118" s="48"/>
      <c r="Q118" s="73"/>
      <c r="R118" s="404"/>
      <c r="S118" s="25"/>
      <c r="T118" s="6"/>
      <c r="U118" s="6"/>
      <c r="W118" s="25"/>
      <c r="X118" s="25"/>
      <c r="Y118" s="25"/>
      <c r="AB118" s="25"/>
      <c r="AC118" s="25"/>
      <c r="AD118" s="25"/>
      <c r="AG118" s="25"/>
      <c r="AH118" s="25"/>
      <c r="AI118" s="25"/>
    </row>
    <row r="119" spans="1:35" ht="14.45" customHeight="1" x14ac:dyDescent="0.3">
      <c r="A119" s="89"/>
      <c r="B119" s="90"/>
      <c r="C119" s="98"/>
      <c r="D119" s="86" t="s">
        <v>708</v>
      </c>
      <c r="E119" s="91">
        <v>2</v>
      </c>
      <c r="F119" s="91">
        <v>2</v>
      </c>
      <c r="G119" s="127" t="s">
        <v>0</v>
      </c>
      <c r="H119" s="90"/>
      <c r="I119" s="48"/>
      <c r="J119" s="48"/>
      <c r="K119" s="48"/>
      <c r="L119" s="48"/>
      <c r="M119" s="48"/>
      <c r="N119" s="48"/>
      <c r="O119" s="48"/>
      <c r="P119" s="48"/>
      <c r="Q119" s="73"/>
      <c r="R119" s="404"/>
      <c r="S119" s="25"/>
      <c r="T119" s="25"/>
      <c r="W119" s="25"/>
      <c r="X119" s="25"/>
      <c r="Y119" s="25"/>
      <c r="AB119" s="25"/>
      <c r="AC119" s="25"/>
      <c r="AD119" s="25"/>
      <c r="AG119" s="25"/>
      <c r="AH119" s="25"/>
      <c r="AI119" s="25"/>
    </row>
    <row r="120" spans="1:35" ht="14.45" customHeight="1" x14ac:dyDescent="0.3">
      <c r="A120" s="89"/>
      <c r="B120" s="90"/>
      <c r="C120" s="90"/>
      <c r="D120" s="86" t="s">
        <v>705</v>
      </c>
      <c r="E120" s="91">
        <v>0.75</v>
      </c>
      <c r="F120" s="91">
        <v>0.75</v>
      </c>
      <c r="G120" s="127" t="s">
        <v>0</v>
      </c>
      <c r="H120" s="90"/>
      <c r="I120" s="48"/>
      <c r="J120" s="48"/>
      <c r="K120" s="48"/>
      <c r="L120" s="48"/>
      <c r="M120" s="48"/>
      <c r="N120" s="48"/>
      <c r="O120" s="48"/>
      <c r="P120" s="48"/>
      <c r="Q120" s="73"/>
      <c r="R120" s="404"/>
      <c r="S120" s="25"/>
      <c r="T120" s="25"/>
      <c r="W120" s="25"/>
      <c r="X120" s="25"/>
      <c r="Y120" s="25"/>
      <c r="AB120" s="25"/>
      <c r="AC120" s="25"/>
      <c r="AD120" s="25"/>
      <c r="AG120" s="25"/>
      <c r="AH120" s="25"/>
      <c r="AI120" s="25"/>
    </row>
    <row r="121" spans="1:35" ht="14.45" customHeight="1" x14ac:dyDescent="0.3">
      <c r="A121" s="89"/>
      <c r="B121" s="90"/>
      <c r="C121" s="90"/>
      <c r="D121" s="86" t="s">
        <v>707</v>
      </c>
      <c r="E121" s="91">
        <v>56</v>
      </c>
      <c r="F121" s="2"/>
      <c r="G121" s="127" t="s">
        <v>69</v>
      </c>
      <c r="H121" s="90"/>
      <c r="I121" s="48"/>
      <c r="J121" s="48"/>
      <c r="K121" s="48"/>
      <c r="L121" s="48"/>
      <c r="M121" s="48"/>
      <c r="N121" s="48"/>
      <c r="O121" s="48"/>
      <c r="P121" s="48"/>
      <c r="Q121" s="73"/>
      <c r="R121" s="404"/>
      <c r="S121" s="25"/>
      <c r="T121" s="25"/>
      <c r="W121" s="25"/>
      <c r="X121" s="25"/>
      <c r="Y121" s="25"/>
      <c r="AB121" s="25"/>
      <c r="AC121" s="25"/>
      <c r="AD121" s="25"/>
      <c r="AG121" s="25"/>
      <c r="AH121" s="25"/>
      <c r="AI121" s="25"/>
    </row>
    <row r="122" spans="1:35" ht="14.3" customHeight="1" thickBot="1" x14ac:dyDescent="0.35">
      <c r="A122" s="161"/>
      <c r="B122" s="143"/>
      <c r="C122" s="143"/>
      <c r="D122" s="144" t="s">
        <v>323</v>
      </c>
      <c r="E122" s="181">
        <v>65</v>
      </c>
      <c r="F122" s="181">
        <v>65</v>
      </c>
      <c r="G122" s="145" t="s">
        <v>236</v>
      </c>
      <c r="H122" s="90"/>
      <c r="I122" s="48"/>
      <c r="J122" s="48"/>
      <c r="K122" s="48"/>
      <c r="L122" s="48"/>
      <c r="M122" s="48"/>
      <c r="N122" s="48"/>
      <c r="O122" s="48"/>
      <c r="P122" s="48"/>
      <c r="Q122" s="73"/>
      <c r="R122" s="404"/>
      <c r="S122" s="25"/>
      <c r="T122" s="25"/>
      <c r="W122" s="25"/>
      <c r="X122" s="25"/>
      <c r="Y122" s="25"/>
      <c r="AB122" s="25"/>
      <c r="AC122" s="25"/>
      <c r="AD122" s="25"/>
      <c r="AG122" s="25"/>
      <c r="AH122" s="25"/>
      <c r="AI122" s="25"/>
    </row>
    <row r="123" spans="1:35" ht="14.45" customHeight="1" thickBot="1" x14ac:dyDescent="0.3">
      <c r="A123" s="89"/>
      <c r="B123" s="90"/>
      <c r="C123" s="90"/>
      <c r="D123" s="86"/>
      <c r="E123" s="475"/>
      <c r="F123" s="163"/>
      <c r="G123" s="90"/>
      <c r="H123" s="90"/>
      <c r="I123" s="52"/>
      <c r="J123" s="53"/>
      <c r="K123" s="48"/>
      <c r="L123" s="48"/>
      <c r="M123" s="48"/>
      <c r="N123" s="48"/>
      <c r="O123" s="48"/>
      <c r="P123" s="48"/>
      <c r="Q123" s="73"/>
      <c r="R123" s="404"/>
      <c r="S123" s="25"/>
      <c r="T123" s="25"/>
      <c r="W123" s="25"/>
      <c r="X123" s="25"/>
      <c r="Y123" s="25"/>
      <c r="AB123" s="25"/>
      <c r="AC123" s="25"/>
      <c r="AD123" s="25"/>
      <c r="AG123" s="25"/>
      <c r="AH123" s="25"/>
      <c r="AI123" s="25"/>
    </row>
    <row r="124" spans="1:35" ht="14.45" customHeight="1" x14ac:dyDescent="0.25">
      <c r="A124" s="389" t="s">
        <v>646</v>
      </c>
      <c r="B124" s="374"/>
      <c r="C124" s="375"/>
      <c r="D124" s="389"/>
      <c r="E124" s="391" t="s">
        <v>704</v>
      </c>
      <c r="F124" s="392" t="s">
        <v>713</v>
      </c>
      <c r="G124" s="376"/>
      <c r="H124" s="90"/>
      <c r="I124" s="48"/>
      <c r="J124" s="48"/>
      <c r="K124" s="48"/>
      <c r="L124" s="48"/>
      <c r="M124" s="48"/>
      <c r="N124" s="48"/>
      <c r="O124" s="48"/>
      <c r="P124" s="48"/>
      <c r="Q124" s="73"/>
      <c r="R124" s="404"/>
      <c r="S124" s="25"/>
      <c r="T124" s="25"/>
      <c r="W124" s="25"/>
      <c r="X124" s="25"/>
      <c r="Y124" s="25"/>
      <c r="AB124" s="25"/>
      <c r="AC124" s="25"/>
      <c r="AD124" s="25"/>
      <c r="AG124" s="25"/>
      <c r="AH124" s="25"/>
      <c r="AI124" s="25"/>
    </row>
    <row r="125" spans="1:35" ht="14.45" customHeight="1" x14ac:dyDescent="0.3">
      <c r="A125" s="89"/>
      <c r="B125" s="90"/>
      <c r="C125" s="90"/>
      <c r="D125" s="86" t="s">
        <v>709</v>
      </c>
      <c r="E125" s="182">
        <v>0</v>
      </c>
      <c r="F125" s="182">
        <v>0</v>
      </c>
      <c r="G125" s="127" t="s">
        <v>0</v>
      </c>
      <c r="H125" s="90"/>
      <c r="I125" s="48"/>
      <c r="J125" s="48"/>
      <c r="K125" s="48"/>
      <c r="L125" s="48"/>
      <c r="M125" s="48"/>
      <c r="N125" s="48"/>
      <c r="O125" s="48"/>
      <c r="P125" s="48"/>
      <c r="Q125" s="73"/>
      <c r="R125" s="404"/>
      <c r="S125" s="25"/>
      <c r="T125" s="25"/>
      <c r="W125" s="25"/>
      <c r="X125" s="25"/>
      <c r="Y125" s="25"/>
      <c r="AB125" s="25"/>
      <c r="AC125" s="25"/>
      <c r="AD125" s="25"/>
      <c r="AG125" s="25"/>
      <c r="AH125" s="25"/>
      <c r="AI125" s="25"/>
    </row>
    <row r="126" spans="1:35" ht="14.45" customHeight="1" thickBot="1" x14ac:dyDescent="0.35">
      <c r="A126" s="161"/>
      <c r="B126" s="143"/>
      <c r="C126" s="143"/>
      <c r="D126" s="144" t="s">
        <v>706</v>
      </c>
      <c r="E126" s="183">
        <v>0</v>
      </c>
      <c r="F126" s="183">
        <v>0</v>
      </c>
      <c r="G126" s="145" t="s">
        <v>69</v>
      </c>
      <c r="H126" s="90"/>
      <c r="I126" s="48"/>
      <c r="J126" s="48"/>
      <c r="K126" s="48"/>
      <c r="L126" s="48"/>
      <c r="M126" s="48"/>
      <c r="N126" s="48"/>
      <c r="O126" s="48"/>
      <c r="P126" s="48"/>
      <c r="Q126" s="73"/>
      <c r="R126" s="404"/>
      <c r="S126" s="25"/>
      <c r="T126" s="25"/>
      <c r="W126" s="25"/>
      <c r="X126" s="25"/>
      <c r="Y126" s="25"/>
      <c r="AB126" s="25"/>
      <c r="AC126" s="25"/>
      <c r="AD126" s="25"/>
      <c r="AG126" s="25"/>
      <c r="AH126" s="25"/>
      <c r="AI126" s="25"/>
    </row>
    <row r="127" spans="1:35" ht="14.3" thickBot="1" x14ac:dyDescent="0.3">
      <c r="A127" s="123"/>
      <c r="B127" s="124"/>
      <c r="C127" s="124"/>
      <c r="D127" s="124"/>
      <c r="E127" s="171"/>
      <c r="F127" s="124"/>
      <c r="G127" s="124"/>
      <c r="H127" s="124"/>
      <c r="I127" s="172"/>
      <c r="J127" s="172"/>
      <c r="K127" s="172"/>
      <c r="L127" s="172"/>
      <c r="M127" s="172"/>
      <c r="N127" s="172"/>
      <c r="O127" s="172"/>
      <c r="P127" s="172"/>
      <c r="Q127" s="173"/>
      <c r="R127" s="404"/>
      <c r="S127" s="25"/>
      <c r="T127" s="25"/>
      <c r="W127" s="25"/>
      <c r="X127" s="25"/>
      <c r="Y127" s="25"/>
      <c r="AB127" s="25"/>
      <c r="AC127" s="25"/>
      <c r="AD127" s="25"/>
      <c r="AG127" s="25"/>
      <c r="AH127" s="25"/>
      <c r="AI127" s="25"/>
    </row>
    <row r="128" spans="1:35" x14ac:dyDescent="0.25">
      <c r="A128" s="401"/>
      <c r="B128" s="402"/>
      <c r="C128" s="403"/>
      <c r="D128" s="403"/>
      <c r="E128" s="403"/>
      <c r="F128" s="403"/>
      <c r="G128" s="403"/>
      <c r="H128" s="403"/>
      <c r="I128" s="403"/>
      <c r="J128" s="403"/>
      <c r="K128" s="403"/>
      <c r="L128" s="403"/>
      <c r="M128" s="403"/>
      <c r="N128" s="403"/>
      <c r="O128" s="403"/>
      <c r="P128" s="403"/>
      <c r="Q128" s="403"/>
      <c r="R128" s="404"/>
      <c r="S128" s="25"/>
      <c r="T128" s="25"/>
      <c r="W128" s="25"/>
      <c r="X128" s="25"/>
      <c r="Y128" s="25"/>
      <c r="AB128" s="25"/>
      <c r="AC128" s="25"/>
      <c r="AD128" s="25"/>
      <c r="AG128" s="25"/>
      <c r="AH128" s="25"/>
      <c r="AI128" s="25"/>
    </row>
    <row r="129" spans="1:35" x14ac:dyDescent="0.25">
      <c r="A129" s="44"/>
      <c r="R129" s="25"/>
      <c r="S129" s="25"/>
      <c r="T129" s="25"/>
      <c r="W129" s="25"/>
      <c r="X129" s="25"/>
      <c r="Y129" s="25"/>
      <c r="AB129" s="25"/>
      <c r="AC129" s="25"/>
      <c r="AD129" s="25"/>
      <c r="AG129" s="25"/>
      <c r="AH129" s="25"/>
      <c r="AI129" s="25"/>
    </row>
    <row r="130" spans="1:35" x14ac:dyDescent="0.25">
      <c r="R130" s="25"/>
      <c r="S130" s="25"/>
      <c r="T130" s="25"/>
      <c r="W130" s="25"/>
      <c r="X130" s="25"/>
      <c r="Y130" s="25"/>
      <c r="AB130" s="25"/>
      <c r="AC130" s="25"/>
      <c r="AD130" s="25"/>
      <c r="AG130" s="25"/>
      <c r="AH130" s="25"/>
      <c r="AI130" s="25"/>
    </row>
    <row r="131" spans="1:35" x14ac:dyDescent="0.25">
      <c r="R131" s="25"/>
      <c r="S131" s="25"/>
      <c r="T131" s="25"/>
      <c r="W131" s="25"/>
      <c r="X131" s="25"/>
      <c r="Y131" s="25"/>
      <c r="AB131" s="25"/>
      <c r="AC131" s="25"/>
      <c r="AD131" s="25"/>
      <c r="AG131" s="25"/>
      <c r="AH131" s="25"/>
      <c r="AI131" s="25"/>
    </row>
    <row r="132" spans="1:35" x14ac:dyDescent="0.25">
      <c r="R132" s="25"/>
      <c r="S132" s="25"/>
      <c r="T132" s="25"/>
      <c r="W132" s="25"/>
      <c r="X132" s="25"/>
      <c r="Y132" s="25"/>
      <c r="AB132" s="25"/>
      <c r="AC132" s="25"/>
      <c r="AD132" s="25"/>
      <c r="AG132" s="25"/>
      <c r="AH132" s="25"/>
      <c r="AI132" s="25"/>
    </row>
    <row r="133" spans="1:35" x14ac:dyDescent="0.25">
      <c r="R133" s="25"/>
      <c r="S133" s="25"/>
      <c r="T133" s="25"/>
      <c r="W133" s="25"/>
      <c r="X133" s="25"/>
      <c r="Y133" s="25"/>
      <c r="AB133" s="25"/>
      <c r="AC133" s="25"/>
      <c r="AD133" s="25"/>
      <c r="AG133" s="25"/>
      <c r="AH133" s="25"/>
      <c r="AI133" s="25"/>
    </row>
    <row r="134" spans="1:35" x14ac:dyDescent="0.25">
      <c r="R134" s="25"/>
      <c r="S134" s="25"/>
      <c r="T134" s="25"/>
      <c r="W134" s="25"/>
      <c r="X134" s="25"/>
      <c r="Y134" s="25"/>
      <c r="AB134" s="25"/>
      <c r="AC134" s="25"/>
      <c r="AD134" s="25"/>
      <c r="AG134" s="25"/>
      <c r="AH134" s="25"/>
      <c r="AI134" s="25"/>
    </row>
    <row r="135" spans="1:35" x14ac:dyDescent="0.25">
      <c r="R135" s="25"/>
      <c r="S135" s="25"/>
      <c r="T135" s="25"/>
      <c r="W135" s="25"/>
      <c r="X135" s="25"/>
      <c r="Y135" s="25"/>
      <c r="AB135" s="25"/>
      <c r="AC135" s="25"/>
      <c r="AD135" s="25"/>
      <c r="AG135" s="25"/>
      <c r="AH135" s="25"/>
      <c r="AI135" s="25"/>
    </row>
    <row r="136" spans="1:35" x14ac:dyDescent="0.25">
      <c r="R136" s="25"/>
      <c r="S136" s="25"/>
      <c r="T136" s="25"/>
      <c r="W136" s="25"/>
      <c r="X136" s="25"/>
      <c r="Y136" s="25"/>
      <c r="AB136" s="25"/>
      <c r="AC136" s="25"/>
      <c r="AD136" s="25"/>
      <c r="AG136" s="25"/>
      <c r="AH136" s="25"/>
      <c r="AI136" s="25"/>
    </row>
    <row r="137" spans="1:35" x14ac:dyDescent="0.25">
      <c r="R137" s="25"/>
      <c r="S137" s="25"/>
      <c r="T137" s="25"/>
      <c r="W137" s="25"/>
      <c r="X137" s="25"/>
      <c r="Y137" s="25"/>
      <c r="AB137" s="25"/>
      <c r="AC137" s="25"/>
      <c r="AD137" s="25"/>
      <c r="AG137" s="25"/>
      <c r="AH137" s="25"/>
      <c r="AI137" s="25"/>
    </row>
    <row r="138" spans="1:35" x14ac:dyDescent="0.25">
      <c r="R138" s="25"/>
      <c r="S138" s="25"/>
      <c r="T138" s="25"/>
      <c r="W138" s="25"/>
      <c r="X138" s="25"/>
      <c r="Y138" s="25"/>
      <c r="AB138" s="25"/>
      <c r="AC138" s="25"/>
      <c r="AD138" s="25"/>
      <c r="AG138" s="25"/>
      <c r="AH138" s="25"/>
      <c r="AI138" s="25"/>
    </row>
    <row r="139" spans="1:35" x14ac:dyDescent="0.25">
      <c r="R139" s="25"/>
      <c r="S139" s="25"/>
      <c r="T139" s="25"/>
      <c r="W139" s="25"/>
      <c r="X139" s="25"/>
      <c r="Y139" s="25"/>
      <c r="AB139" s="25"/>
      <c r="AC139" s="25"/>
      <c r="AD139" s="25"/>
      <c r="AG139" s="25"/>
      <c r="AH139" s="25"/>
      <c r="AI139" s="25"/>
    </row>
    <row r="140" spans="1:35" x14ac:dyDescent="0.25">
      <c r="R140" s="25"/>
      <c r="S140" s="25"/>
      <c r="T140" s="25"/>
      <c r="W140" s="25"/>
      <c r="X140" s="25"/>
      <c r="Y140" s="25"/>
      <c r="AB140" s="25"/>
      <c r="AC140" s="25"/>
      <c r="AD140" s="25"/>
      <c r="AG140" s="25"/>
      <c r="AH140" s="25"/>
      <c r="AI140" s="25"/>
    </row>
    <row r="141" spans="1:35" x14ac:dyDescent="0.25">
      <c r="R141" s="25"/>
      <c r="S141" s="25"/>
      <c r="T141" s="25"/>
      <c r="W141" s="25"/>
      <c r="X141" s="25"/>
      <c r="Y141" s="25"/>
      <c r="AB141" s="25"/>
      <c r="AC141" s="25"/>
      <c r="AD141" s="25"/>
      <c r="AG141" s="25"/>
      <c r="AH141" s="25"/>
      <c r="AI141" s="25"/>
    </row>
    <row r="142" spans="1:35" x14ac:dyDescent="0.25">
      <c r="R142" s="25"/>
      <c r="S142" s="25"/>
      <c r="T142" s="25"/>
      <c r="W142" s="25"/>
      <c r="X142" s="25"/>
      <c r="Y142" s="25"/>
      <c r="AB142" s="25"/>
      <c r="AC142" s="25"/>
      <c r="AD142" s="25"/>
      <c r="AG142" s="25"/>
      <c r="AH142" s="25"/>
      <c r="AI142" s="25"/>
    </row>
    <row r="143" spans="1:35" x14ac:dyDescent="0.25">
      <c r="R143" s="25"/>
      <c r="S143" s="25"/>
      <c r="T143" s="25"/>
      <c r="W143" s="25"/>
      <c r="X143" s="25"/>
      <c r="Y143" s="25"/>
      <c r="AB143" s="25"/>
      <c r="AC143" s="25"/>
      <c r="AD143" s="25"/>
      <c r="AG143" s="25"/>
      <c r="AH143" s="25"/>
      <c r="AI143" s="25"/>
    </row>
    <row r="144" spans="1:35" x14ac:dyDescent="0.25">
      <c r="R144" s="25"/>
      <c r="S144" s="25"/>
      <c r="T144" s="25"/>
      <c r="W144" s="25"/>
      <c r="X144" s="25"/>
      <c r="Y144" s="25"/>
      <c r="AB144" s="25"/>
      <c r="AC144" s="25"/>
      <c r="AD144" s="25"/>
      <c r="AG144" s="25"/>
      <c r="AH144" s="25"/>
      <c r="AI144" s="25"/>
    </row>
    <row r="145" spans="18:35" x14ac:dyDescent="0.25">
      <c r="R145" s="25"/>
      <c r="S145" s="25"/>
      <c r="T145" s="25"/>
      <c r="W145" s="25"/>
      <c r="X145" s="25"/>
      <c r="Y145" s="25"/>
      <c r="AB145" s="25"/>
      <c r="AC145" s="25"/>
      <c r="AD145" s="25"/>
      <c r="AG145" s="25"/>
      <c r="AH145" s="25"/>
      <c r="AI145" s="25"/>
    </row>
    <row r="146" spans="18:35" x14ac:dyDescent="0.25">
      <c r="R146" s="25"/>
      <c r="S146" s="25"/>
      <c r="T146" s="25"/>
      <c r="W146" s="25"/>
      <c r="X146" s="25"/>
      <c r="Y146" s="25"/>
      <c r="AB146" s="25"/>
      <c r="AC146" s="25"/>
      <c r="AD146" s="25"/>
      <c r="AG146" s="25"/>
      <c r="AH146" s="25"/>
      <c r="AI146" s="25"/>
    </row>
    <row r="147" spans="18:35" x14ac:dyDescent="0.25">
      <c r="R147" s="25"/>
      <c r="S147" s="25"/>
      <c r="T147" s="25"/>
      <c r="W147" s="25"/>
      <c r="X147" s="25"/>
      <c r="Y147" s="25"/>
      <c r="AB147" s="25"/>
      <c r="AC147" s="25"/>
      <c r="AD147" s="25"/>
      <c r="AG147" s="25"/>
      <c r="AH147" s="25"/>
      <c r="AI147" s="25"/>
    </row>
    <row r="148" spans="18:35" x14ac:dyDescent="0.25">
      <c r="R148" s="25"/>
      <c r="S148" s="25"/>
      <c r="T148" s="25"/>
      <c r="W148" s="25"/>
      <c r="X148" s="25"/>
      <c r="Y148" s="25"/>
      <c r="AB148" s="25"/>
      <c r="AC148" s="25"/>
      <c r="AD148" s="25"/>
      <c r="AG148" s="25"/>
      <c r="AH148" s="25"/>
      <c r="AI148" s="25"/>
    </row>
    <row r="149" spans="18:35" x14ac:dyDescent="0.25">
      <c r="R149" s="25"/>
      <c r="S149" s="25"/>
      <c r="T149" s="25"/>
      <c r="W149" s="25"/>
      <c r="X149" s="25"/>
      <c r="Y149" s="25"/>
      <c r="AB149" s="25"/>
      <c r="AC149" s="25"/>
      <c r="AD149" s="25"/>
      <c r="AG149" s="25"/>
      <c r="AH149" s="25"/>
      <c r="AI149" s="25"/>
    </row>
    <row r="150" spans="18:35" x14ac:dyDescent="0.25">
      <c r="R150" s="25"/>
      <c r="S150" s="25"/>
      <c r="T150" s="25"/>
      <c r="W150" s="25"/>
      <c r="X150" s="25"/>
      <c r="Y150" s="25"/>
      <c r="AB150" s="25"/>
      <c r="AC150" s="25"/>
      <c r="AD150" s="25"/>
      <c r="AG150" s="25"/>
      <c r="AH150" s="25"/>
      <c r="AI150" s="25"/>
    </row>
    <row r="151" spans="18:35" x14ac:dyDescent="0.25">
      <c r="R151" s="25"/>
      <c r="S151" s="25"/>
      <c r="T151" s="25"/>
      <c r="W151" s="25"/>
      <c r="X151" s="25"/>
      <c r="Y151" s="25"/>
      <c r="AB151" s="25"/>
      <c r="AC151" s="25"/>
      <c r="AD151" s="25"/>
      <c r="AG151" s="25"/>
      <c r="AH151" s="25"/>
      <c r="AI151" s="25"/>
    </row>
    <row r="152" spans="18:35" x14ac:dyDescent="0.25">
      <c r="R152" s="25"/>
      <c r="S152" s="25"/>
      <c r="T152" s="25"/>
      <c r="W152" s="25"/>
      <c r="X152" s="25"/>
      <c r="Y152" s="25"/>
      <c r="AB152" s="25"/>
      <c r="AC152" s="25"/>
      <c r="AD152" s="25"/>
      <c r="AG152" s="25"/>
      <c r="AH152" s="25"/>
      <c r="AI152" s="25"/>
    </row>
    <row r="153" spans="18:35" x14ac:dyDescent="0.25">
      <c r="R153" s="25"/>
      <c r="S153" s="25"/>
      <c r="T153" s="25"/>
      <c r="W153" s="25"/>
      <c r="X153" s="25"/>
      <c r="Y153" s="25"/>
      <c r="AB153" s="25"/>
      <c r="AC153" s="25"/>
      <c r="AD153" s="25"/>
      <c r="AG153" s="25"/>
      <c r="AH153" s="25"/>
      <c r="AI153" s="25"/>
    </row>
    <row r="154" spans="18:35" x14ac:dyDescent="0.25">
      <c r="R154" s="25"/>
      <c r="S154" s="25"/>
      <c r="T154" s="25"/>
      <c r="W154" s="25"/>
      <c r="X154" s="25"/>
      <c r="Y154" s="25"/>
      <c r="AB154" s="25"/>
      <c r="AC154" s="25"/>
      <c r="AD154" s="25"/>
      <c r="AG154" s="25"/>
      <c r="AH154" s="25"/>
      <c r="AI154" s="25"/>
    </row>
    <row r="155" spans="18:35" x14ac:dyDescent="0.25">
      <c r="R155" s="25"/>
      <c r="S155" s="25"/>
      <c r="T155" s="25"/>
      <c r="W155" s="25"/>
      <c r="X155" s="25"/>
      <c r="Y155" s="25"/>
      <c r="AB155" s="25"/>
      <c r="AC155" s="25"/>
      <c r="AD155" s="25"/>
      <c r="AG155" s="25"/>
      <c r="AH155" s="25"/>
      <c r="AI155" s="25"/>
    </row>
    <row r="156" spans="18:35" x14ac:dyDescent="0.25">
      <c r="R156" s="25"/>
      <c r="S156" s="25"/>
      <c r="T156" s="25"/>
      <c r="W156" s="25"/>
      <c r="X156" s="25"/>
      <c r="Y156" s="25"/>
      <c r="AB156" s="25"/>
      <c r="AC156" s="25"/>
      <c r="AD156" s="25"/>
      <c r="AG156" s="25"/>
      <c r="AH156" s="25"/>
      <c r="AI156" s="25"/>
    </row>
    <row r="157" spans="18:35" x14ac:dyDescent="0.25">
      <c r="R157" s="25"/>
      <c r="S157" s="25"/>
      <c r="T157" s="25"/>
      <c r="W157" s="25"/>
      <c r="X157" s="25"/>
      <c r="Y157" s="25"/>
      <c r="AB157" s="25"/>
      <c r="AC157" s="25"/>
      <c r="AD157" s="25"/>
      <c r="AG157" s="25"/>
      <c r="AH157" s="25"/>
      <c r="AI157" s="25"/>
    </row>
    <row r="158" spans="18:35" x14ac:dyDescent="0.25">
      <c r="R158" s="25"/>
      <c r="S158" s="25"/>
      <c r="T158" s="25"/>
      <c r="W158" s="25"/>
      <c r="X158" s="25"/>
      <c r="Y158" s="25"/>
      <c r="AB158" s="25"/>
      <c r="AC158" s="25"/>
      <c r="AD158" s="25"/>
      <c r="AG158" s="25"/>
      <c r="AH158" s="25"/>
      <c r="AI158" s="25"/>
    </row>
    <row r="159" spans="18:35" x14ac:dyDescent="0.25">
      <c r="R159" s="25"/>
      <c r="S159" s="25"/>
      <c r="T159" s="25"/>
      <c r="W159" s="25"/>
      <c r="X159" s="25"/>
      <c r="Y159" s="25"/>
      <c r="AB159" s="25"/>
      <c r="AC159" s="25"/>
      <c r="AD159" s="25"/>
      <c r="AG159" s="25"/>
      <c r="AH159" s="25"/>
      <c r="AI159" s="25"/>
    </row>
    <row r="160" spans="18:35" x14ac:dyDescent="0.25">
      <c r="R160" s="25"/>
      <c r="S160" s="25"/>
      <c r="T160" s="25"/>
      <c r="W160" s="25"/>
      <c r="X160" s="25"/>
      <c r="Y160" s="25"/>
      <c r="AB160" s="25"/>
      <c r="AC160" s="25"/>
      <c r="AD160" s="25"/>
      <c r="AG160" s="25"/>
      <c r="AH160" s="25"/>
      <c r="AI160" s="25"/>
    </row>
    <row r="161" spans="18:35" x14ac:dyDescent="0.25">
      <c r="R161" s="25"/>
      <c r="S161" s="25"/>
      <c r="T161" s="25"/>
      <c r="W161" s="25"/>
      <c r="X161" s="25"/>
      <c r="Y161" s="25"/>
      <c r="AB161" s="25"/>
      <c r="AC161" s="25"/>
      <c r="AD161" s="25"/>
      <c r="AG161" s="25"/>
      <c r="AH161" s="25"/>
      <c r="AI161" s="25"/>
    </row>
    <row r="162" spans="18:35" x14ac:dyDescent="0.25">
      <c r="R162" s="25"/>
      <c r="S162" s="25"/>
      <c r="T162" s="25"/>
      <c r="W162" s="25"/>
      <c r="X162" s="25"/>
      <c r="Y162" s="25"/>
      <c r="AB162" s="25"/>
      <c r="AC162" s="25"/>
      <c r="AD162" s="25"/>
      <c r="AG162" s="25"/>
      <c r="AH162" s="25"/>
      <c r="AI162" s="25"/>
    </row>
    <row r="163" spans="18:35" x14ac:dyDescent="0.25">
      <c r="R163" s="25"/>
      <c r="S163" s="25"/>
      <c r="T163" s="25"/>
      <c r="W163" s="25"/>
      <c r="X163" s="25"/>
      <c r="Y163" s="25"/>
      <c r="AB163" s="25"/>
      <c r="AC163" s="25"/>
      <c r="AD163" s="25"/>
      <c r="AG163" s="25"/>
      <c r="AH163" s="25"/>
      <c r="AI163" s="25"/>
    </row>
    <row r="164" spans="18:35" x14ac:dyDescent="0.25">
      <c r="R164" s="25"/>
      <c r="S164" s="25"/>
      <c r="T164" s="25"/>
      <c r="W164" s="25"/>
      <c r="X164" s="25"/>
      <c r="Y164" s="25"/>
      <c r="AB164" s="25"/>
      <c r="AC164" s="25"/>
      <c r="AD164" s="25"/>
      <c r="AG164" s="25"/>
      <c r="AH164" s="25"/>
      <c r="AI164" s="25"/>
    </row>
    <row r="165" spans="18:35" x14ac:dyDescent="0.25">
      <c r="R165" s="25"/>
      <c r="S165" s="25"/>
      <c r="T165" s="25"/>
      <c r="W165" s="25"/>
      <c r="X165" s="25"/>
      <c r="Y165" s="25"/>
      <c r="AB165" s="25"/>
      <c r="AC165" s="25"/>
      <c r="AD165" s="25"/>
      <c r="AG165" s="25"/>
      <c r="AH165" s="25"/>
      <c r="AI165" s="25"/>
    </row>
    <row r="166" spans="18:35" x14ac:dyDescent="0.25">
      <c r="R166" s="25"/>
      <c r="S166" s="25"/>
      <c r="T166" s="25"/>
      <c r="W166" s="25"/>
      <c r="X166" s="25"/>
      <c r="Y166" s="25"/>
      <c r="AB166" s="25"/>
      <c r="AC166" s="25"/>
      <c r="AD166" s="25"/>
      <c r="AG166" s="25"/>
      <c r="AH166" s="25"/>
      <c r="AI166" s="25"/>
    </row>
    <row r="167" spans="18:35" x14ac:dyDescent="0.25">
      <c r="R167" s="25"/>
      <c r="S167" s="25"/>
      <c r="T167" s="25"/>
      <c r="W167" s="25"/>
      <c r="X167" s="25"/>
      <c r="Y167" s="25"/>
      <c r="AB167" s="25"/>
      <c r="AC167" s="25"/>
      <c r="AD167" s="25"/>
      <c r="AG167" s="25"/>
      <c r="AH167" s="25"/>
      <c r="AI167" s="25"/>
    </row>
    <row r="168" spans="18:35" x14ac:dyDescent="0.25">
      <c r="R168" s="25"/>
      <c r="S168" s="25"/>
      <c r="T168" s="25"/>
      <c r="W168" s="25"/>
      <c r="X168" s="25"/>
      <c r="Y168" s="25"/>
      <c r="AB168" s="25"/>
      <c r="AC168" s="25"/>
      <c r="AD168" s="25"/>
      <c r="AG168" s="25"/>
      <c r="AH168" s="25"/>
      <c r="AI168" s="25"/>
    </row>
    <row r="169" spans="18:35" x14ac:dyDescent="0.25">
      <c r="R169" s="25"/>
      <c r="S169" s="25"/>
      <c r="T169" s="25"/>
      <c r="W169" s="25"/>
      <c r="X169" s="25"/>
      <c r="Y169" s="25"/>
      <c r="AB169" s="25"/>
      <c r="AC169" s="25"/>
      <c r="AD169" s="25"/>
      <c r="AG169" s="25"/>
      <c r="AH169" s="25"/>
      <c r="AI169" s="25"/>
    </row>
    <row r="170" spans="18:35" x14ac:dyDescent="0.25">
      <c r="R170" s="25"/>
      <c r="S170" s="25"/>
      <c r="T170" s="25"/>
      <c r="W170" s="25"/>
      <c r="X170" s="25"/>
      <c r="Y170" s="25"/>
      <c r="AB170" s="25"/>
      <c r="AC170" s="25"/>
      <c r="AD170" s="25"/>
      <c r="AG170" s="25"/>
      <c r="AH170" s="25"/>
      <c r="AI170" s="25"/>
    </row>
    <row r="171" spans="18:35" x14ac:dyDescent="0.25">
      <c r="R171" s="25"/>
      <c r="S171" s="25"/>
      <c r="T171" s="25"/>
      <c r="W171" s="25"/>
      <c r="X171" s="25"/>
      <c r="Y171" s="25"/>
      <c r="AB171" s="25"/>
      <c r="AC171" s="25"/>
      <c r="AD171" s="25"/>
      <c r="AG171" s="25"/>
      <c r="AH171" s="25"/>
      <c r="AI171" s="25"/>
    </row>
    <row r="172" spans="18:35" x14ac:dyDescent="0.25">
      <c r="R172" s="25"/>
      <c r="S172" s="25"/>
      <c r="T172" s="25"/>
      <c r="W172" s="25"/>
      <c r="X172" s="25"/>
      <c r="Y172" s="25"/>
      <c r="AB172" s="25"/>
      <c r="AC172" s="25"/>
      <c r="AD172" s="25"/>
      <c r="AG172" s="25"/>
      <c r="AH172" s="25"/>
      <c r="AI172" s="25"/>
    </row>
    <row r="173" spans="18:35" x14ac:dyDescent="0.25">
      <c r="R173" s="25"/>
      <c r="S173" s="25"/>
      <c r="T173" s="25"/>
      <c r="W173" s="25"/>
      <c r="X173" s="25"/>
      <c r="Y173" s="25"/>
      <c r="AB173" s="25"/>
      <c r="AC173" s="25"/>
      <c r="AD173" s="25"/>
      <c r="AG173" s="25"/>
      <c r="AH173" s="25"/>
      <c r="AI173" s="25"/>
    </row>
    <row r="174" spans="18:35" x14ac:dyDescent="0.25">
      <c r="R174" s="25"/>
      <c r="S174" s="25"/>
      <c r="T174" s="25"/>
      <c r="W174" s="25"/>
      <c r="X174" s="25"/>
      <c r="Y174" s="25"/>
      <c r="AB174" s="25"/>
      <c r="AC174" s="25"/>
      <c r="AD174" s="25"/>
      <c r="AG174" s="25"/>
      <c r="AH174" s="25"/>
      <c r="AI174" s="25"/>
    </row>
    <row r="175" spans="18:35" x14ac:dyDescent="0.25">
      <c r="R175" s="25"/>
      <c r="S175" s="25"/>
      <c r="T175" s="25"/>
      <c r="W175" s="25"/>
      <c r="X175" s="25"/>
      <c r="Y175" s="25"/>
      <c r="AB175" s="25"/>
      <c r="AC175" s="25"/>
      <c r="AD175" s="25"/>
      <c r="AG175" s="25"/>
      <c r="AH175" s="25"/>
      <c r="AI175" s="25"/>
    </row>
    <row r="176" spans="18:35" x14ac:dyDescent="0.25">
      <c r="R176" s="25"/>
      <c r="S176" s="25"/>
      <c r="T176" s="25"/>
      <c r="W176" s="25"/>
      <c r="X176" s="25"/>
      <c r="Y176" s="25"/>
      <c r="AB176" s="25"/>
      <c r="AC176" s="25"/>
      <c r="AD176" s="25"/>
      <c r="AG176" s="25"/>
      <c r="AH176" s="25"/>
      <c r="AI176" s="25"/>
    </row>
    <row r="177" spans="18:35" x14ac:dyDescent="0.25">
      <c r="R177" s="25"/>
      <c r="S177" s="25"/>
      <c r="T177" s="25"/>
      <c r="W177" s="25"/>
      <c r="X177" s="25"/>
      <c r="Y177" s="25"/>
      <c r="AB177" s="25"/>
      <c r="AC177" s="25"/>
      <c r="AD177" s="25"/>
      <c r="AG177" s="25"/>
      <c r="AH177" s="25"/>
      <c r="AI177" s="25"/>
    </row>
    <row r="178" spans="18:35" x14ac:dyDescent="0.25">
      <c r="R178" s="25"/>
      <c r="S178" s="25"/>
      <c r="T178" s="25"/>
      <c r="W178" s="25"/>
      <c r="X178" s="25"/>
      <c r="Y178" s="25"/>
      <c r="AB178" s="25"/>
      <c r="AC178" s="25"/>
      <c r="AD178" s="25"/>
      <c r="AG178" s="25"/>
      <c r="AH178" s="25"/>
      <c r="AI178" s="25"/>
    </row>
    <row r="179" spans="18:35" x14ac:dyDescent="0.25">
      <c r="R179" s="25"/>
      <c r="S179" s="25"/>
      <c r="T179" s="25"/>
      <c r="W179" s="25"/>
      <c r="X179" s="25"/>
      <c r="Y179" s="25"/>
      <c r="AB179" s="25"/>
      <c r="AC179" s="25"/>
      <c r="AD179" s="25"/>
      <c r="AG179" s="25"/>
      <c r="AH179" s="25"/>
      <c r="AI179" s="25"/>
    </row>
    <row r="180" spans="18:35" x14ac:dyDescent="0.25">
      <c r="R180" s="25"/>
      <c r="S180" s="25"/>
      <c r="T180" s="25"/>
      <c r="W180" s="25"/>
      <c r="X180" s="25"/>
      <c r="Y180" s="25"/>
      <c r="AB180" s="25"/>
      <c r="AC180" s="25"/>
      <c r="AD180" s="25"/>
      <c r="AG180" s="25"/>
      <c r="AH180" s="25"/>
      <c r="AI180" s="25"/>
    </row>
    <row r="181" spans="18:35" x14ac:dyDescent="0.25">
      <c r="R181" s="25"/>
      <c r="S181" s="25"/>
      <c r="T181" s="25"/>
      <c r="W181" s="25"/>
      <c r="X181" s="25"/>
      <c r="Y181" s="25"/>
      <c r="AB181" s="25"/>
      <c r="AC181" s="25"/>
      <c r="AD181" s="25"/>
      <c r="AG181" s="25"/>
      <c r="AH181" s="25"/>
      <c r="AI181" s="25"/>
    </row>
    <row r="182" spans="18:35" x14ac:dyDescent="0.25">
      <c r="R182" s="25"/>
      <c r="S182" s="25"/>
      <c r="T182" s="25"/>
      <c r="W182" s="25"/>
      <c r="X182" s="25"/>
      <c r="Y182" s="25"/>
      <c r="AB182" s="25"/>
      <c r="AC182" s="25"/>
      <c r="AD182" s="25"/>
      <c r="AG182" s="25"/>
      <c r="AH182" s="25"/>
      <c r="AI182" s="25"/>
    </row>
    <row r="183" spans="18:35" x14ac:dyDescent="0.25">
      <c r="R183" s="25"/>
      <c r="S183" s="25"/>
      <c r="T183" s="25"/>
      <c r="W183" s="25"/>
      <c r="X183" s="25"/>
      <c r="Y183" s="25"/>
      <c r="AB183" s="25"/>
      <c r="AC183" s="25"/>
      <c r="AD183" s="25"/>
      <c r="AG183" s="25"/>
      <c r="AH183" s="25"/>
      <c r="AI183" s="25"/>
    </row>
    <row r="184" spans="18:35" x14ac:dyDescent="0.25">
      <c r="R184" s="25"/>
      <c r="S184" s="25"/>
      <c r="T184" s="25"/>
      <c r="W184" s="25"/>
      <c r="X184" s="25"/>
      <c r="Y184" s="25"/>
      <c r="AB184" s="25"/>
      <c r="AC184" s="25"/>
      <c r="AD184" s="25"/>
      <c r="AG184" s="25"/>
      <c r="AH184" s="25"/>
      <c r="AI184" s="25"/>
    </row>
    <row r="185" spans="18:35" x14ac:dyDescent="0.25">
      <c r="R185" s="25"/>
      <c r="S185" s="25"/>
      <c r="T185" s="25"/>
      <c r="W185" s="25"/>
      <c r="X185" s="25"/>
      <c r="Y185" s="25"/>
      <c r="AB185" s="25"/>
      <c r="AC185" s="25"/>
      <c r="AD185" s="25"/>
      <c r="AG185" s="25"/>
      <c r="AH185" s="25"/>
      <c r="AI185" s="25"/>
    </row>
    <row r="186" spans="18:35" x14ac:dyDescent="0.25">
      <c r="R186" s="25"/>
      <c r="S186" s="25"/>
      <c r="T186" s="25"/>
      <c r="W186" s="25"/>
      <c r="X186" s="25"/>
      <c r="Y186" s="25"/>
      <c r="AB186" s="25"/>
      <c r="AC186" s="25"/>
      <c r="AD186" s="25"/>
      <c r="AG186" s="25"/>
      <c r="AH186" s="25"/>
      <c r="AI186" s="25"/>
    </row>
    <row r="187" spans="18:35" x14ac:dyDescent="0.25">
      <c r="R187" s="25"/>
      <c r="S187" s="25"/>
      <c r="T187" s="25"/>
      <c r="W187" s="25"/>
      <c r="X187" s="25"/>
      <c r="Y187" s="25"/>
      <c r="AB187" s="25"/>
      <c r="AC187" s="25"/>
      <c r="AD187" s="25"/>
      <c r="AG187" s="25"/>
      <c r="AH187" s="25"/>
      <c r="AI187" s="25"/>
    </row>
    <row r="188" spans="18:35" x14ac:dyDescent="0.25">
      <c r="R188" s="25"/>
      <c r="S188" s="25"/>
      <c r="T188" s="25"/>
      <c r="W188" s="25"/>
      <c r="X188" s="25"/>
      <c r="Y188" s="25"/>
      <c r="AB188" s="25"/>
      <c r="AC188" s="25"/>
      <c r="AD188" s="25"/>
      <c r="AG188" s="25"/>
      <c r="AH188" s="25"/>
      <c r="AI188" s="25"/>
    </row>
    <row r="189" spans="18:35" x14ac:dyDescent="0.25">
      <c r="R189" s="25"/>
      <c r="S189" s="25"/>
      <c r="T189" s="25"/>
      <c r="W189" s="25"/>
      <c r="X189" s="25"/>
      <c r="Y189" s="25"/>
      <c r="AB189" s="25"/>
      <c r="AC189" s="25"/>
      <c r="AD189" s="25"/>
      <c r="AG189" s="25"/>
      <c r="AH189" s="25"/>
      <c r="AI189" s="25"/>
    </row>
    <row r="190" spans="18:35" x14ac:dyDescent="0.25">
      <c r="R190" s="25"/>
      <c r="S190" s="25"/>
      <c r="T190" s="25"/>
      <c r="W190" s="25"/>
      <c r="X190" s="25"/>
      <c r="Y190" s="25"/>
      <c r="AB190" s="25"/>
      <c r="AC190" s="25"/>
      <c r="AD190" s="25"/>
      <c r="AG190" s="25"/>
      <c r="AH190" s="25"/>
      <c r="AI190" s="25"/>
    </row>
    <row r="191" spans="18:35" x14ac:dyDescent="0.25">
      <c r="R191" s="25"/>
      <c r="S191" s="25"/>
      <c r="T191" s="25"/>
      <c r="W191" s="25"/>
      <c r="X191" s="25"/>
      <c r="Y191" s="25"/>
      <c r="AB191" s="25"/>
      <c r="AC191" s="25"/>
      <c r="AD191" s="25"/>
      <c r="AG191" s="25"/>
      <c r="AH191" s="25"/>
      <c r="AI191" s="25"/>
    </row>
    <row r="192" spans="18:35" x14ac:dyDescent="0.25">
      <c r="R192" s="25"/>
      <c r="S192" s="25"/>
      <c r="T192" s="25"/>
      <c r="W192" s="25"/>
      <c r="X192" s="25"/>
      <c r="Y192" s="25"/>
      <c r="AB192" s="25"/>
      <c r="AC192" s="25"/>
      <c r="AD192" s="25"/>
      <c r="AG192" s="25"/>
      <c r="AH192" s="25"/>
      <c r="AI192" s="25"/>
    </row>
    <row r="193" spans="18:35" x14ac:dyDescent="0.25">
      <c r="R193" s="25"/>
      <c r="S193" s="25"/>
      <c r="T193" s="25"/>
      <c r="W193" s="25"/>
      <c r="X193" s="25"/>
      <c r="Y193" s="25"/>
      <c r="AB193" s="25"/>
      <c r="AC193" s="25"/>
      <c r="AD193" s="25"/>
      <c r="AG193" s="25"/>
      <c r="AH193" s="25"/>
      <c r="AI193" s="25"/>
    </row>
    <row r="194" spans="18:35" x14ac:dyDescent="0.25">
      <c r="R194" s="25"/>
      <c r="S194" s="25"/>
      <c r="T194" s="25"/>
      <c r="W194" s="25"/>
      <c r="X194" s="25"/>
      <c r="Y194" s="25"/>
      <c r="AB194" s="25"/>
      <c r="AC194" s="25"/>
      <c r="AD194" s="25"/>
      <c r="AG194" s="25"/>
      <c r="AH194" s="25"/>
      <c r="AI194" s="25"/>
    </row>
    <row r="195" spans="18:35" x14ac:dyDescent="0.25">
      <c r="R195" s="25"/>
      <c r="S195" s="25"/>
      <c r="T195" s="25"/>
      <c r="W195" s="25"/>
      <c r="X195" s="25"/>
      <c r="Y195" s="25"/>
      <c r="AB195" s="25"/>
      <c r="AC195" s="25"/>
      <c r="AD195" s="25"/>
      <c r="AG195" s="25"/>
      <c r="AH195" s="25"/>
      <c r="AI195" s="25"/>
    </row>
    <row r="196" spans="18:35" x14ac:dyDescent="0.25">
      <c r="R196" s="25"/>
      <c r="S196" s="25"/>
      <c r="T196" s="25"/>
      <c r="W196" s="25"/>
      <c r="X196" s="25"/>
      <c r="Y196" s="25"/>
      <c r="AB196" s="25"/>
      <c r="AC196" s="25"/>
      <c r="AD196" s="25"/>
      <c r="AG196" s="25"/>
      <c r="AH196" s="25"/>
      <c r="AI196" s="25"/>
    </row>
    <row r="197" spans="18:35" x14ac:dyDescent="0.25">
      <c r="R197" s="25"/>
      <c r="S197" s="25"/>
      <c r="T197" s="25"/>
      <c r="W197" s="25"/>
      <c r="X197" s="25"/>
      <c r="Y197" s="25"/>
      <c r="AB197" s="25"/>
      <c r="AC197" s="25"/>
      <c r="AD197" s="25"/>
      <c r="AG197" s="25"/>
      <c r="AH197" s="25"/>
      <c r="AI197" s="25"/>
    </row>
    <row r="198" spans="18:35" x14ac:dyDescent="0.25">
      <c r="R198" s="25"/>
      <c r="S198" s="25"/>
      <c r="T198" s="25"/>
      <c r="W198" s="25"/>
      <c r="X198" s="25"/>
      <c r="Y198" s="25"/>
      <c r="AB198" s="25"/>
      <c r="AC198" s="25"/>
      <c r="AD198" s="25"/>
      <c r="AG198" s="25"/>
      <c r="AH198" s="25"/>
      <c r="AI198" s="25"/>
    </row>
    <row r="199" spans="18:35" x14ac:dyDescent="0.25">
      <c r="R199" s="25"/>
      <c r="S199" s="25"/>
      <c r="T199" s="25"/>
      <c r="W199" s="25"/>
      <c r="X199" s="25"/>
      <c r="Y199" s="25"/>
      <c r="AB199" s="25"/>
      <c r="AC199" s="25"/>
      <c r="AD199" s="25"/>
      <c r="AG199" s="25"/>
      <c r="AH199" s="25"/>
      <c r="AI199" s="25"/>
    </row>
    <row r="200" spans="18:35" x14ac:dyDescent="0.25">
      <c r="R200" s="25"/>
      <c r="S200" s="25"/>
      <c r="T200" s="25"/>
      <c r="W200" s="25"/>
      <c r="X200" s="25"/>
      <c r="Y200" s="25"/>
      <c r="AB200" s="25"/>
      <c r="AC200" s="25"/>
      <c r="AD200" s="25"/>
      <c r="AG200" s="25"/>
      <c r="AH200" s="25"/>
      <c r="AI200" s="25"/>
    </row>
    <row r="201" spans="18:35" x14ac:dyDescent="0.25">
      <c r="R201" s="25"/>
      <c r="S201" s="25"/>
      <c r="T201" s="25"/>
      <c r="W201" s="25"/>
      <c r="X201" s="25"/>
      <c r="Y201" s="25"/>
      <c r="AB201" s="25"/>
      <c r="AC201" s="25"/>
      <c r="AD201" s="25"/>
      <c r="AG201" s="25"/>
      <c r="AH201" s="25"/>
      <c r="AI201" s="25"/>
    </row>
    <row r="202" spans="18:35" x14ac:dyDescent="0.25">
      <c r="R202" s="25"/>
      <c r="S202" s="25"/>
      <c r="T202" s="25"/>
      <c r="W202" s="25"/>
      <c r="X202" s="25"/>
      <c r="Y202" s="25"/>
      <c r="AB202" s="25"/>
      <c r="AC202" s="25"/>
      <c r="AD202" s="25"/>
      <c r="AG202" s="25"/>
      <c r="AH202" s="25"/>
      <c r="AI202" s="25"/>
    </row>
    <row r="203" spans="18:35" x14ac:dyDescent="0.25">
      <c r="R203" s="25"/>
      <c r="S203" s="25"/>
      <c r="T203" s="25"/>
      <c r="W203" s="25"/>
      <c r="X203" s="25"/>
      <c r="Y203" s="25"/>
      <c r="AB203" s="25"/>
      <c r="AC203" s="25"/>
      <c r="AD203" s="25"/>
      <c r="AG203" s="25"/>
      <c r="AH203" s="25"/>
      <c r="AI203" s="25"/>
    </row>
    <row r="204" spans="18:35" x14ac:dyDescent="0.25">
      <c r="R204" s="25"/>
      <c r="S204" s="25"/>
      <c r="T204" s="25"/>
      <c r="W204" s="25"/>
      <c r="X204" s="25"/>
      <c r="Y204" s="25"/>
      <c r="AB204" s="25"/>
      <c r="AC204" s="25"/>
      <c r="AD204" s="25"/>
      <c r="AG204" s="25"/>
      <c r="AH204" s="25"/>
      <c r="AI204" s="25"/>
    </row>
    <row r="205" spans="18:35" x14ac:dyDescent="0.25">
      <c r="R205" s="25"/>
      <c r="S205" s="25"/>
      <c r="T205" s="25"/>
      <c r="W205" s="25"/>
      <c r="X205" s="25"/>
      <c r="Y205" s="25"/>
      <c r="AB205" s="25"/>
      <c r="AC205" s="25"/>
      <c r="AD205" s="25"/>
      <c r="AG205" s="25"/>
      <c r="AH205" s="25"/>
      <c r="AI205" s="25"/>
    </row>
    <row r="206" spans="18:35" x14ac:dyDescent="0.25">
      <c r="R206" s="25"/>
      <c r="S206" s="25"/>
      <c r="T206" s="25"/>
      <c r="W206" s="25"/>
      <c r="X206" s="25"/>
      <c r="Y206" s="25"/>
      <c r="AB206" s="25"/>
      <c r="AC206" s="25"/>
      <c r="AD206" s="25"/>
      <c r="AG206" s="25"/>
      <c r="AH206" s="25"/>
      <c r="AI206" s="25"/>
    </row>
    <row r="207" spans="18:35" x14ac:dyDescent="0.25">
      <c r="R207" s="25"/>
      <c r="S207" s="25"/>
      <c r="T207" s="25"/>
      <c r="W207" s="25"/>
      <c r="X207" s="25"/>
      <c r="Y207" s="25"/>
      <c r="AB207" s="25"/>
      <c r="AC207" s="25"/>
      <c r="AD207" s="25"/>
      <c r="AG207" s="25"/>
      <c r="AH207" s="25"/>
      <c r="AI207" s="25"/>
    </row>
    <row r="208" spans="18:35" x14ac:dyDescent="0.25">
      <c r="R208" s="25"/>
      <c r="S208" s="25"/>
      <c r="T208" s="25"/>
      <c r="W208" s="25"/>
      <c r="X208" s="25"/>
      <c r="Y208" s="25"/>
      <c r="AB208" s="25"/>
      <c r="AC208" s="25"/>
      <c r="AD208" s="25"/>
      <c r="AG208" s="25"/>
      <c r="AH208" s="25"/>
      <c r="AI208" s="25"/>
    </row>
    <row r="209" spans="18:35" x14ac:dyDescent="0.25">
      <c r="R209" s="25"/>
      <c r="S209" s="25"/>
      <c r="T209" s="25"/>
      <c r="W209" s="25"/>
      <c r="X209" s="25"/>
      <c r="Y209" s="25"/>
      <c r="AB209" s="25"/>
      <c r="AC209" s="25"/>
      <c r="AD209" s="25"/>
      <c r="AG209" s="25"/>
      <c r="AH209" s="25"/>
      <c r="AI209" s="25"/>
    </row>
    <row r="210" spans="18:35" x14ac:dyDescent="0.25">
      <c r="R210" s="25"/>
      <c r="S210" s="25"/>
      <c r="T210" s="25"/>
      <c r="W210" s="25"/>
      <c r="X210" s="25"/>
      <c r="Y210" s="25"/>
      <c r="AB210" s="25"/>
      <c r="AC210" s="25"/>
      <c r="AD210" s="25"/>
      <c r="AG210" s="25"/>
      <c r="AH210" s="25"/>
      <c r="AI210" s="25"/>
    </row>
    <row r="211" spans="18:35" x14ac:dyDescent="0.25">
      <c r="R211" s="25"/>
      <c r="S211" s="25"/>
      <c r="T211" s="25"/>
      <c r="W211" s="25"/>
      <c r="X211" s="25"/>
      <c r="Y211" s="25"/>
      <c r="AB211" s="25"/>
      <c r="AC211" s="25"/>
      <c r="AD211" s="25"/>
      <c r="AG211" s="25"/>
      <c r="AH211" s="25"/>
      <c r="AI211" s="25"/>
    </row>
    <row r="212" spans="18:35" x14ac:dyDescent="0.25">
      <c r="R212" s="25"/>
      <c r="S212" s="25"/>
      <c r="T212" s="25"/>
      <c r="W212" s="25"/>
      <c r="X212" s="25"/>
      <c r="Y212" s="25"/>
      <c r="AB212" s="25"/>
      <c r="AC212" s="25"/>
      <c r="AD212" s="25"/>
      <c r="AG212" s="25"/>
      <c r="AH212" s="25"/>
      <c r="AI212" s="25"/>
    </row>
    <row r="213" spans="18:35" x14ac:dyDescent="0.25">
      <c r="R213" s="25"/>
      <c r="S213" s="25"/>
      <c r="T213" s="25"/>
      <c r="W213" s="25"/>
      <c r="X213" s="25"/>
      <c r="Y213" s="25"/>
      <c r="AB213" s="25"/>
      <c r="AC213" s="25"/>
      <c r="AD213" s="25"/>
      <c r="AG213" s="25"/>
      <c r="AH213" s="25"/>
      <c r="AI213" s="25"/>
    </row>
    <row r="214" spans="18:35" x14ac:dyDescent="0.25">
      <c r="R214" s="25"/>
      <c r="S214" s="25"/>
      <c r="T214" s="25"/>
      <c r="W214" s="25"/>
      <c r="X214" s="25"/>
      <c r="Y214" s="25"/>
      <c r="AB214" s="25"/>
      <c r="AC214" s="25"/>
      <c r="AD214" s="25"/>
      <c r="AG214" s="25"/>
      <c r="AH214" s="25"/>
      <c r="AI214" s="25"/>
    </row>
    <row r="215" spans="18:35" x14ac:dyDescent="0.25">
      <c r="R215" s="25"/>
      <c r="S215" s="25"/>
      <c r="T215" s="25"/>
      <c r="W215" s="25"/>
      <c r="X215" s="25"/>
      <c r="Y215" s="25"/>
      <c r="AB215" s="25"/>
      <c r="AC215" s="25"/>
      <c r="AD215" s="25"/>
      <c r="AG215" s="25"/>
      <c r="AH215" s="25"/>
      <c r="AI215" s="25"/>
    </row>
    <row r="216" spans="18:35" x14ac:dyDescent="0.25">
      <c r="R216" s="25"/>
      <c r="S216" s="25"/>
      <c r="T216" s="25"/>
      <c r="W216" s="25"/>
      <c r="X216" s="25"/>
      <c r="Y216" s="25"/>
      <c r="AB216" s="25"/>
      <c r="AC216" s="25"/>
      <c r="AD216" s="25"/>
      <c r="AG216" s="25"/>
      <c r="AH216" s="25"/>
      <c r="AI216" s="25"/>
    </row>
    <row r="217" spans="18:35" x14ac:dyDescent="0.25">
      <c r="R217" s="25"/>
      <c r="S217" s="25"/>
      <c r="T217" s="25"/>
      <c r="W217" s="25"/>
      <c r="X217" s="25"/>
      <c r="Y217" s="25"/>
      <c r="AB217" s="25"/>
      <c r="AC217" s="25"/>
      <c r="AD217" s="25"/>
      <c r="AG217" s="25"/>
      <c r="AH217" s="25"/>
      <c r="AI217" s="25"/>
    </row>
    <row r="218" spans="18:35" x14ac:dyDescent="0.25">
      <c r="R218" s="25"/>
      <c r="S218" s="25"/>
      <c r="T218" s="25"/>
      <c r="W218" s="25"/>
      <c r="X218" s="25"/>
      <c r="Y218" s="25"/>
      <c r="AB218" s="25"/>
      <c r="AC218" s="25"/>
      <c r="AD218" s="25"/>
      <c r="AG218" s="25"/>
      <c r="AH218" s="25"/>
      <c r="AI218" s="25"/>
    </row>
    <row r="219" spans="18:35" x14ac:dyDescent="0.25">
      <c r="R219" s="25"/>
      <c r="S219" s="25"/>
      <c r="T219" s="25"/>
      <c r="W219" s="25"/>
      <c r="X219" s="25"/>
      <c r="Y219" s="25"/>
      <c r="AB219" s="25"/>
      <c r="AC219" s="25"/>
      <c r="AD219" s="25"/>
      <c r="AG219" s="25"/>
      <c r="AH219" s="25"/>
      <c r="AI219" s="25"/>
    </row>
    <row r="220" spans="18:35" x14ac:dyDescent="0.25">
      <c r="R220" s="25"/>
      <c r="S220" s="25"/>
      <c r="T220" s="25"/>
      <c r="W220" s="25"/>
      <c r="X220" s="25"/>
      <c r="Y220" s="25"/>
      <c r="AB220" s="25"/>
      <c r="AC220" s="25"/>
      <c r="AD220" s="25"/>
      <c r="AG220" s="25"/>
      <c r="AH220" s="25"/>
      <c r="AI220" s="25"/>
    </row>
    <row r="221" spans="18:35" x14ac:dyDescent="0.25">
      <c r="R221" s="25"/>
      <c r="S221" s="25"/>
      <c r="T221" s="25"/>
      <c r="W221" s="25"/>
      <c r="X221" s="25"/>
      <c r="Y221" s="25"/>
      <c r="AB221" s="25"/>
      <c r="AC221" s="25"/>
      <c r="AD221" s="25"/>
      <c r="AG221" s="25"/>
      <c r="AH221" s="25"/>
      <c r="AI221" s="25"/>
    </row>
    <row r="222" spans="18:35" x14ac:dyDescent="0.25">
      <c r="R222" s="25"/>
      <c r="S222" s="25"/>
      <c r="T222" s="25"/>
      <c r="W222" s="25"/>
      <c r="X222" s="25"/>
      <c r="Y222" s="25"/>
      <c r="AB222" s="25"/>
      <c r="AC222" s="25"/>
      <c r="AD222" s="25"/>
      <c r="AG222" s="25"/>
      <c r="AH222" s="25"/>
      <c r="AI222" s="25"/>
    </row>
    <row r="223" spans="18:35" x14ac:dyDescent="0.25">
      <c r="R223" s="25"/>
      <c r="S223" s="25"/>
      <c r="T223" s="25"/>
      <c r="W223" s="25"/>
      <c r="X223" s="25"/>
      <c r="Y223" s="25"/>
      <c r="AB223" s="25"/>
      <c r="AC223" s="25"/>
      <c r="AD223" s="25"/>
      <c r="AG223" s="25"/>
      <c r="AH223" s="25"/>
      <c r="AI223" s="25"/>
    </row>
    <row r="224" spans="18:35" x14ac:dyDescent="0.25">
      <c r="R224" s="25"/>
      <c r="S224" s="25"/>
      <c r="T224" s="25"/>
      <c r="W224" s="25"/>
      <c r="X224" s="25"/>
      <c r="Y224" s="25"/>
      <c r="AB224" s="25"/>
      <c r="AC224" s="25"/>
      <c r="AD224" s="25"/>
      <c r="AG224" s="25"/>
      <c r="AH224" s="25"/>
      <c r="AI224" s="25"/>
    </row>
    <row r="225" spans="18:35" x14ac:dyDescent="0.25">
      <c r="R225" s="25"/>
      <c r="S225" s="25"/>
      <c r="T225" s="25"/>
      <c r="W225" s="25"/>
      <c r="X225" s="25"/>
      <c r="Y225" s="25"/>
      <c r="AB225" s="25"/>
      <c r="AC225" s="25"/>
      <c r="AD225" s="25"/>
      <c r="AG225" s="25"/>
      <c r="AH225" s="25"/>
      <c r="AI225" s="25"/>
    </row>
    <row r="226" spans="18:35" x14ac:dyDescent="0.25">
      <c r="R226" s="25"/>
      <c r="S226" s="25"/>
      <c r="T226" s="25"/>
      <c r="W226" s="25"/>
      <c r="X226" s="25"/>
      <c r="Y226" s="25"/>
      <c r="AB226" s="25"/>
      <c r="AC226" s="25"/>
      <c r="AD226" s="25"/>
      <c r="AG226" s="25"/>
      <c r="AH226" s="25"/>
      <c r="AI226" s="25"/>
    </row>
    <row r="227" spans="18:35" x14ac:dyDescent="0.25">
      <c r="R227" s="25"/>
      <c r="S227" s="25"/>
      <c r="T227" s="25"/>
      <c r="W227" s="25"/>
      <c r="X227" s="25"/>
      <c r="Y227" s="25"/>
      <c r="AB227" s="25"/>
      <c r="AC227" s="25"/>
      <c r="AD227" s="25"/>
      <c r="AG227" s="25"/>
      <c r="AH227" s="25"/>
      <c r="AI227" s="25"/>
    </row>
    <row r="228" spans="18:35" x14ac:dyDescent="0.25">
      <c r="R228" s="25"/>
      <c r="S228" s="25"/>
      <c r="T228" s="25"/>
      <c r="W228" s="25"/>
      <c r="X228" s="25"/>
      <c r="Y228" s="25"/>
      <c r="AB228" s="25"/>
      <c r="AC228" s="25"/>
      <c r="AD228" s="25"/>
      <c r="AG228" s="25"/>
      <c r="AH228" s="25"/>
      <c r="AI228" s="25"/>
    </row>
    <row r="229" spans="18:35" x14ac:dyDescent="0.25">
      <c r="R229" s="25"/>
      <c r="S229" s="25"/>
      <c r="T229" s="25"/>
      <c r="W229" s="25"/>
      <c r="X229" s="25"/>
      <c r="Y229" s="25"/>
      <c r="AB229" s="25"/>
      <c r="AC229" s="25"/>
      <c r="AD229" s="25"/>
      <c r="AG229" s="25"/>
      <c r="AH229" s="25"/>
      <c r="AI229" s="25"/>
    </row>
    <row r="230" spans="18:35" x14ac:dyDescent="0.25">
      <c r="R230" s="25"/>
      <c r="S230" s="25"/>
      <c r="T230" s="25"/>
      <c r="W230" s="25"/>
      <c r="X230" s="25"/>
      <c r="Y230" s="25"/>
      <c r="AB230" s="25"/>
      <c r="AC230" s="25"/>
      <c r="AD230" s="25"/>
      <c r="AG230" s="25"/>
      <c r="AH230" s="25"/>
      <c r="AI230" s="25"/>
    </row>
    <row r="231" spans="18:35" x14ac:dyDescent="0.25">
      <c r="R231" s="25"/>
      <c r="S231" s="25"/>
      <c r="T231" s="25"/>
      <c r="W231" s="25"/>
      <c r="X231" s="25"/>
      <c r="Y231" s="25"/>
      <c r="AB231" s="25"/>
      <c r="AC231" s="25"/>
      <c r="AD231" s="25"/>
      <c r="AG231" s="25"/>
      <c r="AH231" s="25"/>
      <c r="AI231" s="25"/>
    </row>
    <row r="232" spans="18:35" x14ac:dyDescent="0.25">
      <c r="R232" s="25"/>
      <c r="S232" s="25"/>
      <c r="T232" s="25"/>
      <c r="W232" s="25"/>
      <c r="X232" s="25"/>
      <c r="Y232" s="25"/>
      <c r="AB232" s="25"/>
      <c r="AC232" s="25"/>
      <c r="AD232" s="25"/>
      <c r="AG232" s="25"/>
      <c r="AH232" s="25"/>
      <c r="AI232" s="25"/>
    </row>
    <row r="233" spans="18:35" x14ac:dyDescent="0.25">
      <c r="R233" s="25"/>
      <c r="S233" s="25"/>
      <c r="T233" s="25"/>
      <c r="W233" s="25"/>
      <c r="X233" s="25"/>
      <c r="Y233" s="25"/>
      <c r="AB233" s="25"/>
      <c r="AC233" s="25"/>
      <c r="AD233" s="25"/>
      <c r="AG233" s="25"/>
      <c r="AH233" s="25"/>
      <c r="AI233" s="25"/>
    </row>
    <row r="234" spans="18:35" x14ac:dyDescent="0.25">
      <c r="R234" s="25"/>
      <c r="S234" s="25"/>
      <c r="T234" s="25"/>
      <c r="W234" s="25"/>
      <c r="X234" s="25"/>
      <c r="Y234" s="25"/>
      <c r="AB234" s="25"/>
      <c r="AC234" s="25"/>
      <c r="AD234" s="25"/>
      <c r="AG234" s="25"/>
      <c r="AH234" s="25"/>
      <c r="AI234" s="25"/>
    </row>
    <row r="235" spans="18:35" x14ac:dyDescent="0.25">
      <c r="R235" s="25"/>
      <c r="S235" s="25"/>
      <c r="T235" s="25"/>
      <c r="W235" s="25"/>
      <c r="X235" s="25"/>
      <c r="Y235" s="25"/>
      <c r="AB235" s="25"/>
      <c r="AC235" s="25"/>
      <c r="AD235" s="25"/>
      <c r="AG235" s="25"/>
      <c r="AH235" s="25"/>
      <c r="AI235" s="25"/>
    </row>
    <row r="236" spans="18:35" x14ac:dyDescent="0.25">
      <c r="R236" s="25"/>
      <c r="S236" s="25"/>
      <c r="T236" s="25"/>
      <c r="W236" s="25"/>
      <c r="X236" s="25"/>
      <c r="Y236" s="25"/>
      <c r="AB236" s="25"/>
      <c r="AC236" s="25"/>
      <c r="AD236" s="25"/>
      <c r="AG236" s="25"/>
      <c r="AH236" s="25"/>
      <c r="AI236" s="25"/>
    </row>
    <row r="237" spans="18:35" x14ac:dyDescent="0.25">
      <c r="R237" s="25"/>
      <c r="S237" s="25"/>
      <c r="T237" s="25"/>
      <c r="W237" s="25"/>
      <c r="X237" s="25"/>
      <c r="Y237" s="25"/>
      <c r="AB237" s="25"/>
      <c r="AC237" s="25"/>
      <c r="AD237" s="25"/>
      <c r="AG237" s="25"/>
      <c r="AH237" s="25"/>
      <c r="AI237" s="25"/>
    </row>
    <row r="238" spans="18:35" x14ac:dyDescent="0.25">
      <c r="R238" s="25"/>
      <c r="S238" s="25"/>
      <c r="T238" s="25"/>
      <c r="W238" s="25"/>
      <c r="X238" s="25"/>
      <c r="Y238" s="25"/>
      <c r="AB238" s="25"/>
      <c r="AC238" s="25"/>
      <c r="AD238" s="25"/>
      <c r="AG238" s="25"/>
      <c r="AH238" s="25"/>
      <c r="AI238" s="25"/>
    </row>
    <row r="239" spans="18:35" x14ac:dyDescent="0.25">
      <c r="R239" s="25"/>
      <c r="S239" s="25"/>
      <c r="T239" s="25"/>
      <c r="W239" s="25"/>
      <c r="X239" s="25"/>
      <c r="Y239" s="25"/>
      <c r="AB239" s="25"/>
      <c r="AC239" s="25"/>
      <c r="AD239" s="25"/>
      <c r="AG239" s="25"/>
      <c r="AH239" s="25"/>
      <c r="AI239" s="25"/>
    </row>
    <row r="240" spans="18:35" x14ac:dyDescent="0.25">
      <c r="R240" s="25"/>
      <c r="S240" s="25"/>
      <c r="T240" s="25"/>
      <c r="W240" s="25"/>
      <c r="X240" s="25"/>
      <c r="Y240" s="25"/>
      <c r="AB240" s="25"/>
      <c r="AC240" s="25"/>
      <c r="AD240" s="25"/>
      <c r="AG240" s="25"/>
      <c r="AH240" s="25"/>
      <c r="AI240" s="25"/>
    </row>
    <row r="241" spans="18:35" x14ac:dyDescent="0.25">
      <c r="R241" s="25"/>
      <c r="S241" s="25"/>
      <c r="T241" s="25"/>
      <c r="W241" s="25"/>
      <c r="X241" s="25"/>
      <c r="Y241" s="25"/>
      <c r="AB241" s="25"/>
      <c r="AC241" s="25"/>
      <c r="AD241" s="25"/>
      <c r="AG241" s="25"/>
      <c r="AH241" s="25"/>
      <c r="AI241" s="25"/>
    </row>
    <row r="242" spans="18:35" x14ac:dyDescent="0.25">
      <c r="R242" s="25"/>
      <c r="S242" s="25"/>
      <c r="T242" s="25"/>
      <c r="W242" s="25"/>
      <c r="X242" s="25"/>
      <c r="Y242" s="25"/>
      <c r="AB242" s="25"/>
      <c r="AC242" s="25"/>
      <c r="AD242" s="25"/>
      <c r="AG242" s="25"/>
      <c r="AH242" s="25"/>
      <c r="AI242" s="25"/>
    </row>
    <row r="243" spans="18:35" x14ac:dyDescent="0.25">
      <c r="R243" s="25"/>
      <c r="S243" s="25"/>
      <c r="T243" s="25"/>
      <c r="W243" s="25"/>
      <c r="X243" s="25"/>
      <c r="Y243" s="25"/>
      <c r="AB243" s="25"/>
      <c r="AC243" s="25"/>
      <c r="AD243" s="25"/>
      <c r="AG243" s="25"/>
      <c r="AH243" s="25"/>
      <c r="AI243" s="25"/>
    </row>
    <row r="244" spans="18:35" x14ac:dyDescent="0.25">
      <c r="R244" s="25"/>
      <c r="S244" s="25"/>
      <c r="T244" s="25"/>
      <c r="W244" s="25"/>
      <c r="X244" s="25"/>
      <c r="Y244" s="25"/>
      <c r="AB244" s="25"/>
      <c r="AC244" s="25"/>
      <c r="AD244" s="25"/>
      <c r="AG244" s="25"/>
      <c r="AH244" s="25"/>
      <c r="AI244" s="25"/>
    </row>
    <row r="245" spans="18:35" x14ac:dyDescent="0.25">
      <c r="R245" s="25"/>
      <c r="S245" s="25"/>
      <c r="T245" s="25"/>
      <c r="W245" s="25"/>
      <c r="X245" s="25"/>
      <c r="Y245" s="25"/>
      <c r="AB245" s="25"/>
      <c r="AC245" s="25"/>
      <c r="AD245" s="25"/>
      <c r="AG245" s="25"/>
      <c r="AH245" s="25"/>
      <c r="AI245" s="25"/>
    </row>
    <row r="246" spans="18:35" x14ac:dyDescent="0.25">
      <c r="R246" s="25"/>
      <c r="S246" s="25"/>
      <c r="T246" s="25"/>
      <c r="W246" s="25"/>
      <c r="X246" s="25"/>
      <c r="Y246" s="25"/>
      <c r="AB246" s="25"/>
      <c r="AC246" s="25"/>
      <c r="AD246" s="25"/>
      <c r="AG246" s="25"/>
      <c r="AH246" s="25"/>
      <c r="AI246" s="25"/>
    </row>
    <row r="247" spans="18:35" x14ac:dyDescent="0.25">
      <c r="R247" s="25"/>
      <c r="S247" s="25"/>
      <c r="T247" s="25"/>
      <c r="W247" s="25"/>
      <c r="X247" s="25"/>
      <c r="Y247" s="25"/>
      <c r="AB247" s="25"/>
      <c r="AC247" s="25"/>
      <c r="AD247" s="25"/>
      <c r="AG247" s="25"/>
      <c r="AH247" s="25"/>
      <c r="AI247" s="25"/>
    </row>
    <row r="248" spans="18:35" x14ac:dyDescent="0.25">
      <c r="R248" s="25"/>
      <c r="S248" s="25"/>
      <c r="T248" s="25"/>
      <c r="W248" s="25"/>
      <c r="X248" s="25"/>
      <c r="Y248" s="25"/>
      <c r="AB248" s="25"/>
      <c r="AC248" s="25"/>
      <c r="AD248" s="25"/>
      <c r="AG248" s="25"/>
      <c r="AH248" s="25"/>
      <c r="AI248" s="25"/>
    </row>
    <row r="249" spans="18:35" x14ac:dyDescent="0.25">
      <c r="R249" s="25"/>
      <c r="S249" s="25"/>
      <c r="T249" s="25"/>
      <c r="W249" s="25"/>
      <c r="X249" s="25"/>
      <c r="Y249" s="25"/>
      <c r="AB249" s="25"/>
      <c r="AC249" s="25"/>
      <c r="AD249" s="25"/>
      <c r="AG249" s="25"/>
      <c r="AH249" s="25"/>
      <c r="AI249" s="25"/>
    </row>
    <row r="250" spans="18:35" x14ac:dyDescent="0.25">
      <c r="R250" s="25"/>
      <c r="S250" s="25"/>
      <c r="T250" s="25"/>
      <c r="W250" s="25"/>
      <c r="X250" s="25"/>
      <c r="Y250" s="25"/>
      <c r="AB250" s="25"/>
      <c r="AC250" s="25"/>
      <c r="AD250" s="25"/>
      <c r="AG250" s="25"/>
      <c r="AH250" s="25"/>
      <c r="AI250" s="25"/>
    </row>
    <row r="251" spans="18:35" x14ac:dyDescent="0.25">
      <c r="R251" s="25"/>
      <c r="S251" s="25"/>
      <c r="T251" s="25"/>
      <c r="W251" s="25"/>
      <c r="X251" s="25"/>
      <c r="Y251" s="25"/>
      <c r="AB251" s="25"/>
      <c r="AC251" s="25"/>
      <c r="AD251" s="25"/>
      <c r="AG251" s="25"/>
      <c r="AH251" s="25"/>
      <c r="AI251" s="25"/>
    </row>
    <row r="252" spans="18:35" x14ac:dyDescent="0.25">
      <c r="R252" s="25"/>
      <c r="S252" s="25"/>
      <c r="T252" s="25"/>
      <c r="W252" s="25"/>
      <c r="X252" s="25"/>
      <c r="Y252" s="25"/>
      <c r="AB252" s="25"/>
      <c r="AC252" s="25"/>
      <c r="AD252" s="25"/>
      <c r="AG252" s="25"/>
      <c r="AH252" s="25"/>
      <c r="AI252" s="25"/>
    </row>
    <row r="253" spans="18:35" x14ac:dyDescent="0.25">
      <c r="R253" s="25"/>
      <c r="S253" s="25"/>
      <c r="T253" s="25"/>
      <c r="W253" s="25"/>
      <c r="X253" s="25"/>
      <c r="Y253" s="25"/>
      <c r="AB253" s="25"/>
      <c r="AC253" s="25"/>
      <c r="AD253" s="25"/>
      <c r="AG253" s="25"/>
      <c r="AH253" s="25"/>
      <c r="AI253" s="25"/>
    </row>
    <row r="254" spans="18:35" x14ac:dyDescent="0.25">
      <c r="R254" s="25"/>
      <c r="S254" s="25"/>
      <c r="T254" s="25"/>
      <c r="W254" s="25"/>
      <c r="X254" s="25"/>
      <c r="Y254" s="25"/>
      <c r="AB254" s="25"/>
      <c r="AC254" s="25"/>
      <c r="AD254" s="25"/>
      <c r="AG254" s="25"/>
      <c r="AH254" s="25"/>
      <c r="AI254" s="25"/>
    </row>
    <row r="255" spans="18:35" x14ac:dyDescent="0.25">
      <c r="R255" s="25"/>
      <c r="S255" s="25"/>
      <c r="T255" s="25"/>
      <c r="W255" s="25"/>
      <c r="X255" s="25"/>
      <c r="Y255" s="25"/>
      <c r="AB255" s="25"/>
      <c r="AC255" s="25"/>
      <c r="AD255" s="25"/>
      <c r="AG255" s="25"/>
      <c r="AH255" s="25"/>
      <c r="AI255" s="25"/>
    </row>
    <row r="256" spans="18:35" x14ac:dyDescent="0.25">
      <c r="R256" s="25"/>
      <c r="S256" s="25"/>
      <c r="T256" s="25"/>
      <c r="W256" s="25"/>
      <c r="X256" s="25"/>
      <c r="Y256" s="25"/>
      <c r="AB256" s="25"/>
      <c r="AC256" s="25"/>
      <c r="AD256" s="25"/>
      <c r="AG256" s="25"/>
      <c r="AH256" s="25"/>
      <c r="AI256" s="25"/>
    </row>
    <row r="257" spans="18:35" x14ac:dyDescent="0.25">
      <c r="R257" s="25"/>
      <c r="S257" s="25"/>
      <c r="T257" s="25"/>
      <c r="W257" s="25"/>
      <c r="X257" s="25"/>
      <c r="Y257" s="25"/>
      <c r="AB257" s="25"/>
      <c r="AC257" s="25"/>
      <c r="AD257" s="25"/>
      <c r="AG257" s="25"/>
      <c r="AH257" s="25"/>
      <c r="AI257" s="25"/>
    </row>
    <row r="258" spans="18:35" x14ac:dyDescent="0.25">
      <c r="R258" s="25"/>
      <c r="S258" s="25"/>
      <c r="T258" s="25"/>
      <c r="W258" s="25"/>
      <c r="X258" s="25"/>
      <c r="Y258" s="25"/>
      <c r="AB258" s="25"/>
      <c r="AC258" s="25"/>
      <c r="AD258" s="25"/>
      <c r="AG258" s="25"/>
      <c r="AH258" s="25"/>
      <c r="AI258" s="25"/>
    </row>
    <row r="259" spans="18:35" x14ac:dyDescent="0.25">
      <c r="R259" s="25"/>
      <c r="S259" s="25"/>
      <c r="T259" s="25"/>
      <c r="W259" s="25"/>
      <c r="X259" s="25"/>
      <c r="Y259" s="25"/>
      <c r="AB259" s="25"/>
      <c r="AC259" s="25"/>
      <c r="AD259" s="25"/>
      <c r="AG259" s="25"/>
      <c r="AH259" s="25"/>
      <c r="AI259" s="25"/>
    </row>
    <row r="260" spans="18:35" x14ac:dyDescent="0.25">
      <c r="R260" s="25"/>
      <c r="S260" s="25"/>
      <c r="T260" s="25"/>
      <c r="W260" s="25"/>
      <c r="X260" s="25"/>
      <c r="Y260" s="25"/>
      <c r="AB260" s="25"/>
      <c r="AC260" s="25"/>
      <c r="AD260" s="25"/>
      <c r="AG260" s="25"/>
      <c r="AH260" s="25"/>
      <c r="AI260" s="25"/>
    </row>
    <row r="261" spans="18:35" x14ac:dyDescent="0.25">
      <c r="R261" s="25"/>
      <c r="S261" s="25"/>
      <c r="T261" s="25"/>
      <c r="W261" s="25"/>
      <c r="X261" s="25"/>
      <c r="Y261" s="25"/>
      <c r="AB261" s="25"/>
      <c r="AC261" s="25"/>
      <c r="AD261" s="25"/>
      <c r="AG261" s="25"/>
      <c r="AH261" s="25"/>
      <c r="AI261" s="25"/>
    </row>
    <row r="262" spans="18:35" x14ac:dyDescent="0.25">
      <c r="R262" s="25"/>
      <c r="S262" s="25"/>
      <c r="T262" s="25"/>
      <c r="W262" s="25"/>
      <c r="X262" s="25"/>
      <c r="Y262" s="25"/>
      <c r="AB262" s="25"/>
      <c r="AC262" s="25"/>
      <c r="AD262" s="25"/>
      <c r="AG262" s="25"/>
      <c r="AH262" s="25"/>
      <c r="AI262" s="25"/>
    </row>
    <row r="263" spans="18:35" x14ac:dyDescent="0.25">
      <c r="R263" s="25"/>
      <c r="S263" s="25"/>
      <c r="T263" s="25"/>
      <c r="W263" s="25"/>
      <c r="X263" s="25"/>
      <c r="Y263" s="25"/>
      <c r="AB263" s="25"/>
      <c r="AC263" s="25"/>
      <c r="AD263" s="25"/>
      <c r="AG263" s="25"/>
      <c r="AH263" s="25"/>
      <c r="AI263" s="25"/>
    </row>
    <row r="264" spans="18:35" x14ac:dyDescent="0.25">
      <c r="R264" s="25"/>
      <c r="S264" s="25"/>
      <c r="T264" s="25"/>
      <c r="W264" s="25"/>
      <c r="X264" s="25"/>
      <c r="Y264" s="25"/>
      <c r="AB264" s="25"/>
      <c r="AC264" s="25"/>
      <c r="AD264" s="25"/>
      <c r="AG264" s="25"/>
      <c r="AH264" s="25"/>
      <c r="AI264" s="25"/>
    </row>
    <row r="265" spans="18:35" x14ac:dyDescent="0.25">
      <c r="R265" s="25"/>
      <c r="S265" s="25"/>
      <c r="T265" s="25"/>
      <c r="W265" s="25"/>
      <c r="X265" s="25"/>
      <c r="Y265" s="25"/>
      <c r="AB265" s="25"/>
      <c r="AC265" s="25"/>
      <c r="AD265" s="25"/>
      <c r="AG265" s="25"/>
      <c r="AH265" s="25"/>
      <c r="AI265" s="25"/>
    </row>
    <row r="266" spans="18:35" x14ac:dyDescent="0.25">
      <c r="R266" s="25"/>
      <c r="S266" s="25"/>
      <c r="T266" s="25"/>
      <c r="W266" s="25"/>
      <c r="X266" s="25"/>
      <c r="Y266" s="25"/>
      <c r="AB266" s="25"/>
      <c r="AC266" s="25"/>
      <c r="AD266" s="25"/>
      <c r="AG266" s="25"/>
      <c r="AH266" s="25"/>
      <c r="AI266" s="25"/>
    </row>
    <row r="267" spans="18:35" x14ac:dyDescent="0.25">
      <c r="R267" s="25"/>
      <c r="S267" s="25"/>
      <c r="T267" s="25"/>
      <c r="W267" s="25"/>
      <c r="X267" s="25"/>
      <c r="Y267" s="25"/>
      <c r="AB267" s="25"/>
      <c r="AC267" s="25"/>
      <c r="AD267" s="25"/>
      <c r="AG267" s="25"/>
      <c r="AH267" s="25"/>
      <c r="AI267" s="25"/>
    </row>
    <row r="268" spans="18:35" x14ac:dyDescent="0.25">
      <c r="R268" s="25"/>
      <c r="S268" s="25"/>
      <c r="T268" s="25"/>
      <c r="W268" s="25"/>
      <c r="X268" s="25"/>
      <c r="Y268" s="25"/>
      <c r="AB268" s="25"/>
      <c r="AC268" s="25"/>
      <c r="AD268" s="25"/>
      <c r="AG268" s="25"/>
      <c r="AH268" s="25"/>
      <c r="AI268" s="25"/>
    </row>
    <row r="269" spans="18:35" x14ac:dyDescent="0.25">
      <c r="R269" s="25"/>
      <c r="S269" s="25"/>
      <c r="T269" s="25"/>
      <c r="W269" s="25"/>
      <c r="X269" s="25"/>
      <c r="Y269" s="25"/>
      <c r="AB269" s="25"/>
      <c r="AC269" s="25"/>
      <c r="AD269" s="25"/>
      <c r="AG269" s="25"/>
      <c r="AH269" s="25"/>
      <c r="AI269" s="25"/>
    </row>
    <row r="270" spans="18:35" x14ac:dyDescent="0.25">
      <c r="R270" s="25"/>
      <c r="S270" s="25"/>
      <c r="T270" s="25"/>
      <c r="W270" s="25"/>
      <c r="X270" s="25"/>
      <c r="Y270" s="25"/>
      <c r="AB270" s="25"/>
      <c r="AC270" s="25"/>
      <c r="AD270" s="25"/>
      <c r="AG270" s="25"/>
      <c r="AH270" s="25"/>
      <c r="AI270" s="25"/>
    </row>
    <row r="271" spans="18:35" x14ac:dyDescent="0.25">
      <c r="R271" s="25"/>
      <c r="S271" s="25"/>
      <c r="T271" s="25"/>
      <c r="W271" s="25"/>
      <c r="X271" s="25"/>
      <c r="Y271" s="25"/>
      <c r="AB271" s="25"/>
      <c r="AC271" s="25"/>
      <c r="AD271" s="25"/>
      <c r="AG271" s="25"/>
      <c r="AH271" s="25"/>
      <c r="AI271" s="25"/>
    </row>
    <row r="272" spans="18:35" x14ac:dyDescent="0.25">
      <c r="R272" s="25"/>
      <c r="S272" s="25"/>
      <c r="T272" s="25"/>
      <c r="W272" s="25"/>
      <c r="X272" s="25"/>
      <c r="Y272" s="25"/>
      <c r="AB272" s="25"/>
      <c r="AC272" s="25"/>
      <c r="AD272" s="25"/>
      <c r="AG272" s="25"/>
      <c r="AH272" s="25"/>
      <c r="AI272" s="25"/>
    </row>
    <row r="273" spans="18:35" x14ac:dyDescent="0.25">
      <c r="R273" s="25"/>
      <c r="S273" s="25"/>
      <c r="T273" s="25"/>
      <c r="W273" s="25"/>
      <c r="X273" s="25"/>
      <c r="Y273" s="25"/>
      <c r="AB273" s="25"/>
      <c r="AC273" s="25"/>
      <c r="AD273" s="25"/>
      <c r="AG273" s="25"/>
      <c r="AH273" s="25"/>
      <c r="AI273" s="25"/>
    </row>
    <row r="274" spans="18:35" x14ac:dyDescent="0.25">
      <c r="R274" s="25"/>
      <c r="S274" s="25"/>
      <c r="T274" s="25"/>
      <c r="W274" s="25"/>
      <c r="X274" s="25"/>
      <c r="Y274" s="25"/>
      <c r="AB274" s="25"/>
      <c r="AC274" s="25"/>
      <c r="AD274" s="25"/>
      <c r="AG274" s="25"/>
      <c r="AH274" s="25"/>
      <c r="AI274" s="25"/>
    </row>
    <row r="275" spans="18:35" x14ac:dyDescent="0.25">
      <c r="R275" s="25"/>
      <c r="S275" s="25"/>
      <c r="T275" s="25"/>
      <c r="W275" s="25"/>
      <c r="X275" s="25"/>
      <c r="Y275" s="25"/>
      <c r="AB275" s="25"/>
      <c r="AC275" s="25"/>
      <c r="AD275" s="25"/>
      <c r="AG275" s="25"/>
      <c r="AH275" s="25"/>
      <c r="AI275" s="25"/>
    </row>
    <row r="276" spans="18:35" x14ac:dyDescent="0.25">
      <c r="R276" s="25"/>
      <c r="S276" s="25"/>
      <c r="T276" s="25"/>
      <c r="W276" s="25"/>
      <c r="X276" s="25"/>
      <c r="Y276" s="25"/>
      <c r="AB276" s="25"/>
      <c r="AC276" s="25"/>
      <c r="AD276" s="25"/>
      <c r="AG276" s="25"/>
      <c r="AH276" s="25"/>
      <c r="AI276" s="25"/>
    </row>
    <row r="277" spans="18:35" x14ac:dyDescent="0.25">
      <c r="R277" s="25"/>
      <c r="S277" s="25"/>
      <c r="T277" s="25"/>
      <c r="W277" s="25"/>
      <c r="X277" s="25"/>
      <c r="Y277" s="25"/>
      <c r="AB277" s="25"/>
      <c r="AC277" s="25"/>
      <c r="AD277" s="25"/>
      <c r="AG277" s="25"/>
      <c r="AH277" s="25"/>
      <c r="AI277" s="25"/>
    </row>
    <row r="278" spans="18:35" x14ac:dyDescent="0.25">
      <c r="R278" s="25"/>
      <c r="S278" s="25"/>
      <c r="T278" s="25"/>
      <c r="W278" s="25"/>
      <c r="X278" s="25"/>
      <c r="Y278" s="25"/>
      <c r="AB278" s="25"/>
      <c r="AC278" s="25"/>
      <c r="AD278" s="25"/>
      <c r="AG278" s="25"/>
      <c r="AH278" s="25"/>
      <c r="AI278" s="25"/>
    </row>
    <row r="279" spans="18:35" x14ac:dyDescent="0.25">
      <c r="R279" s="25"/>
      <c r="S279" s="25"/>
      <c r="T279" s="25"/>
      <c r="W279" s="25"/>
      <c r="X279" s="25"/>
      <c r="Y279" s="25"/>
      <c r="AB279" s="25"/>
      <c r="AC279" s="25"/>
      <c r="AD279" s="25"/>
      <c r="AG279" s="25"/>
      <c r="AH279" s="25"/>
      <c r="AI279" s="25"/>
    </row>
    <row r="280" spans="18:35" x14ac:dyDescent="0.25">
      <c r="R280" s="25"/>
      <c r="S280" s="25"/>
      <c r="T280" s="25"/>
      <c r="W280" s="25"/>
      <c r="X280" s="25"/>
      <c r="Y280" s="25"/>
      <c r="AB280" s="25"/>
      <c r="AC280" s="25"/>
      <c r="AD280" s="25"/>
      <c r="AG280" s="25"/>
      <c r="AH280" s="25"/>
      <c r="AI280" s="25"/>
    </row>
    <row r="281" spans="18:35" x14ac:dyDescent="0.25">
      <c r="R281" s="25"/>
      <c r="S281" s="25"/>
      <c r="T281" s="25"/>
      <c r="W281" s="25"/>
      <c r="X281" s="25"/>
      <c r="Y281" s="25"/>
      <c r="AB281" s="25"/>
      <c r="AC281" s="25"/>
      <c r="AD281" s="25"/>
      <c r="AG281" s="25"/>
      <c r="AH281" s="25"/>
      <c r="AI281" s="25"/>
    </row>
    <row r="282" spans="18:35" x14ac:dyDescent="0.25">
      <c r="R282" s="25"/>
      <c r="S282" s="25"/>
      <c r="T282" s="25"/>
      <c r="W282" s="25"/>
      <c r="X282" s="25"/>
      <c r="Y282" s="25"/>
      <c r="AB282" s="25"/>
      <c r="AC282" s="25"/>
      <c r="AD282" s="25"/>
      <c r="AG282" s="25"/>
      <c r="AH282" s="25"/>
      <c r="AI282" s="25"/>
    </row>
    <row r="283" spans="18:35" x14ac:dyDescent="0.25">
      <c r="R283" s="25"/>
      <c r="S283" s="25"/>
      <c r="T283" s="25"/>
      <c r="W283" s="25"/>
      <c r="X283" s="25"/>
      <c r="Y283" s="25"/>
      <c r="AB283" s="25"/>
      <c r="AC283" s="25"/>
      <c r="AD283" s="25"/>
      <c r="AG283" s="25"/>
      <c r="AH283" s="25"/>
      <c r="AI283" s="25"/>
    </row>
    <row r="284" spans="18:35" x14ac:dyDescent="0.25">
      <c r="R284" s="25"/>
      <c r="S284" s="25"/>
      <c r="T284" s="25"/>
      <c r="W284" s="25"/>
      <c r="X284" s="25"/>
      <c r="Y284" s="25"/>
      <c r="AB284" s="25"/>
      <c r="AC284" s="25"/>
      <c r="AD284" s="25"/>
      <c r="AG284" s="25"/>
      <c r="AH284" s="25"/>
      <c r="AI284" s="25"/>
    </row>
    <row r="285" spans="18:35" x14ac:dyDescent="0.25">
      <c r="R285" s="25"/>
      <c r="S285" s="25"/>
      <c r="T285" s="25"/>
      <c r="W285" s="25"/>
      <c r="X285" s="25"/>
      <c r="Y285" s="25"/>
      <c r="AB285" s="25"/>
      <c r="AC285" s="25"/>
      <c r="AD285" s="25"/>
      <c r="AG285" s="25"/>
      <c r="AH285" s="25"/>
      <c r="AI285" s="25"/>
    </row>
    <row r="286" spans="18:35" x14ac:dyDescent="0.25">
      <c r="R286" s="25"/>
      <c r="S286" s="25"/>
      <c r="T286" s="25"/>
      <c r="W286" s="25"/>
      <c r="X286" s="25"/>
      <c r="Y286" s="25"/>
      <c r="AB286" s="25"/>
      <c r="AC286" s="25"/>
      <c r="AD286" s="25"/>
      <c r="AG286" s="25"/>
      <c r="AH286" s="25"/>
      <c r="AI286" s="25"/>
    </row>
    <row r="287" spans="18:35" x14ac:dyDescent="0.25">
      <c r="R287" s="25"/>
      <c r="S287" s="25"/>
      <c r="T287" s="25"/>
      <c r="W287" s="25"/>
      <c r="X287" s="25"/>
      <c r="Y287" s="25"/>
      <c r="AB287" s="25"/>
      <c r="AC287" s="25"/>
      <c r="AD287" s="25"/>
      <c r="AG287" s="25"/>
      <c r="AH287" s="25"/>
      <c r="AI287" s="25"/>
    </row>
    <row r="288" spans="18:35" x14ac:dyDescent="0.25">
      <c r="R288" s="25"/>
      <c r="S288" s="25"/>
      <c r="T288" s="25"/>
      <c r="W288" s="25"/>
      <c r="X288" s="25"/>
      <c r="Y288" s="25"/>
      <c r="AB288" s="25"/>
      <c r="AC288" s="25"/>
      <c r="AD288" s="25"/>
      <c r="AG288" s="25"/>
      <c r="AH288" s="25"/>
      <c r="AI288" s="25"/>
    </row>
    <row r="289" spans="18:35" x14ac:dyDescent="0.25">
      <c r="R289" s="25"/>
      <c r="S289" s="25"/>
      <c r="T289" s="25"/>
      <c r="W289" s="25"/>
      <c r="X289" s="25"/>
      <c r="Y289" s="25"/>
      <c r="AB289" s="25"/>
      <c r="AC289" s="25"/>
      <c r="AD289" s="25"/>
      <c r="AG289" s="25"/>
      <c r="AH289" s="25"/>
      <c r="AI289" s="25"/>
    </row>
    <row r="290" spans="18:35" x14ac:dyDescent="0.25">
      <c r="R290" s="25"/>
      <c r="S290" s="25"/>
      <c r="T290" s="25"/>
      <c r="W290" s="25"/>
      <c r="X290" s="25"/>
      <c r="Y290" s="25"/>
      <c r="AB290" s="25"/>
      <c r="AC290" s="25"/>
      <c r="AD290" s="25"/>
      <c r="AG290" s="25"/>
      <c r="AH290" s="25"/>
      <c r="AI290" s="25"/>
    </row>
    <row r="291" spans="18:35" x14ac:dyDescent="0.25">
      <c r="R291" s="25"/>
      <c r="S291" s="25"/>
      <c r="T291" s="25"/>
      <c r="W291" s="25"/>
      <c r="X291" s="25"/>
      <c r="Y291" s="25"/>
      <c r="AB291" s="25"/>
      <c r="AC291" s="25"/>
      <c r="AD291" s="25"/>
      <c r="AG291" s="25"/>
      <c r="AH291" s="25"/>
      <c r="AI291" s="25"/>
    </row>
    <row r="292" spans="18:35" x14ac:dyDescent="0.25">
      <c r="R292" s="25"/>
      <c r="S292" s="25"/>
      <c r="T292" s="25"/>
      <c r="W292" s="25"/>
      <c r="X292" s="25"/>
      <c r="Y292" s="25"/>
      <c r="AB292" s="25"/>
      <c r="AC292" s="25"/>
      <c r="AD292" s="25"/>
      <c r="AG292" s="25"/>
      <c r="AH292" s="25"/>
      <c r="AI292" s="25"/>
    </row>
    <row r="293" spans="18:35" x14ac:dyDescent="0.25">
      <c r="R293" s="25"/>
      <c r="S293" s="25"/>
      <c r="T293" s="25"/>
      <c r="W293" s="25"/>
      <c r="X293" s="25"/>
      <c r="Y293" s="25"/>
      <c r="AB293" s="25"/>
      <c r="AC293" s="25"/>
      <c r="AD293" s="25"/>
      <c r="AG293" s="25"/>
      <c r="AH293" s="25"/>
      <c r="AI293" s="25"/>
    </row>
    <row r="294" spans="18:35" x14ac:dyDescent="0.25">
      <c r="R294" s="25"/>
      <c r="S294" s="25"/>
      <c r="T294" s="25"/>
      <c r="W294" s="25"/>
      <c r="X294" s="25"/>
      <c r="Y294" s="25"/>
      <c r="AB294" s="25"/>
      <c r="AC294" s="25"/>
      <c r="AD294" s="25"/>
      <c r="AG294" s="25"/>
      <c r="AH294" s="25"/>
      <c r="AI294" s="25"/>
    </row>
    <row r="295" spans="18:35" x14ac:dyDescent="0.25">
      <c r="R295" s="25"/>
      <c r="S295" s="25"/>
      <c r="T295" s="25"/>
      <c r="W295" s="25"/>
      <c r="X295" s="25"/>
      <c r="Y295" s="25"/>
      <c r="AB295" s="25"/>
      <c r="AC295" s="25"/>
      <c r="AD295" s="25"/>
      <c r="AG295" s="25"/>
      <c r="AH295" s="25"/>
      <c r="AI295" s="25"/>
    </row>
    <row r="296" spans="18:35" x14ac:dyDescent="0.25">
      <c r="R296" s="25"/>
      <c r="S296" s="25"/>
      <c r="T296" s="25"/>
      <c r="W296" s="25"/>
      <c r="X296" s="25"/>
      <c r="Y296" s="25"/>
      <c r="AB296" s="25"/>
      <c r="AC296" s="25"/>
      <c r="AD296" s="25"/>
      <c r="AG296" s="25"/>
      <c r="AH296" s="25"/>
      <c r="AI296" s="25"/>
    </row>
    <row r="297" spans="18:35" x14ac:dyDescent="0.25">
      <c r="R297" s="25"/>
      <c r="S297" s="25"/>
      <c r="T297" s="25"/>
      <c r="W297" s="25"/>
      <c r="X297" s="25"/>
      <c r="Y297" s="25"/>
      <c r="AB297" s="25"/>
      <c r="AC297" s="25"/>
      <c r="AD297" s="25"/>
      <c r="AG297" s="25"/>
      <c r="AH297" s="25"/>
      <c r="AI297" s="25"/>
    </row>
    <row r="298" spans="18:35" x14ac:dyDescent="0.25">
      <c r="R298" s="25"/>
      <c r="S298" s="25"/>
      <c r="T298" s="25"/>
      <c r="W298" s="25"/>
      <c r="X298" s="25"/>
      <c r="Y298" s="25"/>
      <c r="AB298" s="25"/>
      <c r="AC298" s="25"/>
      <c r="AD298" s="25"/>
      <c r="AG298" s="25"/>
      <c r="AH298" s="25"/>
      <c r="AI298" s="25"/>
    </row>
    <row r="299" spans="18:35" x14ac:dyDescent="0.25">
      <c r="R299" s="25"/>
      <c r="S299" s="25"/>
      <c r="T299" s="25"/>
      <c r="W299" s="25"/>
      <c r="X299" s="25"/>
      <c r="Y299" s="25"/>
      <c r="AB299" s="25"/>
      <c r="AC299" s="25"/>
      <c r="AD299" s="25"/>
      <c r="AG299" s="25"/>
      <c r="AH299" s="25"/>
      <c r="AI299" s="25"/>
    </row>
    <row r="300" spans="18:35" x14ac:dyDescent="0.25">
      <c r="R300" s="25"/>
      <c r="S300" s="25"/>
      <c r="T300" s="25"/>
      <c r="W300" s="25"/>
      <c r="X300" s="25"/>
      <c r="Y300" s="25"/>
      <c r="AB300" s="25"/>
      <c r="AC300" s="25"/>
      <c r="AD300" s="25"/>
      <c r="AG300" s="25"/>
      <c r="AH300" s="25"/>
      <c r="AI300" s="25"/>
    </row>
    <row r="301" spans="18:35" x14ac:dyDescent="0.25">
      <c r="R301" s="25"/>
      <c r="S301" s="25"/>
      <c r="T301" s="25"/>
      <c r="W301" s="25"/>
      <c r="X301" s="25"/>
      <c r="Y301" s="25"/>
      <c r="AB301" s="25"/>
      <c r="AC301" s="25"/>
      <c r="AD301" s="25"/>
      <c r="AG301" s="25"/>
      <c r="AH301" s="25"/>
      <c r="AI301" s="25"/>
    </row>
    <row r="302" spans="18:35" x14ac:dyDescent="0.25">
      <c r="R302" s="25"/>
      <c r="S302" s="25"/>
      <c r="T302" s="25"/>
      <c r="W302" s="25"/>
      <c r="X302" s="25"/>
      <c r="Y302" s="25"/>
      <c r="AB302" s="25"/>
      <c r="AC302" s="25"/>
      <c r="AD302" s="25"/>
      <c r="AG302" s="25"/>
      <c r="AH302" s="25"/>
      <c r="AI302" s="25"/>
    </row>
    <row r="303" spans="18:35" x14ac:dyDescent="0.25">
      <c r="R303" s="25"/>
      <c r="S303" s="25"/>
      <c r="T303" s="25"/>
      <c r="W303" s="25"/>
      <c r="X303" s="25"/>
      <c r="Y303" s="25"/>
      <c r="AB303" s="25"/>
      <c r="AC303" s="25"/>
      <c r="AD303" s="25"/>
      <c r="AG303" s="25"/>
      <c r="AH303" s="25"/>
      <c r="AI303" s="25"/>
    </row>
    <row r="304" spans="18:35" x14ac:dyDescent="0.25">
      <c r="R304" s="25"/>
      <c r="S304" s="25"/>
      <c r="T304" s="25"/>
      <c r="W304" s="25"/>
      <c r="X304" s="25"/>
      <c r="Y304" s="25"/>
      <c r="AB304" s="25"/>
      <c r="AC304" s="25"/>
      <c r="AD304" s="25"/>
      <c r="AG304" s="25"/>
      <c r="AH304" s="25"/>
      <c r="AI304" s="25"/>
    </row>
    <row r="305" spans="18:35" x14ac:dyDescent="0.25">
      <c r="R305" s="25"/>
      <c r="S305" s="25"/>
      <c r="T305" s="25"/>
      <c r="W305" s="25"/>
      <c r="X305" s="25"/>
      <c r="Y305" s="25"/>
      <c r="AB305" s="25"/>
      <c r="AC305" s="25"/>
      <c r="AD305" s="25"/>
      <c r="AG305" s="25"/>
      <c r="AH305" s="25"/>
      <c r="AI305" s="25"/>
    </row>
    <row r="306" spans="18:35" x14ac:dyDescent="0.25">
      <c r="R306" s="25"/>
      <c r="S306" s="25"/>
      <c r="T306" s="25"/>
      <c r="W306" s="25"/>
      <c r="X306" s="25"/>
      <c r="Y306" s="25"/>
      <c r="AB306" s="25"/>
      <c r="AC306" s="25"/>
      <c r="AD306" s="25"/>
      <c r="AG306" s="25"/>
      <c r="AH306" s="25"/>
      <c r="AI306" s="25"/>
    </row>
    <row r="307" spans="18:35" x14ac:dyDescent="0.25">
      <c r="R307" s="25"/>
      <c r="S307" s="25"/>
      <c r="T307" s="25"/>
      <c r="W307" s="25"/>
      <c r="X307" s="25"/>
      <c r="Y307" s="25"/>
      <c r="AB307" s="25"/>
      <c r="AC307" s="25"/>
      <c r="AD307" s="25"/>
      <c r="AG307" s="25"/>
      <c r="AH307" s="25"/>
      <c r="AI307" s="25"/>
    </row>
    <row r="308" spans="18:35" x14ac:dyDescent="0.25">
      <c r="R308" s="25"/>
      <c r="S308" s="25"/>
      <c r="T308" s="25"/>
      <c r="W308" s="25"/>
      <c r="X308" s="25"/>
      <c r="Y308" s="25"/>
      <c r="AB308" s="25"/>
      <c r="AC308" s="25"/>
      <c r="AD308" s="25"/>
      <c r="AG308" s="25"/>
      <c r="AH308" s="25"/>
      <c r="AI308" s="25"/>
    </row>
    <row r="309" spans="18:35" x14ac:dyDescent="0.25">
      <c r="R309" s="25"/>
      <c r="S309" s="25"/>
      <c r="T309" s="25"/>
      <c r="W309" s="25"/>
      <c r="X309" s="25"/>
      <c r="Y309" s="25"/>
      <c r="AB309" s="25"/>
      <c r="AC309" s="25"/>
      <c r="AD309" s="25"/>
      <c r="AG309" s="25"/>
      <c r="AH309" s="25"/>
      <c r="AI309" s="25"/>
    </row>
    <row r="310" spans="18:35" x14ac:dyDescent="0.25">
      <c r="R310" s="25"/>
      <c r="S310" s="25"/>
      <c r="T310" s="25"/>
      <c r="W310" s="25"/>
      <c r="X310" s="25"/>
      <c r="Y310" s="25"/>
      <c r="AB310" s="25"/>
      <c r="AC310" s="25"/>
      <c r="AD310" s="25"/>
      <c r="AG310" s="25"/>
      <c r="AH310" s="25"/>
      <c r="AI310" s="25"/>
    </row>
    <row r="311" spans="18:35" x14ac:dyDescent="0.25">
      <c r="R311" s="25"/>
      <c r="S311" s="25"/>
      <c r="T311" s="25"/>
      <c r="W311" s="25"/>
      <c r="X311" s="25"/>
      <c r="Y311" s="25"/>
      <c r="AB311" s="25"/>
      <c r="AC311" s="25"/>
      <c r="AD311" s="25"/>
      <c r="AG311" s="25"/>
      <c r="AH311" s="25"/>
      <c r="AI311" s="25"/>
    </row>
    <row r="312" spans="18:35" x14ac:dyDescent="0.25">
      <c r="R312" s="25"/>
      <c r="S312" s="25"/>
      <c r="T312" s="25"/>
      <c r="W312" s="25"/>
      <c r="X312" s="25"/>
      <c r="Y312" s="25"/>
      <c r="AB312" s="25"/>
      <c r="AC312" s="25"/>
      <c r="AD312" s="25"/>
      <c r="AG312" s="25"/>
      <c r="AH312" s="25"/>
      <c r="AI312" s="25"/>
    </row>
    <row r="313" spans="18:35" x14ac:dyDescent="0.25">
      <c r="R313" s="25"/>
      <c r="S313" s="25"/>
      <c r="T313" s="25"/>
      <c r="W313" s="25"/>
      <c r="X313" s="25"/>
      <c r="Y313" s="25"/>
      <c r="AB313" s="25"/>
      <c r="AC313" s="25"/>
      <c r="AD313" s="25"/>
      <c r="AG313" s="25"/>
      <c r="AH313" s="25"/>
      <c r="AI313" s="25"/>
    </row>
    <row r="314" spans="18:35" x14ac:dyDescent="0.25">
      <c r="R314" s="25"/>
      <c r="S314" s="25"/>
      <c r="T314" s="25"/>
      <c r="W314" s="25"/>
      <c r="X314" s="25"/>
      <c r="Y314" s="25"/>
      <c r="AB314" s="25"/>
      <c r="AC314" s="25"/>
      <c r="AD314" s="25"/>
      <c r="AG314" s="25"/>
      <c r="AH314" s="25"/>
      <c r="AI314" s="25"/>
    </row>
    <row r="315" spans="18:35" x14ac:dyDescent="0.25">
      <c r="R315" s="25"/>
      <c r="S315" s="25"/>
      <c r="T315" s="25"/>
      <c r="W315" s="25"/>
      <c r="X315" s="25"/>
      <c r="Y315" s="25"/>
      <c r="AB315" s="25"/>
      <c r="AC315" s="25"/>
      <c r="AD315" s="25"/>
      <c r="AG315" s="25"/>
      <c r="AH315" s="25"/>
      <c r="AI315" s="25"/>
    </row>
    <row r="316" spans="18:35" x14ac:dyDescent="0.25">
      <c r="R316" s="25"/>
      <c r="S316" s="25"/>
      <c r="T316" s="25"/>
      <c r="W316" s="25"/>
      <c r="X316" s="25"/>
      <c r="Y316" s="25"/>
      <c r="AB316" s="25"/>
      <c r="AC316" s="25"/>
      <c r="AD316" s="25"/>
      <c r="AG316" s="25"/>
      <c r="AH316" s="25"/>
      <c r="AI316" s="25"/>
    </row>
    <row r="317" spans="18:35" x14ac:dyDescent="0.25">
      <c r="R317" s="25"/>
      <c r="S317" s="25"/>
      <c r="T317" s="25"/>
      <c r="W317" s="25"/>
      <c r="X317" s="25"/>
      <c r="Y317" s="25"/>
      <c r="AB317" s="25"/>
      <c r="AC317" s="25"/>
      <c r="AD317" s="25"/>
      <c r="AG317" s="25"/>
      <c r="AH317" s="25"/>
      <c r="AI317" s="25"/>
    </row>
    <row r="318" spans="18:35" x14ac:dyDescent="0.25">
      <c r="R318" s="25"/>
      <c r="S318" s="25"/>
      <c r="T318" s="25"/>
      <c r="W318" s="25"/>
      <c r="X318" s="25"/>
      <c r="Y318" s="25"/>
      <c r="AB318" s="25"/>
      <c r="AC318" s="25"/>
      <c r="AD318" s="25"/>
      <c r="AG318" s="25"/>
      <c r="AH318" s="25"/>
      <c r="AI318" s="25"/>
    </row>
    <row r="319" spans="18:35" x14ac:dyDescent="0.25">
      <c r="R319" s="25"/>
      <c r="S319" s="25"/>
      <c r="T319" s="25"/>
      <c r="W319" s="25"/>
      <c r="X319" s="25"/>
      <c r="Y319" s="25"/>
      <c r="AB319" s="25"/>
      <c r="AC319" s="25"/>
      <c r="AD319" s="25"/>
      <c r="AG319" s="25"/>
      <c r="AH319" s="25"/>
      <c r="AI319" s="25"/>
    </row>
    <row r="320" spans="18:35" x14ac:dyDescent="0.25">
      <c r="R320" s="25"/>
      <c r="S320" s="25"/>
      <c r="T320" s="25"/>
      <c r="W320" s="25"/>
      <c r="X320" s="25"/>
      <c r="Y320" s="25"/>
      <c r="AB320" s="25"/>
      <c r="AC320" s="25"/>
      <c r="AD320" s="25"/>
      <c r="AG320" s="25"/>
      <c r="AH320" s="25"/>
      <c r="AI320" s="25"/>
    </row>
    <row r="321" spans="18:35" x14ac:dyDescent="0.25">
      <c r="R321" s="25"/>
      <c r="S321" s="25"/>
      <c r="T321" s="25"/>
      <c r="W321" s="25"/>
      <c r="X321" s="25"/>
      <c r="Y321" s="25"/>
      <c r="AB321" s="25"/>
      <c r="AC321" s="25"/>
      <c r="AD321" s="25"/>
      <c r="AG321" s="25"/>
      <c r="AH321" s="25"/>
      <c r="AI321" s="25"/>
    </row>
    <row r="322" spans="18:35" x14ac:dyDescent="0.25">
      <c r="R322" s="25"/>
      <c r="S322" s="25"/>
      <c r="T322" s="25"/>
      <c r="W322" s="25"/>
      <c r="X322" s="25"/>
      <c r="Y322" s="25"/>
      <c r="AB322" s="25"/>
      <c r="AC322" s="25"/>
      <c r="AD322" s="25"/>
      <c r="AG322" s="25"/>
      <c r="AH322" s="25"/>
      <c r="AI322" s="25"/>
    </row>
    <row r="323" spans="18:35" x14ac:dyDescent="0.25">
      <c r="R323" s="25"/>
      <c r="S323" s="25"/>
      <c r="T323" s="25"/>
      <c r="W323" s="25"/>
      <c r="X323" s="25"/>
      <c r="Y323" s="25"/>
      <c r="AB323" s="25"/>
      <c r="AC323" s="25"/>
      <c r="AD323" s="25"/>
      <c r="AG323" s="25"/>
      <c r="AH323" s="25"/>
      <c r="AI323" s="25"/>
    </row>
    <row r="324" spans="18:35" x14ac:dyDescent="0.25">
      <c r="R324" s="25"/>
      <c r="S324" s="25"/>
      <c r="T324" s="25"/>
      <c r="W324" s="25"/>
      <c r="X324" s="25"/>
      <c r="Y324" s="25"/>
      <c r="AB324" s="25"/>
      <c r="AC324" s="25"/>
      <c r="AD324" s="25"/>
      <c r="AG324" s="25"/>
      <c r="AH324" s="25"/>
      <c r="AI324" s="25"/>
    </row>
    <row r="325" spans="18:35" x14ac:dyDescent="0.25">
      <c r="R325" s="25"/>
      <c r="S325" s="25"/>
      <c r="T325" s="25"/>
      <c r="W325" s="25"/>
      <c r="X325" s="25"/>
      <c r="Y325" s="25"/>
      <c r="AB325" s="25"/>
      <c r="AC325" s="25"/>
      <c r="AD325" s="25"/>
      <c r="AG325" s="25"/>
      <c r="AH325" s="25"/>
      <c r="AI325" s="25"/>
    </row>
    <row r="326" spans="18:35" x14ac:dyDescent="0.25">
      <c r="R326" s="25"/>
      <c r="S326" s="25"/>
      <c r="T326" s="25"/>
      <c r="W326" s="25"/>
      <c r="X326" s="25"/>
      <c r="Y326" s="25"/>
      <c r="AB326" s="25"/>
      <c r="AC326" s="25"/>
      <c r="AD326" s="25"/>
      <c r="AG326" s="25"/>
      <c r="AH326" s="25"/>
      <c r="AI326" s="25"/>
    </row>
    <row r="327" spans="18:35" x14ac:dyDescent="0.25">
      <c r="R327" s="25"/>
      <c r="S327" s="25"/>
      <c r="T327" s="25"/>
      <c r="W327" s="25"/>
      <c r="X327" s="25"/>
      <c r="Y327" s="25"/>
      <c r="AB327" s="25"/>
      <c r="AC327" s="25"/>
      <c r="AD327" s="25"/>
      <c r="AG327" s="25"/>
      <c r="AH327" s="25"/>
      <c r="AI327" s="25"/>
    </row>
    <row r="328" spans="18:35" x14ac:dyDescent="0.25">
      <c r="R328" s="25"/>
      <c r="S328" s="25"/>
      <c r="T328" s="25"/>
      <c r="W328" s="25"/>
      <c r="X328" s="25"/>
      <c r="Y328" s="25"/>
      <c r="AB328" s="25"/>
      <c r="AC328" s="25"/>
      <c r="AD328" s="25"/>
      <c r="AG328" s="25"/>
      <c r="AH328" s="25"/>
      <c r="AI328" s="25"/>
    </row>
    <row r="329" spans="18:35" x14ac:dyDescent="0.25">
      <c r="R329" s="25"/>
      <c r="S329" s="25"/>
      <c r="T329" s="25"/>
      <c r="W329" s="25"/>
      <c r="X329" s="25"/>
      <c r="Y329" s="25"/>
      <c r="AB329" s="25"/>
      <c r="AC329" s="25"/>
      <c r="AD329" s="25"/>
      <c r="AG329" s="25"/>
      <c r="AH329" s="25"/>
      <c r="AI329" s="25"/>
    </row>
    <row r="330" spans="18:35" x14ac:dyDescent="0.25">
      <c r="R330" s="25"/>
      <c r="S330" s="25"/>
      <c r="T330" s="25"/>
      <c r="W330" s="25"/>
      <c r="X330" s="25"/>
      <c r="Y330" s="25"/>
      <c r="AB330" s="25"/>
      <c r="AC330" s="25"/>
      <c r="AD330" s="25"/>
      <c r="AG330" s="25"/>
      <c r="AH330" s="25"/>
      <c r="AI330" s="25"/>
    </row>
    <row r="331" spans="18:35" x14ac:dyDescent="0.25">
      <c r="R331" s="25"/>
      <c r="S331" s="25"/>
      <c r="T331" s="25"/>
      <c r="W331" s="25"/>
      <c r="X331" s="25"/>
      <c r="Y331" s="25"/>
      <c r="AB331" s="25"/>
      <c r="AC331" s="25"/>
      <c r="AD331" s="25"/>
      <c r="AG331" s="25"/>
      <c r="AH331" s="25"/>
      <c r="AI331" s="25"/>
    </row>
    <row r="332" spans="18:35" x14ac:dyDescent="0.25">
      <c r="R332" s="25"/>
      <c r="S332" s="25"/>
      <c r="T332" s="25"/>
      <c r="W332" s="25"/>
      <c r="X332" s="25"/>
      <c r="Y332" s="25"/>
      <c r="AB332" s="25"/>
      <c r="AC332" s="25"/>
      <c r="AD332" s="25"/>
      <c r="AG332" s="25"/>
      <c r="AH332" s="25"/>
      <c r="AI332" s="25"/>
    </row>
    <row r="333" spans="18:35" x14ac:dyDescent="0.25">
      <c r="R333" s="25"/>
      <c r="S333" s="25"/>
      <c r="T333" s="25"/>
      <c r="W333" s="25"/>
      <c r="X333" s="25"/>
      <c r="Y333" s="25"/>
      <c r="AB333" s="25"/>
      <c r="AC333" s="25"/>
      <c r="AD333" s="25"/>
      <c r="AG333" s="25"/>
      <c r="AH333" s="25"/>
      <c r="AI333" s="25"/>
    </row>
    <row r="334" spans="18:35" x14ac:dyDescent="0.25">
      <c r="R334" s="25"/>
      <c r="S334" s="25"/>
      <c r="T334" s="25"/>
      <c r="W334" s="25"/>
      <c r="X334" s="25"/>
      <c r="Y334" s="25"/>
      <c r="AB334" s="25"/>
      <c r="AC334" s="25"/>
      <c r="AD334" s="25"/>
      <c r="AG334" s="25"/>
      <c r="AH334" s="25"/>
      <c r="AI334" s="25"/>
    </row>
    <row r="335" spans="18:35" x14ac:dyDescent="0.25">
      <c r="R335" s="25"/>
      <c r="S335" s="25"/>
      <c r="T335" s="25"/>
      <c r="W335" s="25"/>
      <c r="X335" s="25"/>
      <c r="Y335" s="25"/>
      <c r="AB335" s="25"/>
      <c r="AC335" s="25"/>
      <c r="AD335" s="25"/>
      <c r="AG335" s="25"/>
      <c r="AH335" s="25"/>
      <c r="AI335" s="25"/>
    </row>
    <row r="336" spans="18:35" x14ac:dyDescent="0.25">
      <c r="R336" s="25"/>
      <c r="S336" s="25"/>
      <c r="T336" s="25"/>
      <c r="W336" s="25"/>
      <c r="X336" s="25"/>
      <c r="Y336" s="25"/>
      <c r="AB336" s="25"/>
      <c r="AC336" s="25"/>
      <c r="AD336" s="25"/>
      <c r="AG336" s="25"/>
      <c r="AH336" s="25"/>
      <c r="AI336" s="25"/>
    </row>
    <row r="337" spans="18:35" x14ac:dyDescent="0.25">
      <c r="R337" s="25"/>
      <c r="S337" s="25"/>
      <c r="T337" s="25"/>
      <c r="W337" s="25"/>
      <c r="X337" s="25"/>
      <c r="Y337" s="25"/>
      <c r="AB337" s="25"/>
      <c r="AC337" s="25"/>
      <c r="AD337" s="25"/>
      <c r="AG337" s="25"/>
      <c r="AH337" s="25"/>
      <c r="AI337" s="25"/>
    </row>
    <row r="338" spans="18:35" x14ac:dyDescent="0.25">
      <c r="R338" s="25"/>
      <c r="S338" s="25"/>
      <c r="T338" s="25"/>
      <c r="W338" s="25"/>
      <c r="X338" s="25"/>
      <c r="Y338" s="25"/>
      <c r="AB338" s="25"/>
      <c r="AC338" s="25"/>
      <c r="AD338" s="25"/>
      <c r="AG338" s="25"/>
      <c r="AH338" s="25"/>
      <c r="AI338" s="25"/>
    </row>
    <row r="339" spans="18:35" x14ac:dyDescent="0.25">
      <c r="R339" s="25"/>
      <c r="S339" s="25"/>
      <c r="T339" s="25"/>
      <c r="W339" s="25"/>
      <c r="X339" s="25"/>
      <c r="Y339" s="25"/>
      <c r="AB339" s="25"/>
      <c r="AC339" s="25"/>
      <c r="AD339" s="25"/>
      <c r="AG339" s="25"/>
      <c r="AH339" s="25"/>
      <c r="AI339" s="25"/>
    </row>
    <row r="340" spans="18:35" x14ac:dyDescent="0.25">
      <c r="R340" s="25"/>
      <c r="S340" s="25"/>
      <c r="T340" s="25"/>
      <c r="W340" s="25"/>
      <c r="X340" s="25"/>
      <c r="Y340" s="25"/>
      <c r="AB340" s="25"/>
      <c r="AC340" s="25"/>
      <c r="AD340" s="25"/>
      <c r="AG340" s="25"/>
      <c r="AH340" s="25"/>
      <c r="AI340" s="25"/>
    </row>
    <row r="341" spans="18:35" x14ac:dyDescent="0.25">
      <c r="R341" s="25"/>
      <c r="S341" s="25"/>
      <c r="T341" s="25"/>
      <c r="W341" s="25"/>
      <c r="X341" s="25"/>
      <c r="Y341" s="25"/>
      <c r="AB341" s="25"/>
      <c r="AC341" s="25"/>
      <c r="AD341" s="25"/>
      <c r="AG341" s="25"/>
      <c r="AH341" s="25"/>
      <c r="AI341" s="25"/>
    </row>
    <row r="342" spans="18:35" x14ac:dyDescent="0.25">
      <c r="R342" s="25"/>
      <c r="S342" s="25"/>
      <c r="T342" s="25"/>
      <c r="W342" s="25"/>
      <c r="X342" s="25"/>
      <c r="Y342" s="25"/>
      <c r="AB342" s="25"/>
      <c r="AC342" s="25"/>
      <c r="AD342" s="25"/>
      <c r="AG342" s="25"/>
      <c r="AH342" s="25"/>
      <c r="AI342" s="25"/>
    </row>
    <row r="343" spans="18:35" x14ac:dyDescent="0.25">
      <c r="R343" s="25"/>
      <c r="S343" s="25"/>
      <c r="T343" s="25"/>
      <c r="W343" s="25"/>
      <c r="X343" s="25"/>
      <c r="Y343" s="25"/>
      <c r="AB343" s="25"/>
      <c r="AC343" s="25"/>
      <c r="AD343" s="25"/>
      <c r="AG343" s="25"/>
      <c r="AH343" s="25"/>
      <c r="AI343" s="25"/>
    </row>
    <row r="344" spans="18:35" x14ac:dyDescent="0.25">
      <c r="R344" s="25"/>
      <c r="S344" s="25"/>
      <c r="T344" s="25"/>
      <c r="W344" s="25"/>
      <c r="X344" s="25"/>
      <c r="Y344" s="25"/>
      <c r="AB344" s="25"/>
      <c r="AC344" s="25"/>
      <c r="AD344" s="25"/>
      <c r="AG344" s="25"/>
      <c r="AH344" s="25"/>
      <c r="AI344" s="25"/>
    </row>
    <row r="345" spans="18:35" x14ac:dyDescent="0.25">
      <c r="R345" s="25"/>
      <c r="S345" s="25"/>
      <c r="T345" s="25"/>
      <c r="W345" s="25"/>
      <c r="X345" s="25"/>
      <c r="Y345" s="25"/>
      <c r="AB345" s="25"/>
      <c r="AC345" s="25"/>
      <c r="AD345" s="25"/>
      <c r="AG345" s="25"/>
      <c r="AH345" s="25"/>
      <c r="AI345" s="25"/>
    </row>
    <row r="346" spans="18:35" x14ac:dyDescent="0.25">
      <c r="R346" s="25"/>
      <c r="S346" s="25"/>
      <c r="T346" s="25"/>
      <c r="W346" s="25"/>
      <c r="X346" s="25"/>
      <c r="Y346" s="25"/>
      <c r="AB346" s="25"/>
      <c r="AC346" s="25"/>
      <c r="AD346" s="25"/>
      <c r="AG346" s="25"/>
      <c r="AH346" s="25"/>
      <c r="AI346" s="25"/>
    </row>
    <row r="347" spans="18:35" x14ac:dyDescent="0.25">
      <c r="R347" s="25"/>
      <c r="S347" s="25"/>
      <c r="T347" s="25"/>
      <c r="W347" s="25"/>
      <c r="X347" s="25"/>
      <c r="Y347" s="25"/>
      <c r="AB347" s="25"/>
      <c r="AC347" s="25"/>
      <c r="AD347" s="25"/>
      <c r="AG347" s="25"/>
      <c r="AH347" s="25"/>
      <c r="AI347" s="25"/>
    </row>
    <row r="348" spans="18:35" x14ac:dyDescent="0.25">
      <c r="R348" s="25"/>
      <c r="S348" s="25"/>
      <c r="T348" s="25"/>
      <c r="W348" s="25"/>
      <c r="X348" s="25"/>
      <c r="Y348" s="25"/>
      <c r="AB348" s="25"/>
      <c r="AC348" s="25"/>
      <c r="AD348" s="25"/>
      <c r="AG348" s="25"/>
      <c r="AH348" s="25"/>
      <c r="AI348" s="25"/>
    </row>
    <row r="349" spans="18:35" x14ac:dyDescent="0.25">
      <c r="R349" s="25"/>
      <c r="S349" s="25"/>
      <c r="T349" s="25"/>
      <c r="W349" s="25"/>
      <c r="X349" s="25"/>
      <c r="Y349" s="25"/>
      <c r="AB349" s="25"/>
      <c r="AC349" s="25"/>
      <c r="AD349" s="25"/>
      <c r="AG349" s="25"/>
      <c r="AH349" s="25"/>
      <c r="AI349" s="25"/>
    </row>
    <row r="350" spans="18:35" x14ac:dyDescent="0.25">
      <c r="R350" s="25"/>
      <c r="S350" s="25"/>
      <c r="T350" s="25"/>
      <c r="W350" s="25"/>
      <c r="X350" s="25"/>
      <c r="Y350" s="25"/>
      <c r="AB350" s="25"/>
      <c r="AC350" s="25"/>
      <c r="AD350" s="25"/>
      <c r="AG350" s="25"/>
      <c r="AH350" s="25"/>
      <c r="AI350" s="25"/>
    </row>
    <row r="351" spans="18:35" x14ac:dyDescent="0.25">
      <c r="R351" s="25"/>
      <c r="S351" s="25"/>
      <c r="T351" s="25"/>
      <c r="W351" s="25"/>
      <c r="X351" s="25"/>
      <c r="Y351" s="25"/>
      <c r="AB351" s="25"/>
      <c r="AC351" s="25"/>
      <c r="AD351" s="25"/>
      <c r="AG351" s="25"/>
      <c r="AH351" s="25"/>
      <c r="AI351" s="25"/>
    </row>
    <row r="352" spans="18:35" x14ac:dyDescent="0.25">
      <c r="R352" s="25"/>
      <c r="S352" s="25"/>
      <c r="T352" s="25"/>
      <c r="W352" s="25"/>
      <c r="X352" s="25"/>
      <c r="Y352" s="25"/>
      <c r="AB352" s="25"/>
      <c r="AC352" s="25"/>
      <c r="AD352" s="25"/>
      <c r="AG352" s="25"/>
      <c r="AH352" s="25"/>
      <c r="AI352" s="25"/>
    </row>
    <row r="353" spans="18:35" x14ac:dyDescent="0.25">
      <c r="R353" s="25"/>
      <c r="S353" s="25"/>
      <c r="T353" s="25"/>
      <c r="W353" s="25"/>
      <c r="X353" s="25"/>
      <c r="Y353" s="25"/>
      <c r="AB353" s="25"/>
      <c r="AC353" s="25"/>
      <c r="AD353" s="25"/>
      <c r="AG353" s="25"/>
      <c r="AH353" s="25"/>
      <c r="AI353" s="25"/>
    </row>
    <row r="354" spans="18:35" x14ac:dyDescent="0.25">
      <c r="R354" s="25"/>
      <c r="S354" s="25"/>
      <c r="T354" s="25"/>
      <c r="W354" s="25"/>
      <c r="X354" s="25"/>
      <c r="Y354" s="25"/>
      <c r="AB354" s="25"/>
      <c r="AC354" s="25"/>
      <c r="AD354" s="25"/>
      <c r="AG354" s="25"/>
      <c r="AH354" s="25"/>
      <c r="AI354" s="25"/>
    </row>
    <row r="355" spans="18:35" x14ac:dyDescent="0.25">
      <c r="R355" s="25"/>
      <c r="S355" s="25"/>
      <c r="T355" s="25"/>
      <c r="W355" s="25"/>
      <c r="X355" s="25"/>
      <c r="Y355" s="25"/>
      <c r="AB355" s="25"/>
      <c r="AC355" s="25"/>
      <c r="AD355" s="25"/>
      <c r="AG355" s="25"/>
      <c r="AH355" s="25"/>
      <c r="AI355" s="25"/>
    </row>
    <row r="356" spans="18:35" x14ac:dyDescent="0.25">
      <c r="R356" s="25"/>
      <c r="S356" s="25"/>
      <c r="T356" s="25"/>
      <c r="W356" s="25"/>
      <c r="X356" s="25"/>
      <c r="Y356" s="25"/>
      <c r="AB356" s="25"/>
      <c r="AC356" s="25"/>
      <c r="AD356" s="25"/>
      <c r="AG356" s="25"/>
      <c r="AH356" s="25"/>
      <c r="AI356" s="25"/>
    </row>
    <row r="357" spans="18:35" x14ac:dyDescent="0.25">
      <c r="R357" s="25"/>
      <c r="S357" s="25"/>
      <c r="T357" s="25"/>
      <c r="W357" s="25"/>
      <c r="X357" s="25"/>
      <c r="Y357" s="25"/>
      <c r="AB357" s="25"/>
      <c r="AC357" s="25"/>
      <c r="AD357" s="25"/>
      <c r="AG357" s="25"/>
      <c r="AH357" s="25"/>
      <c r="AI357" s="25"/>
    </row>
    <row r="358" spans="18:35" x14ac:dyDescent="0.25">
      <c r="R358" s="25"/>
      <c r="S358" s="25"/>
      <c r="T358" s="25"/>
      <c r="W358" s="25"/>
      <c r="X358" s="25"/>
      <c r="Y358" s="25"/>
      <c r="AB358" s="25"/>
      <c r="AC358" s="25"/>
      <c r="AD358" s="25"/>
      <c r="AG358" s="25"/>
      <c r="AH358" s="25"/>
      <c r="AI358" s="25"/>
    </row>
    <row r="359" spans="18:35" x14ac:dyDescent="0.25">
      <c r="R359" s="25"/>
      <c r="S359" s="25"/>
      <c r="T359" s="25"/>
      <c r="W359" s="25"/>
      <c r="X359" s="25"/>
      <c r="Y359" s="25"/>
      <c r="AB359" s="25"/>
      <c r="AC359" s="25"/>
      <c r="AD359" s="25"/>
      <c r="AG359" s="25"/>
      <c r="AH359" s="25"/>
      <c r="AI359" s="25"/>
    </row>
    <row r="360" spans="18:35" x14ac:dyDescent="0.25">
      <c r="R360" s="25"/>
      <c r="S360" s="25"/>
      <c r="T360" s="25"/>
      <c r="W360" s="25"/>
      <c r="X360" s="25"/>
      <c r="Y360" s="25"/>
      <c r="AB360" s="25"/>
      <c r="AC360" s="25"/>
      <c r="AD360" s="25"/>
      <c r="AG360" s="25"/>
      <c r="AH360" s="25"/>
      <c r="AI360" s="25"/>
    </row>
    <row r="361" spans="18:35" x14ac:dyDescent="0.25">
      <c r="R361" s="25"/>
      <c r="S361" s="25"/>
      <c r="T361" s="25"/>
      <c r="W361" s="25"/>
      <c r="X361" s="25"/>
      <c r="Y361" s="25"/>
      <c r="AB361" s="25"/>
      <c r="AC361" s="25"/>
      <c r="AD361" s="25"/>
      <c r="AG361" s="25"/>
      <c r="AH361" s="25"/>
      <c r="AI361" s="25"/>
    </row>
    <row r="362" spans="18:35" x14ac:dyDescent="0.25">
      <c r="R362" s="25"/>
      <c r="S362" s="25"/>
      <c r="T362" s="25"/>
      <c r="W362" s="25"/>
      <c r="X362" s="25"/>
      <c r="Y362" s="25"/>
      <c r="AB362" s="25"/>
      <c r="AC362" s="25"/>
      <c r="AD362" s="25"/>
      <c r="AG362" s="25"/>
      <c r="AH362" s="25"/>
      <c r="AI362" s="25"/>
    </row>
    <row r="363" spans="18:35" x14ac:dyDescent="0.25">
      <c r="R363" s="25"/>
      <c r="S363" s="25"/>
      <c r="T363" s="25"/>
      <c r="W363" s="25"/>
      <c r="X363" s="25"/>
      <c r="Y363" s="25"/>
      <c r="AB363" s="25"/>
      <c r="AC363" s="25"/>
      <c r="AD363" s="25"/>
      <c r="AG363" s="25"/>
      <c r="AH363" s="25"/>
      <c r="AI363" s="25"/>
    </row>
    <row r="364" spans="18:35" x14ac:dyDescent="0.25">
      <c r="R364" s="25"/>
      <c r="S364" s="25"/>
      <c r="T364" s="25"/>
      <c r="W364" s="25"/>
      <c r="X364" s="25"/>
      <c r="Y364" s="25"/>
      <c r="AB364" s="25"/>
      <c r="AC364" s="25"/>
      <c r="AD364" s="25"/>
      <c r="AG364" s="25"/>
      <c r="AH364" s="25"/>
      <c r="AI364" s="25"/>
    </row>
    <row r="365" spans="18:35" x14ac:dyDescent="0.25">
      <c r="R365" s="25"/>
      <c r="S365" s="25"/>
      <c r="T365" s="25"/>
      <c r="W365" s="25"/>
      <c r="X365" s="25"/>
      <c r="Y365" s="25"/>
      <c r="AB365" s="25"/>
      <c r="AC365" s="25"/>
      <c r="AD365" s="25"/>
      <c r="AG365" s="25"/>
      <c r="AH365" s="25"/>
      <c r="AI365" s="25"/>
    </row>
    <row r="366" spans="18:35" x14ac:dyDescent="0.25">
      <c r="R366" s="25"/>
      <c r="S366" s="25"/>
      <c r="T366" s="25"/>
      <c r="W366" s="25"/>
      <c r="X366" s="25"/>
      <c r="Y366" s="25"/>
      <c r="AB366" s="25"/>
      <c r="AC366" s="25"/>
      <c r="AD366" s="25"/>
      <c r="AG366" s="25"/>
      <c r="AH366" s="25"/>
      <c r="AI366" s="25"/>
    </row>
    <row r="367" spans="18:35" x14ac:dyDescent="0.25">
      <c r="R367" s="25"/>
      <c r="S367" s="25"/>
      <c r="T367" s="25"/>
      <c r="W367" s="25"/>
      <c r="X367" s="25"/>
      <c r="Y367" s="25"/>
      <c r="AB367" s="25"/>
      <c r="AC367" s="25"/>
      <c r="AD367" s="25"/>
      <c r="AG367" s="25"/>
      <c r="AH367" s="25"/>
      <c r="AI367" s="25"/>
    </row>
    <row r="368" spans="18:35" x14ac:dyDescent="0.25">
      <c r="R368" s="25"/>
      <c r="S368" s="25"/>
      <c r="T368" s="25"/>
      <c r="W368" s="25"/>
      <c r="X368" s="25"/>
      <c r="Y368" s="25"/>
      <c r="AB368" s="25"/>
      <c r="AC368" s="25"/>
      <c r="AD368" s="25"/>
      <c r="AG368" s="25"/>
      <c r="AH368" s="25"/>
      <c r="AI368" s="25"/>
    </row>
    <row r="369" spans="18:35" x14ac:dyDescent="0.25">
      <c r="R369" s="25"/>
      <c r="S369" s="25"/>
      <c r="T369" s="25"/>
      <c r="W369" s="25"/>
      <c r="X369" s="25"/>
      <c r="Y369" s="25"/>
      <c r="AB369" s="25"/>
      <c r="AC369" s="25"/>
      <c r="AD369" s="25"/>
      <c r="AG369" s="25"/>
      <c r="AH369" s="25"/>
      <c r="AI369" s="25"/>
    </row>
    <row r="370" spans="18:35" x14ac:dyDescent="0.25">
      <c r="R370" s="25"/>
      <c r="S370" s="25"/>
      <c r="T370" s="25"/>
      <c r="W370" s="25"/>
      <c r="X370" s="25"/>
      <c r="Y370" s="25"/>
      <c r="AB370" s="25"/>
      <c r="AC370" s="25"/>
      <c r="AD370" s="25"/>
      <c r="AG370" s="25"/>
      <c r="AH370" s="25"/>
      <c r="AI370" s="25"/>
    </row>
    <row r="371" spans="18:35" x14ac:dyDescent="0.25">
      <c r="R371" s="25"/>
      <c r="S371" s="25"/>
      <c r="T371" s="25"/>
      <c r="W371" s="25"/>
      <c r="X371" s="25"/>
      <c r="Y371" s="25"/>
      <c r="AB371" s="25"/>
      <c r="AC371" s="25"/>
      <c r="AD371" s="25"/>
      <c r="AG371" s="25"/>
      <c r="AH371" s="25"/>
      <c r="AI371" s="25"/>
    </row>
    <row r="372" spans="18:35" x14ac:dyDescent="0.25">
      <c r="R372" s="25"/>
      <c r="S372" s="25"/>
      <c r="T372" s="25"/>
      <c r="W372" s="25"/>
      <c r="X372" s="25"/>
      <c r="Y372" s="25"/>
      <c r="AB372" s="25"/>
      <c r="AC372" s="25"/>
      <c r="AD372" s="25"/>
      <c r="AG372" s="25"/>
      <c r="AH372" s="25"/>
      <c r="AI372" s="25"/>
    </row>
    <row r="373" spans="18:35" x14ac:dyDescent="0.25">
      <c r="R373" s="25"/>
      <c r="S373" s="25"/>
      <c r="T373" s="25"/>
      <c r="W373" s="25"/>
      <c r="X373" s="25"/>
      <c r="Y373" s="25"/>
      <c r="AB373" s="25"/>
      <c r="AC373" s="25"/>
      <c r="AD373" s="25"/>
      <c r="AG373" s="25"/>
      <c r="AH373" s="25"/>
      <c r="AI373" s="25"/>
    </row>
    <row r="374" spans="18:35" x14ac:dyDescent="0.25">
      <c r="R374" s="25"/>
      <c r="S374" s="25"/>
      <c r="T374" s="25"/>
      <c r="W374" s="25"/>
      <c r="X374" s="25"/>
      <c r="Y374" s="25"/>
      <c r="AB374" s="25"/>
      <c r="AC374" s="25"/>
      <c r="AD374" s="25"/>
      <c r="AG374" s="25"/>
      <c r="AH374" s="25"/>
      <c r="AI374" s="25"/>
    </row>
    <row r="375" spans="18:35" x14ac:dyDescent="0.25">
      <c r="R375" s="25"/>
      <c r="S375" s="25"/>
      <c r="T375" s="25"/>
      <c r="W375" s="25"/>
      <c r="X375" s="25"/>
      <c r="Y375" s="25"/>
      <c r="AB375" s="25"/>
      <c r="AC375" s="25"/>
      <c r="AD375" s="25"/>
      <c r="AG375" s="25"/>
      <c r="AH375" s="25"/>
      <c r="AI375" s="25"/>
    </row>
    <row r="376" spans="18:35" x14ac:dyDescent="0.25">
      <c r="R376" s="25"/>
      <c r="S376" s="25"/>
      <c r="T376" s="25"/>
      <c r="W376" s="25"/>
      <c r="X376" s="25"/>
      <c r="Y376" s="25"/>
      <c r="AB376" s="25"/>
      <c r="AC376" s="25"/>
      <c r="AD376" s="25"/>
      <c r="AG376" s="25"/>
      <c r="AH376" s="25"/>
      <c r="AI376" s="25"/>
    </row>
    <row r="377" spans="18:35" x14ac:dyDescent="0.25">
      <c r="R377" s="25"/>
      <c r="S377" s="25"/>
      <c r="T377" s="25"/>
      <c r="W377" s="25"/>
      <c r="X377" s="25"/>
      <c r="Y377" s="25"/>
      <c r="AB377" s="25"/>
      <c r="AC377" s="25"/>
      <c r="AD377" s="25"/>
      <c r="AG377" s="25"/>
      <c r="AH377" s="25"/>
      <c r="AI377" s="25"/>
    </row>
    <row r="378" spans="18:35" x14ac:dyDescent="0.25">
      <c r="R378" s="25"/>
      <c r="S378" s="25"/>
      <c r="T378" s="25"/>
      <c r="W378" s="25"/>
      <c r="X378" s="25"/>
      <c r="Y378" s="25"/>
      <c r="AB378" s="25"/>
      <c r="AC378" s="25"/>
      <c r="AD378" s="25"/>
      <c r="AG378" s="25"/>
      <c r="AH378" s="25"/>
      <c r="AI378" s="25"/>
    </row>
    <row r="379" spans="18:35" x14ac:dyDescent="0.25">
      <c r="R379" s="25"/>
      <c r="S379" s="25"/>
      <c r="T379" s="25"/>
      <c r="W379" s="25"/>
      <c r="X379" s="25"/>
      <c r="Y379" s="25"/>
      <c r="AB379" s="25"/>
      <c r="AC379" s="25"/>
      <c r="AD379" s="25"/>
      <c r="AG379" s="25"/>
      <c r="AH379" s="25"/>
      <c r="AI379" s="25"/>
    </row>
    <row r="380" spans="18:35" x14ac:dyDescent="0.25">
      <c r="R380" s="25"/>
      <c r="S380" s="25"/>
      <c r="T380" s="25"/>
      <c r="W380" s="25"/>
      <c r="X380" s="25"/>
      <c r="Y380" s="25"/>
      <c r="AB380" s="25"/>
      <c r="AC380" s="25"/>
      <c r="AD380" s="25"/>
      <c r="AG380" s="25"/>
      <c r="AH380" s="25"/>
      <c r="AI380" s="25"/>
    </row>
    <row r="381" spans="18:35" x14ac:dyDescent="0.25">
      <c r="R381" s="25"/>
      <c r="S381" s="25"/>
      <c r="T381" s="25"/>
      <c r="W381" s="25"/>
      <c r="X381" s="25"/>
      <c r="Y381" s="25"/>
      <c r="AB381" s="25"/>
      <c r="AC381" s="25"/>
      <c r="AD381" s="25"/>
      <c r="AG381" s="25"/>
      <c r="AH381" s="25"/>
      <c r="AI381" s="25"/>
    </row>
    <row r="382" spans="18:35" x14ac:dyDescent="0.25">
      <c r="R382" s="25"/>
      <c r="S382" s="25"/>
      <c r="T382" s="25"/>
      <c r="W382" s="25"/>
      <c r="X382" s="25"/>
      <c r="Y382" s="25"/>
      <c r="AB382" s="25"/>
      <c r="AC382" s="25"/>
      <c r="AD382" s="25"/>
      <c r="AG382" s="25"/>
      <c r="AH382" s="25"/>
      <c r="AI382" s="25"/>
    </row>
    <row r="383" spans="18:35" x14ac:dyDescent="0.25">
      <c r="R383" s="25"/>
      <c r="S383" s="25"/>
      <c r="T383" s="25"/>
      <c r="W383" s="25"/>
      <c r="X383" s="25"/>
      <c r="Y383" s="25"/>
      <c r="AB383" s="25"/>
      <c r="AC383" s="25"/>
      <c r="AD383" s="25"/>
      <c r="AG383" s="25"/>
      <c r="AH383" s="25"/>
      <c r="AI383" s="25"/>
    </row>
    <row r="384" spans="18:35" x14ac:dyDescent="0.25">
      <c r="R384" s="25"/>
      <c r="S384" s="25"/>
      <c r="T384" s="25"/>
      <c r="W384" s="25"/>
      <c r="X384" s="25"/>
      <c r="Y384" s="25"/>
      <c r="AB384" s="25"/>
      <c r="AC384" s="25"/>
      <c r="AD384" s="25"/>
      <c r="AG384" s="25"/>
      <c r="AH384" s="25"/>
      <c r="AI384" s="25"/>
    </row>
    <row r="385" spans="18:35" x14ac:dyDescent="0.25">
      <c r="R385" s="25"/>
      <c r="S385" s="25"/>
      <c r="T385" s="25"/>
      <c r="W385" s="25"/>
      <c r="X385" s="25"/>
      <c r="Y385" s="25"/>
      <c r="AB385" s="25"/>
      <c r="AC385" s="25"/>
      <c r="AD385" s="25"/>
      <c r="AG385" s="25"/>
      <c r="AH385" s="25"/>
      <c r="AI385" s="25"/>
    </row>
    <row r="386" spans="18:35" x14ac:dyDescent="0.25">
      <c r="R386" s="25"/>
      <c r="S386" s="25"/>
      <c r="T386" s="25"/>
      <c r="W386" s="25"/>
      <c r="X386" s="25"/>
      <c r="Y386" s="25"/>
      <c r="AB386" s="25"/>
      <c r="AC386" s="25"/>
      <c r="AD386" s="25"/>
      <c r="AG386" s="25"/>
      <c r="AH386" s="25"/>
      <c r="AI386" s="25"/>
    </row>
    <row r="387" spans="18:35" x14ac:dyDescent="0.25">
      <c r="R387" s="25"/>
      <c r="S387" s="25"/>
      <c r="T387" s="25"/>
      <c r="W387" s="25"/>
      <c r="X387" s="25"/>
      <c r="Y387" s="25"/>
      <c r="AB387" s="25"/>
      <c r="AC387" s="25"/>
      <c r="AD387" s="25"/>
      <c r="AG387" s="25"/>
      <c r="AH387" s="25"/>
      <c r="AI387" s="25"/>
    </row>
    <row r="388" spans="18:35" x14ac:dyDescent="0.25">
      <c r="R388" s="25"/>
      <c r="S388" s="25"/>
      <c r="T388" s="25"/>
      <c r="W388" s="25"/>
      <c r="X388" s="25"/>
      <c r="Y388" s="25"/>
      <c r="AB388" s="25"/>
      <c r="AC388" s="25"/>
      <c r="AD388" s="25"/>
      <c r="AG388" s="25"/>
      <c r="AH388" s="25"/>
      <c r="AI388" s="25"/>
    </row>
    <row r="389" spans="18:35" x14ac:dyDescent="0.25">
      <c r="R389" s="25"/>
      <c r="S389" s="25"/>
      <c r="T389" s="25"/>
      <c r="W389" s="25"/>
      <c r="X389" s="25"/>
      <c r="Y389" s="25"/>
      <c r="AB389" s="25"/>
      <c r="AC389" s="25"/>
      <c r="AD389" s="25"/>
      <c r="AG389" s="25"/>
      <c r="AH389" s="25"/>
      <c r="AI389" s="25"/>
    </row>
    <row r="390" spans="18:35" x14ac:dyDescent="0.25">
      <c r="R390" s="25"/>
      <c r="S390" s="25"/>
      <c r="T390" s="25"/>
      <c r="W390" s="25"/>
      <c r="X390" s="25"/>
      <c r="Y390" s="25"/>
      <c r="AB390" s="25"/>
      <c r="AC390" s="25"/>
      <c r="AD390" s="25"/>
      <c r="AG390" s="25"/>
      <c r="AH390" s="25"/>
      <c r="AI390" s="25"/>
    </row>
    <row r="391" spans="18:35" x14ac:dyDescent="0.25">
      <c r="R391" s="25"/>
      <c r="S391" s="25"/>
      <c r="T391" s="25"/>
      <c r="W391" s="25"/>
      <c r="X391" s="25"/>
      <c r="Y391" s="25"/>
      <c r="AB391" s="25"/>
      <c r="AC391" s="25"/>
      <c r="AD391" s="25"/>
      <c r="AG391" s="25"/>
      <c r="AH391" s="25"/>
      <c r="AI391" s="25"/>
    </row>
    <row r="392" spans="18:35" x14ac:dyDescent="0.25">
      <c r="R392" s="25"/>
      <c r="S392" s="25"/>
      <c r="T392" s="25"/>
      <c r="W392" s="25"/>
      <c r="X392" s="25"/>
      <c r="Y392" s="25"/>
      <c r="AB392" s="25"/>
      <c r="AC392" s="25"/>
      <c r="AD392" s="25"/>
      <c r="AG392" s="25"/>
      <c r="AH392" s="25"/>
      <c r="AI392" s="25"/>
    </row>
    <row r="393" spans="18:35" x14ac:dyDescent="0.25">
      <c r="R393" s="25"/>
      <c r="S393" s="25"/>
      <c r="T393" s="25"/>
      <c r="W393" s="25"/>
      <c r="X393" s="25"/>
      <c r="Y393" s="25"/>
      <c r="AB393" s="25"/>
      <c r="AC393" s="25"/>
      <c r="AD393" s="25"/>
      <c r="AG393" s="25"/>
      <c r="AH393" s="25"/>
      <c r="AI393" s="25"/>
    </row>
    <row r="394" spans="18:35" x14ac:dyDescent="0.25">
      <c r="R394" s="25"/>
      <c r="S394" s="25"/>
      <c r="T394" s="25"/>
      <c r="W394" s="25"/>
      <c r="X394" s="25"/>
      <c r="Y394" s="25"/>
      <c r="AB394" s="25"/>
      <c r="AC394" s="25"/>
      <c r="AD394" s="25"/>
      <c r="AG394" s="25"/>
      <c r="AH394" s="25"/>
      <c r="AI394" s="25"/>
    </row>
    <row r="395" spans="18:35" x14ac:dyDescent="0.25">
      <c r="R395" s="25"/>
      <c r="S395" s="25"/>
      <c r="T395" s="25"/>
      <c r="W395" s="25"/>
      <c r="X395" s="25"/>
      <c r="Y395" s="25"/>
      <c r="AB395" s="25"/>
      <c r="AC395" s="25"/>
      <c r="AD395" s="25"/>
      <c r="AG395" s="25"/>
      <c r="AH395" s="25"/>
      <c r="AI395" s="25"/>
    </row>
    <row r="396" spans="18:35" x14ac:dyDescent="0.25">
      <c r="R396" s="25"/>
      <c r="S396" s="25"/>
      <c r="T396" s="25"/>
      <c r="W396" s="25"/>
      <c r="X396" s="25"/>
      <c r="Y396" s="25"/>
      <c r="AB396" s="25"/>
      <c r="AC396" s="25"/>
      <c r="AD396" s="25"/>
      <c r="AG396" s="25"/>
      <c r="AH396" s="25"/>
      <c r="AI396" s="25"/>
    </row>
    <row r="397" spans="18:35" x14ac:dyDescent="0.25">
      <c r="R397" s="25"/>
      <c r="S397" s="25"/>
      <c r="T397" s="25"/>
      <c r="W397" s="25"/>
      <c r="X397" s="25"/>
      <c r="Y397" s="25"/>
      <c r="AB397" s="25"/>
      <c r="AC397" s="25"/>
      <c r="AD397" s="25"/>
      <c r="AG397" s="25"/>
      <c r="AH397" s="25"/>
      <c r="AI397" s="25"/>
    </row>
    <row r="398" spans="18:35" x14ac:dyDescent="0.25">
      <c r="R398" s="25"/>
      <c r="S398" s="25"/>
      <c r="T398" s="25"/>
      <c r="W398" s="25"/>
      <c r="X398" s="25"/>
      <c r="Y398" s="25"/>
      <c r="AB398" s="25"/>
      <c r="AC398" s="25"/>
      <c r="AD398" s="25"/>
      <c r="AG398" s="25"/>
      <c r="AH398" s="25"/>
      <c r="AI398" s="25"/>
    </row>
    <row r="399" spans="18:35" x14ac:dyDescent="0.25">
      <c r="R399" s="25"/>
      <c r="S399" s="25"/>
      <c r="T399" s="25"/>
      <c r="W399" s="25"/>
      <c r="X399" s="25"/>
      <c r="Y399" s="25"/>
      <c r="AB399" s="25"/>
      <c r="AC399" s="25"/>
      <c r="AD399" s="25"/>
      <c r="AG399" s="25"/>
      <c r="AH399" s="25"/>
      <c r="AI399" s="25"/>
    </row>
    <row r="400" spans="18:35" x14ac:dyDescent="0.25">
      <c r="R400" s="25"/>
      <c r="S400" s="25"/>
      <c r="T400" s="25"/>
      <c r="W400" s="25"/>
      <c r="X400" s="25"/>
      <c r="Y400" s="25"/>
      <c r="AB400" s="25"/>
      <c r="AC400" s="25"/>
      <c r="AD400" s="25"/>
      <c r="AG400" s="25"/>
      <c r="AH400" s="25"/>
      <c r="AI400" s="25"/>
    </row>
    <row r="401" spans="18:35" x14ac:dyDescent="0.25">
      <c r="R401" s="25"/>
      <c r="S401" s="25"/>
      <c r="T401" s="25"/>
      <c r="W401" s="25"/>
      <c r="X401" s="25"/>
      <c r="Y401" s="25"/>
      <c r="AB401" s="25"/>
      <c r="AC401" s="25"/>
      <c r="AD401" s="25"/>
      <c r="AG401" s="25"/>
      <c r="AH401" s="25"/>
      <c r="AI401" s="25"/>
    </row>
    <row r="402" spans="18:35" x14ac:dyDescent="0.25">
      <c r="R402" s="25"/>
      <c r="S402" s="25"/>
      <c r="T402" s="25"/>
      <c r="W402" s="25"/>
      <c r="X402" s="25"/>
      <c r="Y402" s="25"/>
      <c r="AB402" s="25"/>
      <c r="AC402" s="25"/>
      <c r="AD402" s="25"/>
      <c r="AG402" s="25"/>
      <c r="AH402" s="25"/>
      <c r="AI402" s="25"/>
    </row>
    <row r="403" spans="18:35" x14ac:dyDescent="0.25">
      <c r="R403" s="25"/>
      <c r="S403" s="25"/>
      <c r="T403" s="25"/>
      <c r="W403" s="25"/>
      <c r="X403" s="25"/>
      <c r="Y403" s="25"/>
      <c r="AB403" s="25"/>
      <c r="AC403" s="25"/>
      <c r="AD403" s="25"/>
      <c r="AG403" s="25"/>
      <c r="AH403" s="25"/>
      <c r="AI403" s="25"/>
    </row>
    <row r="404" spans="18:35" x14ac:dyDescent="0.25">
      <c r="R404" s="25"/>
      <c r="S404" s="25"/>
      <c r="T404" s="25"/>
      <c r="W404" s="25"/>
      <c r="X404" s="25"/>
      <c r="Y404" s="25"/>
      <c r="AB404" s="25"/>
      <c r="AC404" s="25"/>
      <c r="AD404" s="25"/>
      <c r="AG404" s="25"/>
      <c r="AH404" s="25"/>
      <c r="AI404" s="25"/>
    </row>
    <row r="405" spans="18:35" x14ac:dyDescent="0.25">
      <c r="R405" s="25"/>
      <c r="S405" s="25"/>
      <c r="T405" s="25"/>
      <c r="W405" s="25"/>
      <c r="X405" s="25"/>
      <c r="Y405" s="25"/>
      <c r="AB405" s="25"/>
      <c r="AC405" s="25"/>
      <c r="AD405" s="25"/>
      <c r="AG405" s="25"/>
      <c r="AH405" s="25"/>
      <c r="AI405" s="25"/>
    </row>
    <row r="406" spans="18:35" x14ac:dyDescent="0.25">
      <c r="R406" s="25"/>
      <c r="S406" s="25"/>
      <c r="T406" s="25"/>
      <c r="W406" s="25"/>
      <c r="X406" s="25"/>
      <c r="Y406" s="25"/>
      <c r="AB406" s="25"/>
      <c r="AC406" s="25"/>
      <c r="AD406" s="25"/>
      <c r="AG406" s="25"/>
      <c r="AH406" s="25"/>
      <c r="AI406" s="25"/>
    </row>
    <row r="407" spans="18:35" x14ac:dyDescent="0.25">
      <c r="R407" s="25"/>
      <c r="S407" s="25"/>
      <c r="T407" s="25"/>
      <c r="W407" s="25"/>
      <c r="X407" s="25"/>
      <c r="Y407" s="25"/>
      <c r="AB407" s="25"/>
      <c r="AC407" s="25"/>
      <c r="AD407" s="25"/>
      <c r="AG407" s="25"/>
      <c r="AH407" s="25"/>
      <c r="AI407" s="25"/>
    </row>
    <row r="408" spans="18:35" x14ac:dyDescent="0.25">
      <c r="R408" s="25"/>
      <c r="S408" s="25"/>
      <c r="T408" s="25"/>
      <c r="W408" s="25"/>
      <c r="X408" s="25"/>
      <c r="Y408" s="25"/>
      <c r="AB408" s="25"/>
      <c r="AC408" s="25"/>
      <c r="AD408" s="25"/>
      <c r="AG408" s="25"/>
      <c r="AH408" s="25"/>
      <c r="AI408" s="25"/>
    </row>
    <row r="409" spans="18:35" x14ac:dyDescent="0.25">
      <c r="R409" s="25"/>
      <c r="S409" s="25"/>
      <c r="T409" s="25"/>
      <c r="W409" s="25"/>
      <c r="X409" s="25"/>
      <c r="Y409" s="25"/>
      <c r="AB409" s="25"/>
      <c r="AC409" s="25"/>
      <c r="AD409" s="25"/>
      <c r="AG409" s="25"/>
      <c r="AH409" s="25"/>
      <c r="AI409" s="25"/>
    </row>
    <row r="410" spans="18:35" x14ac:dyDescent="0.25">
      <c r="R410" s="25"/>
      <c r="S410" s="25"/>
      <c r="T410" s="25"/>
      <c r="W410" s="25"/>
      <c r="X410" s="25"/>
      <c r="Y410" s="25"/>
      <c r="AB410" s="25"/>
      <c r="AC410" s="25"/>
      <c r="AD410" s="25"/>
      <c r="AG410" s="25"/>
      <c r="AH410" s="25"/>
      <c r="AI410" s="25"/>
    </row>
    <row r="411" spans="18:35" x14ac:dyDescent="0.25">
      <c r="R411" s="25"/>
      <c r="S411" s="25"/>
      <c r="T411" s="25"/>
      <c r="W411" s="25"/>
      <c r="X411" s="25"/>
      <c r="Y411" s="25"/>
      <c r="AB411" s="25"/>
      <c r="AC411" s="25"/>
      <c r="AD411" s="25"/>
      <c r="AG411" s="25"/>
      <c r="AH411" s="25"/>
      <c r="AI411" s="25"/>
    </row>
    <row r="412" spans="18:35" x14ac:dyDescent="0.25">
      <c r="R412" s="25"/>
      <c r="S412" s="25"/>
      <c r="T412" s="25"/>
      <c r="W412" s="25"/>
      <c r="X412" s="25"/>
      <c r="Y412" s="25"/>
      <c r="AB412" s="25"/>
      <c r="AC412" s="25"/>
      <c r="AD412" s="25"/>
      <c r="AG412" s="25"/>
      <c r="AH412" s="25"/>
      <c r="AI412" s="25"/>
    </row>
    <row r="413" spans="18:35" x14ac:dyDescent="0.25">
      <c r="R413" s="25"/>
      <c r="S413" s="25"/>
      <c r="T413" s="25"/>
      <c r="W413" s="25"/>
      <c r="X413" s="25"/>
      <c r="Y413" s="25"/>
      <c r="AB413" s="25"/>
      <c r="AC413" s="25"/>
      <c r="AD413" s="25"/>
      <c r="AG413" s="25"/>
      <c r="AH413" s="25"/>
      <c r="AI413" s="25"/>
    </row>
    <row r="414" spans="18:35" x14ac:dyDescent="0.25">
      <c r="R414" s="25"/>
      <c r="S414" s="25"/>
      <c r="T414" s="25"/>
      <c r="W414" s="25"/>
      <c r="X414" s="25"/>
      <c r="Y414" s="25"/>
      <c r="AB414" s="25"/>
      <c r="AC414" s="25"/>
      <c r="AD414" s="25"/>
      <c r="AG414" s="25"/>
      <c r="AH414" s="25"/>
      <c r="AI414" s="25"/>
    </row>
    <row r="415" spans="18:35" x14ac:dyDescent="0.25">
      <c r="R415" s="25"/>
      <c r="S415" s="25"/>
      <c r="T415" s="25"/>
      <c r="W415" s="25"/>
      <c r="X415" s="25"/>
      <c r="Y415" s="25"/>
      <c r="AB415" s="25"/>
      <c r="AC415" s="25"/>
      <c r="AD415" s="25"/>
      <c r="AG415" s="25"/>
      <c r="AH415" s="25"/>
      <c r="AI415" s="25"/>
    </row>
    <row r="416" spans="18:35" x14ac:dyDescent="0.25">
      <c r="R416" s="25"/>
      <c r="S416" s="25"/>
      <c r="T416" s="25"/>
      <c r="W416" s="25"/>
      <c r="X416" s="25"/>
      <c r="Y416" s="25"/>
      <c r="AB416" s="25"/>
      <c r="AC416" s="25"/>
      <c r="AD416" s="25"/>
      <c r="AG416" s="25"/>
      <c r="AH416" s="25"/>
      <c r="AI416" s="25"/>
    </row>
    <row r="417" spans="18:35" x14ac:dyDescent="0.25">
      <c r="R417" s="25"/>
      <c r="S417" s="25"/>
      <c r="T417" s="25"/>
      <c r="W417" s="25"/>
      <c r="X417" s="25"/>
      <c r="Y417" s="25"/>
      <c r="AB417" s="25"/>
      <c r="AC417" s="25"/>
      <c r="AD417" s="25"/>
      <c r="AG417" s="25"/>
      <c r="AH417" s="25"/>
      <c r="AI417" s="25"/>
    </row>
    <row r="418" spans="18:35" x14ac:dyDescent="0.25">
      <c r="R418" s="25"/>
      <c r="S418" s="25"/>
      <c r="T418" s="25"/>
      <c r="W418" s="25"/>
      <c r="X418" s="25"/>
      <c r="Y418" s="25"/>
      <c r="AB418" s="25"/>
      <c r="AC418" s="25"/>
      <c r="AD418" s="25"/>
      <c r="AG418" s="25"/>
      <c r="AH418" s="25"/>
      <c r="AI418" s="25"/>
    </row>
    <row r="419" spans="18:35" x14ac:dyDescent="0.25">
      <c r="R419" s="25"/>
      <c r="S419" s="25"/>
      <c r="T419" s="25"/>
      <c r="W419" s="25"/>
      <c r="X419" s="25"/>
      <c r="Y419" s="25"/>
      <c r="AB419" s="25"/>
      <c r="AC419" s="25"/>
      <c r="AD419" s="25"/>
      <c r="AG419" s="25"/>
      <c r="AH419" s="25"/>
      <c r="AI419" s="25"/>
    </row>
    <row r="420" spans="18:35" x14ac:dyDescent="0.25">
      <c r="R420" s="25"/>
      <c r="S420" s="25"/>
      <c r="T420" s="25"/>
      <c r="W420" s="25"/>
      <c r="X420" s="25"/>
      <c r="Y420" s="25"/>
      <c r="AB420" s="25"/>
      <c r="AC420" s="25"/>
      <c r="AD420" s="25"/>
      <c r="AG420" s="25"/>
      <c r="AH420" s="25"/>
      <c r="AI420" s="25"/>
    </row>
    <row r="421" spans="18:35" x14ac:dyDescent="0.25">
      <c r="R421" s="25"/>
      <c r="S421" s="25"/>
      <c r="T421" s="25"/>
      <c r="W421" s="25"/>
      <c r="X421" s="25"/>
      <c r="Y421" s="25"/>
      <c r="AB421" s="25"/>
      <c r="AC421" s="25"/>
      <c r="AD421" s="25"/>
      <c r="AG421" s="25"/>
      <c r="AH421" s="25"/>
      <c r="AI421" s="25"/>
    </row>
    <row r="422" spans="18:35" x14ac:dyDescent="0.25">
      <c r="R422" s="25"/>
      <c r="S422" s="25"/>
      <c r="T422" s="25"/>
      <c r="W422" s="25"/>
      <c r="X422" s="25"/>
      <c r="Y422" s="25"/>
      <c r="AB422" s="25"/>
      <c r="AC422" s="25"/>
      <c r="AD422" s="25"/>
      <c r="AG422" s="25"/>
      <c r="AH422" s="25"/>
      <c r="AI422" s="25"/>
    </row>
    <row r="423" spans="18:35" x14ac:dyDescent="0.25">
      <c r="R423" s="25"/>
      <c r="S423" s="25"/>
      <c r="T423" s="25"/>
      <c r="W423" s="25"/>
      <c r="X423" s="25"/>
      <c r="Y423" s="25"/>
      <c r="AB423" s="25"/>
      <c r="AC423" s="25"/>
      <c r="AD423" s="25"/>
      <c r="AG423" s="25"/>
      <c r="AH423" s="25"/>
      <c r="AI423" s="25"/>
    </row>
    <row r="424" spans="18:35" x14ac:dyDescent="0.25">
      <c r="R424" s="25"/>
      <c r="S424" s="25"/>
      <c r="T424" s="25"/>
      <c r="W424" s="25"/>
      <c r="X424" s="25"/>
      <c r="Y424" s="25"/>
      <c r="AB424" s="25"/>
      <c r="AC424" s="25"/>
      <c r="AD424" s="25"/>
      <c r="AG424" s="25"/>
      <c r="AH424" s="25"/>
      <c r="AI424" s="25"/>
    </row>
    <row r="425" spans="18:35" x14ac:dyDescent="0.25">
      <c r="R425" s="25"/>
      <c r="S425" s="25"/>
      <c r="T425" s="25"/>
      <c r="W425" s="25"/>
      <c r="X425" s="25"/>
      <c r="Y425" s="25"/>
      <c r="AB425" s="25"/>
      <c r="AC425" s="25"/>
      <c r="AD425" s="25"/>
      <c r="AG425" s="25"/>
      <c r="AH425" s="25"/>
      <c r="AI425" s="25"/>
    </row>
    <row r="426" spans="18:35" x14ac:dyDescent="0.25">
      <c r="R426" s="25"/>
      <c r="S426" s="25"/>
      <c r="T426" s="25"/>
      <c r="W426" s="25"/>
      <c r="X426" s="25"/>
      <c r="Y426" s="25"/>
      <c r="AB426" s="25"/>
      <c r="AC426" s="25"/>
      <c r="AD426" s="25"/>
      <c r="AG426" s="25"/>
      <c r="AH426" s="25"/>
      <c r="AI426" s="25"/>
    </row>
    <row r="427" spans="18:35" x14ac:dyDescent="0.25">
      <c r="R427" s="25"/>
      <c r="S427" s="25"/>
      <c r="T427" s="25"/>
      <c r="W427" s="25"/>
      <c r="X427" s="25"/>
      <c r="Y427" s="25"/>
      <c r="AB427" s="25"/>
      <c r="AC427" s="25"/>
      <c r="AD427" s="25"/>
      <c r="AG427" s="25"/>
      <c r="AH427" s="25"/>
      <c r="AI427" s="25"/>
    </row>
    <row r="428" spans="18:35" x14ac:dyDescent="0.25">
      <c r="R428" s="25"/>
      <c r="S428" s="25"/>
      <c r="T428" s="25"/>
      <c r="W428" s="25"/>
      <c r="X428" s="25"/>
      <c r="Y428" s="25"/>
      <c r="AB428" s="25"/>
      <c r="AC428" s="25"/>
      <c r="AD428" s="25"/>
      <c r="AG428" s="25"/>
      <c r="AH428" s="25"/>
      <c r="AI428" s="25"/>
    </row>
    <row r="429" spans="18:35" x14ac:dyDescent="0.25">
      <c r="R429" s="25"/>
      <c r="S429" s="25"/>
      <c r="T429" s="25"/>
      <c r="W429" s="25"/>
      <c r="X429" s="25"/>
      <c r="Y429" s="25"/>
      <c r="AB429" s="25"/>
      <c r="AC429" s="25"/>
      <c r="AD429" s="25"/>
      <c r="AG429" s="25"/>
      <c r="AH429" s="25"/>
      <c r="AI429" s="25"/>
    </row>
    <row r="430" spans="18:35" x14ac:dyDescent="0.25">
      <c r="R430" s="25"/>
      <c r="S430" s="25"/>
      <c r="T430" s="25"/>
      <c r="W430" s="25"/>
      <c r="X430" s="25"/>
      <c r="Y430" s="25"/>
      <c r="AB430" s="25"/>
      <c r="AC430" s="25"/>
      <c r="AD430" s="25"/>
      <c r="AG430" s="25"/>
      <c r="AH430" s="25"/>
      <c r="AI430" s="25"/>
    </row>
    <row r="431" spans="18:35" x14ac:dyDescent="0.25">
      <c r="R431" s="25"/>
      <c r="S431" s="25"/>
      <c r="T431" s="25"/>
      <c r="W431" s="25"/>
      <c r="X431" s="25"/>
      <c r="Y431" s="25"/>
      <c r="AB431" s="25"/>
      <c r="AC431" s="25"/>
      <c r="AD431" s="25"/>
      <c r="AG431" s="25"/>
      <c r="AH431" s="25"/>
      <c r="AI431" s="25"/>
    </row>
    <row r="432" spans="18:35" x14ac:dyDescent="0.25">
      <c r="R432" s="25"/>
      <c r="S432" s="25"/>
      <c r="T432" s="25"/>
      <c r="W432" s="25"/>
      <c r="X432" s="25"/>
      <c r="Y432" s="25"/>
      <c r="AB432" s="25"/>
      <c r="AC432" s="25"/>
      <c r="AD432" s="25"/>
      <c r="AG432" s="25"/>
      <c r="AH432" s="25"/>
      <c r="AI432" s="25"/>
    </row>
    <row r="433" spans="18:35" x14ac:dyDescent="0.25">
      <c r="R433" s="25"/>
      <c r="S433" s="25"/>
      <c r="T433" s="25"/>
      <c r="W433" s="25"/>
      <c r="X433" s="25"/>
      <c r="Y433" s="25"/>
      <c r="AB433" s="25"/>
      <c r="AC433" s="25"/>
      <c r="AD433" s="25"/>
      <c r="AG433" s="25"/>
      <c r="AH433" s="25"/>
      <c r="AI433" s="25"/>
    </row>
    <row r="434" spans="18:35" x14ac:dyDescent="0.25">
      <c r="R434" s="25"/>
      <c r="S434" s="25"/>
      <c r="T434" s="25"/>
      <c r="W434" s="25"/>
      <c r="X434" s="25"/>
      <c r="Y434" s="25"/>
      <c r="AB434" s="25"/>
      <c r="AC434" s="25"/>
      <c r="AD434" s="25"/>
      <c r="AG434" s="25"/>
      <c r="AH434" s="25"/>
      <c r="AI434" s="25"/>
    </row>
    <row r="435" spans="18:35" x14ac:dyDescent="0.25">
      <c r="R435" s="25"/>
      <c r="S435" s="25"/>
      <c r="T435" s="25"/>
      <c r="W435" s="25"/>
      <c r="X435" s="25"/>
      <c r="Y435" s="25"/>
      <c r="AB435" s="25"/>
      <c r="AC435" s="25"/>
      <c r="AD435" s="25"/>
      <c r="AG435" s="25"/>
      <c r="AH435" s="25"/>
      <c r="AI435" s="25"/>
    </row>
    <row r="436" spans="18:35" x14ac:dyDescent="0.25">
      <c r="R436" s="25"/>
      <c r="S436" s="25"/>
      <c r="T436" s="25"/>
      <c r="W436" s="25"/>
      <c r="X436" s="25"/>
      <c r="Y436" s="25"/>
      <c r="AB436" s="25"/>
      <c r="AC436" s="25"/>
      <c r="AD436" s="25"/>
      <c r="AG436" s="25"/>
      <c r="AH436" s="25"/>
      <c r="AI436" s="25"/>
    </row>
    <row r="437" spans="18:35" x14ac:dyDescent="0.25">
      <c r="R437" s="25"/>
      <c r="S437" s="25"/>
      <c r="T437" s="25"/>
      <c r="W437" s="25"/>
      <c r="X437" s="25"/>
      <c r="Y437" s="25"/>
      <c r="AB437" s="25"/>
      <c r="AC437" s="25"/>
      <c r="AD437" s="25"/>
      <c r="AG437" s="25"/>
      <c r="AH437" s="25"/>
      <c r="AI437" s="25"/>
    </row>
    <row r="438" spans="18:35" x14ac:dyDescent="0.25">
      <c r="R438" s="25"/>
      <c r="S438" s="25"/>
      <c r="T438" s="25"/>
      <c r="W438" s="25"/>
      <c r="X438" s="25"/>
      <c r="Y438" s="25"/>
      <c r="AB438" s="25"/>
      <c r="AC438" s="25"/>
      <c r="AD438" s="25"/>
      <c r="AG438" s="25"/>
      <c r="AH438" s="25"/>
      <c r="AI438" s="25"/>
    </row>
    <row r="439" spans="18:35" x14ac:dyDescent="0.25">
      <c r="R439" s="25"/>
      <c r="S439" s="25"/>
      <c r="T439" s="25"/>
      <c r="W439" s="25"/>
      <c r="X439" s="25"/>
      <c r="Y439" s="25"/>
      <c r="AB439" s="25"/>
      <c r="AC439" s="25"/>
      <c r="AD439" s="25"/>
      <c r="AG439" s="25"/>
      <c r="AH439" s="25"/>
      <c r="AI439" s="25"/>
    </row>
    <row r="440" spans="18:35" x14ac:dyDescent="0.25">
      <c r="R440" s="25"/>
      <c r="S440" s="25"/>
      <c r="T440" s="25"/>
      <c r="W440" s="25"/>
      <c r="X440" s="25"/>
      <c r="Y440" s="25"/>
      <c r="AB440" s="25"/>
      <c r="AC440" s="25"/>
      <c r="AD440" s="25"/>
      <c r="AG440" s="25"/>
      <c r="AH440" s="25"/>
      <c r="AI440" s="25"/>
    </row>
    <row r="441" spans="18:35" x14ac:dyDescent="0.25">
      <c r="R441" s="25"/>
      <c r="S441" s="25"/>
      <c r="T441" s="25"/>
      <c r="W441" s="25"/>
      <c r="X441" s="25"/>
      <c r="Y441" s="25"/>
      <c r="AB441" s="25"/>
      <c r="AC441" s="25"/>
      <c r="AD441" s="25"/>
      <c r="AG441" s="25"/>
      <c r="AH441" s="25"/>
      <c r="AI441" s="25"/>
    </row>
    <row r="442" spans="18:35" x14ac:dyDescent="0.25">
      <c r="R442" s="25"/>
      <c r="S442" s="25"/>
      <c r="T442" s="25"/>
      <c r="W442" s="25"/>
      <c r="X442" s="25"/>
      <c r="Y442" s="25"/>
      <c r="AB442" s="25"/>
      <c r="AC442" s="25"/>
      <c r="AD442" s="25"/>
      <c r="AG442" s="25"/>
      <c r="AH442" s="25"/>
      <c r="AI442" s="25"/>
    </row>
    <row r="443" spans="18:35" x14ac:dyDescent="0.25">
      <c r="R443" s="25"/>
      <c r="S443" s="25"/>
      <c r="T443" s="25"/>
      <c r="W443" s="25"/>
      <c r="X443" s="25"/>
      <c r="Y443" s="25"/>
      <c r="AB443" s="25"/>
      <c r="AC443" s="25"/>
      <c r="AD443" s="25"/>
      <c r="AG443" s="25"/>
      <c r="AH443" s="25"/>
      <c r="AI443" s="25"/>
    </row>
    <row r="444" spans="18:35" x14ac:dyDescent="0.25">
      <c r="R444" s="25"/>
      <c r="S444" s="25"/>
      <c r="T444" s="25"/>
      <c r="W444" s="25"/>
      <c r="X444" s="25"/>
      <c r="Y444" s="25"/>
      <c r="AB444" s="25"/>
      <c r="AC444" s="25"/>
      <c r="AD444" s="25"/>
      <c r="AG444" s="25"/>
      <c r="AH444" s="25"/>
      <c r="AI444" s="25"/>
    </row>
    <row r="445" spans="18:35" x14ac:dyDescent="0.25">
      <c r="R445" s="25"/>
      <c r="S445" s="25"/>
      <c r="T445" s="25"/>
      <c r="W445" s="25"/>
      <c r="X445" s="25"/>
      <c r="Y445" s="25"/>
      <c r="AB445" s="25"/>
      <c r="AC445" s="25"/>
      <c r="AD445" s="25"/>
      <c r="AG445" s="25"/>
      <c r="AH445" s="25"/>
      <c r="AI445" s="25"/>
    </row>
    <row r="446" spans="18:35" x14ac:dyDescent="0.25">
      <c r="R446" s="25"/>
      <c r="S446" s="25"/>
      <c r="T446" s="25"/>
      <c r="W446" s="25"/>
      <c r="X446" s="25"/>
      <c r="Y446" s="25"/>
      <c r="AB446" s="25"/>
      <c r="AC446" s="25"/>
      <c r="AD446" s="25"/>
      <c r="AG446" s="25"/>
      <c r="AH446" s="25"/>
      <c r="AI446" s="25"/>
    </row>
    <row r="447" spans="18:35" x14ac:dyDescent="0.25">
      <c r="R447" s="25"/>
      <c r="S447" s="25"/>
      <c r="T447" s="25"/>
      <c r="W447" s="25"/>
      <c r="X447" s="25"/>
      <c r="Y447" s="25"/>
      <c r="AB447" s="25"/>
      <c r="AC447" s="25"/>
      <c r="AD447" s="25"/>
      <c r="AG447" s="25"/>
      <c r="AH447" s="25"/>
      <c r="AI447" s="25"/>
    </row>
    <row r="448" spans="18:35" x14ac:dyDescent="0.25">
      <c r="R448" s="25"/>
      <c r="S448" s="25"/>
      <c r="T448" s="25"/>
      <c r="W448" s="25"/>
      <c r="X448" s="25"/>
      <c r="Y448" s="25"/>
      <c r="AB448" s="25"/>
      <c r="AC448" s="25"/>
      <c r="AD448" s="25"/>
      <c r="AG448" s="25"/>
      <c r="AH448" s="25"/>
      <c r="AI448" s="25"/>
    </row>
    <row r="449" spans="18:35" x14ac:dyDescent="0.25">
      <c r="R449" s="25"/>
      <c r="S449" s="25"/>
      <c r="T449" s="25"/>
      <c r="W449" s="25"/>
      <c r="X449" s="25"/>
      <c r="Y449" s="25"/>
      <c r="AB449" s="25"/>
      <c r="AC449" s="25"/>
      <c r="AD449" s="25"/>
      <c r="AG449" s="25"/>
      <c r="AH449" s="25"/>
      <c r="AI449" s="25"/>
    </row>
    <row r="450" spans="18:35" x14ac:dyDescent="0.25">
      <c r="R450" s="25"/>
      <c r="S450" s="25"/>
      <c r="T450" s="25"/>
      <c r="W450" s="25"/>
      <c r="X450" s="25"/>
      <c r="Y450" s="25"/>
      <c r="AB450" s="25"/>
      <c r="AC450" s="25"/>
      <c r="AD450" s="25"/>
      <c r="AG450" s="25"/>
      <c r="AH450" s="25"/>
      <c r="AI450" s="25"/>
    </row>
    <row r="451" spans="18:35" x14ac:dyDescent="0.25">
      <c r="R451" s="25"/>
      <c r="S451" s="25"/>
      <c r="T451" s="25"/>
      <c r="W451" s="25"/>
      <c r="X451" s="25"/>
      <c r="Y451" s="25"/>
      <c r="AB451" s="25"/>
      <c r="AC451" s="25"/>
      <c r="AD451" s="25"/>
      <c r="AG451" s="25"/>
      <c r="AH451" s="25"/>
      <c r="AI451" s="25"/>
    </row>
    <row r="452" spans="18:35" x14ac:dyDescent="0.25">
      <c r="R452" s="25"/>
      <c r="S452" s="25"/>
      <c r="T452" s="25"/>
      <c r="W452" s="25"/>
      <c r="X452" s="25"/>
      <c r="Y452" s="25"/>
      <c r="AB452" s="25"/>
      <c r="AC452" s="25"/>
      <c r="AD452" s="25"/>
      <c r="AG452" s="25"/>
      <c r="AH452" s="25"/>
      <c r="AI452" s="25"/>
    </row>
    <row r="453" spans="18:35" x14ac:dyDescent="0.25">
      <c r="R453" s="25"/>
      <c r="S453" s="25"/>
      <c r="T453" s="25"/>
      <c r="W453" s="25"/>
      <c r="X453" s="25"/>
      <c r="Y453" s="25"/>
      <c r="AB453" s="25"/>
      <c r="AC453" s="25"/>
      <c r="AD453" s="25"/>
      <c r="AG453" s="25"/>
      <c r="AH453" s="25"/>
      <c r="AI453" s="25"/>
    </row>
    <row r="454" spans="18:35" x14ac:dyDescent="0.25">
      <c r="R454" s="25"/>
      <c r="S454" s="25"/>
      <c r="T454" s="25"/>
      <c r="W454" s="25"/>
      <c r="X454" s="25"/>
      <c r="Y454" s="25"/>
      <c r="AB454" s="25"/>
      <c r="AC454" s="25"/>
      <c r="AD454" s="25"/>
      <c r="AG454" s="25"/>
      <c r="AH454" s="25"/>
      <c r="AI454" s="25"/>
    </row>
    <row r="455" spans="18:35" x14ac:dyDescent="0.25">
      <c r="R455" s="25"/>
      <c r="S455" s="25"/>
      <c r="T455" s="25"/>
      <c r="W455" s="25"/>
      <c r="X455" s="25"/>
      <c r="Y455" s="25"/>
      <c r="AB455" s="25"/>
      <c r="AC455" s="25"/>
      <c r="AD455" s="25"/>
      <c r="AG455" s="25"/>
      <c r="AH455" s="25"/>
      <c r="AI455" s="25"/>
    </row>
    <row r="456" spans="18:35" x14ac:dyDescent="0.25">
      <c r="R456" s="25"/>
      <c r="S456" s="25"/>
      <c r="T456" s="25"/>
      <c r="W456" s="25"/>
      <c r="X456" s="25"/>
      <c r="Y456" s="25"/>
      <c r="AB456" s="25"/>
      <c r="AC456" s="25"/>
      <c r="AD456" s="25"/>
      <c r="AG456" s="25"/>
      <c r="AH456" s="25"/>
      <c r="AI456" s="25"/>
    </row>
    <row r="457" spans="18:35" x14ac:dyDescent="0.25">
      <c r="R457" s="25"/>
      <c r="S457" s="25"/>
      <c r="T457" s="25"/>
      <c r="W457" s="25"/>
      <c r="X457" s="25"/>
      <c r="Y457" s="25"/>
      <c r="AB457" s="25"/>
      <c r="AC457" s="25"/>
      <c r="AD457" s="25"/>
      <c r="AG457" s="25"/>
      <c r="AH457" s="25"/>
      <c r="AI457" s="25"/>
    </row>
    <row r="458" spans="18:35" x14ac:dyDescent="0.25">
      <c r="R458" s="25"/>
      <c r="S458" s="25"/>
      <c r="T458" s="25"/>
      <c r="W458" s="25"/>
      <c r="X458" s="25"/>
      <c r="Y458" s="25"/>
      <c r="AB458" s="25"/>
      <c r="AC458" s="25"/>
      <c r="AD458" s="25"/>
      <c r="AG458" s="25"/>
      <c r="AH458" s="25"/>
      <c r="AI458" s="25"/>
    </row>
    <row r="459" spans="18:35" x14ac:dyDescent="0.25">
      <c r="R459" s="25"/>
      <c r="S459" s="25"/>
      <c r="T459" s="25"/>
      <c r="W459" s="25"/>
      <c r="X459" s="25"/>
      <c r="Y459" s="25"/>
      <c r="AB459" s="25"/>
      <c r="AC459" s="25"/>
      <c r="AD459" s="25"/>
      <c r="AG459" s="25"/>
      <c r="AH459" s="25"/>
      <c r="AI459" s="25"/>
    </row>
    <row r="460" spans="18:35" x14ac:dyDescent="0.25">
      <c r="R460" s="25"/>
      <c r="S460" s="25"/>
      <c r="T460" s="25"/>
      <c r="W460" s="25"/>
      <c r="X460" s="25"/>
      <c r="Y460" s="25"/>
      <c r="AB460" s="25"/>
      <c r="AC460" s="25"/>
      <c r="AD460" s="25"/>
      <c r="AG460" s="25"/>
      <c r="AH460" s="25"/>
      <c r="AI460" s="25"/>
    </row>
    <row r="461" spans="18:35" x14ac:dyDescent="0.25">
      <c r="R461" s="25"/>
      <c r="S461" s="25"/>
      <c r="T461" s="25"/>
      <c r="W461" s="25"/>
      <c r="X461" s="25"/>
      <c r="Y461" s="25"/>
      <c r="AB461" s="25"/>
      <c r="AC461" s="25"/>
      <c r="AD461" s="25"/>
      <c r="AG461" s="25"/>
      <c r="AH461" s="25"/>
      <c r="AI461" s="25"/>
    </row>
    <row r="462" spans="18:35" x14ac:dyDescent="0.25">
      <c r="R462" s="25"/>
      <c r="S462" s="25"/>
      <c r="T462" s="25"/>
      <c r="W462" s="25"/>
      <c r="X462" s="25"/>
      <c r="Y462" s="25"/>
      <c r="AB462" s="25"/>
      <c r="AC462" s="25"/>
      <c r="AD462" s="25"/>
      <c r="AG462" s="25"/>
      <c r="AH462" s="25"/>
      <c r="AI462" s="25"/>
    </row>
    <row r="463" spans="18:35" x14ac:dyDescent="0.25">
      <c r="R463" s="25"/>
      <c r="S463" s="25"/>
      <c r="T463" s="25"/>
      <c r="W463" s="25"/>
      <c r="X463" s="25"/>
      <c r="Y463" s="25"/>
      <c r="AB463" s="25"/>
      <c r="AC463" s="25"/>
      <c r="AD463" s="25"/>
      <c r="AG463" s="25"/>
      <c r="AH463" s="25"/>
      <c r="AI463" s="25"/>
    </row>
    <row r="464" spans="18:35" x14ac:dyDescent="0.25">
      <c r="R464" s="25"/>
      <c r="S464" s="25"/>
      <c r="T464" s="25"/>
      <c r="W464" s="25"/>
      <c r="X464" s="25"/>
      <c r="Y464" s="25"/>
      <c r="AB464" s="25"/>
      <c r="AC464" s="25"/>
      <c r="AD464" s="25"/>
      <c r="AG464" s="25"/>
      <c r="AH464" s="25"/>
      <c r="AI464" s="25"/>
    </row>
    <row r="465" spans="18:35" x14ac:dyDescent="0.25">
      <c r="R465" s="25"/>
      <c r="S465" s="25"/>
      <c r="T465" s="25"/>
      <c r="W465" s="25"/>
      <c r="X465" s="25"/>
      <c r="Y465" s="25"/>
      <c r="AB465" s="25"/>
      <c r="AC465" s="25"/>
      <c r="AD465" s="25"/>
      <c r="AG465" s="25"/>
      <c r="AH465" s="25"/>
      <c r="AI465" s="25"/>
    </row>
    <row r="466" spans="18:35" x14ac:dyDescent="0.25">
      <c r="R466" s="25"/>
      <c r="S466" s="25"/>
      <c r="T466" s="25"/>
      <c r="W466" s="25"/>
      <c r="X466" s="25"/>
      <c r="Y466" s="25"/>
      <c r="AB466" s="25"/>
      <c r="AC466" s="25"/>
      <c r="AD466" s="25"/>
      <c r="AG466" s="25"/>
      <c r="AH466" s="25"/>
      <c r="AI466" s="25"/>
    </row>
    <row r="467" spans="18:35" x14ac:dyDescent="0.25">
      <c r="R467" s="25"/>
      <c r="S467" s="25"/>
      <c r="T467" s="25"/>
      <c r="W467" s="25"/>
      <c r="X467" s="25"/>
      <c r="Y467" s="25"/>
      <c r="AB467" s="25"/>
      <c r="AC467" s="25"/>
      <c r="AD467" s="25"/>
      <c r="AG467" s="25"/>
      <c r="AH467" s="25"/>
      <c r="AI467" s="25"/>
    </row>
    <row r="468" spans="18:35" x14ac:dyDescent="0.25">
      <c r="R468" s="25"/>
      <c r="S468" s="25"/>
      <c r="T468" s="25"/>
      <c r="W468" s="25"/>
      <c r="X468" s="25"/>
      <c r="Y468" s="25"/>
      <c r="AB468" s="25"/>
      <c r="AC468" s="25"/>
      <c r="AD468" s="25"/>
      <c r="AG468" s="25"/>
      <c r="AH468" s="25"/>
      <c r="AI468" s="25"/>
    </row>
    <row r="469" spans="18:35" x14ac:dyDescent="0.25">
      <c r="R469" s="25"/>
      <c r="S469" s="25"/>
      <c r="T469" s="25"/>
      <c r="W469" s="25"/>
      <c r="X469" s="25"/>
      <c r="Y469" s="25"/>
      <c r="AB469" s="25"/>
      <c r="AC469" s="25"/>
      <c r="AD469" s="25"/>
      <c r="AG469" s="25"/>
      <c r="AH469" s="25"/>
      <c r="AI469" s="25"/>
    </row>
    <row r="470" spans="18:35" x14ac:dyDescent="0.25">
      <c r="R470" s="25"/>
      <c r="S470" s="25"/>
      <c r="T470" s="25"/>
      <c r="W470" s="25"/>
      <c r="X470" s="25"/>
      <c r="Y470" s="25"/>
      <c r="AB470" s="25"/>
      <c r="AC470" s="25"/>
      <c r="AD470" s="25"/>
      <c r="AG470" s="25"/>
      <c r="AH470" s="25"/>
      <c r="AI470" s="25"/>
    </row>
    <row r="471" spans="18:35" x14ac:dyDescent="0.25">
      <c r="R471" s="25"/>
      <c r="S471" s="25"/>
      <c r="T471" s="25"/>
      <c r="W471" s="25"/>
      <c r="X471" s="25"/>
      <c r="Y471" s="25"/>
      <c r="AB471" s="25"/>
      <c r="AC471" s="25"/>
      <c r="AD471" s="25"/>
      <c r="AG471" s="25"/>
      <c r="AH471" s="25"/>
      <c r="AI471" s="25"/>
    </row>
    <row r="472" spans="18:35" x14ac:dyDescent="0.25">
      <c r="R472" s="25"/>
      <c r="S472" s="25"/>
      <c r="T472" s="25"/>
      <c r="W472" s="25"/>
      <c r="X472" s="25"/>
      <c r="Y472" s="25"/>
      <c r="AB472" s="25"/>
      <c r="AC472" s="25"/>
      <c r="AD472" s="25"/>
      <c r="AG472" s="25"/>
      <c r="AH472" s="25"/>
      <c r="AI472" s="25"/>
    </row>
    <row r="473" spans="18:35" x14ac:dyDescent="0.25">
      <c r="R473" s="25"/>
      <c r="S473" s="25"/>
      <c r="T473" s="25"/>
      <c r="W473" s="25"/>
      <c r="X473" s="25"/>
      <c r="Y473" s="25"/>
      <c r="AB473" s="25"/>
      <c r="AC473" s="25"/>
      <c r="AD473" s="25"/>
      <c r="AG473" s="25"/>
      <c r="AH473" s="25"/>
      <c r="AI473" s="25"/>
    </row>
    <row r="474" spans="18:35" x14ac:dyDescent="0.25">
      <c r="R474" s="25"/>
      <c r="S474" s="25"/>
      <c r="T474" s="25"/>
      <c r="W474" s="25"/>
      <c r="X474" s="25"/>
      <c r="Y474" s="25"/>
      <c r="AB474" s="25"/>
      <c r="AC474" s="25"/>
      <c r="AD474" s="25"/>
      <c r="AG474" s="25"/>
      <c r="AH474" s="25"/>
      <c r="AI474" s="25"/>
    </row>
    <row r="475" spans="18:35" x14ac:dyDescent="0.25">
      <c r="AG475" s="25"/>
      <c r="AH475" s="25"/>
      <c r="AI475" s="25"/>
    </row>
  </sheetData>
  <mergeCells count="3">
    <mergeCell ref="A1:Q1"/>
    <mergeCell ref="F99:G99"/>
    <mergeCell ref="Q80:Q84"/>
  </mergeCells>
  <phoneticPr fontId="10" type="noConversion"/>
  <conditionalFormatting sqref="E41">
    <cfRule type="cellIs" dxfId="174" priority="74" stopIfTrue="1" operator="lessThanOrEqual">
      <formula>0</formula>
    </cfRule>
  </conditionalFormatting>
  <conditionalFormatting sqref="E43">
    <cfRule type="cellIs" dxfId="173" priority="73" stopIfTrue="1" operator="lessThan">
      <formula>$E$42</formula>
    </cfRule>
  </conditionalFormatting>
  <conditionalFormatting sqref="E45">
    <cfRule type="cellIs" dxfId="172" priority="72" stopIfTrue="1" operator="greaterThan">
      <formula>$E$44</formula>
    </cfRule>
  </conditionalFormatting>
  <conditionalFormatting sqref="E50">
    <cfRule type="cellIs" dxfId="171" priority="70" stopIfTrue="1" operator="equal">
      <formula>0</formula>
    </cfRule>
  </conditionalFormatting>
  <conditionalFormatting sqref="E52">
    <cfRule type="cellIs" dxfId="170" priority="69" stopIfTrue="1" operator="lessThan">
      <formula>$E$51</formula>
    </cfRule>
  </conditionalFormatting>
  <conditionalFormatting sqref="E54">
    <cfRule type="cellIs" dxfId="169" priority="67" stopIfTrue="1" operator="greaterThan">
      <formula>$E$53</formula>
    </cfRule>
    <cfRule type="cellIs" dxfId="168" priority="68" stopIfTrue="1" operator="equal">
      <formula>0</formula>
    </cfRule>
  </conditionalFormatting>
  <conditionalFormatting sqref="E65">
    <cfRule type="cellIs" dxfId="167" priority="65" operator="notBetween">
      <formula>2.8</formula>
      <formula>78</formula>
    </cfRule>
  </conditionalFormatting>
  <conditionalFormatting sqref="E60">
    <cfRule type="cellIs" dxfId="166" priority="58" operator="lessThanOrEqual">
      <formula>$E$59</formula>
    </cfRule>
  </conditionalFormatting>
  <conditionalFormatting sqref="E66">
    <cfRule type="cellIs" dxfId="165" priority="51" operator="notBetween">
      <formula>2.8</formula>
      <formula>78</formula>
    </cfRule>
  </conditionalFormatting>
  <conditionalFormatting sqref="K52">
    <cfRule type="expression" dxfId="164" priority="25">
      <formula>$K$52&gt;1</formula>
    </cfRule>
  </conditionalFormatting>
  <conditionalFormatting sqref="O52">
    <cfRule type="expression" dxfId="163" priority="20">
      <formula>$K$52&gt;1</formula>
    </cfRule>
  </conditionalFormatting>
  <conditionalFormatting sqref="E9">
    <cfRule type="cellIs" dxfId="162" priority="16" stopIfTrue="1" operator="notBetween">
      <formula>3.3</formula>
      <formula>78</formula>
    </cfRule>
  </conditionalFormatting>
  <conditionalFormatting sqref="E7">
    <cfRule type="cellIs" dxfId="161" priority="15" operator="notBetween">
      <formula>$E$6</formula>
      <formula>$E$8</formula>
    </cfRule>
  </conditionalFormatting>
  <conditionalFormatting sqref="E30">
    <cfRule type="expression" dxfId="160" priority="7">
      <formula>ROUND($E$30,1)&gt;ROUND($E$29,1)</formula>
    </cfRule>
  </conditionalFormatting>
  <hyperlinks>
    <hyperlink ref="C3" r:id="rId1" xr:uid="{00000000-0004-0000-0000-000000000000}"/>
    <hyperlink ref="J3" r:id="rId2" display="http://www.ti.com/product/lm51770" xr:uid="{00000000-0004-0000-0000-000001000000}"/>
    <hyperlink ref="N3:P3" location="Licenses!A1" display="TERMS OF USE" xr:uid="{6BC3009B-6DD9-456B-A488-EC1FBD413205}"/>
  </hyperlinks>
  <printOptions horizontalCentered="1" verticalCentered="1"/>
  <pageMargins left="0.1" right="0.1" top="0.1" bottom="0.1" header="0.25" footer="0.25"/>
  <pageSetup scale="44" orientation="portrait" r:id="rId3"/>
  <headerFooter alignWithMargins="0"/>
  <rowBreaks count="1" manualBreakCount="1">
    <brk id="127" max="16383" man="1"/>
  </rowBreaks>
  <ignoredErrors>
    <ignoredError sqref="E89"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73288" r:id="rId7" name="Button 520">
              <controlPr locked="0" defaultSize="0" print="0" autoFill="0" autoPict="0" macro="[0]!FIXValues">
                <anchor moveWithCells="1" sizeWithCells="1">
                  <from>
                    <xdr:col>2</xdr:col>
                    <xdr:colOff>741872</xdr:colOff>
                    <xdr:row>90</xdr:row>
                    <xdr:rowOff>94891</xdr:rowOff>
                  </from>
                  <to>
                    <xdr:col>3</xdr:col>
                    <xdr:colOff>448574</xdr:colOff>
                    <xdr:row>92</xdr:row>
                    <xdr:rowOff>172528</xdr:rowOff>
                  </to>
                </anchor>
              </controlPr>
            </control>
          </mc:Choice>
        </mc:AlternateContent>
        <mc:AlternateContent xmlns:mc="http://schemas.openxmlformats.org/markup-compatibility/2006">
          <mc:Choice Requires="x14">
            <control shapeId="673260" r:id="rId8" name="Button 492">
              <controlPr locked="0" defaultSize="0" print="0" autoFill="0" autoPict="0" macro="[0]!RESETvalues">
                <anchor moveWithCells="1" sizeWithCells="1">
                  <from>
                    <xdr:col>2</xdr:col>
                    <xdr:colOff>741872</xdr:colOff>
                    <xdr:row>90</xdr:row>
                    <xdr:rowOff>94891</xdr:rowOff>
                  </from>
                  <to>
                    <xdr:col>3</xdr:col>
                    <xdr:colOff>448574</xdr:colOff>
                    <xdr:row>92</xdr:row>
                    <xdr:rowOff>172528</xdr:rowOff>
                  </to>
                </anchor>
              </controlPr>
            </control>
          </mc:Choice>
        </mc:AlternateContent>
        <mc:AlternateContent xmlns:mc="http://schemas.openxmlformats.org/markup-compatibility/2006">
          <mc:Choice Requires="x14">
            <control shapeId="673664" r:id="rId9" name="Drop Down 896">
              <controlPr defaultSize="0" autoLine="0" autoPict="0" altText="used to fix comment show issue on excel">
                <anchor moveWithCells="1">
                  <from>
                    <xdr:col>6</xdr:col>
                    <xdr:colOff>517585</xdr:colOff>
                    <xdr:row>10</xdr:row>
                    <xdr:rowOff>189781</xdr:rowOff>
                  </from>
                  <to>
                    <xdr:col>8</xdr:col>
                    <xdr:colOff>534838</xdr:colOff>
                    <xdr:row>13</xdr:row>
                    <xdr:rowOff>8626</xdr:rowOff>
                  </to>
                </anchor>
              </controlPr>
            </control>
          </mc:Choice>
        </mc:AlternateContent>
        <mc:AlternateContent xmlns:mc="http://schemas.openxmlformats.org/markup-compatibility/2006">
          <mc:Choice Requires="x14">
            <control shapeId="672829" r:id="rId10" name="Spinner 61">
              <controlPr defaultSize="0" autoPict="0">
                <anchor moveWithCells="1" sizeWithCells="1">
                  <from>
                    <xdr:col>5</xdr:col>
                    <xdr:colOff>8626</xdr:colOff>
                    <xdr:row>82</xdr:row>
                    <xdr:rowOff>0</xdr:rowOff>
                  </from>
                  <to>
                    <xdr:col>5</xdr:col>
                    <xdr:colOff>181155</xdr:colOff>
                    <xdr:row>83</xdr:row>
                    <xdr:rowOff>0</xdr:rowOff>
                  </to>
                </anchor>
              </controlPr>
            </control>
          </mc:Choice>
        </mc:AlternateContent>
        <mc:AlternateContent xmlns:mc="http://schemas.openxmlformats.org/markup-compatibility/2006">
          <mc:Choice Requires="x14">
            <control shapeId="672895" r:id="rId11" name="Spinner 127">
              <controlPr defaultSize="0" autoPict="0">
                <anchor moveWithCells="1" sizeWithCells="1">
                  <from>
                    <xdr:col>5</xdr:col>
                    <xdr:colOff>155275</xdr:colOff>
                    <xdr:row>6</xdr:row>
                    <xdr:rowOff>8626</xdr:rowOff>
                  </from>
                  <to>
                    <xdr:col>5</xdr:col>
                    <xdr:colOff>301925</xdr:colOff>
                    <xdr:row>7</xdr:row>
                    <xdr:rowOff>25879</xdr:rowOff>
                  </to>
                </anchor>
              </controlPr>
            </control>
          </mc:Choice>
        </mc:AlternateContent>
        <mc:AlternateContent xmlns:mc="http://schemas.openxmlformats.org/markup-compatibility/2006">
          <mc:Choice Requires="x14">
            <control shapeId="672924" r:id="rId12" name="Drop Down 156">
              <controlPr defaultSize="0" autoLine="0" autoPict="0">
                <anchor>
                  <from>
                    <xdr:col>7</xdr:col>
                    <xdr:colOff>586596</xdr:colOff>
                    <xdr:row>95</xdr:row>
                    <xdr:rowOff>60385</xdr:rowOff>
                  </from>
                  <to>
                    <xdr:col>9</xdr:col>
                    <xdr:colOff>569343</xdr:colOff>
                    <xdr:row>96</xdr:row>
                    <xdr:rowOff>51758</xdr:rowOff>
                  </to>
                </anchor>
              </controlPr>
            </control>
          </mc:Choice>
        </mc:AlternateContent>
        <mc:AlternateContent xmlns:mc="http://schemas.openxmlformats.org/markup-compatibility/2006">
          <mc:Choice Requires="x14">
            <control shapeId="673295" r:id="rId13" name="Spinner 527">
              <controlPr defaultSize="0" autoPict="0">
                <anchor moveWithCells="1" sizeWithCells="1">
                  <from>
                    <xdr:col>13</xdr:col>
                    <xdr:colOff>534838</xdr:colOff>
                    <xdr:row>57</xdr:row>
                    <xdr:rowOff>250166</xdr:rowOff>
                  </from>
                  <to>
                    <xdr:col>14</xdr:col>
                    <xdr:colOff>77638</xdr:colOff>
                    <xdr:row>59</xdr:row>
                    <xdr:rowOff>0</xdr:rowOff>
                  </to>
                </anchor>
              </controlPr>
            </control>
          </mc:Choice>
        </mc:AlternateContent>
        <mc:AlternateContent xmlns:mc="http://schemas.openxmlformats.org/markup-compatibility/2006">
          <mc:Choice Requires="x14">
            <control shapeId="686805" r:id="rId14" name="Drop Down 1749">
              <controlPr defaultSize="0" autoLine="0" autoPict="0">
                <anchor moveWithCells="1">
                  <from>
                    <xdr:col>0</xdr:col>
                    <xdr:colOff>8626</xdr:colOff>
                    <xdr:row>61</xdr:row>
                    <xdr:rowOff>8626</xdr:rowOff>
                  </from>
                  <to>
                    <xdr:col>1</xdr:col>
                    <xdr:colOff>129396</xdr:colOff>
                    <xdr:row>62</xdr:row>
                    <xdr:rowOff>0</xdr:rowOff>
                  </to>
                </anchor>
              </controlPr>
            </control>
          </mc:Choice>
        </mc:AlternateContent>
        <mc:AlternateContent xmlns:mc="http://schemas.openxmlformats.org/markup-compatibility/2006">
          <mc:Choice Requires="x14">
            <control shapeId="686808" r:id="rId15" name="Drop Down 1752">
              <controlPr defaultSize="0" autoLine="0" autoPict="0">
                <anchor moveWithCells="1">
                  <from>
                    <xdr:col>1</xdr:col>
                    <xdr:colOff>172528</xdr:colOff>
                    <xdr:row>61</xdr:row>
                    <xdr:rowOff>8626</xdr:rowOff>
                  </from>
                  <to>
                    <xdr:col>2</xdr:col>
                    <xdr:colOff>388189</xdr:colOff>
                    <xdr:row>62</xdr:row>
                    <xdr:rowOff>0</xdr:rowOff>
                  </to>
                </anchor>
              </controlPr>
            </control>
          </mc:Choice>
        </mc:AlternateContent>
        <mc:AlternateContent xmlns:mc="http://schemas.openxmlformats.org/markup-compatibility/2006">
          <mc:Choice Requires="x14">
            <control shapeId="686809" r:id="rId16" name="Drop Down 1753">
              <controlPr defaultSize="0" autoLine="0" autoPict="0">
                <anchor moveWithCells="1">
                  <from>
                    <xdr:col>2</xdr:col>
                    <xdr:colOff>439947</xdr:colOff>
                    <xdr:row>61</xdr:row>
                    <xdr:rowOff>8626</xdr:rowOff>
                  </from>
                  <to>
                    <xdr:col>3</xdr:col>
                    <xdr:colOff>448574</xdr:colOff>
                    <xdr:row>62</xdr:row>
                    <xdr:rowOff>0</xdr:rowOff>
                  </to>
                </anchor>
              </controlPr>
            </control>
          </mc:Choice>
        </mc:AlternateContent>
        <mc:AlternateContent xmlns:mc="http://schemas.openxmlformats.org/markup-compatibility/2006">
          <mc:Choice Requires="x14">
            <control shapeId="686810" r:id="rId17" name="Drop Down 1754">
              <controlPr defaultSize="0" autoLine="0" autoPict="0">
                <anchor moveWithCells="1">
                  <from>
                    <xdr:col>3</xdr:col>
                    <xdr:colOff>491706</xdr:colOff>
                    <xdr:row>61</xdr:row>
                    <xdr:rowOff>8626</xdr:rowOff>
                  </from>
                  <to>
                    <xdr:col>5</xdr:col>
                    <xdr:colOff>457200</xdr:colOff>
                    <xdr:row>62</xdr:row>
                    <xdr:rowOff>0</xdr:rowOff>
                  </to>
                </anchor>
              </controlPr>
            </control>
          </mc:Choice>
        </mc:AlternateContent>
        <mc:AlternateContent xmlns:mc="http://schemas.openxmlformats.org/markup-compatibility/2006">
          <mc:Choice Requires="x14">
            <control shapeId="701838" r:id="rId18" name="Spinner 2446">
              <controlPr defaultSize="0" autoPict="0">
                <anchor moveWithCells="1" sizeWithCells="1">
                  <from>
                    <xdr:col>14</xdr:col>
                    <xdr:colOff>0</xdr:colOff>
                    <xdr:row>96</xdr:row>
                    <xdr:rowOff>0</xdr:rowOff>
                  </from>
                  <to>
                    <xdr:col>14</xdr:col>
                    <xdr:colOff>189781</xdr:colOff>
                    <xdr:row>97</xdr:row>
                    <xdr:rowOff>0</xdr:rowOff>
                  </to>
                </anchor>
              </controlPr>
            </control>
          </mc:Choice>
        </mc:AlternateContent>
        <mc:AlternateContent xmlns:mc="http://schemas.openxmlformats.org/markup-compatibility/2006">
          <mc:Choice Requires="x14">
            <control shapeId="717244" r:id="rId19" name="Check Box 3516">
              <controlPr defaultSize="0" autoFill="0" autoLine="0" autoPict="0" altText="Show I_Limit Bode Plot">
                <anchor moveWithCells="1">
                  <from>
                    <xdr:col>12</xdr:col>
                    <xdr:colOff>1639019</xdr:colOff>
                    <xdr:row>59</xdr:row>
                    <xdr:rowOff>34506</xdr:rowOff>
                  </from>
                  <to>
                    <xdr:col>15</xdr:col>
                    <xdr:colOff>181155</xdr:colOff>
                    <xdr:row>60</xdr:row>
                    <xdr:rowOff>86264</xdr:rowOff>
                  </to>
                </anchor>
              </controlPr>
            </control>
          </mc:Choice>
        </mc:AlternateContent>
        <mc:AlternateContent xmlns:mc="http://schemas.openxmlformats.org/markup-compatibility/2006">
          <mc:Choice Requires="x14">
            <control shapeId="733795" r:id="rId20" name="Drop Down 4707">
              <controlPr defaultSize="0" autoLine="0" autoPict="0">
                <anchor moveWithCells="1">
                  <from>
                    <xdr:col>3</xdr:col>
                    <xdr:colOff>552091</xdr:colOff>
                    <xdr:row>4</xdr:row>
                    <xdr:rowOff>77638</xdr:rowOff>
                  </from>
                  <to>
                    <xdr:col>6</xdr:col>
                    <xdr:colOff>8626</xdr:colOff>
                    <xdr:row>4</xdr:row>
                    <xdr:rowOff>241540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53" operator="greaterThan" id="{4332E346-BD6B-4264-8852-4AB60B23C28E}">
            <xm:f>'Variable Management'!$B$73*1000000</xm:f>
            <x14:dxf>
              <font>
                <b/>
                <i val="0"/>
              </font>
              <fill>
                <patternFill>
                  <bgColor rgb="FFFF0000"/>
                </patternFill>
              </fill>
            </x14:dxf>
          </x14:cfRule>
          <x14:cfRule type="cellIs" priority="54" operator="lessThan" id="{4D1C0898-A628-43CE-A21B-034FFE90B6F4}">
            <xm:f>'Variable Management'!$B$72*1000000</xm:f>
            <x14:dxf>
              <font>
                <b/>
                <i val="0"/>
              </font>
              <fill>
                <patternFill>
                  <bgColor rgb="FFFF0000"/>
                </patternFill>
              </fill>
            </x14:dxf>
          </x14:cfRule>
          <xm:sqref>E16</xm:sqref>
        </x14:conditionalFormatting>
        <x14:conditionalFormatting xmlns:xm="http://schemas.microsoft.com/office/excel/2006/main">
          <x14:cfRule type="cellIs" priority="52" operator="greaterThanOrEqual" id="{346D012F-3F01-43C5-AA6F-2C80BA8F526E}">
            <xm:f>'Variable Management'!$B$399/1000</xm:f>
            <x14:dxf>
              <font>
                <b/>
                <i val="0"/>
              </font>
              <fill>
                <patternFill>
                  <bgColor rgb="FFFF0000"/>
                </patternFill>
              </fill>
            </x14:dxf>
          </x14:cfRule>
          <xm:sqref>E86</xm:sqref>
        </x14:conditionalFormatting>
        <x14:conditionalFormatting xmlns:xm="http://schemas.microsoft.com/office/excel/2006/main">
          <x14:cfRule type="expression" priority="43" id="{D04B4DBF-09FD-4308-ABC0-4BD921803371}">
            <xm:f>'Variable Management'!$B$266=0</xm:f>
            <x14:dxf>
              <font>
                <strike val="0"/>
                <color theme="0"/>
              </font>
              <fill>
                <patternFill>
                  <bgColor theme="0"/>
                </patternFill>
              </fill>
            </x14:dxf>
          </x14:cfRule>
          <xm:sqref>A70:F70</xm:sqref>
        </x14:conditionalFormatting>
        <x14:conditionalFormatting xmlns:xm="http://schemas.microsoft.com/office/excel/2006/main">
          <x14:cfRule type="expression" priority="42" id="{75E6F919-1EAF-465C-9545-B05CF9607AEC}">
            <xm:f>'Variable Management'!$B$266&lt;&gt;1</xm:f>
            <x14:dxf>
              <font>
                <color theme="0"/>
              </font>
              <fill>
                <patternFill>
                  <bgColor theme="0"/>
                </patternFill>
              </fill>
            </x14:dxf>
          </x14:cfRule>
          <xm:sqref>A71:F71 F73 L54</xm:sqref>
        </x14:conditionalFormatting>
        <x14:conditionalFormatting xmlns:xm="http://schemas.microsoft.com/office/excel/2006/main">
          <x14:cfRule type="expression" priority="41" id="{078CF02A-4305-4E09-B15B-595E757B6FA3}">
            <xm:f>'Variable Management'!$B$266=0</xm:f>
            <x14:dxf>
              <font>
                <strike/>
                <color theme="0"/>
              </font>
              <fill>
                <patternFill>
                  <bgColor theme="0"/>
                </patternFill>
              </fill>
            </x14:dxf>
          </x14:cfRule>
          <xm:sqref>A72:F72</xm:sqref>
        </x14:conditionalFormatting>
        <x14:conditionalFormatting xmlns:xm="http://schemas.microsoft.com/office/excel/2006/main">
          <x14:cfRule type="expression" priority="40" id="{808879D5-913F-4F1F-9CDC-0D45463E9CF3}">
            <xm:f>'Variable Management'!$B$266&lt;1</xm:f>
            <x14:dxf>
              <font>
                <strike/>
                <color theme="0"/>
              </font>
              <fill>
                <patternFill>
                  <bgColor theme="0"/>
                </patternFill>
              </fill>
            </x14:dxf>
          </x14:cfRule>
          <xm:sqref>A73:F73</xm:sqref>
        </x14:conditionalFormatting>
        <x14:conditionalFormatting xmlns:xm="http://schemas.microsoft.com/office/excel/2006/main">
          <x14:cfRule type="expression" priority="37" id="{C9AEB1C3-9808-4B3F-8116-89034703D516}">
            <xm:f>'Variable Management'!$B$266&lt;2</xm:f>
            <x14:dxf>
              <font>
                <strike/>
                <color theme="0"/>
              </font>
              <fill>
                <patternFill>
                  <bgColor theme="0"/>
                </patternFill>
              </fill>
            </x14:dxf>
          </x14:cfRule>
          <xm:sqref>A74:D75 M91:N92</xm:sqref>
        </x14:conditionalFormatting>
        <x14:conditionalFormatting xmlns:xm="http://schemas.microsoft.com/office/excel/2006/main">
          <x14:cfRule type="expression" priority="35" id="{BCB06C83-3CBC-4A17-AE93-46ACF2FA8D3A}">
            <xm:f>'Variable Management'!$B$29="LM51772"</xm:f>
            <x14:dxf>
              <font>
                <color theme="0"/>
              </font>
              <fill>
                <patternFill>
                  <bgColor theme="0"/>
                </patternFill>
              </fill>
            </x14:dxf>
          </x14:cfRule>
          <xm:sqref>D35:F35</xm:sqref>
        </x14:conditionalFormatting>
        <x14:conditionalFormatting xmlns:xm="http://schemas.microsoft.com/office/excel/2006/main">
          <x14:cfRule type="expression" priority="33" id="{62F07066-1B21-4528-A36E-78ED4C5BAF47}">
            <xm:f>'Variable Management'!$B$29="LM51772"</xm:f>
            <x14:dxf>
              <fill>
                <patternFill>
                  <bgColor theme="0" tint="-0.499984740745262"/>
                </patternFill>
              </fill>
            </x14:dxf>
          </x14:cfRule>
          <xm:sqref>H41:P42</xm:sqref>
        </x14:conditionalFormatting>
        <x14:conditionalFormatting xmlns:xm="http://schemas.microsoft.com/office/excel/2006/main">
          <x14:cfRule type="expression" priority="32" id="{550720F4-156A-4D62-A5D6-88CAF9B16FB8}">
            <xm:f>'Variable Management'!$B$266=0</xm:f>
            <x14:dxf>
              <font>
                <strike val="0"/>
                <color theme="0"/>
              </font>
              <fill>
                <patternFill>
                  <bgColor theme="0"/>
                </patternFill>
              </fill>
            </x14:dxf>
          </x14:cfRule>
          <xm:sqref>J51:L51</xm:sqref>
        </x14:conditionalFormatting>
        <x14:conditionalFormatting xmlns:xm="http://schemas.microsoft.com/office/excel/2006/main">
          <x14:cfRule type="expression" priority="31" id="{EDB77EE0-FAE2-4580-BD30-DE069A21712F}">
            <xm:f>'Variable Management'!$B$266&lt;&gt;1</xm:f>
            <x14:dxf>
              <font>
                <color theme="0"/>
              </font>
              <fill>
                <patternFill>
                  <bgColor theme="0"/>
                </patternFill>
              </fill>
            </x14:dxf>
          </x14:cfRule>
          <xm:sqref>J52:L52</xm:sqref>
        </x14:conditionalFormatting>
        <x14:conditionalFormatting xmlns:xm="http://schemas.microsoft.com/office/excel/2006/main">
          <x14:cfRule type="expression" priority="30" id="{E6D55958-B15A-48EE-8EF4-1C63625CCDA6}">
            <xm:f>'Variable Management'!$B$266=0</xm:f>
            <x14:dxf>
              <font>
                <strike/>
                <color theme="0"/>
              </font>
              <fill>
                <patternFill>
                  <bgColor theme="0"/>
                </patternFill>
              </fill>
            </x14:dxf>
          </x14:cfRule>
          <xm:sqref>J53:L53</xm:sqref>
        </x14:conditionalFormatting>
        <x14:conditionalFormatting xmlns:xm="http://schemas.microsoft.com/office/excel/2006/main">
          <x14:cfRule type="expression" priority="29" id="{8FC62C80-B1F4-4F21-AEDA-558FF17B8B64}">
            <xm:f>'Variable Management'!$B$266&lt;1</xm:f>
            <x14:dxf>
              <font>
                <strike/>
                <color theme="0"/>
              </font>
              <fill>
                <patternFill>
                  <bgColor theme="0"/>
                </patternFill>
              </fill>
            </x14:dxf>
          </x14:cfRule>
          <xm:sqref>J54:L54</xm:sqref>
        </x14:conditionalFormatting>
        <x14:conditionalFormatting xmlns:xm="http://schemas.microsoft.com/office/excel/2006/main">
          <x14:cfRule type="expression" priority="24" id="{28F8545A-8D3F-4763-BBCB-9D21779E3B37}">
            <xm:f>'Variable Management'!$B$266=0</xm:f>
            <x14:dxf>
              <font>
                <strike val="0"/>
                <color theme="0"/>
              </font>
              <fill>
                <patternFill>
                  <bgColor theme="0"/>
                </patternFill>
              </fill>
            </x14:dxf>
          </x14:cfRule>
          <xm:sqref>N51:P51</xm:sqref>
        </x14:conditionalFormatting>
        <x14:conditionalFormatting xmlns:xm="http://schemas.microsoft.com/office/excel/2006/main">
          <x14:cfRule type="expression" priority="22" id="{29813C44-F92A-4B13-AA71-B0CD66888A40}">
            <xm:f>'Variable Management'!$B$266=0</xm:f>
            <x14:dxf>
              <font>
                <strike/>
                <color theme="0"/>
              </font>
              <fill>
                <patternFill>
                  <bgColor theme="0"/>
                </patternFill>
              </fill>
            </x14:dxf>
          </x14:cfRule>
          <xm:sqref>N53:P53</xm:sqref>
        </x14:conditionalFormatting>
        <x14:conditionalFormatting xmlns:xm="http://schemas.microsoft.com/office/excel/2006/main">
          <x14:cfRule type="cellIs" priority="17" stopIfTrue="1" operator="notBetween" id="{481D716E-A040-488B-9C3B-336BF808CCD2}">
            <xm:f>DeviceParameter!$B$8</xm:f>
            <xm:f>DeviceParameter!$B$7</xm:f>
            <x14:dxf>
              <font>
                <b/>
                <i val="0"/>
                <condense val="0"/>
                <extend val="0"/>
                <color indexed="10"/>
              </font>
            </x14:dxf>
          </x14:cfRule>
          <xm:sqref>E6 E8</xm:sqref>
        </x14:conditionalFormatting>
        <x14:conditionalFormatting xmlns:xm="http://schemas.microsoft.com/office/excel/2006/main">
          <x14:cfRule type="cellIs" priority="18" stopIfTrue="1" operator="notBetween" id="{0604CC11-C494-4A12-8031-BB698B730524}">
            <xm:f>100</xm:f>
            <xm:f>DeviceParameter!$B$9</xm:f>
            <x14:dxf>
              <font>
                <b/>
                <i val="0"/>
                <condense val="0"/>
                <extend val="0"/>
                <color indexed="10"/>
              </font>
            </x14:dxf>
          </x14:cfRule>
          <xm:sqref>E11</xm:sqref>
        </x14:conditionalFormatting>
        <x14:conditionalFormatting xmlns:xm="http://schemas.microsoft.com/office/excel/2006/main">
          <x14:cfRule type="expression" priority="14" id="{53B6EB6A-3671-4446-B6E1-B3BBE0B0BA4A}">
            <xm:f>'Variable Management'!B$147=0</xm:f>
            <x14:dxf>
              <fill>
                <patternFill>
                  <bgColor rgb="FFFF0000"/>
                </patternFill>
              </fill>
            </x14:dxf>
          </x14:cfRule>
          <xm:sqref>E34:E35</xm:sqref>
        </x14:conditionalFormatting>
        <x14:conditionalFormatting xmlns:xm="http://schemas.microsoft.com/office/excel/2006/main">
          <x14:cfRule type="expression" priority="10" id="{CDC7D4C5-AA59-4E21-A416-BF5A13BC252D}">
            <xm:f>'Variable Management'!$B$116&gt;$E$31</xm:f>
            <x14:dxf>
              <fill>
                <patternFill>
                  <bgColor rgb="FFFF0000"/>
                </patternFill>
              </fill>
            </x14:dxf>
          </x14:cfRule>
          <xm:sqref>E31:E32</xm:sqref>
        </x14:conditionalFormatting>
        <x14:conditionalFormatting xmlns:xm="http://schemas.microsoft.com/office/excel/2006/main">
          <x14:cfRule type="expression" priority="5" id="{CA8E5979-A1D0-4CD6-B6D5-2EED5E7DA233}">
            <xm:f>'Variable Management'!$B$266&lt;2</xm:f>
            <x14:dxf>
              <font>
                <strike/>
                <color theme="0"/>
              </font>
              <fill>
                <patternFill>
                  <bgColor theme="0"/>
                </patternFill>
              </fill>
              <border>
                <left/>
                <right/>
                <top/>
                <bottom/>
              </border>
            </x14:dxf>
          </x14:cfRule>
          <xm:sqref>J89:N93</xm:sqref>
        </x14:conditionalFormatting>
        <x14:conditionalFormatting xmlns:xm="http://schemas.microsoft.com/office/excel/2006/main">
          <x14:cfRule type="expression" priority="4" id="{D171CC75-19AF-4928-8D04-4BD20D89CD3C}">
            <xm:f>'Variable Management'!$B$266&lt;2</xm:f>
            <x14:dxf>
              <font>
                <strike/>
                <color theme="0"/>
              </font>
              <fill>
                <patternFill>
                  <bgColor theme="0"/>
                </patternFill>
              </fill>
            </x14:dxf>
          </x14:cfRule>
          <xm:sqref>E74:E75</xm:sqref>
        </x14:conditionalFormatting>
        <x14:conditionalFormatting xmlns:xm="http://schemas.microsoft.com/office/excel/2006/main">
          <x14:cfRule type="expression" priority="3" id="{FF470CB5-4ED8-4871-9D6D-FF8B546CA2E1}">
            <xm:f>'Variable Management'!$B$266&lt;2</xm:f>
            <x14:dxf>
              <font>
                <strike/>
                <color theme="0"/>
              </font>
              <fill>
                <patternFill>
                  <bgColor theme="0"/>
                </patternFill>
              </fill>
            </x14:dxf>
          </x14:cfRule>
          <xm:sqref>F74:F75</xm:sqref>
        </x14:conditionalFormatting>
        <x14:conditionalFormatting xmlns:xm="http://schemas.microsoft.com/office/excel/2006/main">
          <x14:cfRule type="expression" priority="2" id="{658CA197-A665-42BB-A7B9-C38DBFE10E1D}">
            <xm:f>'Variable Management'!$L$10 =2</xm:f>
            <x14:dxf>
              <font>
                <color theme="0"/>
              </font>
              <fill>
                <patternFill>
                  <bgColor theme="0"/>
                </patternFill>
              </fill>
              <border>
                <left/>
                <right/>
                <top/>
                <bottom/>
                <vertical/>
                <horizontal/>
              </border>
            </x14:dxf>
          </x14:cfRule>
          <xm:sqref>M97:O97</xm:sqref>
        </x14:conditionalFormatting>
        <x14:conditionalFormatting xmlns:xm="http://schemas.microsoft.com/office/excel/2006/main">
          <x14:cfRule type="cellIs" priority="1" operator="greaterThanOrEqual" id="{782DAF71-8395-44CD-9CA8-7F34179A371F}">
            <xm:f>'Variable Management'!$B$399/1000</xm:f>
            <x14:dxf>
              <font>
                <b/>
                <i val="0"/>
              </font>
              <fill>
                <patternFill>
                  <bgColor rgb="FFFF0000"/>
                </patternFill>
              </fill>
            </x14:dxf>
          </x14:cfRule>
          <xm:sqref>E87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92981-BA50-42C6-992B-8EA3E85B601A}">
  <sheetPr codeName="Sheet11"/>
  <dimension ref="A1:AM76"/>
  <sheetViews>
    <sheetView showGridLines="0" showRowColHeaders="0" zoomScaleNormal="100" workbookViewId="0">
      <selection activeCell="B41" sqref="B41:K41"/>
    </sheetView>
  </sheetViews>
  <sheetFormatPr defaultColWidth="9.125" defaultRowHeight="13.6" x14ac:dyDescent="0.2"/>
  <cols>
    <col min="1" max="1" width="25.75" style="469" bestFit="1" customWidth="1"/>
    <col min="2" max="2" width="56.625" style="470" customWidth="1"/>
    <col min="3" max="11" width="9.125" style="463"/>
    <col min="12" max="12" width="20.375" style="463" customWidth="1"/>
    <col min="13" max="16384" width="9.125" style="463"/>
  </cols>
  <sheetData>
    <row r="1" spans="1:12" x14ac:dyDescent="0.2">
      <c r="A1" s="728"/>
      <c r="B1" s="728"/>
      <c r="C1" s="728"/>
      <c r="D1" s="728"/>
      <c r="E1" s="728"/>
      <c r="F1" s="728"/>
      <c r="G1" s="728"/>
      <c r="H1" s="728"/>
      <c r="I1" s="728"/>
      <c r="J1" s="728"/>
      <c r="K1" s="728"/>
      <c r="L1" s="728"/>
    </row>
    <row r="2" spans="1:12" x14ac:dyDescent="0.2">
      <c r="A2" s="728"/>
      <c r="B2" s="728"/>
      <c r="C2" s="728"/>
      <c r="D2" s="728"/>
      <c r="E2" s="728"/>
      <c r="F2" s="728"/>
      <c r="G2" s="728"/>
      <c r="H2" s="728"/>
      <c r="I2" s="728"/>
      <c r="J2" s="728"/>
      <c r="K2" s="728"/>
      <c r="L2" s="728"/>
    </row>
    <row r="3" spans="1:12" x14ac:dyDescent="0.2">
      <c r="A3" s="728"/>
      <c r="B3" s="728"/>
      <c r="C3" s="728"/>
      <c r="D3" s="728"/>
      <c r="E3" s="728"/>
      <c r="F3" s="728"/>
      <c r="G3" s="728"/>
      <c r="H3" s="728"/>
      <c r="I3" s="728"/>
      <c r="J3" s="728"/>
      <c r="K3" s="728"/>
      <c r="L3" s="728"/>
    </row>
    <row r="4" spans="1:12" ht="12.75" customHeight="1" x14ac:dyDescent="0.2">
      <c r="A4" s="729"/>
      <c r="B4" s="729"/>
      <c r="C4" s="729"/>
      <c r="D4" s="729"/>
      <c r="E4" s="729"/>
      <c r="F4" s="729"/>
      <c r="G4" s="729"/>
      <c r="H4" s="729"/>
      <c r="I4" s="729"/>
      <c r="J4" s="729"/>
      <c r="K4" s="729"/>
      <c r="L4" s="729"/>
    </row>
    <row r="5" spans="1:12" ht="14.3" x14ac:dyDescent="0.25">
      <c r="A5" s="464" t="s">
        <v>852</v>
      </c>
      <c r="B5" s="615" t="s">
        <v>1042</v>
      </c>
      <c r="C5" s="466"/>
      <c r="D5" s="466"/>
      <c r="E5" s="466"/>
      <c r="F5" s="466"/>
      <c r="G5" s="466"/>
      <c r="H5" s="466"/>
      <c r="I5" s="466"/>
      <c r="J5" s="466"/>
      <c r="K5" s="467"/>
      <c r="L5" s="468"/>
    </row>
    <row r="6" spans="1:12" ht="14.3" x14ac:dyDescent="0.25">
      <c r="A6" s="464"/>
      <c r="B6" s="465"/>
      <c r="C6" s="466"/>
      <c r="D6" s="466"/>
      <c r="E6" s="466"/>
      <c r="F6" s="466"/>
      <c r="G6" s="466"/>
      <c r="H6" s="466"/>
      <c r="I6" s="466"/>
      <c r="J6" s="468"/>
      <c r="K6" s="468"/>
      <c r="L6" s="468"/>
    </row>
    <row r="35" spans="1:39" x14ac:dyDescent="0.2">
      <c r="A35" s="471" t="s">
        <v>853</v>
      </c>
      <c r="B35" s="472"/>
      <c r="C35" s="466"/>
      <c r="D35" s="466"/>
      <c r="E35" s="466"/>
      <c r="F35" s="466"/>
      <c r="G35" s="466"/>
      <c r="H35" s="466"/>
      <c r="I35" s="466"/>
      <c r="J35" s="466"/>
      <c r="K35" s="466"/>
    </row>
    <row r="36" spans="1:39" ht="14.3" x14ac:dyDescent="0.25">
      <c r="A36" s="473" t="s">
        <v>854</v>
      </c>
      <c r="B36" s="730" t="s">
        <v>855</v>
      </c>
      <c r="C36" s="730"/>
      <c r="D36" s="730"/>
      <c r="E36" s="730"/>
      <c r="F36" s="730"/>
      <c r="G36" s="730"/>
      <c r="H36" s="730"/>
      <c r="I36" s="730"/>
      <c r="J36" s="730"/>
      <c r="K36" s="730"/>
    </row>
    <row r="37" spans="1:39" x14ac:dyDescent="0.2">
      <c r="A37" s="543" t="s">
        <v>870</v>
      </c>
      <c r="B37" s="731" t="s">
        <v>856</v>
      </c>
      <c r="C37" s="731"/>
      <c r="D37" s="731"/>
      <c r="E37" s="731"/>
      <c r="F37" s="731"/>
      <c r="G37" s="731"/>
      <c r="H37" s="731"/>
      <c r="I37" s="731"/>
      <c r="J37" s="731"/>
      <c r="K37" s="731"/>
    </row>
    <row r="38" spans="1:39" ht="14.3" customHeight="1" x14ac:dyDescent="0.2">
      <c r="A38" s="543" t="s">
        <v>1042</v>
      </c>
      <c r="B38" s="727" t="s">
        <v>1046</v>
      </c>
      <c r="C38" s="727"/>
      <c r="D38" s="727"/>
      <c r="E38" s="727"/>
      <c r="F38" s="727"/>
      <c r="G38" s="727"/>
      <c r="H38" s="727"/>
      <c r="I38" s="727"/>
      <c r="J38" s="727"/>
      <c r="K38" s="727"/>
    </row>
    <row r="39" spans="1:39" ht="14.3" customHeight="1" x14ac:dyDescent="0.2">
      <c r="A39" s="543"/>
      <c r="B39" s="727" t="s">
        <v>1141</v>
      </c>
      <c r="C39" s="727"/>
      <c r="D39" s="727"/>
      <c r="E39" s="727"/>
      <c r="F39" s="727"/>
      <c r="G39" s="727"/>
      <c r="H39" s="727"/>
      <c r="I39" s="727"/>
      <c r="J39" s="727"/>
      <c r="K39" s="727"/>
    </row>
    <row r="40" spans="1:39" ht="14.3" customHeight="1" x14ac:dyDescent="0.2">
      <c r="A40" s="543"/>
      <c r="B40" s="727" t="s">
        <v>1145</v>
      </c>
      <c r="C40" s="727"/>
      <c r="D40" s="727"/>
      <c r="E40" s="727"/>
      <c r="F40" s="727"/>
      <c r="G40" s="727"/>
      <c r="H40" s="727"/>
      <c r="I40" s="727"/>
      <c r="J40" s="727"/>
      <c r="K40" s="727"/>
    </row>
    <row r="41" spans="1:39" ht="14.3" customHeight="1" x14ac:dyDescent="0.2">
      <c r="A41" s="543"/>
      <c r="B41" s="727"/>
      <c r="C41" s="727"/>
      <c r="D41" s="727"/>
      <c r="E41" s="727"/>
      <c r="F41" s="727"/>
      <c r="G41" s="727"/>
      <c r="H41" s="727"/>
      <c r="I41" s="727"/>
      <c r="J41" s="727"/>
      <c r="K41" s="727"/>
    </row>
    <row r="42" spans="1:39" x14ac:dyDescent="0.2">
      <c r="A42" s="543"/>
      <c r="B42" s="727"/>
      <c r="C42" s="727"/>
      <c r="D42" s="727"/>
      <c r="E42" s="727"/>
      <c r="F42" s="727"/>
      <c r="G42" s="727"/>
      <c r="H42" s="727"/>
      <c r="I42" s="727"/>
      <c r="J42" s="727"/>
      <c r="K42" s="727"/>
    </row>
    <row r="43" spans="1:39" x14ac:dyDescent="0.2">
      <c r="A43" s="543"/>
      <c r="B43" s="727"/>
      <c r="C43" s="727"/>
      <c r="D43" s="727"/>
      <c r="E43" s="727"/>
      <c r="F43" s="727"/>
      <c r="G43" s="727"/>
      <c r="H43" s="727"/>
      <c r="I43" s="727"/>
      <c r="J43" s="727"/>
      <c r="K43" s="727"/>
    </row>
    <row r="44" spans="1:39" ht="14.3" x14ac:dyDescent="0.2">
      <c r="A44" s="543"/>
      <c r="B44" s="727"/>
      <c r="C44" s="727"/>
      <c r="D44" s="727"/>
      <c r="E44" s="727"/>
      <c r="F44" s="727"/>
      <c r="G44" s="727"/>
      <c r="H44" s="727"/>
      <c r="I44" s="727"/>
      <c r="J44" s="727"/>
      <c r="K44" s="727"/>
      <c r="L44" s="474"/>
      <c r="M44" s="474"/>
      <c r="N44" s="474"/>
      <c r="O44" s="474"/>
      <c r="P44" s="474"/>
      <c r="Q44" s="474"/>
      <c r="R44" s="474"/>
      <c r="S44" s="474"/>
      <c r="T44" s="474"/>
      <c r="U44" s="474"/>
      <c r="V44" s="474"/>
      <c r="W44" s="474"/>
      <c r="X44" s="474"/>
      <c r="Y44" s="474"/>
      <c r="Z44" s="474"/>
      <c r="AA44" s="474"/>
      <c r="AB44" s="474"/>
      <c r="AC44" s="474"/>
      <c r="AD44" s="474"/>
      <c r="AE44" s="474"/>
      <c r="AF44" s="474"/>
      <c r="AG44" s="474"/>
      <c r="AH44" s="474"/>
      <c r="AI44" s="474"/>
      <c r="AJ44" s="474"/>
      <c r="AK44" s="474"/>
      <c r="AL44" s="474"/>
      <c r="AM44" s="474"/>
    </row>
    <row r="45" spans="1:39" x14ac:dyDescent="0.2">
      <c r="A45" s="543"/>
      <c r="B45" s="466"/>
      <c r="C45" s="466"/>
      <c r="D45" s="466"/>
      <c r="E45" s="466"/>
      <c r="F45" s="466"/>
      <c r="G45" s="466"/>
      <c r="H45" s="466"/>
      <c r="I45" s="466"/>
      <c r="J45" s="466"/>
      <c r="K45" s="466"/>
    </row>
    <row r="46" spans="1:39" x14ac:dyDescent="0.2">
      <c r="A46" s="543"/>
      <c r="B46" s="466"/>
      <c r="C46" s="466"/>
      <c r="D46" s="466"/>
      <c r="E46" s="466"/>
      <c r="F46" s="466"/>
      <c r="G46" s="466"/>
      <c r="H46" s="466"/>
      <c r="I46" s="466"/>
      <c r="J46" s="466"/>
      <c r="K46" s="466"/>
    </row>
    <row r="47" spans="1:39" x14ac:dyDescent="0.2">
      <c r="A47" s="543"/>
      <c r="B47" s="466"/>
      <c r="C47" s="466"/>
      <c r="D47" s="466"/>
      <c r="E47" s="466"/>
      <c r="F47" s="466"/>
      <c r="G47" s="466"/>
      <c r="H47" s="466"/>
      <c r="I47" s="466"/>
      <c r="J47" s="466"/>
      <c r="K47" s="466"/>
    </row>
    <row r="48" spans="1:39" x14ac:dyDescent="0.2">
      <c r="A48" s="543"/>
      <c r="B48" s="466"/>
      <c r="C48" s="466"/>
      <c r="D48" s="466"/>
      <c r="E48" s="466"/>
      <c r="F48" s="466"/>
      <c r="G48" s="466"/>
      <c r="H48" s="466"/>
      <c r="I48" s="466"/>
      <c r="J48" s="466"/>
      <c r="K48" s="466"/>
    </row>
    <row r="49" spans="1:11" x14ac:dyDescent="0.2">
      <c r="A49" s="543"/>
      <c r="B49" s="466"/>
      <c r="C49" s="466"/>
      <c r="D49" s="466"/>
      <c r="E49" s="466"/>
      <c r="F49" s="466"/>
      <c r="G49" s="466"/>
      <c r="H49" s="466"/>
      <c r="I49" s="466"/>
      <c r="J49" s="466"/>
      <c r="K49" s="466"/>
    </row>
    <row r="50" spans="1:11" x14ac:dyDescent="0.2">
      <c r="A50" s="543"/>
      <c r="B50" s="466"/>
      <c r="C50" s="466"/>
      <c r="D50" s="466"/>
      <c r="E50" s="466"/>
      <c r="F50" s="466"/>
      <c r="G50" s="466"/>
      <c r="H50" s="466"/>
      <c r="I50" s="466"/>
      <c r="J50" s="466"/>
      <c r="K50" s="466"/>
    </row>
    <row r="51" spans="1:11" x14ac:dyDescent="0.2">
      <c r="A51" s="543"/>
      <c r="B51" s="466"/>
      <c r="C51" s="466"/>
      <c r="D51" s="466"/>
      <c r="E51" s="466"/>
      <c r="F51" s="466"/>
      <c r="G51" s="466"/>
      <c r="H51" s="466"/>
      <c r="I51" s="466"/>
      <c r="J51" s="466"/>
      <c r="K51" s="466"/>
    </row>
    <row r="52" spans="1:11" x14ac:dyDescent="0.2">
      <c r="A52" s="543"/>
      <c r="B52" s="466"/>
      <c r="C52" s="466"/>
      <c r="D52" s="466"/>
      <c r="E52" s="466"/>
      <c r="F52" s="466"/>
      <c r="G52" s="466"/>
      <c r="H52" s="466"/>
      <c r="I52" s="466"/>
      <c r="J52" s="466"/>
      <c r="K52" s="466"/>
    </row>
    <row r="53" spans="1:11" x14ac:dyDescent="0.2">
      <c r="A53" s="543"/>
      <c r="B53" s="466"/>
      <c r="C53" s="466"/>
      <c r="D53" s="466"/>
      <c r="E53" s="466"/>
      <c r="F53" s="466"/>
      <c r="G53" s="466"/>
      <c r="H53" s="466"/>
      <c r="I53" s="466"/>
      <c r="J53" s="466"/>
      <c r="K53" s="466"/>
    </row>
    <row r="54" spans="1:11" x14ac:dyDescent="0.2">
      <c r="A54" s="543"/>
      <c r="B54" s="466"/>
      <c r="C54" s="466"/>
      <c r="D54" s="466"/>
      <c r="E54" s="466"/>
      <c r="F54" s="466"/>
      <c r="G54" s="466"/>
      <c r="H54" s="466"/>
      <c r="I54" s="466"/>
      <c r="J54" s="466"/>
      <c r="K54" s="466"/>
    </row>
    <row r="55" spans="1:11" x14ac:dyDescent="0.2">
      <c r="A55" s="543"/>
      <c r="B55" s="466"/>
      <c r="C55" s="466"/>
      <c r="D55" s="466"/>
      <c r="E55" s="466"/>
      <c r="F55" s="466"/>
      <c r="G55" s="466"/>
      <c r="H55" s="466"/>
      <c r="I55" s="466"/>
      <c r="J55" s="466"/>
      <c r="K55" s="466"/>
    </row>
    <row r="56" spans="1:11" x14ac:dyDescent="0.2">
      <c r="A56" s="543"/>
      <c r="B56" s="466"/>
      <c r="C56" s="466"/>
      <c r="D56" s="466"/>
      <c r="E56" s="466"/>
      <c r="F56" s="466"/>
      <c r="G56" s="466"/>
      <c r="H56" s="466"/>
      <c r="I56" s="466"/>
      <c r="J56" s="466"/>
      <c r="K56" s="466"/>
    </row>
    <row r="57" spans="1:11" x14ac:dyDescent="0.2">
      <c r="A57" s="543"/>
      <c r="B57" s="466"/>
      <c r="C57" s="466"/>
      <c r="D57" s="466"/>
      <c r="E57" s="466"/>
      <c r="F57" s="466"/>
      <c r="G57" s="466"/>
      <c r="H57" s="466"/>
      <c r="I57" s="466"/>
      <c r="J57" s="466"/>
      <c r="K57" s="466"/>
    </row>
    <row r="58" spans="1:11" x14ac:dyDescent="0.2">
      <c r="A58" s="543"/>
      <c r="B58" s="466"/>
      <c r="C58" s="466"/>
      <c r="D58" s="466"/>
      <c r="E58" s="466"/>
      <c r="F58" s="466"/>
      <c r="G58" s="466"/>
      <c r="H58" s="466"/>
      <c r="I58" s="466"/>
      <c r="J58" s="466"/>
      <c r="K58" s="466"/>
    </row>
    <row r="59" spans="1:11" x14ac:dyDescent="0.2">
      <c r="A59" s="543"/>
      <c r="B59" s="466"/>
      <c r="C59" s="466"/>
      <c r="D59" s="466"/>
      <c r="E59" s="466"/>
      <c r="F59" s="466"/>
      <c r="G59" s="466"/>
      <c r="H59" s="466"/>
      <c r="I59" s="466"/>
      <c r="J59" s="466"/>
      <c r="K59" s="466"/>
    </row>
    <row r="60" spans="1:11" x14ac:dyDescent="0.2">
      <c r="A60" s="543"/>
      <c r="B60" s="466"/>
      <c r="C60" s="466"/>
      <c r="D60" s="466"/>
      <c r="E60" s="466"/>
      <c r="F60" s="466"/>
      <c r="G60" s="466"/>
      <c r="H60" s="466"/>
      <c r="I60" s="466"/>
      <c r="J60" s="466"/>
      <c r="K60" s="466"/>
    </row>
    <row r="61" spans="1:11" x14ac:dyDescent="0.2">
      <c r="A61" s="543"/>
      <c r="B61" s="466"/>
      <c r="C61" s="466"/>
      <c r="D61" s="466"/>
      <c r="E61" s="466"/>
      <c r="F61" s="466"/>
      <c r="G61" s="466"/>
      <c r="H61" s="466"/>
      <c r="I61" s="466"/>
      <c r="J61" s="466"/>
      <c r="K61" s="466"/>
    </row>
    <row r="62" spans="1:11" x14ac:dyDescent="0.2">
      <c r="A62" s="543"/>
      <c r="B62" s="466"/>
      <c r="C62" s="466"/>
      <c r="D62" s="466"/>
      <c r="E62" s="466"/>
      <c r="F62" s="466"/>
      <c r="G62" s="466"/>
      <c r="H62" s="466"/>
      <c r="I62" s="466"/>
      <c r="J62" s="466"/>
      <c r="K62" s="466"/>
    </row>
    <row r="63" spans="1:11" x14ac:dyDescent="0.2">
      <c r="A63" s="543"/>
      <c r="B63" s="466"/>
      <c r="C63" s="466"/>
      <c r="D63" s="466"/>
      <c r="E63" s="466"/>
      <c r="F63" s="466"/>
      <c r="G63" s="466"/>
      <c r="H63" s="466"/>
      <c r="I63" s="466"/>
      <c r="J63" s="466"/>
      <c r="K63" s="466"/>
    </row>
    <row r="64" spans="1:11" x14ac:dyDescent="0.2">
      <c r="A64" s="543"/>
      <c r="B64" s="466"/>
      <c r="C64" s="466"/>
      <c r="D64" s="466"/>
      <c r="E64" s="466"/>
      <c r="F64" s="466"/>
      <c r="G64" s="466"/>
      <c r="H64" s="466"/>
      <c r="I64" s="466"/>
      <c r="J64" s="466"/>
      <c r="K64" s="466"/>
    </row>
    <row r="65" spans="1:11" x14ac:dyDescent="0.2">
      <c r="A65" s="543"/>
      <c r="B65" s="466"/>
      <c r="C65" s="466"/>
      <c r="D65" s="466"/>
      <c r="E65" s="466"/>
      <c r="F65" s="466"/>
      <c r="G65" s="466"/>
      <c r="H65" s="466"/>
      <c r="I65" s="466"/>
      <c r="J65" s="466"/>
      <c r="K65" s="466"/>
    </row>
    <row r="66" spans="1:11" x14ac:dyDescent="0.2">
      <c r="A66" s="543"/>
      <c r="B66" s="466"/>
      <c r="C66" s="466"/>
      <c r="D66" s="466"/>
      <c r="E66" s="466"/>
      <c r="F66" s="466"/>
      <c r="G66" s="466"/>
      <c r="H66" s="466"/>
      <c r="I66" s="466"/>
      <c r="J66" s="466"/>
      <c r="K66" s="466"/>
    </row>
    <row r="67" spans="1:11" x14ac:dyDescent="0.2">
      <c r="A67" s="543"/>
      <c r="B67" s="466"/>
      <c r="C67" s="466"/>
      <c r="D67" s="466"/>
      <c r="E67" s="466"/>
      <c r="F67" s="466"/>
      <c r="G67" s="466"/>
      <c r="H67" s="466"/>
      <c r="I67" s="466"/>
      <c r="J67" s="466"/>
      <c r="K67" s="466"/>
    </row>
    <row r="68" spans="1:11" x14ac:dyDescent="0.2">
      <c r="A68" s="543"/>
      <c r="B68" s="466"/>
      <c r="C68" s="466"/>
      <c r="D68" s="466"/>
      <c r="E68" s="466"/>
      <c r="F68" s="466"/>
      <c r="G68" s="466"/>
      <c r="H68" s="466"/>
      <c r="I68" s="466"/>
      <c r="J68" s="466"/>
      <c r="K68" s="466"/>
    </row>
    <row r="69" spans="1:11" x14ac:dyDescent="0.2">
      <c r="A69" s="543"/>
      <c r="B69" s="466"/>
      <c r="C69" s="466"/>
      <c r="D69" s="466"/>
      <c r="E69" s="466"/>
      <c r="F69" s="466"/>
      <c r="G69" s="466"/>
      <c r="H69" s="466"/>
      <c r="I69" s="466"/>
      <c r="J69" s="466"/>
      <c r="K69" s="466"/>
    </row>
    <row r="70" spans="1:11" x14ac:dyDescent="0.2">
      <c r="A70" s="543"/>
      <c r="B70" s="466"/>
      <c r="C70" s="466"/>
      <c r="D70" s="466"/>
      <c r="E70" s="466"/>
      <c r="F70" s="466"/>
      <c r="G70" s="466"/>
      <c r="H70" s="466"/>
      <c r="I70" s="466"/>
      <c r="J70" s="466"/>
      <c r="K70" s="466"/>
    </row>
    <row r="71" spans="1:11" x14ac:dyDescent="0.2">
      <c r="A71" s="543"/>
      <c r="B71" s="466"/>
      <c r="C71" s="466"/>
      <c r="D71" s="466"/>
      <c r="E71" s="466"/>
      <c r="F71" s="466"/>
      <c r="G71" s="466"/>
      <c r="H71" s="466"/>
      <c r="I71" s="466"/>
      <c r="J71" s="466"/>
      <c r="K71" s="466"/>
    </row>
    <row r="72" spans="1:11" x14ac:dyDescent="0.2">
      <c r="A72" s="543"/>
      <c r="B72" s="466"/>
      <c r="C72" s="466"/>
      <c r="D72" s="466"/>
      <c r="E72" s="466"/>
      <c r="F72" s="466"/>
      <c r="G72" s="466"/>
      <c r="H72" s="466"/>
      <c r="I72" s="466"/>
      <c r="J72" s="466"/>
      <c r="K72" s="466"/>
    </row>
    <row r="73" spans="1:11" x14ac:dyDescent="0.2">
      <c r="A73" s="466"/>
      <c r="B73" s="466"/>
      <c r="C73" s="466"/>
      <c r="D73" s="466"/>
      <c r="E73" s="466"/>
      <c r="F73" s="466"/>
      <c r="G73" s="466"/>
      <c r="H73" s="466"/>
      <c r="I73" s="466"/>
      <c r="J73" s="466"/>
      <c r="K73" s="466"/>
    </row>
    <row r="74" spans="1:11" x14ac:dyDescent="0.2">
      <c r="A74" s="466"/>
      <c r="B74" s="466"/>
      <c r="C74" s="466"/>
      <c r="D74" s="466"/>
      <c r="E74" s="466"/>
      <c r="F74" s="466"/>
      <c r="G74" s="466"/>
      <c r="H74" s="466"/>
      <c r="I74" s="466"/>
      <c r="J74" s="466"/>
      <c r="K74" s="466"/>
    </row>
    <row r="75" spans="1:11" x14ac:dyDescent="0.2">
      <c r="A75" s="545"/>
    </row>
    <row r="76" spans="1:11" x14ac:dyDescent="0.2">
      <c r="A76" s="545"/>
    </row>
  </sheetData>
  <mergeCells count="11">
    <mergeCell ref="B39:K39"/>
    <mergeCell ref="A1:L3"/>
    <mergeCell ref="A4:L4"/>
    <mergeCell ref="B36:K36"/>
    <mergeCell ref="B37:K37"/>
    <mergeCell ref="B38:K38"/>
    <mergeCell ref="B41:K41"/>
    <mergeCell ref="B42:K42"/>
    <mergeCell ref="B43:K43"/>
    <mergeCell ref="B44:K44"/>
    <mergeCell ref="B40:K40"/>
  </mergeCells>
  <phoneticPr fontId="107"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R559"/>
  <sheetViews>
    <sheetView zoomScaleNormal="100" workbookViewId="0">
      <pane ySplit="5" topLeftCell="A6" activePane="bottomLeft" state="frozenSplit"/>
      <selection activeCell="F293" sqref="F293"/>
      <selection pane="bottomLeft" activeCell="E20" sqref="E20"/>
    </sheetView>
  </sheetViews>
  <sheetFormatPr defaultRowHeight="13.6" x14ac:dyDescent="0.25"/>
  <cols>
    <col min="1" max="1" width="38.875" customWidth="1"/>
    <col min="2" max="2" width="12" customWidth="1"/>
    <col min="3" max="3" width="10" style="2" customWidth="1"/>
    <col min="4" max="4" width="13.375" customWidth="1"/>
    <col min="5" max="5" width="11.625" customWidth="1"/>
    <col min="6" max="6" width="10" bestFit="1" customWidth="1"/>
    <col min="7" max="7" width="12.375" bestFit="1" customWidth="1"/>
    <col min="8" max="8" width="34.75" customWidth="1"/>
    <col min="10" max="10" width="12.375" bestFit="1" customWidth="1"/>
    <col min="11" max="11" width="15.125" customWidth="1"/>
    <col min="12" max="12" width="13.25" customWidth="1"/>
    <col min="14" max="14" width="7.875" customWidth="1"/>
    <col min="15" max="15" width="12.375" bestFit="1" customWidth="1"/>
    <col min="16" max="16" width="8.25" customWidth="1"/>
    <col min="20" max="20" width="8.75" customWidth="1"/>
  </cols>
  <sheetData>
    <row r="1" spans="1:16" ht="30.75" customHeight="1" x14ac:dyDescent="0.4">
      <c r="A1" s="733" t="s">
        <v>486</v>
      </c>
      <c r="B1" s="733"/>
      <c r="C1" s="733"/>
      <c r="D1" s="733"/>
      <c r="E1" s="733"/>
      <c r="F1" s="733"/>
      <c r="G1" s="733"/>
      <c r="H1" s="733"/>
      <c r="I1" s="733"/>
    </row>
    <row r="2" spans="1:16" ht="12.1" customHeight="1" x14ac:dyDescent="0.25">
      <c r="A2" s="20"/>
      <c r="B2" s="20" t="s">
        <v>223</v>
      </c>
      <c r="C2" s="21"/>
      <c r="E2" s="453"/>
      <c r="F2" s="20" t="s">
        <v>831</v>
      </c>
      <c r="G2" s="20"/>
      <c r="H2" s="20"/>
      <c r="I2" s="20"/>
    </row>
    <row r="3" spans="1:16" ht="11.25" customHeight="1" x14ac:dyDescent="0.25">
      <c r="A3" s="20"/>
      <c r="B3" s="20" t="s">
        <v>271</v>
      </c>
      <c r="C3" s="22"/>
      <c r="E3" s="20"/>
      <c r="F3" s="20"/>
      <c r="G3" s="20"/>
      <c r="H3" s="20"/>
      <c r="I3" s="20"/>
    </row>
    <row r="4" spans="1:16" ht="11.25" customHeight="1" x14ac:dyDescent="0.25">
      <c r="A4" s="20"/>
      <c r="B4" s="20" t="s">
        <v>224</v>
      </c>
      <c r="C4" s="23"/>
      <c r="E4" s="20"/>
      <c r="F4" s="20"/>
      <c r="G4" s="20"/>
      <c r="H4" s="20"/>
      <c r="I4" s="20"/>
    </row>
    <row r="5" spans="1:16" x14ac:dyDescent="0.25">
      <c r="A5" s="2" t="s">
        <v>51</v>
      </c>
      <c r="B5" s="2" t="s">
        <v>8</v>
      </c>
      <c r="C5" s="2" t="s">
        <v>9</v>
      </c>
      <c r="E5" s="732" t="s">
        <v>13</v>
      </c>
      <c r="F5" s="732"/>
      <c r="G5" s="732"/>
      <c r="H5" s="732"/>
      <c r="I5" s="2" t="s">
        <v>514</v>
      </c>
    </row>
    <row r="6" spans="1:16" ht="16.3" thickBot="1" x14ac:dyDescent="0.3">
      <c r="A6" s="429" t="s">
        <v>177</v>
      </c>
      <c r="B6" s="2"/>
      <c r="D6" s="2"/>
      <c r="E6" s="20"/>
      <c r="F6" s="20"/>
      <c r="G6" s="20"/>
      <c r="H6" s="20"/>
      <c r="I6" s="2"/>
    </row>
    <row r="7" spans="1:16" ht="12.9" x14ac:dyDescent="0.2">
      <c r="A7" s="177" t="s">
        <v>337</v>
      </c>
      <c r="B7" s="9">
        <f>'Design Converter'!E6</f>
        <v>6</v>
      </c>
      <c r="C7" s="34" t="s">
        <v>0</v>
      </c>
      <c r="D7" s="80" t="s">
        <v>338</v>
      </c>
      <c r="E7" s="34"/>
      <c r="F7" s="34"/>
      <c r="G7" s="34"/>
      <c r="H7" s="34"/>
      <c r="I7" s="35">
        <v>1</v>
      </c>
    </row>
    <row r="8" spans="1:16" x14ac:dyDescent="0.25">
      <c r="A8" s="178"/>
      <c r="B8" s="10">
        <f>'Design Converter'!E7</f>
        <v>12</v>
      </c>
      <c r="C8" t="s">
        <v>0</v>
      </c>
      <c r="D8" t="s">
        <v>14</v>
      </c>
      <c r="I8" s="28"/>
      <c r="K8" s="225" t="s">
        <v>812</v>
      </c>
      <c r="L8" s="79">
        <v>1</v>
      </c>
      <c r="M8" s="77"/>
      <c r="O8" s="79"/>
    </row>
    <row r="9" spans="1:16" ht="12.9" x14ac:dyDescent="0.2">
      <c r="A9" s="178" t="s">
        <v>336</v>
      </c>
      <c r="B9" s="10">
        <f>'Design Converter'!E8</f>
        <v>36</v>
      </c>
      <c r="C9" t="s">
        <v>0</v>
      </c>
      <c r="D9" s="77" t="s">
        <v>339</v>
      </c>
      <c r="I9" s="28"/>
      <c r="K9" s="225" t="s">
        <v>813</v>
      </c>
      <c r="L9" s="79">
        <v>2</v>
      </c>
      <c r="M9" s="77"/>
      <c r="O9" s="79"/>
    </row>
    <row r="10" spans="1:16" x14ac:dyDescent="0.25">
      <c r="A10" s="178" t="s">
        <v>723</v>
      </c>
      <c r="B10" s="434">
        <f>B44</f>
        <v>11.129272516082148</v>
      </c>
      <c r="C10" t="s">
        <v>0</v>
      </c>
      <c r="D10" s="77"/>
      <c r="I10" s="28"/>
      <c r="K10" s="443" t="s">
        <v>781</v>
      </c>
      <c r="L10" s="524">
        <v>1</v>
      </c>
      <c r="M10" s="295" t="s">
        <v>844</v>
      </c>
      <c r="O10" s="447">
        <f>'CFG Setting'!G28</f>
        <v>7</v>
      </c>
      <c r="P10" s="77" t="s">
        <v>815</v>
      </c>
    </row>
    <row r="11" spans="1:16" x14ac:dyDescent="0.25">
      <c r="A11" s="178"/>
      <c r="B11" s="400"/>
      <c r="C11"/>
      <c r="D11" s="77"/>
      <c r="I11" s="28"/>
      <c r="K11" s="295" t="s">
        <v>939</v>
      </c>
      <c r="L11" s="524" t="b">
        <v>0</v>
      </c>
    </row>
    <row r="12" spans="1:16" ht="12.9" x14ac:dyDescent="0.2">
      <c r="A12" s="27" t="s">
        <v>5</v>
      </c>
      <c r="B12" s="10">
        <f>'Design Converter'!E9</f>
        <v>16</v>
      </c>
      <c r="C12" t="s">
        <v>0</v>
      </c>
      <c r="D12" t="s">
        <v>1</v>
      </c>
      <c r="I12" s="28">
        <v>1</v>
      </c>
    </row>
    <row r="13" spans="1:16" ht="12.9" x14ac:dyDescent="0.2">
      <c r="A13" s="27" t="s">
        <v>6</v>
      </c>
      <c r="B13" s="10">
        <f>'Design Converter'!E10</f>
        <v>8</v>
      </c>
      <c r="C13" t="s">
        <v>2</v>
      </c>
      <c r="D13" s="77" t="s">
        <v>340</v>
      </c>
      <c r="I13" s="28">
        <v>1</v>
      </c>
    </row>
    <row r="14" spans="1:16" x14ac:dyDescent="0.25">
      <c r="A14" s="178" t="s">
        <v>415</v>
      </c>
      <c r="B14" s="224">
        <f>Vout/Iout</f>
        <v>2</v>
      </c>
      <c r="C14" s="180" t="s">
        <v>118</v>
      </c>
      <c r="D14" s="77" t="s">
        <v>416</v>
      </c>
      <c r="I14" s="28"/>
      <c r="K14" s="77" t="s">
        <v>1039</v>
      </c>
      <c r="L14">
        <v>1</v>
      </c>
      <c r="M14" s="77" t="s">
        <v>1040</v>
      </c>
    </row>
    <row r="15" spans="1:16" ht="12.9" x14ac:dyDescent="0.2">
      <c r="A15" s="178" t="s">
        <v>358</v>
      </c>
      <c r="B15" s="224">
        <f>Vout*Iout</f>
        <v>128</v>
      </c>
      <c r="C15" t="s">
        <v>118</v>
      </c>
      <c r="D15" s="77" t="s">
        <v>386</v>
      </c>
      <c r="I15" s="28"/>
    </row>
    <row r="16" spans="1:16" ht="12.9" x14ac:dyDescent="0.2">
      <c r="A16" s="178" t="s">
        <v>150</v>
      </c>
      <c r="B16" s="244">
        <v>0.95</v>
      </c>
      <c r="C16"/>
      <c r="D16" s="451" t="s">
        <v>822</v>
      </c>
      <c r="I16" s="28"/>
    </row>
    <row r="17" spans="1:12" ht="12.9" x14ac:dyDescent="0.2">
      <c r="A17" s="178" t="s">
        <v>362</v>
      </c>
      <c r="B17" s="245">
        <f>Pout/Efficiency</f>
        <v>134.73684210526315</v>
      </c>
      <c r="C17" t="s">
        <v>118</v>
      </c>
      <c r="D17" s="77" t="s">
        <v>385</v>
      </c>
      <c r="I17" s="28"/>
    </row>
    <row r="18" spans="1:12" ht="12.9" x14ac:dyDescent="0.2">
      <c r="A18" s="178" t="s">
        <v>359</v>
      </c>
      <c r="B18" s="237">
        <f>Pin/VIN_min</f>
        <v>22.456140350877192</v>
      </c>
      <c r="C18" t="s">
        <v>2</v>
      </c>
      <c r="D18" s="77"/>
      <c r="I18" s="28"/>
    </row>
    <row r="19" spans="1:12" ht="12.9" x14ac:dyDescent="0.2">
      <c r="A19" s="178" t="s">
        <v>360</v>
      </c>
      <c r="B19" s="237">
        <f>Pin/VIN_nom</f>
        <v>11.228070175438596</v>
      </c>
      <c r="C19" t="s">
        <v>2</v>
      </c>
      <c r="D19" s="77" t="s">
        <v>387</v>
      </c>
      <c r="I19" s="28"/>
    </row>
    <row r="20" spans="1:12" ht="12.9" x14ac:dyDescent="0.2">
      <c r="A20" s="178" t="s">
        <v>361</v>
      </c>
      <c r="B20" s="237">
        <f>Pin/VIN_max</f>
        <v>3.742690058479532</v>
      </c>
      <c r="C20" t="s">
        <v>2</v>
      </c>
      <c r="D20" s="77"/>
      <c r="I20" s="28"/>
    </row>
    <row r="21" spans="1:12" ht="12.9" x14ac:dyDescent="0.2">
      <c r="A21" s="178"/>
      <c r="C21"/>
      <c r="D21" s="77"/>
      <c r="I21" s="28"/>
    </row>
    <row r="22" spans="1:12" ht="12.9" x14ac:dyDescent="0.2">
      <c r="A22" s="29" t="s">
        <v>7</v>
      </c>
      <c r="B22" s="186">
        <f>'Design Converter'!E11*1000</f>
        <v>398000</v>
      </c>
      <c r="C22" s="77" t="s">
        <v>10</v>
      </c>
      <c r="D22" s="77" t="s">
        <v>341</v>
      </c>
      <c r="I22" s="28">
        <v>1</v>
      </c>
    </row>
    <row r="23" spans="1:12" ht="12.9" x14ac:dyDescent="0.2">
      <c r="A23" s="178" t="s">
        <v>756</v>
      </c>
      <c r="B23" s="432">
        <f>1/Fsw</f>
        <v>2.5125628140703519E-6</v>
      </c>
      <c r="C23" s="77" t="s">
        <v>715</v>
      </c>
      <c r="D23" s="77" t="s">
        <v>755</v>
      </c>
      <c r="I23" s="28"/>
    </row>
    <row r="24" spans="1:12" ht="12.9" x14ac:dyDescent="0.2">
      <c r="A24" s="29" t="s">
        <v>44</v>
      </c>
      <c r="B24" s="30">
        <v>1</v>
      </c>
      <c r="C24" t="s">
        <v>0</v>
      </c>
      <c r="D24" t="s">
        <v>45</v>
      </c>
      <c r="I24" s="28"/>
    </row>
    <row r="25" spans="1:12" ht="12.9" x14ac:dyDescent="0.2">
      <c r="A25" s="178" t="s">
        <v>847</v>
      </c>
      <c r="B25" s="238">
        <f>Vref</f>
        <v>1</v>
      </c>
      <c r="C25" t="s">
        <v>0</v>
      </c>
      <c r="D25" t="s">
        <v>848</v>
      </c>
      <c r="I25" s="28"/>
    </row>
    <row r="26" spans="1:12" x14ac:dyDescent="0.25">
      <c r="A26" s="178" t="s">
        <v>325</v>
      </c>
      <c r="B26" s="238">
        <f>(1/Fsw -0.00000002)*30300000000</f>
        <v>75524.653266331661</v>
      </c>
      <c r="C26" s="180" t="s">
        <v>118</v>
      </c>
      <c r="D26" t="s">
        <v>388</v>
      </c>
      <c r="F26" s="451" t="s">
        <v>828</v>
      </c>
      <c r="I26" s="28"/>
    </row>
    <row r="27" spans="1:12" ht="12.6" customHeight="1" x14ac:dyDescent="0.25">
      <c r="A27" s="178" t="s">
        <v>881</v>
      </c>
      <c r="B27" s="499">
        <v>5.9999999999999995E-8</v>
      </c>
      <c r="C27" s="180" t="s">
        <v>2</v>
      </c>
      <c r="F27" s="451"/>
      <c r="I27" s="28"/>
    </row>
    <row r="28" spans="1:12" ht="12.6" customHeight="1" x14ac:dyDescent="0.25">
      <c r="A28" s="77"/>
      <c r="B28" s="499"/>
      <c r="C28" s="180"/>
      <c r="F28" s="451"/>
      <c r="I28" s="28"/>
    </row>
    <row r="29" spans="1:12" ht="12.6" customHeight="1" x14ac:dyDescent="0.25">
      <c r="A29" s="77" t="s">
        <v>932</v>
      </c>
      <c r="B29" s="519" t="str">
        <f>CHOOSE(C29,L29,L30)</f>
        <v>LM51770</v>
      </c>
      <c r="C29" s="180">
        <v>1</v>
      </c>
      <c r="F29" s="451"/>
      <c r="I29" s="28"/>
      <c r="K29" s="77" t="s">
        <v>932</v>
      </c>
      <c r="L29" s="77" t="s">
        <v>1029</v>
      </c>
    </row>
    <row r="30" spans="1:12" ht="12.6" customHeight="1" x14ac:dyDescent="0.25">
      <c r="A30" s="77" t="s">
        <v>794</v>
      </c>
      <c r="B30" s="30">
        <v>1</v>
      </c>
      <c r="C30" s="180"/>
      <c r="D30" t="s">
        <v>923</v>
      </c>
      <c r="F30" s="451"/>
      <c r="I30" s="28"/>
      <c r="L30" s="77" t="s">
        <v>1140</v>
      </c>
    </row>
    <row r="31" spans="1:12" x14ac:dyDescent="0.25">
      <c r="A31" s="77"/>
      <c r="B31" s="30"/>
      <c r="I31" s="28"/>
    </row>
    <row r="32" spans="1:12" x14ac:dyDescent="0.25">
      <c r="A32" s="77"/>
      <c r="B32" s="485"/>
      <c r="C32" s="77"/>
      <c r="D32" s="77"/>
      <c r="E32" s="2"/>
      <c r="I32" s="28"/>
    </row>
    <row r="33" spans="1:9" x14ac:dyDescent="0.25">
      <c r="A33" s="77"/>
      <c r="B33" s="486"/>
      <c r="C33" s="77"/>
      <c r="D33" s="77"/>
      <c r="E33" s="2"/>
      <c r="I33" s="28"/>
    </row>
    <row r="34" spans="1:9" x14ac:dyDescent="0.25">
      <c r="A34" s="77"/>
      <c r="B34" s="486"/>
      <c r="C34" s="77"/>
      <c r="E34" s="2"/>
      <c r="I34" s="28"/>
    </row>
    <row r="35" spans="1:9" ht="12.9" x14ac:dyDescent="0.2">
      <c r="A35" s="77"/>
      <c r="B35" s="433"/>
      <c r="C35" s="77"/>
      <c r="E35" s="77"/>
      <c r="I35" s="28"/>
    </row>
    <row r="36" spans="1:9" x14ac:dyDescent="0.25">
      <c r="A36" s="77"/>
      <c r="B36" s="479"/>
      <c r="C36"/>
      <c r="E36" s="77"/>
      <c r="I36" s="28"/>
    </row>
    <row r="37" spans="1:9" x14ac:dyDescent="0.25">
      <c r="A37" s="77"/>
      <c r="B37" s="479"/>
      <c r="C37"/>
      <c r="E37" s="77"/>
      <c r="I37" s="28"/>
    </row>
    <row r="38" spans="1:9" x14ac:dyDescent="0.25">
      <c r="A38" s="77"/>
      <c r="B38" s="480"/>
      <c r="C38"/>
      <c r="E38" s="77"/>
      <c r="I38" s="28"/>
    </row>
    <row r="39" spans="1:9" x14ac:dyDescent="0.25">
      <c r="A39" s="178"/>
      <c r="B39" s="481"/>
      <c r="C39" s="180"/>
      <c r="I39" s="28"/>
    </row>
    <row r="40" spans="1:9" x14ac:dyDescent="0.25">
      <c r="A40" s="77"/>
      <c r="B40" s="480"/>
      <c r="C40"/>
      <c r="I40" s="28"/>
    </row>
    <row r="41" spans="1:9" x14ac:dyDescent="0.25">
      <c r="A41" s="77"/>
      <c r="B41" s="480"/>
      <c r="C41"/>
      <c r="I41" s="28"/>
    </row>
    <row r="42" spans="1:9" x14ac:dyDescent="0.25">
      <c r="A42" s="77"/>
      <c r="B42" s="480"/>
      <c r="C42"/>
      <c r="I42" s="28"/>
    </row>
    <row r="43" spans="1:9" x14ac:dyDescent="0.25">
      <c r="B43" s="482"/>
      <c r="I43" s="28"/>
    </row>
    <row r="44" spans="1:9" x14ac:dyDescent="0.25">
      <c r="A44" s="77" t="s">
        <v>758</v>
      </c>
      <c r="B44" s="483">
        <f>IF($B$30=0,Vout,Timings!F5)</f>
        <v>11.129272516082148</v>
      </c>
      <c r="C44" s="77" t="s">
        <v>0</v>
      </c>
      <c r="I44" s="28"/>
    </row>
    <row r="45" spans="1:9" x14ac:dyDescent="0.25">
      <c r="A45" s="77" t="s">
        <v>757</v>
      </c>
      <c r="B45" s="483">
        <f>IF($B$30=0,Vout,Timings!F4)</f>
        <v>14.202821479064285</v>
      </c>
      <c r="C45" s="77" t="s">
        <v>0</v>
      </c>
      <c r="I45" s="28"/>
    </row>
    <row r="46" spans="1:9" x14ac:dyDescent="0.25">
      <c r="A46" s="77" t="s">
        <v>760</v>
      </c>
      <c r="B46" s="484">
        <f>IF($B$30=0,Vout,Timings!F2)</f>
        <v>18.024587605875187</v>
      </c>
      <c r="C46" s="77" t="s">
        <v>0</v>
      </c>
      <c r="I46" s="28"/>
    </row>
    <row r="47" spans="1:9" x14ac:dyDescent="0.25">
      <c r="A47" s="77" t="s">
        <v>759</v>
      </c>
      <c r="B47" s="484">
        <f>IF($B$30=0,Vout,Timings!F3)</f>
        <v>23.002401965633599</v>
      </c>
      <c r="C47" s="77" t="s">
        <v>0</v>
      </c>
      <c r="I47" s="28"/>
    </row>
    <row r="48" spans="1:9" thickBot="1" x14ac:dyDescent="0.25">
      <c r="A48" s="31"/>
      <c r="B48" s="435"/>
      <c r="C48" s="32"/>
      <c r="D48" s="32"/>
      <c r="E48" s="32"/>
      <c r="F48" s="32"/>
      <c r="G48" s="32"/>
      <c r="H48" s="32"/>
      <c r="I48" s="33"/>
    </row>
    <row r="51" spans="1:18" ht="16.3" thickBot="1" x14ac:dyDescent="0.3">
      <c r="A51" s="429" t="s">
        <v>275</v>
      </c>
      <c r="B51" s="2"/>
    </row>
    <row r="52" spans="1:18" x14ac:dyDescent="0.25">
      <c r="A52" s="177" t="s">
        <v>15</v>
      </c>
      <c r="B52" s="219">
        <f>Vout/VIN_nom</f>
        <v>1.3333333333333333</v>
      </c>
      <c r="C52" s="234">
        <f>(Vout-VIN_nom)/Vout</f>
        <v>0.25</v>
      </c>
      <c r="D52" s="223"/>
      <c r="E52" s="80" t="s">
        <v>351</v>
      </c>
      <c r="F52" s="34"/>
      <c r="G52" s="34"/>
      <c r="H52" s="34"/>
      <c r="I52" s="35">
        <v>1</v>
      </c>
    </row>
    <row r="53" spans="1:18" ht="12.9" x14ac:dyDescent="0.2">
      <c r="A53" s="178" t="s">
        <v>16</v>
      </c>
      <c r="B53" s="220">
        <f>1-_Don1</f>
        <v>-0.33333333333333326</v>
      </c>
      <c r="C53"/>
      <c r="E53" s="77" t="s">
        <v>352</v>
      </c>
      <c r="I53" s="28">
        <v>1</v>
      </c>
    </row>
    <row r="54" spans="1:18" ht="12.9" x14ac:dyDescent="0.2">
      <c r="A54" s="77"/>
      <c r="C54"/>
      <c r="E54" s="77"/>
      <c r="I54" s="28"/>
    </row>
    <row r="55" spans="1:18" ht="12.9" x14ac:dyDescent="0.2">
      <c r="A55" s="178" t="s">
        <v>353</v>
      </c>
      <c r="B55" s="232">
        <f>IF(VIN_min&gt;Vout, Vout/VIN_min, (Vout-VIN_min)/Vout)</f>
        <v>0.625</v>
      </c>
      <c r="C55" t="str">
        <f>IF(VIN_min&gt;Vout, "BUCK", "BOOST")</f>
        <v>BOOST</v>
      </c>
      <c r="E55" s="77"/>
      <c r="I55" s="28"/>
    </row>
    <row r="56" spans="1:18" ht="12.9" x14ac:dyDescent="0.2">
      <c r="A56" s="178" t="s">
        <v>371</v>
      </c>
      <c r="B56" s="232">
        <f>IF(VIN_nom&gt;Vout, Vout/VIN_nom, (Vout-VIN_nom)/Vout)</f>
        <v>0.25</v>
      </c>
      <c r="C56" t="str">
        <f>IF(VIN_nom&gt;Vout, "BUCK", "BOOST")</f>
        <v>BOOST</v>
      </c>
      <c r="I56" s="28"/>
    </row>
    <row r="57" spans="1:18" ht="12.9" x14ac:dyDescent="0.2">
      <c r="A57" s="178" t="s">
        <v>354</v>
      </c>
      <c r="B57" s="232">
        <f>IF(VIN_max&gt;Vout, Vout/VIN_max, (Vout-VIN_max)/Vout)</f>
        <v>0.44444444444444442</v>
      </c>
      <c r="C57" t="str">
        <f>IF(VIN_max&gt;Vout, "BUCK", "BOOST")</f>
        <v>BUCK</v>
      </c>
      <c r="E57" s="77"/>
      <c r="I57" s="28"/>
    </row>
    <row r="58" spans="1:18" ht="12.9" x14ac:dyDescent="0.2">
      <c r="A58" s="77" t="s">
        <v>722</v>
      </c>
      <c r="B58" s="232">
        <f>B37</f>
        <v>0</v>
      </c>
      <c r="C58" s="77" t="s">
        <v>721</v>
      </c>
      <c r="E58" s="77"/>
      <c r="I58" s="28"/>
    </row>
    <row r="59" spans="1:18" x14ac:dyDescent="0.25">
      <c r="A59" s="77" t="s">
        <v>955</v>
      </c>
      <c r="B59" s="495">
        <f>Boost_CS_Threshold/(Iin_Vinmin*1.4)</f>
        <v>1.5904017857142861E-3</v>
      </c>
      <c r="C59" s="180" t="s">
        <v>118</v>
      </c>
      <c r="E59" s="77"/>
      <c r="I59" s="28"/>
    </row>
    <row r="60" spans="1:18" ht="12.9" x14ac:dyDescent="0.2">
      <c r="A60" s="77"/>
      <c r="B60" s="77" t="s">
        <v>719</v>
      </c>
      <c r="C60" s="77" t="s">
        <v>400</v>
      </c>
      <c r="E60" s="77"/>
      <c r="I60" s="28"/>
    </row>
    <row r="61" spans="1:18" ht="12.9" x14ac:dyDescent="0.2">
      <c r="A61" s="178" t="s">
        <v>355</v>
      </c>
      <c r="B61" s="222">
        <f>(VIN_min-Vout)*Don_Vinmin/(Fsw*Iout*0.3)</f>
        <v>-6.5431323283082078E-6</v>
      </c>
      <c r="C61" s="222">
        <f>VIN_min/(Iin_Vinmin*0.3*Fsw)*(1-VIN_min/Vout)</f>
        <v>1.3985945351758796E-6</v>
      </c>
      <c r="D61" s="77" t="s">
        <v>20</v>
      </c>
      <c r="E61" s="77" t="s">
        <v>726</v>
      </c>
      <c r="I61" s="28"/>
    </row>
    <row r="62" spans="1:18" ht="12.9" x14ac:dyDescent="0.2">
      <c r="A62" s="178" t="s">
        <v>369</v>
      </c>
      <c r="B62" s="222">
        <f>(VIN_nom-Vout)*Don_Vinnom/(Fsw*Iout*0.4)</f>
        <v>-7.8517587939698494E-7</v>
      </c>
      <c r="C62" s="222">
        <f>VIN_nom/(Iin_Vinnom*0.4*Fsw)*(1-VIN_nom/Vout)</f>
        <v>1.6783134422110553E-6</v>
      </c>
      <c r="D62" t="s">
        <v>20</v>
      </c>
      <c r="E62" s="77" t="s">
        <v>727</v>
      </c>
      <c r="I62" s="28">
        <v>1</v>
      </c>
    </row>
    <row r="63" spans="1:18" ht="12.9" x14ac:dyDescent="0.2">
      <c r="A63" s="178" t="s">
        <v>356</v>
      </c>
      <c r="B63" s="222">
        <f>(VIN_max-Vout)*Don_Vinmax/(Fsw*Iout*0.6)</f>
        <v>4.6528941001302814E-6</v>
      </c>
      <c r="C63" s="222">
        <f>VIN_max/(Iin_Vinmax*0.6*Fsw)*(1-VIN_max/Vout)</f>
        <v>-5.0349403266331666E-5</v>
      </c>
      <c r="D63" s="77" t="s">
        <v>20</v>
      </c>
      <c r="E63" s="77" t="s">
        <v>880</v>
      </c>
      <c r="I63" s="28"/>
      <c r="K63" s="77" t="s">
        <v>879</v>
      </c>
      <c r="R63" s="77" t="s">
        <v>1029</v>
      </c>
    </row>
    <row r="64" spans="1:18" ht="12.9" x14ac:dyDescent="0.2">
      <c r="A64" s="77"/>
      <c r="C64"/>
      <c r="I64" s="28"/>
      <c r="K64" s="77" t="s">
        <v>876</v>
      </c>
      <c r="L64" s="487">
        <f>Rs/8000</f>
        <v>1.6249999999999998E-7</v>
      </c>
      <c r="M64" s="77" t="s">
        <v>20</v>
      </c>
      <c r="N64" s="77" t="s">
        <v>936</v>
      </c>
      <c r="O64" s="487">
        <f>Rs/100</f>
        <v>1.2999999999999999E-5</v>
      </c>
      <c r="P64" s="77" t="s">
        <v>20</v>
      </c>
    </row>
    <row r="65" spans="1:16" ht="14.95" x14ac:dyDescent="0.25">
      <c r="A65" s="77" t="s">
        <v>366</v>
      </c>
      <c r="B65" s="221">
        <f>MAX(IF(VIN_min&gt;Vout,B61,C61),O65)</f>
        <v>1.3985945351758796E-6</v>
      </c>
      <c r="C65" s="77" t="s">
        <v>20</v>
      </c>
      <c r="D65" t="str">
        <f>IF(VIN_min&gt;Vout, "BUCK", "BOOST")</f>
        <v>BOOST</v>
      </c>
      <c r="E65" s="77" t="s">
        <v>726</v>
      </c>
      <c r="I65" s="28"/>
      <c r="K65" t="s">
        <v>872</v>
      </c>
      <c r="L65" s="538">
        <f>(VIN_max-Vout)*Vout/(0.4*Iout*Fsw*VIN_max)</f>
        <v>6.9793411501954213E-6</v>
      </c>
      <c r="M65" s="77" t="s">
        <v>20</v>
      </c>
      <c r="N65" t="s">
        <v>873</v>
      </c>
      <c r="O65" s="538">
        <f>MAX(10*Vout*Rs/Fsw,Labsmin)</f>
        <v>5.226130653266331E-7</v>
      </c>
      <c r="P65" s="77" t="s">
        <v>20</v>
      </c>
    </row>
    <row r="66" spans="1:16" ht="14.95" x14ac:dyDescent="0.25">
      <c r="A66" s="77" t="s">
        <v>367</v>
      </c>
      <c r="B66" s="221">
        <f>IF(VIN_nom&gt;Vout, B62,C62)</f>
        <v>1.6783134422110553E-6</v>
      </c>
      <c r="C66" t="s">
        <v>20</v>
      </c>
      <c r="D66" t="str">
        <f>IF(VIN_nom&gt;Vout, "BUCK", "BOOST")</f>
        <v>BOOST</v>
      </c>
      <c r="E66" s="77" t="s">
        <v>727</v>
      </c>
      <c r="I66" s="28"/>
      <c r="K66" t="s">
        <v>874</v>
      </c>
      <c r="L66" s="538">
        <f>(Vout-VIN_min)*VIN_min^2/(0.3*Iout*Fsw*Vout^2)</f>
        <v>1.4722047738693467E-6</v>
      </c>
      <c r="M66" s="77" t="s">
        <v>20</v>
      </c>
      <c r="N66" t="s">
        <v>875</v>
      </c>
      <c r="O66" s="538">
        <f>MIN(Rs*35*Vout/(Fsw*1),Labsmax)</f>
        <v>1.8291457286432161E-6</v>
      </c>
      <c r="P66" s="77" t="s">
        <v>20</v>
      </c>
    </row>
    <row r="67" spans="1:16" ht="12.9" x14ac:dyDescent="0.2">
      <c r="A67" s="77" t="s">
        <v>368</v>
      </c>
      <c r="B67" s="221">
        <f>MIN(IF(VIN_max&gt;Vout,B63,C63),O66)</f>
        <v>1.8291457286432161E-6</v>
      </c>
      <c r="C67" s="77" t="s">
        <v>20</v>
      </c>
      <c r="D67" t="str">
        <f>IF(VIN_max&gt;Vout, "BUCK", "BOOST")</f>
        <v>BUCK</v>
      </c>
      <c r="E67" s="77" t="s">
        <v>880</v>
      </c>
      <c r="I67" s="28"/>
      <c r="N67" s="77"/>
    </row>
    <row r="68" spans="1:16" ht="12.9" x14ac:dyDescent="0.2">
      <c r="A68" s="77"/>
      <c r="B68" s="221"/>
      <c r="C68" s="77"/>
      <c r="E68" s="77"/>
      <c r="I68" s="28"/>
      <c r="N68" s="77"/>
    </row>
    <row r="69" spans="1:16" ht="12.9" x14ac:dyDescent="0.2">
      <c r="A69" s="77"/>
      <c r="B69" s="221"/>
      <c r="C69" s="77"/>
      <c r="E69" s="77"/>
      <c r="I69" s="28"/>
      <c r="N69" s="77"/>
    </row>
    <row r="70" spans="1:16" ht="12.9" x14ac:dyDescent="0.2">
      <c r="A70" s="77"/>
      <c r="C70" s="77"/>
      <c r="E70" s="77"/>
      <c r="I70" s="28"/>
      <c r="K70" s="77" t="s">
        <v>877</v>
      </c>
      <c r="L70" s="4">
        <f>(MAX(MIN(AVERAGE(L65:L66),O66),O65))</f>
        <v>1.8291457286432161E-6</v>
      </c>
      <c r="N70" s="77"/>
    </row>
    <row r="71" spans="1:16" ht="12.9" x14ac:dyDescent="0.2">
      <c r="A71" s="178" t="s">
        <v>370</v>
      </c>
      <c r="B71" s="495">
        <f>VIN_min^2*(Vout-VIN_min)/(0.2*Iout*Fsw*Vout^2)</f>
        <v>2.20830716080402E-6</v>
      </c>
      <c r="C71" t="s">
        <v>20</v>
      </c>
      <c r="D71" s="77" t="s">
        <v>962</v>
      </c>
      <c r="E71" s="77"/>
      <c r="I71" s="28"/>
      <c r="K71" s="77" t="s">
        <v>878</v>
      </c>
      <c r="L71" s="4">
        <f>(MAX(MIN(MIN(L65:L66),O66),O65))</f>
        <v>1.4722047738693467E-6</v>
      </c>
    </row>
    <row r="72" spans="1:16" ht="12.9" x14ac:dyDescent="0.2">
      <c r="A72" s="178" t="s">
        <v>873</v>
      </c>
      <c r="B72" s="495">
        <f>O65</f>
        <v>5.226130653266331E-7</v>
      </c>
      <c r="C72" t="s">
        <v>20</v>
      </c>
      <c r="D72" s="77"/>
      <c r="E72" s="77"/>
      <c r="I72" s="28"/>
      <c r="K72" s="77"/>
      <c r="L72" s="4"/>
    </row>
    <row r="73" spans="1:16" ht="12.9" x14ac:dyDescent="0.2">
      <c r="A73" s="178" t="s">
        <v>875</v>
      </c>
      <c r="B73" s="495">
        <f>O66</f>
        <v>1.8291457286432161E-6</v>
      </c>
      <c r="C73" t="s">
        <v>20</v>
      </c>
      <c r="D73" s="77"/>
      <c r="E73" s="77"/>
      <c r="I73" s="28"/>
      <c r="K73" s="77" t="s">
        <v>961</v>
      </c>
      <c r="L73" s="487">
        <f>VIN_min*(Vout-VIN_min)/(0.15*Fsw*Vout)*Rs/0.05</f>
        <v>1.6331658291457285E-6</v>
      </c>
      <c r="M73" s="77" t="s">
        <v>20</v>
      </c>
    </row>
    <row r="74" spans="1:16" ht="12.9" x14ac:dyDescent="0.2">
      <c r="A74" s="178" t="s">
        <v>946</v>
      </c>
      <c r="B74" s="487">
        <f>MAX(MIN(B71,B73),B72)</f>
        <v>1.8291457286432161E-6</v>
      </c>
      <c r="C74" t="s">
        <v>20</v>
      </c>
      <c r="E74" s="77"/>
      <c r="I74" s="28"/>
    </row>
    <row r="75" spans="1:16" ht="12.9" x14ac:dyDescent="0.2">
      <c r="A75" s="178" t="s">
        <v>357</v>
      </c>
      <c r="B75" s="43">
        <f>'Design Converter'!E16/1000000</f>
        <v>1.8000000000000001E-6</v>
      </c>
      <c r="C75" t="s">
        <v>20</v>
      </c>
      <c r="E75" s="77" t="s">
        <v>728</v>
      </c>
      <c r="I75" s="28">
        <v>2</v>
      </c>
      <c r="K75" s="11"/>
    </row>
    <row r="76" spans="1:16" x14ac:dyDescent="0.25">
      <c r="A76" s="178" t="s">
        <v>12</v>
      </c>
      <c r="B76" s="10">
        <f>'Design Converter'!E17/1000</f>
        <v>3.2000000000000002E-3</v>
      </c>
      <c r="C76" s="180" t="s">
        <v>118</v>
      </c>
      <c r="E76" s="77" t="s">
        <v>729</v>
      </c>
      <c r="I76" s="28">
        <v>1</v>
      </c>
      <c r="K76" s="11"/>
    </row>
    <row r="77" spans="1:16" ht="12.9" x14ac:dyDescent="0.2">
      <c r="A77" s="178"/>
      <c r="B77" s="77"/>
      <c r="C77" s="77"/>
      <c r="D77" s="77"/>
      <c r="E77" s="77"/>
      <c r="I77" s="28"/>
    </row>
    <row r="78" spans="1:16" ht="12.9" x14ac:dyDescent="0.2">
      <c r="A78" s="178" t="s">
        <v>17</v>
      </c>
      <c r="B78" s="232">
        <f>(Vout+Iout*(Rdcr+Rs))/(Vin+Iout*Rs)</f>
        <v>1.3351761806434423</v>
      </c>
      <c r="C78"/>
      <c r="I78" s="28">
        <v>2</v>
      </c>
    </row>
    <row r="79" spans="1:16" ht="12.9" x14ac:dyDescent="0.2">
      <c r="A79" s="178" t="s">
        <v>18</v>
      </c>
      <c r="B79" s="232">
        <f>1-_Don2</f>
        <v>-0.33517618064344235</v>
      </c>
      <c r="C79"/>
      <c r="I79" s="28">
        <v>2</v>
      </c>
    </row>
    <row r="80" spans="1:16" ht="12.9" x14ac:dyDescent="0.2">
      <c r="A80" s="178"/>
      <c r="C80"/>
      <c r="I80" s="28"/>
    </row>
    <row r="81" spans="1:18" ht="12.9" x14ac:dyDescent="0.2">
      <c r="A81" s="178" t="s">
        <v>372</v>
      </c>
      <c r="B81" s="232">
        <f>IF(VIN_min&gt;Vout, (Vout+Iout*(Rdcr+Rs))/(VIN_min+Iout*Rs), (Vout-VIN_min+Iin_Vinmin*(Rdcr))/(Vout-Iin_Vinmin*Rs))</f>
        <v>0.63064187289088858</v>
      </c>
      <c r="C81" t="str">
        <f>IF(VIN_min&gt;Vout, "BUCK", "BOOST")</f>
        <v>BOOST</v>
      </c>
      <c r="E81" s="77" t="s">
        <v>504</v>
      </c>
      <c r="I81" s="28">
        <v>2</v>
      </c>
      <c r="J81" s="77" t="s">
        <v>823</v>
      </c>
      <c r="L81" s="450">
        <f>(1-VIN_min*90%/Vout)</f>
        <v>0.66249999999999998</v>
      </c>
    </row>
    <row r="82" spans="1:18" ht="17" x14ac:dyDescent="0.35">
      <c r="A82" s="178" t="s">
        <v>373</v>
      </c>
      <c r="B82" s="232">
        <f>IF(VIN_nom&gt;Vout, (Vout+Iout*(Rdcr+Rs))/(VIN_nom+Iout*Rs), (Vout-VIN_nom+Iin_Vinnom*(Rdcr))/(Vout-Iin_Vinnom*Rs))</f>
        <v>0.2524759429655124</v>
      </c>
      <c r="C82" t="str">
        <f>IF(VIN_nom&gt;Vout, "BUCK", "BOOST")</f>
        <v>BOOST</v>
      </c>
      <c r="E82" s="310" t="s">
        <v>534</v>
      </c>
      <c r="I82" s="28"/>
      <c r="R82" s="77"/>
    </row>
    <row r="83" spans="1:18" ht="12.9" x14ac:dyDescent="0.2">
      <c r="A83" s="178" t="s">
        <v>374</v>
      </c>
      <c r="B83" s="232">
        <f>IF(VIN_max&gt;Vout, (Vout+Iout*(Rdcr+Rs))/(VIN_max+Iout*Rs), (Vout-VIN_max+Iin_Vinmax*(Rdcr))/(Vout-Iin_Vinmax*Rs))</f>
        <v>0.4453157976584543</v>
      </c>
      <c r="C83" t="str">
        <f>IF(VIN_max&gt;Vout, "BUCK", "BOOST")</f>
        <v>BUCK</v>
      </c>
      <c r="I83" s="28"/>
    </row>
    <row r="84" spans="1:18" ht="12.9" x14ac:dyDescent="0.2">
      <c r="A84" s="178"/>
      <c r="C84"/>
      <c r="I84" s="28"/>
    </row>
    <row r="85" spans="1:18" ht="12.9" x14ac:dyDescent="0.2">
      <c r="A85" s="178" t="s">
        <v>22</v>
      </c>
      <c r="B85" s="350">
        <f>'Design Converter'!E41/1000</f>
        <v>0.15</v>
      </c>
      <c r="C85" t="s">
        <v>0</v>
      </c>
      <c r="E85" s="77" t="s">
        <v>543</v>
      </c>
      <c r="I85" s="28">
        <v>1</v>
      </c>
    </row>
    <row r="86" spans="1:18" ht="12.9" x14ac:dyDescent="0.2">
      <c r="A86" s="178"/>
      <c r="C86"/>
      <c r="I86" s="28"/>
    </row>
    <row r="87" spans="1:18" ht="12.9" x14ac:dyDescent="0.2">
      <c r="A87" s="178" t="s">
        <v>363</v>
      </c>
      <c r="B87" s="425">
        <f>IF(VIN_min&gt;Vout, (VIN_min-Vout)*Don_Vinmin_2/(Fsw*Lf),VIN_min*Don_Vinmin_2/(Lf*Fsw))</f>
        <v>5.2817577294044264</v>
      </c>
      <c r="C87" s="425">
        <f>(VIN_min-Vout)*Don_Vinmin_2/(Fsw*Lf)</f>
        <v>-8.8029295490073789</v>
      </c>
      <c r="D87" s="77" t="s">
        <v>2</v>
      </c>
      <c r="E87" t="str">
        <f>IF(VIN_min&gt;Vout, "BUCK", "BOOST")</f>
        <v>BOOST</v>
      </c>
      <c r="G87" s="11"/>
      <c r="H87">
        <f>VIN_min*Don_Vinmin_2/(Lopt*Fsw)</f>
        <v>4.3051818522684657</v>
      </c>
      <c r="I87" s="28"/>
    </row>
    <row r="88" spans="1:18" ht="12.9" x14ac:dyDescent="0.2">
      <c r="A88" s="178" t="s">
        <v>364</v>
      </c>
      <c r="B88" s="425">
        <f>IF(VIN_nom&gt;Vout, (VIN_nom-Vout)*Don_Vinnom_2/(Fsw*Lf),VIN_nom*Don_Vinnom_2/(Lf*Fsw))</f>
        <v>4.2290777716166232</v>
      </c>
      <c r="C88" s="425">
        <f>(VIN_nom-Vout)*Don_Vinnom_2/(Fsw*Lf)</f>
        <v>-1.4096925905388744</v>
      </c>
      <c r="D88" s="77" t="s">
        <v>2</v>
      </c>
      <c r="E88" t="str">
        <f>IF(VIN_nom&gt;Vout, "BUCK", "BOOST")</f>
        <v>BOOST</v>
      </c>
      <c r="I88" s="28"/>
    </row>
    <row r="89" spans="1:18" ht="12.9" x14ac:dyDescent="0.2">
      <c r="A89" s="178" t="s">
        <v>365</v>
      </c>
      <c r="B89" s="425">
        <f>IF(VIN_max&gt;Vout, (VIN_max-Vout)*Don_Vinmax_2/(Fsw*Lf),VIN_max*Don_Vinmax_2/(Lf*Fsw))</f>
        <v>12.432043485718992</v>
      </c>
      <c r="C89" s="425">
        <f>(VIN_max-Vout)*Don_Vinmax_2/(Fsw*Lf)</f>
        <v>12.432043485718992</v>
      </c>
      <c r="D89" s="77" t="s">
        <v>2</v>
      </c>
      <c r="E89" t="str">
        <f>IF(VIN_max&gt;Vout, "BUCK", "BOOST")</f>
        <v>BUCK</v>
      </c>
      <c r="I89" s="28"/>
    </row>
    <row r="90" spans="1:18" ht="12.9" x14ac:dyDescent="0.2">
      <c r="A90" s="178" t="s">
        <v>724</v>
      </c>
      <c r="B90" s="425">
        <f>VIN_edgebuckboost*Don_buckboost/(Lf*Fsw)</f>
        <v>0</v>
      </c>
      <c r="C90" s="382"/>
      <c r="D90" s="77" t="s">
        <v>2</v>
      </c>
      <c r="E90" s="77" t="s">
        <v>740</v>
      </c>
      <c r="I90" s="28"/>
    </row>
    <row r="91" spans="1:18" ht="12.9" x14ac:dyDescent="0.2">
      <c r="A91" s="178"/>
      <c r="B91" s="77"/>
      <c r="C91" s="77"/>
      <c r="D91" s="77"/>
      <c r="I91" s="28"/>
    </row>
    <row r="92" spans="1:18" ht="12.9" x14ac:dyDescent="0.2">
      <c r="A92" s="178" t="s">
        <v>761</v>
      </c>
      <c r="B92" s="454">
        <f>IF(VIN_min&gt;Vout, SQRT(1-Don_Vinmin_2)*SQRT(Iout^2+(Iripple_Vinmin^2)/12), SQRT(Don_Vinmin_2)*SQRT(Iin_Vinmin^2+(Iripple_Vinmin^2)/12))</f>
        <v>17.874144909046731</v>
      </c>
      <c r="C92" s="77" t="s">
        <v>2</v>
      </c>
      <c r="E92" s="4">
        <f>SQRT(1-Don_Vinmin_2)*SQRT(Iout^2+(Iripple_Vinmin^2)/12)</f>
        <v>4.9495034452785971</v>
      </c>
      <c r="F92" s="293">
        <f>SQRT(Don_Vinmin_2)*SQRT(Iout^2+(Iripple_Vinmin^2)/12)</f>
        <v>6.4673922646240429</v>
      </c>
      <c r="I92" s="28"/>
    </row>
    <row r="93" spans="1:18" ht="12.9" x14ac:dyDescent="0.2">
      <c r="A93" s="178" t="s">
        <v>762</v>
      </c>
      <c r="B93" s="454">
        <f>IF(VIN_nom&gt;Vout, SQRT(1-Don_Vinnom_2)*SQRT(Iout^2+(Iripple_Vinnom^2)/12), SQRT(Don_Vinnom_2)*SQRT(Iin_Vinnom^2+(Iripple_Vinnom^2)/12))</f>
        <v>5.6750178359251073</v>
      </c>
      <c r="C93" s="77" t="s">
        <v>2</v>
      </c>
      <c r="E93" s="4">
        <f>SQRT(1-Don_Vinnom_2)*SQRT(Iout^2+(Iripple_Vinnom^2)/12)</f>
        <v>6.996832720457137</v>
      </c>
      <c r="F93" s="293">
        <f>SQRT(Don_Vinnom_2)*SQRT(Iout^2+(Iripple_Vinnom^2)/12)</f>
        <v>4.0662952157714178</v>
      </c>
      <c r="I93" s="28"/>
    </row>
    <row r="94" spans="1:18" ht="12.9" x14ac:dyDescent="0.2">
      <c r="A94" s="178" t="s">
        <v>763</v>
      </c>
      <c r="B94" s="454">
        <f>IF(VIN_max&gt;Vout, SQRT(1-Don_Vinmax_2)*SQRT(Iout^2+(Iripple_Vinmax^2)/12), SQRT(Don_Vinmax_2)*SQRT(Iin_Vinmax^2+(Iripple_Vinmax^2)/12))</f>
        <v>6.5302314626639433</v>
      </c>
      <c r="C94" s="77" t="s">
        <v>2</v>
      </c>
      <c r="E94" s="4">
        <f>SQRT(1-Don_Vinmax_2)*SQRT(Iout^2+(Iripple_Vinmax^2)/12)</f>
        <v>6.5302314626639433</v>
      </c>
      <c r="F94" s="293">
        <f>SQRT(Don_Vinmax_2)*SQRT(Iout^2+(Iripple_Vinmax^2)/12)</f>
        <v>5.8511297325047629</v>
      </c>
      <c r="I94" s="28"/>
    </row>
    <row r="95" spans="1:18" ht="12.9" x14ac:dyDescent="0.2">
      <c r="A95" s="178" t="s">
        <v>764</v>
      </c>
      <c r="B95" s="333">
        <f>MAX(B92,B94)^2*Rs</f>
        <v>0.41533057309848154</v>
      </c>
      <c r="C95" s="77" t="s">
        <v>118</v>
      </c>
      <c r="D95" s="77" t="str">
        <f>IF(B94&gt;B92, "BUCK", "BOOST")</f>
        <v>BOOST</v>
      </c>
      <c r="E95" s="77"/>
      <c r="I95" s="28"/>
    </row>
    <row r="96" spans="1:18" ht="12.9" x14ac:dyDescent="0.2">
      <c r="A96" s="178"/>
      <c r="B96" s="333">
        <f>(Buck_CS_threshold_max/Rs)^2*Rs*Don_Vinmin</f>
        <v>1.5895432692307692</v>
      </c>
      <c r="C96" s="77" t="s">
        <v>118</v>
      </c>
      <c r="D96" s="77"/>
      <c r="I96" s="28"/>
    </row>
    <row r="97" spans="1:16" ht="12.9" x14ac:dyDescent="0.2">
      <c r="A97" s="178" t="s">
        <v>384</v>
      </c>
      <c r="B97" s="233">
        <f>MAX(B87:B89)</f>
        <v>12.432043485718992</v>
      </c>
      <c r="C97" s="77" t="s">
        <v>2</v>
      </c>
      <c r="I97" s="28"/>
    </row>
    <row r="98" spans="1:16" ht="12.9" x14ac:dyDescent="0.2">
      <c r="A98" s="178"/>
      <c r="B98" s="77"/>
      <c r="C98" s="77"/>
      <c r="D98" s="77"/>
      <c r="F98" s="77" t="s">
        <v>184</v>
      </c>
      <c r="G98" s="225" t="s">
        <v>376</v>
      </c>
      <c r="I98" s="28"/>
    </row>
    <row r="99" spans="1:16" ht="12.9" x14ac:dyDescent="0.2">
      <c r="A99" s="178" t="s">
        <v>375</v>
      </c>
      <c r="B99" s="347">
        <f>IF(VIN_min&gt;Vout, B87/Iout, B87/Iin_Vinmin)</f>
        <v>0.23520327388754086</v>
      </c>
      <c r="C99" t="str">
        <f>IF(VIN_min&gt;Vout, "BUCK", "BOOST")</f>
        <v>BOOST</v>
      </c>
      <c r="F99" s="4">
        <f>B87</f>
        <v>5.2817577294044264</v>
      </c>
      <c r="G99" s="348">
        <f>Iin_Vinmin</f>
        <v>22.456140350877192</v>
      </c>
      <c r="I99" s="28"/>
    </row>
    <row r="100" spans="1:16" ht="12.9" x14ac:dyDescent="0.2">
      <c r="A100" s="178"/>
      <c r="B100" s="347">
        <f>IF(VIN_nom&gt;Vout, B88/Iout, B88/Iin_Vinnom)</f>
        <v>0.37665223903460554</v>
      </c>
      <c r="C100" t="str">
        <f>IF(VIN_nom&gt;Vout, "BUCK", "BOOST")</f>
        <v>BOOST</v>
      </c>
      <c r="F100" s="4">
        <f>B88</f>
        <v>4.2290777716166232</v>
      </c>
      <c r="G100" s="348">
        <f>Iin_Vinnom</f>
        <v>11.228070175438596</v>
      </c>
      <c r="I100" s="28"/>
    </row>
    <row r="101" spans="1:16" ht="12.9" x14ac:dyDescent="0.2">
      <c r="A101" s="178"/>
      <c r="B101" s="347">
        <f>IF(VIN_max&gt;Vout, B89/Iout, B89/Iin_Vinmax)</f>
        <v>1.554005435714874</v>
      </c>
      <c r="C101" t="str">
        <f>IF(VIN_max&gt;Vout, "BUCK", "BOOST")</f>
        <v>BUCK</v>
      </c>
      <c r="F101" s="4">
        <f>B89</f>
        <v>12.432043485718992</v>
      </c>
      <c r="G101" s="348">
        <f>Iin_Vinmax</f>
        <v>3.742690058479532</v>
      </c>
      <c r="I101" s="28"/>
    </row>
    <row r="102" spans="1:16" ht="12.9" x14ac:dyDescent="0.2">
      <c r="A102" s="178"/>
      <c r="C102"/>
      <c r="I102" s="28"/>
    </row>
    <row r="103" spans="1:16" ht="12.9" x14ac:dyDescent="0.2">
      <c r="A103" t="s">
        <v>264</v>
      </c>
      <c r="B103" s="244">
        <v>100</v>
      </c>
      <c r="C103"/>
      <c r="D103" s="77"/>
      <c r="I103" s="28"/>
    </row>
    <row r="104" spans="1:16" x14ac:dyDescent="0.25">
      <c r="A104" s="178" t="s">
        <v>263</v>
      </c>
      <c r="B104" s="324">
        <f>Rdcr*(1+0.0039*(B103-25))</f>
        <v>4.1359999999999999E-3</v>
      </c>
      <c r="C104" s="180" t="s">
        <v>118</v>
      </c>
      <c r="I104" s="28"/>
    </row>
    <row r="105" spans="1:16" thickBot="1" x14ac:dyDescent="0.25">
      <c r="A105" s="248"/>
      <c r="B105" s="249"/>
      <c r="C105" s="32"/>
      <c r="D105" s="32"/>
      <c r="E105" s="32"/>
      <c r="F105" s="32"/>
      <c r="G105" s="32"/>
      <c r="H105" s="32"/>
      <c r="I105" s="33"/>
    </row>
    <row r="106" spans="1:16" x14ac:dyDescent="0.25">
      <c r="A106" s="2"/>
      <c r="B106" s="1"/>
      <c r="C106" s="1"/>
    </row>
    <row r="107" spans="1:16" ht="16.3" thickBot="1" x14ac:dyDescent="0.3">
      <c r="A107" s="429" t="s">
        <v>483</v>
      </c>
      <c r="B107" s="1"/>
      <c r="C107" s="1"/>
    </row>
    <row r="108" spans="1:16" x14ac:dyDescent="0.25">
      <c r="A108" s="56"/>
      <c r="B108" s="34"/>
      <c r="C108" s="34"/>
      <c r="D108" s="34"/>
      <c r="E108" s="34"/>
      <c r="F108" s="34"/>
      <c r="G108" s="34"/>
      <c r="H108" s="34"/>
      <c r="I108" s="35"/>
    </row>
    <row r="109" spans="1:16" ht="12.9" x14ac:dyDescent="0.2">
      <c r="A109" s="178" t="s">
        <v>952</v>
      </c>
      <c r="B109" s="10">
        <f>'Design Converter'!E28</f>
        <v>20</v>
      </c>
      <c r="C109" s="77" t="s">
        <v>185</v>
      </c>
      <c r="E109" s="77" t="s">
        <v>660</v>
      </c>
      <c r="I109" s="28"/>
    </row>
    <row r="110" spans="1:16" ht="12.9" x14ac:dyDescent="0.2">
      <c r="A110" s="178"/>
      <c r="C110"/>
      <c r="I110" s="28"/>
    </row>
    <row r="111" spans="1:16" ht="12.9" x14ac:dyDescent="0.2">
      <c r="A111" s="178" t="s">
        <v>948</v>
      </c>
      <c r="B111" s="237">
        <f>IF(VIN_min&gt;Vout, Iout/Efficiency+Iripple_Vinmin/2, Iin_Vinmin+Iripple_Vinmin/2)</f>
        <v>25.097019215579405</v>
      </c>
      <c r="C111" t="s">
        <v>2</v>
      </c>
      <c r="D111" t="str">
        <f>IF(VIN_min&gt;Vout, "BUCK", "BOOST")</f>
        <v>BOOST</v>
      </c>
      <c r="E111" s="451"/>
      <c r="I111" s="28"/>
      <c r="P111" s="243"/>
    </row>
    <row r="112" spans="1:16" ht="12.9" x14ac:dyDescent="0.2">
      <c r="A112" s="178" t="s">
        <v>949</v>
      </c>
      <c r="B112" s="237">
        <f>IF(VIN_nom&gt;Vout, Iout/Efficiency+Iripple_Vinnom/2,Iin_Vinnom+Iripple_Vinnom/2)</f>
        <v>13.342609061246907</v>
      </c>
      <c r="C112" t="s">
        <v>2</v>
      </c>
      <c r="D112" t="str">
        <f>IF(VIN_nom&gt;Vout, "BUCK", "BOOST")</f>
        <v>BOOST</v>
      </c>
      <c r="E112" s="77"/>
      <c r="I112" s="28"/>
      <c r="P112" s="243"/>
    </row>
    <row r="113" spans="1:16" ht="12.9" x14ac:dyDescent="0.2">
      <c r="A113" s="178" t="s">
        <v>950</v>
      </c>
      <c r="B113" s="237">
        <f>IF(VIN_max&gt;Vout, Iout/Efficiency+Iripple_Vinmax/2,Iin_Vinmin+Iripple_Vinmax/2)</f>
        <v>14.637074374438443</v>
      </c>
      <c r="C113" t="s">
        <v>2</v>
      </c>
      <c r="D113" t="str">
        <f>IF(VIN_max&gt;Vout, "BUCK", "BOOST")</f>
        <v>BUCK</v>
      </c>
      <c r="E113" s="77"/>
      <c r="I113" s="28"/>
      <c r="P113" s="243"/>
    </row>
    <row r="114" spans="1:16" ht="12.9" x14ac:dyDescent="0.2">
      <c r="A114" s="178" t="s">
        <v>951</v>
      </c>
      <c r="B114" s="237">
        <f xml:space="preserve"> Iout/Efficiency+Iripple_edgebuckboost/2</f>
        <v>8.4210526315789469</v>
      </c>
      <c r="C114" s="77" t="s">
        <v>2</v>
      </c>
      <c r="D114" s="77" t="s">
        <v>730</v>
      </c>
      <c r="I114" s="28"/>
    </row>
    <row r="115" spans="1:16" ht="12.9" x14ac:dyDescent="0.2">
      <c r="A115" s="178" t="s">
        <v>958</v>
      </c>
      <c r="B115" s="237">
        <f>MAX(B111:B113)</f>
        <v>25.097019215579405</v>
      </c>
      <c r="C115" t="s">
        <v>2</v>
      </c>
      <c r="D115" s="77"/>
      <c r="I115" s="28"/>
    </row>
    <row r="116" spans="1:16" ht="12.9" x14ac:dyDescent="0.2">
      <c r="A116" s="178" t="s">
        <v>960</v>
      </c>
      <c r="B116" s="237">
        <f>Ipeak_inductor_max*(1+Ilimit_Margin/100)</f>
        <v>30.116423058695283</v>
      </c>
      <c r="C116" t="s">
        <v>2</v>
      </c>
      <c r="D116" s="77"/>
      <c r="I116" s="28"/>
    </row>
    <row r="117" spans="1:16" x14ac:dyDescent="0.25">
      <c r="I117" s="28"/>
      <c r="L117" s="77" t="s">
        <v>1029</v>
      </c>
      <c r="M117" s="77" t="s">
        <v>1140</v>
      </c>
    </row>
    <row r="118" spans="1:16" ht="12.9" x14ac:dyDescent="0.2">
      <c r="A118" s="178" t="s">
        <v>658</v>
      </c>
      <c r="B118" s="383">
        <f>DeviceParameter!B16</f>
        <v>4.2500000000000003E-2</v>
      </c>
      <c r="C118" s="77" t="s">
        <v>0</v>
      </c>
      <c r="I118" s="28"/>
      <c r="L118" s="721">
        <v>4.2500000000000003E-2</v>
      </c>
      <c r="M118" s="721">
        <v>6.5625000000000003E-2</v>
      </c>
    </row>
    <row r="119" spans="1:16" x14ac:dyDescent="0.25">
      <c r="A119" s="178" t="s">
        <v>382</v>
      </c>
      <c r="B119" s="383">
        <f>DeviceParameter!B17</f>
        <v>0.05</v>
      </c>
      <c r="C119" s="77" t="s">
        <v>0</v>
      </c>
      <c r="D119" s="2"/>
      <c r="E119" s="451" t="s">
        <v>832</v>
      </c>
      <c r="I119" s="28"/>
      <c r="L119" s="721">
        <v>0.05</v>
      </c>
      <c r="M119" s="721">
        <v>7.4999999999999997E-2</v>
      </c>
    </row>
    <row r="120" spans="1:16" ht="12.9" x14ac:dyDescent="0.2">
      <c r="A120" s="178" t="s">
        <v>662</v>
      </c>
      <c r="B120" s="383">
        <f>DeviceParameter!B18</f>
        <v>5.7500000000000002E-2</v>
      </c>
      <c r="C120" s="77" t="s">
        <v>0</v>
      </c>
      <c r="E120" s="77" t="s">
        <v>833</v>
      </c>
      <c r="I120" s="28"/>
      <c r="L120" s="721">
        <v>5.7500000000000002E-2</v>
      </c>
      <c r="M120" s="721">
        <v>8.4375000000000006E-2</v>
      </c>
    </row>
    <row r="121" spans="1:16" ht="12.9" x14ac:dyDescent="0.2">
      <c r="A121" s="178"/>
      <c r="B121" s="293"/>
      <c r="C121" s="77"/>
      <c r="I121" s="28"/>
      <c r="L121" s="243"/>
      <c r="M121" s="243"/>
    </row>
    <row r="122" spans="1:16" ht="12.9" x14ac:dyDescent="0.2">
      <c r="A122" s="178" t="s">
        <v>659</v>
      </c>
      <c r="B122" s="383">
        <f>DeviceParameter!B16</f>
        <v>4.2500000000000003E-2</v>
      </c>
      <c r="C122" s="77" t="s">
        <v>0</v>
      </c>
      <c r="I122" s="28"/>
      <c r="L122" s="721">
        <v>4.2500000000000003E-2</v>
      </c>
      <c r="M122" s="721">
        <v>6.5625000000000003E-2</v>
      </c>
    </row>
    <row r="123" spans="1:16" x14ac:dyDescent="0.25">
      <c r="A123" s="178" t="s">
        <v>383</v>
      </c>
      <c r="B123" s="383">
        <f>DeviceParameter!B17</f>
        <v>0.05</v>
      </c>
      <c r="C123" s="77" t="s">
        <v>0</v>
      </c>
      <c r="D123" s="2"/>
      <c r="E123" s="451" t="s">
        <v>832</v>
      </c>
      <c r="I123" s="28"/>
      <c r="L123" s="721">
        <v>0.05</v>
      </c>
      <c r="M123" s="721">
        <v>7.4999999999999997E-2</v>
      </c>
    </row>
    <row r="124" spans="1:16" ht="12.9" x14ac:dyDescent="0.2">
      <c r="A124" s="178" t="s">
        <v>663</v>
      </c>
      <c r="B124" s="383">
        <f>DeviceParameter!B18</f>
        <v>5.7500000000000002E-2</v>
      </c>
      <c r="C124" s="77" t="s">
        <v>0</v>
      </c>
      <c r="E124" s="77" t="s">
        <v>833</v>
      </c>
      <c r="I124" s="28"/>
      <c r="L124" s="721">
        <v>5.7500000000000002E-2</v>
      </c>
      <c r="M124" s="721">
        <v>8.4375000000000006E-2</v>
      </c>
    </row>
    <row r="125" spans="1:16" x14ac:dyDescent="0.25">
      <c r="I125" s="28"/>
    </row>
    <row r="126" spans="1:16" x14ac:dyDescent="0.25">
      <c r="A126" s="421" t="s">
        <v>736</v>
      </c>
      <c r="B126" s="77"/>
      <c r="C126" s="77"/>
      <c r="I126" s="28"/>
    </row>
    <row r="127" spans="1:16" x14ac:dyDescent="0.25">
      <c r="A127" s="178" t="s">
        <v>732</v>
      </c>
      <c r="B127" s="459">
        <f>IF(VIN_min&gt;Vout,Buck_CS_threshold/Ipeak_inductor_Vinmin, Boost_CS_Threshold/Ipeak_inductor_Vinmin)/(1+Ilimit_Margin/100)</f>
        <v>1.6602237225367932E-3</v>
      </c>
      <c r="C127" s="180" t="s">
        <v>118</v>
      </c>
      <c r="D127" t="str">
        <f>IF(VIN_min&gt;Vout, "BUCK", "BOOST")</f>
        <v>BOOST</v>
      </c>
      <c r="I127" s="28"/>
    </row>
    <row r="128" spans="1:16" x14ac:dyDescent="0.25">
      <c r="A128" s="178" t="s">
        <v>733</v>
      </c>
      <c r="B128" s="459">
        <f>IF(VIN_nom&gt;Vout,Buck_CS_threshold/Ipeak_inductor_Vinnom, Boost_CS_Threshold/Ipeak_inductor_Vinnom)/(1+Ilimit_Margin/100)</f>
        <v>3.1228275126253899E-3</v>
      </c>
      <c r="C128" s="180" t="s">
        <v>118</v>
      </c>
      <c r="D128" t="str">
        <f>IF(VIN_nom&gt;Vout, "BUCK", "BOOST")</f>
        <v>BOOST</v>
      </c>
      <c r="I128" s="28"/>
    </row>
    <row r="129" spans="1:9" x14ac:dyDescent="0.25">
      <c r="A129" s="178" t="s">
        <v>734</v>
      </c>
      <c r="B129" s="459">
        <f>IF(VIN_max&gt;Vout,Buck_CS_threshold/Ipeak_inductor_Vinmax, Boost_CS_Threshold/Ipeak_inductor_Vinmax)/(1+Ilimit_Margin/100)</f>
        <v>2.846652657544157E-3</v>
      </c>
      <c r="C129" s="180" t="s">
        <v>118</v>
      </c>
      <c r="D129" t="str">
        <f>IF(VIN_max&gt;Vout, "BUCK", "BOOST")</f>
        <v>BUCK</v>
      </c>
      <c r="I129" s="28"/>
    </row>
    <row r="130" spans="1:9" x14ac:dyDescent="0.25">
      <c r="A130" s="178" t="s">
        <v>737</v>
      </c>
      <c r="B130" s="459">
        <f>IF(VIN_min&lt;VIN_edgebuckboost,Buck_CS_threshold/Ipeak_inductor_buckboost, 10)/(1+Ilimit_Margin/100)</f>
        <v>4.9479166666666673E-3</v>
      </c>
      <c r="C130" s="180" t="s">
        <v>118</v>
      </c>
      <c r="D130" s="77" t="s">
        <v>738</v>
      </c>
      <c r="I130" s="28"/>
    </row>
    <row r="131" spans="1:9" x14ac:dyDescent="0.25">
      <c r="A131" s="540"/>
      <c r="B131" s="459"/>
      <c r="C131" s="180"/>
      <c r="D131" s="77"/>
      <c r="I131" s="28"/>
    </row>
    <row r="132" spans="1:9" x14ac:dyDescent="0.25">
      <c r="A132" s="540"/>
      <c r="B132" s="459"/>
      <c r="C132" s="180"/>
      <c r="D132" s="77"/>
      <c r="I132" s="28"/>
    </row>
    <row r="133" spans="1:9" x14ac:dyDescent="0.25">
      <c r="A133" s="540" t="s">
        <v>963</v>
      </c>
      <c r="B133" s="541">
        <f>Don_Vinmin*VIN_min/(Lf*Fsw)</f>
        <v>5.2345058626465661</v>
      </c>
      <c r="C133" s="180" t="s">
        <v>2</v>
      </c>
      <c r="D133" s="77"/>
      <c r="I133" s="28"/>
    </row>
    <row r="134" spans="1:9" x14ac:dyDescent="0.25">
      <c r="A134" s="540" t="s">
        <v>964</v>
      </c>
      <c r="B134" s="459">
        <f>Vout*Iout/(Efficiency*VIN_min)</f>
        <v>22.456140350877195</v>
      </c>
      <c r="C134" s="180"/>
      <c r="D134" s="77"/>
      <c r="I134" s="28"/>
    </row>
    <row r="135" spans="1:9" x14ac:dyDescent="0.25">
      <c r="A135" s="540"/>
      <c r="B135" s="459"/>
      <c r="C135" s="180"/>
      <c r="D135" s="77"/>
      <c r="I135" s="28"/>
    </row>
    <row r="136" spans="1:9" x14ac:dyDescent="0.25">
      <c r="A136" s="540"/>
      <c r="B136" s="459"/>
      <c r="C136" s="180"/>
      <c r="D136" s="77"/>
      <c r="I136" s="28"/>
    </row>
    <row r="137" spans="1:9" x14ac:dyDescent="0.25">
      <c r="A137" s="540"/>
      <c r="B137" s="459"/>
      <c r="C137" s="180"/>
      <c r="D137" s="77"/>
      <c r="I137" s="28"/>
    </row>
    <row r="138" spans="1:9" x14ac:dyDescent="0.25">
      <c r="A138" s="540"/>
      <c r="B138" s="459"/>
      <c r="C138" s="180"/>
      <c r="D138" s="77"/>
      <c r="I138" s="28"/>
    </row>
    <row r="139" spans="1:9" x14ac:dyDescent="0.25">
      <c r="A139" s="540"/>
      <c r="B139" s="459"/>
      <c r="C139" s="180"/>
      <c r="D139" s="77"/>
      <c r="I139" s="28"/>
    </row>
    <row r="140" spans="1:9" x14ac:dyDescent="0.25">
      <c r="A140" s="540"/>
      <c r="B140" s="459"/>
      <c r="C140" s="180"/>
      <c r="D140" s="77"/>
      <c r="I140" s="28"/>
    </row>
    <row r="141" spans="1:9" x14ac:dyDescent="0.25">
      <c r="A141" s="540"/>
      <c r="B141" s="459"/>
      <c r="C141" s="180"/>
      <c r="D141" s="77"/>
      <c r="I141" s="28"/>
    </row>
    <row r="142" spans="1:9" x14ac:dyDescent="0.25">
      <c r="A142" s="540"/>
      <c r="B142" s="459"/>
      <c r="C142" s="180"/>
      <c r="D142" s="77"/>
      <c r="I142" s="28"/>
    </row>
    <row r="143" spans="1:9" x14ac:dyDescent="0.25">
      <c r="A143" s="540"/>
      <c r="B143" s="459"/>
      <c r="C143" s="180"/>
      <c r="D143" s="77"/>
      <c r="I143" s="28"/>
    </row>
    <row r="144" spans="1:9" x14ac:dyDescent="0.25">
      <c r="A144" s="178"/>
      <c r="B144" s="487"/>
      <c r="C144" s="180"/>
      <c r="I144" s="28"/>
    </row>
    <row r="145" spans="1:14" x14ac:dyDescent="0.25">
      <c r="A145" s="178" t="s">
        <v>389</v>
      </c>
      <c r="B145" s="542">
        <f>IF(Calc_mode=0,Boost_CS_Threshold_min/((B134+0.5*B133)*(1+Ilimit_Margin/100)),Buck_CS_threshold/(MAX(Iout,Vout/VIN_min*Iout)*1.43))</f>
        <v>1.6389860139860142E-3</v>
      </c>
      <c r="C145" s="180" t="s">
        <v>118</v>
      </c>
      <c r="E145" s="77" t="s">
        <v>735</v>
      </c>
      <c r="I145" s="28"/>
    </row>
    <row r="146" spans="1:14" x14ac:dyDescent="0.25">
      <c r="A146" s="178" t="s">
        <v>196</v>
      </c>
      <c r="B146" s="489">
        <f>'Design Converter'!E30/1000</f>
        <v>1.2999999999999999E-3</v>
      </c>
      <c r="C146" s="180" t="s">
        <v>118</v>
      </c>
      <c r="E146" s="77" t="s">
        <v>390</v>
      </c>
      <c r="I146" s="28"/>
      <c r="K146" s="77"/>
      <c r="L146" s="77"/>
    </row>
    <row r="147" spans="1:14" x14ac:dyDescent="0.25">
      <c r="A147" s="178" t="s">
        <v>954</v>
      </c>
      <c r="B147" s="228">
        <f>IF(AND(100&lt;Rs/Lf,Rs/Lf&lt;8000,Rs/Lf&lt;(1*Fsw/(Vout*10))),1,0)</f>
        <v>1</v>
      </c>
      <c r="C147" s="180"/>
      <c r="E147" s="77"/>
      <c r="I147" s="28"/>
      <c r="K147" s="77"/>
      <c r="L147" s="77"/>
    </row>
    <row r="148" spans="1:14" x14ac:dyDescent="0.25">
      <c r="A148" s="178" t="s">
        <v>535</v>
      </c>
      <c r="B148" s="4">
        <f>Boost_CS_Threshold_max/Rs</f>
        <v>44.230769230769234</v>
      </c>
      <c r="C148" s="77" t="s">
        <v>2</v>
      </c>
      <c r="E148" s="77" t="s">
        <v>731</v>
      </c>
      <c r="I148" s="28"/>
    </row>
    <row r="149" spans="1:14" x14ac:dyDescent="0.25">
      <c r="A149" s="178" t="s">
        <v>956</v>
      </c>
      <c r="B149" s="4">
        <f>Buck_CS_threshold_max/Rs</f>
        <v>44.230769230769234</v>
      </c>
      <c r="C149" s="77" t="s">
        <v>2</v>
      </c>
      <c r="E149" s="77" t="s">
        <v>957</v>
      </c>
      <c r="I149" s="28"/>
    </row>
    <row r="150" spans="1:14" x14ac:dyDescent="0.25">
      <c r="A150" s="178"/>
      <c r="I150" s="28"/>
    </row>
    <row r="151" spans="1:14" ht="17" x14ac:dyDescent="0.35">
      <c r="A151" s="178" t="s">
        <v>536</v>
      </c>
      <c r="B151" s="245">
        <f>IF(VIN_min&gt;Vout,Buck_CS_threshold/Rs-Iripple_Vinmin/2, (Boost_CS_Threshold/Rs-Iripple_Vinmin/2)*(1-Don_Vinmin_2))</f>
        <v>13.230651740500456</v>
      </c>
      <c r="C151" t="s">
        <v>2</v>
      </c>
      <c r="D151" t="str">
        <f>IF(VIN_min&gt;Vout, "BUCK", "BOOST")</f>
        <v>BOOST</v>
      </c>
      <c r="E151" s="77" t="s">
        <v>542</v>
      </c>
      <c r="I151" s="28"/>
    </row>
    <row r="152" spans="1:14" ht="12.9" x14ac:dyDescent="0.2">
      <c r="A152" s="178" t="s">
        <v>596</v>
      </c>
      <c r="B152" s="245">
        <f>IF(VIN_nom&gt;Vout,Buck_CS_threshold/Rs-Iripple_Vinnom/2, (Boost_CS_Threshold/Rs-Iripple_Vinnom/2)*(1-Don_Vinnom_2))</f>
        <v>27.170256583880604</v>
      </c>
      <c r="C152" t="s">
        <v>2</v>
      </c>
      <c r="D152" t="str">
        <f>IF(VIN_nom&gt;Vout,"BUCK",IF(VIN_nom&lt;VIN_edgebuckboost,"BOOST","BUCK-BOOST"))</f>
        <v>BUCK-BOOST</v>
      </c>
      <c r="I152" s="28"/>
    </row>
    <row r="153" spans="1:14" ht="12.9" x14ac:dyDescent="0.2">
      <c r="A153" s="178" t="s">
        <v>537</v>
      </c>
      <c r="B153" s="245">
        <f>IF(VIN_max&gt;Vout,Buck_CS_threshold/Rs-Iripple_Vinmax/2, (Boost_CS_Threshold/Rs-Iripple_Vinmax/2)*(1-Don_Vinmax_2))</f>
        <v>32.245516718678971</v>
      </c>
      <c r="C153" t="s">
        <v>2</v>
      </c>
      <c r="D153" t="str">
        <f>IF(VIN_max&gt;Vout, "BUCK", "BOOST")</f>
        <v>BUCK</v>
      </c>
      <c r="I153" s="28"/>
    </row>
    <row r="154" spans="1:14" x14ac:dyDescent="0.25">
      <c r="A154" s="178" t="s">
        <v>725</v>
      </c>
      <c r="B154" s="245">
        <f>(Buck_CS_threshold/Rs-Iripple_edgebuckboost/2)*(1-Don_buckboost)</f>
        <v>38.461538461538467</v>
      </c>
      <c r="C154" t="s">
        <v>2</v>
      </c>
      <c r="D154" s="2" t="s">
        <v>739</v>
      </c>
      <c r="I154" s="28"/>
      <c r="K154" s="77" t="s">
        <v>664</v>
      </c>
      <c r="M154" s="77" t="s">
        <v>665</v>
      </c>
    </row>
    <row r="155" spans="1:14" ht="12.9" x14ac:dyDescent="0.2">
      <c r="A155" s="178"/>
      <c r="B155" s="77"/>
      <c r="C155"/>
      <c r="I155" s="28"/>
      <c r="K155" s="77"/>
      <c r="M155" s="77"/>
    </row>
    <row r="156" spans="1:14" x14ac:dyDescent="0.25">
      <c r="A156" s="178" t="s">
        <v>538</v>
      </c>
      <c r="B156" s="422">
        <f>IF(VIN_min&gt;Vout, Buck_CS_threshold_max/Rs, Boost_CS_Threshold_max/Rs)</f>
        <v>44.230769230769234</v>
      </c>
      <c r="C156" t="s">
        <v>2</v>
      </c>
      <c r="D156" t="str">
        <f>IF(VIN_min&gt;Vout, "BUCK", "BOOST")</f>
        <v>BOOST</v>
      </c>
      <c r="E156" s="77" t="s">
        <v>541</v>
      </c>
      <c r="H156">
        <f>SQRT(Don_Vinmin_2)*SQRT(Iin_Vinmin^2+(Iripple_Vinmin^2)/12)</f>
        <v>17.874144909046731</v>
      </c>
      <c r="I156" s="28"/>
      <c r="K156" s="19">
        <f>IF(VIN_min&gt;Vout, SQRT(1-Don_Vinmin_2)*SQRT(Iout_OCP_Vinmin^2+(Iripple_Vinmin^2)/12), SQRT(Don_Vinmin_2)*SQRT(Iin_Vinmin^2+(Iripple_Vinmin^2)/12))</f>
        <v>17.874144909046731</v>
      </c>
      <c r="L156" s="2" t="s">
        <v>2</v>
      </c>
      <c r="M156" s="4">
        <f>K156^2*Rs</f>
        <v>0.41533057309848154</v>
      </c>
      <c r="N156" s="2" t="s">
        <v>118</v>
      </c>
    </row>
    <row r="157" spans="1:14" x14ac:dyDescent="0.25">
      <c r="A157" s="178" t="s">
        <v>539</v>
      </c>
      <c r="B157" s="422">
        <f>IF(VIN_nom&gt;Vout, Buck_CS_threshold_max/Rs, IF(VIN_nom&lt;VIN_edgebuckboost, Boost_CS_Threshold_max/Rs, Buck_CS_threshold_max/Rs))</f>
        <v>44.230769230769234</v>
      </c>
      <c r="C157" t="s">
        <v>2</v>
      </c>
      <c r="D157" t="str">
        <f>IF(VIN_nom&gt;Vout,"BUCK",IF(VIN_nom&lt;VIN_edgebuckboost,"BOOST","BUCK-BOOST"))</f>
        <v>BUCK-BOOST</v>
      </c>
      <c r="H157">
        <f>SQRT(1-Don_Vinnom_2)*SQRT(Iout_OCP_Vinnom^2+(Iripple_Vinnom^2)/12)</f>
        <v>23.514962533216757</v>
      </c>
      <c r="I157" s="28"/>
      <c r="K157" s="19">
        <f>IF(VIN_nom&gt;Vout, SQRT(1-Don_Vinnom_2)*SQRT(Iout_OCP_Vinnom^2+(Iripple_Vinnom^2)/12), SQRT(Don_Vinnom_2)*SQRT(Iin_Vinnom^2+(Iripple_Vinnom^2)/12))</f>
        <v>5.6750178359251073</v>
      </c>
      <c r="L157" s="2" t="s">
        <v>2</v>
      </c>
      <c r="M157" s="4">
        <f>K157^2*Rs</f>
        <v>4.1867575669488517E-2</v>
      </c>
      <c r="N157" s="2" t="s">
        <v>118</v>
      </c>
    </row>
    <row r="158" spans="1:14" x14ac:dyDescent="0.25">
      <c r="A158" s="178" t="s">
        <v>540</v>
      </c>
      <c r="B158" s="422">
        <f>IF(VIN_max&gt;Vout, Buck_CS_threshold_max/Rs, Boost_CS_Threshold_max/Rs)</f>
        <v>44.230769230769234</v>
      </c>
      <c r="C158" t="s">
        <v>2</v>
      </c>
      <c r="D158" t="str">
        <f>IF(VIN_max&gt;Vout, "BUCK", "BOOST")</f>
        <v>BUCK</v>
      </c>
      <c r="H158">
        <f>SQRT(1-Don_Vinmax_2)*SQRT(Iout_OCP_Vinmax^2+(Iripple_Vinmax^2)/12)</f>
        <v>24.16381560121761</v>
      </c>
      <c r="I158" s="28"/>
      <c r="K158" s="19">
        <f>IF(VIN_max&gt;Vout, SQRT(1-Don_Vinmax_2)*SQRT(Iout_OCP_Vinmax^2+(Iripple_Vinmax^2)/12), SQRT(Don_Vinmax_2)*SQRT(Iin_Vinmax^2+(Iripple_Vinmax^2)/12))</f>
        <v>24.16381560121761</v>
      </c>
      <c r="L158" s="384" t="s">
        <v>2</v>
      </c>
      <c r="M158" s="4">
        <f>K158^2*Rs</f>
        <v>0.75905697973254183</v>
      </c>
      <c r="N158" s="2" t="s">
        <v>118</v>
      </c>
    </row>
    <row r="159" spans="1:14" x14ac:dyDescent="0.25">
      <c r="A159" s="178" t="s">
        <v>816</v>
      </c>
      <c r="B159" s="423">
        <f>MAX(B156:B158)</f>
        <v>44.230769230769234</v>
      </c>
      <c r="C159" s="77" t="s">
        <v>2</v>
      </c>
      <c r="I159" s="28"/>
      <c r="K159" s="452" t="s">
        <v>826</v>
      </c>
      <c r="L159" s="384"/>
      <c r="M159" s="4"/>
      <c r="N159" s="2"/>
    </row>
    <row r="160" spans="1:14" x14ac:dyDescent="0.25">
      <c r="A160" s="178"/>
      <c r="B160" s="385"/>
      <c r="C160"/>
      <c r="I160" s="28"/>
    </row>
    <row r="161" spans="1:13" x14ac:dyDescent="0.25">
      <c r="A161" s="178" t="s">
        <v>597</v>
      </c>
      <c r="B161" s="423">
        <f>MAX(B156:B158)</f>
        <v>44.230769230769234</v>
      </c>
      <c r="C161" t="s">
        <v>2</v>
      </c>
      <c r="E161" t="s">
        <v>598</v>
      </c>
      <c r="I161" s="28"/>
    </row>
    <row r="162" spans="1:13" ht="12.9" x14ac:dyDescent="0.2">
      <c r="A162" s="178" t="s">
        <v>965</v>
      </c>
      <c r="B162" s="333">
        <f>(Boost_CS_Threshold_max/Rs)^2*Rs*(Vout/VIN_max)</f>
        <v>1.1303418803418803</v>
      </c>
      <c r="C162" s="77" t="s">
        <v>118</v>
      </c>
      <c r="I162" s="28"/>
    </row>
    <row r="163" spans="1:13" ht="12.9" x14ac:dyDescent="0.2">
      <c r="A163" s="540"/>
      <c r="B163" s="333"/>
      <c r="C163" s="77"/>
      <c r="I163" s="28"/>
    </row>
    <row r="164" spans="1:13" x14ac:dyDescent="0.25">
      <c r="A164" s="178" t="s">
        <v>834</v>
      </c>
      <c r="B164" s="238">
        <f>Lf/Rs*50*10^6</f>
        <v>69230.769230769234</v>
      </c>
      <c r="C164" s="180" t="s">
        <v>118</v>
      </c>
      <c r="E164" s="451" t="s">
        <v>857</v>
      </c>
      <c r="I164" s="28"/>
    </row>
    <row r="165" spans="1:13" x14ac:dyDescent="0.25">
      <c r="A165" s="178" t="s">
        <v>835</v>
      </c>
      <c r="B165" s="239">
        <f>'Standard Value Calculator'!O15</f>
        <v>69800</v>
      </c>
      <c r="C165" s="180" t="s">
        <v>118</v>
      </c>
      <c r="E165" s="77" t="s">
        <v>839</v>
      </c>
      <c r="I165" s="28"/>
    </row>
    <row r="166" spans="1:13" x14ac:dyDescent="0.25">
      <c r="A166" s="178" t="s">
        <v>836</v>
      </c>
      <c r="B166">
        <f>'Design Converter'!E35*1000</f>
        <v>69800</v>
      </c>
      <c r="C166" s="180" t="s">
        <v>118</v>
      </c>
      <c r="E166" s="77" t="s">
        <v>838</v>
      </c>
      <c r="I166" s="28"/>
    </row>
    <row r="167" spans="1:13" x14ac:dyDescent="0.25">
      <c r="A167" s="178"/>
      <c r="B167" s="242"/>
      <c r="C167" s="180"/>
      <c r="E167" s="77"/>
      <c r="I167" s="28"/>
    </row>
    <row r="168" spans="1:13" x14ac:dyDescent="0.25">
      <c r="A168" s="178"/>
      <c r="B168" s="251"/>
      <c r="C168" s="523"/>
      <c r="E168" s="77"/>
      <c r="I168" s="28"/>
    </row>
    <row r="169" spans="1:13" x14ac:dyDescent="0.25">
      <c r="A169" s="178"/>
      <c r="B169" s="251"/>
      <c r="C169" s="523"/>
      <c r="I169" s="28"/>
    </row>
    <row r="170" spans="1:13" x14ac:dyDescent="0.25">
      <c r="A170" s="178"/>
      <c r="B170" s="251"/>
      <c r="C170" s="180"/>
      <c r="E170" s="77"/>
      <c r="I170" s="28"/>
    </row>
    <row r="171" spans="1:13" x14ac:dyDescent="0.25">
      <c r="A171" s="178"/>
      <c r="B171" s="242"/>
      <c r="C171" s="180"/>
      <c r="E171" s="77"/>
      <c r="I171" s="28"/>
    </row>
    <row r="172" spans="1:13" x14ac:dyDescent="0.25">
      <c r="A172" s="178" t="s">
        <v>397</v>
      </c>
      <c r="B172" s="346">
        <f>Isc_const</f>
        <v>0</v>
      </c>
      <c r="C172" s="77" t="s">
        <v>2</v>
      </c>
      <c r="E172" s="77"/>
      <c r="I172" s="28"/>
      <c r="K172" s="2" t="s">
        <v>399</v>
      </c>
      <c r="L172" s="2" t="s">
        <v>400</v>
      </c>
    </row>
    <row r="173" spans="1:13" x14ac:dyDescent="0.25">
      <c r="A173" s="178" t="s">
        <v>935</v>
      </c>
      <c r="B173" s="242">
        <f>B166</f>
        <v>69800</v>
      </c>
      <c r="C173" s="180" t="s">
        <v>118</v>
      </c>
      <c r="D173" s="77"/>
      <c r="G173" s="358"/>
      <c r="I173" s="28"/>
      <c r="K173" s="243">
        <f>B174*(1-Don_Vinmin_2)/Fsw</f>
        <v>9.9717281008132916E-2</v>
      </c>
      <c r="L173" s="243">
        <f>B174*Don_Vinmin_2/Fsw</f>
        <v>0.17025723339770715</v>
      </c>
      <c r="M173" t="str">
        <f>IF(VIN_min&gt;Vout, "BUCK", "BOOST")</f>
        <v>BOOST</v>
      </c>
    </row>
    <row r="174" spans="1:13" ht="12.9" x14ac:dyDescent="0.2">
      <c r="A174" s="178" t="s">
        <v>398</v>
      </c>
      <c r="B174" s="459">
        <f>(ABS((VIN_min-Vout))*gm_slopecomp/Cslope + Islope_fixed)/(Rslope)</f>
        <v>107449.85673352436</v>
      </c>
      <c r="C174" s="77" t="s">
        <v>393</v>
      </c>
      <c r="E174" t="s">
        <v>394</v>
      </c>
      <c r="I174" s="28"/>
      <c r="K174" s="243">
        <f>B175*(1-Don_Vinnom_2)/Fsw</f>
        <v>8.0724977721827726E-2</v>
      </c>
      <c r="L174" s="243">
        <f>B175*Don_Vinnom_2/Fsw</f>
        <v>2.7264828040508313E-2</v>
      </c>
      <c r="M174" t="str">
        <f>IF(VIN_nom&gt;Vout, "BUCK", "BOOST")</f>
        <v>BOOST</v>
      </c>
    </row>
    <row r="175" spans="1:13" ht="12.9" x14ac:dyDescent="0.2">
      <c r="A175" s="178" t="s">
        <v>398</v>
      </c>
      <c r="B175" s="459">
        <f>(ABS((VIN_nom-Vout))*gm_slopecomp/Cslope + Islope_fixed)/(Rslope)</f>
        <v>42979.942693409743</v>
      </c>
      <c r="C175" s="77" t="s">
        <v>393</v>
      </c>
      <c r="E175" s="77" t="s">
        <v>395</v>
      </c>
      <c r="I175" s="28"/>
      <c r="K175" s="243">
        <f>B176*(1-Don_Vinmax_2)/Fsw</f>
        <v>0.29950119635149908</v>
      </c>
      <c r="L175" s="243">
        <f>B176*Don_Vinmax_2/Fsw</f>
        <v>0.24044783246018109</v>
      </c>
      <c r="M175" t="str">
        <f>IF(VIN_max&gt;Vout, "BUCK", "BOOST")</f>
        <v>BUCK</v>
      </c>
    </row>
    <row r="176" spans="1:13" ht="12.9" x14ac:dyDescent="0.2">
      <c r="A176" s="178" t="s">
        <v>398</v>
      </c>
      <c r="B176" s="459">
        <f>(ABS((VIN_max-Vout))*gm_slopecomp/Cslope + Islope_fixed)/(Rslope)</f>
        <v>214899.71346704871</v>
      </c>
      <c r="C176" s="77" t="s">
        <v>393</v>
      </c>
      <c r="E176" s="77" t="s">
        <v>396</v>
      </c>
      <c r="I176" s="28"/>
    </row>
    <row r="177" spans="1:12" ht="12.9" x14ac:dyDescent="0.2">
      <c r="C177"/>
      <c r="I177" s="28"/>
    </row>
    <row r="178" spans="1:12" x14ac:dyDescent="0.25">
      <c r="A178" s="178" t="s">
        <v>410</v>
      </c>
      <c r="B178" s="424">
        <f>IF(D178="BUCK", K173,L173)</f>
        <v>0.17025723339770715</v>
      </c>
      <c r="C178" s="77" t="s">
        <v>0</v>
      </c>
      <c r="D178" t="str">
        <f>IF(VIN_min&gt;Vout, "BUCK", "BOOST")</f>
        <v>BOOST</v>
      </c>
      <c r="E178" t="s">
        <v>394</v>
      </c>
      <c r="I178" s="28"/>
    </row>
    <row r="179" spans="1:12" x14ac:dyDescent="0.25">
      <c r="A179" s="178" t="s">
        <v>411</v>
      </c>
      <c r="B179" s="424">
        <f>IF(D179="BUCK", K174,L174)</f>
        <v>2.7264828040508313E-2</v>
      </c>
      <c r="C179" s="77" t="s">
        <v>0</v>
      </c>
      <c r="D179" t="str">
        <f>IF(VIN_nom&gt;Vout,"BUCK",IF(VIN_nom&lt;VIN_edgebuckboost,"BOOST","BUCK-BOOST"))</f>
        <v>BUCK-BOOST</v>
      </c>
      <c r="E179" s="77" t="s">
        <v>395</v>
      </c>
      <c r="I179" s="28"/>
    </row>
    <row r="180" spans="1:12" x14ac:dyDescent="0.25">
      <c r="A180" s="178" t="s">
        <v>412</v>
      </c>
      <c r="B180" s="424">
        <f>IF(D180="BUCK", K175,L175)</f>
        <v>0.29950119635149908</v>
      </c>
      <c r="C180" s="77" t="s">
        <v>0</v>
      </c>
      <c r="D180" t="str">
        <f>IF(VIN_max&gt;Vout, "BUCK", "BOOST")</f>
        <v>BUCK</v>
      </c>
      <c r="E180" s="77" t="s">
        <v>396</v>
      </c>
      <c r="I180" s="28"/>
    </row>
    <row r="181" spans="1:12" x14ac:dyDescent="0.25">
      <c r="A181" s="178"/>
      <c r="C181" s="180"/>
      <c r="E181" s="77"/>
      <c r="I181" s="28"/>
    </row>
    <row r="182" spans="1:12" x14ac:dyDescent="0.25">
      <c r="A182" s="27"/>
      <c r="D182" s="180"/>
      <c r="E182" s="77"/>
      <c r="I182" s="28"/>
    </row>
    <row r="183" spans="1:12" x14ac:dyDescent="0.25">
      <c r="I183" s="28"/>
    </row>
    <row r="184" spans="1:12" x14ac:dyDescent="0.25">
      <c r="I184" s="28"/>
    </row>
    <row r="185" spans="1:12" x14ac:dyDescent="0.25">
      <c r="I185" s="28"/>
    </row>
    <row r="186" spans="1:12" ht="14.3" thickBot="1" x14ac:dyDescent="0.3">
      <c r="F186" s="32"/>
      <c r="G186" s="32"/>
      <c r="H186" s="32"/>
      <c r="I186" s="33"/>
    </row>
    <row r="188" spans="1:12" ht="16.3" thickBot="1" x14ac:dyDescent="0.3">
      <c r="A188" s="442" t="s">
        <v>168</v>
      </c>
      <c r="D188" s="2"/>
    </row>
    <row r="189" spans="1:12" ht="12.9" x14ac:dyDescent="0.2">
      <c r="A189" s="177" t="s">
        <v>407</v>
      </c>
      <c r="B189" s="247">
        <f>IF(D189="BUCK", Iripple_Vinmin/SQRT(12), Iout*SQRT((Vout-VIN_min)/VIN_min))</f>
        <v>10.327955589886445</v>
      </c>
      <c r="C189" s="246" t="s">
        <v>2</v>
      </c>
      <c r="D189" s="223" t="str">
        <f>IF(VIN_min&gt;Vout, "BUCK", "BOOST")</f>
        <v>BOOST</v>
      </c>
      <c r="E189" s="80" t="s">
        <v>406</v>
      </c>
      <c r="F189" s="34"/>
      <c r="G189" s="34"/>
      <c r="H189" s="34"/>
      <c r="I189" s="35"/>
      <c r="L189" s="4"/>
    </row>
    <row r="190" spans="1:12" ht="12.9" x14ac:dyDescent="0.2">
      <c r="A190" s="178" t="s">
        <v>408</v>
      </c>
      <c r="B190" s="245">
        <f>IF(D190="BUCK", Iripple_Vinnom/SQRT(12), Iout*SQRT((Vout-VIN_nom)/VIN_nom))</f>
        <v>4.6188021535170058</v>
      </c>
      <c r="C190" s="77" t="s">
        <v>2</v>
      </c>
      <c r="D190" t="str">
        <f>IF(VIN_nom&gt;Vout,"BUCK",IF(VIN_nom&lt;VIN_edgebuckboost,"BOOST","BUCK-BOOST"))</f>
        <v>BUCK-BOOST</v>
      </c>
      <c r="E190" s="77"/>
      <c r="I190" s="28"/>
      <c r="L190" s="4"/>
    </row>
    <row r="191" spans="1:12" ht="12.9" x14ac:dyDescent="0.2">
      <c r="A191" s="178" t="s">
        <v>409</v>
      </c>
      <c r="B191" s="245">
        <f>IF(D191="BUCK", Iripple_Vinmax/SQRT(12), Iout*SQRT((Vout-VIN_max)/VIN_max))</f>
        <v>3.588821826528497</v>
      </c>
      <c r="C191" s="77" t="s">
        <v>2</v>
      </c>
      <c r="D191" t="str">
        <f>IF(VIN_max&gt;Vout, "BUCK", "BOOST")</f>
        <v>BUCK</v>
      </c>
      <c r="E191" s="77"/>
      <c r="I191" s="28"/>
      <c r="L191" s="4"/>
    </row>
    <row r="192" spans="1:12" ht="12.9" x14ac:dyDescent="0.2">
      <c r="A192" s="178" t="s">
        <v>744</v>
      </c>
      <c r="B192" s="245">
        <f>MAX(B189:B191)</f>
        <v>10.327955589886445</v>
      </c>
      <c r="C192" s="77" t="s">
        <v>2</v>
      </c>
      <c r="E192" s="77"/>
      <c r="I192" s="28"/>
      <c r="L192" s="4"/>
    </row>
    <row r="193" spans="1:12" ht="12.9" x14ac:dyDescent="0.2">
      <c r="A193" s="178"/>
      <c r="B193" s="19"/>
      <c r="C193" s="77"/>
      <c r="E193" s="77"/>
      <c r="I193" s="28"/>
      <c r="L193" s="4"/>
    </row>
    <row r="194" spans="1:12" ht="12.9" x14ac:dyDescent="0.2">
      <c r="A194" s="178" t="s">
        <v>515</v>
      </c>
      <c r="B194" s="349">
        <f>Vripple1*1000</f>
        <v>150</v>
      </c>
      <c r="C194" s="77" t="s">
        <v>345</v>
      </c>
      <c r="E194" s="77" t="s">
        <v>544</v>
      </c>
      <c r="I194" s="28"/>
      <c r="L194" s="4"/>
    </row>
    <row r="195" spans="1:12" x14ac:dyDescent="0.25">
      <c r="A195" s="27"/>
      <c r="B195" s="77"/>
      <c r="E195" s="77"/>
      <c r="I195" s="28"/>
    </row>
    <row r="196" spans="1:12" x14ac:dyDescent="0.25">
      <c r="A196" s="37" t="s">
        <v>24</v>
      </c>
      <c r="B196" s="359">
        <f>IF(VIN_min&gt;Vout, Iripple_Vinmin/(Fsw*8*Vripple1), Iout*Don_Vinmin_2/(Vripple1*Fsw))</f>
        <v>8.4508123670470835E-5</v>
      </c>
      <c r="C196" t="s">
        <v>26</v>
      </c>
      <c r="E196" t="s">
        <v>23</v>
      </c>
      <c r="H196">
        <f>Vripple2</f>
        <v>0.11350937346592789</v>
      </c>
      <c r="I196" s="28">
        <v>1</v>
      </c>
      <c r="K196" s="1">
        <f>Coutmin</f>
        <v>8.4508123670470835E-5</v>
      </c>
    </row>
    <row r="197" spans="1:12" ht="12.9" x14ac:dyDescent="0.2">
      <c r="A197" s="178" t="s">
        <v>751</v>
      </c>
      <c r="B197" s="380">
        <f>IF(Coutmin*1000000&lt;H197, H197,Coutmin*1000000)</f>
        <v>84.508123670470837</v>
      </c>
      <c r="C197" s="13" t="s">
        <v>25</v>
      </c>
      <c r="E197" s="77" t="s">
        <v>860</v>
      </c>
      <c r="H197">
        <v>0.1</v>
      </c>
      <c r="I197" s="28"/>
      <c r="K197" s="1">
        <f>Coutmin*1000000</f>
        <v>84.508123670470837</v>
      </c>
    </row>
    <row r="198" spans="1:12" ht="12.9" x14ac:dyDescent="0.2">
      <c r="A198" s="178" t="s">
        <v>27</v>
      </c>
      <c r="B198" s="360">
        <f>'Design Converter'!E43/1000000</f>
        <v>1.2999999999999999E-4</v>
      </c>
      <c r="C198" t="s">
        <v>26</v>
      </c>
      <c r="E198" s="77" t="s">
        <v>413</v>
      </c>
      <c r="I198" s="28">
        <v>1</v>
      </c>
    </row>
    <row r="199" spans="1:12" x14ac:dyDescent="0.25">
      <c r="A199" s="37" t="s">
        <v>52</v>
      </c>
      <c r="B199" s="381">
        <f>IF(VIN_min&gt;Vout, SQRT((Vripple1/Iripple_Vinmin)^2-(1/(Fsw*Cout*8))^2), (Vripple1-Iout*Don_Vinmin_2/(Fsw*Cout))/Iout)</f>
        <v>6.5613283167590131E-3</v>
      </c>
      <c r="C199" s="180" t="s">
        <v>118</v>
      </c>
      <c r="E199" s="77" t="s">
        <v>293</v>
      </c>
      <c r="I199" s="28">
        <v>1</v>
      </c>
    </row>
    <row r="200" spans="1:12" x14ac:dyDescent="0.25">
      <c r="A200" s="2"/>
      <c r="B200" s="427"/>
      <c r="C200" s="180"/>
      <c r="E200" s="77"/>
      <c r="I200" s="28"/>
    </row>
    <row r="201" spans="1:12" x14ac:dyDescent="0.25">
      <c r="A201" s="378" t="s">
        <v>650</v>
      </c>
      <c r="B201" s="379">
        <f>IF(OR(CoutEsrMax&gt;0.3, CoutEsrMax&lt;0, (ISERROR(CoutEsrMax))), "N/A", CoutEsrMax*1000)</f>
        <v>6.5613283167590133</v>
      </c>
      <c r="C201" s="16" t="s">
        <v>391</v>
      </c>
      <c r="E201" s="77"/>
      <c r="I201" s="28"/>
    </row>
    <row r="202" spans="1:12" x14ac:dyDescent="0.25">
      <c r="A202" s="178" t="s">
        <v>166</v>
      </c>
      <c r="B202" s="350">
        <f>'Design Converter'!E45/1000</f>
        <v>2E-3</v>
      </c>
      <c r="C202" s="180" t="s">
        <v>118</v>
      </c>
      <c r="E202" s="77" t="s">
        <v>294</v>
      </c>
      <c r="I202" s="28">
        <v>1</v>
      </c>
      <c r="K202" t="b">
        <f>ISERROR(CoutEsrMax)</f>
        <v>0</v>
      </c>
      <c r="L202" t="b">
        <f>ISERROR(B201)</f>
        <v>0</v>
      </c>
    </row>
    <row r="203" spans="1:12" ht="14.3" thickBot="1" x14ac:dyDescent="0.3">
      <c r="A203" s="315" t="s">
        <v>226</v>
      </c>
      <c r="B203" s="351">
        <f>IF(VIN_min&gt;Vout, Iripple_Vinmax*SQRT(CoutEsr^2+(1/(8*Fsw*Cout))^2), CoutEsr*Iout+Iout*Don_Vinmin_2/(Fsw*Cout))</f>
        <v>0.11350937346592789</v>
      </c>
      <c r="C203" s="71" t="s">
        <v>42</v>
      </c>
      <c r="D203" s="32"/>
      <c r="E203" s="32"/>
      <c r="F203" s="32"/>
      <c r="G203" s="32"/>
      <c r="H203" s="32"/>
      <c r="I203" s="33"/>
      <c r="L203" t="b">
        <f>OR(CoutEsrMax&gt;0.3,CoutEsrMax&lt;0)</f>
        <v>0</v>
      </c>
    </row>
    <row r="204" spans="1:12" x14ac:dyDescent="0.25">
      <c r="K204" t="b">
        <f>OR(TRUE, FALSE, TRUE)</f>
        <v>1</v>
      </c>
    </row>
    <row r="205" spans="1:12" ht="16.3" thickBot="1" x14ac:dyDescent="0.3">
      <c r="A205" s="442" t="s">
        <v>169</v>
      </c>
    </row>
    <row r="206" spans="1:12" ht="15.65" x14ac:dyDescent="0.25">
      <c r="A206" s="61"/>
      <c r="B206" s="62"/>
      <c r="C206" s="250"/>
      <c r="D206" s="62"/>
      <c r="E206" s="62"/>
      <c r="F206" s="62"/>
      <c r="G206" s="62"/>
      <c r="H206" s="62"/>
      <c r="I206" s="63"/>
    </row>
    <row r="207" spans="1:12" ht="12.9" x14ac:dyDescent="0.2">
      <c r="A207" s="178" t="s">
        <v>741</v>
      </c>
      <c r="B207" s="75">
        <f>IF(D207="BUCK", Iout*SQRT(Don_Vinmin_2*(1-Don_Vinmax_2)), Iripple_Vinmin/SQRT(12))</f>
        <v>1.5247121234330161</v>
      </c>
      <c r="C207" s="59" t="s">
        <v>2</v>
      </c>
      <c r="D207" t="str">
        <f>IF(VIN_min&gt;Vout, "BUCK", "BOOST")</f>
        <v>BOOST</v>
      </c>
      <c r="F207" s="333">
        <f>Iripple_Vinmin/SQRT(12)</f>
        <v>1.5247121234330161</v>
      </c>
      <c r="G207" s="293">
        <f>Iout*SQRT(Don_Vinmax_2*(1-Don_Vinmax_2))</f>
        <v>3.9760051349203773</v>
      </c>
      <c r="H207" s="79">
        <f>Iout*0.25</f>
        <v>2</v>
      </c>
      <c r="I207" s="65"/>
    </row>
    <row r="208" spans="1:12" ht="12.9" x14ac:dyDescent="0.2">
      <c r="A208" s="178" t="s">
        <v>742</v>
      </c>
      <c r="B208" s="75">
        <f>IF(D208="BUCK", Iout*SQRT(Don_Vinnom_2*(1-Don_Vinnom_2)), Iripple_Vinnom/SQRT(12))</f>
        <v>1.2208295949333601</v>
      </c>
      <c r="C208" s="59" t="s">
        <v>2</v>
      </c>
      <c r="D208" t="str">
        <f>IF(VIN_nom&gt;Vout,"BUCK",IF(VIN_nom&lt;VIN_edgebuckboost,"BOOST","BUCK-BOOST"))</f>
        <v>BUCK-BOOST</v>
      </c>
      <c r="F208" s="333"/>
      <c r="G208" s="293"/>
      <c r="I208" s="65"/>
    </row>
    <row r="209" spans="1:11" ht="12.9" x14ac:dyDescent="0.2">
      <c r="A209" s="178" t="s">
        <v>743</v>
      </c>
      <c r="B209" s="75">
        <f>IF(D209="BUCK", Iout*SQRT(Don_Vinmax_2*(1-Don_Vinmax_2)), Iripple_Vinmax/SQRT(12))</f>
        <v>3.9760051349203773</v>
      </c>
      <c r="C209" s="59" t="s">
        <v>2</v>
      </c>
      <c r="D209" t="str">
        <f>IF(VIN_max&gt;Vout, "BUCK", "BOOST")</f>
        <v>BUCK</v>
      </c>
      <c r="F209" s="333"/>
      <c r="G209" s="293"/>
      <c r="I209" s="65"/>
    </row>
    <row r="210" spans="1:11" ht="12.9" x14ac:dyDescent="0.2">
      <c r="A210" s="178" t="s">
        <v>749</v>
      </c>
      <c r="B210" s="75">
        <f>MAX(B207:B209)</f>
        <v>3.9760051349203773</v>
      </c>
      <c r="C210" s="13" t="s">
        <v>2</v>
      </c>
      <c r="D210" s="77" t="s">
        <v>780</v>
      </c>
      <c r="F210" s="333"/>
      <c r="G210" s="293"/>
      <c r="I210" s="65"/>
    </row>
    <row r="211" spans="1:11" ht="12.9" x14ac:dyDescent="0.2">
      <c r="A211" s="77"/>
      <c r="B211" s="428"/>
      <c r="C211" s="59"/>
      <c r="F211" s="333"/>
      <c r="G211" s="293"/>
      <c r="I211" s="65"/>
    </row>
    <row r="212" spans="1:11" ht="12.9" x14ac:dyDescent="0.2">
      <c r="A212" s="64" t="s">
        <v>268</v>
      </c>
      <c r="B212" s="251">
        <f>'Design Converter'!E50/1000</f>
        <v>0.18</v>
      </c>
      <c r="C212" t="s">
        <v>42</v>
      </c>
      <c r="D212" s="77" t="s">
        <v>750</v>
      </c>
      <c r="I212" s="65"/>
    </row>
    <row r="213" spans="1:11" ht="12.9" x14ac:dyDescent="0.2">
      <c r="A213" s="77"/>
      <c r="B213" s="428"/>
      <c r="C213" s="59"/>
      <c r="F213" s="333"/>
      <c r="G213" s="293"/>
      <c r="I213" s="65"/>
    </row>
    <row r="214" spans="1:11" ht="12.9" x14ac:dyDescent="0.2">
      <c r="A214" s="378" t="s">
        <v>766</v>
      </c>
      <c r="B214" s="438">
        <f>IF(VIN_max&gt;Vout, Iout*Don_Vinmax_2*(1-Don_Vinmax_2)/(Vinripple1*Fsw), Iripple_Vinmax/(Fsw*8*Vinripple1))</f>
        <v>2.7583432497405795E-5</v>
      </c>
      <c r="C214" s="59" t="s">
        <v>26</v>
      </c>
      <c r="D214" s="77" t="s">
        <v>774</v>
      </c>
      <c r="I214" s="65"/>
      <c r="K214" s="8">
        <f>Iripple_Vinnom/(Fsw*8*Vinripple1)</f>
        <v>7.3790441297051637E-6</v>
      </c>
    </row>
    <row r="215" spans="1:11" ht="12.9" x14ac:dyDescent="0.2">
      <c r="A215" s="378" t="s">
        <v>770</v>
      </c>
      <c r="B215" s="439">
        <f>IF(VIN_max&gt;Vout, Iout*0.5*(1-0.5)/(Vinripple1*Fsw), Iripple_Vinmax/(Fsw*8*Vinripple1))</f>
        <v>2.7917364600781685E-5</v>
      </c>
      <c r="C215" s="59"/>
      <c r="D215" s="77" t="s">
        <v>767</v>
      </c>
      <c r="G215" s="11"/>
      <c r="I215" s="65"/>
      <c r="K215" s="8"/>
    </row>
    <row r="216" spans="1:11" ht="12.9" x14ac:dyDescent="0.2">
      <c r="A216" s="378" t="s">
        <v>267</v>
      </c>
      <c r="B216" s="11">
        <f>IF(VIN_max&lt;2*Vout, B214,B215)</f>
        <v>2.7917364600781685E-5</v>
      </c>
      <c r="C216" s="59"/>
      <c r="G216" s="11"/>
      <c r="I216" s="65"/>
      <c r="K216" s="8"/>
    </row>
    <row r="217" spans="1:11" ht="12.9" x14ac:dyDescent="0.2">
      <c r="A217" s="378" t="s">
        <v>649</v>
      </c>
      <c r="B217" s="380">
        <f>IF(Cinmin*1000000&lt;10, 10,Cinmin*1000000)</f>
        <v>27.917364600781685</v>
      </c>
      <c r="C217" s="13" t="s">
        <v>25</v>
      </c>
      <c r="D217" s="77" t="s">
        <v>780</v>
      </c>
      <c r="I217" s="65"/>
    </row>
    <row r="218" spans="1:11" ht="12.9" x14ac:dyDescent="0.2">
      <c r="A218" s="66" t="s">
        <v>61</v>
      </c>
      <c r="B218" s="361">
        <f>'Design Converter'!E52/1000000</f>
        <v>1E-4</v>
      </c>
      <c r="C218" s="59" t="s">
        <v>26</v>
      </c>
      <c r="D218" t="s">
        <v>176</v>
      </c>
      <c r="I218" s="65"/>
    </row>
    <row r="219" spans="1:11" x14ac:dyDescent="0.25">
      <c r="A219" s="378" t="s">
        <v>768</v>
      </c>
      <c r="B219" s="440">
        <f>IF(VIN_max&gt;Vout, -(Iout*Don_Vinmax_2*(1-Don_Vinmax_2)/(Cin*Fsw)-Vinripple1)/(Iout+Iripple_Vinmax/2), SQRT((Vinripple1/Iripple_Vinmax)^2-(1/(Fsw*Cin*8))^2))</f>
        <v>9.1692193401534724E-3</v>
      </c>
      <c r="C219" s="180" t="s">
        <v>118</v>
      </c>
      <c r="I219" s="65"/>
    </row>
    <row r="220" spans="1:11" x14ac:dyDescent="0.25">
      <c r="A220" s="378" t="s">
        <v>769</v>
      </c>
      <c r="B220" s="440">
        <f>IF(VIN_max&gt;Vout, -(Iout*0.5*(1-0.5)/(Cin*Fsw)-Vinripple1)/(Iout+Iripple_Vinmax/2), SQRT((Vinripple1/Iripple_Vinmax)^2-(1/(Fsw*Cin*8))^2))</f>
        <v>9.1269376247095219E-3</v>
      </c>
      <c r="C220" s="180" t="s">
        <v>118</v>
      </c>
      <c r="D220" s="77" t="s">
        <v>775</v>
      </c>
      <c r="I220" s="65"/>
    </row>
    <row r="221" spans="1:11" x14ac:dyDescent="0.25">
      <c r="A221" s="378" t="s">
        <v>269</v>
      </c>
      <c r="B221" s="440">
        <f>IF(VIN_max&lt;2*Vout, B219,B220)</f>
        <v>9.1269376247095219E-3</v>
      </c>
      <c r="C221" s="180" t="s">
        <v>118</v>
      </c>
      <c r="I221" s="65"/>
    </row>
    <row r="222" spans="1:11" x14ac:dyDescent="0.25">
      <c r="A222" s="378" t="s">
        <v>651</v>
      </c>
      <c r="B222" s="426">
        <f>IF(OR(CinEsrMax&gt;0.3, CinEsrMax&lt;0), "N/A",CinEsrMax*1000)</f>
        <v>9.1269376247095213</v>
      </c>
      <c r="C222" s="16" t="s">
        <v>391</v>
      </c>
      <c r="D222" t="s">
        <v>780</v>
      </c>
      <c r="I222" s="65"/>
    </row>
    <row r="223" spans="1:11" x14ac:dyDescent="0.25">
      <c r="A223" s="66" t="s">
        <v>89</v>
      </c>
      <c r="B223" s="60">
        <f>'Design Converter'!E54/1000</f>
        <v>2E-3</v>
      </c>
      <c r="C223" s="180" t="s">
        <v>118</v>
      </c>
      <c r="D223" s="77" t="s">
        <v>295</v>
      </c>
      <c r="I223" s="65"/>
    </row>
    <row r="224" spans="1:11" x14ac:dyDescent="0.25">
      <c r="D224" s="77"/>
      <c r="I224" s="65"/>
      <c r="K224" s="243">
        <f>CinEsrMax</f>
        <v>9.1269376247095219E-3</v>
      </c>
    </row>
    <row r="225" spans="1:9" ht="12.9" x14ac:dyDescent="0.2">
      <c r="A225" s="378" t="s">
        <v>771</v>
      </c>
      <c r="B225" s="328">
        <f>IF(VIN_max&gt;Vout, Iout*Don_Vinmax_2*(1-Don_Vinmax_2)/(Cin*Fsw)+(Iout +Iripple_Vinmax/2)*RCinEsr, Iripple_Vinmax*SQRT(RCinEsr^2+(1/(8*Fsw*Cin))^2))</f>
        <v>7.8082221981049416E-2</v>
      </c>
      <c r="C225" s="59" t="s">
        <v>42</v>
      </c>
      <c r="I225" s="65"/>
    </row>
    <row r="226" spans="1:9" ht="12.9" x14ac:dyDescent="0.2">
      <c r="A226" s="378" t="s">
        <v>772</v>
      </c>
      <c r="B226" s="328">
        <f>IF(VIN_max&gt;Vout, Iout*0.5*(1-0.5)/(Cin*Fsw)+(Iout +Iripple_Vinmax/2)*RCinEsr, Iripple_Vinmax*SQRT(RCinEsr^2+(1/(8*Fsw*Cin))^2))</f>
        <v>7.8683299767126028E-2</v>
      </c>
      <c r="C226" s="59" t="s">
        <v>42</v>
      </c>
      <c r="D226" s="77" t="s">
        <v>773</v>
      </c>
      <c r="I226" s="65"/>
    </row>
    <row r="227" spans="1:9" ht="12.9" x14ac:dyDescent="0.2">
      <c r="A227" s="378" t="s">
        <v>270</v>
      </c>
      <c r="B227" s="328">
        <f>IF(VIN_max&lt;2*Vout, B225,B226)</f>
        <v>7.8683299767126028E-2</v>
      </c>
      <c r="C227" s="59" t="s">
        <v>42</v>
      </c>
      <c r="D227" s="77" t="s">
        <v>779</v>
      </c>
      <c r="I227" s="65"/>
    </row>
    <row r="228" spans="1:9" ht="12.9" x14ac:dyDescent="0.2">
      <c r="A228" s="66"/>
      <c r="B228" s="441"/>
      <c r="C228" s="59"/>
      <c r="I228" s="65"/>
    </row>
    <row r="229" spans="1:9" thickBot="1" x14ac:dyDescent="0.25">
      <c r="A229" s="67"/>
      <c r="B229" s="329">
        <f>Iout*Don_Vinmax_2*(1-Don_Vinmax_2)/(Cin*Fsw)</f>
        <v>4.9650178495330426E-2</v>
      </c>
      <c r="C229" s="252" t="s">
        <v>42</v>
      </c>
      <c r="D229" s="68"/>
      <c r="E229" s="69"/>
      <c r="F229" s="69"/>
      <c r="G229" s="69"/>
      <c r="H229" s="69"/>
      <c r="I229" s="70"/>
    </row>
    <row r="231" spans="1:9" ht="16.3" thickBot="1" x14ac:dyDescent="0.3">
      <c r="A231" s="429" t="s">
        <v>778</v>
      </c>
    </row>
    <row r="232" spans="1:9" ht="12.9" x14ac:dyDescent="0.2">
      <c r="A232" s="55" t="s">
        <v>179</v>
      </c>
      <c r="B232" s="9">
        <f>'Design Converter'!E60/1000</f>
        <v>1.8E-3</v>
      </c>
      <c r="C232" s="34" t="s">
        <v>161</v>
      </c>
      <c r="D232" s="80" t="s">
        <v>547</v>
      </c>
      <c r="E232" s="34"/>
      <c r="F232" s="34"/>
      <c r="G232" s="34"/>
      <c r="H232" s="34"/>
      <c r="I232" s="35"/>
    </row>
    <row r="233" spans="1:9" ht="12.9" x14ac:dyDescent="0.2">
      <c r="A233" s="27" t="s">
        <v>180</v>
      </c>
      <c r="B233" s="488">
        <v>1.0000000000000001E-5</v>
      </c>
      <c r="C233" t="s">
        <v>2</v>
      </c>
      <c r="D233" s="77" t="s">
        <v>546</v>
      </c>
      <c r="I233" s="28"/>
    </row>
    <row r="234" spans="1:9" ht="12.9" x14ac:dyDescent="0.2">
      <c r="A234" s="27" t="s">
        <v>181</v>
      </c>
      <c r="B234" s="488">
        <f>Iss*Tss/Vref</f>
        <v>1.8000000000000002E-8</v>
      </c>
      <c r="C234" t="s">
        <v>26</v>
      </c>
      <c r="I234" s="28"/>
    </row>
    <row r="235" spans="1:9" thickBot="1" x14ac:dyDescent="0.25">
      <c r="A235" s="31" t="s">
        <v>193</v>
      </c>
      <c r="B235" s="490">
        <f>'Standard Value Calculator'!B4</f>
        <v>1.7999999999999999E-8</v>
      </c>
      <c r="C235" s="32" t="s">
        <v>26</v>
      </c>
      <c r="D235" s="32"/>
      <c r="E235" s="32"/>
      <c r="F235" s="32"/>
      <c r="G235" s="32"/>
      <c r="H235" s="32"/>
      <c r="I235" s="33"/>
    </row>
    <row r="237" spans="1:9" ht="16.3" thickBot="1" x14ac:dyDescent="0.3">
      <c r="A237" s="429" t="s">
        <v>777</v>
      </c>
    </row>
    <row r="238" spans="1:9" ht="12.75" customHeight="1" x14ac:dyDescent="0.25">
      <c r="A238" s="177"/>
      <c r="B238" s="57"/>
      <c r="C238" s="226"/>
      <c r="D238" s="80"/>
      <c r="E238" s="34"/>
      <c r="F238" s="34"/>
      <c r="G238" s="34"/>
      <c r="H238" s="34"/>
      <c r="I238" s="35"/>
    </row>
    <row r="239" spans="1:9" ht="12.75" customHeight="1" x14ac:dyDescent="0.35">
      <c r="A239" s="178" t="s">
        <v>296</v>
      </c>
      <c r="B239" s="327">
        <f>'Design Converter'!E65</f>
        <v>4.5999999999999996</v>
      </c>
      <c r="C239" s="77" t="s">
        <v>0</v>
      </c>
      <c r="I239" s="28"/>
    </row>
    <row r="240" spans="1:9" ht="12.75" customHeight="1" x14ac:dyDescent="0.35">
      <c r="A240" s="178" t="s">
        <v>884</v>
      </c>
      <c r="B240" s="327">
        <f>'Design Converter'!E66</f>
        <v>4.0250000000000004</v>
      </c>
      <c r="C240" s="77" t="s">
        <v>0</v>
      </c>
      <c r="I240" s="28"/>
    </row>
    <row r="241" spans="1:9" ht="12.75" customHeight="1" x14ac:dyDescent="0.35">
      <c r="A241" s="178" t="s">
        <v>303</v>
      </c>
      <c r="B241" s="331">
        <f>1/Iuvlo1*(VINuvlo_on-Vuvlo_on*VINuvlo_off/Vuvlo_off)</f>
        <v>32.763532763532645</v>
      </c>
      <c r="C241" s="16" t="s">
        <v>300</v>
      </c>
      <c r="E241">
        <f>'Standard Value Calculator'!O16</f>
        <v>32.4</v>
      </c>
      <c r="F241" s="16" t="s">
        <v>300</v>
      </c>
      <c r="G241" s="15">
        <f>IF(Ruvlo1&lt;0,"N/A",E241)</f>
        <v>32.4</v>
      </c>
      <c r="H241" s="15" t="str">
        <f>IF(Ruvlo1&lt;0,"N/A",E241&amp;"kΩ")</f>
        <v>32.4kΩ</v>
      </c>
      <c r="I241" s="28"/>
    </row>
    <row r="242" spans="1:9" ht="12.75" customHeight="1" x14ac:dyDescent="0.35">
      <c r="A242" s="178" t="s">
        <v>304</v>
      </c>
      <c r="B242" s="331">
        <f>Ruvlo1/(VINuvlo_off/Vuvlo_off-1)</f>
        <v>13.426736719206019</v>
      </c>
      <c r="C242" s="16" t="s">
        <v>300</v>
      </c>
      <c r="E242">
        <f>'Standard Value Calculator'!O17</f>
        <v>13.3</v>
      </c>
      <c r="F242" s="16" t="s">
        <v>300</v>
      </c>
      <c r="G242" s="15">
        <f>IF(Ruvlo1&lt;0,"N/A",E242)</f>
        <v>13.3</v>
      </c>
      <c r="H242" s="15" t="str">
        <f>IF(H241="N/A","N/A",E242&amp;"kΩ")</f>
        <v>13.3kΩ</v>
      </c>
      <c r="I242" s="28"/>
    </row>
    <row r="243" spans="1:9" ht="12.75" customHeight="1" x14ac:dyDescent="0.25">
      <c r="A243" s="178"/>
      <c r="B243" s="179"/>
      <c r="C243" s="16"/>
      <c r="F243" s="16"/>
      <c r="I243" s="28"/>
    </row>
    <row r="244" spans="1:9" ht="12.75" customHeight="1" x14ac:dyDescent="0.35">
      <c r="A244" s="178" t="s">
        <v>301</v>
      </c>
      <c r="B244" s="179">
        <f>(E241+E242)/E242*Vuvlo_on+Iuvlo1*E241</f>
        <v>4.5925954887218046</v>
      </c>
      <c r="C244" s="16"/>
      <c r="F244" s="16"/>
      <c r="I244" s="28"/>
    </row>
    <row r="245" spans="1:9" ht="12.75" customHeight="1" x14ac:dyDescent="0.35">
      <c r="A245" s="178" t="s">
        <v>302</v>
      </c>
      <c r="B245" s="179">
        <f>(E241+E242)/E242*Vuvlo_off</f>
        <v>4.0202255639097739</v>
      </c>
      <c r="C245" s="16"/>
      <c r="F245" s="16"/>
      <c r="I245" s="28"/>
    </row>
    <row r="246" spans="1:9" ht="12.75" customHeight="1" x14ac:dyDescent="0.2">
      <c r="A246" s="178"/>
      <c r="B246" s="15"/>
      <c r="C246"/>
      <c r="I246" s="28"/>
    </row>
    <row r="247" spans="1:9" ht="12.75" customHeight="1" x14ac:dyDescent="0.2">
      <c r="A247" s="178" t="s">
        <v>297</v>
      </c>
      <c r="B247" s="330">
        <v>1.28</v>
      </c>
      <c r="C247" s="77" t="s">
        <v>0</v>
      </c>
      <c r="I247" s="28"/>
    </row>
    <row r="248" spans="1:9" ht="12.75" customHeight="1" x14ac:dyDescent="0.2">
      <c r="A248" s="178" t="s">
        <v>298</v>
      </c>
      <c r="B248" s="330">
        <v>1.17</v>
      </c>
      <c r="C248" s="77" t="s">
        <v>0</v>
      </c>
      <c r="I248" s="28"/>
    </row>
    <row r="249" spans="1:9" ht="12.75" customHeight="1" x14ac:dyDescent="0.2">
      <c r="A249" s="178" t="s">
        <v>342</v>
      </c>
      <c r="B249" s="330">
        <f>B247-B248</f>
        <v>0.1100000000000001</v>
      </c>
      <c r="C249" s="77" t="s">
        <v>0</v>
      </c>
      <c r="I249" s="28"/>
    </row>
    <row r="250" spans="1:9" ht="12.75" customHeight="1" x14ac:dyDescent="0.2">
      <c r="A250" s="178" t="s">
        <v>344</v>
      </c>
      <c r="B250" s="15">
        <v>6.0000000000000001E-3</v>
      </c>
      <c r="C250" s="77" t="s">
        <v>68</v>
      </c>
      <c r="E250" s="77"/>
      <c r="I250" s="28"/>
    </row>
    <row r="251" spans="1:9" ht="12.75" customHeight="1" x14ac:dyDescent="0.2">
      <c r="A251" s="178" t="s">
        <v>343</v>
      </c>
      <c r="B251" s="15"/>
      <c r="C251" s="77" t="s">
        <v>68</v>
      </c>
      <c r="E251" s="77"/>
      <c r="G251" s="77"/>
      <c r="I251" s="28"/>
    </row>
    <row r="252" spans="1:9" ht="12.75" customHeight="1" x14ac:dyDescent="0.2">
      <c r="A252" s="178" t="s">
        <v>299</v>
      </c>
      <c r="B252" s="15"/>
      <c r="C252" s="77" t="s">
        <v>68</v>
      </c>
      <c r="E252" s="77"/>
      <c r="H252" s="77"/>
      <c r="I252" s="28"/>
    </row>
    <row r="253" spans="1:9" ht="12.75" customHeight="1" x14ac:dyDescent="0.2">
      <c r="B253" s="15"/>
      <c r="C253"/>
      <c r="I253" s="28"/>
    </row>
    <row r="254" spans="1:9" ht="12.75" customHeight="1" x14ac:dyDescent="0.35">
      <c r="A254" s="27" t="s">
        <v>203</v>
      </c>
      <c r="B254" s="15">
        <v>20</v>
      </c>
      <c r="C254" s="16" t="s">
        <v>300</v>
      </c>
      <c r="I254" s="28"/>
    </row>
    <row r="255" spans="1:9" ht="12.75" customHeight="1" x14ac:dyDescent="0.35">
      <c r="A255" s="27" t="s">
        <v>204</v>
      </c>
      <c r="B255" s="15"/>
      <c r="C255" s="180" t="s">
        <v>118</v>
      </c>
      <c r="I255" s="28"/>
    </row>
    <row r="256" spans="1:9" ht="12.75" customHeight="1" x14ac:dyDescent="0.25">
      <c r="A256" s="27" t="s">
        <v>188</v>
      </c>
      <c r="B256" s="15">
        <v>0</v>
      </c>
      <c r="C256" s="180" t="s">
        <v>118</v>
      </c>
      <c r="I256" s="28"/>
    </row>
    <row r="257" spans="1:9" ht="12.75" customHeight="1" x14ac:dyDescent="0.25">
      <c r="A257" s="332" t="s">
        <v>516</v>
      </c>
      <c r="B257" s="15"/>
      <c r="C257" s="180" t="s">
        <v>118</v>
      </c>
      <c r="D257" s="310" t="s">
        <v>405</v>
      </c>
      <c r="E257" s="77" t="s">
        <v>714</v>
      </c>
      <c r="I257" s="28"/>
    </row>
    <row r="258" spans="1:9" ht="12.75" customHeight="1" x14ac:dyDescent="0.25">
      <c r="A258" s="178"/>
      <c r="B258" s="15"/>
      <c r="C258" s="180"/>
      <c r="I258" s="28"/>
    </row>
    <row r="259" spans="1:9" ht="12.75" customHeight="1" x14ac:dyDescent="0.2">
      <c r="A259" s="178"/>
      <c r="B259" s="327"/>
      <c r="C259" s="77"/>
      <c r="I259" s="28"/>
    </row>
    <row r="260" spans="1:9" ht="12.75" customHeight="1" x14ac:dyDescent="0.2">
      <c r="A260" s="178"/>
      <c r="B260" s="326"/>
      <c r="C260" s="77"/>
      <c r="I260" s="28"/>
    </row>
    <row r="261" spans="1:9" ht="12.75" customHeight="1" x14ac:dyDescent="0.2">
      <c r="A261" s="178"/>
      <c r="B261" s="326"/>
      <c r="C261" s="77"/>
      <c r="I261" s="28"/>
    </row>
    <row r="262" spans="1:9" ht="12.75" customHeight="1" thickBot="1" x14ac:dyDescent="0.3">
      <c r="A262" s="31"/>
      <c r="B262" s="41"/>
      <c r="C262" s="227"/>
      <c r="D262" s="32"/>
      <c r="E262" s="32"/>
      <c r="F262" s="32"/>
      <c r="G262" s="32"/>
      <c r="H262" s="32"/>
      <c r="I262" s="33"/>
    </row>
    <row r="263" spans="1:9" x14ac:dyDescent="0.25">
      <c r="B263" s="15"/>
      <c r="C263" s="228"/>
    </row>
    <row r="264" spans="1:9" ht="18" customHeight="1" thickBot="1" x14ac:dyDescent="0.3">
      <c r="A264" s="429" t="s">
        <v>886</v>
      </c>
      <c r="B264" s="15"/>
      <c r="C264" s="228"/>
    </row>
    <row r="265" spans="1:9" ht="12.75" customHeight="1" x14ac:dyDescent="0.25">
      <c r="A265" s="507" t="s">
        <v>887</v>
      </c>
      <c r="B265" s="502"/>
      <c r="C265" s="226"/>
      <c r="D265" s="223"/>
      <c r="E265" s="223"/>
      <c r="F265" s="223"/>
      <c r="G265" s="223"/>
      <c r="H265" s="223"/>
      <c r="I265" s="503"/>
    </row>
    <row r="266" spans="1:9" ht="12.75" customHeight="1" x14ac:dyDescent="0.25">
      <c r="A266" s="178" t="s">
        <v>897</v>
      </c>
      <c r="B266" s="15">
        <f>'CFG Setting'!F27-1</f>
        <v>2</v>
      </c>
      <c r="C266" s="228"/>
      <c r="E266" s="77" t="s">
        <v>903</v>
      </c>
      <c r="I266" s="28"/>
    </row>
    <row r="267" spans="1:9" ht="12.75" customHeight="1" x14ac:dyDescent="0.35">
      <c r="A267" s="178" t="s">
        <v>889</v>
      </c>
      <c r="B267" s="15"/>
      <c r="C267" s="228"/>
      <c r="I267" s="28"/>
    </row>
    <row r="268" spans="1:9" ht="12.75" customHeight="1" x14ac:dyDescent="0.25">
      <c r="A268" s="178" t="s">
        <v>401</v>
      </c>
      <c r="B268" s="327">
        <f>'Design Converter'!E70</f>
        <v>5</v>
      </c>
      <c r="C268" s="77" t="s">
        <v>2</v>
      </c>
      <c r="D268" s="180"/>
      <c r="E268" s="77"/>
      <c r="I268" s="28"/>
    </row>
    <row r="269" spans="1:9" ht="12.75" customHeight="1" x14ac:dyDescent="0.2">
      <c r="A269" s="178" t="s">
        <v>402</v>
      </c>
      <c r="B269" s="244">
        <v>50</v>
      </c>
      <c r="C269" s="77" t="s">
        <v>345</v>
      </c>
      <c r="E269" s="451" t="s">
        <v>821</v>
      </c>
      <c r="I269" s="28"/>
    </row>
    <row r="270" spans="1:9" ht="12.75" customHeight="1" x14ac:dyDescent="0.25">
      <c r="A270" s="178" t="s">
        <v>403</v>
      </c>
      <c r="B270" s="240">
        <f>IF(ISNUMBER( Constant_Current_Loop_Setpoint), Iout_threshold/Constant_Current_Loop_Setpoint, 0)</f>
        <v>10</v>
      </c>
      <c r="C270" s="16" t="s">
        <v>391</v>
      </c>
      <c r="I270" s="28"/>
    </row>
    <row r="271" spans="1:9" ht="12.75" customHeight="1" x14ac:dyDescent="0.2">
      <c r="A271" s="77" t="s">
        <v>869</v>
      </c>
      <c r="B271" s="240">
        <f>'CFG Setting'!F27</f>
        <v>3</v>
      </c>
      <c r="C271"/>
      <c r="E271" s="77" t="s">
        <v>890</v>
      </c>
      <c r="I271" s="28"/>
    </row>
    <row r="272" spans="1:9" ht="12.75" customHeight="1" x14ac:dyDescent="0.2">
      <c r="A272" t="s">
        <v>891</v>
      </c>
      <c r="B272" s="508">
        <f>DeviceParameter!B11</f>
        <v>1E-3</v>
      </c>
      <c r="C272" s="77" t="s">
        <v>70</v>
      </c>
      <c r="E272" s="77" t="s">
        <v>892</v>
      </c>
      <c r="I272" s="28"/>
    </row>
    <row r="273" spans="1:9" ht="12.75" customHeight="1" x14ac:dyDescent="0.2">
      <c r="A273" s="178" t="s">
        <v>893</v>
      </c>
      <c r="B273" s="251" t="str">
        <f>'Design Converter'!E71</f>
        <v>5</v>
      </c>
      <c r="C273" s="77" t="s">
        <v>0</v>
      </c>
      <c r="E273" s="77" t="s">
        <v>896</v>
      </c>
      <c r="I273" s="28"/>
    </row>
    <row r="274" spans="1:9" ht="12.75" customHeight="1" x14ac:dyDescent="0.25">
      <c r="A274" s="178" t="s">
        <v>894</v>
      </c>
      <c r="B274" s="509">
        <f>B273/(Constant_Current_Loop_Setpoint*Rshunt/1000*B272)</f>
        <v>100000</v>
      </c>
      <c r="C274" s="16" t="s">
        <v>314</v>
      </c>
      <c r="E274" s="77" t="s">
        <v>895</v>
      </c>
      <c r="I274" s="28"/>
    </row>
    <row r="275" spans="1:9" ht="12.75" customHeight="1" x14ac:dyDescent="0.25">
      <c r="A275" s="37" t="s">
        <v>888</v>
      </c>
      <c r="B275" s="15"/>
      <c r="C275" s="228"/>
      <c r="I275" s="28"/>
    </row>
    <row r="276" spans="1:9" ht="12.75" customHeight="1" x14ac:dyDescent="0.35">
      <c r="A276" s="178" t="s">
        <v>904</v>
      </c>
      <c r="B276" s="15"/>
      <c r="C276" s="228"/>
      <c r="I276" s="28"/>
    </row>
    <row r="277" spans="1:9" ht="12.75" customHeight="1" x14ac:dyDescent="0.35">
      <c r="A277" s="178" t="s">
        <v>905</v>
      </c>
      <c r="B277" s="15"/>
      <c r="C277" s="228"/>
      <c r="I277" s="28"/>
    </row>
    <row r="278" spans="1:9" ht="12.75" customHeight="1" x14ac:dyDescent="0.25">
      <c r="A278" s="178"/>
      <c r="B278" s="15"/>
      <c r="C278" s="228"/>
      <c r="I278" s="28"/>
    </row>
    <row r="279" spans="1:9" x14ac:dyDescent="0.25">
      <c r="A279" s="2" t="s">
        <v>909</v>
      </c>
      <c r="B279" s="318"/>
      <c r="C279"/>
      <c r="D279" s="77"/>
      <c r="I279" s="28"/>
    </row>
    <row r="280" spans="1:9" ht="12.9" x14ac:dyDescent="0.2">
      <c r="A280" s="77" t="s">
        <v>919</v>
      </c>
      <c r="B280" s="547">
        <f>DeviceParameter!B12</f>
        <v>2.0000000000000001E-4</v>
      </c>
      <c r="C280" s="77" t="s">
        <v>70</v>
      </c>
      <c r="D280" s="77" t="s">
        <v>454</v>
      </c>
      <c r="I280" s="28"/>
    </row>
    <row r="281" spans="1:9" ht="12.9" x14ac:dyDescent="0.2">
      <c r="A281" s="77" t="s">
        <v>920</v>
      </c>
      <c r="B281" s="305">
        <v>2</v>
      </c>
      <c r="C281" s="77" t="s">
        <v>213</v>
      </c>
      <c r="D281" s="77" t="s">
        <v>583</v>
      </c>
      <c r="I281" s="28"/>
    </row>
    <row r="282" spans="1:9" ht="12.9" x14ac:dyDescent="0.2">
      <c r="A282" s="77" t="s">
        <v>921</v>
      </c>
      <c r="B282" s="488">
        <f>gm_IL/(2*Pi*GBW_IL*1000000)</f>
        <v>1.5915494309189536E-11</v>
      </c>
      <c r="C282" s="77" t="s">
        <v>26</v>
      </c>
      <c r="D282" s="77" t="s">
        <v>582</v>
      </c>
      <c r="I282" s="28"/>
    </row>
    <row r="283" spans="1:9" x14ac:dyDescent="0.25">
      <c r="A283" s="77" t="s">
        <v>922</v>
      </c>
      <c r="B283" s="325">
        <v>20000000</v>
      </c>
      <c r="C283" s="180" t="s">
        <v>118</v>
      </c>
      <c r="D283" s="77" t="s">
        <v>581</v>
      </c>
      <c r="I283" s="28"/>
    </row>
    <row r="284" spans="1:9" x14ac:dyDescent="0.25">
      <c r="A284" s="77" t="s">
        <v>980</v>
      </c>
      <c r="B284" s="325">
        <f>gm_IL*RoEA_IL</f>
        <v>4000</v>
      </c>
      <c r="C284" s="180"/>
      <c r="D284" s="77"/>
      <c r="I284" s="28"/>
    </row>
    <row r="285" spans="1:9" ht="12.9" x14ac:dyDescent="0.2">
      <c r="A285" s="77" t="s">
        <v>910</v>
      </c>
      <c r="B285" s="318">
        <f>1/(2*Pi*(RoEA+B288)*B289)</f>
        <v>7.2338092284401609</v>
      </c>
      <c r="C285"/>
      <c r="D285" s="77"/>
      <c r="I285" s="28"/>
    </row>
    <row r="286" spans="1:9" ht="12.9" x14ac:dyDescent="0.2">
      <c r="A286" s="77" t="s">
        <v>911</v>
      </c>
      <c r="B286" s="318">
        <f>1/(2*Pi*B288*(B289+Cbw))</f>
        <v>103003.44590483083</v>
      </c>
      <c r="C286"/>
      <c r="D286" s="77"/>
      <c r="I286" s="28"/>
    </row>
    <row r="287" spans="1:9" ht="12.9" x14ac:dyDescent="0.2">
      <c r="A287" s="77" t="s">
        <v>997</v>
      </c>
      <c r="B287" s="517">
        <f>Cout/2</f>
        <v>6.4999999999999994E-5</v>
      </c>
      <c r="C287" s="77" t="s">
        <v>26</v>
      </c>
      <c r="D287" s="77"/>
      <c r="E287" t="s">
        <v>1030</v>
      </c>
      <c r="F287">
        <f>Co2_</f>
        <v>6.4999999999999994E-5</v>
      </c>
      <c r="G287" s="77" t="s">
        <v>26</v>
      </c>
      <c r="I287" s="28"/>
    </row>
    <row r="288" spans="1:9" x14ac:dyDescent="0.25">
      <c r="A288" s="77" t="s">
        <v>912</v>
      </c>
      <c r="B288" s="516">
        <f>'Design Converter'!M92*1000</f>
        <v>700</v>
      </c>
      <c r="C288" s="180" t="s">
        <v>118</v>
      </c>
      <c r="D288" s="77"/>
      <c r="I288" s="28"/>
    </row>
    <row r="289" spans="1:9" ht="12.9" x14ac:dyDescent="0.2">
      <c r="A289" s="77" t="s">
        <v>913</v>
      </c>
      <c r="B289" s="516">
        <f>'Design Converter'!M91*0.000000001</f>
        <v>2.2000000000000003E-9</v>
      </c>
      <c r="C289" t="s">
        <v>26</v>
      </c>
      <c r="D289" s="77"/>
      <c r="I289" s="28"/>
    </row>
    <row r="290" spans="1:9" ht="12.9" x14ac:dyDescent="0.2">
      <c r="A290" s="77" t="s">
        <v>914</v>
      </c>
      <c r="B290" s="516">
        <v>1.0000000000000001E-15</v>
      </c>
      <c r="C290" t="s">
        <v>26</v>
      </c>
      <c r="D290" s="77"/>
      <c r="I290" s="28"/>
    </row>
    <row r="291" spans="1:9" ht="12.75" customHeight="1" x14ac:dyDescent="0.25">
      <c r="A291" s="178"/>
      <c r="B291" s="15"/>
      <c r="C291" s="228"/>
      <c r="I291" s="28"/>
    </row>
    <row r="292" spans="1:9" ht="12.75" customHeight="1" x14ac:dyDescent="0.2">
      <c r="A292" s="178" t="s">
        <v>981</v>
      </c>
      <c r="B292" s="488">
        <f>DeviceParameter!B12/10^((20*LOG(3*f_cross_Bode*1000)+'IL Stability Calculations'!BE13)/20)</f>
        <v>1.3960048602141129E-9</v>
      </c>
      <c r="C292" t="s">
        <v>26</v>
      </c>
      <c r="D292" s="77" t="s">
        <v>1041</v>
      </c>
      <c r="F292" s="488">
        <f>'Standard Value Calculator'!O23</f>
        <v>1.5E-9</v>
      </c>
      <c r="G292" t="s">
        <v>26</v>
      </c>
      <c r="I292" s="28"/>
    </row>
    <row r="293" spans="1:9" ht="12.75" customHeight="1" thickBot="1" x14ac:dyDescent="0.3">
      <c r="A293" s="504" t="s">
        <v>982</v>
      </c>
      <c r="B293" s="605">
        <f>1/(2*PI()*C_IL_recommend*20*3*f_cross_Bode*1000)</f>
        <v>477.2861854381008</v>
      </c>
      <c r="C293" s="606" t="s">
        <v>118</v>
      </c>
      <c r="D293" s="500" t="s">
        <v>983</v>
      </c>
      <c r="E293" s="505"/>
      <c r="F293" s="605">
        <f>'Standard Value Calculator'!O24</f>
        <v>475</v>
      </c>
      <c r="G293" s="606" t="s">
        <v>118</v>
      </c>
      <c r="H293" s="505"/>
      <c r="I293" s="506"/>
    </row>
    <row r="294" spans="1:9" x14ac:dyDescent="0.25">
      <c r="B294" s="15"/>
      <c r="C294" s="228"/>
    </row>
    <row r="295" spans="1:9" ht="16.3" thickBot="1" x14ac:dyDescent="0.3">
      <c r="A295" s="429" t="s">
        <v>776</v>
      </c>
    </row>
    <row r="296" spans="1:9" x14ac:dyDescent="0.25">
      <c r="A296" s="306" t="s">
        <v>41</v>
      </c>
      <c r="B296" s="457">
        <f>PI()</f>
        <v>3.1415926535897931</v>
      </c>
      <c r="C296" s="307"/>
      <c r="D296" s="308" t="s">
        <v>465</v>
      </c>
      <c r="E296" s="34"/>
      <c r="F296" s="34"/>
      <c r="G296" s="34"/>
      <c r="H296" s="34"/>
      <c r="I296" s="35"/>
    </row>
    <row r="297" spans="1:9" x14ac:dyDescent="0.25">
      <c r="A297" s="77" t="s">
        <v>480</v>
      </c>
      <c r="B297" s="458">
        <v>10</v>
      </c>
      <c r="C297" s="17"/>
      <c r="D297" s="180"/>
      <c r="I297" s="28"/>
    </row>
    <row r="298" spans="1:9" x14ac:dyDescent="0.25">
      <c r="A298" s="77" t="s">
        <v>453</v>
      </c>
      <c r="B298">
        <f>Rs*CSAmp_gain</f>
        <v>1.2999999999999999E-2</v>
      </c>
      <c r="C298" s="180" t="s">
        <v>118</v>
      </c>
      <c r="D298" s="77" t="s">
        <v>471</v>
      </c>
      <c r="I298" s="28"/>
    </row>
    <row r="299" spans="1:9" ht="12.9" x14ac:dyDescent="0.2">
      <c r="A299" s="77" t="s">
        <v>437</v>
      </c>
      <c r="B299" s="460">
        <v>5.9999999999999995E-4</v>
      </c>
      <c r="C299" s="77" t="s">
        <v>70</v>
      </c>
      <c r="D299" s="77" t="s">
        <v>454</v>
      </c>
      <c r="I299" s="28"/>
    </row>
    <row r="300" spans="1:9" ht="12.9" x14ac:dyDescent="0.2">
      <c r="A300" s="77" t="s">
        <v>392</v>
      </c>
      <c r="B300" s="460">
        <v>2.4999999999999998E-12</v>
      </c>
      <c r="C300" s="77"/>
      <c r="D300" s="77" t="s">
        <v>865</v>
      </c>
      <c r="I300" s="28"/>
    </row>
    <row r="301" spans="1:9" ht="12.9" x14ac:dyDescent="0.2">
      <c r="A301" s="77" t="s">
        <v>478</v>
      </c>
      <c r="B301" s="460">
        <f>0.00000002*125000*0.75</f>
        <v>1.8749999999999999E-3</v>
      </c>
      <c r="C301" s="77" t="s">
        <v>70</v>
      </c>
      <c r="D301" s="77" t="s">
        <v>479</v>
      </c>
      <c r="I301" s="28"/>
    </row>
    <row r="302" spans="1:9" ht="12.9" x14ac:dyDescent="0.2">
      <c r="A302" s="77" t="s">
        <v>492</v>
      </c>
      <c r="B302" s="460">
        <v>0</v>
      </c>
      <c r="C302" s="77" t="s">
        <v>2</v>
      </c>
      <c r="D302" s="77" t="s">
        <v>503</v>
      </c>
      <c r="I302" s="28"/>
    </row>
    <row r="303" spans="1:9" ht="12.9" x14ac:dyDescent="0.2">
      <c r="A303" s="77"/>
      <c r="B303" s="323"/>
      <c r="C303" s="77"/>
      <c r="D303" s="77"/>
      <c r="I303" s="28"/>
    </row>
    <row r="304" spans="1:9" ht="12.9" x14ac:dyDescent="0.2">
      <c r="A304" s="77" t="s">
        <v>571</v>
      </c>
      <c r="B304" s="303">
        <f>Isc_const/(Cslope)</f>
        <v>0</v>
      </c>
      <c r="C304" s="77" t="s">
        <v>393</v>
      </c>
      <c r="D304" s="77"/>
      <c r="I304" s="28"/>
    </row>
    <row r="305" spans="1:9" ht="12.9" x14ac:dyDescent="0.2">
      <c r="A305" s="77" t="s">
        <v>572</v>
      </c>
      <c r="B305" s="241">
        <f>(ABS((Vin-Vout))*gm_slopecomp)/(Cslope*Rslope)</f>
        <v>42979.942693409743</v>
      </c>
      <c r="C305" s="77" t="s">
        <v>393</v>
      </c>
      <c r="D305" s="77"/>
      <c r="I305" s="28"/>
    </row>
    <row r="306" spans="1:9" ht="12.9" x14ac:dyDescent="0.2">
      <c r="A306" s="77" t="s">
        <v>455</v>
      </c>
      <c r="B306" s="311">
        <f>Se_fixed+Se_proportional</f>
        <v>42979.942693409743</v>
      </c>
      <c r="C306" s="312" t="s">
        <v>393</v>
      </c>
      <c r="D306" s="312" t="s">
        <v>579</v>
      </c>
      <c r="E306" s="312"/>
      <c r="I306" s="28"/>
    </row>
    <row r="307" spans="1:9" ht="12.9" x14ac:dyDescent="0.2">
      <c r="A307" s="77"/>
      <c r="B307" s="311"/>
      <c r="C307" s="312"/>
      <c r="D307" s="312"/>
      <c r="E307" s="312"/>
      <c r="I307" s="28"/>
    </row>
    <row r="308" spans="1:9" ht="12.9" x14ac:dyDescent="0.2">
      <c r="A308" s="77" t="s">
        <v>576</v>
      </c>
      <c r="B308" s="370">
        <f>Se_fixed/Fsw</f>
        <v>0</v>
      </c>
      <c r="C308" s="312" t="s">
        <v>393</v>
      </c>
      <c r="D308" s="312" t="s">
        <v>586</v>
      </c>
      <c r="E308" s="312"/>
      <c r="I308" s="28"/>
    </row>
    <row r="309" spans="1:9" ht="12.9" x14ac:dyDescent="0.2">
      <c r="A309" s="77" t="s">
        <v>577</v>
      </c>
      <c r="B309" s="370">
        <f>Se_proportional/Fsw</f>
        <v>0.10798980576233604</v>
      </c>
      <c r="C309" s="312" t="s">
        <v>393</v>
      </c>
      <c r="D309" s="312" t="s">
        <v>587</v>
      </c>
      <c r="E309" s="312"/>
      <c r="I309" s="28"/>
    </row>
    <row r="310" spans="1:9" ht="12.9" x14ac:dyDescent="0.2">
      <c r="A310" s="77" t="s">
        <v>578</v>
      </c>
      <c r="B310" s="370">
        <f>Se/Fsw</f>
        <v>0.10798980576233604</v>
      </c>
      <c r="C310" s="312" t="s">
        <v>393</v>
      </c>
      <c r="D310" s="312" t="s">
        <v>588</v>
      </c>
      <c r="I310" s="28"/>
    </row>
    <row r="311" spans="1:9" ht="12.9" x14ac:dyDescent="0.2">
      <c r="A311" s="77" t="s">
        <v>585</v>
      </c>
      <c r="B311" s="370">
        <f>gm_slopecomp/(Cslope*Fsw)</f>
        <v>1884.4221105527638</v>
      </c>
      <c r="C311" s="312"/>
      <c r="D311" s="312" t="s">
        <v>589</v>
      </c>
      <c r="I311" s="28"/>
    </row>
    <row r="312" spans="1:9" ht="12.9" x14ac:dyDescent="0.2">
      <c r="A312" s="77"/>
      <c r="B312" s="313"/>
      <c r="C312" s="312"/>
      <c r="D312" s="312" t="s">
        <v>590</v>
      </c>
      <c r="I312" s="28"/>
    </row>
    <row r="313" spans="1:9" ht="12.9" x14ac:dyDescent="0.2">
      <c r="A313" s="77"/>
      <c r="B313" s="313"/>
      <c r="C313" s="312"/>
      <c r="D313" s="312"/>
      <c r="I313" s="28"/>
    </row>
    <row r="314" spans="1:9" x14ac:dyDescent="0.25">
      <c r="A314" s="77" t="s">
        <v>573</v>
      </c>
      <c r="B314" s="309">
        <f>(ABS((Vin-Vout))*gm_slopecomp+Isc_const)/(Cslope*Rslope*Ri)</f>
        <v>3306149.4379545958</v>
      </c>
      <c r="C314" s="295" t="s">
        <v>456</v>
      </c>
      <c r="D314" s="295" t="s">
        <v>481</v>
      </c>
      <c r="I314" s="28"/>
    </row>
    <row r="315" spans="1:9" x14ac:dyDescent="0.25">
      <c r="A315" s="77" t="s">
        <v>457</v>
      </c>
      <c r="B315" s="309">
        <f>IF(VIN_nom&gt;Vout, (Vin-Vout)/Lf, Vin/Lf)</f>
        <v>6666666.666666666</v>
      </c>
      <c r="C315" s="295" t="s">
        <v>456</v>
      </c>
      <c r="D315" s="295" t="s">
        <v>458</v>
      </c>
      <c r="I315" s="28"/>
    </row>
    <row r="316" spans="1:9" x14ac:dyDescent="0.25">
      <c r="A316" s="77" t="s">
        <v>476</v>
      </c>
      <c r="B316" s="309">
        <f>IF(VIN_nom&gt;Vout, Vout/Lf, (Vout-Vin)/Lf)</f>
        <v>2222222.222222222</v>
      </c>
      <c r="C316" s="295" t="s">
        <v>456</v>
      </c>
      <c r="D316" s="295" t="s">
        <v>475</v>
      </c>
      <c r="I316" s="28"/>
    </row>
    <row r="317" spans="1:9" x14ac:dyDescent="0.25">
      <c r="A317" s="77"/>
      <c r="B317" s="309"/>
      <c r="C317" s="295"/>
      <c r="D317" s="295"/>
      <c r="I317" s="28"/>
    </row>
    <row r="318" spans="1:9" x14ac:dyDescent="0.25">
      <c r="A318" s="77" t="s">
        <v>482</v>
      </c>
      <c r="B318" s="319">
        <f>Se/1000</f>
        <v>42.97994269340974</v>
      </c>
      <c r="C318" s="320" t="s">
        <v>530</v>
      </c>
      <c r="D318" s="320" t="s">
        <v>490</v>
      </c>
      <c r="I318" s="28"/>
    </row>
    <row r="319" spans="1:9" x14ac:dyDescent="0.25">
      <c r="A319" s="77" t="s">
        <v>488</v>
      </c>
      <c r="B319" s="319">
        <f>Sn*Ri/1000</f>
        <v>86.666666666666657</v>
      </c>
      <c r="C319" s="320" t="s">
        <v>530</v>
      </c>
      <c r="D319" s="320" t="s">
        <v>491</v>
      </c>
      <c r="I319" s="28"/>
    </row>
    <row r="320" spans="1:9" x14ac:dyDescent="0.25">
      <c r="A320" s="77" t="s">
        <v>489</v>
      </c>
      <c r="B320" s="319">
        <f>Sf*Ri/1000</f>
        <v>28.888888888888882</v>
      </c>
      <c r="C320" s="320" t="s">
        <v>530</v>
      </c>
      <c r="D320" s="320" t="s">
        <v>491</v>
      </c>
      <c r="I320" s="28"/>
    </row>
    <row r="321" spans="1:9" x14ac:dyDescent="0.25">
      <c r="A321" s="77"/>
      <c r="B321" s="319"/>
      <c r="C321" s="320"/>
      <c r="D321" s="320"/>
      <c r="I321" s="28"/>
    </row>
    <row r="322" spans="1:9" x14ac:dyDescent="0.25">
      <c r="A322" s="77" t="s">
        <v>716</v>
      </c>
      <c r="B322" s="397">
        <f>(1-Don_Vinmax_2)/Fsw</f>
        <v>1.3936789003556425E-6</v>
      </c>
      <c r="C322" s="312" t="s">
        <v>715</v>
      </c>
      <c r="D322" s="320"/>
      <c r="I322" s="28"/>
    </row>
    <row r="323" spans="1:9" x14ac:dyDescent="0.25">
      <c r="A323" s="77"/>
      <c r="B323" s="397"/>
      <c r="C323" s="312"/>
      <c r="D323" s="320"/>
      <c r="I323" s="28"/>
    </row>
    <row r="324" spans="1:9" x14ac:dyDescent="0.25">
      <c r="A324" s="77" t="s">
        <v>720</v>
      </c>
      <c r="B324" s="397">
        <f>IF(VIN_min&gt;Vout, (1-Don_Vinmin_2)/Fsw, Don_Vinmin_2/Fsw)</f>
        <v>1.5845273188213281E-6</v>
      </c>
      <c r="C324" s="312" t="s">
        <v>715</v>
      </c>
      <c r="D324" s="320"/>
      <c r="I324" s="28"/>
    </row>
    <row r="325" spans="1:9" x14ac:dyDescent="0.25">
      <c r="A325" s="77"/>
      <c r="B325" s="396"/>
      <c r="C325" s="312"/>
      <c r="D325" s="320"/>
      <c r="I325" s="28"/>
    </row>
    <row r="326" spans="1:9" x14ac:dyDescent="0.25">
      <c r="A326" s="77" t="s">
        <v>718</v>
      </c>
      <c r="B326" s="398">
        <f>1.6+5*Rs*(-Iripple_Vinmax/2)-(gm_slopecomp*(VIN_max-Vout)+Isc_const)/(Cslope*Rslope)*Toff_Vinmax</f>
        <v>1.2600946623199143</v>
      </c>
      <c r="C326" s="399" t="s">
        <v>0</v>
      </c>
      <c r="D326" s="399" t="s">
        <v>719</v>
      </c>
      <c r="F326" s="314">
        <f>1.6+5*Rs*(Iripple_Vinmax/2)+(gm_slopecomp*(Vout-VIN_max)+Isc_const)/(Cslope*Rslope)*Don_Vinmax_2/Fsw</f>
        <v>1.3999563088684057</v>
      </c>
      <c r="G326" s="295" t="s">
        <v>400</v>
      </c>
      <c r="I326" s="28"/>
    </row>
    <row r="327" spans="1:9" x14ac:dyDescent="0.25">
      <c r="A327" s="77" t="s">
        <v>717</v>
      </c>
      <c r="B327" s="398">
        <f>1.6+5*Rs*(Iin_Vinmin+Iripple_Vinmin/2)+(gm_slopecomp*(Vout-VIN_min)+Isc_const)/(Cslope*Rslope)*Ton_Vinmin</f>
        <v>1.9333878582989734</v>
      </c>
      <c r="C327" s="399" t="s">
        <v>0</v>
      </c>
      <c r="D327" s="399" t="s">
        <v>400</v>
      </c>
      <c r="F327" s="314">
        <f>1.6+5*Rs*(-Iripple_Vinmin/2)-(gm_slopecomp*(VIN_min-Vout)+Isc_const)/(Cslope*Rslope)*(1-Don_Vinmin_2)/Fsw</f>
        <v>1.6825515683875685</v>
      </c>
      <c r="G327" s="295" t="s">
        <v>719</v>
      </c>
      <c r="I327" s="28"/>
    </row>
    <row r="328" spans="1:9" x14ac:dyDescent="0.25">
      <c r="A328" s="77"/>
      <c r="B328" s="319"/>
      <c r="C328" s="320"/>
      <c r="D328" s="320"/>
      <c r="I328" s="28"/>
    </row>
    <row r="329" spans="1:9" x14ac:dyDescent="0.25">
      <c r="A329" s="77"/>
      <c r="B329" s="357">
        <f>IF(VIN_max&gt;Vout, B326,F326)</f>
        <v>1.2600946623199143</v>
      </c>
      <c r="C329" s="320"/>
      <c r="D329" s="320"/>
      <c r="I329" s="28"/>
    </row>
    <row r="330" spans="1:9" x14ac:dyDescent="0.25">
      <c r="A330" s="77"/>
      <c r="B330" s="357">
        <f>IF(VIN_min&lt;Vout, B327,F327)</f>
        <v>1.9333878582989734</v>
      </c>
      <c r="C330" s="320"/>
      <c r="D330" s="320"/>
      <c r="I330" s="28"/>
    </row>
    <row r="331" spans="1:9" x14ac:dyDescent="0.25">
      <c r="A331" s="77"/>
      <c r="B331" s="357"/>
      <c r="C331" s="320"/>
      <c r="D331" s="320"/>
      <c r="I331" s="28"/>
    </row>
    <row r="332" spans="1:9" x14ac:dyDescent="0.25">
      <c r="A332" s="77"/>
      <c r="B332" s="319"/>
      <c r="C332" s="320"/>
      <c r="D332" s="295"/>
      <c r="I332" s="28"/>
    </row>
    <row r="333" spans="1:9" ht="12.9" x14ac:dyDescent="0.2">
      <c r="A333" s="77" t="s">
        <v>528</v>
      </c>
      <c r="B333" s="293">
        <f>1+Se_ext/Sf</f>
        <v>2.4877672470795682</v>
      </c>
      <c r="C333"/>
      <c r="D333" s="77" t="s">
        <v>477</v>
      </c>
      <c r="I333" s="28"/>
    </row>
    <row r="334" spans="1:9" x14ac:dyDescent="0.25">
      <c r="A334" s="77" t="s">
        <v>529</v>
      </c>
      <c r="B334" s="314">
        <f>mc_buck*Don_Vinnom_2</f>
        <v>0.62810138158513085</v>
      </c>
      <c r="C334" s="295"/>
      <c r="D334" s="295" t="s">
        <v>474</v>
      </c>
      <c r="I334" s="28"/>
    </row>
    <row r="335" spans="1:9" x14ac:dyDescent="0.25">
      <c r="A335" s="2" t="s">
        <v>520</v>
      </c>
      <c r="B335" s="333">
        <f>1+Se_ext/Sn</f>
        <v>1.4959224156931894</v>
      </c>
      <c r="C335" s="295"/>
      <c r="D335" s="77" t="s">
        <v>584</v>
      </c>
      <c r="I335" s="28"/>
    </row>
    <row r="336" spans="1:9" x14ac:dyDescent="0.25">
      <c r="A336" s="2" t="s">
        <v>521</v>
      </c>
      <c r="B336" s="314">
        <f>mc_boost*(1-Don_Vinnom_2)</f>
        <v>1.1182379931878044</v>
      </c>
      <c r="C336" s="295"/>
      <c r="D336" s="295" t="s">
        <v>531</v>
      </c>
      <c r="I336" s="28"/>
    </row>
    <row r="337" spans="1:9" x14ac:dyDescent="0.25">
      <c r="A337" s="2"/>
      <c r="B337" s="333"/>
      <c r="C337" s="295"/>
      <c r="D337" s="295"/>
      <c r="I337" s="28"/>
    </row>
    <row r="338" spans="1:9" x14ac:dyDescent="0.25">
      <c r="A338" s="2" t="s">
        <v>459</v>
      </c>
      <c r="B338" s="314">
        <f>IF(VIN_nom&gt;Vout, mc_buck, mc_boost)</f>
        <v>1.4959224156931894</v>
      </c>
      <c r="C338" s="295"/>
      <c r="D338" s="295"/>
      <c r="I338" s="28"/>
    </row>
    <row r="339" spans="1:9" x14ac:dyDescent="0.25">
      <c r="A339" s="2" t="s">
        <v>436</v>
      </c>
      <c r="B339" s="357">
        <f>IF(VIN_nom&gt;Vout, k_buck, k_boost)</f>
        <v>1.1182379931878044</v>
      </c>
      <c r="C339" s="295"/>
      <c r="D339" s="295"/>
      <c r="I339" s="28"/>
    </row>
    <row r="340" spans="1:9" ht="12.9" x14ac:dyDescent="0.2">
      <c r="A340" s="77" t="s">
        <v>29</v>
      </c>
      <c r="B340" s="293">
        <f>1/Pi/(k-0.5)</f>
        <v>0.51486626459577123</v>
      </c>
      <c r="C340"/>
      <c r="D340" s="77" t="s">
        <v>469</v>
      </c>
      <c r="F340" s="77" t="s">
        <v>484</v>
      </c>
      <c r="I340" s="28"/>
    </row>
    <row r="341" spans="1:9" ht="12.9" x14ac:dyDescent="0.2">
      <c r="A341" s="77"/>
      <c r="B341" s="293"/>
      <c r="C341"/>
      <c r="D341" s="77"/>
      <c r="F341" s="77"/>
      <c r="I341" s="28"/>
    </row>
    <row r="342" spans="1:9" x14ac:dyDescent="0.25">
      <c r="A342" s="2" t="s">
        <v>569</v>
      </c>
      <c r="B342" s="348">
        <f>1/((0.5-Don_Vinnom_2)*Ri/(Fsw*Lf)+V_sc_fixed/Vout+K_SL*Don_Vinnom_2)</f>
        <v>2.1018305767427845E-3</v>
      </c>
      <c r="C342" s="77"/>
      <c r="D342" s="77"/>
      <c r="E342" s="77"/>
      <c r="I342" s="28"/>
    </row>
    <row r="343" spans="1:9" x14ac:dyDescent="0.25">
      <c r="A343" s="2" t="s">
        <v>591</v>
      </c>
      <c r="B343" s="302">
        <f>0.5*Ri/(Lf*Fsw)*Don_Vinnom_2*(1-Don_Vinnom_2)+K_SL*Don_Vinnom_2^2</f>
        <v>120.12250719570915</v>
      </c>
      <c r="C343" s="77"/>
      <c r="D343" s="77"/>
      <c r="E343" s="77"/>
      <c r="I343" s="28"/>
    </row>
    <row r="344" spans="1:9" x14ac:dyDescent="0.25">
      <c r="A344" s="2" t="s">
        <v>570</v>
      </c>
      <c r="B344" s="348">
        <f>1+Ro/Rout+Rout*(1-Don_Vinnom_2)^2/Ri*(1/KM+K_1/(1-Don_Vinnom_2))</f>
        <v>54718.037607795588</v>
      </c>
      <c r="C344" s="77"/>
      <c r="E344" s="77"/>
      <c r="I344" s="28"/>
    </row>
    <row r="345" spans="1:9" ht="12.9" x14ac:dyDescent="0.2">
      <c r="A345" s="77"/>
      <c r="B345" s="293"/>
      <c r="C345"/>
      <c r="D345" s="77"/>
      <c r="F345" s="77"/>
      <c r="I345" s="28"/>
    </row>
    <row r="346" spans="1:9" x14ac:dyDescent="0.25">
      <c r="A346" s="295" t="s">
        <v>532</v>
      </c>
      <c r="B346" s="293"/>
      <c r="C346"/>
      <c r="D346" s="77"/>
      <c r="I346" s="28"/>
    </row>
    <row r="347" spans="1:9" ht="12.9" x14ac:dyDescent="0.2">
      <c r="A347" s="77" t="s">
        <v>460</v>
      </c>
      <c r="B347" s="305">
        <v>13</v>
      </c>
      <c r="C347" s="77" t="s">
        <v>213</v>
      </c>
      <c r="D347" s="77" t="s">
        <v>583</v>
      </c>
      <c r="I347" s="28"/>
    </row>
    <row r="348" spans="1:9" ht="12.9" x14ac:dyDescent="0.2">
      <c r="A348" s="77" t="s">
        <v>461</v>
      </c>
      <c r="B348" s="11">
        <f>gm/(2*Pi*GBW*1000000)</f>
        <v>7.3456127580874771E-12</v>
      </c>
      <c r="C348" s="77" t="s">
        <v>26</v>
      </c>
      <c r="D348" s="77" t="s">
        <v>582</v>
      </c>
      <c r="I348" s="28"/>
    </row>
    <row r="349" spans="1:9" x14ac:dyDescent="0.25">
      <c r="A349" s="77" t="s">
        <v>462</v>
      </c>
      <c r="B349" s="325">
        <v>10000000</v>
      </c>
      <c r="C349" s="180" t="s">
        <v>118</v>
      </c>
      <c r="D349" s="77" t="s">
        <v>581</v>
      </c>
      <c r="I349" s="28"/>
    </row>
    <row r="350" spans="1:9" x14ac:dyDescent="0.25">
      <c r="A350" s="77" t="s">
        <v>819</v>
      </c>
      <c r="B350">
        <f>gm*RoEA</f>
        <v>5999.9999999999991</v>
      </c>
      <c r="C350" s="180"/>
      <c r="D350" s="77"/>
      <c r="I350" s="28"/>
    </row>
    <row r="351" spans="1:9" ht="12.9" x14ac:dyDescent="0.2">
      <c r="A351" s="77" t="s">
        <v>820</v>
      </c>
      <c r="B351" s="4">
        <f>20*LOG(B350)</f>
        <v>75.563025007672863</v>
      </c>
      <c r="C351" s="77" t="s">
        <v>818</v>
      </c>
      <c r="D351" s="77"/>
      <c r="I351" s="28"/>
    </row>
    <row r="352" spans="1:9" x14ac:dyDescent="0.25">
      <c r="A352" s="2" t="s">
        <v>463</v>
      </c>
      <c r="B352" s="241">
        <f>gm*RoEA</f>
        <v>5999.9999999999991</v>
      </c>
      <c r="C352" s="77" t="s">
        <v>30</v>
      </c>
      <c r="D352" s="77" t="s">
        <v>580</v>
      </c>
      <c r="I352" s="28"/>
    </row>
    <row r="353" spans="1:12" x14ac:dyDescent="0.25">
      <c r="A353" s="2" t="s">
        <v>464</v>
      </c>
      <c r="B353" s="4">
        <f>Vref/Vout</f>
        <v>6.25E-2</v>
      </c>
      <c r="C353" s="77" t="s">
        <v>30</v>
      </c>
      <c r="D353" s="77" t="s">
        <v>575</v>
      </c>
      <c r="I353" s="28"/>
    </row>
    <row r="354" spans="1:12" x14ac:dyDescent="0.25">
      <c r="A354" s="2" t="s">
        <v>421</v>
      </c>
      <c r="B354" s="77">
        <f>1/Ri</f>
        <v>76.92307692307692</v>
      </c>
      <c r="C354" s="77"/>
      <c r="D354" s="77" t="s">
        <v>470</v>
      </c>
      <c r="I354" s="28"/>
      <c r="L354">
        <f>Ri</f>
        <v>1.2999999999999999E-2</v>
      </c>
    </row>
    <row r="355" spans="1:12" x14ac:dyDescent="0.25">
      <c r="A355" s="2" t="s">
        <v>519</v>
      </c>
      <c r="B355" s="19">
        <f>Ro/Ri*1/((1+Ro*(k-0.5)/(Fsw*Lf)))</f>
        <v>56.437472417250667</v>
      </c>
      <c r="C355"/>
      <c r="D355" s="2" t="s">
        <v>574</v>
      </c>
      <c r="I355" s="28"/>
      <c r="J355" s="461" t="s">
        <v>850</v>
      </c>
    </row>
    <row r="356" spans="1:12" x14ac:dyDescent="0.25">
      <c r="A356" s="2" t="s">
        <v>522</v>
      </c>
      <c r="B356" s="19">
        <f>Rout*(1-Don_Vinnom_2)/(2*Ri)</f>
        <v>57.501850541114436</v>
      </c>
      <c r="C356"/>
      <c r="D356" s="295" t="s">
        <v>533</v>
      </c>
      <c r="I356" s="28"/>
      <c r="J356" s="461" t="s">
        <v>849</v>
      </c>
    </row>
    <row r="357" spans="1:12" x14ac:dyDescent="0.25">
      <c r="A357" s="2" t="s">
        <v>426</v>
      </c>
      <c r="B357" s="19">
        <f>IF(VIN_nom&gt;Vout, Am_buck, Am_boost)</f>
        <v>57.501850541114436</v>
      </c>
      <c r="C357"/>
      <c r="D357" s="77" t="s">
        <v>592</v>
      </c>
      <c r="I357" s="28"/>
    </row>
    <row r="358" spans="1:12" x14ac:dyDescent="0.25">
      <c r="A358" s="2"/>
      <c r="B358" s="4"/>
      <c r="C358"/>
      <c r="D358" s="295"/>
      <c r="I358" s="28"/>
    </row>
    <row r="359" spans="1:12" ht="12.9" x14ac:dyDescent="0.2">
      <c r="A359" s="77" t="s">
        <v>566</v>
      </c>
      <c r="B359" s="4">
        <f>2*Pi*Ri/gm</f>
        <v>136.1356816555577</v>
      </c>
      <c r="C359"/>
      <c r="D359" s="77" t="s">
        <v>593</v>
      </c>
      <c r="I359" s="28"/>
    </row>
    <row r="360" spans="1:12" ht="12.9" x14ac:dyDescent="0.2">
      <c r="A360" s="77" t="s">
        <v>567</v>
      </c>
      <c r="B360" s="4">
        <f>2*Pi*Ri/gm</f>
        <v>136.1356816555577</v>
      </c>
      <c r="C360"/>
      <c r="D360" s="77" t="s">
        <v>594</v>
      </c>
      <c r="I360" s="28"/>
    </row>
    <row r="361" spans="1:12" x14ac:dyDescent="0.25">
      <c r="A361" s="295" t="s">
        <v>523</v>
      </c>
      <c r="B361" s="4"/>
      <c r="C361"/>
      <c r="D361" s="77"/>
      <c r="I361" s="28"/>
    </row>
    <row r="362" spans="1:12" x14ac:dyDescent="0.25">
      <c r="A362" s="295"/>
      <c r="B362" s="4"/>
      <c r="C362"/>
      <c r="D362" s="77"/>
      <c r="I362" s="28"/>
    </row>
    <row r="363" spans="1:12" x14ac:dyDescent="0.25">
      <c r="A363" s="178" t="s">
        <v>46</v>
      </c>
      <c r="B363" s="77">
        <f>Rout</f>
        <v>2</v>
      </c>
      <c r="C363" s="180" t="s">
        <v>118</v>
      </c>
      <c r="D363" s="77" t="s">
        <v>316</v>
      </c>
      <c r="I363" s="28"/>
    </row>
    <row r="364" spans="1:12" x14ac:dyDescent="0.25">
      <c r="A364" s="77" t="s">
        <v>415</v>
      </c>
      <c r="B364" s="77">
        <f>Rout</f>
        <v>2</v>
      </c>
      <c r="C364" s="180" t="s">
        <v>118</v>
      </c>
      <c r="D364" s="77" t="s">
        <v>316</v>
      </c>
      <c r="I364" s="28"/>
    </row>
    <row r="365" spans="1:12" x14ac:dyDescent="0.25">
      <c r="A365" s="77"/>
      <c r="B365" s="77"/>
      <c r="C365" s="180"/>
      <c r="D365" s="77"/>
      <c r="I365" s="28"/>
    </row>
    <row r="366" spans="1:12" ht="12.9" x14ac:dyDescent="0.2">
      <c r="A366" s="77" t="s">
        <v>512</v>
      </c>
      <c r="B366" s="318">
        <f>1/(2*Pi*Ro*Cout)</f>
        <v>612.13439650728981</v>
      </c>
      <c r="C366" t="s">
        <v>10</v>
      </c>
      <c r="D366" s="77" t="s">
        <v>509</v>
      </c>
      <c r="E366" s="17"/>
      <c r="I366" s="28"/>
      <c r="J366" s="462" t="s">
        <v>851</v>
      </c>
      <c r="K366">
        <f>1/(2*Pi*Ro*Cout)+(k-0.5)/(2*Pi*Fsw*Lf*Cout)</f>
        <v>1668.6523776851081</v>
      </c>
      <c r="L366">
        <f>(1-Don_Vinnom_2)/(2*Pi*SQRT(Lf*Cout))</f>
        <v>7777.452667778899</v>
      </c>
    </row>
    <row r="367" spans="1:12" x14ac:dyDescent="0.25">
      <c r="A367" s="77" t="s">
        <v>511</v>
      </c>
      <c r="B367" s="318">
        <f>2/(2*Pi*Ro*Cout)</f>
        <v>1224.2687930145796</v>
      </c>
      <c r="C367" s="77" t="s">
        <v>10</v>
      </c>
      <c r="D367" s="295" t="s">
        <v>510</v>
      </c>
      <c r="I367" s="28"/>
    </row>
    <row r="368" spans="1:12" x14ac:dyDescent="0.25">
      <c r="A368" s="77" t="s">
        <v>558</v>
      </c>
      <c r="B368" s="318">
        <f>IF(VIN_nom&gt;Vout, Fload_buck,Fload_boost)</f>
        <v>1224.2687930145796</v>
      </c>
      <c r="C368" s="77" t="s">
        <v>10</v>
      </c>
      <c r="D368" s="493" t="s">
        <v>871</v>
      </c>
      <c r="E368" s="17"/>
      <c r="I368" s="28"/>
    </row>
    <row r="369" spans="1:12" ht="12.9" x14ac:dyDescent="0.2">
      <c r="A369" s="77"/>
      <c r="B369" s="303"/>
      <c r="C369"/>
      <c r="D369" s="77"/>
      <c r="E369" s="17"/>
      <c r="I369" s="28"/>
    </row>
    <row r="370" spans="1:12" ht="12.9" x14ac:dyDescent="0.2">
      <c r="A370" s="77" t="s">
        <v>472</v>
      </c>
      <c r="B370" s="371">
        <f>1/(2*Pi*(RoEA+Rcea1_u)*Cc1ea_u)</f>
        <v>0.2841626311265727</v>
      </c>
      <c r="C370" t="s">
        <v>10</v>
      </c>
      <c r="D370" s="77" t="s">
        <v>508</v>
      </c>
      <c r="E370" s="17"/>
      <c r="I370" s="28"/>
    </row>
    <row r="371" spans="1:12" ht="12.9" x14ac:dyDescent="0.2">
      <c r="A371" s="77" t="s">
        <v>473</v>
      </c>
      <c r="B371" s="318">
        <f>1/(2*Pi*Rcea1_u*(Cc2ea_u+Cbw))</f>
        <v>39190.894171248787</v>
      </c>
      <c r="C371" t="s">
        <v>10</v>
      </c>
      <c r="D371" s="77" t="s">
        <v>485</v>
      </c>
      <c r="E371" s="17"/>
      <c r="I371" s="28"/>
      <c r="K371">
        <f>Fcross</f>
        <v>4000</v>
      </c>
    </row>
    <row r="372" spans="1:12" ht="12.9" x14ac:dyDescent="0.2">
      <c r="A372" s="178" t="s">
        <v>28</v>
      </c>
      <c r="B372" s="318">
        <f>1/(2*Pi*Cout*CoutEsr)</f>
        <v>612134.39650728984</v>
      </c>
      <c r="C372" t="s">
        <v>10</v>
      </c>
      <c r="D372" s="77" t="s">
        <v>506</v>
      </c>
      <c r="I372" s="28"/>
    </row>
    <row r="373" spans="1:12" x14ac:dyDescent="0.25">
      <c r="A373" s="178" t="s">
        <v>414</v>
      </c>
      <c r="B373" s="372">
        <f>(1-Don_Vinnom_2)^2*Ro/(2*Pi*Lf)</f>
        <v>98816.159236725332</v>
      </c>
      <c r="C373" t="s">
        <v>10</v>
      </c>
      <c r="D373" s="77" t="s">
        <v>507</v>
      </c>
      <c r="H373" s="295" t="s">
        <v>553</v>
      </c>
      <c r="I373" s="28"/>
    </row>
    <row r="374" spans="1:12" x14ac:dyDescent="0.25">
      <c r="A374" s="178" t="s">
        <v>861</v>
      </c>
      <c r="B374" s="372">
        <f>(1-Don_Vinmin_2)^2*Ro/(2*Pi*Lf)</f>
        <v>24125.312134570715</v>
      </c>
      <c r="C374" t="s">
        <v>10</v>
      </c>
      <c r="D374" s="77" t="s">
        <v>507</v>
      </c>
      <c r="H374" s="295" t="s">
        <v>862</v>
      </c>
      <c r="I374" s="28"/>
    </row>
    <row r="375" spans="1:12" ht="12.9" x14ac:dyDescent="0.2">
      <c r="A375" s="77" t="s">
        <v>518</v>
      </c>
      <c r="B375" s="318">
        <f>Fsw/2</f>
        <v>199000</v>
      </c>
      <c r="C375" t="s">
        <v>10</v>
      </c>
      <c r="D375" s="77" t="s">
        <v>517</v>
      </c>
      <c r="I375" s="28"/>
    </row>
    <row r="376" spans="1:12" ht="12.9" x14ac:dyDescent="0.2">
      <c r="A376" s="77"/>
      <c r="B376" s="318"/>
      <c r="C376"/>
      <c r="D376" s="77"/>
      <c r="I376" s="28"/>
    </row>
    <row r="377" spans="1:12" ht="12.9" x14ac:dyDescent="0.2">
      <c r="A377" s="77"/>
      <c r="B377" s="517"/>
      <c r="C377"/>
      <c r="D377" s="77"/>
      <c r="I377" s="28"/>
    </row>
    <row r="378" spans="1:12" ht="12.9" x14ac:dyDescent="0.2">
      <c r="A378" s="77"/>
      <c r="B378" s="517"/>
      <c r="C378"/>
      <c r="D378" s="77"/>
      <c r="I378" s="28"/>
    </row>
    <row r="379" spans="1:12" ht="12.9" x14ac:dyDescent="0.2">
      <c r="A379" s="77"/>
      <c r="B379" s="303"/>
      <c r="C379"/>
      <c r="D379" s="77"/>
      <c r="E379" s="17"/>
      <c r="I379" s="28"/>
    </row>
    <row r="380" spans="1:12" ht="12.9" x14ac:dyDescent="0.2">
      <c r="A380" s="178" t="s">
        <v>505</v>
      </c>
      <c r="B380" s="251">
        <f>'Design Converter'!E83*1000</f>
        <v>4000</v>
      </c>
      <c r="C380" s="302" t="s">
        <v>10</v>
      </c>
      <c r="D380" s="77"/>
      <c r="E380">
        <f>PS_RHPZ</f>
        <v>98816.159236725332</v>
      </c>
      <c r="I380" s="28"/>
    </row>
    <row r="381" spans="1:12" x14ac:dyDescent="0.25">
      <c r="A381" s="37" t="s">
        <v>35</v>
      </c>
      <c r="B381" s="303">
        <f>IF(VIN_nom&gt;Vout, Fcross*Cout*2*Pi*Ri/(gm*Afb), Fcross*Cout*2*Pi*Ri/(gm*Afb*(1-Don_Vinnom_2)*SQRT(1+(Fcross/PS_RHPZ)^2)))</f>
        <v>1513.9607071843056</v>
      </c>
      <c r="C381" s="180" t="s">
        <v>118</v>
      </c>
      <c r="D381" s="77" t="s">
        <v>467</v>
      </c>
      <c r="I381" s="28">
        <v>1</v>
      </c>
      <c r="K381" s="241">
        <f>Fcross*Cout*2*Pi*Ri/(gm*Afb*(1-Don_Vinnom_2))</f>
        <v>1515.20056206296</v>
      </c>
      <c r="L381" s="180" t="s">
        <v>118</v>
      </c>
    </row>
    <row r="382" spans="1:12" x14ac:dyDescent="0.25">
      <c r="A382" s="37" t="s">
        <v>33</v>
      </c>
      <c r="B382" s="302">
        <f>1/(Rcea1*(1.5*Fp_dominant)*2*Pi)</f>
        <v>5.7244990742098625E-8</v>
      </c>
      <c r="C382" t="s">
        <v>26</v>
      </c>
      <c r="D382" s="451" t="s">
        <v>825</v>
      </c>
      <c r="I382" s="28">
        <v>1</v>
      </c>
    </row>
    <row r="383" spans="1:12" x14ac:dyDescent="0.25">
      <c r="A383" s="37" t="s">
        <v>34</v>
      </c>
      <c r="B383" s="302">
        <f>1/((Rcea1*2*Pi*B384))-Cbw</f>
        <v>2.6207764768154073E-9</v>
      </c>
      <c r="C383" t="s">
        <v>26</v>
      </c>
      <c r="D383" s="77" t="s">
        <v>468</v>
      </c>
      <c r="I383" s="28">
        <v>1</v>
      </c>
    </row>
    <row r="384" spans="1:12" x14ac:dyDescent="0.25">
      <c r="A384" s="36"/>
      <c r="B384" s="1">
        <f>MAX(Fcross*7,Fcross*10)</f>
        <v>40000</v>
      </c>
      <c r="C384" s="180"/>
      <c r="D384" s="451" t="s">
        <v>824</v>
      </c>
      <c r="E384" s="450"/>
      <c r="F384" s="450"/>
      <c r="G384" s="450"/>
      <c r="H384" s="450"/>
      <c r="I384" s="28">
        <v>1</v>
      </c>
    </row>
    <row r="385" spans="1:9" x14ac:dyDescent="0.25">
      <c r="A385" s="37" t="s">
        <v>417</v>
      </c>
      <c r="I385" s="28"/>
    </row>
    <row r="386" spans="1:9" x14ac:dyDescent="0.25">
      <c r="A386" s="27" t="s">
        <v>36</v>
      </c>
      <c r="B386" s="488">
        <f>'Design Converter'!E91*1000</f>
        <v>1500</v>
      </c>
      <c r="C386" s="180" t="s">
        <v>118</v>
      </c>
      <c r="I386" s="28">
        <v>2</v>
      </c>
    </row>
    <row r="387" spans="1:9" ht="12.9" x14ac:dyDescent="0.2">
      <c r="A387" s="27" t="s">
        <v>37</v>
      </c>
      <c r="B387" s="488">
        <f>'Design Converter'!E92*0.000000001</f>
        <v>5.6000000000000005E-8</v>
      </c>
      <c r="C387" t="s">
        <v>26</v>
      </c>
      <c r="I387" s="28">
        <v>2</v>
      </c>
    </row>
    <row r="388" spans="1:9" ht="12.9" x14ac:dyDescent="0.2">
      <c r="A388" s="27" t="s">
        <v>38</v>
      </c>
      <c r="B388" s="488">
        <f>'Design Converter'!E93*0.000000000001</f>
        <v>2.6999999999999998E-9</v>
      </c>
      <c r="C388" t="s">
        <v>26</v>
      </c>
      <c r="I388" s="28">
        <v>2</v>
      </c>
    </row>
    <row r="389" spans="1:9" ht="12.9" x14ac:dyDescent="0.2">
      <c r="A389" s="27"/>
      <c r="B389" s="19"/>
      <c r="C389"/>
      <c r="I389" s="28"/>
    </row>
    <row r="390" spans="1:9" ht="12.9" x14ac:dyDescent="0.2">
      <c r="A390" s="178" t="s">
        <v>466</v>
      </c>
      <c r="B390" s="488">
        <f>'Design Converter'!E35*1*10^-12</f>
        <v>6.9799999999999994E-11</v>
      </c>
      <c r="C390" s="77" t="s">
        <v>32</v>
      </c>
      <c r="I390" s="28">
        <v>2</v>
      </c>
    </row>
    <row r="391" spans="1:9" ht="12.9" x14ac:dyDescent="0.2">
      <c r="A391" s="27"/>
      <c r="B391" s="488"/>
      <c r="C391"/>
      <c r="I391" s="28"/>
    </row>
    <row r="392" spans="1:9" x14ac:dyDescent="0.25">
      <c r="A392" s="37" t="s">
        <v>487</v>
      </c>
      <c r="B392" s="488"/>
      <c r="C392"/>
      <c r="D392">
        <f>Cout</f>
        <v>1.2999999999999999E-4</v>
      </c>
      <c r="E392">
        <f>CoutEsr</f>
        <v>2E-3</v>
      </c>
      <c r="I392" s="28"/>
    </row>
    <row r="393" spans="1:9" x14ac:dyDescent="0.25">
      <c r="A393" s="37" t="s">
        <v>39</v>
      </c>
      <c r="B393" s="304">
        <f>1/(2*Pi*Rcea1_u*Cc1ea_u)</f>
        <v>1894.7017034749442</v>
      </c>
      <c r="C393" t="s">
        <v>10</v>
      </c>
      <c r="D393" s="77" t="s">
        <v>564</v>
      </c>
      <c r="I393" s="28"/>
    </row>
    <row r="394" spans="1:9" x14ac:dyDescent="0.25">
      <c r="A394" s="37" t="s">
        <v>40</v>
      </c>
      <c r="B394" s="304">
        <f>1/(2*Pi*Rcea1_u*(Cc1ea_u*(Cc2ea_u+Cbw)/(Cc1ea_u+Cc2ea_u+Cbw)))</f>
        <v>41085.595874723731</v>
      </c>
      <c r="C394" t="s">
        <v>10</v>
      </c>
      <c r="D394" t="s">
        <v>160</v>
      </c>
      <c r="I394" s="28"/>
    </row>
    <row r="395" spans="1:9" ht="12.9" x14ac:dyDescent="0.2">
      <c r="C395"/>
      <c r="I395" s="28"/>
    </row>
    <row r="396" spans="1:9" x14ac:dyDescent="0.25">
      <c r="A396" s="27" t="s">
        <v>31</v>
      </c>
      <c r="B396" s="251">
        <f>'Design Converter'!E85*1000</f>
        <v>71500</v>
      </c>
      <c r="C396" s="180" t="s">
        <v>118</v>
      </c>
      <c r="D396" s="77" t="s">
        <v>496</v>
      </c>
      <c r="I396" s="28">
        <v>1</v>
      </c>
    </row>
    <row r="397" spans="1:9" x14ac:dyDescent="0.25">
      <c r="A397" s="37" t="s">
        <v>43</v>
      </c>
      <c r="B397" s="294">
        <f>IF(Vout=Vref,100000000,Vref*B396/((Vout-Vref)))</f>
        <v>4766.666666666667</v>
      </c>
      <c r="C397" s="180" t="s">
        <v>118</v>
      </c>
      <c r="D397" s="77" t="s">
        <v>495</v>
      </c>
      <c r="I397" s="28"/>
    </row>
    <row r="398" spans="1:9" x14ac:dyDescent="0.25">
      <c r="A398" s="27" t="s">
        <v>165</v>
      </c>
      <c r="B398" s="39">
        <f>IF(Vout=Vref,"N/A",'Standard Value Calculator'!O10)</f>
        <v>4750</v>
      </c>
      <c r="C398" s="180" t="s">
        <v>118</v>
      </c>
      <c r="D398" s="77" t="s">
        <v>494</v>
      </c>
      <c r="I398" s="28"/>
    </row>
    <row r="399" spans="1:9" ht="14.3" thickBot="1" x14ac:dyDescent="0.3">
      <c r="A399" s="500" t="s">
        <v>882</v>
      </c>
      <c r="B399" s="238">
        <f>Vref/(100*Ifb)</f>
        <v>166666.66666666669</v>
      </c>
      <c r="C399" s="501" t="s">
        <v>118</v>
      </c>
      <c r="D399" s="81" t="s">
        <v>883</v>
      </c>
      <c r="E399" s="42"/>
      <c r="F399" s="32"/>
      <c r="G399" s="32"/>
      <c r="H399" s="32"/>
      <c r="I399" s="33"/>
    </row>
    <row r="400" spans="1:9" ht="12.9" x14ac:dyDescent="0.2">
      <c r="A400" s="1"/>
      <c r="B400" s="17"/>
      <c r="C400" s="17"/>
      <c r="E400" s="17"/>
    </row>
    <row r="401" spans="1:9" x14ac:dyDescent="0.25">
      <c r="A401" s="37" t="s">
        <v>202</v>
      </c>
      <c r="B401" s="1"/>
      <c r="C401"/>
    </row>
    <row r="402" spans="1:9" x14ac:dyDescent="0.25">
      <c r="A402" s="37" t="s">
        <v>205</v>
      </c>
      <c r="B402" s="2">
        <v>0</v>
      </c>
      <c r="C402" s="180" t="s">
        <v>118</v>
      </c>
      <c r="D402" s="77" t="s">
        <v>315</v>
      </c>
      <c r="H402" t="e">
        <f>_Don2*RdsonTop+Doff2*RdsonBot+B406*Vin^2*Fsw/2/(((Iripple1/SQRT(3))^2))</f>
        <v>#NAME?</v>
      </c>
    </row>
    <row r="403" spans="1:9" x14ac:dyDescent="0.25">
      <c r="A403" s="37" t="s">
        <v>208</v>
      </c>
      <c r="B403" s="316" t="e">
        <f>0.00000002*Fsw*0.6*4/Iripple1</f>
        <v>#NAME?</v>
      </c>
      <c r="C403" s="17"/>
      <c r="E403" s="17"/>
    </row>
    <row r="404" spans="1:9" x14ac:dyDescent="0.25">
      <c r="A404" s="37" t="s">
        <v>207</v>
      </c>
      <c r="B404" s="316" t="e">
        <f>_Don2*RdsonTop+Doff2*RdsonBot</f>
        <v>#NAME?</v>
      </c>
      <c r="C404" s="17"/>
      <c r="E404" s="17"/>
    </row>
    <row r="405" spans="1:9" x14ac:dyDescent="0.25">
      <c r="A405" s="37" t="s">
        <v>206</v>
      </c>
      <c r="B405" s="316" t="e">
        <f>B406*Vin^2*Fsw/2/(((Iripple1/SQRT(3))^2))</f>
        <v>#NAME?</v>
      </c>
      <c r="C405" s="17"/>
      <c r="E405" s="17"/>
    </row>
    <row r="406" spans="1:9" x14ac:dyDescent="0.25">
      <c r="A406" s="37" t="s">
        <v>209</v>
      </c>
      <c r="B406" s="317">
        <v>5.0000000000000001E-9</v>
      </c>
      <c r="C406" s="17"/>
      <c r="E406" s="17"/>
    </row>
    <row r="407" spans="1:9" ht="12.9" x14ac:dyDescent="0.2">
      <c r="A407" s="1"/>
      <c r="B407" s="17"/>
      <c r="C407" s="17"/>
      <c r="E407" s="17"/>
    </row>
    <row r="408" spans="1:9" ht="16.3" thickBot="1" x14ac:dyDescent="0.3">
      <c r="A408" s="58" t="s">
        <v>225</v>
      </c>
    </row>
    <row r="409" spans="1:9" x14ac:dyDescent="0.25">
      <c r="A409" s="55"/>
      <c r="B409" s="34"/>
      <c r="C409" s="229"/>
      <c r="D409" s="34"/>
      <c r="E409" s="34"/>
      <c r="F409" s="34"/>
      <c r="G409" s="34"/>
      <c r="H409" s="34"/>
      <c r="I409" s="35"/>
    </row>
    <row r="410" spans="1:9" x14ac:dyDescent="0.25">
      <c r="A410" s="37" t="s">
        <v>59</v>
      </c>
      <c r="I410" s="28"/>
    </row>
    <row r="411" spans="1:9" ht="12.9" x14ac:dyDescent="0.2">
      <c r="A411" s="27" t="s">
        <v>87</v>
      </c>
      <c r="B411" s="10">
        <v>25</v>
      </c>
      <c r="C411" s="77" t="s">
        <v>277</v>
      </c>
      <c r="D411" t="s">
        <v>98</v>
      </c>
      <c r="I411" s="28"/>
    </row>
    <row r="412" spans="1:9" x14ac:dyDescent="0.25">
      <c r="A412" s="37" t="s">
        <v>62</v>
      </c>
      <c r="C412"/>
      <c r="I412" s="28"/>
    </row>
    <row r="413" spans="1:9" ht="12.9" x14ac:dyDescent="0.2">
      <c r="A413" s="27" t="s">
        <v>86</v>
      </c>
      <c r="B413" s="30">
        <f>4000/1000000</f>
        <v>4.0000000000000001E-3</v>
      </c>
      <c r="C413" s="77" t="s">
        <v>324</v>
      </c>
      <c r="D413" s="77" t="s">
        <v>617</v>
      </c>
      <c r="I413" s="28"/>
    </row>
    <row r="414" spans="1:9" ht="17" x14ac:dyDescent="0.35">
      <c r="A414" s="178" t="s">
        <v>614</v>
      </c>
      <c r="B414" s="30">
        <v>20</v>
      </c>
      <c r="C414" s="77" t="s">
        <v>236</v>
      </c>
      <c r="D414" s="77" t="s">
        <v>615</v>
      </c>
      <c r="I414" s="28"/>
    </row>
    <row r="415" spans="1:9" x14ac:dyDescent="0.25">
      <c r="A415" s="27" t="s">
        <v>89</v>
      </c>
      <c r="B415" s="10">
        <f>RCinEsr</f>
        <v>2E-3</v>
      </c>
      <c r="C415" s="180" t="s">
        <v>118</v>
      </c>
      <c r="D415" s="77" t="s">
        <v>616</v>
      </c>
      <c r="I415" s="28"/>
    </row>
    <row r="416" spans="1:9" ht="12.9" x14ac:dyDescent="0.2">
      <c r="A416" s="36" t="s">
        <v>162</v>
      </c>
      <c r="C416"/>
      <c r="I416" s="28"/>
    </row>
    <row r="417" spans="1:9" x14ac:dyDescent="0.25">
      <c r="A417" s="178" t="s">
        <v>611</v>
      </c>
      <c r="B417" s="30">
        <f>7.5</f>
        <v>7.5</v>
      </c>
      <c r="C417" t="s">
        <v>0</v>
      </c>
      <c r="D417" s="295" t="s">
        <v>613</v>
      </c>
      <c r="I417" s="28"/>
    </row>
    <row r="418" spans="1:9" x14ac:dyDescent="0.25">
      <c r="A418" s="37" t="s">
        <v>114</v>
      </c>
      <c r="C418"/>
      <c r="I418" s="28"/>
    </row>
    <row r="419" spans="1:9" x14ac:dyDescent="0.25">
      <c r="A419" s="27" t="s">
        <v>65</v>
      </c>
      <c r="B419" s="30">
        <v>1.5</v>
      </c>
      <c r="C419" s="180" t="s">
        <v>118</v>
      </c>
      <c r="D419" s="77" t="s">
        <v>497</v>
      </c>
      <c r="I419" s="28"/>
    </row>
    <row r="420" spans="1:9" x14ac:dyDescent="0.25">
      <c r="A420" s="27" t="s">
        <v>148</v>
      </c>
      <c r="B420" s="30">
        <v>1</v>
      </c>
      <c r="C420" s="180" t="s">
        <v>118</v>
      </c>
      <c r="D420" s="77" t="s">
        <v>498</v>
      </c>
      <c r="I420" s="28"/>
    </row>
    <row r="421" spans="1:9" x14ac:dyDescent="0.25">
      <c r="A421" s="37" t="s">
        <v>115</v>
      </c>
      <c r="C421"/>
      <c r="I421" s="28"/>
    </row>
    <row r="422" spans="1:9" x14ac:dyDescent="0.25">
      <c r="A422" s="27" t="s">
        <v>64</v>
      </c>
      <c r="B422" s="72">
        <v>1.5</v>
      </c>
      <c r="C422" s="180" t="s">
        <v>118</v>
      </c>
      <c r="D422" s="77" t="s">
        <v>499</v>
      </c>
      <c r="I422" s="28"/>
    </row>
    <row r="423" spans="1:9" x14ac:dyDescent="0.25">
      <c r="A423" s="27" t="s">
        <v>147</v>
      </c>
      <c r="B423" s="30">
        <v>1</v>
      </c>
      <c r="C423" s="180" t="s">
        <v>118</v>
      </c>
      <c r="D423" s="77" t="s">
        <v>500</v>
      </c>
      <c r="I423" s="28"/>
    </row>
    <row r="424" spans="1:9" x14ac:dyDescent="0.25">
      <c r="A424" s="37" t="s">
        <v>66</v>
      </c>
      <c r="C424"/>
      <c r="I424" s="28"/>
    </row>
    <row r="425" spans="1:9" x14ac:dyDescent="0.25">
      <c r="A425" s="27" t="s">
        <v>66</v>
      </c>
      <c r="B425" s="38">
        <v>4.9999999999999998E-8</v>
      </c>
      <c r="C425" t="s">
        <v>161</v>
      </c>
      <c r="D425" t="s">
        <v>100</v>
      </c>
      <c r="G425" s="295" t="s">
        <v>829</v>
      </c>
      <c r="I425" s="28"/>
    </row>
    <row r="426" spans="1:9" x14ac:dyDescent="0.25">
      <c r="A426" s="37" t="s">
        <v>56</v>
      </c>
      <c r="C426"/>
      <c r="I426" s="28"/>
    </row>
    <row r="427" spans="1:9" ht="12.9" x14ac:dyDescent="0.2">
      <c r="A427" s="27" t="s">
        <v>156</v>
      </c>
      <c r="B427" s="30">
        <v>3.0000000000000001E-3</v>
      </c>
      <c r="C427" t="s">
        <v>2</v>
      </c>
      <c r="D427" s="77" t="s">
        <v>830</v>
      </c>
      <c r="I427" s="28"/>
    </row>
    <row r="428" spans="1:9" ht="12.9" x14ac:dyDescent="0.2">
      <c r="A428" s="27"/>
      <c r="C428"/>
      <c r="I428" s="28"/>
    </row>
    <row r="429" spans="1:9" x14ac:dyDescent="0.25">
      <c r="A429" s="37" t="s">
        <v>675</v>
      </c>
      <c r="B429" s="2" t="s">
        <v>692</v>
      </c>
      <c r="C429"/>
      <c r="D429" s="2" t="s">
        <v>693</v>
      </c>
      <c r="I429" s="28"/>
    </row>
    <row r="430" spans="1:9" x14ac:dyDescent="0.25">
      <c r="A430" s="178" t="s">
        <v>694</v>
      </c>
      <c r="B430" s="10">
        <f>'Design Converter'!E100/1000</f>
        <v>3.5000000000000001E-3</v>
      </c>
      <c r="C430" s="180" t="s">
        <v>118</v>
      </c>
      <c r="D430" s="10">
        <f>'Design Converter'!F100/1000</f>
        <v>3.5000000000000001E-3</v>
      </c>
      <c r="E430" s="180" t="s">
        <v>118</v>
      </c>
      <c r="F430" s="77" t="s">
        <v>682</v>
      </c>
      <c r="I430" s="28"/>
    </row>
    <row r="431" spans="1:9" ht="12.9" x14ac:dyDescent="0.2">
      <c r="A431" s="27" t="s">
        <v>83</v>
      </c>
      <c r="B431" s="30">
        <f>4000/1000000</f>
        <v>4.0000000000000001E-3</v>
      </c>
      <c r="C431" s="77" t="s">
        <v>324</v>
      </c>
      <c r="E431" s="77"/>
      <c r="F431" s="77" t="s">
        <v>501</v>
      </c>
      <c r="I431" s="28"/>
    </row>
    <row r="432" spans="1:9" ht="12.9" x14ac:dyDescent="0.2">
      <c r="A432" s="178" t="s">
        <v>130</v>
      </c>
      <c r="B432" s="43">
        <f>'Design Converter'!E101/1000000000</f>
        <v>6.7000000000000004E-8</v>
      </c>
      <c r="C432" t="s">
        <v>163</v>
      </c>
      <c r="D432" s="43">
        <f>'Design Converter'!F101/1000000000</f>
        <v>6.7000000000000004E-8</v>
      </c>
      <c r="E432" t="s">
        <v>163</v>
      </c>
      <c r="F432" s="77" t="s">
        <v>670</v>
      </c>
      <c r="I432" s="28"/>
    </row>
    <row r="433" spans="1:9" ht="12.9" x14ac:dyDescent="0.2">
      <c r="A433" s="178" t="s">
        <v>695</v>
      </c>
      <c r="B433" s="43">
        <f>'Design Converter'!E102/1000000000</f>
        <v>1.0310000000000001E-8</v>
      </c>
      <c r="C433" t="s">
        <v>163</v>
      </c>
      <c r="D433" s="43">
        <f>'Design Converter'!F102/1000000000</f>
        <v>1.0310000000000001E-8</v>
      </c>
      <c r="E433" t="s">
        <v>163</v>
      </c>
      <c r="F433" t="s">
        <v>129</v>
      </c>
      <c r="I433" s="28"/>
    </row>
    <row r="434" spans="1:9" ht="12.9" x14ac:dyDescent="0.2">
      <c r="A434" s="178" t="s">
        <v>696</v>
      </c>
      <c r="B434" s="43">
        <f>'Design Converter'!E103/1000000000</f>
        <v>1.125E-8</v>
      </c>
      <c r="C434" t="s">
        <v>163</v>
      </c>
      <c r="D434" s="43">
        <f>'Design Converter'!F103/1000000000</f>
        <v>1.125E-8</v>
      </c>
      <c r="E434" t="s">
        <v>163</v>
      </c>
      <c r="I434" s="28"/>
    </row>
    <row r="435" spans="1:9" x14ac:dyDescent="0.25">
      <c r="A435" s="178" t="s">
        <v>697</v>
      </c>
      <c r="B435" s="10">
        <f>'Design Converter'!E104</f>
        <v>0.63</v>
      </c>
      <c r="C435" s="180" t="s">
        <v>118</v>
      </c>
      <c r="D435" s="10">
        <f>'Design Converter'!F104</f>
        <v>0.63</v>
      </c>
      <c r="E435" s="180" t="s">
        <v>118</v>
      </c>
      <c r="F435" t="s">
        <v>102</v>
      </c>
      <c r="I435" s="28"/>
    </row>
    <row r="436" spans="1:9" ht="12.9" x14ac:dyDescent="0.2">
      <c r="A436" s="178" t="s">
        <v>698</v>
      </c>
      <c r="B436" s="10">
        <f>'Design Converter'!E105</f>
        <v>117</v>
      </c>
      <c r="C436" t="s">
        <v>70</v>
      </c>
      <c r="D436" s="10">
        <f>'Design Converter'!F105</f>
        <v>117</v>
      </c>
      <c r="E436" t="s">
        <v>70</v>
      </c>
      <c r="F436" s="77" t="s">
        <v>681</v>
      </c>
      <c r="I436" s="28"/>
    </row>
    <row r="437" spans="1:9" ht="12.9" x14ac:dyDescent="0.2">
      <c r="A437" s="178" t="s">
        <v>699</v>
      </c>
      <c r="B437" s="10">
        <f>'Design Converter'!E106</f>
        <v>2</v>
      </c>
      <c r="C437" t="s">
        <v>0</v>
      </c>
      <c r="D437" s="10">
        <f>'Design Converter'!F106</f>
        <v>2</v>
      </c>
      <c r="E437" t="s">
        <v>0</v>
      </c>
      <c r="F437" s="77" t="s">
        <v>683</v>
      </c>
      <c r="I437" s="28"/>
    </row>
    <row r="438" spans="1:9" ht="12.9" x14ac:dyDescent="0.2">
      <c r="A438" s="178" t="s">
        <v>700</v>
      </c>
      <c r="B438" s="322">
        <f>Vth_Q1+Iout/Gfs_Q1</f>
        <v>2.0683760683760686</v>
      </c>
      <c r="C438" t="s">
        <v>0</v>
      </c>
      <c r="D438" s="322">
        <f>Vth_Q2+Iout/Gfs_Q2</f>
        <v>2.0683760683760686</v>
      </c>
      <c r="E438" t="s">
        <v>0</v>
      </c>
      <c r="F438" s="77" t="s">
        <v>684</v>
      </c>
      <c r="I438" s="28"/>
    </row>
    <row r="439" spans="1:9" ht="12.9" x14ac:dyDescent="0.2">
      <c r="A439" s="27"/>
      <c r="C439"/>
      <c r="F439" s="77"/>
      <c r="I439" s="28"/>
    </row>
    <row r="440" spans="1:9" ht="12.9" x14ac:dyDescent="0.2">
      <c r="A440" s="178" t="s">
        <v>703</v>
      </c>
      <c r="B440" s="10">
        <f>'Design Converter'!E107</f>
        <v>0.75</v>
      </c>
      <c r="C440" t="s">
        <v>0</v>
      </c>
      <c r="D440" s="10">
        <f>'Design Converter'!F107</f>
        <v>0.75</v>
      </c>
      <c r="E440" t="s">
        <v>0</v>
      </c>
      <c r="F440" s="77" t="s">
        <v>701</v>
      </c>
      <c r="I440" s="28"/>
    </row>
    <row r="441" spans="1:9" ht="12.9" x14ac:dyDescent="0.2">
      <c r="A441" s="178" t="s">
        <v>632</v>
      </c>
      <c r="B441" s="43">
        <f>'Design Converter'!E108/1000000000</f>
        <v>0</v>
      </c>
      <c r="C441" t="s">
        <v>163</v>
      </c>
      <c r="D441" s="43">
        <f>'Design Converter'!F108/1000000000</f>
        <v>4.4999999999999999E-8</v>
      </c>
      <c r="E441" t="s">
        <v>163</v>
      </c>
      <c r="F441" t="s">
        <v>112</v>
      </c>
      <c r="I441" s="28"/>
    </row>
    <row r="442" spans="1:9" ht="12.9" x14ac:dyDescent="0.2">
      <c r="A442" s="178" t="s">
        <v>633</v>
      </c>
      <c r="B442" s="43">
        <v>4.0000000000000001E-8</v>
      </c>
      <c r="C442" t="s">
        <v>161</v>
      </c>
      <c r="D442" s="43">
        <v>4.0000000000000001E-8</v>
      </c>
      <c r="E442" t="s">
        <v>161</v>
      </c>
      <c r="F442" t="s">
        <v>108</v>
      </c>
      <c r="I442" s="28"/>
    </row>
    <row r="443" spans="1:9" ht="12.9" x14ac:dyDescent="0.2">
      <c r="A443" s="178" t="s">
        <v>804</v>
      </c>
      <c r="B443" s="10">
        <f>'Design Converter'!E109</f>
        <v>65</v>
      </c>
      <c r="C443" s="77" t="s">
        <v>236</v>
      </c>
      <c r="D443" s="10">
        <f>'Design Converter'!F109</f>
        <v>65</v>
      </c>
      <c r="E443" s="77" t="s">
        <v>236</v>
      </c>
      <c r="F443" t="s">
        <v>105</v>
      </c>
      <c r="I443" s="28"/>
    </row>
    <row r="444" spans="1:9" ht="12.9" x14ac:dyDescent="0.2">
      <c r="A444" s="178"/>
      <c r="B444" s="10"/>
      <c r="C444" s="77"/>
      <c r="D444" s="10"/>
      <c r="E444" s="77"/>
      <c r="I444" s="28"/>
    </row>
    <row r="445" spans="1:9" ht="12.9" x14ac:dyDescent="0.2">
      <c r="A445" s="178"/>
      <c r="B445" s="77"/>
      <c r="C445" s="77"/>
      <c r="D445" s="77"/>
      <c r="E445" s="77"/>
      <c r="I445" s="28"/>
    </row>
    <row r="446" spans="1:9" x14ac:dyDescent="0.25">
      <c r="A446" s="37" t="s">
        <v>674</v>
      </c>
      <c r="B446" s="2" t="s">
        <v>690</v>
      </c>
      <c r="C446"/>
      <c r="D446" s="2" t="s">
        <v>691</v>
      </c>
      <c r="I446" s="28"/>
    </row>
    <row r="447" spans="1:9" x14ac:dyDescent="0.25">
      <c r="A447" s="178" t="s">
        <v>694</v>
      </c>
      <c r="B447" s="10">
        <f>'Design Converter'!E113/1000</f>
        <v>3.5000000000000001E-3</v>
      </c>
      <c r="C447" s="180" t="s">
        <v>118</v>
      </c>
      <c r="D447" s="10">
        <f>'Design Converter'!F113/1000</f>
        <v>3.5000000000000001E-3</v>
      </c>
      <c r="E447" s="180" t="s">
        <v>118</v>
      </c>
      <c r="F447" s="77" t="s">
        <v>676</v>
      </c>
      <c r="I447" s="28"/>
    </row>
    <row r="448" spans="1:9" ht="12.9" x14ac:dyDescent="0.2">
      <c r="A448" s="27" t="s">
        <v>84</v>
      </c>
      <c r="B448" s="244">
        <f>4000/1000000</f>
        <v>4.0000000000000001E-3</v>
      </c>
      <c r="C448" s="77" t="s">
        <v>324</v>
      </c>
      <c r="E448" s="77"/>
      <c r="F448" s="77" t="s">
        <v>501</v>
      </c>
      <c r="I448" s="28"/>
    </row>
    <row r="449" spans="1:9" ht="12.9" x14ac:dyDescent="0.2">
      <c r="A449" s="178" t="s">
        <v>130</v>
      </c>
      <c r="B449" s="43">
        <f>'Design Converter'!E114/1000000000</f>
        <v>6.7000000000000004E-8</v>
      </c>
      <c r="C449" t="s">
        <v>163</v>
      </c>
      <c r="D449" s="43">
        <f>'Design Converter'!F114/1000000000</f>
        <v>6.7000000000000004E-8</v>
      </c>
      <c r="E449" t="s">
        <v>163</v>
      </c>
      <c r="F449" s="77" t="s">
        <v>677</v>
      </c>
      <c r="I449" s="28"/>
    </row>
    <row r="450" spans="1:9" ht="12.9" x14ac:dyDescent="0.2">
      <c r="A450" s="178" t="s">
        <v>695</v>
      </c>
      <c r="B450" s="43">
        <f>'Design Converter'!E115/1000000000</f>
        <v>1.0310000000000001E-8</v>
      </c>
      <c r="C450" t="s">
        <v>163</v>
      </c>
      <c r="D450" s="43">
        <f>'Design Converter'!F115/1000000000</f>
        <v>1.0310000000000001E-8</v>
      </c>
      <c r="E450" t="s">
        <v>163</v>
      </c>
      <c r="F450" t="s">
        <v>129</v>
      </c>
      <c r="I450" s="28"/>
    </row>
    <row r="451" spans="1:9" ht="12.9" x14ac:dyDescent="0.2">
      <c r="A451" s="178" t="s">
        <v>696</v>
      </c>
      <c r="B451" s="43">
        <f>'Design Converter'!E116/1000000000</f>
        <v>1.125E-8</v>
      </c>
      <c r="C451" t="s">
        <v>163</v>
      </c>
      <c r="D451" s="43">
        <f>'Design Converter'!F116/1000000000</f>
        <v>1.125E-8</v>
      </c>
      <c r="E451" t="s">
        <v>163</v>
      </c>
      <c r="I451" s="28"/>
    </row>
    <row r="452" spans="1:9" x14ac:dyDescent="0.25">
      <c r="A452" s="178" t="s">
        <v>697</v>
      </c>
      <c r="B452" s="43">
        <f>'Design Converter'!E117</f>
        <v>0.63</v>
      </c>
      <c r="C452" s="180" t="s">
        <v>118</v>
      </c>
      <c r="D452" s="43">
        <f>'Design Converter'!F117</f>
        <v>0.63</v>
      </c>
      <c r="E452" s="180" t="s">
        <v>118</v>
      </c>
      <c r="F452" t="s">
        <v>102</v>
      </c>
      <c r="I452" s="28"/>
    </row>
    <row r="453" spans="1:9" ht="12.9" x14ac:dyDescent="0.2">
      <c r="A453" s="178" t="s">
        <v>698</v>
      </c>
      <c r="B453" s="10">
        <f>'Design Converter'!E118</f>
        <v>117</v>
      </c>
      <c r="C453" t="s">
        <v>70</v>
      </c>
      <c r="D453" s="10">
        <f>'Design Converter'!F118</f>
        <v>117</v>
      </c>
      <c r="E453" t="s">
        <v>70</v>
      </c>
      <c r="F453" s="77" t="s">
        <v>678</v>
      </c>
      <c r="I453" s="28"/>
    </row>
    <row r="454" spans="1:9" ht="12.9" x14ac:dyDescent="0.2">
      <c r="A454" s="178" t="s">
        <v>699</v>
      </c>
      <c r="B454" s="10">
        <f>'Design Converter'!E119</f>
        <v>2</v>
      </c>
      <c r="C454" t="s">
        <v>0</v>
      </c>
      <c r="D454" s="10">
        <f>'Design Converter'!F119</f>
        <v>2</v>
      </c>
      <c r="E454" t="s">
        <v>0</v>
      </c>
      <c r="F454" s="77" t="s">
        <v>679</v>
      </c>
      <c r="I454" s="28"/>
    </row>
    <row r="455" spans="1:9" ht="12.9" x14ac:dyDescent="0.2">
      <c r="A455" s="178" t="s">
        <v>700</v>
      </c>
      <c r="B455" s="322">
        <f>Vth_Q3+Iin_Vinnom/Gfs_Q3</f>
        <v>2.0959664117558856</v>
      </c>
      <c r="C455" t="s">
        <v>0</v>
      </c>
      <c r="D455" s="322">
        <f>Vth_Q4+Iin_Vinnom/Gfs_Q4</f>
        <v>2.0959664117558856</v>
      </c>
      <c r="E455" t="s">
        <v>0</v>
      </c>
      <c r="F455" s="77" t="s">
        <v>680</v>
      </c>
      <c r="I455" s="28"/>
    </row>
    <row r="456" spans="1:9" x14ac:dyDescent="0.25">
      <c r="E456" s="2"/>
      <c r="I456" s="28"/>
    </row>
    <row r="457" spans="1:9" ht="12.9" x14ac:dyDescent="0.2">
      <c r="A457" s="178" t="s">
        <v>702</v>
      </c>
      <c r="B457" s="10">
        <f>'Design Converter'!E120</f>
        <v>0.75</v>
      </c>
      <c r="C457" t="s">
        <v>0</v>
      </c>
      <c r="D457" s="10">
        <f>'Design Converter'!F120</f>
        <v>0.75</v>
      </c>
      <c r="E457" t="s">
        <v>0</v>
      </c>
      <c r="F457" s="77" t="s">
        <v>502</v>
      </c>
      <c r="I457" s="28"/>
    </row>
    <row r="458" spans="1:9" ht="12.9" x14ac:dyDescent="0.2">
      <c r="A458" s="27" t="s">
        <v>77</v>
      </c>
      <c r="B458" s="43">
        <f>'Design Converter'!E121/1000000000</f>
        <v>5.5999999999999999E-8</v>
      </c>
      <c r="C458" t="s">
        <v>163</v>
      </c>
      <c r="D458" s="43">
        <f>'Design Converter'!F121/1000000000</f>
        <v>0</v>
      </c>
      <c r="E458" t="s">
        <v>163</v>
      </c>
      <c r="F458" t="s">
        <v>112</v>
      </c>
      <c r="I458" s="28"/>
    </row>
    <row r="459" spans="1:9" ht="12.9" x14ac:dyDescent="0.2">
      <c r="A459" s="27" t="s">
        <v>78</v>
      </c>
      <c r="B459" s="43">
        <v>4.0000000000000001E-8</v>
      </c>
      <c r="C459" t="s">
        <v>161</v>
      </c>
      <c r="D459" s="43">
        <v>4.0000000000000001E-8</v>
      </c>
      <c r="E459" t="s">
        <v>161</v>
      </c>
      <c r="F459" t="s">
        <v>108</v>
      </c>
      <c r="I459" s="28"/>
    </row>
    <row r="460" spans="1:9" ht="12.9" x14ac:dyDescent="0.2">
      <c r="A460" s="178" t="s">
        <v>805</v>
      </c>
      <c r="B460" s="10">
        <f>'Design Converter'!E122</f>
        <v>65</v>
      </c>
      <c r="C460" s="77" t="s">
        <v>236</v>
      </c>
      <c r="D460" s="10">
        <f>'Design Converter'!F122</f>
        <v>65</v>
      </c>
      <c r="E460" s="77" t="s">
        <v>236</v>
      </c>
      <c r="F460" t="s">
        <v>105</v>
      </c>
      <c r="I460" s="28"/>
    </row>
    <row r="461" spans="1:9" ht="12.9" x14ac:dyDescent="0.2">
      <c r="A461" s="178"/>
      <c r="B461" s="10"/>
      <c r="C461" s="77"/>
      <c r="D461" s="10"/>
      <c r="E461" s="77"/>
      <c r="I461" s="28"/>
    </row>
    <row r="462" spans="1:9" x14ac:dyDescent="0.25">
      <c r="A462" s="37" t="s">
        <v>673</v>
      </c>
      <c r="B462" s="390" t="s">
        <v>672</v>
      </c>
      <c r="D462" s="390" t="s">
        <v>671</v>
      </c>
      <c r="I462" s="28"/>
    </row>
    <row r="463" spans="1:9" ht="12.9" x14ac:dyDescent="0.2">
      <c r="A463" s="27" t="s">
        <v>227</v>
      </c>
      <c r="B463" s="10">
        <f>'Design Converter'!E125</f>
        <v>0</v>
      </c>
      <c r="C463" t="s">
        <v>0</v>
      </c>
      <c r="D463" s="10">
        <f>'Design Converter'!F125</f>
        <v>0</v>
      </c>
      <c r="E463" t="s">
        <v>0</v>
      </c>
      <c r="F463" t="s">
        <v>230</v>
      </c>
      <c r="I463" s="28"/>
    </row>
    <row r="464" spans="1:9" ht="12.9" x14ac:dyDescent="0.2">
      <c r="A464" s="27" t="s">
        <v>228</v>
      </c>
      <c r="B464" s="43">
        <f>'Design Converter'!E126/1000000000</f>
        <v>0</v>
      </c>
      <c r="C464" t="s">
        <v>163</v>
      </c>
      <c r="D464" s="43">
        <f>'Design Converter'!F126/1000000000</f>
        <v>0</v>
      </c>
      <c r="E464" t="s">
        <v>163</v>
      </c>
      <c r="F464" t="s">
        <v>231</v>
      </c>
      <c r="I464" s="28"/>
    </row>
    <row r="465" spans="1:9" ht="12.9" x14ac:dyDescent="0.2">
      <c r="A465" s="27" t="s">
        <v>229</v>
      </c>
      <c r="B465" s="10">
        <v>0</v>
      </c>
      <c r="C465" t="s">
        <v>2</v>
      </c>
      <c r="D465" s="10">
        <v>0</v>
      </c>
      <c r="E465" t="s">
        <v>2</v>
      </c>
      <c r="F465" t="s">
        <v>232</v>
      </c>
      <c r="I465" s="28"/>
    </row>
    <row r="466" spans="1:9" ht="12.9" x14ac:dyDescent="0.2">
      <c r="A466" s="27"/>
      <c r="C466"/>
      <c r="I466" s="28"/>
    </row>
    <row r="467" spans="1:9" x14ac:dyDescent="0.25">
      <c r="A467" s="37" t="s">
        <v>119</v>
      </c>
      <c r="C467"/>
      <c r="I467" s="28"/>
    </row>
    <row r="468" spans="1:9" ht="12.9" x14ac:dyDescent="0.2">
      <c r="A468" s="178" t="s">
        <v>608</v>
      </c>
      <c r="B468" s="10">
        <v>30.5</v>
      </c>
      <c r="C468" s="77" t="s">
        <v>236</v>
      </c>
      <c r="D468" s="77"/>
      <c r="E468" s="77"/>
      <c r="F468" t="s">
        <v>612</v>
      </c>
      <c r="I468" s="28"/>
    </row>
    <row r="469" spans="1:9" x14ac:dyDescent="0.25">
      <c r="A469" s="37" t="s">
        <v>81</v>
      </c>
      <c r="C469"/>
      <c r="I469" s="28"/>
    </row>
    <row r="470" spans="1:9" ht="12.9" x14ac:dyDescent="0.2">
      <c r="A470" s="178" t="s">
        <v>63</v>
      </c>
      <c r="C470"/>
      <c r="I470" s="28"/>
    </row>
    <row r="471" spans="1:9" ht="12.9" x14ac:dyDescent="0.2">
      <c r="A471" s="27" t="s">
        <v>91</v>
      </c>
      <c r="B471" s="40">
        <f>(Qgd_Q1+Qgs_Q1/2)*(RdsonDRT+Rgate1)/(Vdd-Vsp_Q1)</f>
        <v>6.2488770259638072E-9</v>
      </c>
      <c r="C471" t="s">
        <v>161</v>
      </c>
      <c r="D471" s="40">
        <f>(Qgd_Q4+Qgs_Q4/2)*(RdsonDRT+Rgate4)/(Vdd-Vsp_Q4)</f>
        <v>6.2807807253152784E-9</v>
      </c>
      <c r="E471" t="s">
        <v>161</v>
      </c>
      <c r="I471" s="28"/>
    </row>
    <row r="472" spans="1:9" ht="12.9" x14ac:dyDescent="0.2">
      <c r="A472" s="27" t="s">
        <v>92</v>
      </c>
      <c r="B472" s="40">
        <f>(Qgd_Q1+Qgs_Q1/2)*(RdsonDRT2+Rgate1)/(Vsp_Q1)</f>
        <v>1.2557701859504131E-8</v>
      </c>
      <c r="C472" t="s">
        <v>161</v>
      </c>
      <c r="D472" s="40">
        <f>(Qgd_Q4+Qgs_Q4/2)*(RdsonDRT2+Rgate4)/(Vsp_Q4)</f>
        <v>1.2392398014737442E-8</v>
      </c>
      <c r="E472" t="s">
        <v>161</v>
      </c>
      <c r="I472" s="28"/>
    </row>
    <row r="473" spans="1:9" ht="12.9" x14ac:dyDescent="0.2">
      <c r="A473" s="27"/>
      <c r="C473"/>
      <c r="I473" s="28"/>
    </row>
    <row r="474" spans="1:9" x14ac:dyDescent="0.25">
      <c r="A474" s="37" t="s">
        <v>513</v>
      </c>
      <c r="B474" s="2" t="s">
        <v>8</v>
      </c>
      <c r="C474" s="2" t="s">
        <v>80</v>
      </c>
      <c r="I474" s="28"/>
    </row>
    <row r="475" spans="1:9" ht="12.9" x14ac:dyDescent="0.2">
      <c r="A475" s="29" t="s">
        <v>117</v>
      </c>
      <c r="B475" s="3" t="e">
        <f>#REF!</f>
        <v>#REF!</v>
      </c>
      <c r="C475" s="3" t="s">
        <v>118</v>
      </c>
      <c r="I475" s="28"/>
    </row>
    <row r="476" spans="1:9" ht="12.9" x14ac:dyDescent="0.2">
      <c r="A476" s="29" t="s">
        <v>121</v>
      </c>
      <c r="B476" s="13" t="e">
        <f>B475*ThetaJaCtrl</f>
        <v>#REF!</v>
      </c>
      <c r="C476" s="77" t="s">
        <v>277</v>
      </c>
      <c r="I476" s="28"/>
    </row>
    <row r="477" spans="1:9" ht="12.9" x14ac:dyDescent="0.2">
      <c r="A477" s="29" t="s">
        <v>241</v>
      </c>
      <c r="B477" s="13">
        <f>(Qg_Q1+Qg_Q2)*Fsw+Iq</f>
        <v>5.6332000000000007E-2</v>
      </c>
      <c r="C477" t="s">
        <v>2</v>
      </c>
      <c r="I477" s="28"/>
    </row>
    <row r="478" spans="1:9" ht="12.9" x14ac:dyDescent="0.2">
      <c r="A478" s="29" t="s">
        <v>242</v>
      </c>
      <c r="B478">
        <f>Qrr_Q2*Fsw</f>
        <v>1.7909999999999999E-2</v>
      </c>
      <c r="C478" t="s">
        <v>2</v>
      </c>
      <c r="I478" s="28"/>
    </row>
    <row r="479" spans="1:9" ht="12.9" x14ac:dyDescent="0.2">
      <c r="A479" s="29" t="s">
        <v>243</v>
      </c>
      <c r="B479" t="e">
        <f>C479/Vin</f>
        <v>#NAME?</v>
      </c>
      <c r="C479" t="e">
        <f>Deadtime*Fsw*(Ipp/2)*(Vsd_Q1+Vsd_Q2)</f>
        <v>#NAME?</v>
      </c>
      <c r="I479" s="28"/>
    </row>
    <row r="480" spans="1:9" ht="12.9" x14ac:dyDescent="0.2">
      <c r="A480" s="29" t="s">
        <v>245</v>
      </c>
      <c r="B480" t="e">
        <f>SUM(B477:B479)</f>
        <v>#NAME?</v>
      </c>
      <c r="C480" t="s">
        <v>2</v>
      </c>
      <c r="I480" s="28"/>
    </row>
    <row r="481" spans="1:9" x14ac:dyDescent="0.25">
      <c r="A481" s="27"/>
      <c r="I481" s="28"/>
    </row>
    <row r="482" spans="1:9" x14ac:dyDescent="0.25">
      <c r="A482" s="37" t="s">
        <v>554</v>
      </c>
      <c r="I482" s="28"/>
    </row>
    <row r="483" spans="1:9" x14ac:dyDescent="0.25">
      <c r="A483" s="27" t="s">
        <v>116</v>
      </c>
      <c r="I483" s="28"/>
    </row>
    <row r="484" spans="1:9" ht="14.3" thickBot="1" x14ac:dyDescent="0.3">
      <c r="A484" s="31" t="s">
        <v>117</v>
      </c>
      <c r="B484" s="32"/>
      <c r="C484" s="230"/>
      <c r="D484" s="32"/>
      <c r="E484" s="32"/>
      <c r="F484" s="32"/>
      <c r="G484" s="32"/>
      <c r="H484" s="32"/>
      <c r="I484" s="33"/>
    </row>
    <row r="485" spans="1:9" ht="12.9" x14ac:dyDescent="0.2">
      <c r="A485" s="1"/>
      <c r="B485" s="1"/>
      <c r="C485" s="1"/>
    </row>
    <row r="486" spans="1:9" ht="21.75" customHeight="1" thickBot="1" x14ac:dyDescent="0.3">
      <c r="A486" s="54" t="s">
        <v>237</v>
      </c>
    </row>
    <row r="487" spans="1:9" x14ac:dyDescent="0.25">
      <c r="A487" s="55" t="str">
        <f>"RC1 = "&amp;'Design Converter'!E91&amp;"kΩ"</f>
        <v>RC1 = 1.5kΩ</v>
      </c>
      <c r="B487" s="34" t="str">
        <f>'Design Converter'!E91&amp;"kΩ"</f>
        <v>1.5kΩ</v>
      </c>
      <c r="C487" s="229"/>
      <c r="D487" s="34"/>
      <c r="E487" s="34"/>
      <c r="F487" s="34"/>
      <c r="G487" s="34"/>
      <c r="H487" s="34"/>
      <c r="I487" s="35"/>
    </row>
    <row r="488" spans="1:9" x14ac:dyDescent="0.25">
      <c r="A488" s="27" t="str">
        <f>"RUV1 = "&amp;'Design Converter'!E67&amp;"kΩ"</f>
        <v>RUV1 = 32.4kΩ</v>
      </c>
      <c r="B488" t="str">
        <f>'Design Converter'!E67&amp;"kΩ"</f>
        <v>32.4kΩ</v>
      </c>
      <c r="I488" s="28"/>
    </row>
    <row r="489" spans="1:9" x14ac:dyDescent="0.25">
      <c r="A489" s="27" t="str">
        <f>"RUV2 = "&amp;'Design Converter'!E68&amp;"kΩ"</f>
        <v>RUV2 = 13.3kΩ</v>
      </c>
      <c r="B489" t="str">
        <f>'Design Converter'!E68&amp;"kΩ"</f>
        <v>13.3kΩ</v>
      </c>
      <c r="I489" s="28"/>
    </row>
    <row r="490" spans="1:9" x14ac:dyDescent="0.25">
      <c r="A490" s="27" t="str">
        <f>"LF = "&amp;'Design Converter'!E16&amp;"µH"</f>
        <v>LF = 1.8µH</v>
      </c>
      <c r="B490" t="str">
        <f>'Design Converter'!E16&amp;"µH"</f>
        <v>1.8µH</v>
      </c>
      <c r="I490" s="28"/>
    </row>
    <row r="491" spans="1:9" x14ac:dyDescent="0.25">
      <c r="A491" s="27" t="str">
        <f>"Rdcr = "&amp;Rdcr*1000&amp;"mΩ"</f>
        <v>Rdcr = 3.2mΩ</v>
      </c>
      <c r="B491" t="str">
        <f>Rdcr*1000&amp;"mΩ"</f>
        <v>3.2mΩ</v>
      </c>
      <c r="I491" s="28"/>
    </row>
    <row r="492" spans="1:9" x14ac:dyDescent="0.25">
      <c r="A492" s="27" t="str">
        <f>"Rs = "&amp;'Design Converter'!E30&amp;"mΩ"</f>
        <v>Rs = 1.3mΩ</v>
      </c>
      <c r="B492" t="str">
        <f>'Design Converter'!E30&amp;"mΩ"</f>
        <v>1.3mΩ</v>
      </c>
      <c r="I492" s="28"/>
    </row>
    <row r="493" spans="1:9" x14ac:dyDescent="0.25">
      <c r="A493" s="27" t="str">
        <f>"Rshunt = "&amp;ROUND('Design Converter'!E72,1)&amp;"mΩ"</f>
        <v>Rshunt = 10mΩ</v>
      </c>
      <c r="B493" t="str">
        <f>ROUND('Design Converter'!E72,1)&amp;"mΩ"</f>
        <v>10mΩ</v>
      </c>
      <c r="I493" s="28"/>
    </row>
    <row r="494" spans="1:9" x14ac:dyDescent="0.25">
      <c r="A494" s="27"/>
      <c r="I494" s="28"/>
    </row>
    <row r="495" spans="1:9" x14ac:dyDescent="0.25">
      <c r="A495" s="27" t="str">
        <f>"VOUT = "&amp;'Design Converter'!E9&amp;"V"</f>
        <v>VOUT = 16V</v>
      </c>
      <c r="B495" t="str">
        <f>'Design Converter'!E9&amp;"V"</f>
        <v>16V</v>
      </c>
      <c r="I495" s="28"/>
    </row>
    <row r="496" spans="1:9" x14ac:dyDescent="0.25">
      <c r="A496" s="27"/>
      <c r="I496" s="28"/>
    </row>
    <row r="497" spans="1:9" x14ac:dyDescent="0.25">
      <c r="A497" s="27" t="str">
        <f>"COUT = "&amp;'Design Converter'!$E$43&amp;"µF"</f>
        <v>COUT = 130µF</v>
      </c>
      <c r="B497" t="str">
        <f>'Design Converter'!$E$43&amp;"µF"</f>
        <v>130µF</v>
      </c>
      <c r="I497" s="28"/>
    </row>
    <row r="498" spans="1:9" x14ac:dyDescent="0.25">
      <c r="A498" s="178" t="s">
        <v>311</v>
      </c>
      <c r="B498" t="str">
        <f>"22µF"</f>
        <v>22µF</v>
      </c>
      <c r="I498" s="28"/>
    </row>
    <row r="499" spans="1:9" x14ac:dyDescent="0.25">
      <c r="A499" s="178" t="s">
        <v>312</v>
      </c>
      <c r="B499" s="79" t="str">
        <f>ROUNDUP(Cout*1000000/22,0)&amp;" x"</f>
        <v>6 x</v>
      </c>
      <c r="C499" s="231"/>
      <c r="I499" s="28"/>
    </row>
    <row r="500" spans="1:9" x14ac:dyDescent="0.25">
      <c r="A500" s="27"/>
      <c r="I500" s="28"/>
    </row>
    <row r="501" spans="1:9" x14ac:dyDescent="0.25">
      <c r="A501" s="27" t="s">
        <v>262</v>
      </c>
      <c r="B501" t="str">
        <f>Cin*1000000&amp;"µF"</f>
        <v>100µF</v>
      </c>
      <c r="I501" s="28"/>
    </row>
    <row r="502" spans="1:9" x14ac:dyDescent="0.25">
      <c r="A502" s="178" t="s">
        <v>310</v>
      </c>
      <c r="B502" t="str">
        <f>"10µF"</f>
        <v>10µF</v>
      </c>
      <c r="I502" s="28"/>
    </row>
    <row r="503" spans="1:9" x14ac:dyDescent="0.25">
      <c r="A503" s="178" t="s">
        <v>309</v>
      </c>
      <c r="B503" s="79" t="str">
        <f>ROUNDUP(Cin*1000000/10,0)&amp;" x"</f>
        <v>10 x</v>
      </c>
      <c r="C503" s="231"/>
      <c r="I503" s="28"/>
    </row>
    <row r="504" spans="1:9" x14ac:dyDescent="0.25">
      <c r="A504" s="178"/>
      <c r="B504" s="79"/>
      <c r="C504" s="231"/>
      <c r="I504" s="28"/>
    </row>
    <row r="505" spans="1:9" x14ac:dyDescent="0.25">
      <c r="A505" s="27" t="str">
        <f>"RC1 = "&amp;Rcea1_u/1000&amp;"kΩ"</f>
        <v>RC1 = 1.5kΩ</v>
      </c>
      <c r="B505" t="str">
        <f>ROUND(Rcea1_u/1000,2)&amp;"kΩ"</f>
        <v>1.5kΩ</v>
      </c>
      <c r="I505" s="28"/>
    </row>
    <row r="506" spans="1:9" x14ac:dyDescent="0.25">
      <c r="A506" s="27" t="str">
        <f>"CC1 = "&amp;Cc1ea_u*10^9&amp;"nF"</f>
        <v>CC1 = 56nF</v>
      </c>
      <c r="B506" t="str">
        <f>Cc1ea_u*10^9&amp;"nF"</f>
        <v>56nF</v>
      </c>
      <c r="I506" s="28"/>
    </row>
    <row r="507" spans="1:9" x14ac:dyDescent="0.25">
      <c r="A507" s="27" t="str">
        <f>"CC2 = "&amp;IF(Cc2ea_u&gt;0, Cc2ea_u*10^12&amp;"pF", "OPEN")</f>
        <v>CC2 = 2700pF</v>
      </c>
      <c r="B507" t="str">
        <f>IF(Cc2ea_u&gt;0, ROUND(Cc2ea_u*10^12,1)&amp;"pF", "N/A")</f>
        <v>2700pF</v>
      </c>
      <c r="I507" s="28"/>
    </row>
    <row r="508" spans="1:9" x14ac:dyDescent="0.25">
      <c r="A508" s="27"/>
      <c r="I508" s="28"/>
    </row>
    <row r="509" spans="1:9" x14ac:dyDescent="0.25">
      <c r="A509" s="27" t="str">
        <f>"gm = "&amp;$B$299*1000&amp;"mS"</f>
        <v>gm = 0.6mS</v>
      </c>
      <c r="B509" t="str">
        <f>$B$299*1000&amp;"mS"</f>
        <v>0.6mS</v>
      </c>
      <c r="I509" s="28"/>
    </row>
    <row r="510" spans="1:9" x14ac:dyDescent="0.25">
      <c r="A510" s="27" t="str">
        <f>"RoEA = "&amp;RoEA/1000000&amp;"MΩ"</f>
        <v>RoEA = 10MΩ</v>
      </c>
      <c r="B510" t="str">
        <f>RoEA/1000000&amp;"MΩ"</f>
        <v>10MΩ</v>
      </c>
      <c r="I510" s="28"/>
    </row>
    <row r="511" spans="1:9" x14ac:dyDescent="0.25">
      <c r="A511" s="27" t="str">
        <f>"GBW = "&amp;GBW&amp;"MHz"</f>
        <v>GBW = 13MHz</v>
      </c>
      <c r="B511" t="str">
        <f>GBW&amp;"MHz"</f>
        <v>13MHz</v>
      </c>
      <c r="I511" s="28"/>
    </row>
    <row r="512" spans="1:9" x14ac:dyDescent="0.25">
      <c r="A512" s="27"/>
      <c r="I512" s="28"/>
    </row>
    <row r="513" spans="1:9" x14ac:dyDescent="0.25">
      <c r="A513" s="27" t="str">
        <f>"Cslope = "&amp;Cslope&amp;"pF"</f>
        <v>Cslope = 0.0000000000025pF</v>
      </c>
      <c r="B513" t="str">
        <f>ROUND(Cslope*1,0)&amp;"pF"</f>
        <v>0pF</v>
      </c>
      <c r="I513" s="28"/>
    </row>
    <row r="514" spans="1:9" x14ac:dyDescent="0.25">
      <c r="A514" s="27" t="e">
        <f>IF(DITHER=1, "Cdither = "&amp;Cdither*1000000000&amp;"nF", "")</f>
        <v>#NAME?</v>
      </c>
      <c r="B514" t="e">
        <f>IF(DITHER=1, ROUND(Cdither*1000000000,0)&amp;"nF", "")</f>
        <v>#NAME?</v>
      </c>
      <c r="C514" s="2" t="e">
        <f>IF(DITHER=1, "Cd", "")</f>
        <v>#NAME?</v>
      </c>
      <c r="I514" s="28"/>
    </row>
    <row r="515" spans="1:9" x14ac:dyDescent="0.25">
      <c r="A515" s="27" t="str">
        <f>"RFB1 = "&amp;'Design Converter'!E85&amp;"kΩ"</f>
        <v>RFB1 = 71.5kΩ</v>
      </c>
      <c r="B515" t="str">
        <f>'Design Converter'!E85&amp;"kΩ"</f>
        <v>71.5kΩ</v>
      </c>
      <c r="I515" s="28"/>
    </row>
    <row r="516" spans="1:9" x14ac:dyDescent="0.25">
      <c r="A516" s="27" t="str">
        <f>"RFB2 = "&amp;IF(Vout=Vref,"OPEN",'Design Converter'!E86&amp;"kΩ")</f>
        <v>RFB2 = 4.75kΩ</v>
      </c>
      <c r="B516" t="str">
        <f>IF(Vout=Vref,"OPEN",Rfb2_u/1000&amp;"kΩ")</f>
        <v>4.75kΩ</v>
      </c>
      <c r="I516" s="28"/>
    </row>
    <row r="517" spans="1:9" x14ac:dyDescent="0.25">
      <c r="A517" s="27" t="str">
        <f>"Crossover Frequency = "&amp;B517</f>
        <v>Crossover Frequency = 4 kHz</v>
      </c>
      <c r="B517" t="str">
        <f>ROUND(D517,1)&amp;" kHz"</f>
        <v>4 kHz</v>
      </c>
      <c r="D517" s="78">
        <f>IF(BODEPLOT_TYPE,'IL Stability Calculations'!U4,'Stability Calculations'!Q4)</f>
        <v>3.9811000000000001</v>
      </c>
      <c r="I517" s="28"/>
    </row>
    <row r="518" spans="1:9" x14ac:dyDescent="0.25">
      <c r="A518" s="27" t="str">
        <f>"Phase Margin = "&amp;B518</f>
        <v>Phase Margin = 72°</v>
      </c>
      <c r="B518" s="79" t="str">
        <f>ROUND(D518,0)&amp;"°"</f>
        <v>72°</v>
      </c>
      <c r="C518" s="231"/>
      <c r="D518">
        <f>IF(BODEPLOT_TYPE,'IL Stability Calculations'!U5,'Stability Calculations'!Q5)</f>
        <v>71.686068627307321</v>
      </c>
      <c r="E518" s="180"/>
      <c r="I518" s="28"/>
    </row>
    <row r="519" spans="1:9" x14ac:dyDescent="0.25">
      <c r="A519" s="27"/>
      <c r="B519" s="79"/>
      <c r="C519" s="231"/>
      <c r="E519" s="180"/>
      <c r="I519" s="28"/>
    </row>
    <row r="520" spans="1:9" x14ac:dyDescent="0.25">
      <c r="A520" s="37" t="s">
        <v>803</v>
      </c>
      <c r="B520" s="395" t="str">
        <f>IF(PLOT_TYPE=1,"", ROUND('Efficiency vs VIN Calculations'!BO9,1)&amp;"%")</f>
        <v/>
      </c>
      <c r="C520" s="231"/>
      <c r="E520" s="180"/>
      <c r="I520" s="28"/>
    </row>
    <row r="521" spans="1:9" x14ac:dyDescent="0.25">
      <c r="A521" s="37" t="s">
        <v>801</v>
      </c>
      <c r="B521" s="395" t="str">
        <f>IF(PLOT_TYPE=1, ROUND('Efficiency vs Load Calculations'!BP109,1)&amp;"%", ROUND('Efficiency vs VIN Calculations'!BO109,1)&amp;"%")</f>
        <v>1%</v>
      </c>
      <c r="C521" s="231"/>
      <c r="E521" s="180"/>
      <c r="I521" s="28"/>
    </row>
    <row r="522" spans="1:9" x14ac:dyDescent="0.25">
      <c r="A522" s="37" t="s">
        <v>802</v>
      </c>
      <c r="B522" s="395" t="str">
        <f>IF(PLOT_TYPE=1, ROUND('Efficiency vs Load Calculations'!BP59,1)&amp;"%", ROUND('Efficiency vs VIN Calculations'!BO209,1)&amp;"%")</f>
        <v>0.7%</v>
      </c>
      <c r="C522" s="231"/>
      <c r="E522" s="180"/>
      <c r="I522" s="28"/>
    </row>
    <row r="523" spans="1:9" x14ac:dyDescent="0.25">
      <c r="A523" s="27"/>
      <c r="B523" s="79"/>
      <c r="C523" s="231"/>
      <c r="E523" s="180"/>
      <c r="I523" s="28"/>
    </row>
    <row r="524" spans="1:9" x14ac:dyDescent="0.25">
      <c r="A524" s="27" t="str">
        <f>"CDITH = "&amp;Cdither*1000000000&amp;"nF"</f>
        <v>CDITH = 0nF</v>
      </c>
      <c r="B524" t="str">
        <f>Cdither*1000000000&amp;"nF"</f>
        <v>0nF</v>
      </c>
      <c r="I524" s="28"/>
    </row>
    <row r="525" spans="1:9" x14ac:dyDescent="0.25">
      <c r="A525" s="27" t="str">
        <f>"Rs = "&amp;Rs&amp;"Ω"</f>
        <v>Rs = 0.0013Ω</v>
      </c>
      <c r="B525" t="str">
        <f>'Standard Value Calculator'!O6&amp;"Ω"</f>
        <v>10Ω</v>
      </c>
      <c r="I525" s="28"/>
    </row>
    <row r="526" spans="1:9" x14ac:dyDescent="0.25">
      <c r="A526" s="27" t="s">
        <v>221</v>
      </c>
      <c r="B526" t="str">
        <f>'Standard Value Calculator'!O13&amp;"mΩ"</f>
        <v>1.65mΩ</v>
      </c>
      <c r="I526" s="28"/>
    </row>
    <row r="527" spans="1:9" x14ac:dyDescent="0.25">
      <c r="A527" s="27" t="s">
        <v>196</v>
      </c>
      <c r="B527" t="str">
        <f>'Standard Value Calculator'!O6&amp;"mΩ"</f>
        <v>10mΩ</v>
      </c>
      <c r="I527" s="28"/>
    </row>
    <row r="528" spans="1:9" x14ac:dyDescent="0.25">
      <c r="A528" s="27" t="str">
        <f>"Rshunt = "&amp;ROUND(Rshunt,1)&amp;"mΩ"</f>
        <v>Rshunt = 10mΩ</v>
      </c>
      <c r="B528" t="str">
        <f>IF(Rshunt="0", "N/A",ROUND(Rshunt,1)&amp;"mΩ")</f>
        <v>10mΩ</v>
      </c>
      <c r="I528" s="28"/>
    </row>
    <row r="529" spans="1:9" x14ac:dyDescent="0.25">
      <c r="A529" s="27"/>
      <c r="I529" s="28"/>
    </row>
    <row r="530" spans="1:9" x14ac:dyDescent="0.25">
      <c r="A530" s="178" t="s">
        <v>305</v>
      </c>
      <c r="B530" s="77" t="s">
        <v>306</v>
      </c>
      <c r="I530" s="28"/>
    </row>
    <row r="531" spans="1:9" x14ac:dyDescent="0.25">
      <c r="A531" s="178"/>
      <c r="B531" s="77"/>
      <c r="I531" s="28"/>
    </row>
    <row r="532" spans="1:9" x14ac:dyDescent="0.25">
      <c r="A532" s="178"/>
      <c r="B532" s="77"/>
      <c r="I532" s="28"/>
    </row>
    <row r="533" spans="1:9" x14ac:dyDescent="0.25">
      <c r="A533" s="178" t="s">
        <v>325</v>
      </c>
      <c r="B533" t="str">
        <f>'Standard Value Calculator'!O4/1000&amp;"kΩ"</f>
        <v>75kΩ</v>
      </c>
      <c r="I533" s="28"/>
    </row>
    <row r="534" spans="1:9" x14ac:dyDescent="0.25">
      <c r="A534" s="27" t="s">
        <v>181</v>
      </c>
      <c r="B534" t="str">
        <f>'Standard Value Calculator'!B4*1000000000 &amp;"nF"</f>
        <v>18nF</v>
      </c>
      <c r="I534" s="28"/>
    </row>
    <row r="535" spans="1:9" x14ac:dyDescent="0.25">
      <c r="A535" s="178" t="s">
        <v>392</v>
      </c>
      <c r="B535" s="77" t="str">
        <f>Cslope &amp;"pF"</f>
        <v>0.0000000000025pF</v>
      </c>
      <c r="I535" s="28"/>
    </row>
    <row r="536" spans="1:9" x14ac:dyDescent="0.25">
      <c r="A536" s="27" t="s">
        <v>222</v>
      </c>
      <c r="B536" t="str">
        <f>IF(B108="y","","|")</f>
        <v>|</v>
      </c>
      <c r="I536" s="28"/>
    </row>
    <row r="537" spans="1:9" x14ac:dyDescent="0.25">
      <c r="A537" s="27" t="s">
        <v>238</v>
      </c>
      <c r="B537" t="str">
        <f>'Design Converter'!$E$10&amp;"A"</f>
        <v>8A</v>
      </c>
      <c r="I537" s="28"/>
    </row>
    <row r="538" spans="1:9" x14ac:dyDescent="0.25">
      <c r="A538" s="27" t="s">
        <v>173</v>
      </c>
      <c r="B538" t="str">
        <f>VIN_nom&amp;"V"</f>
        <v>12V</v>
      </c>
      <c r="I538" s="28"/>
    </row>
    <row r="539" spans="1:9" x14ac:dyDescent="0.25">
      <c r="A539" s="178" t="s">
        <v>814</v>
      </c>
      <c r="B539" t="str">
        <f>VIN_min&amp;"V"&amp;"..."&amp;VIN_max&amp;"V"</f>
        <v>6V...36V</v>
      </c>
      <c r="I539" s="28"/>
    </row>
    <row r="540" spans="1:9" x14ac:dyDescent="0.25">
      <c r="A540" s="27"/>
      <c r="I540" s="28"/>
    </row>
    <row r="541" spans="1:9" x14ac:dyDescent="0.25">
      <c r="A541" s="27" t="s">
        <v>246</v>
      </c>
      <c r="B541">
        <v>12</v>
      </c>
      <c r="I541" s="28"/>
    </row>
    <row r="542" spans="1:9" x14ac:dyDescent="0.25">
      <c r="A542" s="27" t="s">
        <v>247</v>
      </c>
      <c r="B542">
        <v>18</v>
      </c>
      <c r="I542" s="28"/>
    </row>
    <row r="543" spans="1:9" x14ac:dyDescent="0.25">
      <c r="A543" s="27" t="s">
        <v>248</v>
      </c>
      <c r="B543">
        <v>14</v>
      </c>
      <c r="I543" s="28"/>
    </row>
    <row r="544" spans="1:9" x14ac:dyDescent="0.25">
      <c r="A544" s="27" t="s">
        <v>249</v>
      </c>
      <c r="B544">
        <v>6</v>
      </c>
      <c r="I544" s="28"/>
    </row>
    <row r="545" spans="1:9" x14ac:dyDescent="0.25">
      <c r="A545" s="27" t="s">
        <v>250</v>
      </c>
      <c r="B545">
        <v>7</v>
      </c>
      <c r="I545" s="28"/>
    </row>
    <row r="546" spans="1:9" x14ac:dyDescent="0.25">
      <c r="A546" s="27" t="s">
        <v>251</v>
      </c>
      <c r="B546">
        <v>11</v>
      </c>
      <c r="I546" s="28"/>
    </row>
    <row r="547" spans="1:9" x14ac:dyDescent="0.25">
      <c r="A547" s="27" t="s">
        <v>252</v>
      </c>
      <c r="B547">
        <v>1</v>
      </c>
      <c r="I547" s="28"/>
    </row>
    <row r="548" spans="1:9" x14ac:dyDescent="0.25">
      <c r="A548" s="27" t="s">
        <v>253</v>
      </c>
      <c r="B548">
        <v>5</v>
      </c>
      <c r="I548" s="28"/>
    </row>
    <row r="549" spans="1:9" x14ac:dyDescent="0.25">
      <c r="A549" s="27" t="s">
        <v>254</v>
      </c>
      <c r="B549">
        <v>13</v>
      </c>
      <c r="I549" s="28"/>
    </row>
    <row r="550" spans="1:9" x14ac:dyDescent="0.25">
      <c r="A550" s="27" t="s">
        <v>255</v>
      </c>
      <c r="B550">
        <v>4</v>
      </c>
      <c r="I550" s="28"/>
    </row>
    <row r="551" spans="1:9" x14ac:dyDescent="0.25">
      <c r="A551" s="27" t="s">
        <v>256</v>
      </c>
      <c r="B551">
        <v>3</v>
      </c>
      <c r="I551" s="28"/>
    </row>
    <row r="552" spans="1:9" x14ac:dyDescent="0.25">
      <c r="A552" s="27" t="s">
        <v>257</v>
      </c>
      <c r="B552">
        <v>24</v>
      </c>
      <c r="I552" s="28"/>
    </row>
    <row r="553" spans="1:9" x14ac:dyDescent="0.25">
      <c r="A553" s="27" t="s">
        <v>258</v>
      </c>
      <c r="B553">
        <v>23</v>
      </c>
      <c r="I553" s="28"/>
    </row>
    <row r="554" spans="1:9" x14ac:dyDescent="0.25">
      <c r="A554" s="27" t="s">
        <v>259</v>
      </c>
      <c r="B554">
        <v>15</v>
      </c>
      <c r="I554" s="28"/>
    </row>
    <row r="555" spans="1:9" x14ac:dyDescent="0.25">
      <c r="A555" s="27" t="s">
        <v>260</v>
      </c>
      <c r="B555">
        <v>16</v>
      </c>
      <c r="I555" s="28"/>
    </row>
    <row r="556" spans="1:9" x14ac:dyDescent="0.25">
      <c r="A556" s="27" t="s">
        <v>261</v>
      </c>
      <c r="B556">
        <v>17</v>
      </c>
      <c r="I556" s="28"/>
    </row>
    <row r="557" spans="1:9" x14ac:dyDescent="0.25">
      <c r="A557" t="s">
        <v>273</v>
      </c>
      <c r="B557">
        <v>2</v>
      </c>
      <c r="I557" s="28"/>
    </row>
    <row r="558" spans="1:9" x14ac:dyDescent="0.25">
      <c r="A558" s="27" t="s">
        <v>272</v>
      </c>
      <c r="B558">
        <v>8</v>
      </c>
      <c r="I558" s="28"/>
    </row>
    <row r="559" spans="1:9" ht="14.3" thickBot="1" x14ac:dyDescent="0.3">
      <c r="A559" s="31"/>
      <c r="B559" s="32"/>
      <c r="C559" s="230"/>
      <c r="D559" s="32"/>
      <c r="E559" s="32"/>
      <c r="F559" s="32"/>
      <c r="G559" s="32"/>
      <c r="H559" s="32"/>
      <c r="I559" s="33"/>
    </row>
  </sheetData>
  <sheetProtection selectLockedCells="1"/>
  <mergeCells count="2">
    <mergeCell ref="E5:H5"/>
    <mergeCell ref="A1:I1"/>
  </mergeCells>
  <phoneticPr fontId="10" type="noConversion"/>
  <pageMargins left="0.75" right="0.75" top="1" bottom="1" header="0.5" footer="0.5"/>
  <pageSetup orientation="portrait" r:id="rId1"/>
  <headerFooter alignWithMargins="0"/>
  <ignoredErrors>
    <ignoredError sqref="B351" formula="1"/>
  </ignoredErrors>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F187B-EEFE-4A61-A2A5-EB1F1CBC2558}">
  <sheetPr codeName="Sheet16"/>
  <dimension ref="A1:Q107"/>
  <sheetViews>
    <sheetView workbookViewId="0">
      <selection activeCell="C18" sqref="C18"/>
    </sheetView>
  </sheetViews>
  <sheetFormatPr defaultRowHeight="12.9" x14ac:dyDescent="0.2"/>
  <cols>
    <col min="1" max="1" width="30.25" bestFit="1" customWidth="1"/>
    <col min="2" max="2" width="16.625" bestFit="1" customWidth="1"/>
    <col min="14" max="14" width="12.375" bestFit="1" customWidth="1"/>
  </cols>
  <sheetData>
    <row r="1" spans="1:17" ht="27.2" x14ac:dyDescent="0.4">
      <c r="A1" s="733" t="s">
        <v>940</v>
      </c>
      <c r="B1" s="733"/>
      <c r="C1" s="733"/>
      <c r="D1" s="733"/>
      <c r="E1" s="733"/>
      <c r="F1" s="733"/>
      <c r="G1" s="733"/>
      <c r="H1" s="733"/>
      <c r="I1" s="733"/>
    </row>
    <row r="2" spans="1:17" ht="13.6" x14ac:dyDescent="0.25">
      <c r="A2" s="20"/>
      <c r="B2" s="20" t="s">
        <v>223</v>
      </c>
      <c r="C2" s="21"/>
      <c r="E2" s="453"/>
      <c r="F2" s="20" t="s">
        <v>831</v>
      </c>
      <c r="G2" s="20"/>
      <c r="H2" s="20"/>
      <c r="I2" s="20"/>
      <c r="N2" s="11"/>
    </row>
    <row r="3" spans="1:17" ht="13.6" x14ac:dyDescent="0.25">
      <c r="A3" s="20"/>
      <c r="B3" s="20" t="s">
        <v>271</v>
      </c>
      <c r="C3" s="22"/>
      <c r="E3" s="20"/>
      <c r="F3" s="20"/>
      <c r="G3" s="20"/>
      <c r="H3" s="20"/>
      <c r="I3" s="20"/>
      <c r="N3" s="11"/>
    </row>
    <row r="4" spans="1:17" ht="13.6" x14ac:dyDescent="0.25">
      <c r="A4" s="20"/>
      <c r="B4" s="20" t="s">
        <v>224</v>
      </c>
      <c r="C4" s="23"/>
      <c r="E4" s="20"/>
      <c r="F4" s="20"/>
      <c r="G4" s="20"/>
      <c r="H4" s="20"/>
      <c r="I4" s="20"/>
    </row>
    <row r="5" spans="1:17" ht="13.6" x14ac:dyDescent="0.25">
      <c r="A5" s="2" t="s">
        <v>51</v>
      </c>
      <c r="B5" s="2" t="s">
        <v>941</v>
      </c>
      <c r="C5" s="2" t="s">
        <v>9</v>
      </c>
      <c r="D5" s="2" t="s">
        <v>932</v>
      </c>
      <c r="E5" s="732"/>
      <c r="F5" s="732"/>
      <c r="G5" s="732"/>
      <c r="H5" s="732"/>
      <c r="I5" s="2"/>
    </row>
    <row r="6" spans="1:17" ht="16.3" thickBot="1" x14ac:dyDescent="0.3">
      <c r="A6" s="429"/>
      <c r="B6" s="2"/>
      <c r="C6" s="2"/>
      <c r="D6" s="2" t="s">
        <v>827</v>
      </c>
      <c r="E6" s="20" t="s">
        <v>942</v>
      </c>
      <c r="F6" s="20" t="s">
        <v>1029</v>
      </c>
      <c r="G6" s="20" t="s">
        <v>1140</v>
      </c>
      <c r="H6" s="20"/>
      <c r="I6" s="2"/>
      <c r="M6" s="77" t="s">
        <v>984</v>
      </c>
      <c r="N6" s="546">
        <f>VLOOKUP((Fsw/1000000),P7:Q107,2)</f>
        <v>209.21279999999999</v>
      </c>
      <c r="P6" s="458" t="s">
        <v>985</v>
      </c>
      <c r="Q6" s="458" t="s">
        <v>984</v>
      </c>
    </row>
    <row r="7" spans="1:17" x14ac:dyDescent="0.2">
      <c r="A7" s="177" t="s">
        <v>943</v>
      </c>
      <c r="B7" s="10">
        <f>IF(Device=DeviceParameter!$D$6,DeviceParameter!D7,IF(Device=DeviceParameter!$E$6,DeviceParameter!E7,IF(Device=DeviceParameter!$F$6,DeviceParameter!F7,IF(Device=DeviceParameter!$G$6,DeviceParameter!G7,""))))</f>
        <v>78</v>
      </c>
      <c r="C7" s="223" t="s">
        <v>0</v>
      </c>
      <c r="D7" s="548">
        <v>60</v>
      </c>
      <c r="E7" s="527"/>
      <c r="F7" s="548">
        <v>78</v>
      </c>
      <c r="G7" s="548">
        <v>78</v>
      </c>
      <c r="H7" s="34"/>
      <c r="I7" s="35"/>
      <c r="P7" s="528">
        <v>0.1</v>
      </c>
      <c r="Q7" s="528">
        <v>435.39210000000003</v>
      </c>
    </row>
    <row r="8" spans="1:17" x14ac:dyDescent="0.2">
      <c r="A8" s="77" t="s">
        <v>944</v>
      </c>
      <c r="B8" s="10">
        <f>IF(Device=DeviceParameter!$D$6,DeviceParameter!D8,IF(Device=DeviceParameter!$E$6,DeviceParameter!E8,IF(Device=DeviceParameter!$F$6,DeviceParameter!F8,IF(Device=DeviceParameter!$G$6,DeviceParameter!G8,""))))</f>
        <v>2.9</v>
      </c>
      <c r="C8" t="s">
        <v>0</v>
      </c>
      <c r="D8" s="528">
        <v>2.8</v>
      </c>
      <c r="E8" s="528"/>
      <c r="F8" s="528">
        <v>2.9</v>
      </c>
      <c r="G8" s="528">
        <v>2.9</v>
      </c>
      <c r="M8" s="77" t="s">
        <v>986</v>
      </c>
      <c r="N8" s="244">
        <v>10</v>
      </c>
      <c r="P8" s="528">
        <v>0.1212</v>
      </c>
      <c r="Q8" s="528">
        <v>404.81189999999998</v>
      </c>
    </row>
    <row r="9" spans="1:17" x14ac:dyDescent="0.2">
      <c r="A9" s="77" t="s">
        <v>945</v>
      </c>
      <c r="B9" s="10">
        <f>IF(Device=DeviceParameter!$D$6,DeviceParameter!D9,IF(Device=DeviceParameter!$E$6,DeviceParameter!E9,IF(Device=DeviceParameter!$F$6,DeviceParameter!F9,IF(Device=DeviceParameter!$G$6,DeviceParameter!G9,""))))</f>
        <v>1800</v>
      </c>
      <c r="C9" s="77" t="s">
        <v>3</v>
      </c>
      <c r="D9" s="528">
        <v>600</v>
      </c>
      <c r="E9" s="528"/>
      <c r="F9" s="528">
        <v>1800</v>
      </c>
      <c r="G9" s="528">
        <v>1800</v>
      </c>
      <c r="M9" s="77" t="s">
        <v>987</v>
      </c>
      <c r="N9" s="549">
        <f>(N6*0.000000001)/(2*PI()*(2*N8)*10)</f>
        <v>1.664862563904804E-10</v>
      </c>
      <c r="P9" s="528">
        <v>0.1424</v>
      </c>
      <c r="Q9" s="528">
        <v>379.0609</v>
      </c>
    </row>
    <row r="10" spans="1:17" x14ac:dyDescent="0.2">
      <c r="D10" s="528"/>
      <c r="E10" s="528"/>
      <c r="F10" s="528"/>
      <c r="G10" s="528"/>
      <c r="M10" s="77" t="s">
        <v>992</v>
      </c>
      <c r="N10" s="487">
        <f>'Standard Value Calculator'!O14</f>
        <v>1.8E-10</v>
      </c>
      <c r="P10" s="528">
        <v>0.1636</v>
      </c>
      <c r="Q10" s="528">
        <v>355.58049999999997</v>
      </c>
    </row>
    <row r="11" spans="1:17" x14ac:dyDescent="0.2">
      <c r="A11" t="s">
        <v>891</v>
      </c>
      <c r="B11" s="10">
        <f>IF(Device=DeviceParameter!$D$6,DeviceParameter!D11,IF(Device=DeviceParameter!$E$6,DeviceParameter!E11,IF(Device=DeviceParameter!$F$6,DeviceParameter!F11,IF(Device=DeviceParameter!$G$6,DeviceParameter!G11,""))))</f>
        <v>1E-3</v>
      </c>
      <c r="C11" s="77" t="s">
        <v>70</v>
      </c>
      <c r="D11" s="508">
        <v>1E-3</v>
      </c>
      <c r="E11" s="528"/>
      <c r="F11" s="508">
        <v>1E-3</v>
      </c>
      <c r="G11" s="508">
        <v>1E-3</v>
      </c>
      <c r="P11" s="528">
        <v>0.18479999999999999</v>
      </c>
      <c r="Q11" s="528">
        <v>334.35239999999999</v>
      </c>
    </row>
    <row r="12" spans="1:17" x14ac:dyDescent="0.2">
      <c r="A12" s="77" t="s">
        <v>919</v>
      </c>
      <c r="B12" s="10">
        <f>IF(Device=DeviceParameter!$D$6,DeviceParameter!D12,IF(Device=DeviceParameter!$E$6,DeviceParameter!E12,IF(Device=DeviceParameter!$F$6,DeviceParameter!F12,IF(Device=DeviceParameter!$G$6,DeviceParameter!G12,""))))</f>
        <v>2.0000000000000001E-4</v>
      </c>
      <c r="C12" s="77" t="s">
        <v>70</v>
      </c>
      <c r="D12" s="508">
        <v>2.0000000000000001E-4</v>
      </c>
      <c r="E12" s="528"/>
      <c r="F12" s="508">
        <v>2.0000000000000001E-4</v>
      </c>
      <c r="G12" s="534">
        <v>2.0000000000000001E-4</v>
      </c>
      <c r="P12" s="528">
        <v>0.20610000000000001</v>
      </c>
      <c r="Q12" s="528">
        <v>315.6626</v>
      </c>
    </row>
    <row r="13" spans="1:17" ht="13.6" thickBot="1" x14ac:dyDescent="0.25">
      <c r="A13" s="533" t="s">
        <v>1031</v>
      </c>
      <c r="B13" s="10">
        <f>IF(Device=DeviceParameter!$D$6,DeviceParameter!D13,IF(Device=DeviceParameter!$E$6,DeviceParameter!E13,IF(Device=DeviceParameter!$F$6,DeviceParameter!F13,IF(Device=DeviceParameter!$G$6,DeviceParameter!G13,""))))</f>
        <v>5.9999999999999995E-4</v>
      </c>
      <c r="C13" s="253" t="s">
        <v>70</v>
      </c>
      <c r="D13" s="253"/>
      <c r="E13" s="253"/>
      <c r="F13" s="534">
        <v>5.9999999999999995E-4</v>
      </c>
      <c r="G13" s="534">
        <v>5.9999999999999995E-4</v>
      </c>
      <c r="H13" s="253"/>
      <c r="I13" s="253"/>
      <c r="J13" s="253" t="s">
        <v>953</v>
      </c>
      <c r="P13" s="528">
        <v>0.2273</v>
      </c>
      <c r="Q13" s="528">
        <v>299.4314</v>
      </c>
    </row>
    <row r="14" spans="1:17" x14ac:dyDescent="0.2">
      <c r="P14" s="528">
        <v>0.2485</v>
      </c>
      <c r="Q14" s="528">
        <v>283.9873</v>
      </c>
    </row>
    <row r="15" spans="1:17" x14ac:dyDescent="0.2">
      <c r="P15" s="528">
        <v>0.2697</v>
      </c>
      <c r="Q15" s="528">
        <v>270.11340000000001</v>
      </c>
    </row>
    <row r="16" spans="1:17" x14ac:dyDescent="0.2">
      <c r="A16" s="178" t="s">
        <v>1144</v>
      </c>
      <c r="B16" s="10">
        <f>IF(Device=DeviceParameter!$D$6,DeviceParameter!D16,IF(Device=DeviceParameter!$E$6,DeviceParameter!E16,IF(Device=DeviceParameter!$F$6,DeviceParameter!F16,IF(Device=DeviceParameter!$G$6,DeviceParameter!G16,""))))</f>
        <v>4.2500000000000003E-2</v>
      </c>
      <c r="F16" s="721">
        <v>4.2500000000000003E-2</v>
      </c>
      <c r="G16" s="721">
        <v>6.5625000000000003E-2</v>
      </c>
      <c r="P16" s="528">
        <v>0.29089999999999999</v>
      </c>
      <c r="Q16" s="528">
        <v>257.79739999999998</v>
      </c>
    </row>
    <row r="17" spans="1:17" x14ac:dyDescent="0.2">
      <c r="A17" s="178" t="s">
        <v>1142</v>
      </c>
      <c r="B17" s="10">
        <f>IF(Device=DeviceParameter!$D$6,DeviceParameter!D17,IF(Device=DeviceParameter!$E$6,DeviceParameter!E17,IF(Device=DeviceParameter!$F$6,DeviceParameter!F17,IF(Device=DeviceParameter!$G$6,DeviceParameter!G17,""))))</f>
        <v>0.05</v>
      </c>
      <c r="F17" s="721">
        <v>0.05</v>
      </c>
      <c r="G17" s="721">
        <v>7.4999999999999997E-2</v>
      </c>
      <c r="P17" s="528">
        <v>0.31209999999999999</v>
      </c>
      <c r="Q17" s="528">
        <v>246.53489999999999</v>
      </c>
    </row>
    <row r="18" spans="1:17" x14ac:dyDescent="0.2">
      <c r="A18" s="178" t="s">
        <v>1143</v>
      </c>
      <c r="B18" s="10">
        <f>IF(Device=DeviceParameter!$D$6,DeviceParameter!D18,IF(Device=DeviceParameter!$E$6,DeviceParameter!E18,IF(Device=DeviceParameter!$F$6,DeviceParameter!F18,IF(Device=DeviceParameter!$G$6,DeviceParameter!G18,""))))</f>
        <v>5.7500000000000002E-2</v>
      </c>
      <c r="F18" s="721">
        <v>5.7500000000000002E-2</v>
      </c>
      <c r="G18" s="721">
        <v>8.4375000000000006E-2</v>
      </c>
      <c r="P18" s="528">
        <v>0.33329999999999999</v>
      </c>
      <c r="Q18" s="528">
        <v>236.0069</v>
      </c>
    </row>
    <row r="19" spans="1:17" x14ac:dyDescent="0.2">
      <c r="P19" s="528">
        <v>0.35449999999999998</v>
      </c>
      <c r="Q19" s="528">
        <v>226.2988</v>
      </c>
    </row>
    <row r="20" spans="1:17" x14ac:dyDescent="0.2">
      <c r="P20" s="528">
        <v>0.37580000000000002</v>
      </c>
      <c r="Q20" s="528">
        <v>217.5111</v>
      </c>
    </row>
    <row r="21" spans="1:17" x14ac:dyDescent="0.2">
      <c r="P21" s="528">
        <v>0.39700000000000002</v>
      </c>
      <c r="Q21" s="528">
        <v>209.21279999999999</v>
      </c>
    </row>
    <row r="22" spans="1:17" x14ac:dyDescent="0.2">
      <c r="P22" s="528">
        <v>0.41820000000000002</v>
      </c>
      <c r="Q22" s="528">
        <v>201.4597</v>
      </c>
    </row>
    <row r="23" spans="1:17" x14ac:dyDescent="0.2">
      <c r="P23" s="528">
        <v>0.43940000000000001</v>
      </c>
      <c r="Q23" s="528">
        <v>193.94550000000001</v>
      </c>
    </row>
    <row r="24" spans="1:17" x14ac:dyDescent="0.2">
      <c r="P24" s="528">
        <v>0.46060000000000001</v>
      </c>
      <c r="Q24" s="528">
        <v>187.25460000000001</v>
      </c>
    </row>
    <row r="25" spans="1:17" x14ac:dyDescent="0.2">
      <c r="P25" s="528">
        <v>0.48180000000000001</v>
      </c>
      <c r="Q25" s="528">
        <v>180.98580000000001</v>
      </c>
    </row>
    <row r="26" spans="1:17" x14ac:dyDescent="0.2">
      <c r="P26" s="528">
        <v>0.503</v>
      </c>
      <c r="Q26" s="528">
        <v>175.15520000000001</v>
      </c>
    </row>
    <row r="27" spans="1:17" x14ac:dyDescent="0.2">
      <c r="P27" s="528">
        <v>0.5242</v>
      </c>
      <c r="Q27" s="528">
        <v>169.59479999999999</v>
      </c>
    </row>
    <row r="28" spans="1:17" x14ac:dyDescent="0.2">
      <c r="P28" s="528">
        <v>0.54549999999999998</v>
      </c>
      <c r="Q28" s="528">
        <v>164.3228</v>
      </c>
    </row>
    <row r="29" spans="1:17" x14ac:dyDescent="0.2">
      <c r="P29" s="528">
        <v>0.56669999999999998</v>
      </c>
      <c r="Q29" s="528">
        <v>159.37139999999999</v>
      </c>
    </row>
    <row r="30" spans="1:17" x14ac:dyDescent="0.2">
      <c r="P30" s="528">
        <v>0.58789999999999998</v>
      </c>
      <c r="Q30" s="528">
        <v>154.7458</v>
      </c>
    </row>
    <row r="31" spans="1:17" x14ac:dyDescent="0.2">
      <c r="P31" s="528">
        <v>0.6</v>
      </c>
      <c r="Q31" s="528">
        <v>151.8441</v>
      </c>
    </row>
    <row r="32" spans="1:17" x14ac:dyDescent="0.2">
      <c r="P32" s="528">
        <v>0.60909999999999997</v>
      </c>
      <c r="Q32" s="528">
        <v>150.1909</v>
      </c>
    </row>
    <row r="33" spans="16:17" x14ac:dyDescent="0.2">
      <c r="P33" s="528">
        <v>0.63029999999999997</v>
      </c>
      <c r="Q33" s="528">
        <v>146.03819999999999</v>
      </c>
    </row>
    <row r="34" spans="16:17" x14ac:dyDescent="0.2">
      <c r="P34" s="528">
        <v>0.65149999999999997</v>
      </c>
      <c r="Q34" s="528">
        <v>141.97450000000001</v>
      </c>
    </row>
    <row r="35" spans="16:17" x14ac:dyDescent="0.2">
      <c r="P35" s="528">
        <v>0.67269999999999996</v>
      </c>
      <c r="Q35" s="528">
        <v>138.1506</v>
      </c>
    </row>
    <row r="36" spans="16:17" x14ac:dyDescent="0.2">
      <c r="P36" s="528">
        <v>0.69389999999999996</v>
      </c>
      <c r="Q36" s="528">
        <v>134.44710000000001</v>
      </c>
    </row>
    <row r="37" spans="16:17" x14ac:dyDescent="0.2">
      <c r="P37" s="528">
        <v>0.71519999999999995</v>
      </c>
      <c r="Q37" s="528">
        <v>130.99359999999999</v>
      </c>
    </row>
    <row r="38" spans="16:17" x14ac:dyDescent="0.2">
      <c r="P38" s="528">
        <v>0.73640000000000005</v>
      </c>
      <c r="Q38" s="528">
        <v>127.8038</v>
      </c>
    </row>
    <row r="39" spans="16:17" x14ac:dyDescent="0.2">
      <c r="P39" s="528">
        <v>0.75760000000000005</v>
      </c>
      <c r="Q39" s="528">
        <v>124.68210000000001</v>
      </c>
    </row>
    <row r="40" spans="16:17" x14ac:dyDescent="0.2">
      <c r="P40" s="528">
        <v>0.77880000000000005</v>
      </c>
      <c r="Q40" s="528">
        <v>121.60169999999999</v>
      </c>
    </row>
    <row r="41" spans="16:17" x14ac:dyDescent="0.2">
      <c r="P41" s="528">
        <v>0.8</v>
      </c>
      <c r="Q41" s="528">
        <v>118.6832</v>
      </c>
    </row>
    <row r="42" spans="16:17" x14ac:dyDescent="0.2">
      <c r="P42" s="528">
        <v>0.82120000000000004</v>
      </c>
      <c r="Q42" s="528">
        <v>115.9532</v>
      </c>
    </row>
    <row r="43" spans="16:17" x14ac:dyDescent="0.2">
      <c r="P43" s="528">
        <v>0.84240000000000004</v>
      </c>
      <c r="Q43" s="528">
        <v>113.27630000000001</v>
      </c>
    </row>
    <row r="44" spans="16:17" x14ac:dyDescent="0.2">
      <c r="P44" s="528">
        <v>0.86360000000000003</v>
      </c>
      <c r="Q44" s="528">
        <v>110.4466</v>
      </c>
    </row>
    <row r="45" spans="16:17" x14ac:dyDescent="0.2">
      <c r="P45" s="528">
        <v>0.88480000000000003</v>
      </c>
      <c r="Q45" s="528">
        <v>108.40770000000001</v>
      </c>
    </row>
    <row r="46" spans="16:17" x14ac:dyDescent="0.2">
      <c r="P46" s="528">
        <v>0.90610000000000002</v>
      </c>
      <c r="Q46" s="528">
        <v>105.8044</v>
      </c>
    </row>
    <row r="47" spans="16:17" x14ac:dyDescent="0.2">
      <c r="P47" s="528">
        <v>0.92730000000000001</v>
      </c>
      <c r="Q47" s="528">
        <v>103.5754</v>
      </c>
    </row>
    <row r="48" spans="16:17" x14ac:dyDescent="0.2">
      <c r="P48" s="528">
        <v>0.94850000000000001</v>
      </c>
      <c r="Q48" s="528">
        <v>101.3655</v>
      </c>
    </row>
    <row r="49" spans="16:17" x14ac:dyDescent="0.2">
      <c r="P49" s="528">
        <v>0.96970000000000001</v>
      </c>
      <c r="Q49" s="528">
        <v>99.157899999999998</v>
      </c>
    </row>
    <row r="50" spans="16:17" x14ac:dyDescent="0.2">
      <c r="P50" s="528">
        <v>0.9909</v>
      </c>
      <c r="Q50" s="528">
        <v>97.056100000000001</v>
      </c>
    </row>
    <row r="51" spans="16:17" x14ac:dyDescent="0.2">
      <c r="P51" s="528">
        <v>1.0121</v>
      </c>
      <c r="Q51" s="528">
        <v>95.114999999999995</v>
      </c>
    </row>
    <row r="52" spans="16:17" x14ac:dyDescent="0.2">
      <c r="P52" s="528">
        <v>1.0333000000000001</v>
      </c>
      <c r="Q52" s="528">
        <v>93.2483</v>
      </c>
    </row>
    <row r="53" spans="16:17" x14ac:dyDescent="0.2">
      <c r="P53" s="528">
        <v>1.0545</v>
      </c>
      <c r="Q53" s="528">
        <v>91.377600000000001</v>
      </c>
    </row>
    <row r="54" spans="16:17" x14ac:dyDescent="0.2">
      <c r="P54" s="528">
        <v>1.0758000000000001</v>
      </c>
      <c r="Q54" s="528">
        <v>91.292100000000005</v>
      </c>
    </row>
    <row r="55" spans="16:17" x14ac:dyDescent="0.2">
      <c r="P55" s="528">
        <v>1.097</v>
      </c>
      <c r="Q55" s="528">
        <v>91.211799999999997</v>
      </c>
    </row>
    <row r="56" spans="16:17" x14ac:dyDescent="0.2">
      <c r="P56" s="528">
        <v>1.1182000000000001</v>
      </c>
      <c r="Q56" s="528">
        <v>91.104500000000002</v>
      </c>
    </row>
    <row r="57" spans="16:17" x14ac:dyDescent="0.2">
      <c r="P57" s="528">
        <v>1.1394</v>
      </c>
      <c r="Q57" s="528">
        <v>91.041799999999995</v>
      </c>
    </row>
    <row r="58" spans="16:17" x14ac:dyDescent="0.2">
      <c r="P58" s="528">
        <v>1.1606000000000001</v>
      </c>
      <c r="Q58" s="528">
        <v>90.779200000000003</v>
      </c>
    </row>
    <row r="59" spans="16:17" x14ac:dyDescent="0.2">
      <c r="P59" s="528">
        <v>1.1818</v>
      </c>
      <c r="Q59" s="528">
        <v>90.677000000000007</v>
      </c>
    </row>
    <row r="60" spans="16:17" x14ac:dyDescent="0.2">
      <c r="P60" s="528">
        <v>1.2030000000000001</v>
      </c>
      <c r="Q60" s="528">
        <v>90.627099999999999</v>
      </c>
    </row>
    <row r="61" spans="16:17" x14ac:dyDescent="0.2">
      <c r="P61" s="528">
        <v>1.2242</v>
      </c>
      <c r="Q61" s="528">
        <v>90.486199999999997</v>
      </c>
    </row>
    <row r="62" spans="16:17" x14ac:dyDescent="0.2">
      <c r="P62" s="528">
        <v>1.2455000000000001</v>
      </c>
      <c r="Q62" s="528">
        <v>90.224299999999999</v>
      </c>
    </row>
    <row r="63" spans="16:17" x14ac:dyDescent="0.2">
      <c r="P63" s="528">
        <v>1.2666999999999999</v>
      </c>
      <c r="Q63" s="528">
        <v>90.261300000000006</v>
      </c>
    </row>
    <row r="64" spans="16:17" x14ac:dyDescent="0.2">
      <c r="P64" s="528">
        <v>1.2879</v>
      </c>
      <c r="Q64" s="528">
        <v>90.1815</v>
      </c>
    </row>
    <row r="65" spans="16:17" x14ac:dyDescent="0.2">
      <c r="P65" s="528">
        <v>1.3090999999999999</v>
      </c>
      <c r="Q65" s="528">
        <v>89.972099999999998</v>
      </c>
    </row>
    <row r="66" spans="16:17" x14ac:dyDescent="0.2">
      <c r="P66" s="528">
        <v>1.3303</v>
      </c>
      <c r="Q66" s="528">
        <v>89.738900000000001</v>
      </c>
    </row>
    <row r="67" spans="16:17" x14ac:dyDescent="0.2">
      <c r="P67" s="528">
        <v>1.3514999999999999</v>
      </c>
      <c r="Q67" s="528">
        <v>89.625699999999995</v>
      </c>
    </row>
    <row r="68" spans="16:17" x14ac:dyDescent="0.2">
      <c r="P68" s="528">
        <v>1.3727</v>
      </c>
      <c r="Q68" s="528">
        <v>89.510400000000004</v>
      </c>
    </row>
    <row r="69" spans="16:17" x14ac:dyDescent="0.2">
      <c r="P69" s="528">
        <v>1.3938999999999999</v>
      </c>
      <c r="Q69" s="528">
        <v>89.331699999999998</v>
      </c>
    </row>
    <row r="70" spans="16:17" x14ac:dyDescent="0.2">
      <c r="P70" s="528">
        <v>1.4152</v>
      </c>
      <c r="Q70" s="528">
        <v>89.337500000000006</v>
      </c>
    </row>
    <row r="71" spans="16:17" x14ac:dyDescent="0.2">
      <c r="P71" s="528">
        <v>1.4363999999999999</v>
      </c>
      <c r="Q71" s="528">
        <v>89.218299999999999</v>
      </c>
    </row>
    <row r="72" spans="16:17" x14ac:dyDescent="0.2">
      <c r="P72" s="528">
        <v>1.4576</v>
      </c>
      <c r="Q72" s="528">
        <v>89.144999999999996</v>
      </c>
    </row>
    <row r="73" spans="16:17" x14ac:dyDescent="0.2">
      <c r="P73" s="528">
        <v>1.4787999999999999</v>
      </c>
      <c r="Q73" s="528">
        <v>88.890500000000003</v>
      </c>
    </row>
    <row r="74" spans="16:17" x14ac:dyDescent="0.2">
      <c r="P74" s="528">
        <v>1.5</v>
      </c>
      <c r="Q74" s="528">
        <v>88.917000000000002</v>
      </c>
    </row>
    <row r="75" spans="16:17" x14ac:dyDescent="0.2">
      <c r="P75" s="528">
        <v>1.5212000000000001</v>
      </c>
      <c r="Q75" s="528">
        <v>88.754099999999994</v>
      </c>
    </row>
    <row r="76" spans="16:17" x14ac:dyDescent="0.2">
      <c r="P76" s="528">
        <v>1.5424</v>
      </c>
      <c r="Q76" s="528">
        <v>88.599100000000007</v>
      </c>
    </row>
    <row r="77" spans="16:17" x14ac:dyDescent="0.2">
      <c r="P77" s="528">
        <v>1.5636000000000001</v>
      </c>
      <c r="Q77" s="528">
        <v>88.525700000000001</v>
      </c>
    </row>
    <row r="78" spans="16:17" x14ac:dyDescent="0.2">
      <c r="P78" s="528">
        <v>1.5848</v>
      </c>
      <c r="Q78" s="528">
        <v>88.718400000000003</v>
      </c>
    </row>
    <row r="79" spans="16:17" x14ac:dyDescent="0.2">
      <c r="P79" s="528">
        <v>1.6061000000000001</v>
      </c>
      <c r="Q79" s="528">
        <v>88.371300000000005</v>
      </c>
    </row>
    <row r="80" spans="16:17" x14ac:dyDescent="0.2">
      <c r="P80" s="528">
        <v>1.6273</v>
      </c>
      <c r="Q80" s="528">
        <v>88.420199999999994</v>
      </c>
    </row>
    <row r="81" spans="16:17" x14ac:dyDescent="0.2">
      <c r="P81" s="528">
        <v>1.6485000000000001</v>
      </c>
      <c r="Q81" s="528">
        <v>88.252899999999997</v>
      </c>
    </row>
    <row r="82" spans="16:17" x14ac:dyDescent="0.2">
      <c r="P82" s="528">
        <v>1.6697</v>
      </c>
      <c r="Q82" s="528">
        <v>88.280199999999994</v>
      </c>
    </row>
    <row r="83" spans="16:17" x14ac:dyDescent="0.2">
      <c r="P83" s="528">
        <v>1.6909000000000001</v>
      </c>
      <c r="Q83" s="528">
        <v>88.052000000000007</v>
      </c>
    </row>
    <row r="84" spans="16:17" x14ac:dyDescent="0.2">
      <c r="P84" s="528">
        <v>1.7121</v>
      </c>
      <c r="Q84" s="528">
        <v>88.066500000000005</v>
      </c>
    </row>
    <row r="85" spans="16:17" x14ac:dyDescent="0.2">
      <c r="P85" s="528">
        <v>1.7333000000000001</v>
      </c>
      <c r="Q85" s="528">
        <v>88.037499999999994</v>
      </c>
    </row>
    <row r="86" spans="16:17" x14ac:dyDescent="0.2">
      <c r="P86" s="528">
        <v>1.7544999999999999</v>
      </c>
      <c r="Q86" s="528">
        <v>87.774500000000003</v>
      </c>
    </row>
    <row r="87" spans="16:17" x14ac:dyDescent="0.2">
      <c r="P87" s="528">
        <v>1.7758</v>
      </c>
      <c r="Q87" s="528">
        <v>87.772400000000005</v>
      </c>
    </row>
    <row r="88" spans="16:17" x14ac:dyDescent="0.2">
      <c r="P88" s="528">
        <v>1.7969999999999999</v>
      </c>
      <c r="Q88" s="528">
        <v>87.618399999999994</v>
      </c>
    </row>
    <row r="89" spans="16:17" x14ac:dyDescent="0.2">
      <c r="P89" s="528">
        <v>1.8182</v>
      </c>
      <c r="Q89" s="528">
        <v>87.631600000000006</v>
      </c>
    </row>
    <row r="90" spans="16:17" x14ac:dyDescent="0.2">
      <c r="P90" s="528">
        <v>1.8393999999999999</v>
      </c>
      <c r="Q90" s="528">
        <v>87.3767</v>
      </c>
    </row>
    <row r="91" spans="16:17" x14ac:dyDescent="0.2">
      <c r="P91" s="528">
        <v>1.8606</v>
      </c>
      <c r="Q91" s="528">
        <v>87.315100000000001</v>
      </c>
    </row>
    <row r="92" spans="16:17" x14ac:dyDescent="0.2">
      <c r="P92" s="528">
        <v>1.8817999999999999</v>
      </c>
      <c r="Q92" s="528">
        <v>87.467399999999998</v>
      </c>
    </row>
    <row r="93" spans="16:17" x14ac:dyDescent="0.2">
      <c r="P93" s="528">
        <v>1.903</v>
      </c>
      <c r="Q93" s="528">
        <v>87.284700000000001</v>
      </c>
    </row>
    <row r="94" spans="16:17" x14ac:dyDescent="0.2">
      <c r="P94" s="528">
        <v>1.9241999999999999</v>
      </c>
      <c r="Q94" s="528">
        <v>87.141099999999994</v>
      </c>
    </row>
    <row r="95" spans="16:17" x14ac:dyDescent="0.2">
      <c r="P95" s="528">
        <v>1.9455</v>
      </c>
      <c r="Q95" s="528">
        <v>87.166700000000006</v>
      </c>
    </row>
    <row r="96" spans="16:17" x14ac:dyDescent="0.2">
      <c r="P96" s="528">
        <v>1.9666999999999999</v>
      </c>
      <c r="Q96" s="528">
        <v>86.793999999999997</v>
      </c>
    </row>
    <row r="97" spans="16:17" x14ac:dyDescent="0.2">
      <c r="P97" s="528">
        <v>1.9879</v>
      </c>
      <c r="Q97" s="528">
        <v>86.975499999999997</v>
      </c>
    </row>
    <row r="98" spans="16:17" x14ac:dyDescent="0.2">
      <c r="P98" s="528">
        <v>2.0091000000000001</v>
      </c>
      <c r="Q98" s="528">
        <v>86.914599999999993</v>
      </c>
    </row>
    <row r="99" spans="16:17" x14ac:dyDescent="0.2">
      <c r="P99" s="528">
        <v>2.0303</v>
      </c>
      <c r="Q99" s="528">
        <v>86.918400000000005</v>
      </c>
    </row>
    <row r="100" spans="16:17" x14ac:dyDescent="0.2">
      <c r="P100" s="528">
        <v>2.0514999999999999</v>
      </c>
      <c r="Q100" s="528">
        <v>86.681600000000003</v>
      </c>
    </row>
    <row r="101" spans="16:17" x14ac:dyDescent="0.2">
      <c r="P101" s="528">
        <v>2.0727000000000002</v>
      </c>
      <c r="Q101" s="528">
        <v>86.420699999999997</v>
      </c>
    </row>
    <row r="102" spans="16:17" x14ac:dyDescent="0.2">
      <c r="P102" s="528">
        <v>2.0939000000000001</v>
      </c>
      <c r="Q102" s="528">
        <v>86.613799999999998</v>
      </c>
    </row>
    <row r="103" spans="16:17" x14ac:dyDescent="0.2">
      <c r="P103" s="528">
        <v>2.1152000000000002</v>
      </c>
      <c r="Q103" s="528">
        <v>86.531400000000005</v>
      </c>
    </row>
    <row r="104" spans="16:17" x14ac:dyDescent="0.2">
      <c r="P104" s="528">
        <v>2.1364000000000001</v>
      </c>
      <c r="Q104" s="528">
        <v>86.281099999999995</v>
      </c>
    </row>
    <row r="105" spans="16:17" x14ac:dyDescent="0.2">
      <c r="P105" s="528">
        <v>2.1576</v>
      </c>
      <c r="Q105" s="528">
        <v>86.296999999999997</v>
      </c>
    </row>
    <row r="106" spans="16:17" x14ac:dyDescent="0.2">
      <c r="P106" s="528">
        <v>2.1787999999999998</v>
      </c>
      <c r="Q106" s="528">
        <v>86.420500000000004</v>
      </c>
    </row>
    <row r="107" spans="16:17" x14ac:dyDescent="0.2">
      <c r="P107" s="528">
        <v>2.2000000000000002</v>
      </c>
      <c r="Q107" s="528">
        <v>86.2333</v>
      </c>
    </row>
  </sheetData>
  <mergeCells count="2">
    <mergeCell ref="A1:I1"/>
    <mergeCell ref="E5:H5"/>
  </mergeCells>
  <phoneticPr fontId="107"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63E2C-CE5C-4C7D-BEFE-FC69EE5F7876}">
  <sheetPr codeName="Sheet15"/>
  <dimension ref="A1:R151"/>
  <sheetViews>
    <sheetView workbookViewId="0">
      <selection activeCell="H17" sqref="H17"/>
    </sheetView>
  </sheetViews>
  <sheetFormatPr defaultRowHeight="12.9" x14ac:dyDescent="0.2"/>
  <cols>
    <col min="14" max="14" width="10.625" bestFit="1" customWidth="1"/>
    <col min="15" max="15" width="13.375" bestFit="1" customWidth="1"/>
    <col min="16" max="16" width="8.25" bestFit="1" customWidth="1"/>
  </cols>
  <sheetData>
    <row r="1" spans="1:18" x14ac:dyDescent="0.2">
      <c r="A1" s="77" t="s">
        <v>1029</v>
      </c>
    </row>
    <row r="2" spans="1:18" x14ac:dyDescent="0.2">
      <c r="A2" s="77" t="s">
        <v>844</v>
      </c>
    </row>
    <row r="3" spans="1:18" x14ac:dyDescent="0.2">
      <c r="A3" s="455" t="s">
        <v>841</v>
      </c>
      <c r="B3" s="455" t="s">
        <v>843</v>
      </c>
      <c r="C3" s="455" t="s">
        <v>842</v>
      </c>
      <c r="D3" s="455" t="s">
        <v>972</v>
      </c>
      <c r="E3" s="455" t="s">
        <v>968</v>
      </c>
      <c r="F3" s="455" t="s">
        <v>971</v>
      </c>
      <c r="G3" t="str">
        <f>C3</f>
        <v>DRSS</v>
      </c>
      <c r="H3" t="str">
        <f>D3</f>
        <v>SCP - HICCUP</v>
      </c>
      <c r="I3" t="str">
        <f>E3</f>
        <v>PSM Entry</v>
      </c>
      <c r="J3" t="str">
        <f>F3</f>
        <v>Current LIMIT</v>
      </c>
    </row>
    <row r="4" spans="1:18" x14ac:dyDescent="0.2">
      <c r="A4" s="445">
        <v>1</v>
      </c>
      <c r="B4" s="445">
        <v>0</v>
      </c>
      <c r="C4" s="445">
        <v>0</v>
      </c>
      <c r="D4" s="445">
        <v>0</v>
      </c>
      <c r="E4" s="445">
        <v>0</v>
      </c>
      <c r="F4" s="445">
        <v>0</v>
      </c>
      <c r="G4" t="str">
        <f>IF(C4=1,"Enable","Disable")</f>
        <v>Disable</v>
      </c>
      <c r="H4" t="str">
        <f t="shared" ref="H4:H19" si="0">IF(D4=1,"Enable","Disable")</f>
        <v>Disable</v>
      </c>
      <c r="I4" s="544" t="s">
        <v>969</v>
      </c>
      <c r="J4" t="str">
        <f t="shared" ref="J4:J19" si="1">IF(F4=1,"Enable","Disable")</f>
        <v>Disable</v>
      </c>
      <c r="L4" t="str">
        <f>CONCATENATE(G$3,": ",C4)</f>
        <v>DRSS: 0</v>
      </c>
      <c r="M4" t="str">
        <f t="shared" ref="M4:M19" si="2">CONCATENATE(H$3,": ",D4)</f>
        <v>SCP - HICCUP: 0</v>
      </c>
      <c r="N4" t="str">
        <f t="shared" ref="N4:N19" si="3">CONCATENATE(I$3,": ",E4)</f>
        <v>PSM Entry: 0</v>
      </c>
      <c r="O4" t="str">
        <f t="shared" ref="O4:O19" si="4">CONCATENATE(J$3,": ",F4)</f>
        <v>Current LIMIT: 0</v>
      </c>
      <c r="P4" t="str">
        <f t="shared" ref="P4:P19" si="5">CONCATENATE(K$3,": ",G4)</f>
        <v>: Disable</v>
      </c>
      <c r="R4" t="str">
        <f>CONCATENATE(L4," / ",M4," / ",N4," / ",O4)</f>
        <v>DRSS: 0 / SCP - HICCUP: 0 / PSM Entry: 0 / Current LIMIT: 0</v>
      </c>
    </row>
    <row r="5" spans="1:18" x14ac:dyDescent="0.2">
      <c r="A5" s="445">
        <v>2</v>
      </c>
      <c r="B5" s="445">
        <v>0.51100000000000001</v>
      </c>
      <c r="C5" s="445">
        <v>1</v>
      </c>
      <c r="D5" s="445">
        <v>0</v>
      </c>
      <c r="E5" s="445">
        <v>0</v>
      </c>
      <c r="F5" s="445">
        <v>0</v>
      </c>
      <c r="G5" t="str">
        <f t="shared" ref="G5:G19" si="6">IF(C5=1,"Enable","Disable")</f>
        <v>Enable</v>
      </c>
      <c r="H5" t="str">
        <f t="shared" si="0"/>
        <v>Disable</v>
      </c>
      <c r="I5" s="544" t="s">
        <v>969</v>
      </c>
      <c r="J5" t="str">
        <f t="shared" si="1"/>
        <v>Disable</v>
      </c>
      <c r="L5" t="str">
        <f t="shared" ref="L5:L19" si="7">CONCATENATE(G$3,": ",C5)</f>
        <v>DRSS: 1</v>
      </c>
      <c r="M5" t="str">
        <f t="shared" si="2"/>
        <v>SCP - HICCUP: 0</v>
      </c>
      <c r="N5" t="str">
        <f t="shared" si="3"/>
        <v>PSM Entry: 0</v>
      </c>
      <c r="O5" t="str">
        <f t="shared" si="4"/>
        <v>Current LIMIT: 0</v>
      </c>
      <c r="P5" t="str">
        <f t="shared" si="5"/>
        <v>: Enable</v>
      </c>
      <c r="R5" t="str">
        <f t="shared" ref="R5:R19" si="8">CONCATENATE(L5," / ",M5," / ",N5," / ",O5)</f>
        <v>DRSS: 1 / SCP - HICCUP: 0 / PSM Entry: 0 / Current LIMIT: 0</v>
      </c>
    </row>
    <row r="6" spans="1:18" x14ac:dyDescent="0.2">
      <c r="A6" s="445">
        <v>3</v>
      </c>
      <c r="B6" s="445">
        <v>1.1499999999999999</v>
      </c>
      <c r="C6" s="445">
        <v>0</v>
      </c>
      <c r="D6" s="445">
        <v>1</v>
      </c>
      <c r="E6" s="445">
        <v>0</v>
      </c>
      <c r="F6" s="445">
        <v>0</v>
      </c>
      <c r="G6" t="str">
        <f t="shared" si="6"/>
        <v>Disable</v>
      </c>
      <c r="H6" t="str">
        <f t="shared" si="0"/>
        <v>Enable</v>
      </c>
      <c r="I6" s="544" t="s">
        <v>969</v>
      </c>
      <c r="J6" t="str">
        <f t="shared" si="1"/>
        <v>Disable</v>
      </c>
      <c r="L6" t="str">
        <f t="shared" si="7"/>
        <v>DRSS: 0</v>
      </c>
      <c r="M6" t="str">
        <f t="shared" si="2"/>
        <v>SCP - HICCUP: 1</v>
      </c>
      <c r="N6" t="str">
        <f t="shared" si="3"/>
        <v>PSM Entry: 0</v>
      </c>
      <c r="O6" t="str">
        <f t="shared" si="4"/>
        <v>Current LIMIT: 0</v>
      </c>
      <c r="P6" t="str">
        <f t="shared" si="5"/>
        <v>: Disable</v>
      </c>
      <c r="R6" t="str">
        <f t="shared" si="8"/>
        <v>DRSS: 0 / SCP - HICCUP: 1 / PSM Entry: 0 / Current LIMIT: 0</v>
      </c>
    </row>
    <row r="7" spans="1:18" x14ac:dyDescent="0.2">
      <c r="A7" s="445">
        <v>4</v>
      </c>
      <c r="B7" s="445">
        <v>1.9</v>
      </c>
      <c r="C7" s="445">
        <v>1</v>
      </c>
      <c r="D7" s="445">
        <v>1</v>
      </c>
      <c r="E7" s="445">
        <v>0</v>
      </c>
      <c r="F7" s="445">
        <v>0</v>
      </c>
      <c r="G7" t="str">
        <f t="shared" si="6"/>
        <v>Enable</v>
      </c>
      <c r="H7" t="str">
        <f t="shared" si="0"/>
        <v>Enable</v>
      </c>
      <c r="I7" s="544" t="s">
        <v>969</v>
      </c>
      <c r="J7" t="str">
        <f t="shared" si="1"/>
        <v>Disable</v>
      </c>
      <c r="L7" t="str">
        <f t="shared" si="7"/>
        <v>DRSS: 1</v>
      </c>
      <c r="M7" t="str">
        <f t="shared" si="2"/>
        <v>SCP - HICCUP: 1</v>
      </c>
      <c r="N7" t="str">
        <f t="shared" si="3"/>
        <v>PSM Entry: 0</v>
      </c>
      <c r="O7" t="str">
        <f t="shared" si="4"/>
        <v>Current LIMIT: 0</v>
      </c>
      <c r="P7" t="str">
        <f t="shared" si="5"/>
        <v>: Enable</v>
      </c>
      <c r="R7" t="str">
        <f t="shared" si="8"/>
        <v>DRSS: 1 / SCP - HICCUP: 1 / PSM Entry: 0 / Current LIMIT: 0</v>
      </c>
    </row>
    <row r="8" spans="1:18" x14ac:dyDescent="0.2">
      <c r="A8" s="445">
        <v>5</v>
      </c>
      <c r="B8" s="445">
        <v>2.7</v>
      </c>
      <c r="C8" s="445">
        <v>0</v>
      </c>
      <c r="D8" s="445">
        <v>0</v>
      </c>
      <c r="E8" s="445">
        <v>0</v>
      </c>
      <c r="F8" s="445">
        <v>1</v>
      </c>
      <c r="G8" t="str">
        <f t="shared" si="6"/>
        <v>Disable</v>
      </c>
      <c r="H8" t="str">
        <f t="shared" si="0"/>
        <v>Disable</v>
      </c>
      <c r="I8" s="544" t="s">
        <v>969</v>
      </c>
      <c r="J8" t="str">
        <f t="shared" si="1"/>
        <v>Enable</v>
      </c>
      <c r="L8" t="str">
        <f t="shared" si="7"/>
        <v>DRSS: 0</v>
      </c>
      <c r="M8" t="str">
        <f t="shared" si="2"/>
        <v>SCP - HICCUP: 0</v>
      </c>
      <c r="N8" t="str">
        <f t="shared" si="3"/>
        <v>PSM Entry: 0</v>
      </c>
      <c r="O8" t="str">
        <f t="shared" si="4"/>
        <v>Current LIMIT: 1</v>
      </c>
      <c r="P8" t="str">
        <f t="shared" si="5"/>
        <v>: Disable</v>
      </c>
      <c r="R8" t="str">
        <f t="shared" si="8"/>
        <v>DRSS: 0 / SCP - HICCUP: 0 / PSM Entry: 0 / Current LIMIT: 1</v>
      </c>
    </row>
    <row r="9" spans="1:18" x14ac:dyDescent="0.2">
      <c r="A9" s="445">
        <v>6</v>
      </c>
      <c r="B9" s="445">
        <v>3.8</v>
      </c>
      <c r="C9" s="445">
        <v>1</v>
      </c>
      <c r="D9" s="445">
        <v>0</v>
      </c>
      <c r="E9" s="445">
        <v>0</v>
      </c>
      <c r="F9" s="445">
        <v>1</v>
      </c>
      <c r="G9" t="str">
        <f t="shared" si="6"/>
        <v>Enable</v>
      </c>
      <c r="H9" t="str">
        <f t="shared" si="0"/>
        <v>Disable</v>
      </c>
      <c r="I9" s="544" t="s">
        <v>969</v>
      </c>
      <c r="J9" t="str">
        <f t="shared" si="1"/>
        <v>Enable</v>
      </c>
      <c r="L9" t="str">
        <f t="shared" si="7"/>
        <v>DRSS: 1</v>
      </c>
      <c r="M9" t="str">
        <f t="shared" si="2"/>
        <v>SCP - HICCUP: 0</v>
      </c>
      <c r="N9" t="str">
        <f t="shared" si="3"/>
        <v>PSM Entry: 0</v>
      </c>
      <c r="O9" t="str">
        <f t="shared" si="4"/>
        <v>Current LIMIT: 1</v>
      </c>
      <c r="P9" t="str">
        <f t="shared" si="5"/>
        <v>: Enable</v>
      </c>
      <c r="R9" t="str">
        <f t="shared" si="8"/>
        <v>DRSS: 1 / SCP - HICCUP: 0 / PSM Entry: 0 / Current LIMIT: 1</v>
      </c>
    </row>
    <row r="10" spans="1:18" x14ac:dyDescent="0.2">
      <c r="A10" s="445">
        <v>7</v>
      </c>
      <c r="B10" s="445">
        <v>5.0999999999999996</v>
      </c>
      <c r="C10" s="445">
        <v>0</v>
      </c>
      <c r="D10" s="445">
        <v>1</v>
      </c>
      <c r="E10" s="445">
        <v>0</v>
      </c>
      <c r="F10" s="445">
        <v>1</v>
      </c>
      <c r="G10" t="str">
        <f t="shared" si="6"/>
        <v>Disable</v>
      </c>
      <c r="H10" t="str">
        <f t="shared" si="0"/>
        <v>Enable</v>
      </c>
      <c r="I10" s="544" t="s">
        <v>969</v>
      </c>
      <c r="J10" t="str">
        <f t="shared" si="1"/>
        <v>Enable</v>
      </c>
      <c r="L10" t="str">
        <f t="shared" si="7"/>
        <v>DRSS: 0</v>
      </c>
      <c r="M10" t="str">
        <f t="shared" si="2"/>
        <v>SCP - HICCUP: 1</v>
      </c>
      <c r="N10" t="str">
        <f t="shared" si="3"/>
        <v>PSM Entry: 0</v>
      </c>
      <c r="O10" t="str">
        <f t="shared" si="4"/>
        <v>Current LIMIT: 1</v>
      </c>
      <c r="P10" t="str">
        <f t="shared" si="5"/>
        <v>: Disable</v>
      </c>
      <c r="R10" t="str">
        <f t="shared" si="8"/>
        <v>DRSS: 0 / SCP - HICCUP: 1 / PSM Entry: 0 / Current LIMIT: 1</v>
      </c>
    </row>
    <row r="11" spans="1:18" x14ac:dyDescent="0.2">
      <c r="A11" s="445">
        <v>8</v>
      </c>
      <c r="B11" s="445">
        <v>6.5</v>
      </c>
      <c r="C11" s="445">
        <v>1</v>
      </c>
      <c r="D11" s="445">
        <v>1</v>
      </c>
      <c r="E11" s="445">
        <v>0</v>
      </c>
      <c r="F11" s="445">
        <v>1</v>
      </c>
      <c r="G11" t="str">
        <f t="shared" si="6"/>
        <v>Enable</v>
      </c>
      <c r="H11" t="str">
        <f t="shared" si="0"/>
        <v>Enable</v>
      </c>
      <c r="I11" s="544" t="s">
        <v>969</v>
      </c>
      <c r="J11" t="str">
        <f t="shared" si="1"/>
        <v>Enable</v>
      </c>
      <c r="L11" t="str">
        <f t="shared" si="7"/>
        <v>DRSS: 1</v>
      </c>
      <c r="M11" t="str">
        <f t="shared" si="2"/>
        <v>SCP - HICCUP: 1</v>
      </c>
      <c r="N11" t="str">
        <f t="shared" si="3"/>
        <v>PSM Entry: 0</v>
      </c>
      <c r="O11" t="str">
        <f t="shared" si="4"/>
        <v>Current LIMIT: 1</v>
      </c>
      <c r="P11" t="str">
        <f t="shared" si="5"/>
        <v>: Enable</v>
      </c>
      <c r="R11" t="str">
        <f t="shared" si="8"/>
        <v>DRSS: 1 / SCP - HICCUP: 1 / PSM Entry: 0 / Current LIMIT: 1</v>
      </c>
    </row>
    <row r="12" spans="1:18" x14ac:dyDescent="0.2">
      <c r="A12" s="445">
        <v>9</v>
      </c>
      <c r="B12" s="445">
        <v>8.3000000000000007</v>
      </c>
      <c r="C12" s="445">
        <v>0</v>
      </c>
      <c r="D12" s="445">
        <v>0</v>
      </c>
      <c r="E12" s="445">
        <v>1</v>
      </c>
      <c r="F12" s="445">
        <v>0</v>
      </c>
      <c r="G12" t="str">
        <f t="shared" si="6"/>
        <v>Disable</v>
      </c>
      <c r="H12" t="str">
        <f t="shared" si="0"/>
        <v>Disable</v>
      </c>
      <c r="I12" s="544" t="s">
        <v>970</v>
      </c>
      <c r="J12" t="str">
        <f t="shared" si="1"/>
        <v>Disable</v>
      </c>
      <c r="L12" t="str">
        <f t="shared" si="7"/>
        <v>DRSS: 0</v>
      </c>
      <c r="M12" t="str">
        <f t="shared" si="2"/>
        <v>SCP - HICCUP: 0</v>
      </c>
      <c r="N12" t="str">
        <f t="shared" si="3"/>
        <v>PSM Entry: 1</v>
      </c>
      <c r="O12" t="str">
        <f t="shared" si="4"/>
        <v>Current LIMIT: 0</v>
      </c>
      <c r="P12" t="str">
        <f t="shared" si="5"/>
        <v>: Disable</v>
      </c>
      <c r="R12" t="str">
        <f t="shared" si="8"/>
        <v>DRSS: 0 / SCP - HICCUP: 0 / PSM Entry: 1 / Current LIMIT: 0</v>
      </c>
    </row>
    <row r="13" spans="1:18" x14ac:dyDescent="0.2">
      <c r="A13" s="445">
        <v>10</v>
      </c>
      <c r="B13" s="445">
        <v>10.5</v>
      </c>
      <c r="C13" s="445">
        <v>1</v>
      </c>
      <c r="D13" s="445">
        <v>0</v>
      </c>
      <c r="E13" s="445">
        <v>1</v>
      </c>
      <c r="F13" s="445">
        <v>0</v>
      </c>
      <c r="G13" t="str">
        <f t="shared" si="6"/>
        <v>Enable</v>
      </c>
      <c r="H13" t="str">
        <f t="shared" si="0"/>
        <v>Disable</v>
      </c>
      <c r="I13" s="544" t="s">
        <v>970</v>
      </c>
      <c r="J13" t="str">
        <f t="shared" si="1"/>
        <v>Disable</v>
      </c>
      <c r="L13" t="str">
        <f t="shared" si="7"/>
        <v>DRSS: 1</v>
      </c>
      <c r="M13" t="str">
        <f t="shared" si="2"/>
        <v>SCP - HICCUP: 0</v>
      </c>
      <c r="N13" t="str">
        <f t="shared" si="3"/>
        <v>PSM Entry: 1</v>
      </c>
      <c r="O13" t="str">
        <f t="shared" si="4"/>
        <v>Current LIMIT: 0</v>
      </c>
      <c r="P13" t="str">
        <f t="shared" si="5"/>
        <v>: Enable</v>
      </c>
      <c r="R13" t="str">
        <f t="shared" si="8"/>
        <v>DRSS: 1 / SCP - HICCUP: 0 / PSM Entry: 1 / Current LIMIT: 0</v>
      </c>
    </row>
    <row r="14" spans="1:18" x14ac:dyDescent="0.2">
      <c r="A14" s="445">
        <v>11</v>
      </c>
      <c r="B14" s="445">
        <v>13.3</v>
      </c>
      <c r="C14" s="445">
        <v>0</v>
      </c>
      <c r="D14" s="445">
        <v>1</v>
      </c>
      <c r="E14" s="445">
        <v>1</v>
      </c>
      <c r="F14" s="445">
        <v>0</v>
      </c>
      <c r="G14" t="str">
        <f t="shared" si="6"/>
        <v>Disable</v>
      </c>
      <c r="H14" t="str">
        <f t="shared" si="0"/>
        <v>Enable</v>
      </c>
      <c r="I14" s="544" t="s">
        <v>970</v>
      </c>
      <c r="J14" t="str">
        <f t="shared" si="1"/>
        <v>Disable</v>
      </c>
      <c r="L14" t="str">
        <f t="shared" si="7"/>
        <v>DRSS: 0</v>
      </c>
      <c r="M14" t="str">
        <f t="shared" si="2"/>
        <v>SCP - HICCUP: 1</v>
      </c>
      <c r="N14" t="str">
        <f t="shared" si="3"/>
        <v>PSM Entry: 1</v>
      </c>
      <c r="O14" t="str">
        <f t="shared" si="4"/>
        <v>Current LIMIT: 0</v>
      </c>
      <c r="P14" t="str">
        <f t="shared" si="5"/>
        <v>: Disable</v>
      </c>
      <c r="R14" t="str">
        <f t="shared" si="8"/>
        <v>DRSS: 0 / SCP - HICCUP: 1 / PSM Entry: 1 / Current LIMIT: 0</v>
      </c>
    </row>
    <row r="15" spans="1:18" x14ac:dyDescent="0.2">
      <c r="A15" s="445">
        <v>12</v>
      </c>
      <c r="B15" s="445">
        <v>16.2</v>
      </c>
      <c r="C15" s="445">
        <v>1</v>
      </c>
      <c r="D15" s="445">
        <v>1</v>
      </c>
      <c r="E15" s="445">
        <v>1</v>
      </c>
      <c r="F15" s="445">
        <v>0</v>
      </c>
      <c r="G15" t="str">
        <f t="shared" si="6"/>
        <v>Enable</v>
      </c>
      <c r="H15" t="str">
        <f t="shared" si="0"/>
        <v>Enable</v>
      </c>
      <c r="I15" s="544" t="s">
        <v>970</v>
      </c>
      <c r="J15" t="str">
        <f t="shared" si="1"/>
        <v>Disable</v>
      </c>
      <c r="L15" t="str">
        <f t="shared" si="7"/>
        <v>DRSS: 1</v>
      </c>
      <c r="M15" t="str">
        <f t="shared" si="2"/>
        <v>SCP - HICCUP: 1</v>
      </c>
      <c r="N15" t="str">
        <f t="shared" si="3"/>
        <v>PSM Entry: 1</v>
      </c>
      <c r="O15" t="str">
        <f t="shared" si="4"/>
        <v>Current LIMIT: 0</v>
      </c>
      <c r="P15" t="str">
        <f t="shared" si="5"/>
        <v>: Enable</v>
      </c>
      <c r="R15" t="str">
        <f t="shared" si="8"/>
        <v>DRSS: 1 / SCP - HICCUP: 1 / PSM Entry: 1 / Current LIMIT: 0</v>
      </c>
    </row>
    <row r="16" spans="1:18" x14ac:dyDescent="0.2">
      <c r="A16" s="445">
        <v>13</v>
      </c>
      <c r="B16" s="445">
        <v>20.5</v>
      </c>
      <c r="C16" s="445">
        <v>0</v>
      </c>
      <c r="D16" s="445">
        <v>0</v>
      </c>
      <c r="E16" s="445">
        <v>1</v>
      </c>
      <c r="F16" s="445">
        <v>1</v>
      </c>
      <c r="G16" t="str">
        <f t="shared" si="6"/>
        <v>Disable</v>
      </c>
      <c r="H16" t="str">
        <f t="shared" si="0"/>
        <v>Disable</v>
      </c>
      <c r="I16" s="544" t="s">
        <v>970</v>
      </c>
      <c r="J16" t="str">
        <f t="shared" si="1"/>
        <v>Enable</v>
      </c>
      <c r="L16" t="str">
        <f t="shared" si="7"/>
        <v>DRSS: 0</v>
      </c>
      <c r="M16" t="str">
        <f t="shared" si="2"/>
        <v>SCP - HICCUP: 0</v>
      </c>
      <c r="N16" t="str">
        <f t="shared" si="3"/>
        <v>PSM Entry: 1</v>
      </c>
      <c r="O16" t="str">
        <f t="shared" si="4"/>
        <v>Current LIMIT: 1</v>
      </c>
      <c r="P16" t="str">
        <f t="shared" si="5"/>
        <v>: Disable</v>
      </c>
      <c r="R16" t="str">
        <f t="shared" si="8"/>
        <v>DRSS: 0 / SCP - HICCUP: 0 / PSM Entry: 1 / Current LIMIT: 1</v>
      </c>
    </row>
    <row r="17" spans="1:18" x14ac:dyDescent="0.2">
      <c r="A17" s="445">
        <v>14</v>
      </c>
      <c r="B17" s="445">
        <v>24.9</v>
      </c>
      <c r="C17" s="445">
        <v>1</v>
      </c>
      <c r="D17" s="445">
        <v>0</v>
      </c>
      <c r="E17" s="445">
        <v>1</v>
      </c>
      <c r="F17" s="445">
        <v>1</v>
      </c>
      <c r="G17" t="str">
        <f t="shared" si="6"/>
        <v>Enable</v>
      </c>
      <c r="H17" t="str">
        <f t="shared" si="0"/>
        <v>Disable</v>
      </c>
      <c r="I17" s="544" t="s">
        <v>970</v>
      </c>
      <c r="J17" t="str">
        <f t="shared" si="1"/>
        <v>Enable</v>
      </c>
      <c r="L17" t="str">
        <f t="shared" si="7"/>
        <v>DRSS: 1</v>
      </c>
      <c r="M17" t="str">
        <f t="shared" si="2"/>
        <v>SCP - HICCUP: 0</v>
      </c>
      <c r="N17" t="str">
        <f t="shared" si="3"/>
        <v>PSM Entry: 1</v>
      </c>
      <c r="O17" t="str">
        <f t="shared" si="4"/>
        <v>Current LIMIT: 1</v>
      </c>
      <c r="P17" t="str">
        <f t="shared" si="5"/>
        <v>: Enable</v>
      </c>
      <c r="R17" t="str">
        <f t="shared" si="8"/>
        <v>DRSS: 1 / SCP - HICCUP: 0 / PSM Entry: 1 / Current LIMIT: 1</v>
      </c>
    </row>
    <row r="18" spans="1:18" x14ac:dyDescent="0.2">
      <c r="A18" s="445">
        <v>15</v>
      </c>
      <c r="B18" s="445">
        <v>30.1</v>
      </c>
      <c r="C18" s="445">
        <v>0</v>
      </c>
      <c r="D18" s="445">
        <v>1</v>
      </c>
      <c r="E18" s="445">
        <v>1</v>
      </c>
      <c r="F18" s="445">
        <v>1</v>
      </c>
      <c r="G18" t="str">
        <f t="shared" si="6"/>
        <v>Disable</v>
      </c>
      <c r="H18" t="str">
        <f t="shared" si="0"/>
        <v>Enable</v>
      </c>
      <c r="I18" s="544" t="s">
        <v>970</v>
      </c>
      <c r="J18" t="str">
        <f t="shared" si="1"/>
        <v>Enable</v>
      </c>
      <c r="L18" t="str">
        <f t="shared" si="7"/>
        <v>DRSS: 0</v>
      </c>
      <c r="M18" t="str">
        <f t="shared" si="2"/>
        <v>SCP - HICCUP: 1</v>
      </c>
      <c r="N18" t="str">
        <f t="shared" si="3"/>
        <v>PSM Entry: 1</v>
      </c>
      <c r="O18" t="str">
        <f t="shared" si="4"/>
        <v>Current LIMIT: 1</v>
      </c>
      <c r="P18" t="str">
        <f t="shared" si="5"/>
        <v>: Disable</v>
      </c>
      <c r="R18" t="str">
        <f t="shared" si="8"/>
        <v>DRSS: 0 / SCP - HICCUP: 1 / PSM Entry: 1 / Current LIMIT: 1</v>
      </c>
    </row>
    <row r="19" spans="1:18" x14ac:dyDescent="0.2">
      <c r="A19" s="445">
        <v>16</v>
      </c>
      <c r="B19" s="445">
        <v>36.5</v>
      </c>
      <c r="C19" s="445">
        <v>1</v>
      </c>
      <c r="D19" s="445">
        <v>1</v>
      </c>
      <c r="E19" s="445">
        <v>1</v>
      </c>
      <c r="F19" s="445">
        <v>1</v>
      </c>
      <c r="G19" t="str">
        <f t="shared" si="6"/>
        <v>Enable</v>
      </c>
      <c r="H19" t="str">
        <f t="shared" si="0"/>
        <v>Enable</v>
      </c>
      <c r="I19" s="544" t="s">
        <v>970</v>
      </c>
      <c r="J19" t="str">
        <f t="shared" si="1"/>
        <v>Enable</v>
      </c>
      <c r="L19" t="str">
        <f t="shared" si="7"/>
        <v>DRSS: 1</v>
      </c>
      <c r="M19" t="str">
        <f t="shared" si="2"/>
        <v>SCP - HICCUP: 1</v>
      </c>
      <c r="N19" t="str">
        <f t="shared" si="3"/>
        <v>PSM Entry: 1</v>
      </c>
      <c r="O19" t="str">
        <f t="shared" si="4"/>
        <v>Current LIMIT: 1</v>
      </c>
      <c r="P19" t="str">
        <f t="shared" si="5"/>
        <v>: Enable</v>
      </c>
      <c r="R19" t="str">
        <f t="shared" si="8"/>
        <v>DRSS: 1 / SCP - HICCUP: 1 / PSM Entry: 1 / Current LIMIT: 1</v>
      </c>
    </row>
    <row r="21" spans="1:18" x14ac:dyDescent="0.2">
      <c r="C21" s="445">
        <v>0</v>
      </c>
      <c r="D21" s="445">
        <v>1</v>
      </c>
      <c r="E21" s="445">
        <v>3</v>
      </c>
      <c r="F21" s="445">
        <v>2</v>
      </c>
    </row>
    <row r="22" spans="1:18" x14ac:dyDescent="0.2">
      <c r="C22" s="77" t="s">
        <v>901</v>
      </c>
      <c r="D22" s="77" t="s">
        <v>975</v>
      </c>
      <c r="E22" s="77" t="s">
        <v>973</v>
      </c>
      <c r="F22" s="455" t="s">
        <v>899</v>
      </c>
    </row>
    <row r="23" spans="1:18" x14ac:dyDescent="0.2">
      <c r="C23" s="77" t="s">
        <v>902</v>
      </c>
      <c r="D23" s="77" t="s">
        <v>976</v>
      </c>
      <c r="E23" s="77" t="s">
        <v>974</v>
      </c>
      <c r="F23" s="455" t="s">
        <v>900</v>
      </c>
    </row>
    <row r="24" spans="1:18" x14ac:dyDescent="0.2">
      <c r="F24" s="77" t="s">
        <v>925</v>
      </c>
    </row>
    <row r="25" spans="1:18" x14ac:dyDescent="0.2">
      <c r="F25" s="77" t="s">
        <v>924</v>
      </c>
    </row>
    <row r="27" spans="1:18" ht="14.95" x14ac:dyDescent="0.25">
      <c r="B27" s="77" t="s">
        <v>898</v>
      </c>
      <c r="C27" s="521">
        <v>1</v>
      </c>
      <c r="D27" s="521">
        <v>2</v>
      </c>
      <c r="E27" s="521">
        <v>1</v>
      </c>
      <c r="F27" s="521">
        <v>3</v>
      </c>
      <c r="G27" s="520" t="s">
        <v>934</v>
      </c>
      <c r="H27" s="77" t="str">
        <f>CONCATENATE("R_",A2)</f>
        <v>R_CFG</v>
      </c>
      <c r="J27" s="77" t="s">
        <v>933</v>
      </c>
    </row>
    <row r="28" spans="1:18" ht="14.95" x14ac:dyDescent="0.25">
      <c r="C28">
        <f>(C27-1)*2^C21</f>
        <v>0</v>
      </c>
      <c r="D28">
        <f>(D27-1)*2^D21</f>
        <v>2</v>
      </c>
      <c r="E28">
        <f>(E27-1)*2^E21</f>
        <v>0</v>
      </c>
      <c r="F28">
        <f>(IF(F27&gt;2,1,0)*2^F21)</f>
        <v>4</v>
      </c>
      <c r="G28" s="520">
        <f>SUM(C28:F28)+1</f>
        <v>7</v>
      </c>
      <c r="H28">
        <f>INDEX(B4:B19,G28)</f>
        <v>5.0999999999999996</v>
      </c>
    </row>
    <row r="30" spans="1:18" x14ac:dyDescent="0.2">
      <c r="A30" s="77"/>
    </row>
    <row r="151" spans="1:1" x14ac:dyDescent="0.2">
      <c r="A151" s="77"/>
    </row>
  </sheetData>
  <phoneticPr fontId="107"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AN687"/>
  <sheetViews>
    <sheetView topLeftCell="Q1" zoomScaleNormal="100" workbookViewId="0">
      <pane ySplit="11" topLeftCell="A12" activePane="bottomLeft" state="frozen"/>
      <selection activeCell="F293" sqref="F293"/>
      <selection pane="bottomLeft" activeCell="AD19" sqref="AD19"/>
    </sheetView>
  </sheetViews>
  <sheetFormatPr defaultColWidth="9.125" defaultRowHeight="12.9" x14ac:dyDescent="0.2"/>
  <cols>
    <col min="1" max="1" width="16.125" style="253" customWidth="1"/>
    <col min="2" max="2" width="15.75" style="253" customWidth="1"/>
    <col min="3" max="3" width="10" style="253" customWidth="1"/>
    <col min="4" max="4" width="10.875" style="253" customWidth="1"/>
    <col min="5" max="5" width="10.125" style="253" customWidth="1"/>
    <col min="6" max="8" width="11.875" style="253" customWidth="1"/>
    <col min="9" max="9" width="14.25" style="253" customWidth="1"/>
    <col min="10" max="10" width="11" style="253" customWidth="1"/>
    <col min="11" max="11" width="12" style="253" customWidth="1"/>
    <col min="12" max="12" width="11.375" style="253" customWidth="1"/>
    <col min="13" max="13" width="10.875" style="253" customWidth="1"/>
    <col min="14" max="20" width="11.375" style="253" customWidth="1"/>
    <col min="21" max="21" width="12.25" style="253" customWidth="1"/>
    <col min="22" max="22" width="12.125" style="253" customWidth="1"/>
    <col min="23" max="23" width="9.375" style="253" customWidth="1"/>
    <col min="24" max="24" width="16.125" style="253" bestFit="1" customWidth="1"/>
    <col min="25" max="25" width="13.125" style="292" customWidth="1"/>
    <col min="26" max="27" width="9.125" style="253"/>
    <col min="28" max="28" width="13.625" style="253" customWidth="1"/>
    <col min="29" max="29" width="10.625" style="253" customWidth="1"/>
    <col min="30" max="31" width="9.125" style="253"/>
    <col min="32" max="32" width="9.25" style="253" bestFit="1" customWidth="1"/>
    <col min="33" max="33" width="11.25" style="253" bestFit="1" customWidth="1"/>
    <col min="34" max="34" width="9.125" style="253"/>
    <col min="35" max="35" width="12.25" customWidth="1"/>
    <col min="36" max="36" width="8.875" customWidth="1"/>
    <col min="37" max="16384" width="9.125" style="253"/>
  </cols>
  <sheetData>
    <row r="1" spans="2:40" ht="13.6" thickBot="1" x14ac:dyDescent="0.25"/>
    <row r="2" spans="2:40" ht="13.6" x14ac:dyDescent="0.25">
      <c r="B2" s="739" t="s">
        <v>527</v>
      </c>
      <c r="C2" s="740"/>
      <c r="D2" s="741"/>
      <c r="E2" s="739" t="s">
        <v>418</v>
      </c>
      <c r="F2" s="740"/>
      <c r="G2" s="740"/>
      <c r="H2" s="339"/>
      <c r="I2" s="354"/>
      <c r="J2" s="739" t="s">
        <v>525</v>
      </c>
      <c r="K2" s="750"/>
      <c r="L2" s="751"/>
      <c r="M2" s="739" t="s">
        <v>526</v>
      </c>
      <c r="N2" s="740"/>
      <c r="O2" s="741"/>
      <c r="P2" s="739" t="s">
        <v>419</v>
      </c>
      <c r="Q2" s="740"/>
      <c r="R2" s="741"/>
      <c r="S2" s="292"/>
      <c r="Y2" s="253"/>
      <c r="AI2" s="77"/>
      <c r="AJ2" s="77"/>
    </row>
    <row r="3" spans="2:40" x14ac:dyDescent="0.2">
      <c r="B3" s="254" t="s">
        <v>420</v>
      </c>
      <c r="C3" s="342">
        <f>Afb</f>
        <v>6.25E-2</v>
      </c>
      <c r="D3" s="256" t="s">
        <v>30</v>
      </c>
      <c r="E3" s="257" t="s">
        <v>421</v>
      </c>
      <c r="F3" s="255">
        <f>Acs</f>
        <v>76.92307692307692</v>
      </c>
      <c r="G3" s="256" t="s">
        <v>524</v>
      </c>
      <c r="H3" s="352" t="s">
        <v>437</v>
      </c>
      <c r="I3" s="362">
        <f>gm</f>
        <v>5.9999999999999995E-4</v>
      </c>
      <c r="J3" s="257" t="s">
        <v>551</v>
      </c>
      <c r="K3" s="258">
        <f>Fesr</f>
        <v>612134.39650728984</v>
      </c>
      <c r="L3" s="256" t="s">
        <v>10</v>
      </c>
      <c r="M3" s="257" t="s">
        <v>423</v>
      </c>
      <c r="N3" s="258">
        <f>Fsw/2</f>
        <v>199000</v>
      </c>
      <c r="O3" s="256" t="s">
        <v>10</v>
      </c>
      <c r="P3" s="259" t="s">
        <v>424</v>
      </c>
      <c r="Q3" s="258">
        <f>Am*Afb*AEA</f>
        <v>21563.193952917911</v>
      </c>
      <c r="R3" s="256" t="s">
        <v>30</v>
      </c>
      <c r="S3" s="292">
        <f>20*LOG(Adc)</f>
        <v>86.674261784646916</v>
      </c>
      <c r="T3" s="253" t="s">
        <v>818</v>
      </c>
    </row>
    <row r="4" spans="2:40" x14ac:dyDescent="0.2">
      <c r="B4" s="254" t="s">
        <v>557</v>
      </c>
      <c r="C4" s="258">
        <f>Fz1_u</f>
        <v>1894.7017034749442</v>
      </c>
      <c r="D4" s="256" t="s">
        <v>10</v>
      </c>
      <c r="E4" s="257" t="s">
        <v>426</v>
      </c>
      <c r="F4" s="263">
        <f>Am</f>
        <v>57.501850541114436</v>
      </c>
      <c r="G4" s="256" t="s">
        <v>30</v>
      </c>
      <c r="H4" s="353"/>
      <c r="I4" s="353"/>
      <c r="J4" s="257" t="s">
        <v>550</v>
      </c>
      <c r="K4" s="258">
        <f>Fp_dominant</f>
        <v>1224.2687930145796</v>
      </c>
      <c r="L4" s="256" t="s">
        <v>10</v>
      </c>
      <c r="M4" s="257" t="s">
        <v>428</v>
      </c>
      <c r="N4" s="340">
        <f>Q*PS_Pole2</f>
        <v>102458.38665455848</v>
      </c>
      <c r="O4" s="256"/>
      <c r="P4" s="259" t="s">
        <v>429</v>
      </c>
      <c r="Q4" s="296">
        <f>AJ8/1000</f>
        <v>3.9811000000000001</v>
      </c>
      <c r="R4" s="256" t="s">
        <v>3</v>
      </c>
      <c r="S4" s="292"/>
      <c r="U4" s="253" t="s">
        <v>916</v>
      </c>
      <c r="V4" s="518">
        <f>1/(2*Pi*RcIL*Cc1IL)</f>
        <v>103347.36564408788</v>
      </c>
    </row>
    <row r="5" spans="2:40" ht="13.6" x14ac:dyDescent="0.25">
      <c r="B5" s="254" t="s">
        <v>556</v>
      </c>
      <c r="C5" s="263">
        <f>Fp1_u</f>
        <v>0.2841626311265727</v>
      </c>
      <c r="D5" s="256" t="s">
        <v>10</v>
      </c>
      <c r="E5" s="257" t="s">
        <v>29</v>
      </c>
      <c r="F5" s="342">
        <f>Q</f>
        <v>0.51486626459577123</v>
      </c>
      <c r="G5" s="256"/>
      <c r="H5" s="353"/>
      <c r="I5" s="353"/>
      <c r="J5" s="257" t="s">
        <v>552</v>
      </c>
      <c r="K5" s="258">
        <f>IF(VIN_nom&gt;Vout, 10000000,Frhp)</f>
        <v>98816.159236725332</v>
      </c>
      <c r="L5" s="256" t="s">
        <v>10</v>
      </c>
      <c r="M5" s="257" t="s">
        <v>431</v>
      </c>
      <c r="N5" s="255">
        <f>PS_Pole2^2+0.01</f>
        <v>39601000000.010002</v>
      </c>
      <c r="O5" s="256"/>
      <c r="P5" s="259" t="s">
        <v>432</v>
      </c>
      <c r="Q5" s="263">
        <f>AJ9</f>
        <v>71.686068627307321</v>
      </c>
      <c r="R5" s="321" t="s">
        <v>493</v>
      </c>
      <c r="S5" s="292"/>
      <c r="U5" s="253" t="s">
        <v>917</v>
      </c>
      <c r="V5" s="518">
        <f>1/(2*Pi*(RoEA_IL+RcIL)*Cc1IL)</f>
        <v>3.6170312014510251</v>
      </c>
    </row>
    <row r="6" spans="2:40" x14ac:dyDescent="0.2">
      <c r="B6" s="254" t="s">
        <v>433</v>
      </c>
      <c r="C6" s="255">
        <f>AEA</f>
        <v>5999.9999999999991</v>
      </c>
      <c r="D6" s="256" t="s">
        <v>30</v>
      </c>
      <c r="E6" s="257" t="s">
        <v>459</v>
      </c>
      <c r="F6" s="342">
        <f>mc</f>
        <v>1.4959224156931894</v>
      </c>
      <c r="G6" s="352"/>
      <c r="H6" s="355"/>
      <c r="I6" s="262"/>
      <c r="J6" s="260"/>
      <c r="K6" s="261"/>
      <c r="L6" s="262"/>
      <c r="M6" s="260"/>
      <c r="N6" s="365"/>
      <c r="O6" s="262"/>
      <c r="P6" s="338" t="s">
        <v>434</v>
      </c>
      <c r="Q6" s="261">
        <f>180/Pi</f>
        <v>57.295779513082323</v>
      </c>
      <c r="R6" s="262"/>
      <c r="S6" s="292"/>
      <c r="U6" s="253" t="s">
        <v>915</v>
      </c>
      <c r="V6" s="518">
        <f>gm_IL*RoEA_IL</f>
        <v>4000</v>
      </c>
      <c r="X6" s="515"/>
      <c r="AI6" s="5" t="s">
        <v>50</v>
      </c>
      <c r="AJ6" s="5"/>
    </row>
    <row r="7" spans="2:40" ht="13.6" thickBot="1" x14ac:dyDescent="0.25">
      <c r="B7" s="334" t="s">
        <v>555</v>
      </c>
      <c r="C7" s="341">
        <f>Fp2_u</f>
        <v>39190.894171248787</v>
      </c>
      <c r="D7" s="336" t="s">
        <v>10</v>
      </c>
      <c r="E7" s="335" t="s">
        <v>436</v>
      </c>
      <c r="F7" s="337">
        <f>k</f>
        <v>1.1182379931878044</v>
      </c>
      <c r="G7" s="337"/>
      <c r="H7" s="356"/>
      <c r="I7" s="336"/>
      <c r="J7" s="335"/>
      <c r="K7" s="335"/>
      <c r="L7" s="336"/>
      <c r="M7" s="335"/>
      <c r="N7" s="335"/>
      <c r="O7" s="336"/>
      <c r="P7" s="335"/>
      <c r="Q7" s="335"/>
      <c r="R7" s="336"/>
      <c r="S7" s="292"/>
      <c r="U7" s="253" t="s">
        <v>918</v>
      </c>
      <c r="V7" s="518">
        <f>1/(2*Pi*RcIL*(Cc2IL+Cbw_IL))</f>
        <v>14284816.744207459</v>
      </c>
      <c r="AI7" s="77" t="s">
        <v>451</v>
      </c>
      <c r="AK7" s="253" t="s">
        <v>885</v>
      </c>
    </row>
    <row r="8" spans="2:40" x14ac:dyDescent="0.2">
      <c r="B8" s="343"/>
      <c r="C8" s="344"/>
      <c r="F8" s="345"/>
      <c r="G8" s="345"/>
      <c r="H8" s="345"/>
      <c r="AI8" t="s">
        <v>47</v>
      </c>
      <c r="AJ8">
        <f>SUM(AI12:AI613)</f>
        <v>3981.1</v>
      </c>
      <c r="AK8" t="s">
        <v>47</v>
      </c>
      <c r="AL8">
        <f>SUM(AK12:AK613)</f>
        <v>3630.8</v>
      </c>
      <c r="AM8"/>
      <c r="AN8"/>
    </row>
    <row r="9" spans="2:40" ht="13.6" thickBot="1" x14ac:dyDescent="0.25">
      <c r="AI9" t="s">
        <v>48</v>
      </c>
      <c r="AJ9" s="4">
        <f>SUM(AJ13:AJ613)</f>
        <v>71.686068627307321</v>
      </c>
      <c r="AK9" t="s">
        <v>48</v>
      </c>
      <c r="AL9" s="4">
        <f>SUM(AL13:AL613)</f>
        <v>-32.84593221037747</v>
      </c>
      <c r="AM9"/>
      <c r="AN9" s="4"/>
    </row>
    <row r="10" spans="2:40" ht="14.3" x14ac:dyDescent="0.25">
      <c r="B10" s="736" t="s">
        <v>565</v>
      </c>
      <c r="C10" s="744" t="s">
        <v>438</v>
      </c>
      <c r="D10" s="745"/>
      <c r="E10" s="745"/>
      <c r="F10" s="745"/>
      <c r="G10" s="745"/>
      <c r="H10" s="746"/>
      <c r="I10" s="744" t="s">
        <v>439</v>
      </c>
      <c r="J10" s="745"/>
      <c r="K10" s="745"/>
      <c r="L10" s="745"/>
      <c r="M10" s="745"/>
      <c r="N10" s="746"/>
      <c r="O10" s="744" t="s">
        <v>908</v>
      </c>
      <c r="P10" s="745"/>
      <c r="Q10" s="745"/>
      <c r="R10" s="745"/>
      <c r="S10" s="745"/>
      <c r="T10" s="746"/>
      <c r="U10" s="752" t="s">
        <v>440</v>
      </c>
      <c r="V10" s="755"/>
      <c r="W10" s="752" t="s">
        <v>441</v>
      </c>
      <c r="X10" s="753"/>
      <c r="Y10" s="754"/>
      <c r="AB10" s="734" t="s">
        <v>442</v>
      </c>
      <c r="AC10" s="735"/>
      <c r="AF10" s="734" t="s">
        <v>443</v>
      </c>
      <c r="AG10" s="735"/>
      <c r="AK10"/>
      <c r="AL10"/>
      <c r="AM10"/>
      <c r="AN10"/>
    </row>
    <row r="11" spans="2:40" ht="13.1" customHeight="1" x14ac:dyDescent="0.25">
      <c r="B11" s="737"/>
      <c r="C11" s="747" t="s">
        <v>550</v>
      </c>
      <c r="D11" s="748"/>
      <c r="E11" s="748" t="s">
        <v>551</v>
      </c>
      <c r="F11" s="749"/>
      <c r="G11" s="742" t="s">
        <v>552</v>
      </c>
      <c r="H11" s="743"/>
      <c r="I11" s="747" t="s">
        <v>427</v>
      </c>
      <c r="J11" s="748"/>
      <c r="K11" s="748" t="s">
        <v>422</v>
      </c>
      <c r="L11" s="749"/>
      <c r="M11" s="742" t="s">
        <v>430</v>
      </c>
      <c r="N11" s="743"/>
      <c r="O11" s="747" t="s">
        <v>427</v>
      </c>
      <c r="P11" s="748"/>
      <c r="Q11" s="748" t="s">
        <v>422</v>
      </c>
      <c r="R11" s="749"/>
      <c r="S11" s="742" t="s">
        <v>430</v>
      </c>
      <c r="T11" s="743"/>
      <c r="U11" s="747" t="s">
        <v>423</v>
      </c>
      <c r="V11" s="749"/>
      <c r="W11" s="257"/>
      <c r="X11" s="255"/>
      <c r="Y11" s="297"/>
      <c r="AB11" s="257"/>
      <c r="AC11" s="256"/>
      <c r="AF11" s="257"/>
      <c r="AG11" s="256"/>
      <c r="AK11"/>
      <c r="AL11"/>
      <c r="AM11"/>
      <c r="AN11"/>
    </row>
    <row r="12" spans="2:40" ht="13.6" thickBot="1" x14ac:dyDescent="0.25">
      <c r="B12" s="738"/>
      <c r="C12" s="264" t="s">
        <v>444</v>
      </c>
      <c r="D12" s="265" t="s">
        <v>445</v>
      </c>
      <c r="E12" s="265" t="s">
        <v>444</v>
      </c>
      <c r="F12" s="266" t="s">
        <v>445</v>
      </c>
      <c r="G12" s="265" t="s">
        <v>444</v>
      </c>
      <c r="H12" s="266" t="s">
        <v>445</v>
      </c>
      <c r="I12" s="264" t="s">
        <v>444</v>
      </c>
      <c r="J12" s="265" t="s">
        <v>445</v>
      </c>
      <c r="K12" s="265" t="s">
        <v>444</v>
      </c>
      <c r="L12" s="266" t="s">
        <v>445</v>
      </c>
      <c r="M12" s="264" t="s">
        <v>444</v>
      </c>
      <c r="N12" s="265" t="s">
        <v>445</v>
      </c>
      <c r="O12" s="264" t="s">
        <v>444</v>
      </c>
      <c r="P12" s="265" t="s">
        <v>445</v>
      </c>
      <c r="Q12" s="265" t="s">
        <v>444</v>
      </c>
      <c r="R12" s="266" t="s">
        <v>445</v>
      </c>
      <c r="S12" s="264" t="s">
        <v>444</v>
      </c>
      <c r="T12" s="265" t="s">
        <v>445</v>
      </c>
      <c r="U12" s="264" t="s">
        <v>444</v>
      </c>
      <c r="V12" s="266" t="s">
        <v>445</v>
      </c>
      <c r="W12" s="264" t="s">
        <v>937</v>
      </c>
      <c r="X12" s="265" t="s">
        <v>938</v>
      </c>
      <c r="Y12" s="298" t="s">
        <v>446</v>
      </c>
      <c r="AB12" s="267" t="s">
        <v>447</v>
      </c>
      <c r="AC12" s="268" t="s">
        <v>448</v>
      </c>
      <c r="AF12" s="267" t="s">
        <v>447</v>
      </c>
      <c r="AG12" s="268" t="s">
        <v>448</v>
      </c>
      <c r="AK12"/>
      <c r="AL12"/>
      <c r="AM12"/>
      <c r="AN12"/>
    </row>
    <row r="13" spans="2:40" x14ac:dyDescent="0.2">
      <c r="B13" s="269">
        <v>1</v>
      </c>
      <c r="C13" s="270">
        <f t="shared" ref="C13:C76" si="0">SQRT(1+(B13/PS_Pole1)^2)</f>
        <v>1.0000003335925731</v>
      </c>
      <c r="D13" s="271">
        <f t="shared" ref="D13:D76" si="1">ATAN(B13/PS_Pole1)</f>
        <v>8.168139082779792E-4</v>
      </c>
      <c r="E13" s="271">
        <f t="shared" ref="E13:E76" si="2">SQRT(1+(B13/PS_Zero1)^2)</f>
        <v>1.0000000000013345</v>
      </c>
      <c r="F13" s="272">
        <f t="shared" ref="F13:F76" si="3">ATAN(B13/PS_Zero1)</f>
        <v>1.633628179865239E-6</v>
      </c>
      <c r="G13" s="271">
        <f t="shared" ref="G13:G76" si="4">IF(VIN_nom&gt;Vout, 1, SQRT(1+(B13/PS_RHPZ)^2))</f>
        <v>1.0000000000512053</v>
      </c>
      <c r="H13" s="272">
        <f t="shared" ref="H13:H76" si="5">IF(VIN_nom&gt;Vout, 0, -ATAN(B13/PS_RHPZ))</f>
        <v>-1.0119802344981347E-5</v>
      </c>
      <c r="I13" s="270">
        <f t="shared" ref="I13:I76" si="6">SQRT(1+(B13/EA_Pole1)^2)</f>
        <v>3.6584349343420643</v>
      </c>
      <c r="J13" s="273">
        <f t="shared" ref="J13:J76" si="7">ATAN(B13/EA_Pole1)</f>
        <v>1.2939318036065914</v>
      </c>
      <c r="K13" s="271">
        <f t="shared" ref="K13:K76" si="8">SQRT(1+(B13/EA_Zero1)^2)</f>
        <v>1.0000001392798477</v>
      </c>
      <c r="L13" s="272">
        <f t="shared" ref="L13:L76" si="9">ATAN(B13/EA_Zero1)</f>
        <v>5.2778751679630892E-4</v>
      </c>
      <c r="M13" s="270">
        <f t="shared" ref="M13:M76" si="10">SQRT(1+(B13/EA_Pole2)^2)</f>
        <v>1.0000000003255365</v>
      </c>
      <c r="N13" s="273">
        <f t="shared" ref="N13:N76" si="11">ATAN(B13/EA_Pole2)</f>
        <v>2.5516131257770472E-5</v>
      </c>
      <c r="O13" s="270">
        <f t="shared" ref="O13:O76" si="12">SQRT(1+(B13/$V$5)^2)</f>
        <v>1.037514128429496</v>
      </c>
      <c r="P13" s="273">
        <f t="shared" ref="P13:P76" si="13">ATAN(B13/$V$5)</f>
        <v>0.26973218564227919</v>
      </c>
      <c r="Q13" s="271">
        <f t="shared" ref="Q13:Q76" si="14">SQRT(1+(B13/$V$4)^2)</f>
        <v>1.0000000000468137</v>
      </c>
      <c r="R13" s="272">
        <f t="shared" ref="R13:R76" si="15">ATAN(B13/$V$4)</f>
        <v>9.6761053727545827E-6</v>
      </c>
      <c r="S13" s="270">
        <f t="shared" ref="S13:S76" si="16">SQRT(1+(B13/$V$7)^2)</f>
        <v>1.0000000000000024</v>
      </c>
      <c r="T13" s="273">
        <f t="shared" ref="T13:T76" si="17">ATAN(B13/$V$7)</f>
        <v>7.0004398229714896E-8</v>
      </c>
      <c r="U13" s="274">
        <f t="shared" ref="U13:U76" si="18">SQRT((1-(B13^2/pterm2))^2+(B13/pterm1)^2)</f>
        <v>1.0000000000223774</v>
      </c>
      <c r="V13" s="275">
        <f t="shared" ref="V13:V76" si="19">IF((ATAN((B13/pterm1)/(1-B13^2/pterm2))&gt;0),ATAN((B13/pterm1)/(1-B13^2/pterm2)),PI()+ATAN((B13/pterm1)/(1-B13^2/pterm2)))</f>
        <v>9.7600599877199794E-6</v>
      </c>
      <c r="W13" s="276">
        <f t="shared" ref="W13:W76" si="20">20*LOG10(((E13*K13*G13)/(C13*I13*U13*M13))*Adc)</f>
        <v>75.408353385020291</v>
      </c>
      <c r="X13" s="277">
        <f t="shared" ref="X13:X78" si="21">IF(((F13+L13+H13)-(D13+J13+V13+N13))*radconv&lt;-180,((F13+L13+H13)-(D13+J13+V13+N13))*radconv+360,((F13+L13+H13)-(D13+J13+V13+N13))*radconv)</f>
        <v>-74.155898715647538</v>
      </c>
      <c r="Y13" s="299">
        <f>IF(X13&gt;0,X13-180,X13+180)</f>
        <v>105.84410128435246</v>
      </c>
      <c r="AB13" s="278">
        <f t="shared" ref="AB13:AB76" si="22">20*LOG10((K13/(I13*M13))*AEA)</f>
        <v>64.297119505332049</v>
      </c>
      <c r="AC13" s="279">
        <f t="shared" ref="AC13:AC76" si="23">(L13-(J13+N13))*radconv</f>
        <v>-74.108053293846652</v>
      </c>
      <c r="AF13" s="278">
        <f t="shared" ref="AF13:AF76" si="24">20*LOG10((E13*G13/(C13*U13))*Acs*Am)</f>
        <v>72.91476648666999</v>
      </c>
      <c r="AG13" s="279">
        <f t="shared" ref="AG13:AG76" si="25">(F13+H13-(D13+V13))*radconv</f>
        <v>-4.7845421800879112E-2</v>
      </c>
      <c r="AI13">
        <f t="shared" ref="AI13:AI76" si="26">SUM((W14&lt;0)*(W13&gt;0))*B13</f>
        <v>0</v>
      </c>
      <c r="AJ13">
        <f t="shared" ref="AJ13:AJ44" si="27">IF(AI13&gt;0,Y11,0)</f>
        <v>0</v>
      </c>
      <c r="AK13">
        <f t="shared" ref="AK13:AK76" si="28">SUM((AB14&lt;0)*(AB13&gt;0))*B13</f>
        <v>0</v>
      </c>
      <c r="AL13">
        <f t="shared" ref="AL13:AL76" si="29">IF(AK13&gt;0,AC13,0)</f>
        <v>0</v>
      </c>
      <c r="AM13"/>
      <c r="AN13"/>
    </row>
    <row r="14" spans="2:40" x14ac:dyDescent="0.2">
      <c r="B14" s="280">
        <v>1.0965</v>
      </c>
      <c r="C14" s="270">
        <f t="shared" si="0"/>
        <v>1.0000004010824237</v>
      </c>
      <c r="D14" s="271">
        <f t="shared" si="1"/>
        <v>8.9563641012923591E-4</v>
      </c>
      <c r="E14" s="271">
        <f t="shared" si="2"/>
        <v>1.0000000000016045</v>
      </c>
      <c r="F14" s="272">
        <f t="shared" si="3"/>
        <v>1.7912732992219124E-6</v>
      </c>
      <c r="G14" s="271">
        <f t="shared" si="4"/>
        <v>1.0000000000615645</v>
      </c>
      <c r="H14" s="272">
        <f t="shared" si="5"/>
        <v>-1.1096363271195413E-5</v>
      </c>
      <c r="I14" s="270">
        <f t="shared" si="6"/>
        <v>3.9861774477005101</v>
      </c>
      <c r="J14" s="273">
        <f t="shared" si="7"/>
        <v>1.3172206321486648</v>
      </c>
      <c r="K14" s="281">
        <f t="shared" si="8"/>
        <v>1.0000001674578647</v>
      </c>
      <c r="L14" s="282">
        <f t="shared" si="9"/>
        <v>5.7871900129571809E-4</v>
      </c>
      <c r="M14" s="270">
        <f t="shared" si="10"/>
        <v>1.0000000003913965</v>
      </c>
      <c r="N14" s="273">
        <f t="shared" si="11"/>
        <v>2.7978437922916882E-5</v>
      </c>
      <c r="O14" s="270">
        <f t="shared" si="12"/>
        <v>1.0449399112714859</v>
      </c>
      <c r="P14" s="273">
        <f t="shared" si="13"/>
        <v>0.29434342959979026</v>
      </c>
      <c r="Q14" s="271">
        <f t="shared" si="14"/>
        <v>1.0000000000562843</v>
      </c>
      <c r="R14" s="272">
        <f t="shared" si="15"/>
        <v>1.0609849541158408E-5</v>
      </c>
      <c r="S14" s="270">
        <f t="shared" si="16"/>
        <v>1.0000000000000031</v>
      </c>
      <c r="T14" s="273">
        <f t="shared" si="17"/>
        <v>7.6759822658882376E-8</v>
      </c>
      <c r="U14" s="274">
        <f t="shared" si="18"/>
        <v>1.0000000000269047</v>
      </c>
      <c r="V14" s="275">
        <f t="shared" si="19"/>
        <v>1.0701905776520882E-5</v>
      </c>
      <c r="W14" s="276">
        <f t="shared" si="20"/>
        <v>74.663127197490724</v>
      </c>
      <c r="X14" s="277">
        <f t="shared" si="21"/>
        <v>-75.492090302480662</v>
      </c>
      <c r="Y14" s="299">
        <f t="shared" ref="Y14:Y77" si="30">IF(X14&gt;0,X14-180,X14+180)</f>
        <v>104.50790969751934</v>
      </c>
      <c r="AB14" s="278">
        <f t="shared" si="22"/>
        <v>63.551893903958671</v>
      </c>
      <c r="AC14" s="279">
        <f t="shared" si="23"/>
        <v>-75.439627799784887</v>
      </c>
      <c r="AF14" s="278">
        <f t="shared" si="24"/>
        <v>72.914765900513814</v>
      </c>
      <c r="AG14" s="279">
        <f t="shared" si="25"/>
        <v>-5.2462502695778179E-2</v>
      </c>
      <c r="AI14">
        <f t="shared" si="26"/>
        <v>0</v>
      </c>
      <c r="AJ14">
        <f t="shared" si="27"/>
        <v>0</v>
      </c>
      <c r="AK14">
        <f t="shared" si="28"/>
        <v>0</v>
      </c>
      <c r="AL14">
        <f t="shared" si="29"/>
        <v>0</v>
      </c>
      <c r="AM14"/>
      <c r="AN14"/>
    </row>
    <row r="15" spans="2:40" x14ac:dyDescent="0.2">
      <c r="B15" s="280">
        <v>1.2022999999999999</v>
      </c>
      <c r="C15" s="270">
        <f t="shared" si="0"/>
        <v>1.0000004822164652</v>
      </c>
      <c r="D15" s="271">
        <f t="shared" si="1"/>
        <v>9.8205526461805481E-4</v>
      </c>
      <c r="E15" s="271">
        <f t="shared" si="2"/>
        <v>1.0000000000019289</v>
      </c>
      <c r="F15" s="272">
        <f t="shared" si="3"/>
        <v>1.9641111606511983E-6</v>
      </c>
      <c r="G15" s="271">
        <f t="shared" si="4"/>
        <v>1.0000000000740186</v>
      </c>
      <c r="H15" s="272">
        <f t="shared" si="5"/>
        <v>-1.2167038359186025E-5</v>
      </c>
      <c r="I15" s="270">
        <f t="shared" si="6"/>
        <v>4.3475966328625582</v>
      </c>
      <c r="J15" s="273">
        <f t="shared" si="7"/>
        <v>1.3387061707540415</v>
      </c>
      <c r="K15" s="281">
        <f t="shared" si="8"/>
        <v>1.0000002013325358</v>
      </c>
      <c r="L15" s="282">
        <f t="shared" si="9"/>
        <v>6.3455890519348095E-4</v>
      </c>
      <c r="M15" s="270">
        <f t="shared" si="10"/>
        <v>1.0000000004705711</v>
      </c>
      <c r="N15" s="273">
        <f t="shared" si="11"/>
        <v>3.0678044608251175E-5</v>
      </c>
      <c r="O15" s="270">
        <f t="shared" si="12"/>
        <v>1.0537976773114739</v>
      </c>
      <c r="P15" s="273">
        <f t="shared" si="13"/>
        <v>0.32091002770368504</v>
      </c>
      <c r="Q15" s="271">
        <f t="shared" si="14"/>
        <v>1.0000000000676701</v>
      </c>
      <c r="R15" s="272">
        <f t="shared" si="15"/>
        <v>1.1633581489501075E-5</v>
      </c>
      <c r="S15" s="270">
        <f t="shared" si="16"/>
        <v>1.0000000000000036</v>
      </c>
      <c r="T15" s="273">
        <f t="shared" si="17"/>
        <v>8.4166287991586157E-8</v>
      </c>
      <c r="U15" s="274">
        <f t="shared" si="18"/>
        <v>1.0000000000323472</v>
      </c>
      <c r="V15" s="275">
        <f t="shared" si="19"/>
        <v>1.1734520123201744E-5</v>
      </c>
      <c r="W15" s="276">
        <f t="shared" si="20"/>
        <v>73.90927446663585</v>
      </c>
      <c r="X15" s="277">
        <f t="shared" si="21"/>
        <v>-76.725138312742075</v>
      </c>
      <c r="Y15" s="299">
        <f t="shared" si="30"/>
        <v>103.27486168725792</v>
      </c>
      <c r="AB15" s="278">
        <f t="shared" si="22"/>
        <v>62.798041877761108</v>
      </c>
      <c r="AC15" s="279">
        <f t="shared" si="23"/>
        <v>-76.667613767686035</v>
      </c>
      <c r="AF15" s="278">
        <f t="shared" si="24"/>
        <v>72.914765195856518</v>
      </c>
      <c r="AG15" s="279">
        <f t="shared" si="25"/>
        <v>-5.752454505604386E-2</v>
      </c>
      <c r="AI15">
        <f t="shared" si="26"/>
        <v>0</v>
      </c>
      <c r="AJ15">
        <f t="shared" si="27"/>
        <v>0</v>
      </c>
      <c r="AK15">
        <f t="shared" si="28"/>
        <v>0</v>
      </c>
      <c r="AL15">
        <f t="shared" si="29"/>
        <v>0</v>
      </c>
      <c r="AM15"/>
      <c r="AN15"/>
    </row>
    <row r="16" spans="2:40" x14ac:dyDescent="0.2">
      <c r="B16" s="280">
        <v>1.3183</v>
      </c>
      <c r="C16" s="270">
        <f t="shared" si="0"/>
        <v>1.0000005797554288</v>
      </c>
      <c r="D16" s="271">
        <f t="shared" si="1"/>
        <v>1.0768055985698776E-3</v>
      </c>
      <c r="E16" s="271">
        <f t="shared" si="2"/>
        <v>1.000000000002319</v>
      </c>
      <c r="F16" s="272">
        <f t="shared" si="3"/>
        <v>2.1536120295149307E-6</v>
      </c>
      <c r="G16" s="271">
        <f t="shared" si="4"/>
        <v>1.0000000000889901</v>
      </c>
      <c r="H16" s="272">
        <f t="shared" si="5"/>
        <v>-1.3340935431052851E-5</v>
      </c>
      <c r="I16" s="270">
        <f t="shared" si="6"/>
        <v>4.7457973014783343</v>
      </c>
      <c r="J16" s="273">
        <f t="shared" si="7"/>
        <v>1.3584923041415984</v>
      </c>
      <c r="K16" s="281">
        <f t="shared" si="8"/>
        <v>1.0000002420565086</v>
      </c>
      <c r="L16" s="282">
        <f t="shared" si="9"/>
        <v>6.9578223571912915E-4</v>
      </c>
      <c r="M16" s="270">
        <f t="shared" si="10"/>
        <v>1.0000000005657546</v>
      </c>
      <c r="N16" s="273">
        <f t="shared" si="11"/>
        <v>3.3637915831731852E-5</v>
      </c>
      <c r="O16" s="270">
        <f t="shared" si="12"/>
        <v>1.0643488664331626</v>
      </c>
      <c r="P16" s="273">
        <f t="shared" si="13"/>
        <v>0.34950723945311901</v>
      </c>
      <c r="Q16" s="271">
        <f t="shared" si="14"/>
        <v>1.000000000081358</v>
      </c>
      <c r="R16" s="272">
        <f t="shared" si="15"/>
        <v>1.2756009712608599E-5</v>
      </c>
      <c r="S16" s="270">
        <f t="shared" si="16"/>
        <v>1.0000000000000042</v>
      </c>
      <c r="T16" s="273">
        <f t="shared" si="17"/>
        <v>9.2286798186233038E-8</v>
      </c>
      <c r="U16" s="274">
        <f t="shared" si="18"/>
        <v>1.0000000000388902</v>
      </c>
      <c r="V16" s="275">
        <f t="shared" si="19"/>
        <v>1.2866687081749526E-5</v>
      </c>
      <c r="W16" s="276">
        <f t="shared" si="20"/>
        <v>73.148075145872326</v>
      </c>
      <c r="X16" s="277">
        <f t="shared" si="21"/>
        <v>-77.86101206279325</v>
      </c>
      <c r="Y16" s="299">
        <f t="shared" si="30"/>
        <v>102.13898793720675</v>
      </c>
      <c r="AB16" s="278">
        <f t="shared" si="22"/>
        <v>62.036843404133208</v>
      </c>
      <c r="AC16" s="279">
        <f t="shared" si="23"/>
        <v>-77.797937453358074</v>
      </c>
      <c r="AF16" s="278">
        <f t="shared" si="24"/>
        <v>72.914764348720894</v>
      </c>
      <c r="AG16" s="279">
        <f t="shared" si="25"/>
        <v>-6.3074609435168155E-2</v>
      </c>
      <c r="AI16">
        <f t="shared" si="26"/>
        <v>0</v>
      </c>
      <c r="AJ16">
        <f t="shared" si="27"/>
        <v>0</v>
      </c>
      <c r="AK16">
        <f t="shared" si="28"/>
        <v>0</v>
      </c>
      <c r="AL16">
        <f t="shared" si="29"/>
        <v>0</v>
      </c>
      <c r="AM16"/>
      <c r="AN16"/>
    </row>
    <row r="17" spans="2:40" x14ac:dyDescent="0.2">
      <c r="B17" s="280">
        <v>1.4454</v>
      </c>
      <c r="C17" s="270">
        <f t="shared" si="0"/>
        <v>1.0000006969351922</v>
      </c>
      <c r="D17" s="271">
        <f t="shared" si="1"/>
        <v>1.1806225370447415E-3</v>
      </c>
      <c r="E17" s="271">
        <f t="shared" si="2"/>
        <v>1.0000000000027878</v>
      </c>
      <c r="F17" s="272">
        <f t="shared" si="3"/>
        <v>2.3612461711749286E-6</v>
      </c>
      <c r="G17" s="271">
        <f t="shared" si="4"/>
        <v>1.0000000001069771</v>
      </c>
      <c r="H17" s="272">
        <f t="shared" si="5"/>
        <v>-1.4627162308892184E-5</v>
      </c>
      <c r="I17" s="270">
        <f t="shared" si="6"/>
        <v>5.1838908995631146</v>
      </c>
      <c r="J17" s="273">
        <f t="shared" si="7"/>
        <v>1.376674129240486</v>
      </c>
      <c r="K17" s="281">
        <f t="shared" si="8"/>
        <v>1.0000002909808114</v>
      </c>
      <c r="L17" s="282">
        <f t="shared" si="9"/>
        <v>7.6286399962592394E-4</v>
      </c>
      <c r="M17" s="270">
        <f t="shared" si="10"/>
        <v>1.0000000006801046</v>
      </c>
      <c r="N17" s="273">
        <f t="shared" si="11"/>
        <v>3.688101611126355E-5</v>
      </c>
      <c r="O17" s="270">
        <f t="shared" si="12"/>
        <v>1.0768879913363218</v>
      </c>
      <c r="P17" s="273">
        <f t="shared" si="13"/>
        <v>0.38016968673063728</v>
      </c>
      <c r="Q17" s="271">
        <f t="shared" si="14"/>
        <v>1.0000000000978018</v>
      </c>
      <c r="R17" s="272">
        <f t="shared" si="15"/>
        <v>1.3985842705304061E-5</v>
      </c>
      <c r="S17" s="270">
        <f t="shared" si="16"/>
        <v>1.0000000000000051</v>
      </c>
      <c r="T17" s="273">
        <f t="shared" si="17"/>
        <v>1.0118435720122974E-7</v>
      </c>
      <c r="U17" s="274">
        <f t="shared" si="18"/>
        <v>1.0000000000467506</v>
      </c>
      <c r="V17" s="275">
        <f t="shared" si="19"/>
        <v>1.4107190706150569E-5</v>
      </c>
      <c r="W17" s="276">
        <f t="shared" si="20"/>
        <v>72.381141197723423</v>
      </c>
      <c r="X17" s="277">
        <f t="shared" si="21"/>
        <v>-78.905177365659284</v>
      </c>
      <c r="Y17" s="299">
        <f t="shared" si="30"/>
        <v>101.09482263434072</v>
      </c>
      <c r="AB17" s="278">
        <f t="shared" si="22"/>
        <v>61.269910473702112</v>
      </c>
      <c r="AC17" s="279">
        <f t="shared" si="23"/>
        <v>-78.836021609373773</v>
      </c>
      <c r="AF17" s="278">
        <f t="shared" si="24"/>
        <v>72.914763331003073</v>
      </c>
      <c r="AG17" s="279">
        <f t="shared" si="25"/>
        <v>-6.9155756285492587E-2</v>
      </c>
      <c r="AI17">
        <f t="shared" si="26"/>
        <v>0</v>
      </c>
      <c r="AJ17">
        <f t="shared" si="27"/>
        <v>0</v>
      </c>
      <c r="AK17">
        <f t="shared" si="28"/>
        <v>0</v>
      </c>
      <c r="AL17">
        <f t="shared" si="29"/>
        <v>0</v>
      </c>
      <c r="AM17"/>
      <c r="AN17"/>
    </row>
    <row r="18" spans="2:40" x14ac:dyDescent="0.2">
      <c r="B18" s="280">
        <v>1.5849</v>
      </c>
      <c r="C18" s="270">
        <f t="shared" si="0"/>
        <v>1.0000008379536451</v>
      </c>
      <c r="D18" s="271">
        <f t="shared" si="1"/>
        <v>1.2945679279434377E-3</v>
      </c>
      <c r="E18" s="271">
        <f t="shared" si="2"/>
        <v>1.0000000000033518</v>
      </c>
      <c r="F18" s="272">
        <f t="shared" si="3"/>
        <v>2.5891373022649349E-6</v>
      </c>
      <c r="G18" s="271">
        <f t="shared" si="4"/>
        <v>1.0000000001286229</v>
      </c>
      <c r="H18" s="272">
        <f t="shared" si="5"/>
        <v>-1.6038874735733142E-5</v>
      </c>
      <c r="I18" s="270">
        <f t="shared" si="6"/>
        <v>5.6663776752397794</v>
      </c>
      <c r="J18" s="273">
        <f t="shared" si="7"/>
        <v>1.3933875786530949</v>
      </c>
      <c r="K18" s="281">
        <f t="shared" si="8"/>
        <v>1.000000349858128</v>
      </c>
      <c r="L18" s="282">
        <f t="shared" si="9"/>
        <v>8.3649031793935438E-4</v>
      </c>
      <c r="M18" s="270">
        <f t="shared" si="10"/>
        <v>1.0000000008177177</v>
      </c>
      <c r="N18" s="273">
        <f t="shared" si="11"/>
        <v>4.0440516417171042E-5</v>
      </c>
      <c r="O18" s="270">
        <f t="shared" si="12"/>
        <v>1.0917871185444312</v>
      </c>
      <c r="P18" s="273">
        <f t="shared" si="13"/>
        <v>0.41297856402830591</v>
      </c>
      <c r="Q18" s="271">
        <f t="shared" si="14"/>
        <v>1.0000000001175913</v>
      </c>
      <c r="R18" s="272">
        <f t="shared" si="15"/>
        <v>1.5335659404555123E-5</v>
      </c>
      <c r="S18" s="270">
        <f t="shared" si="16"/>
        <v>1.0000000000000062</v>
      </c>
      <c r="T18" s="273">
        <f t="shared" si="17"/>
        <v>1.1094997075427488E-7</v>
      </c>
      <c r="U18" s="274">
        <f t="shared" si="18"/>
        <v>1.0000000000562101</v>
      </c>
      <c r="V18" s="275">
        <f t="shared" si="19"/>
        <v>1.5468719074385354E-5</v>
      </c>
      <c r="W18" s="276">
        <f t="shared" si="20"/>
        <v>71.608147184015223</v>
      </c>
      <c r="X18" s="277">
        <f t="shared" si="21"/>
        <v>-79.865447372938021</v>
      </c>
      <c r="Y18" s="299">
        <f t="shared" si="30"/>
        <v>100.13455262706198</v>
      </c>
      <c r="AB18" s="278">
        <f t="shared" si="22"/>
        <v>60.496917684752944</v>
      </c>
      <c r="AC18" s="279">
        <f t="shared" si="23"/>
        <v>-79.789617188865932</v>
      </c>
      <c r="AF18" s="278">
        <f t="shared" si="24"/>
        <v>72.914762106244041</v>
      </c>
      <c r="AG18" s="279">
        <f t="shared" si="25"/>
        <v>-7.5830184072087692E-2</v>
      </c>
      <c r="AI18">
        <f t="shared" si="26"/>
        <v>0</v>
      </c>
      <c r="AJ18">
        <f t="shared" si="27"/>
        <v>0</v>
      </c>
      <c r="AK18">
        <f t="shared" si="28"/>
        <v>0</v>
      </c>
      <c r="AL18">
        <f t="shared" si="29"/>
        <v>0</v>
      </c>
      <c r="AM18"/>
      <c r="AN18"/>
    </row>
    <row r="19" spans="2:40" x14ac:dyDescent="0.2">
      <c r="B19" s="280">
        <v>1.7378</v>
      </c>
      <c r="C19" s="270">
        <f t="shared" si="0"/>
        <v>1.0000010074321648</v>
      </c>
      <c r="D19" s="271">
        <f t="shared" si="1"/>
        <v>1.4194585721473863E-3</v>
      </c>
      <c r="E19" s="271">
        <f t="shared" si="2"/>
        <v>1.0000000000040297</v>
      </c>
      <c r="F19" s="272">
        <f t="shared" si="3"/>
        <v>2.8389190509647111E-6</v>
      </c>
      <c r="G19" s="271">
        <f t="shared" si="4"/>
        <v>1.0000000001546372</v>
      </c>
      <c r="H19" s="272">
        <f t="shared" si="5"/>
        <v>-1.7586192513895935E-5</v>
      </c>
      <c r="I19" s="270">
        <f t="shared" si="6"/>
        <v>6.196732030425518</v>
      </c>
      <c r="J19" s="273">
        <f t="shared" si="7"/>
        <v>1.4087121835044334</v>
      </c>
      <c r="K19" s="281">
        <f t="shared" si="8"/>
        <v>1.0000004206179551</v>
      </c>
      <c r="L19" s="282">
        <f t="shared" si="9"/>
        <v>9.1718897466183799E-4</v>
      </c>
      <c r="M19" s="270">
        <f t="shared" si="10"/>
        <v>1.0000000009831034</v>
      </c>
      <c r="N19" s="273">
        <f t="shared" si="11"/>
        <v>4.434193288031499E-5</v>
      </c>
      <c r="O19" s="270">
        <f t="shared" si="12"/>
        <v>1.1094284568924102</v>
      </c>
      <c r="P19" s="273">
        <f t="shared" si="13"/>
        <v>0.44788505250366101</v>
      </c>
      <c r="Q19" s="271">
        <f t="shared" si="14"/>
        <v>1.0000000001413745</v>
      </c>
      <c r="R19" s="272">
        <f t="shared" si="15"/>
        <v>1.6815135915712876E-5</v>
      </c>
      <c r="S19" s="270">
        <f t="shared" si="16"/>
        <v>1.0000000000000075</v>
      </c>
      <c r="T19" s="273">
        <f t="shared" si="17"/>
        <v>1.2165364324359814E-7</v>
      </c>
      <c r="U19" s="274">
        <f t="shared" si="18"/>
        <v>1.0000000000675788</v>
      </c>
      <c r="V19" s="275">
        <f t="shared" si="19"/>
        <v>1.6961032246437053E-5</v>
      </c>
      <c r="W19" s="276">
        <f t="shared" si="20"/>
        <v>70.831002358725087</v>
      </c>
      <c r="X19" s="277">
        <f t="shared" si="21"/>
        <v>-80.746397949278602</v>
      </c>
      <c r="Y19" s="299">
        <f t="shared" si="30"/>
        <v>99.253602050721398</v>
      </c>
      <c r="AB19" s="278">
        <f t="shared" si="22"/>
        <v>59.71977433140006</v>
      </c>
      <c r="AC19" s="279">
        <f t="shared" si="23"/>
        <v>-80.663252211808228</v>
      </c>
      <c r="AF19" s="278">
        <f t="shared" si="24"/>
        <v>72.914760634306774</v>
      </c>
      <c r="AG19" s="279">
        <f t="shared" si="25"/>
        <v>-8.3145737470368672E-2</v>
      </c>
      <c r="AI19">
        <f t="shared" si="26"/>
        <v>0</v>
      </c>
      <c r="AJ19">
        <f t="shared" si="27"/>
        <v>0</v>
      </c>
      <c r="AK19">
        <f t="shared" si="28"/>
        <v>0</v>
      </c>
      <c r="AL19">
        <f t="shared" si="29"/>
        <v>0</v>
      </c>
      <c r="AM19"/>
      <c r="AN19"/>
    </row>
    <row r="20" spans="2:40" x14ac:dyDescent="0.2">
      <c r="B20" s="280">
        <v>1.9055</v>
      </c>
      <c r="C20" s="270">
        <f t="shared" si="0"/>
        <v>1.0000012112508334</v>
      </c>
      <c r="D20" s="271">
        <f t="shared" si="1"/>
        <v>1.5564379915434989E-3</v>
      </c>
      <c r="E20" s="271">
        <f t="shared" si="2"/>
        <v>1.000000000004845</v>
      </c>
      <c r="F20" s="272">
        <f t="shared" si="3"/>
        <v>3.1128784967259274E-6</v>
      </c>
      <c r="G20" s="271">
        <f t="shared" si="4"/>
        <v>1.0000000001859224</v>
      </c>
      <c r="H20" s="272">
        <f t="shared" si="5"/>
        <v>-1.9283283366630096E-5</v>
      </c>
      <c r="I20" s="270">
        <f t="shared" si="6"/>
        <v>6.779820863766969</v>
      </c>
      <c r="J20" s="273">
        <f t="shared" si="7"/>
        <v>1.422759696599057</v>
      </c>
      <c r="K20" s="281">
        <f t="shared" si="8"/>
        <v>1.0000005057153192</v>
      </c>
      <c r="L20" s="282">
        <f t="shared" si="9"/>
        <v>1.0056988675729022E-3</v>
      </c>
      <c r="M20" s="270">
        <f t="shared" si="10"/>
        <v>1.0000000011820003</v>
      </c>
      <c r="N20" s="273">
        <f t="shared" si="11"/>
        <v>4.8620988083920218E-5</v>
      </c>
      <c r="O20" s="270">
        <f t="shared" si="12"/>
        <v>1.1302797048844055</v>
      </c>
      <c r="P20" s="273">
        <f t="shared" si="13"/>
        <v>0.48486740877985973</v>
      </c>
      <c r="Q20" s="271">
        <f t="shared" si="14"/>
        <v>1.0000000001699765</v>
      </c>
      <c r="R20" s="272">
        <f t="shared" si="15"/>
        <v>1.8437818786269949E-5</v>
      </c>
      <c r="S20" s="270">
        <f t="shared" si="16"/>
        <v>1.0000000000000089</v>
      </c>
      <c r="T20" s="273">
        <f t="shared" si="17"/>
        <v>1.3339338082672116E-7</v>
      </c>
      <c r="U20" s="274">
        <f t="shared" si="18"/>
        <v>1.000000000081251</v>
      </c>
      <c r="V20" s="275">
        <f t="shared" si="19"/>
        <v>1.859779430628233E-5</v>
      </c>
      <c r="W20" s="276">
        <f t="shared" si="20"/>
        <v>70.049891265087652</v>
      </c>
      <c r="X20" s="277">
        <f t="shared" si="21"/>
        <v>-81.554458752342754</v>
      </c>
      <c r="Y20" s="299">
        <f t="shared" si="30"/>
        <v>98.445541247657246</v>
      </c>
      <c r="AB20" s="278">
        <f t="shared" si="22"/>
        <v>58.938665007947066</v>
      </c>
      <c r="AC20" s="279">
        <f t="shared" si="23"/>
        <v>-81.463289353279421</v>
      </c>
      <c r="AF20" s="278">
        <f t="shared" si="24"/>
        <v>72.914758864122348</v>
      </c>
      <c r="AG20" s="279">
        <f t="shared" si="25"/>
        <v>-9.1169399063326717E-2</v>
      </c>
      <c r="AI20">
        <f t="shared" si="26"/>
        <v>0</v>
      </c>
      <c r="AJ20">
        <f t="shared" si="27"/>
        <v>0</v>
      </c>
      <c r="AK20">
        <f t="shared" si="28"/>
        <v>0</v>
      </c>
      <c r="AL20">
        <f t="shared" si="29"/>
        <v>0</v>
      </c>
      <c r="AM20"/>
      <c r="AN20"/>
    </row>
    <row r="21" spans="2:40" x14ac:dyDescent="0.2">
      <c r="B21" s="280">
        <v>2.0893000000000002</v>
      </c>
      <c r="C21" s="270">
        <f t="shared" si="0"/>
        <v>1.000001456188973</v>
      </c>
      <c r="D21" s="271">
        <f t="shared" si="1"/>
        <v>1.7065680213741313E-3</v>
      </c>
      <c r="E21" s="271">
        <f t="shared" si="2"/>
        <v>1.0000000000058247</v>
      </c>
      <c r="F21" s="272">
        <f t="shared" si="3"/>
        <v>3.4131393561822265E-6</v>
      </c>
      <c r="G21" s="271">
        <f t="shared" si="4"/>
        <v>1.0000000002235196</v>
      </c>
      <c r="H21" s="272">
        <f t="shared" si="5"/>
        <v>-2.1143303036940665E-5</v>
      </c>
      <c r="I21" s="270">
        <f t="shared" si="6"/>
        <v>7.4201724330732342</v>
      </c>
      <c r="J21" s="273">
        <f t="shared" si="7"/>
        <v>1.4356172486449112</v>
      </c>
      <c r="K21" s="281">
        <f t="shared" si="8"/>
        <v>1.0000006079806953</v>
      </c>
      <c r="L21" s="282">
        <f t="shared" si="9"/>
        <v>1.102706114283042E-3</v>
      </c>
      <c r="M21" s="270">
        <f t="shared" si="10"/>
        <v>1.0000000014210235</v>
      </c>
      <c r="N21" s="273">
        <f t="shared" si="11"/>
        <v>5.3310852997925612E-5</v>
      </c>
      <c r="O21" s="270">
        <f t="shared" si="12"/>
        <v>1.154839636420333</v>
      </c>
      <c r="P21" s="273">
        <f t="shared" si="13"/>
        <v>0.52380735985182192</v>
      </c>
      <c r="Q21" s="271">
        <f t="shared" si="14"/>
        <v>1.000000000204349</v>
      </c>
      <c r="R21" s="272">
        <f t="shared" si="15"/>
        <v>2.0216286953172959E-5</v>
      </c>
      <c r="S21" s="270">
        <f t="shared" si="16"/>
        <v>1.0000000000000107</v>
      </c>
      <c r="T21" s="273">
        <f t="shared" si="17"/>
        <v>1.4626018922134256E-7</v>
      </c>
      <c r="U21" s="274">
        <f t="shared" si="18"/>
        <v>1.0000000000976816</v>
      </c>
      <c r="V21" s="275">
        <f t="shared" si="19"/>
        <v>2.0391693331897244E-5</v>
      </c>
      <c r="W21" s="276">
        <f t="shared" si="20"/>
        <v>69.265974451746402</v>
      </c>
      <c r="X21" s="277">
        <f t="shared" si="21"/>
        <v>-82.294646790614806</v>
      </c>
      <c r="Y21" s="299">
        <f t="shared" si="30"/>
        <v>97.705353209385194</v>
      </c>
      <c r="AB21" s="278">
        <f t="shared" si="22"/>
        <v>58.154750321916268</v>
      </c>
      <c r="AC21" s="279">
        <f t="shared" si="23"/>
        <v>-82.194683424024049</v>
      </c>
      <c r="AF21" s="278">
        <f t="shared" si="24"/>
        <v>72.914756736811896</v>
      </c>
      <c r="AG21" s="279">
        <f t="shared" si="25"/>
        <v>-9.9963366590755762E-2</v>
      </c>
      <c r="AI21">
        <f t="shared" si="26"/>
        <v>0</v>
      </c>
      <c r="AJ21">
        <f t="shared" si="27"/>
        <v>0</v>
      </c>
      <c r="AK21">
        <f t="shared" si="28"/>
        <v>0</v>
      </c>
      <c r="AL21">
        <f t="shared" si="29"/>
        <v>0</v>
      </c>
      <c r="AM21"/>
      <c r="AN21"/>
    </row>
    <row r="22" spans="2:40" x14ac:dyDescent="0.2">
      <c r="B22" s="280">
        <v>2.2909000000000002</v>
      </c>
      <c r="C22" s="270">
        <f t="shared" si="0"/>
        <v>1.0000017507669108</v>
      </c>
      <c r="D22" s="271">
        <f t="shared" si="1"/>
        <v>1.8712372145616319E-3</v>
      </c>
      <c r="E22" s="271">
        <f t="shared" si="2"/>
        <v>1.0000000000070031</v>
      </c>
      <c r="F22" s="272">
        <f t="shared" si="3"/>
        <v>3.7424787972391329E-6</v>
      </c>
      <c r="G22" s="271">
        <f t="shared" si="4"/>
        <v>1.0000000002687361</v>
      </c>
      <c r="H22" s="272">
        <f t="shared" si="5"/>
        <v>-2.3183455188755688E-5</v>
      </c>
      <c r="I22" s="270">
        <f t="shared" si="6"/>
        <v>8.1237158003924517</v>
      </c>
      <c r="J22" s="273">
        <f t="shared" si="7"/>
        <v>1.4473869344638772</v>
      </c>
      <c r="K22" s="281">
        <f t="shared" si="8"/>
        <v>1.0000007309714569</v>
      </c>
      <c r="L22" s="282">
        <f t="shared" si="9"/>
        <v>1.209107945282705E-3</v>
      </c>
      <c r="M22" s="270">
        <f t="shared" si="10"/>
        <v>1.000000001708488</v>
      </c>
      <c r="N22" s="273">
        <f t="shared" si="11"/>
        <v>5.8454905044532841E-5</v>
      </c>
      <c r="O22" s="270">
        <f t="shared" si="12"/>
        <v>1.1837021942203287</v>
      </c>
      <c r="P22" s="273">
        <f t="shared" si="13"/>
        <v>0.56459180366837769</v>
      </c>
      <c r="Q22" s="271">
        <f t="shared" si="14"/>
        <v>1.0000000002456877</v>
      </c>
      <c r="R22" s="272">
        <f t="shared" si="15"/>
        <v>2.2166989795504507E-5</v>
      </c>
      <c r="S22" s="270">
        <f t="shared" si="16"/>
        <v>1.0000000000000129</v>
      </c>
      <c r="T22" s="273">
        <f t="shared" si="17"/>
        <v>1.6037307590445277E-7</v>
      </c>
      <c r="U22" s="274">
        <f t="shared" si="18"/>
        <v>1.0000000001174421</v>
      </c>
      <c r="V22" s="275">
        <f t="shared" si="19"/>
        <v>2.2359321425250186E-5</v>
      </c>
      <c r="W22" s="276">
        <f t="shared" si="20"/>
        <v>68.479158480056697</v>
      </c>
      <c r="X22" s="277">
        <f t="shared" si="21"/>
        <v>-82.972844079778397</v>
      </c>
      <c r="Y22" s="299">
        <f t="shared" si="30"/>
        <v>97.027155920221603</v>
      </c>
      <c r="AB22" s="278">
        <f t="shared" si="22"/>
        <v>57.367936908662564</v>
      </c>
      <c r="AC22" s="279">
        <f t="shared" si="23"/>
        <v>-82.863235104268909</v>
      </c>
      <c r="AF22" s="278">
        <f t="shared" si="24"/>
        <v>72.914754178375887</v>
      </c>
      <c r="AG22" s="279">
        <f t="shared" si="25"/>
        <v>-0.10960897550948823</v>
      </c>
      <c r="AI22">
        <f t="shared" si="26"/>
        <v>0</v>
      </c>
      <c r="AJ22">
        <f t="shared" si="27"/>
        <v>0</v>
      </c>
      <c r="AK22">
        <f t="shared" si="28"/>
        <v>0</v>
      </c>
      <c r="AL22">
        <f t="shared" si="29"/>
        <v>0</v>
      </c>
      <c r="AM22"/>
      <c r="AN22"/>
    </row>
    <row r="23" spans="2:40" x14ac:dyDescent="0.2">
      <c r="B23" s="280">
        <v>2.5118999999999998</v>
      </c>
      <c r="C23" s="270">
        <f t="shared" si="0"/>
        <v>1.0000021048477161</v>
      </c>
      <c r="D23" s="271">
        <f t="shared" si="1"/>
        <v>2.0517524334194921E-3</v>
      </c>
      <c r="E23" s="271">
        <f t="shared" si="2"/>
        <v>1.0000000000084195</v>
      </c>
      <c r="F23" s="272">
        <f t="shared" si="3"/>
        <v>4.103510624984111E-6</v>
      </c>
      <c r="G23" s="271">
        <f t="shared" si="4"/>
        <v>1.0000000003230864</v>
      </c>
      <c r="H23" s="272">
        <f t="shared" si="5"/>
        <v>-2.5419931505751174E-5</v>
      </c>
      <c r="I23" s="270">
        <f t="shared" si="6"/>
        <v>8.8960397914506633</v>
      </c>
      <c r="J23" s="273">
        <f t="shared" si="7"/>
        <v>1.4581486684528397</v>
      </c>
      <c r="K23" s="281">
        <f t="shared" si="8"/>
        <v>1.000000878805597</v>
      </c>
      <c r="L23" s="282">
        <f t="shared" si="9"/>
        <v>1.3257488098238099E-3</v>
      </c>
      <c r="M23" s="270">
        <f t="shared" si="10"/>
        <v>1.0000000020540185</v>
      </c>
      <c r="N23" s="273">
        <f t="shared" si="11"/>
        <v>6.4093970032536783E-5</v>
      </c>
      <c r="O23" s="270">
        <f t="shared" si="12"/>
        <v>1.2174896435191174</v>
      </c>
      <c r="P23" s="273">
        <f t="shared" si="13"/>
        <v>0.60700123824082297</v>
      </c>
      <c r="Q23" s="271">
        <f t="shared" si="14"/>
        <v>1.0000000002953766</v>
      </c>
      <c r="R23" s="272">
        <f t="shared" si="15"/>
        <v>2.4305409081794615E-5</v>
      </c>
      <c r="S23" s="270">
        <f t="shared" si="16"/>
        <v>1.0000000000000155</v>
      </c>
      <c r="T23" s="273">
        <f t="shared" si="17"/>
        <v>1.7584404791321934E-7</v>
      </c>
      <c r="U23" s="274">
        <f t="shared" si="18"/>
        <v>1.0000000001411942</v>
      </c>
      <c r="V23" s="275">
        <f t="shared" si="19"/>
        <v>2.4516294682307558E-5</v>
      </c>
      <c r="W23" s="276">
        <f t="shared" si="20"/>
        <v>67.690316782900084</v>
      </c>
      <c r="X23" s="277">
        <f t="shared" si="21"/>
        <v>-83.593659883652222</v>
      </c>
      <c r="Y23" s="299">
        <f t="shared" si="30"/>
        <v>96.406340116347778</v>
      </c>
      <c r="AB23" s="278">
        <f t="shared" si="22"/>
        <v>56.579098286728765</v>
      </c>
      <c r="AC23" s="279">
        <f t="shared" si="23"/>
        <v>-83.473477107446186</v>
      </c>
      <c r="AF23" s="278">
        <f t="shared" si="24"/>
        <v>72.914751103153094</v>
      </c>
      <c r="AG23" s="279">
        <f t="shared" si="25"/>
        <v>-0.12018277620602109</v>
      </c>
      <c r="AI23">
        <f t="shared" si="26"/>
        <v>0</v>
      </c>
      <c r="AJ23">
        <f t="shared" si="27"/>
        <v>0</v>
      </c>
      <c r="AK23">
        <f t="shared" si="28"/>
        <v>0</v>
      </c>
      <c r="AL23">
        <f t="shared" si="29"/>
        <v>0</v>
      </c>
      <c r="AM23"/>
      <c r="AN23"/>
    </row>
    <row r="24" spans="2:40" x14ac:dyDescent="0.2">
      <c r="B24" s="280">
        <v>2.7542</v>
      </c>
      <c r="C24" s="270">
        <f t="shared" si="0"/>
        <v>1.0000025305029276</v>
      </c>
      <c r="D24" s="271">
        <f t="shared" si="1"/>
        <v>2.2496655713045328E-3</v>
      </c>
      <c r="E24" s="271">
        <f t="shared" si="2"/>
        <v>1.0000000000101221</v>
      </c>
      <c r="F24" s="272">
        <f t="shared" si="3"/>
        <v>4.4993387329584819E-6</v>
      </c>
      <c r="G24" s="271">
        <f t="shared" si="4"/>
        <v>1.0000000003884231</v>
      </c>
      <c r="H24" s="272">
        <f t="shared" si="5"/>
        <v>-2.7871959612281677E-5</v>
      </c>
      <c r="I24" s="270">
        <f t="shared" si="6"/>
        <v>9.743787643134322</v>
      </c>
      <c r="J24" s="273">
        <f t="shared" si="7"/>
        <v>1.467985810125273</v>
      </c>
      <c r="K24" s="281">
        <f t="shared" si="8"/>
        <v>1.0000010565231843</v>
      </c>
      <c r="L24" s="282">
        <f t="shared" si="9"/>
        <v>1.4536314898713134E-3</v>
      </c>
      <c r="M24" s="270">
        <f t="shared" si="10"/>
        <v>1.0000000024693951</v>
      </c>
      <c r="N24" s="273">
        <f t="shared" si="11"/>
        <v>7.0276528609709461E-5</v>
      </c>
      <c r="O24" s="270">
        <f t="shared" si="12"/>
        <v>1.2569053198285287</v>
      </c>
      <c r="P24" s="273">
        <f t="shared" si="13"/>
        <v>0.65079095378229956</v>
      </c>
      <c r="Q24" s="271">
        <f t="shared" si="14"/>
        <v>1.0000000003551093</v>
      </c>
      <c r="R24" s="272">
        <f t="shared" si="15"/>
        <v>2.6649929412163291E-5</v>
      </c>
      <c r="S24" s="270">
        <f t="shared" si="16"/>
        <v>1.0000000000000187</v>
      </c>
      <c r="T24" s="273">
        <f t="shared" si="17"/>
        <v>1.928061136042787E-7</v>
      </c>
      <c r="U24" s="274">
        <f t="shared" si="18"/>
        <v>1.0000000001697471</v>
      </c>
      <c r="V24" s="275">
        <f t="shared" si="19"/>
        <v>2.6881157217027502E-5</v>
      </c>
      <c r="W24" s="276">
        <f t="shared" si="20"/>
        <v>66.899692755498407</v>
      </c>
      <c r="X24" s="277">
        <f t="shared" si="21"/>
        <v>-84.161906576363535</v>
      </c>
      <c r="Y24" s="299">
        <f t="shared" si="30"/>
        <v>95.838093423636465</v>
      </c>
      <c r="AB24" s="278">
        <f t="shared" si="22"/>
        <v>55.788477956178397</v>
      </c>
      <c r="AC24" s="279">
        <f t="shared" si="23"/>
        <v>-84.030130904422407</v>
      </c>
      <c r="AF24" s="278">
        <f t="shared" si="24"/>
        <v>72.914747406301757</v>
      </c>
      <c r="AG24" s="279">
        <f t="shared" si="25"/>
        <v>-0.13177567194114476</v>
      </c>
      <c r="AI24">
        <f t="shared" si="26"/>
        <v>0</v>
      </c>
      <c r="AJ24">
        <f t="shared" si="27"/>
        <v>0</v>
      </c>
      <c r="AK24">
        <f t="shared" si="28"/>
        <v>0</v>
      </c>
      <c r="AL24">
        <f t="shared" si="29"/>
        <v>0</v>
      </c>
      <c r="AM24"/>
      <c r="AN24"/>
    </row>
    <row r="25" spans="2:40" x14ac:dyDescent="0.2">
      <c r="B25" s="280">
        <v>3.02</v>
      </c>
      <c r="C25" s="270">
        <f t="shared" si="0"/>
        <v>1.0000030424935828</v>
      </c>
      <c r="D25" s="271">
        <f t="shared" si="1"/>
        <v>2.4667735481707521E-3</v>
      </c>
      <c r="E25" s="271">
        <f t="shared" si="2"/>
        <v>1.00000000001217</v>
      </c>
      <c r="F25" s="272">
        <f t="shared" si="3"/>
        <v>4.9335571031573834E-6</v>
      </c>
      <c r="G25" s="271">
        <f t="shared" si="4"/>
        <v>1.0000000004670118</v>
      </c>
      <c r="H25" s="272">
        <f t="shared" si="5"/>
        <v>-3.0561803073371801E-5</v>
      </c>
      <c r="I25" s="270">
        <f t="shared" si="6"/>
        <v>10.674660028218934</v>
      </c>
      <c r="J25" s="273">
        <f t="shared" si="7"/>
        <v>1.4769789635516364</v>
      </c>
      <c r="K25" s="281">
        <f t="shared" si="8"/>
        <v>1.0000012702872036</v>
      </c>
      <c r="L25" s="282">
        <f t="shared" si="9"/>
        <v>1.5939170989037119E-3</v>
      </c>
      <c r="M25" s="270">
        <f t="shared" si="10"/>
        <v>1.0000000029690228</v>
      </c>
      <c r="N25" s="273">
        <f t="shared" si="11"/>
        <v>7.7058716262664366E-5</v>
      </c>
      <c r="O25" s="270">
        <f t="shared" si="12"/>
        <v>1.3027367126349534</v>
      </c>
      <c r="P25" s="273">
        <f t="shared" si="13"/>
        <v>0.6956850672701721</v>
      </c>
      <c r="Q25" s="271">
        <f t="shared" si="14"/>
        <v>1.0000000004269578</v>
      </c>
      <c r="R25" s="272">
        <f t="shared" si="15"/>
        <v>2.9221838218313156E-5</v>
      </c>
      <c r="S25" s="270">
        <f t="shared" si="16"/>
        <v>1.0000000000000222</v>
      </c>
      <c r="T25" s="273">
        <f t="shared" si="17"/>
        <v>2.114132826537362E-7</v>
      </c>
      <c r="U25" s="274">
        <f t="shared" si="18"/>
        <v>1.0000000002040919</v>
      </c>
      <c r="V25" s="275">
        <f t="shared" si="19"/>
        <v>2.9475381161358303E-5</v>
      </c>
      <c r="W25" s="276">
        <f t="shared" si="20"/>
        <v>66.107165322196863</v>
      </c>
      <c r="X25" s="277">
        <f t="shared" si="21"/>
        <v>-84.682244376266226</v>
      </c>
      <c r="Y25" s="299">
        <f t="shared" si="30"/>
        <v>95.317755623733774</v>
      </c>
      <c r="AB25" s="278">
        <f t="shared" si="22"/>
        <v>54.995954969556713</v>
      </c>
      <c r="AC25" s="279">
        <f t="shared" si="23"/>
        <v>-84.537751457671035</v>
      </c>
      <c r="AF25" s="278">
        <f t="shared" si="24"/>
        <v>72.914742959621904</v>
      </c>
      <c r="AG25" s="279">
        <f t="shared" si="25"/>
        <v>-0.14449291859519686</v>
      </c>
      <c r="AI25">
        <f t="shared" si="26"/>
        <v>0</v>
      </c>
      <c r="AJ25">
        <f t="shared" si="27"/>
        <v>0</v>
      </c>
      <c r="AK25">
        <f t="shared" si="28"/>
        <v>0</v>
      </c>
      <c r="AL25">
        <f t="shared" si="29"/>
        <v>0</v>
      </c>
      <c r="AM25"/>
      <c r="AN25"/>
    </row>
    <row r="26" spans="2:40" x14ac:dyDescent="0.2">
      <c r="B26" s="280">
        <v>3.3113000000000001</v>
      </c>
      <c r="C26" s="270">
        <f t="shared" si="0"/>
        <v>1.0000036577389724</v>
      </c>
      <c r="D26" s="271">
        <f t="shared" si="1"/>
        <v>2.7047099005818856E-3</v>
      </c>
      <c r="E26" s="271">
        <f t="shared" si="2"/>
        <v>1.000000000014631</v>
      </c>
      <c r="F26" s="272">
        <f t="shared" si="3"/>
        <v>5.4094329919398146E-6</v>
      </c>
      <c r="G26" s="271">
        <f t="shared" si="4"/>
        <v>1.00000000056145</v>
      </c>
      <c r="H26" s="272">
        <f t="shared" si="5"/>
        <v>-3.3509701493537968E-5</v>
      </c>
      <c r="I26" s="270">
        <f t="shared" si="6"/>
        <v>11.695663415611939</v>
      </c>
      <c r="J26" s="273">
        <f t="shared" si="7"/>
        <v>1.4851900284689654</v>
      </c>
      <c r="K26" s="281">
        <f t="shared" si="8"/>
        <v>1.0000015271617564</v>
      </c>
      <c r="L26" s="282">
        <f t="shared" si="9"/>
        <v>1.7476611873362947E-3</v>
      </c>
      <c r="M26" s="270">
        <f t="shared" si="10"/>
        <v>1.0000000035694123</v>
      </c>
      <c r="N26" s="273">
        <f t="shared" si="11"/>
        <v>8.4491565251135261E-5</v>
      </c>
      <c r="O26" s="270">
        <f t="shared" si="12"/>
        <v>1.3557631230728715</v>
      </c>
      <c r="P26" s="273">
        <f t="shared" si="13"/>
        <v>0.7412990897780749</v>
      </c>
      <c r="Q26" s="271">
        <f t="shared" si="14"/>
        <v>1.0000000005132963</v>
      </c>
      <c r="R26" s="272">
        <f t="shared" si="15"/>
        <v>3.2040487710838022E-5</v>
      </c>
      <c r="S26" s="270">
        <f t="shared" si="16"/>
        <v>1.0000000000000269</v>
      </c>
      <c r="T26" s="273">
        <f t="shared" si="17"/>
        <v>2.3180556385805119E-7</v>
      </c>
      <c r="U26" s="274">
        <f t="shared" si="18"/>
        <v>1.0000000002453628</v>
      </c>
      <c r="V26" s="275">
        <f t="shared" si="19"/>
        <v>3.2318486635243547E-5</v>
      </c>
      <c r="W26" s="276">
        <f t="shared" si="20"/>
        <v>65.313746022156266</v>
      </c>
      <c r="X26" s="277">
        <f t="shared" si="21"/>
        <v>-85.158258008009824</v>
      </c>
      <c r="Y26" s="299">
        <f t="shared" si="30"/>
        <v>94.841741991990176</v>
      </c>
      <c r="AB26" s="278">
        <f t="shared" si="22"/>
        <v>54.202541012968581</v>
      </c>
      <c r="AC26" s="279">
        <f t="shared" si="23"/>
        <v>-84.999827806226449</v>
      </c>
      <c r="AF26" s="278">
        <f t="shared" si="24"/>
        <v>72.914737616169447</v>
      </c>
      <c r="AG26" s="279">
        <f t="shared" si="25"/>
        <v>-0.15843020178336592</v>
      </c>
      <c r="AI26">
        <f t="shared" si="26"/>
        <v>0</v>
      </c>
      <c r="AJ26">
        <f t="shared" si="27"/>
        <v>0</v>
      </c>
      <c r="AK26">
        <f t="shared" si="28"/>
        <v>0</v>
      </c>
      <c r="AL26">
        <f t="shared" si="29"/>
        <v>0</v>
      </c>
      <c r="AM26"/>
      <c r="AN26"/>
    </row>
    <row r="27" spans="2:40" x14ac:dyDescent="0.2">
      <c r="B27" s="280">
        <v>3.6307999999999998</v>
      </c>
      <c r="C27" s="270">
        <f t="shared" si="0"/>
        <v>1.0000043976447597</v>
      </c>
      <c r="D27" s="271">
        <f t="shared" si="1"/>
        <v>2.9656799030601446E-3</v>
      </c>
      <c r="E27" s="271">
        <f t="shared" si="2"/>
        <v>1.0000000000175906</v>
      </c>
      <c r="F27" s="272">
        <f t="shared" si="3"/>
        <v>5.931377195390428E-6</v>
      </c>
      <c r="G27" s="271">
        <f t="shared" si="4"/>
        <v>1.0000000006750231</v>
      </c>
      <c r="H27" s="272">
        <f t="shared" si="5"/>
        <v>-3.6742978338877652E-5</v>
      </c>
      <c r="I27" s="270">
        <f t="shared" si="6"/>
        <v>12.816262743040685</v>
      </c>
      <c r="J27" s="273">
        <f t="shared" si="7"/>
        <v>1.4926910723515736</v>
      </c>
      <c r="K27" s="281">
        <f t="shared" si="8"/>
        <v>1.0000018360840928</v>
      </c>
      <c r="L27" s="282">
        <f t="shared" si="9"/>
        <v>1.9162887482731272E-3</v>
      </c>
      <c r="M27" s="270">
        <f t="shared" si="10"/>
        <v>1.0000000042914525</v>
      </c>
      <c r="N27" s="273">
        <f t="shared" si="11"/>
        <v>9.2643969125767551E-5</v>
      </c>
      <c r="O27" s="270">
        <f t="shared" si="12"/>
        <v>1.4169078323653681</v>
      </c>
      <c r="P27" s="273">
        <f t="shared" si="13"/>
        <v>0.78729787402851348</v>
      </c>
      <c r="Q27" s="271">
        <f t="shared" si="14"/>
        <v>1.0000000006171288</v>
      </c>
      <c r="R27" s="272">
        <f t="shared" si="15"/>
        <v>3.5132003374039785E-5</v>
      </c>
      <c r="S27" s="270">
        <f t="shared" si="16"/>
        <v>1.0000000000000324</v>
      </c>
      <c r="T27" s="273">
        <f t="shared" si="17"/>
        <v>2.541719690924438E-7</v>
      </c>
      <c r="U27" s="274">
        <f t="shared" si="18"/>
        <v>1.000000000294996</v>
      </c>
      <c r="V27" s="275">
        <f t="shared" si="19"/>
        <v>3.54368258006071E-5</v>
      </c>
      <c r="W27" s="276">
        <f t="shared" si="20"/>
        <v>64.519011457552423</v>
      </c>
      <c r="X27" s="277">
        <f t="shared" si="21"/>
        <v>-85.594128110521353</v>
      </c>
      <c r="Y27" s="299">
        <f t="shared" si="30"/>
        <v>94.405871889478647</v>
      </c>
      <c r="AB27" s="278">
        <f t="shared" si="22"/>
        <v>53.407812874497779</v>
      </c>
      <c r="AC27" s="279">
        <f t="shared" si="23"/>
        <v>-85.420411413425967</v>
      </c>
      <c r="AF27" s="278">
        <f t="shared" si="24"/>
        <v>72.914731190036392</v>
      </c>
      <c r="AG27" s="279">
        <f t="shared" si="25"/>
        <v>-0.17371669709539078</v>
      </c>
      <c r="AI27">
        <f t="shared" si="26"/>
        <v>0</v>
      </c>
      <c r="AJ27">
        <f t="shared" si="27"/>
        <v>0</v>
      </c>
      <c r="AK27">
        <f t="shared" si="28"/>
        <v>0</v>
      </c>
      <c r="AL27">
        <f t="shared" si="29"/>
        <v>0</v>
      </c>
      <c r="AM27"/>
      <c r="AN27"/>
    </row>
    <row r="28" spans="2:40" x14ac:dyDescent="0.2">
      <c r="B28" s="280">
        <v>3.9811000000000001</v>
      </c>
      <c r="C28" s="270">
        <f t="shared" si="0"/>
        <v>1.0000052871480403</v>
      </c>
      <c r="D28" s="271">
        <f t="shared" si="1"/>
        <v>3.2518071115785994E-3</v>
      </c>
      <c r="E28" s="271">
        <f t="shared" si="2"/>
        <v>1.0000000000211486</v>
      </c>
      <c r="F28" s="272">
        <f t="shared" si="3"/>
        <v>6.5036371467755931E-6</v>
      </c>
      <c r="G28" s="271">
        <f t="shared" si="4"/>
        <v>1.0000000008115593</v>
      </c>
      <c r="H28" s="272">
        <f t="shared" si="5"/>
        <v>-4.0287945095183173E-5</v>
      </c>
      <c r="I28" s="270">
        <f t="shared" si="6"/>
        <v>14.045578647430622</v>
      </c>
      <c r="J28" s="273">
        <f t="shared" si="7"/>
        <v>1.4995392580515066</v>
      </c>
      <c r="K28" s="281">
        <f t="shared" si="8"/>
        <v>1.0000022074659183</v>
      </c>
      <c r="L28" s="282">
        <f t="shared" si="9"/>
        <v>2.101171986041859E-3</v>
      </c>
      <c r="M28" s="270">
        <f t="shared" si="10"/>
        <v>1.0000000051594788</v>
      </c>
      <c r="N28" s="273">
        <f t="shared" si="11"/>
        <v>1.0158226982294813E-4</v>
      </c>
      <c r="O28" s="270">
        <f t="shared" si="12"/>
        <v>1.4870908892593602</v>
      </c>
      <c r="P28" s="273">
        <f t="shared" si="13"/>
        <v>0.83327711547079164</v>
      </c>
      <c r="Q28" s="271">
        <f t="shared" si="14"/>
        <v>1.0000000007419545</v>
      </c>
      <c r="R28" s="272">
        <f t="shared" si="15"/>
        <v>3.8521543081621326E-5</v>
      </c>
      <c r="S28" s="270">
        <f t="shared" si="16"/>
        <v>1.0000000000000389</v>
      </c>
      <c r="T28" s="273">
        <f t="shared" si="17"/>
        <v>2.7869450979231124E-7</v>
      </c>
      <c r="U28" s="274">
        <f t="shared" si="18"/>
        <v>1.0000000003546643</v>
      </c>
      <c r="V28" s="275">
        <f t="shared" si="19"/>
        <v>3.8855774813361074E-5</v>
      </c>
      <c r="W28" s="276">
        <f t="shared" si="20"/>
        <v>63.7234422763349</v>
      </c>
      <c r="X28" s="277">
        <f t="shared" si="21"/>
        <v>-85.993179442482884</v>
      </c>
      <c r="Y28" s="299">
        <f t="shared" si="30"/>
        <v>94.006820557517116</v>
      </c>
      <c r="AB28" s="278">
        <f t="shared" si="22"/>
        <v>52.612251418671605</v>
      </c>
      <c r="AC28" s="279">
        <f t="shared" si="23"/>
        <v>-85.80270264903308</v>
      </c>
      <c r="AF28" s="278">
        <f t="shared" si="24"/>
        <v>72.91472346464505</v>
      </c>
      <c r="AG28" s="279">
        <f t="shared" si="25"/>
        <v>-0.19047679344981086</v>
      </c>
      <c r="AI28">
        <f t="shared" si="26"/>
        <v>0</v>
      </c>
      <c r="AJ28">
        <f t="shared" si="27"/>
        <v>0</v>
      </c>
      <c r="AK28">
        <f t="shared" si="28"/>
        <v>0</v>
      </c>
      <c r="AL28">
        <f t="shared" si="29"/>
        <v>0</v>
      </c>
      <c r="AM28"/>
      <c r="AN28"/>
    </row>
    <row r="29" spans="2:40" x14ac:dyDescent="0.2">
      <c r="B29" s="280">
        <v>4.3651999999999997</v>
      </c>
      <c r="C29" s="270">
        <f t="shared" si="0"/>
        <v>1.0000063565776771</v>
      </c>
      <c r="D29" s="271">
        <f t="shared" si="1"/>
        <v>3.5655417556181572E-3</v>
      </c>
      <c r="E29" s="271">
        <f t="shared" si="2"/>
        <v>1.0000000000254263</v>
      </c>
      <c r="F29" s="272">
        <f t="shared" si="3"/>
        <v>7.1311137306332052E-6</v>
      </c>
      <c r="G29" s="271">
        <f t="shared" si="4"/>
        <v>1.0000000009757135</v>
      </c>
      <c r="H29" s="272">
        <f t="shared" si="5"/>
        <v>-4.4174961169085825E-5</v>
      </c>
      <c r="I29" s="270">
        <f t="shared" si="6"/>
        <v>15.394140008519013</v>
      </c>
      <c r="J29" s="273">
        <f t="shared" si="7"/>
        <v>1.5057907705330555</v>
      </c>
      <c r="K29" s="281">
        <f t="shared" si="8"/>
        <v>1.0000026539701257</v>
      </c>
      <c r="L29" s="282">
        <f t="shared" si="9"/>
        <v>2.3038942059330587E-3</v>
      </c>
      <c r="M29" s="270">
        <f t="shared" si="10"/>
        <v>1.000000006203088</v>
      </c>
      <c r="N29" s="273">
        <f t="shared" si="11"/>
        <v>1.1138301572998004E-4</v>
      </c>
      <c r="O29" s="270">
        <f t="shared" si="12"/>
        <v>1.5673153829780087</v>
      </c>
      <c r="P29" s="273">
        <f t="shared" si="13"/>
        <v>0.8788544069322799</v>
      </c>
      <c r="Q29" s="271">
        <f t="shared" si="14"/>
        <v>1.00000000089203</v>
      </c>
      <c r="R29" s="272">
        <f t="shared" si="15"/>
        <v>4.223813514934805E-5</v>
      </c>
      <c r="S29" s="270">
        <f t="shared" si="16"/>
        <v>1.0000000000000466</v>
      </c>
      <c r="T29" s="273">
        <f t="shared" si="17"/>
        <v>3.0558319915234245E-7</v>
      </c>
      <c r="U29" s="274">
        <f t="shared" si="18"/>
        <v>1.0000000004264025</v>
      </c>
      <c r="V29" s="275">
        <f t="shared" si="19"/>
        <v>4.2604613853394494E-5</v>
      </c>
      <c r="W29" s="276">
        <f t="shared" si="20"/>
        <v>62.927120933137537</v>
      </c>
      <c r="X29" s="277">
        <f t="shared" si="21"/>
        <v>-86.35868835851376</v>
      </c>
      <c r="Y29" s="299">
        <f t="shared" si="30"/>
        <v>93.64131164148624</v>
      </c>
      <c r="AB29" s="278">
        <f t="shared" si="22"/>
        <v>51.815939363528102</v>
      </c>
      <c r="AC29" s="279">
        <f t="shared" si="23"/>
        <v>-86.149834343562446</v>
      </c>
      <c r="AF29" s="278">
        <f t="shared" si="24"/>
        <v>72.914714176591204</v>
      </c>
      <c r="AG29" s="279">
        <f t="shared" si="25"/>
        <v>-0.20885401495132036</v>
      </c>
      <c r="AI29">
        <f t="shared" si="26"/>
        <v>0</v>
      </c>
      <c r="AJ29">
        <f t="shared" si="27"/>
        <v>0</v>
      </c>
      <c r="AK29">
        <f t="shared" si="28"/>
        <v>0</v>
      </c>
      <c r="AL29">
        <f t="shared" si="29"/>
        <v>0</v>
      </c>
      <c r="AM29"/>
      <c r="AN29"/>
    </row>
    <row r="30" spans="2:40" x14ac:dyDescent="0.2">
      <c r="B30" s="280">
        <v>4.7862999999999998</v>
      </c>
      <c r="C30" s="270">
        <f t="shared" si="0"/>
        <v>1.0000076421334749</v>
      </c>
      <c r="D30" s="271">
        <f t="shared" si="1"/>
        <v>3.9094973607192813E-3</v>
      </c>
      <c r="E30" s="271">
        <f t="shared" si="2"/>
        <v>1.0000000000305687</v>
      </c>
      <c r="F30" s="272">
        <f t="shared" si="3"/>
        <v>7.8190345571366026E-6</v>
      </c>
      <c r="G30" s="271">
        <f t="shared" si="4"/>
        <v>1.0000000011730428</v>
      </c>
      <c r="H30" s="272">
        <f t="shared" si="5"/>
        <v>-4.8436409927559028E-5</v>
      </c>
      <c r="I30" s="270">
        <f t="shared" si="6"/>
        <v>16.873182545262651</v>
      </c>
      <c r="J30" s="273">
        <f t="shared" si="7"/>
        <v>1.5114959353447357</v>
      </c>
      <c r="K30" s="281">
        <f t="shared" si="8"/>
        <v>1.0000031907108766</v>
      </c>
      <c r="L30" s="282">
        <f t="shared" si="9"/>
        <v>2.5261442527399164E-3</v>
      </c>
      <c r="M30" s="270">
        <f t="shared" si="10"/>
        <v>1.000000007457607</v>
      </c>
      <c r="N30" s="273">
        <f t="shared" si="11"/>
        <v>1.2212785845838378E-4</v>
      </c>
      <c r="O30" s="270">
        <f t="shared" si="12"/>
        <v>1.6586250320722744</v>
      </c>
      <c r="P30" s="273">
        <f t="shared" si="13"/>
        <v>0.92365395736737721</v>
      </c>
      <c r="Q30" s="271">
        <f t="shared" si="14"/>
        <v>1.000000001072435</v>
      </c>
      <c r="R30" s="272">
        <f t="shared" si="15"/>
        <v>4.6312743113949017E-5</v>
      </c>
      <c r="S30" s="270">
        <f t="shared" si="16"/>
        <v>1.0000000000000562</v>
      </c>
      <c r="T30" s="273">
        <f t="shared" si="17"/>
        <v>3.3506205124687242E-7</v>
      </c>
      <c r="U30" s="274">
        <f t="shared" si="18"/>
        <v>1.0000000005126386</v>
      </c>
      <c r="V30" s="275">
        <f t="shared" si="19"/>
        <v>4.6714575112570631E-5</v>
      </c>
      <c r="W30" s="276">
        <f t="shared" si="20"/>
        <v>62.130282961021486</v>
      </c>
      <c r="X30" s="277">
        <f t="shared" si="21"/>
        <v>-86.693599304125584</v>
      </c>
      <c r="Y30" s="299">
        <f t="shared" si="30"/>
        <v>93.306400695874416</v>
      </c>
      <c r="AB30" s="278">
        <f t="shared" si="22"/>
        <v>51.019112556520064</v>
      </c>
      <c r="AC30" s="279">
        <f t="shared" si="23"/>
        <v>-86.464597853159518</v>
      </c>
      <c r="AF30" s="278">
        <f t="shared" si="24"/>
        <v>72.914703011483184</v>
      </c>
      <c r="AG30" s="279">
        <f t="shared" si="25"/>
        <v>-0.22900145096607025</v>
      </c>
      <c r="AI30">
        <f t="shared" si="26"/>
        <v>0</v>
      </c>
      <c r="AJ30">
        <f t="shared" si="27"/>
        <v>0</v>
      </c>
      <c r="AK30">
        <f t="shared" si="28"/>
        <v>0</v>
      </c>
      <c r="AL30">
        <f t="shared" si="29"/>
        <v>0</v>
      </c>
      <c r="AM30"/>
      <c r="AN30"/>
    </row>
    <row r="31" spans="2:40" x14ac:dyDescent="0.2">
      <c r="B31" s="280">
        <v>5.2481</v>
      </c>
      <c r="C31" s="270">
        <f t="shared" si="0"/>
        <v>1.0000091879506523</v>
      </c>
      <c r="D31" s="271">
        <f t="shared" si="1"/>
        <v>4.2866957680877836E-3</v>
      </c>
      <c r="E31" s="271">
        <f t="shared" si="2"/>
        <v>1.0000000000367519</v>
      </c>
      <c r="F31" s="272">
        <f t="shared" si="3"/>
        <v>8.5734440505483262E-6</v>
      </c>
      <c r="G31" s="271">
        <f t="shared" si="4"/>
        <v>1.0000000014103219</v>
      </c>
      <c r="H31" s="272">
        <f t="shared" si="5"/>
        <v>-5.3109734638575053E-5</v>
      </c>
      <c r="I31" s="270">
        <f t="shared" si="6"/>
        <v>18.495702467563849</v>
      </c>
      <c r="J31" s="273">
        <f t="shared" si="7"/>
        <v>1.5167033371644956</v>
      </c>
      <c r="K31" s="281">
        <f t="shared" si="8"/>
        <v>1.000003836115579</v>
      </c>
      <c r="L31" s="282">
        <f t="shared" si="9"/>
        <v>2.7698748403853935E-3</v>
      </c>
      <c r="M31" s="270">
        <f t="shared" si="10"/>
        <v>1.0000000089661059</v>
      </c>
      <c r="N31" s="273">
        <f t="shared" si="11"/>
        <v>1.3391120768252584E-4</v>
      </c>
      <c r="O31" s="270">
        <f t="shared" si="12"/>
        <v>1.7621664771787455</v>
      </c>
      <c r="P31" s="273">
        <f t="shared" si="13"/>
        <v>0.96735026458863183</v>
      </c>
      <c r="Q31" s="271">
        <f t="shared" si="14"/>
        <v>1.0000000012893635</v>
      </c>
      <c r="R31" s="272">
        <f t="shared" si="15"/>
        <v>5.0781168564687891E-5</v>
      </c>
      <c r="S31" s="270">
        <f t="shared" si="16"/>
        <v>1.0000000000000675</v>
      </c>
      <c r="T31" s="273">
        <f t="shared" si="17"/>
        <v>3.6739008234935084E-7</v>
      </c>
      <c r="U31" s="274">
        <f t="shared" si="18"/>
        <v>1.0000000006163334</v>
      </c>
      <c r="V31" s="275">
        <f t="shared" si="19"/>
        <v>5.1221770812714699E-5</v>
      </c>
      <c r="W31" s="276">
        <f t="shared" si="20"/>
        <v>61.332798619088187</v>
      </c>
      <c r="X31" s="277">
        <f t="shared" si="21"/>
        <v>-87.000766510169882</v>
      </c>
      <c r="Y31" s="299">
        <f t="shared" si="30"/>
        <v>92.999233489830118</v>
      </c>
      <c r="AB31" s="278">
        <f t="shared" si="22"/>
        <v>50.221641640057172</v>
      </c>
      <c r="AC31" s="279">
        <f t="shared" si="23"/>
        <v>-86.749670401829249</v>
      </c>
      <c r="AF31" s="278">
        <f t="shared" si="24"/>
        <v>72.91468958601277</v>
      </c>
      <c r="AG31" s="279">
        <f t="shared" si="25"/>
        <v>-0.25109610834063784</v>
      </c>
      <c r="AI31">
        <f t="shared" si="26"/>
        <v>0</v>
      </c>
      <c r="AJ31">
        <f t="shared" si="27"/>
        <v>0</v>
      </c>
      <c r="AK31">
        <f t="shared" si="28"/>
        <v>0</v>
      </c>
      <c r="AL31">
        <f t="shared" si="29"/>
        <v>0</v>
      </c>
      <c r="AM31"/>
      <c r="AN31"/>
    </row>
    <row r="32" spans="2:40" x14ac:dyDescent="0.2">
      <c r="B32" s="280">
        <v>5.7544000000000004</v>
      </c>
      <c r="C32" s="270">
        <f t="shared" si="0"/>
        <v>1.0000110462315241</v>
      </c>
      <c r="D32" s="271">
        <f t="shared" si="1"/>
        <v>4.7002403858295121E-3</v>
      </c>
      <c r="E32" s="271">
        <f t="shared" si="2"/>
        <v>1.0000000000441851</v>
      </c>
      <c r="F32" s="272">
        <f t="shared" si="3"/>
        <v>9.4005499979479841E-6</v>
      </c>
      <c r="G32" s="271">
        <f t="shared" si="4"/>
        <v>1.0000000016955639</v>
      </c>
      <c r="H32" s="272">
        <f t="shared" si="5"/>
        <v>-5.8233390550122945E-5</v>
      </c>
      <c r="I32" s="270">
        <f t="shared" si="6"/>
        <v>20.27505142434018</v>
      </c>
      <c r="J32" s="273">
        <f t="shared" si="7"/>
        <v>1.5214546081536906</v>
      </c>
      <c r="K32" s="281">
        <f t="shared" si="8"/>
        <v>1.0000046119799042</v>
      </c>
      <c r="L32" s="282">
        <f t="shared" si="9"/>
        <v>3.0370914306556132E-3</v>
      </c>
      <c r="M32" s="270">
        <f t="shared" si="10"/>
        <v>1.0000000107795282</v>
      </c>
      <c r="N32" s="273">
        <f t="shared" si="11"/>
        <v>1.4683002468640784E-4</v>
      </c>
      <c r="O32" s="270">
        <f t="shared" si="12"/>
        <v>1.879100860300547</v>
      </c>
      <c r="P32" s="273">
        <f t="shared" si="13"/>
        <v>1.0096354340898734</v>
      </c>
      <c r="Q32" s="271">
        <f t="shared" si="14"/>
        <v>1.0000000015501411</v>
      </c>
      <c r="R32" s="272">
        <f t="shared" si="15"/>
        <v>5.5680180701175264E-5</v>
      </c>
      <c r="S32" s="270">
        <f t="shared" si="16"/>
        <v>1.0000000000000813</v>
      </c>
      <c r="T32" s="273">
        <f t="shared" si="17"/>
        <v>4.0283330917305031E-7</v>
      </c>
      <c r="U32" s="274">
        <f t="shared" si="18"/>
        <v>1.0000000007409886</v>
      </c>
      <c r="V32" s="275">
        <f t="shared" si="19"/>
        <v>5.6163289181610736E-5</v>
      </c>
      <c r="W32" s="276">
        <f t="shared" si="20"/>
        <v>60.534966524905052</v>
      </c>
      <c r="X32" s="277">
        <f t="shared" si="21"/>
        <v>-87.282647759589267</v>
      </c>
      <c r="Y32" s="299">
        <f t="shared" si="30"/>
        <v>92.717352240410733</v>
      </c>
      <c r="AB32" s="278">
        <f t="shared" si="22"/>
        <v>49.423825685073908</v>
      </c>
      <c r="AC32" s="279">
        <f t="shared" si="23"/>
        <v>-87.007327987685343</v>
      </c>
      <c r="AF32" s="278">
        <f t="shared" si="24"/>
        <v>72.914673446812898</v>
      </c>
      <c r="AG32" s="279">
        <f t="shared" si="25"/>
        <v>-0.2753197719039267</v>
      </c>
      <c r="AI32">
        <f t="shared" si="26"/>
        <v>0</v>
      </c>
      <c r="AJ32">
        <f t="shared" si="27"/>
        <v>0</v>
      </c>
      <c r="AK32">
        <f t="shared" si="28"/>
        <v>0</v>
      </c>
      <c r="AL32">
        <f t="shared" si="29"/>
        <v>0</v>
      </c>
      <c r="AM32"/>
      <c r="AN32"/>
    </row>
    <row r="33" spans="2:40" x14ac:dyDescent="0.2">
      <c r="B33" s="280">
        <v>6.3095999999999997</v>
      </c>
      <c r="C33" s="270">
        <f t="shared" si="0"/>
        <v>1.0000132805853568</v>
      </c>
      <c r="D33" s="271">
        <f t="shared" si="1"/>
        <v>5.153724552211093E-3</v>
      </c>
      <c r="E33" s="271">
        <f t="shared" si="2"/>
        <v>1.0000000000531228</v>
      </c>
      <c r="F33" s="272">
        <f t="shared" si="3"/>
        <v>1.0307540363321839E-5</v>
      </c>
      <c r="G33" s="271">
        <f t="shared" si="4"/>
        <v>1.0000000020385329</v>
      </c>
      <c r="H33" s="272">
        <f t="shared" si="5"/>
        <v>-6.3851904791297856E-5</v>
      </c>
      <c r="I33" s="270">
        <f t="shared" si="6"/>
        <v>22.226693165735092</v>
      </c>
      <c r="J33" s="273">
        <f t="shared" si="7"/>
        <v>1.5257901864551155</v>
      </c>
      <c r="K33" s="281">
        <f t="shared" si="8"/>
        <v>1.0000055448622913</v>
      </c>
      <c r="L33" s="282">
        <f t="shared" si="9"/>
        <v>3.3301161151699068E-3</v>
      </c>
      <c r="M33" s="270">
        <f t="shared" si="10"/>
        <v>1.0000000129599496</v>
      </c>
      <c r="N33" s="273">
        <f t="shared" si="11"/>
        <v>1.6099658042796367E-4</v>
      </c>
      <c r="O33" s="270">
        <f t="shared" si="12"/>
        <v>2.0107163729395712</v>
      </c>
      <c r="P33" s="273">
        <f t="shared" si="13"/>
        <v>1.050271890534366</v>
      </c>
      <c r="Q33" s="271">
        <f t="shared" si="14"/>
        <v>1.000000001863695</v>
      </c>
      <c r="R33" s="272">
        <f t="shared" si="15"/>
        <v>6.1052354385982376E-5</v>
      </c>
      <c r="S33" s="270">
        <f t="shared" si="16"/>
        <v>1.0000000000000977</v>
      </c>
      <c r="T33" s="273">
        <f t="shared" si="17"/>
        <v>4.4169975107018106E-7</v>
      </c>
      <c r="U33" s="274">
        <f t="shared" si="18"/>
        <v>1.0000000008908718</v>
      </c>
      <c r="V33" s="275">
        <f t="shared" si="19"/>
        <v>6.1582074482980081E-5</v>
      </c>
      <c r="W33" s="276">
        <f t="shared" si="20"/>
        <v>59.736697407295615</v>
      </c>
      <c r="X33" s="277">
        <f t="shared" si="21"/>
        <v>-87.541643856918498</v>
      </c>
      <c r="Y33" s="299">
        <f t="shared" si="30"/>
        <v>92.458356143081502</v>
      </c>
      <c r="AB33" s="278">
        <f t="shared" si="22"/>
        <v>48.625575972824464</v>
      </c>
      <c r="AC33" s="279">
        <f t="shared" si="23"/>
        <v>-87.239760932243883</v>
      </c>
      <c r="AF33" s="278">
        <f t="shared" si="24"/>
        <v>72.914654041452906</v>
      </c>
      <c r="AG33" s="279">
        <f t="shared" si="25"/>
        <v>-0.30188292467461414</v>
      </c>
      <c r="AI33">
        <f t="shared" si="26"/>
        <v>0</v>
      </c>
      <c r="AJ33">
        <f t="shared" si="27"/>
        <v>0</v>
      </c>
      <c r="AK33">
        <f t="shared" si="28"/>
        <v>0</v>
      </c>
      <c r="AL33">
        <f t="shared" si="29"/>
        <v>0</v>
      </c>
      <c r="AM33"/>
      <c r="AN33"/>
    </row>
    <row r="34" spans="2:40" x14ac:dyDescent="0.2">
      <c r="B34" s="280">
        <v>6.9183000000000003</v>
      </c>
      <c r="C34" s="270">
        <f t="shared" si="0"/>
        <v>1.0000159665747888</v>
      </c>
      <c r="D34" s="271">
        <f t="shared" si="1"/>
        <v>5.6509047680221467E-3</v>
      </c>
      <c r="E34" s="271">
        <f t="shared" si="2"/>
        <v>1.0000000000638667</v>
      </c>
      <c r="F34" s="272">
        <f t="shared" si="3"/>
        <v>1.1301929836290525E-5</v>
      </c>
      <c r="G34" s="271">
        <f t="shared" si="4"/>
        <v>1.000000002450828</v>
      </c>
      <c r="H34" s="272">
        <f t="shared" si="5"/>
        <v>-7.0011828451283138E-5</v>
      </c>
      <c r="I34" s="270">
        <f t="shared" si="6"/>
        <v>24.366797875335148</v>
      </c>
      <c r="J34" s="273">
        <f t="shared" si="7"/>
        <v>1.5297453473364693</v>
      </c>
      <c r="K34" s="281">
        <f t="shared" si="8"/>
        <v>1.0000066663121652</v>
      </c>
      <c r="L34" s="282">
        <f t="shared" si="9"/>
        <v>3.6513764890220859E-3</v>
      </c>
      <c r="M34" s="270">
        <f t="shared" si="10"/>
        <v>1.0000000155811115</v>
      </c>
      <c r="N34" s="273">
        <f t="shared" si="11"/>
        <v>1.765282490852735E-4</v>
      </c>
      <c r="O34" s="270">
        <f t="shared" si="12"/>
        <v>2.1583387050388576</v>
      </c>
      <c r="P34" s="273">
        <f t="shared" si="13"/>
        <v>1.0890591892549359</v>
      </c>
      <c r="Q34" s="271">
        <f t="shared" si="14"/>
        <v>1.000000002240629</v>
      </c>
      <c r="R34" s="272">
        <f t="shared" si="15"/>
        <v>6.6942199702422131E-5</v>
      </c>
      <c r="S34" s="270">
        <f t="shared" si="16"/>
        <v>1.0000000000001172</v>
      </c>
      <c r="T34" s="273">
        <f t="shared" si="17"/>
        <v>4.8431142827259947E-7</v>
      </c>
      <c r="U34" s="274">
        <f t="shared" si="18"/>
        <v>1.0000000010710512</v>
      </c>
      <c r="V34" s="275">
        <f t="shared" si="19"/>
        <v>6.7523022992471761E-5</v>
      </c>
      <c r="W34" s="276">
        <f t="shared" si="20"/>
        <v>58.93821166563481</v>
      </c>
      <c r="X34" s="277">
        <f t="shared" si="21"/>
        <v>-87.77986360083878</v>
      </c>
      <c r="Y34" s="299">
        <f t="shared" si="30"/>
        <v>92.22013639916122</v>
      </c>
      <c r="AB34" s="278">
        <f t="shared" si="22"/>
        <v>47.827113558920821</v>
      </c>
      <c r="AC34" s="279">
        <f t="shared" si="23"/>
        <v>-87.448857993557041</v>
      </c>
      <c r="AF34" s="278">
        <f t="shared" si="24"/>
        <v>72.914630713695757</v>
      </c>
      <c r="AG34" s="279">
        <f t="shared" si="25"/>
        <v>-0.331005607281736</v>
      </c>
      <c r="AI34">
        <f t="shared" si="26"/>
        <v>0</v>
      </c>
      <c r="AJ34">
        <f t="shared" si="27"/>
        <v>0</v>
      </c>
      <c r="AK34">
        <f t="shared" si="28"/>
        <v>0</v>
      </c>
      <c r="AL34">
        <f t="shared" si="29"/>
        <v>0</v>
      </c>
      <c r="AM34"/>
      <c r="AN34"/>
    </row>
    <row r="35" spans="2:40" x14ac:dyDescent="0.2">
      <c r="B35" s="280">
        <v>7.5857999999999999</v>
      </c>
      <c r="C35" s="270">
        <f t="shared" si="0"/>
        <v>1.0000191961906226</v>
      </c>
      <c r="D35" s="271">
        <f t="shared" si="1"/>
        <v>6.1961090290070875E-3</v>
      </c>
      <c r="E35" s="271">
        <f t="shared" si="2"/>
        <v>1.0000000000767855</v>
      </c>
      <c r="F35" s="272">
        <f t="shared" si="3"/>
        <v>1.2392376646198384E-5</v>
      </c>
      <c r="G35" s="271">
        <f t="shared" si="4"/>
        <v>1.0000000029465705</v>
      </c>
      <c r="H35" s="272">
        <f t="shared" si="5"/>
        <v>-7.6766796480380893E-5</v>
      </c>
      <c r="I35" s="270">
        <f t="shared" si="6"/>
        <v>26.713999807982287</v>
      </c>
      <c r="J35" s="273">
        <f t="shared" si="7"/>
        <v>1.5333540231428135</v>
      </c>
      <c r="K35" s="281">
        <f t="shared" si="8"/>
        <v>1.0000080147383601</v>
      </c>
      <c r="L35" s="282">
        <f t="shared" si="9"/>
        <v>4.0036695244322802E-3</v>
      </c>
      <c r="M35" s="270">
        <f t="shared" si="10"/>
        <v>1.0000000187327887</v>
      </c>
      <c r="N35" s="273">
        <f t="shared" si="11"/>
        <v>1.9356026611992016E-4</v>
      </c>
      <c r="O35" s="270">
        <f t="shared" si="12"/>
        <v>2.3234534408536569</v>
      </c>
      <c r="P35" s="273">
        <f t="shared" si="13"/>
        <v>1.125867298788235</v>
      </c>
      <c r="Q35" s="271">
        <f t="shared" si="14"/>
        <v>1.0000000026938534</v>
      </c>
      <c r="R35" s="272">
        <f t="shared" si="15"/>
        <v>7.3401000007111442E-5</v>
      </c>
      <c r="S35" s="270">
        <f t="shared" si="16"/>
        <v>1.000000000000141</v>
      </c>
      <c r="T35" s="273">
        <f t="shared" si="17"/>
        <v>5.3103936409092226E-7</v>
      </c>
      <c r="U35" s="274">
        <f t="shared" si="18"/>
        <v>1.0000000012876988</v>
      </c>
      <c r="V35" s="275">
        <f t="shared" si="19"/>
        <v>7.4037863027630123E-5</v>
      </c>
      <c r="W35" s="276">
        <f t="shared" si="20"/>
        <v>58.139386147173376</v>
      </c>
      <c r="X35" s="277">
        <f t="shared" si="21"/>
        <v>-87.999352181909117</v>
      </c>
      <c r="Y35" s="299">
        <f t="shared" si="30"/>
        <v>92.000647818090883</v>
      </c>
      <c r="AB35" s="278">
        <f t="shared" si="22"/>
        <v>47.028316089516515</v>
      </c>
      <c r="AC35" s="279">
        <f t="shared" si="23"/>
        <v>-87.636410845503349</v>
      </c>
      <c r="AF35" s="278">
        <f t="shared" si="24"/>
        <v>72.914602664638636</v>
      </c>
      <c r="AG35" s="279">
        <f t="shared" si="25"/>
        <v>-0.36294133640576154</v>
      </c>
      <c r="AI35">
        <f t="shared" si="26"/>
        <v>0</v>
      </c>
      <c r="AJ35">
        <f t="shared" si="27"/>
        <v>0</v>
      </c>
      <c r="AK35">
        <f t="shared" si="28"/>
        <v>0</v>
      </c>
      <c r="AL35">
        <f t="shared" si="29"/>
        <v>0</v>
      </c>
      <c r="AM35"/>
      <c r="AN35"/>
    </row>
    <row r="36" spans="2:40" x14ac:dyDescent="0.2">
      <c r="B36" s="280">
        <v>8.3176000000000005</v>
      </c>
      <c r="C36" s="270">
        <f t="shared" si="0"/>
        <v>1.0000230784956428</v>
      </c>
      <c r="D36" s="271">
        <f t="shared" si="1"/>
        <v>6.7938283469514095E-3</v>
      </c>
      <c r="E36" s="271">
        <f t="shared" si="2"/>
        <v>1.000000000092315</v>
      </c>
      <c r="F36" s="272">
        <f t="shared" si="3"/>
        <v>1.3587865748022956E-5</v>
      </c>
      <c r="G36" s="271">
        <f t="shared" si="4"/>
        <v>1.0000000035425021</v>
      </c>
      <c r="H36" s="272">
        <f t="shared" si="5"/>
        <v>-8.41724677887028E-5</v>
      </c>
      <c r="I36" s="270">
        <f t="shared" si="6"/>
        <v>29.287639335177289</v>
      </c>
      <c r="J36" s="273">
        <f t="shared" si="7"/>
        <v>1.5366455919477946</v>
      </c>
      <c r="K36" s="281">
        <f t="shared" si="8"/>
        <v>1.0000096356780932</v>
      </c>
      <c r="L36" s="282">
        <f t="shared" si="9"/>
        <v>4.3898976575723397E-3</v>
      </c>
      <c r="M36" s="270">
        <f t="shared" si="10"/>
        <v>1.0000000225214172</v>
      </c>
      <c r="N36" s="273">
        <f t="shared" si="11"/>
        <v>2.1223297020916653E-4</v>
      </c>
      <c r="O36" s="270">
        <f t="shared" si="12"/>
        <v>2.5075887384449418</v>
      </c>
      <c r="P36" s="273">
        <f t="shared" si="13"/>
        <v>1.1605998901962178</v>
      </c>
      <c r="Q36" s="271">
        <f t="shared" si="14"/>
        <v>1.000000003238674</v>
      </c>
      <c r="R36" s="272">
        <f t="shared" si="15"/>
        <v>8.0481973877165357E-5</v>
      </c>
      <c r="S36" s="270">
        <f t="shared" si="16"/>
        <v>1.0000000000001696</v>
      </c>
      <c r="T36" s="273">
        <f t="shared" si="17"/>
        <v>5.8226858271541184E-7</v>
      </c>
      <c r="U36" s="274">
        <f t="shared" si="18"/>
        <v>1.0000000015481305</v>
      </c>
      <c r="V36" s="275">
        <f t="shared" si="19"/>
        <v>8.1180274917876013E-5</v>
      </c>
      <c r="W36" s="276">
        <f t="shared" si="20"/>
        <v>57.340457491142089</v>
      </c>
      <c r="X36" s="277">
        <f t="shared" si="21"/>
        <v>-88.201897649128654</v>
      </c>
      <c r="Y36" s="299">
        <f t="shared" si="30"/>
        <v>91.798102350871346</v>
      </c>
      <c r="AB36" s="278">
        <f t="shared" si="22"/>
        <v>46.229421150996401</v>
      </c>
      <c r="AC36" s="279">
        <f t="shared" si="23"/>
        <v>-87.803944471183968</v>
      </c>
      <c r="AF36" s="278">
        <f t="shared" si="24"/>
        <v>72.914568947127449</v>
      </c>
      <c r="AG36" s="279">
        <f t="shared" si="25"/>
        <v>-0.39795317794470397</v>
      </c>
      <c r="AI36">
        <f t="shared" si="26"/>
        <v>0</v>
      </c>
      <c r="AJ36">
        <f t="shared" si="27"/>
        <v>0</v>
      </c>
      <c r="AK36">
        <f t="shared" si="28"/>
        <v>0</v>
      </c>
      <c r="AL36">
        <f t="shared" si="29"/>
        <v>0</v>
      </c>
      <c r="AM36"/>
      <c r="AN36"/>
    </row>
    <row r="37" spans="2:40" x14ac:dyDescent="0.2">
      <c r="B37" s="280">
        <v>9.1201000000000008</v>
      </c>
      <c r="C37" s="270">
        <f t="shared" si="0"/>
        <v>1.0000277465902809</v>
      </c>
      <c r="D37" s="271">
        <f t="shared" si="1"/>
        <v>7.4492883868267174E-3</v>
      </c>
      <c r="E37" s="271">
        <f t="shared" si="2"/>
        <v>1.0000000001109879</v>
      </c>
      <c r="F37" s="272">
        <f t="shared" si="3"/>
        <v>1.4898852362099827E-5</v>
      </c>
      <c r="G37" s="271">
        <f t="shared" si="4"/>
        <v>1.0000000042590551</v>
      </c>
      <c r="H37" s="272">
        <f t="shared" si="5"/>
        <v>-9.2293609107559277E-5</v>
      </c>
      <c r="I37" s="270">
        <f t="shared" si="6"/>
        <v>32.1102244761679</v>
      </c>
      <c r="J37" s="273">
        <f t="shared" si="7"/>
        <v>1.5396485621240608</v>
      </c>
      <c r="K37" s="281">
        <f t="shared" si="8"/>
        <v>1.0000115847055089</v>
      </c>
      <c r="L37" s="282">
        <f t="shared" si="9"/>
        <v>4.8134382040523546E-3</v>
      </c>
      <c r="M37" s="270">
        <f t="shared" si="10"/>
        <v>1.0000000270768945</v>
      </c>
      <c r="N37" s="273">
        <f t="shared" si="11"/>
        <v>2.3270966453379276E-4</v>
      </c>
      <c r="O37" s="270">
        <f t="shared" si="12"/>
        <v>2.7124936529707622</v>
      </c>
      <c r="P37" s="273">
        <f t="shared" si="13"/>
        <v>1.1932244596064778</v>
      </c>
      <c r="Q37" s="271">
        <f t="shared" si="14"/>
        <v>1.0000000038937706</v>
      </c>
      <c r="R37" s="272">
        <f t="shared" si="15"/>
        <v>8.8247048383737308E-5</v>
      </c>
      <c r="S37" s="270">
        <f t="shared" si="16"/>
        <v>1.0000000000002038</v>
      </c>
      <c r="T37" s="273">
        <f t="shared" si="17"/>
        <v>6.3844711229473719E-7</v>
      </c>
      <c r="U37" s="274">
        <f t="shared" si="18"/>
        <v>1.0000000018612758</v>
      </c>
      <c r="V37" s="275">
        <f t="shared" si="19"/>
        <v>8.9012723046451685E-5</v>
      </c>
      <c r="W37" s="276">
        <f t="shared" si="20"/>
        <v>56.541254360801545</v>
      </c>
      <c r="X37" s="277">
        <f t="shared" si="21"/>
        <v>-88.389255361897341</v>
      </c>
      <c r="Y37" s="299">
        <f t="shared" si="30"/>
        <v>91.610744638102659</v>
      </c>
      <c r="AB37" s="278">
        <f t="shared" si="22"/>
        <v>45.430258562514197</v>
      </c>
      <c r="AC37" s="279">
        <f t="shared" si="23"/>
        <v>-87.952908130684875</v>
      </c>
      <c r="AF37" s="278">
        <f t="shared" si="24"/>
        <v>72.91452840526911</v>
      </c>
      <c r="AG37" s="279">
        <f t="shared" si="25"/>
        <v>-0.43634723121247337</v>
      </c>
      <c r="AI37">
        <f t="shared" si="26"/>
        <v>0</v>
      </c>
      <c r="AJ37">
        <f t="shared" si="27"/>
        <v>0</v>
      </c>
      <c r="AK37">
        <f t="shared" si="28"/>
        <v>0</v>
      </c>
      <c r="AL37">
        <f t="shared" si="29"/>
        <v>0</v>
      </c>
      <c r="AM37"/>
      <c r="AN37"/>
    </row>
    <row r="38" spans="2:40" x14ac:dyDescent="0.2">
      <c r="B38" s="280">
        <v>10</v>
      </c>
      <c r="C38" s="270">
        <f t="shared" si="0"/>
        <v>1.000033358706474</v>
      </c>
      <c r="D38" s="271">
        <f t="shared" si="1"/>
        <v>8.1679592511653392E-3</v>
      </c>
      <c r="E38" s="271">
        <f t="shared" si="2"/>
        <v>1.000000000133437</v>
      </c>
      <c r="F38" s="272">
        <f t="shared" si="3"/>
        <v>1.6336281797213677E-5</v>
      </c>
      <c r="G38" s="271">
        <f t="shared" si="4"/>
        <v>1.00000000512052</v>
      </c>
      <c r="H38" s="272">
        <f t="shared" si="5"/>
        <v>-1.0119802310781037E-4</v>
      </c>
      <c r="I38" s="270">
        <f t="shared" si="6"/>
        <v>35.205320860367713</v>
      </c>
      <c r="J38" s="273">
        <f t="shared" si="7"/>
        <v>1.5423877085380775</v>
      </c>
      <c r="K38" s="281">
        <f t="shared" si="8"/>
        <v>1.0000139278887379</v>
      </c>
      <c r="L38" s="282">
        <f t="shared" si="9"/>
        <v>5.2778266520653464E-3</v>
      </c>
      <c r="M38" s="270">
        <f t="shared" si="10"/>
        <v>1.0000000325536473</v>
      </c>
      <c r="N38" s="273">
        <f t="shared" si="11"/>
        <v>2.5516130709546012E-4</v>
      </c>
      <c r="O38" s="270">
        <f t="shared" si="12"/>
        <v>2.9399926307869677</v>
      </c>
      <c r="P38" s="273">
        <f t="shared" si="13"/>
        <v>1.2237338455933422</v>
      </c>
      <c r="Q38" s="271">
        <f t="shared" si="14"/>
        <v>1.0000000046813506</v>
      </c>
      <c r="R38" s="272">
        <f t="shared" si="15"/>
        <v>9.6761053428584003E-5</v>
      </c>
      <c r="S38" s="270">
        <f t="shared" si="16"/>
        <v>1.0000000000002451</v>
      </c>
      <c r="T38" s="273">
        <f t="shared" si="17"/>
        <v>7.0004398229703577E-7</v>
      </c>
      <c r="U38" s="274">
        <f t="shared" si="18"/>
        <v>1.0000000022377498</v>
      </c>
      <c r="V38" s="275">
        <f t="shared" si="19"/>
        <v>9.7600599814383804E-5</v>
      </c>
      <c r="W38" s="276">
        <f t="shared" si="20"/>
        <v>55.741926621724033</v>
      </c>
      <c r="X38" s="277">
        <f t="shared" si="21"/>
        <v>-88.562972460305716</v>
      </c>
      <c r="Y38" s="299">
        <f t="shared" si="30"/>
        <v>91.437027539694284</v>
      </c>
      <c r="AB38" s="278">
        <f t="shared" si="22"/>
        <v>44.630979563761727</v>
      </c>
      <c r="AC38" s="279">
        <f t="shared" si="23"/>
        <v>-88.084528545912562</v>
      </c>
      <c r="AF38" s="278">
        <f t="shared" si="24"/>
        <v>72.914479664944068</v>
      </c>
      <c r="AG38" s="279">
        <f t="shared" si="25"/>
        <v>-0.47844391439314793</v>
      </c>
      <c r="AI38">
        <f t="shared" si="26"/>
        <v>0</v>
      </c>
      <c r="AJ38">
        <f t="shared" si="27"/>
        <v>0</v>
      </c>
      <c r="AK38">
        <f t="shared" si="28"/>
        <v>0</v>
      </c>
      <c r="AL38">
        <f t="shared" si="29"/>
        <v>0</v>
      </c>
      <c r="AM38"/>
      <c r="AN38"/>
    </row>
    <row r="39" spans="2:40" x14ac:dyDescent="0.2">
      <c r="B39" s="280">
        <v>10.965</v>
      </c>
      <c r="C39" s="270">
        <f t="shared" si="0"/>
        <v>1.0000401074461029</v>
      </c>
      <c r="D39" s="271">
        <f t="shared" si="1"/>
        <v>8.9561270248513253E-3</v>
      </c>
      <c r="E39" s="271">
        <f t="shared" si="2"/>
        <v>1.000000000160433</v>
      </c>
      <c r="F39" s="272">
        <f t="shared" si="3"/>
        <v>1.7912732990322417E-5</v>
      </c>
      <c r="G39" s="271">
        <f t="shared" si="4"/>
        <v>1.0000000061564638</v>
      </c>
      <c r="H39" s="272">
        <f t="shared" si="5"/>
        <v>-1.1096363226107935E-4</v>
      </c>
      <c r="I39" s="270">
        <f t="shared" si="6"/>
        <v>38.600013788282702</v>
      </c>
      <c r="J39" s="273">
        <f t="shared" si="7"/>
        <v>1.5448867015022907</v>
      </c>
      <c r="K39" s="281">
        <f t="shared" si="8"/>
        <v>1.0000167456476536</v>
      </c>
      <c r="L39" s="282">
        <f t="shared" si="9"/>
        <v>5.7871260529510195E-3</v>
      </c>
      <c r="M39" s="270">
        <f t="shared" si="10"/>
        <v>1.0000000391396486</v>
      </c>
      <c r="N39" s="273">
        <f t="shared" si="11"/>
        <v>2.7978437200173187E-4</v>
      </c>
      <c r="O39" s="270">
        <f t="shared" si="12"/>
        <v>3.1921688264886763</v>
      </c>
      <c r="P39" s="273">
        <f t="shared" si="13"/>
        <v>1.2521654571259937</v>
      </c>
      <c r="Q39" s="271">
        <f t="shared" si="14"/>
        <v>1.0000000056284453</v>
      </c>
      <c r="R39" s="272">
        <f t="shared" si="15"/>
        <v>1.0609849501745216E-4</v>
      </c>
      <c r="S39" s="270">
        <f t="shared" si="16"/>
        <v>1.0000000000002947</v>
      </c>
      <c r="T39" s="273">
        <f t="shared" si="17"/>
        <v>7.6759822658867433E-7</v>
      </c>
      <c r="U39" s="274">
        <f t="shared" si="18"/>
        <v>1.0000000026904738</v>
      </c>
      <c r="V39" s="275">
        <f t="shared" si="19"/>
        <v>1.0701905768239628E-4</v>
      </c>
      <c r="W39" s="276">
        <f t="shared" si="20"/>
        <v>54.942309367832024</v>
      </c>
      <c r="X39" s="277">
        <f t="shared" si="21"/>
        <v>-88.724551830761214</v>
      </c>
      <c r="Y39" s="299">
        <f t="shared" si="30"/>
        <v>91.275448169238786</v>
      </c>
      <c r="AB39" s="278">
        <f t="shared" si="22"/>
        <v>43.831420921223881</v>
      </c>
      <c r="AC39" s="279">
        <f t="shared" si="23"/>
        <v>-88.19994038731339</v>
      </c>
      <c r="AF39" s="278">
        <f t="shared" si="24"/>
        <v>72.914421053589891</v>
      </c>
      <c r="AG39" s="279">
        <f t="shared" si="25"/>
        <v>-0.52461144344781929</v>
      </c>
      <c r="AI39">
        <f t="shared" si="26"/>
        <v>0</v>
      </c>
      <c r="AJ39">
        <f t="shared" si="27"/>
        <v>0</v>
      </c>
      <c r="AK39">
        <f t="shared" si="28"/>
        <v>0</v>
      </c>
      <c r="AL39">
        <f t="shared" si="29"/>
        <v>0</v>
      </c>
      <c r="AM39"/>
      <c r="AN39"/>
    </row>
    <row r="40" spans="2:40" x14ac:dyDescent="0.2">
      <c r="B40" s="280">
        <v>12.023</v>
      </c>
      <c r="C40" s="270">
        <f t="shared" si="0"/>
        <v>1.0000482204955345</v>
      </c>
      <c r="D40" s="271">
        <f t="shared" si="1"/>
        <v>9.8202401125463638E-3</v>
      </c>
      <c r="E40" s="271">
        <f t="shared" si="2"/>
        <v>1.0000000001928866</v>
      </c>
      <c r="F40" s="272">
        <f t="shared" si="3"/>
        <v>1.9641111604011569E-5</v>
      </c>
      <c r="G40" s="271">
        <f t="shared" si="4"/>
        <v>1.0000000074018411</v>
      </c>
      <c r="H40" s="272">
        <f t="shared" si="5"/>
        <v>-1.2167038299747428E-4</v>
      </c>
      <c r="I40" s="270">
        <f t="shared" si="6"/>
        <v>42.322094090531316</v>
      </c>
      <c r="J40" s="273">
        <f t="shared" si="7"/>
        <v>1.547165807217266</v>
      </c>
      <c r="K40" s="281">
        <f t="shared" si="8"/>
        <v>1.0000201330529428</v>
      </c>
      <c r="L40" s="282">
        <f t="shared" si="9"/>
        <v>6.3455047341191449E-3</v>
      </c>
      <c r="M40" s="270">
        <f t="shared" si="10"/>
        <v>1.00000004705712</v>
      </c>
      <c r="N40" s="273">
        <f t="shared" si="11"/>
        <v>3.0678043655461731E-4</v>
      </c>
      <c r="O40" s="270">
        <f t="shared" si="12"/>
        <v>3.4711603925352863</v>
      </c>
      <c r="P40" s="273">
        <f t="shared" si="13"/>
        <v>1.2785666367639719</v>
      </c>
      <c r="Q40" s="271">
        <f t="shared" si="14"/>
        <v>1.000000006767011</v>
      </c>
      <c r="R40" s="272">
        <f t="shared" si="15"/>
        <v>1.1633581437542857E-4</v>
      </c>
      <c r="S40" s="270">
        <f t="shared" si="16"/>
        <v>1.0000000000003542</v>
      </c>
      <c r="T40" s="273">
        <f t="shared" si="17"/>
        <v>8.416628799156649E-7</v>
      </c>
      <c r="U40" s="274">
        <f t="shared" si="18"/>
        <v>1.0000000032347238</v>
      </c>
      <c r="V40" s="275">
        <f t="shared" si="19"/>
        <v>1.1734520112284606E-4</v>
      </c>
      <c r="W40" s="276">
        <f t="shared" si="20"/>
        <v>54.142674490072494</v>
      </c>
      <c r="X40" s="277">
        <f t="shared" si="21"/>
        <v>-88.875305088269045</v>
      </c>
      <c r="Y40" s="299">
        <f t="shared" si="30"/>
        <v>91.124694911730955</v>
      </c>
      <c r="AB40" s="278">
        <f t="shared" si="22"/>
        <v>43.031856503032493</v>
      </c>
      <c r="AC40" s="279">
        <f t="shared" si="23"/>
        <v>-88.30007754460695</v>
      </c>
      <c r="AF40" s="278">
        <f t="shared" si="24"/>
        <v>72.914350594021769</v>
      </c>
      <c r="AG40" s="279">
        <f t="shared" si="25"/>
        <v>-0.5752275436620764</v>
      </c>
      <c r="AI40">
        <f t="shared" si="26"/>
        <v>0</v>
      </c>
      <c r="AJ40">
        <f t="shared" si="27"/>
        <v>0</v>
      </c>
      <c r="AK40">
        <f t="shared" si="28"/>
        <v>0</v>
      </c>
      <c r="AL40">
        <f t="shared" si="29"/>
        <v>0</v>
      </c>
      <c r="AM40"/>
      <c r="AN40"/>
    </row>
    <row r="41" spans="2:40" x14ac:dyDescent="0.2">
      <c r="B41" s="280">
        <v>13.183</v>
      </c>
      <c r="C41" s="270">
        <f t="shared" si="0"/>
        <v>1.0000579738791857</v>
      </c>
      <c r="D41" s="271">
        <f t="shared" si="1"/>
        <v>1.0767643987001073E-2</v>
      </c>
      <c r="E41" s="271">
        <f t="shared" si="2"/>
        <v>1.0000000002319023</v>
      </c>
      <c r="F41" s="272">
        <f t="shared" si="3"/>
        <v>2.1536120291853086E-5</v>
      </c>
      <c r="G41" s="271">
        <f t="shared" si="4"/>
        <v>1.000000008899028</v>
      </c>
      <c r="H41" s="272">
        <f t="shared" si="5"/>
        <v>-1.3340935352696757E-4</v>
      </c>
      <c r="I41" s="270">
        <f t="shared" si="6"/>
        <v>46.403224054713093</v>
      </c>
      <c r="J41" s="273">
        <f t="shared" si="7"/>
        <v>1.5492444316712592</v>
      </c>
      <c r="K41" s="281">
        <f t="shared" si="8"/>
        <v>1.0000242053608395</v>
      </c>
      <c r="L41" s="282">
        <f t="shared" si="9"/>
        <v>6.9577112041324532E-3</v>
      </c>
      <c r="M41" s="270">
        <f t="shared" si="10"/>
        <v>1.0000000565754674</v>
      </c>
      <c r="N41" s="273">
        <f t="shared" si="11"/>
        <v>3.3637914575698562E-4</v>
      </c>
      <c r="O41" s="270">
        <f t="shared" si="12"/>
        <v>3.779398225611565</v>
      </c>
      <c r="P41" s="273">
        <f t="shared" si="13"/>
        <v>1.3030151055000119</v>
      </c>
      <c r="Q41" s="271">
        <f t="shared" si="14"/>
        <v>1.0000000081357892</v>
      </c>
      <c r="R41" s="272">
        <f t="shared" si="15"/>
        <v>1.2756009644113663E-4</v>
      </c>
      <c r="S41" s="270">
        <f t="shared" si="16"/>
        <v>1.0000000000004259</v>
      </c>
      <c r="T41" s="273">
        <f t="shared" si="17"/>
        <v>9.2286798186207105E-7</v>
      </c>
      <c r="U41" s="274">
        <f t="shared" si="18"/>
        <v>1.0000000038890187</v>
      </c>
      <c r="V41" s="275">
        <f t="shared" si="19"/>
        <v>1.2866687067357793E-4</v>
      </c>
      <c r="W41" s="276">
        <f t="shared" si="20"/>
        <v>53.343004921251207</v>
      </c>
      <c r="X41" s="277">
        <f t="shared" si="21"/>
        <v>-89.016515475719586</v>
      </c>
      <c r="Y41" s="299">
        <f t="shared" si="30"/>
        <v>90.983484524280414</v>
      </c>
      <c r="AB41" s="278">
        <f t="shared" si="22"/>
        <v>42.232271638867061</v>
      </c>
      <c r="AC41" s="279">
        <f t="shared" si="23"/>
        <v>-88.385792987207424</v>
      </c>
      <c r="AF41" s="278">
        <f t="shared" si="24"/>
        <v>72.914265889365907</v>
      </c>
      <c r="AG41" s="279">
        <f t="shared" si="25"/>
        <v>-0.63072248851218649</v>
      </c>
      <c r="AI41">
        <f t="shared" si="26"/>
        <v>0</v>
      </c>
      <c r="AJ41">
        <f t="shared" si="27"/>
        <v>0</v>
      </c>
      <c r="AK41">
        <f t="shared" si="28"/>
        <v>0</v>
      </c>
      <c r="AL41">
        <f t="shared" si="29"/>
        <v>0</v>
      </c>
      <c r="AM41"/>
      <c r="AN41"/>
    </row>
    <row r="42" spans="2:40" x14ac:dyDescent="0.2">
      <c r="B42" s="280">
        <v>14.454000000000001</v>
      </c>
      <c r="C42" s="270">
        <f t="shared" si="0"/>
        <v>1.0000696911150857</v>
      </c>
      <c r="D42" s="271">
        <f t="shared" si="1"/>
        <v>1.1805682356392197E-2</v>
      </c>
      <c r="E42" s="271">
        <f t="shared" si="2"/>
        <v>1.0000000002787743</v>
      </c>
      <c r="F42" s="272">
        <f t="shared" si="3"/>
        <v>2.3612461707404809E-5</v>
      </c>
      <c r="G42" s="271">
        <f t="shared" si="4"/>
        <v>1.0000000106976938</v>
      </c>
      <c r="H42" s="272">
        <f t="shared" si="5"/>
        <v>-1.4627162205617429E-4</v>
      </c>
      <c r="I42" s="270">
        <f t="shared" si="6"/>
        <v>50.875067428528553</v>
      </c>
      <c r="J42" s="273">
        <f t="shared" si="7"/>
        <v>1.5511390672616872</v>
      </c>
      <c r="K42" s="281">
        <f t="shared" si="8"/>
        <v>1.0000290976620485</v>
      </c>
      <c r="L42" s="282">
        <f t="shared" si="9"/>
        <v>7.6284934953775438E-3</v>
      </c>
      <c r="M42" s="270">
        <f t="shared" si="10"/>
        <v>1.0000000680104653</v>
      </c>
      <c r="N42" s="273">
        <f t="shared" si="11"/>
        <v>3.6881014455788884E-4</v>
      </c>
      <c r="O42" s="270">
        <f t="shared" si="12"/>
        <v>4.1193172478503994</v>
      </c>
      <c r="P42" s="273">
        <f t="shared" si="13"/>
        <v>1.3255877416655044</v>
      </c>
      <c r="Q42" s="271">
        <f t="shared" si="14"/>
        <v>1.0000000097801898</v>
      </c>
      <c r="R42" s="272">
        <f t="shared" si="15"/>
        <v>1.3985842615026493E-4</v>
      </c>
      <c r="S42" s="270">
        <f t="shared" si="16"/>
        <v>1.000000000000512</v>
      </c>
      <c r="T42" s="273">
        <f t="shared" si="17"/>
        <v>1.0118435720119555E-6</v>
      </c>
      <c r="U42" s="274">
        <f t="shared" si="18"/>
        <v>1.0000000046750648</v>
      </c>
      <c r="V42" s="275">
        <f t="shared" si="19"/>
        <v>1.4107190687182006E-4</v>
      </c>
      <c r="W42" s="276">
        <f t="shared" si="20"/>
        <v>52.543808719079038</v>
      </c>
      <c r="X42" s="277">
        <f t="shared" si="21"/>
        <v>-89.14929922572199</v>
      </c>
      <c r="Y42" s="299">
        <f t="shared" si="30"/>
        <v>90.85070077427801</v>
      </c>
      <c r="AB42" s="278">
        <f t="shared" si="22"/>
        <v>41.433177195614029</v>
      </c>
      <c r="AC42" s="279">
        <f t="shared" si="23"/>
        <v>-88.457772775350435</v>
      </c>
      <c r="AF42" s="278">
        <f t="shared" si="24"/>
        <v>72.91416413044675</v>
      </c>
      <c r="AG42" s="279">
        <f t="shared" si="25"/>
        <v>-0.69152645037155425</v>
      </c>
      <c r="AI42">
        <f t="shared" si="26"/>
        <v>0</v>
      </c>
      <c r="AJ42">
        <f t="shared" si="27"/>
        <v>0</v>
      </c>
      <c r="AK42">
        <f t="shared" si="28"/>
        <v>0</v>
      </c>
      <c r="AL42">
        <f t="shared" si="29"/>
        <v>0</v>
      </c>
      <c r="AM42"/>
      <c r="AN42"/>
    </row>
    <row r="43" spans="2:40" x14ac:dyDescent="0.2">
      <c r="B43" s="280">
        <v>15.849</v>
      </c>
      <c r="C43" s="270">
        <f t="shared" si="0"/>
        <v>1.0000837918890848</v>
      </c>
      <c r="D43" s="271">
        <f t="shared" si="1"/>
        <v>1.2944963391415399E-2</v>
      </c>
      <c r="E43" s="271">
        <f t="shared" si="2"/>
        <v>1.0000000003351814</v>
      </c>
      <c r="F43" s="272">
        <f t="shared" si="3"/>
        <v>2.5891373016921665E-5</v>
      </c>
      <c r="G43" s="271">
        <f t="shared" si="4"/>
        <v>1.000000012862275</v>
      </c>
      <c r="H43" s="272">
        <f t="shared" si="5"/>
        <v>-1.6038874599577508E-4</v>
      </c>
      <c r="I43" s="270">
        <f t="shared" si="6"/>
        <v>55.783363073998828</v>
      </c>
      <c r="J43" s="273">
        <f t="shared" si="7"/>
        <v>1.5528688747287394</v>
      </c>
      <c r="K43" s="281">
        <f t="shared" si="8"/>
        <v>1.0000349852069381</v>
      </c>
      <c r="L43" s="282">
        <f t="shared" si="9"/>
        <v>8.3647100365662024E-3</v>
      </c>
      <c r="M43" s="270">
        <f t="shared" si="10"/>
        <v>1.0000000817717651</v>
      </c>
      <c r="N43" s="273">
        <f t="shared" si="11"/>
        <v>4.0440514234622177E-4</v>
      </c>
      <c r="O43" s="270">
        <f t="shared" si="12"/>
        <v>4.494431134410136</v>
      </c>
      <c r="P43" s="273">
        <f t="shared" si="13"/>
        <v>1.346420817632225</v>
      </c>
      <c r="Q43" s="271">
        <f t="shared" si="14"/>
        <v>1.0000000117591223</v>
      </c>
      <c r="R43" s="272">
        <f t="shared" si="15"/>
        <v>1.5335659285534752E-4</v>
      </c>
      <c r="S43" s="270">
        <f t="shared" si="16"/>
        <v>1.0000000000006155</v>
      </c>
      <c r="T43" s="273">
        <f t="shared" si="17"/>
        <v>1.109499707542298E-6</v>
      </c>
      <c r="U43" s="274">
        <f t="shared" si="18"/>
        <v>1.0000000056210216</v>
      </c>
      <c r="V43" s="275">
        <f t="shared" si="19"/>
        <v>1.5468719049377535E-4</v>
      </c>
      <c r="W43" s="276">
        <f t="shared" si="20"/>
        <v>51.743743365585289</v>
      </c>
      <c r="X43" s="277">
        <f t="shared" si="21"/>
        <v>-89.275001608376741</v>
      </c>
      <c r="Y43" s="299">
        <f t="shared" si="30"/>
        <v>90.724998391623259</v>
      </c>
      <c r="AB43" s="278">
        <f t="shared" si="22"/>
        <v>40.633234299413871</v>
      </c>
      <c r="AC43" s="279">
        <f t="shared" si="23"/>
        <v>-88.51674078510996</v>
      </c>
      <c r="AF43" s="278">
        <f t="shared" si="24"/>
        <v>72.914041673153179</v>
      </c>
      <c r="AG43" s="279">
        <f t="shared" si="25"/>
        <v>-0.7582608232667738</v>
      </c>
      <c r="AI43">
        <f t="shared" si="26"/>
        <v>0</v>
      </c>
      <c r="AJ43">
        <f t="shared" si="27"/>
        <v>0</v>
      </c>
      <c r="AK43">
        <f t="shared" si="28"/>
        <v>0</v>
      </c>
      <c r="AL43">
        <f t="shared" si="29"/>
        <v>0</v>
      </c>
      <c r="AM43"/>
      <c r="AN43"/>
    </row>
    <row r="44" spans="2:40" x14ac:dyDescent="0.2">
      <c r="B44" s="280">
        <v>17.378</v>
      </c>
      <c r="C44" s="270">
        <f t="shared" si="0"/>
        <v>1.0001007381931328</v>
      </c>
      <c r="D44" s="271">
        <f t="shared" si="1"/>
        <v>1.419364203016093E-2</v>
      </c>
      <c r="E44" s="271">
        <f t="shared" si="2"/>
        <v>1.000000000402973</v>
      </c>
      <c r="F44" s="272">
        <f t="shared" si="3"/>
        <v>2.8389190502096661E-5</v>
      </c>
      <c r="G44" s="271">
        <f t="shared" si="4"/>
        <v>1.0000000154637081</v>
      </c>
      <c r="H44" s="272">
        <f t="shared" si="5"/>
        <v>-1.7586192334410422E-4</v>
      </c>
      <c r="I44" s="270">
        <f t="shared" si="6"/>
        <v>61.163296066269645</v>
      </c>
      <c r="J44" s="273">
        <f t="shared" si="7"/>
        <v>1.5544459235031229</v>
      </c>
      <c r="K44" s="281">
        <f t="shared" si="8"/>
        <v>1.0000420609197909</v>
      </c>
      <c r="L44" s="282">
        <f t="shared" si="9"/>
        <v>9.1716351406132442E-3</v>
      </c>
      <c r="M44" s="270">
        <f t="shared" si="10"/>
        <v>1.0000000983103459</v>
      </c>
      <c r="N44" s="273">
        <f t="shared" si="11"/>
        <v>4.4341930003196489E-4</v>
      </c>
      <c r="O44" s="270">
        <f t="shared" si="12"/>
        <v>4.9074586189052551</v>
      </c>
      <c r="P44" s="273">
        <f t="shared" si="13"/>
        <v>1.3655876544340024</v>
      </c>
      <c r="Q44" s="271">
        <f t="shared" si="14"/>
        <v>1.0000000141374397</v>
      </c>
      <c r="R44" s="272">
        <f t="shared" si="15"/>
        <v>1.6815135758815717E-4</v>
      </c>
      <c r="S44" s="270">
        <f t="shared" si="16"/>
        <v>1.0000000000007399</v>
      </c>
      <c r="T44" s="273">
        <f t="shared" si="17"/>
        <v>1.2165364324353874E-6</v>
      </c>
      <c r="U44" s="274">
        <f t="shared" si="18"/>
        <v>1.0000000067578898</v>
      </c>
      <c r="V44" s="275">
        <f t="shared" si="19"/>
        <v>1.6961032213470798E-4</v>
      </c>
      <c r="W44" s="276">
        <f t="shared" si="20"/>
        <v>50.943933755281172</v>
      </c>
      <c r="X44" s="277">
        <f t="shared" si="21"/>
        <v>-89.394504272753025</v>
      </c>
      <c r="Y44" s="299">
        <f t="shared" si="30"/>
        <v>90.605495727246975</v>
      </c>
      <c r="AB44" s="278">
        <f t="shared" si="22"/>
        <v>39.833571855947028</v>
      </c>
      <c r="AC44" s="279">
        <f t="shared" si="23"/>
        <v>-88.563100967700024</v>
      </c>
      <c r="AF44" s="278">
        <f t="shared" si="24"/>
        <v>72.913894506315899</v>
      </c>
      <c r="AG44" s="279">
        <f t="shared" si="25"/>
        <v>-0.83140330505299931</v>
      </c>
      <c r="AI44">
        <f t="shared" si="26"/>
        <v>0</v>
      </c>
      <c r="AJ44">
        <f t="shared" si="27"/>
        <v>0</v>
      </c>
      <c r="AK44">
        <f t="shared" si="28"/>
        <v>0</v>
      </c>
      <c r="AL44">
        <f t="shared" si="29"/>
        <v>0</v>
      </c>
      <c r="AM44"/>
      <c r="AN44"/>
    </row>
    <row r="45" spans="2:40" x14ac:dyDescent="0.2">
      <c r="B45" s="280">
        <v>19.055</v>
      </c>
      <c r="C45" s="270">
        <f t="shared" si="0"/>
        <v>1.0001211178219296</v>
      </c>
      <c r="D45" s="271">
        <f t="shared" si="1"/>
        <v>1.5563135840009302E-2</v>
      </c>
      <c r="E45" s="271">
        <f t="shared" si="2"/>
        <v>1.0000000004845007</v>
      </c>
      <c r="F45" s="272">
        <f t="shared" si="3"/>
        <v>3.1128784957305208E-5</v>
      </c>
      <c r="G45" s="271">
        <f t="shared" si="4"/>
        <v>1.0000000185922506</v>
      </c>
      <c r="H45" s="272">
        <f t="shared" si="5"/>
        <v>-1.9283283130007136E-4</v>
      </c>
      <c r="I45" s="270">
        <f t="shared" si="6"/>
        <v>67.064126733127523</v>
      </c>
      <c r="J45" s="273">
        <f t="shared" si="7"/>
        <v>1.5558846726923647</v>
      </c>
      <c r="K45" s="281">
        <f t="shared" si="8"/>
        <v>1.0000505702660356</v>
      </c>
      <c r="L45" s="282">
        <f t="shared" si="9"/>
        <v>1.0056653021870126E-2</v>
      </c>
      <c r="M45" s="270">
        <f t="shared" si="10"/>
        <v>1.0000001182000173</v>
      </c>
      <c r="N45" s="273">
        <f t="shared" si="11"/>
        <v>4.8620984290899454E-4</v>
      </c>
      <c r="O45" s="270">
        <f t="shared" si="12"/>
        <v>5.3622030106438432</v>
      </c>
      <c r="P45" s="273">
        <f t="shared" si="13"/>
        <v>1.3832075520804459</v>
      </c>
      <c r="Q45" s="271">
        <f t="shared" si="14"/>
        <v>1.0000000169976579</v>
      </c>
      <c r="R45" s="272">
        <f t="shared" si="15"/>
        <v>1.8437818579426126E-4</v>
      </c>
      <c r="S45" s="270">
        <f t="shared" si="16"/>
        <v>1.0000000000008897</v>
      </c>
      <c r="T45" s="273">
        <f t="shared" si="17"/>
        <v>1.3339338082664284E-6</v>
      </c>
      <c r="U45" s="274">
        <f t="shared" si="18"/>
        <v>1.0000000081251135</v>
      </c>
      <c r="V45" s="275">
        <f t="shared" si="19"/>
        <v>1.8597794262821589E-4</v>
      </c>
      <c r="W45" s="276">
        <f t="shared" si="20"/>
        <v>50.14384266039287</v>
      </c>
      <c r="X45" s="277">
        <f t="shared" si="21"/>
        <v>-89.508901862343833</v>
      </c>
      <c r="Y45" s="299">
        <f t="shared" si="30"/>
        <v>90.491098137656167</v>
      </c>
      <c r="AB45" s="278">
        <f t="shared" si="22"/>
        <v>39.033657740624804</v>
      </c>
      <c r="AC45" s="279">
        <f t="shared" si="23"/>
        <v>-88.597279152141752</v>
      </c>
      <c r="AF45" s="278">
        <f t="shared" si="24"/>
        <v>72.913717526749821</v>
      </c>
      <c r="AG45" s="279">
        <f t="shared" si="25"/>
        <v>-0.91162271020207353</v>
      </c>
      <c r="AI45">
        <f t="shared" si="26"/>
        <v>0</v>
      </c>
      <c r="AJ45">
        <f t="shared" ref="AJ45:AJ76" si="31">IF(AI45&gt;0,Y43,0)</f>
        <v>0</v>
      </c>
      <c r="AK45">
        <f t="shared" si="28"/>
        <v>0</v>
      </c>
      <c r="AL45">
        <f t="shared" si="29"/>
        <v>0</v>
      </c>
      <c r="AM45"/>
      <c r="AN45"/>
    </row>
    <row r="46" spans="2:40" x14ac:dyDescent="0.2">
      <c r="B46" s="280">
        <v>20.893000000000001</v>
      </c>
      <c r="C46" s="270">
        <f t="shared" si="0"/>
        <v>1.0001456084024067</v>
      </c>
      <c r="D46" s="271">
        <f t="shared" si="1"/>
        <v>1.7064040343914202E-2</v>
      </c>
      <c r="E46" s="271">
        <f t="shared" si="2"/>
        <v>1.0000000005824761</v>
      </c>
      <c r="F46" s="272">
        <f t="shared" si="3"/>
        <v>3.4131393548700995E-5</v>
      </c>
      <c r="G46" s="271">
        <f t="shared" si="4"/>
        <v>1.0000000223519629</v>
      </c>
      <c r="H46" s="272">
        <f t="shared" si="5"/>
        <v>-2.1143302725028413E-4</v>
      </c>
      <c r="I46" s="270">
        <f t="shared" si="6"/>
        <v>73.53159792670084</v>
      </c>
      <c r="J46" s="273">
        <f t="shared" si="7"/>
        <v>1.5571963118952301</v>
      </c>
      <c r="K46" s="281">
        <f t="shared" si="8"/>
        <v>1.0000607962399179</v>
      </c>
      <c r="L46" s="282">
        <f t="shared" si="9"/>
        <v>1.1026618695259066E-2</v>
      </c>
      <c r="M46" s="270">
        <f t="shared" si="10"/>
        <v>1.0000001421023426</v>
      </c>
      <c r="N46" s="273">
        <f t="shared" si="11"/>
        <v>5.3310847998032027E-4</v>
      </c>
      <c r="O46" s="270">
        <f t="shared" si="12"/>
        <v>5.8622059486804714</v>
      </c>
      <c r="P46" s="273">
        <f t="shared" si="13"/>
        <v>1.399373748268486</v>
      </c>
      <c r="Q46" s="271">
        <f t="shared" si="14"/>
        <v>1.0000000204349127</v>
      </c>
      <c r="R46" s="272">
        <f t="shared" si="15"/>
        <v>2.0216286680515042E-4</v>
      </c>
      <c r="S46" s="270">
        <f t="shared" si="16"/>
        <v>1.0000000000010696</v>
      </c>
      <c r="T46" s="273">
        <f t="shared" si="17"/>
        <v>1.4626018922123929E-6</v>
      </c>
      <c r="U46" s="274">
        <f t="shared" si="18"/>
        <v>1.0000000097681683</v>
      </c>
      <c r="V46" s="275">
        <f t="shared" si="19"/>
        <v>2.0391693274608057E-4</v>
      </c>
      <c r="W46" s="276">
        <f t="shared" si="20"/>
        <v>49.34404399573944</v>
      </c>
      <c r="X46" s="277">
        <f t="shared" si="21"/>
        <v>-89.619082405397904</v>
      </c>
      <c r="Y46" s="299">
        <f t="shared" si="30"/>
        <v>90.380917594602096</v>
      </c>
      <c r="AB46" s="278">
        <f t="shared" si="22"/>
        <v>38.234071750848969</v>
      </c>
      <c r="AC46" s="279">
        <f t="shared" si="23"/>
        <v>-88.61954269732118</v>
      </c>
      <c r="AF46" s="278">
        <f t="shared" si="24"/>
        <v>72.913504851872219</v>
      </c>
      <c r="AG46" s="279">
        <f t="shared" si="25"/>
        <v>-0.9995397080767281</v>
      </c>
      <c r="AI46">
        <f t="shared" si="26"/>
        <v>0</v>
      </c>
      <c r="AJ46">
        <f t="shared" si="31"/>
        <v>0</v>
      </c>
      <c r="AK46">
        <f t="shared" si="28"/>
        <v>0</v>
      </c>
      <c r="AL46">
        <f t="shared" si="29"/>
        <v>0</v>
      </c>
      <c r="AM46"/>
      <c r="AN46"/>
    </row>
    <row r="47" spans="2:40" x14ac:dyDescent="0.2">
      <c r="B47" s="280">
        <v>22.909000000000002</v>
      </c>
      <c r="C47" s="270">
        <f t="shared" si="0"/>
        <v>1.0001750615210809</v>
      </c>
      <c r="D47" s="271">
        <f t="shared" si="1"/>
        <v>1.8710210373765104E-2</v>
      </c>
      <c r="E47" s="271">
        <f t="shared" si="2"/>
        <v>1.0000000007003074</v>
      </c>
      <c r="F47" s="272">
        <f t="shared" si="3"/>
        <v>3.7424787955093486E-5</v>
      </c>
      <c r="G47" s="271">
        <f t="shared" si="4"/>
        <v>1.0000000268736293</v>
      </c>
      <c r="H47" s="272">
        <f t="shared" si="5"/>
        <v>-2.3183454777560134E-4</v>
      </c>
      <c r="I47" s="270">
        <f t="shared" si="6"/>
        <v>80.625528466823695</v>
      </c>
      <c r="J47" s="273">
        <f t="shared" si="7"/>
        <v>1.5583929892919959</v>
      </c>
      <c r="K47" s="281">
        <f t="shared" si="8"/>
        <v>1.0000730945010068</v>
      </c>
      <c r="L47" s="282">
        <f t="shared" si="9"/>
        <v>1.2090496180561468E-2</v>
      </c>
      <c r="M47" s="270">
        <f t="shared" si="10"/>
        <v>1.000000170848782</v>
      </c>
      <c r="N47" s="273">
        <f t="shared" si="11"/>
        <v>5.8454898453147084E-4</v>
      </c>
      <c r="O47" s="270">
        <f t="shared" si="12"/>
        <v>6.4121048385223771</v>
      </c>
      <c r="P47" s="273">
        <f t="shared" si="13"/>
        <v>1.4142020871222172</v>
      </c>
      <c r="Q47" s="271">
        <f t="shared" si="14"/>
        <v>1.0000000245687715</v>
      </c>
      <c r="R47" s="272">
        <f t="shared" si="15"/>
        <v>2.2166989436058149E-4</v>
      </c>
      <c r="S47" s="270">
        <f t="shared" si="16"/>
        <v>1.0000000000012861</v>
      </c>
      <c r="T47" s="273">
        <f t="shared" si="17"/>
        <v>1.6037307590431666E-6</v>
      </c>
      <c r="U47" s="274">
        <f t="shared" si="18"/>
        <v>1.0000000117442096</v>
      </c>
      <c r="V47" s="275">
        <f t="shared" si="19"/>
        <v>2.235932134972555E-4</v>
      </c>
      <c r="W47" s="276">
        <f t="shared" si="20"/>
        <v>48.543923388314852</v>
      </c>
      <c r="X47" s="277">
        <f t="shared" si="21"/>
        <v>-89.726064789988214</v>
      </c>
      <c r="Y47" s="299">
        <f t="shared" si="30"/>
        <v>90.273935210011786</v>
      </c>
      <c r="AB47" s="278">
        <f t="shared" si="22"/>
        <v>37.434206905816858</v>
      </c>
      <c r="AC47" s="279">
        <f t="shared" si="23"/>
        <v>-88.630098895574562</v>
      </c>
      <c r="AF47" s="278">
        <f t="shared" si="24"/>
        <v>72.913249089479763</v>
      </c>
      <c r="AG47" s="279">
        <f t="shared" si="25"/>
        <v>-1.0959658944136583</v>
      </c>
      <c r="AI47">
        <f t="shared" si="26"/>
        <v>0</v>
      </c>
      <c r="AJ47">
        <f t="shared" si="31"/>
        <v>0</v>
      </c>
      <c r="AK47">
        <f t="shared" si="28"/>
        <v>0</v>
      </c>
      <c r="AL47">
        <f t="shared" si="29"/>
        <v>0</v>
      </c>
      <c r="AM47"/>
      <c r="AN47"/>
    </row>
    <row r="48" spans="2:40" x14ac:dyDescent="0.2">
      <c r="B48" s="280">
        <v>25.119</v>
      </c>
      <c r="C48" s="270">
        <f t="shared" si="0"/>
        <v>1.0002104628458146</v>
      </c>
      <c r="D48" s="271">
        <f t="shared" si="1"/>
        <v>2.0514674760671522E-2</v>
      </c>
      <c r="E48" s="271">
        <f t="shared" si="2"/>
        <v>1.0000000008419399</v>
      </c>
      <c r="F48" s="272">
        <f t="shared" si="3"/>
        <v>4.103510622703871E-5</v>
      </c>
      <c r="G48" s="271">
        <f t="shared" si="4"/>
        <v>1.0000000323086453</v>
      </c>
      <c r="H48" s="272">
        <f t="shared" si="5"/>
        <v>-2.5419930963704044E-4</v>
      </c>
      <c r="I48" s="270">
        <f t="shared" si="6"/>
        <v>88.402219412791652</v>
      </c>
      <c r="J48" s="273">
        <f t="shared" si="7"/>
        <v>1.5594841523437406</v>
      </c>
      <c r="K48" s="281">
        <f t="shared" si="8"/>
        <v>1.0000878767371502</v>
      </c>
      <c r="L48" s="282">
        <f t="shared" si="9"/>
        <v>1.3256719229528357E-2</v>
      </c>
      <c r="M48" s="270">
        <f t="shared" si="10"/>
        <v>1.0000002054018291</v>
      </c>
      <c r="N48" s="273">
        <f t="shared" si="11"/>
        <v>6.4093961343625718E-4</v>
      </c>
      <c r="O48" s="270">
        <f t="shared" si="12"/>
        <v>7.0162741685050145</v>
      </c>
      <c r="P48" s="273">
        <f t="shared" si="13"/>
        <v>1.4277835391605662</v>
      </c>
      <c r="Q48" s="271">
        <f t="shared" si="14"/>
        <v>1.0000000295376452</v>
      </c>
      <c r="R48" s="272">
        <f t="shared" si="15"/>
        <v>2.4305408607964426E-4</v>
      </c>
      <c r="S48" s="270">
        <f t="shared" si="16"/>
        <v>1.0000000000015461</v>
      </c>
      <c r="T48" s="273">
        <f t="shared" si="17"/>
        <v>1.758440479130399E-6</v>
      </c>
      <c r="U48" s="274">
        <f t="shared" si="18"/>
        <v>1.0000000141193992</v>
      </c>
      <c r="V48" s="275">
        <f t="shared" si="19"/>
        <v>2.4516294582749298E-4</v>
      </c>
      <c r="W48" s="276">
        <f t="shared" si="20"/>
        <v>47.743932185613119</v>
      </c>
      <c r="X48" s="277">
        <f t="shared" si="21"/>
        <v>-89.830693712721398</v>
      </c>
      <c r="Y48" s="299">
        <f t="shared" si="30"/>
        <v>90.169306287278602</v>
      </c>
      <c r="AB48" s="278">
        <f t="shared" si="22"/>
        <v>36.634523108045911</v>
      </c>
      <c r="AC48" s="279">
        <f t="shared" si="23"/>
        <v>-88.629029219563805</v>
      </c>
      <c r="AF48" s="278">
        <f t="shared" si="24"/>
        <v>72.912941684548969</v>
      </c>
      <c r="AG48" s="279">
        <f t="shared" si="25"/>
        <v>-1.2016644931576015</v>
      </c>
      <c r="AI48">
        <f t="shared" si="26"/>
        <v>0</v>
      </c>
      <c r="AJ48">
        <f t="shared" si="31"/>
        <v>0</v>
      </c>
      <c r="AK48">
        <f t="shared" si="28"/>
        <v>0</v>
      </c>
      <c r="AL48">
        <f t="shared" si="29"/>
        <v>0</v>
      </c>
      <c r="AM48"/>
      <c r="AN48"/>
    </row>
    <row r="49" spans="2:40" x14ac:dyDescent="0.2">
      <c r="B49" s="280">
        <v>27.542000000000002</v>
      </c>
      <c r="C49" s="270">
        <f t="shared" si="0"/>
        <v>1.0002530186037202</v>
      </c>
      <c r="D49" s="271">
        <f t="shared" si="1"/>
        <v>2.2492899615567594E-2</v>
      </c>
      <c r="E49" s="271">
        <f t="shared" si="2"/>
        <v>1.0000000010122023</v>
      </c>
      <c r="F49" s="272">
        <f t="shared" si="3"/>
        <v>4.4993387299526828E-5</v>
      </c>
      <c r="G49" s="271">
        <f t="shared" si="4"/>
        <v>1.000000038842306</v>
      </c>
      <c r="H49" s="272">
        <f t="shared" si="5"/>
        <v>-2.787195889775832E-4</v>
      </c>
      <c r="I49" s="270">
        <f t="shared" si="6"/>
        <v>96.92852915137891</v>
      </c>
      <c r="J49" s="273">
        <f t="shared" si="7"/>
        <v>1.5604792638076246</v>
      </c>
      <c r="K49" s="281">
        <f t="shared" si="8"/>
        <v>1.0001056467936269</v>
      </c>
      <c r="L49" s="282">
        <f t="shared" si="9"/>
        <v>1.4535301402295076E-2</v>
      </c>
      <c r="M49" s="270">
        <f t="shared" si="10"/>
        <v>1.000000246939494</v>
      </c>
      <c r="N49" s="273">
        <f t="shared" si="11"/>
        <v>7.0276517156038184E-4</v>
      </c>
      <c r="O49" s="270">
        <f t="shared" si="12"/>
        <v>7.6799152535249764</v>
      </c>
      <c r="P49" s="273">
        <f t="shared" si="13"/>
        <v>1.4402157786508891</v>
      </c>
      <c r="Q49" s="271">
        <f t="shared" si="14"/>
        <v>1.0000000355109362</v>
      </c>
      <c r="R49" s="272">
        <f t="shared" si="15"/>
        <v>2.6649928787563106E-4</v>
      </c>
      <c r="S49" s="270">
        <f t="shared" si="16"/>
        <v>1.0000000000018587</v>
      </c>
      <c r="T49" s="273">
        <f t="shared" si="17"/>
        <v>1.928061136040422E-6</v>
      </c>
      <c r="U49" s="274">
        <f t="shared" si="18"/>
        <v>1.0000000169747143</v>
      </c>
      <c r="V49" s="275">
        <f t="shared" si="19"/>
        <v>2.6881157085790385E-4</v>
      </c>
      <c r="W49" s="276">
        <f t="shared" si="20"/>
        <v>46.943947561605967</v>
      </c>
      <c r="X49" s="277">
        <f t="shared" si="21"/>
        <v>-89.933871398271449</v>
      </c>
      <c r="Y49" s="299">
        <f t="shared" si="30"/>
        <v>90.066128601728551</v>
      </c>
      <c r="AB49" s="278">
        <f t="shared" si="22"/>
        <v>35.834907999587308</v>
      </c>
      <c r="AC49" s="279">
        <f t="shared" si="23"/>
        <v>-88.616329887875779</v>
      </c>
      <c r="AF49" s="278">
        <f t="shared" si="24"/>
        <v>72.912572169000413</v>
      </c>
      <c r="AG49" s="279">
        <f t="shared" si="25"/>
        <v>-1.3175415103956709</v>
      </c>
      <c r="AI49">
        <f t="shared" si="26"/>
        <v>0</v>
      </c>
      <c r="AJ49">
        <f t="shared" si="31"/>
        <v>0</v>
      </c>
      <c r="AK49">
        <f t="shared" si="28"/>
        <v>0</v>
      </c>
      <c r="AL49">
        <f t="shared" si="29"/>
        <v>0</v>
      </c>
      <c r="AM49"/>
      <c r="AN49"/>
    </row>
    <row r="50" spans="2:40" x14ac:dyDescent="0.2">
      <c r="B50" s="280">
        <v>30.2</v>
      </c>
      <c r="C50" s="270">
        <f t="shared" si="0"/>
        <v>1.0003042035512311</v>
      </c>
      <c r="D50" s="271">
        <f t="shared" si="1"/>
        <v>2.4662783895729953E-2</v>
      </c>
      <c r="E50" s="271">
        <f t="shared" si="2"/>
        <v>1.0000000012169992</v>
      </c>
      <c r="F50" s="272">
        <f t="shared" si="3"/>
        <v>4.9335570991946536E-5</v>
      </c>
      <c r="G50" s="271">
        <f t="shared" si="4"/>
        <v>1.0000000467011894</v>
      </c>
      <c r="H50" s="272">
        <f t="shared" si="5"/>
        <v>-3.0561802131371947E-4</v>
      </c>
      <c r="I50" s="270">
        <f t="shared" si="6"/>
        <v>106.28187367470291</v>
      </c>
      <c r="J50" s="273">
        <f t="shared" si="7"/>
        <v>1.5613872458226579</v>
      </c>
      <c r="K50" s="281">
        <f t="shared" si="8"/>
        <v>1.0001270207339259</v>
      </c>
      <c r="L50" s="282">
        <f t="shared" si="9"/>
        <v>1.5937834869312103E-2</v>
      </c>
      <c r="M50" s="270">
        <f t="shared" si="10"/>
        <v>1.0000002969022448</v>
      </c>
      <c r="N50" s="273">
        <f t="shared" si="11"/>
        <v>7.7058701162589685E-4</v>
      </c>
      <c r="O50" s="270">
        <f t="shared" si="12"/>
        <v>8.4090602474172158</v>
      </c>
      <c r="P50" s="273">
        <f t="shared" si="13"/>
        <v>1.4515948862005186</v>
      </c>
      <c r="Q50" s="271">
        <f t="shared" si="14"/>
        <v>1.0000000426957905</v>
      </c>
      <c r="R50" s="272">
        <f t="shared" si="15"/>
        <v>2.9221837394864523E-4</v>
      </c>
      <c r="S50" s="270">
        <f t="shared" si="16"/>
        <v>1.0000000000022347</v>
      </c>
      <c r="T50" s="273">
        <f t="shared" si="17"/>
        <v>2.1141328265342437E-6</v>
      </c>
      <c r="U50" s="274">
        <f t="shared" si="18"/>
        <v>1.0000000204091732</v>
      </c>
      <c r="V50" s="275">
        <f t="shared" si="19"/>
        <v>2.9475380988340386E-4</v>
      </c>
      <c r="W50" s="276">
        <f t="shared" si="20"/>
        <v>46.143536743838432</v>
      </c>
      <c r="X50" s="277">
        <f t="shared" si="21"/>
        <v>-90.036525562456575</v>
      </c>
      <c r="Y50" s="299">
        <f t="shared" si="30"/>
        <v>89.963474437543425</v>
      </c>
      <c r="AB50" s="278">
        <f t="shared" si="22"/>
        <v>35.034941604583878</v>
      </c>
      <c r="AC50" s="279">
        <f t="shared" si="23"/>
        <v>-88.591880082119616</v>
      </c>
      <c r="AF50" s="278">
        <f t="shared" si="24"/>
        <v>72.912127746236322</v>
      </c>
      <c r="AG50" s="279">
        <f t="shared" si="25"/>
        <v>-1.4446454803369702</v>
      </c>
      <c r="AI50">
        <f t="shared" si="26"/>
        <v>0</v>
      </c>
      <c r="AJ50">
        <f t="shared" si="31"/>
        <v>0</v>
      </c>
      <c r="AK50">
        <f t="shared" si="28"/>
        <v>0</v>
      </c>
      <c r="AL50">
        <f t="shared" si="29"/>
        <v>0</v>
      </c>
      <c r="AM50"/>
      <c r="AN50"/>
    </row>
    <row r="51" spans="2:40" x14ac:dyDescent="0.2">
      <c r="B51" s="280">
        <v>33.113</v>
      </c>
      <c r="C51" s="270">
        <f t="shared" si="0"/>
        <v>1.0003657076951264</v>
      </c>
      <c r="D51" s="271">
        <f t="shared" si="1"/>
        <v>2.7040572410032375E-2</v>
      </c>
      <c r="E51" s="271">
        <f t="shared" si="2"/>
        <v>1.0000000014630983</v>
      </c>
      <c r="F51" s="272">
        <f t="shared" si="3"/>
        <v>5.4094329867162232E-5</v>
      </c>
      <c r="G51" s="271">
        <f t="shared" si="4"/>
        <v>1.0000000561450031</v>
      </c>
      <c r="H51" s="272">
        <f t="shared" si="5"/>
        <v>-3.35097002518125E-4</v>
      </c>
      <c r="I51" s="270">
        <f t="shared" si="6"/>
        <v>116.53263179525447</v>
      </c>
      <c r="J51" s="273">
        <f t="shared" si="7"/>
        <v>1.5622149341147258</v>
      </c>
      <c r="K51" s="281">
        <f t="shared" si="8"/>
        <v>1.0001527046328964</v>
      </c>
      <c r="L51" s="282">
        <f t="shared" si="9"/>
        <v>1.7474850681719684E-2</v>
      </c>
      <c r="M51" s="270">
        <f t="shared" si="10"/>
        <v>1.000000356941168</v>
      </c>
      <c r="N51" s="273">
        <f t="shared" si="11"/>
        <v>8.4491545346518403E-4</v>
      </c>
      <c r="O51" s="270">
        <f t="shared" si="12"/>
        <v>9.2091999972001162</v>
      </c>
      <c r="P51" s="273">
        <f t="shared" si="13"/>
        <v>1.4619947269588138</v>
      </c>
      <c r="Q51" s="271">
        <f t="shared" si="14"/>
        <v>1.0000000513296414</v>
      </c>
      <c r="R51" s="272">
        <f t="shared" si="15"/>
        <v>3.2040486625384404E-4</v>
      </c>
      <c r="S51" s="270">
        <f t="shared" si="16"/>
        <v>1.0000000000026867</v>
      </c>
      <c r="T51" s="273">
        <f t="shared" si="17"/>
        <v>2.3180556385764014E-6</v>
      </c>
      <c r="U51" s="274">
        <f t="shared" si="18"/>
        <v>1.0000000245362723</v>
      </c>
      <c r="V51" s="275">
        <f t="shared" si="19"/>
        <v>3.2318486407174765E-4</v>
      </c>
      <c r="W51" s="276">
        <f t="shared" si="20"/>
        <v>45.343458234805965</v>
      </c>
      <c r="X51" s="277">
        <f t="shared" si="21"/>
        <v>-90.139425385528213</v>
      </c>
      <c r="Y51" s="299">
        <f t="shared" si="30"/>
        <v>89.860574614471787</v>
      </c>
      <c r="AB51" s="278">
        <f t="shared" si="22"/>
        <v>34.235397086560283</v>
      </c>
      <c r="AC51" s="279">
        <f t="shared" si="23"/>
        <v>-88.555497314926839</v>
      </c>
      <c r="AF51" s="278">
        <f t="shared" si="24"/>
        <v>72.911593755227443</v>
      </c>
      <c r="AG51" s="279">
        <f t="shared" si="25"/>
        <v>-1.5839280706013688</v>
      </c>
      <c r="AI51">
        <f t="shared" si="26"/>
        <v>0</v>
      </c>
      <c r="AJ51">
        <f t="shared" si="31"/>
        <v>0</v>
      </c>
      <c r="AK51">
        <f t="shared" si="28"/>
        <v>0</v>
      </c>
      <c r="AL51">
        <f t="shared" si="29"/>
        <v>0</v>
      </c>
      <c r="AM51"/>
      <c r="AN51"/>
    </row>
    <row r="52" spans="2:40" x14ac:dyDescent="0.2">
      <c r="B52" s="280">
        <v>36.308</v>
      </c>
      <c r="C52" s="270">
        <f t="shared" si="0"/>
        <v>1.0004396687886135</v>
      </c>
      <c r="D52" s="271">
        <f t="shared" si="1"/>
        <v>2.9648195847050019E-2</v>
      </c>
      <c r="E52" s="271">
        <f t="shared" si="2"/>
        <v>1.0000000017590618</v>
      </c>
      <c r="F52" s="272">
        <f t="shared" si="3"/>
        <v>5.931377188504213E-5</v>
      </c>
      <c r="G52" s="271">
        <f t="shared" si="4"/>
        <v>1.0000000675023206</v>
      </c>
      <c r="H52" s="272">
        <f t="shared" si="5"/>
        <v>-3.6742976701921768E-4</v>
      </c>
      <c r="I52" s="270">
        <f t="shared" si="6"/>
        <v>127.77581566894918</v>
      </c>
      <c r="J52" s="273">
        <f t="shared" si="7"/>
        <v>1.5629700397678954</v>
      </c>
      <c r="K52" s="281">
        <f t="shared" si="8"/>
        <v>1.0001835917248707</v>
      </c>
      <c r="L52" s="282">
        <f t="shared" si="9"/>
        <v>1.9160565805977525E-2</v>
      </c>
      <c r="M52" s="270">
        <f t="shared" si="10"/>
        <v>1.0000004291451612</v>
      </c>
      <c r="N52" s="273">
        <f t="shared" si="11"/>
        <v>9.2643942885686195E-4</v>
      </c>
      <c r="O52" s="270">
        <f t="shared" si="12"/>
        <v>10.087753988962689</v>
      </c>
      <c r="P52" s="273">
        <f t="shared" si="13"/>
        <v>1.4715031558792682</v>
      </c>
      <c r="Q52" s="271">
        <f t="shared" si="14"/>
        <v>1.0000000617128812</v>
      </c>
      <c r="R52" s="272">
        <f t="shared" si="15"/>
        <v>3.5132001943095729E-4</v>
      </c>
      <c r="S52" s="270">
        <f t="shared" si="16"/>
        <v>1.0000000000032303</v>
      </c>
      <c r="T52" s="273">
        <f t="shared" si="17"/>
        <v>2.5417196909190191E-6</v>
      </c>
      <c r="U52" s="274">
        <f t="shared" si="18"/>
        <v>1.0000000294996036</v>
      </c>
      <c r="V52" s="275">
        <f t="shared" si="19"/>
        <v>3.5436825499946E-4</v>
      </c>
      <c r="W52" s="276">
        <f t="shared" si="20"/>
        <v>44.543061598393095</v>
      </c>
      <c r="X52" s="277">
        <f t="shared" si="21"/>
        <v>-90.24352234331748</v>
      </c>
      <c r="Y52" s="299">
        <f t="shared" si="30"/>
        <v>89.75647765668252</v>
      </c>
      <c r="AB52" s="278">
        <f t="shared" si="22"/>
        <v>33.435642551345076</v>
      </c>
      <c r="AC52" s="279">
        <f t="shared" si="23"/>
        <v>-88.506848299577669</v>
      </c>
      <c r="AF52" s="278">
        <f t="shared" si="24"/>
        <v>72.910951654029773</v>
      </c>
      <c r="AG52" s="279">
        <f t="shared" si="25"/>
        <v>-1.7366740437398072</v>
      </c>
      <c r="AI52">
        <f t="shared" si="26"/>
        <v>0</v>
      </c>
      <c r="AJ52">
        <f t="shared" si="31"/>
        <v>0</v>
      </c>
      <c r="AK52">
        <f t="shared" si="28"/>
        <v>0</v>
      </c>
      <c r="AL52">
        <f t="shared" si="29"/>
        <v>0</v>
      </c>
      <c r="AM52"/>
      <c r="AN52"/>
    </row>
    <row r="53" spans="2:40" x14ac:dyDescent="0.2">
      <c r="B53" s="280">
        <v>39.811</v>
      </c>
      <c r="C53" s="270">
        <f t="shared" si="0"/>
        <v>1.0005285765051655</v>
      </c>
      <c r="D53" s="271">
        <f t="shared" si="1"/>
        <v>3.2506731073210886E-2</v>
      </c>
      <c r="E53" s="271">
        <f t="shared" si="2"/>
        <v>1.0000000021148647</v>
      </c>
      <c r="F53" s="272">
        <f t="shared" si="3"/>
        <v>6.5036371376977462E-5</v>
      </c>
      <c r="G53" s="271">
        <f t="shared" si="4"/>
        <v>1.0000000811559229</v>
      </c>
      <c r="H53" s="272">
        <f t="shared" si="5"/>
        <v>-4.0287942937243759E-4</v>
      </c>
      <c r="I53" s="270">
        <f t="shared" si="6"/>
        <v>140.10291914915942</v>
      </c>
      <c r="J53" s="273">
        <f t="shared" si="7"/>
        <v>1.5636586561654731</v>
      </c>
      <c r="K53" s="281">
        <f t="shared" si="8"/>
        <v>1.0002207224762607</v>
      </c>
      <c r="L53" s="282">
        <f t="shared" si="9"/>
        <v>2.1008659416041291E-2</v>
      </c>
      <c r="M53" s="270">
        <f t="shared" si="10"/>
        <v>1.0000005159477476</v>
      </c>
      <c r="N53" s="273">
        <f t="shared" si="11"/>
        <v>1.0158223523160613E-3</v>
      </c>
      <c r="O53" s="270">
        <f t="shared" si="12"/>
        <v>11.051874560083435</v>
      </c>
      <c r="P53" s="273">
        <f t="shared" si="13"/>
        <v>1.4801900177286369</v>
      </c>
      <c r="Q53" s="271">
        <f t="shared" si="14"/>
        <v>1.0000000741954613</v>
      </c>
      <c r="R53" s="272">
        <f t="shared" si="15"/>
        <v>3.8521541195259807E-4</v>
      </c>
      <c r="S53" s="270">
        <f t="shared" si="16"/>
        <v>1.0000000000038836</v>
      </c>
      <c r="T53" s="273">
        <f t="shared" si="17"/>
        <v>2.7869450979159691E-6</v>
      </c>
      <c r="U53" s="274">
        <f t="shared" si="18"/>
        <v>1.0000000354664484</v>
      </c>
      <c r="V53" s="275">
        <f t="shared" si="19"/>
        <v>3.8855774417010481E-4</v>
      </c>
      <c r="W53" s="276">
        <f t="shared" si="20"/>
        <v>43.742641049086444</v>
      </c>
      <c r="X53" s="277">
        <f t="shared" si="21"/>
        <v>-90.349654609596115</v>
      </c>
      <c r="Y53" s="299">
        <f t="shared" si="30"/>
        <v>89.650345390403885</v>
      </c>
      <c r="AB53" s="278">
        <f t="shared" si="22"/>
        <v>32.635993801116861</v>
      </c>
      <c r="AC53" s="279">
        <f t="shared" si="23"/>
        <v>-88.445536413135372</v>
      </c>
      <c r="AF53" s="278">
        <f t="shared" si="24"/>
        <v>72.910179854951338</v>
      </c>
      <c r="AG53" s="279">
        <f t="shared" si="25"/>
        <v>-1.9041181964607572</v>
      </c>
      <c r="AI53">
        <f t="shared" si="26"/>
        <v>0</v>
      </c>
      <c r="AJ53">
        <f t="shared" si="31"/>
        <v>0</v>
      </c>
      <c r="AK53">
        <f t="shared" si="28"/>
        <v>0</v>
      </c>
      <c r="AL53">
        <f t="shared" si="29"/>
        <v>0</v>
      </c>
      <c r="AM53"/>
      <c r="AN53"/>
    </row>
    <row r="54" spans="2:40" x14ac:dyDescent="0.2">
      <c r="B54" s="280">
        <v>43.652000000000001</v>
      </c>
      <c r="C54" s="270">
        <f t="shared" si="0"/>
        <v>1.0006354578846504</v>
      </c>
      <c r="D54" s="271">
        <f t="shared" si="1"/>
        <v>3.5640470294860463E-2</v>
      </c>
      <c r="E54" s="271">
        <f t="shared" si="2"/>
        <v>1.000000002542639</v>
      </c>
      <c r="F54" s="272">
        <f t="shared" si="3"/>
        <v>7.131113718666186E-5</v>
      </c>
      <c r="G54" s="271">
        <f t="shared" si="4"/>
        <v>1.0000000975713552</v>
      </c>
      <c r="H54" s="272">
        <f t="shared" si="5"/>
        <v>-4.4174958324346884E-4</v>
      </c>
      <c r="I54" s="270">
        <f t="shared" si="6"/>
        <v>153.61951262840469</v>
      </c>
      <c r="J54" s="273">
        <f t="shared" si="7"/>
        <v>1.5642866911015889</v>
      </c>
      <c r="K54" s="281">
        <f t="shared" si="8"/>
        <v>1.0002653621562094</v>
      </c>
      <c r="L54" s="282">
        <f t="shared" si="9"/>
        <v>2.3034907796607242E-2</v>
      </c>
      <c r="M54" s="270">
        <f t="shared" si="10"/>
        <v>1.0000006203086225</v>
      </c>
      <c r="N54" s="273">
        <f t="shared" si="11"/>
        <v>1.1138297012938225E-3</v>
      </c>
      <c r="O54" s="270">
        <f t="shared" si="12"/>
        <v>12.109820435165428</v>
      </c>
      <c r="P54" s="273">
        <f t="shared" si="13"/>
        <v>1.4881245797393476</v>
      </c>
      <c r="Q54" s="271">
        <f t="shared" si="14"/>
        <v>1.0000000892029992</v>
      </c>
      <c r="R54" s="272">
        <f t="shared" si="15"/>
        <v>4.2238132662621104E-4</v>
      </c>
      <c r="S54" s="270">
        <f t="shared" si="16"/>
        <v>1.0000000000046692</v>
      </c>
      <c r="T54" s="273">
        <f t="shared" si="17"/>
        <v>3.0558319915140081E-6</v>
      </c>
      <c r="U54" s="274">
        <f t="shared" si="18"/>
        <v>1.0000000426402578</v>
      </c>
      <c r="V54" s="275">
        <f t="shared" si="19"/>
        <v>4.2604613330898827E-4</v>
      </c>
      <c r="W54" s="276">
        <f t="shared" si="20"/>
        <v>42.942116073695395</v>
      </c>
      <c r="X54" s="277">
        <f t="shared" si="21"/>
        <v>-90.458723823969422</v>
      </c>
      <c r="Y54" s="299">
        <f t="shared" si="30"/>
        <v>89.541276176030578</v>
      </c>
      <c r="AB54" s="278">
        <f t="shared" si="22"/>
        <v>31.836396561598839</v>
      </c>
      <c r="AC54" s="279">
        <f t="shared" si="23"/>
        <v>-88.371040091367618</v>
      </c>
      <c r="AF54" s="278">
        <f t="shared" si="24"/>
        <v>72.909252119078317</v>
      </c>
      <c r="AG54" s="279">
        <f t="shared" si="25"/>
        <v>-2.0876837326017981</v>
      </c>
      <c r="AI54">
        <f t="shared" si="26"/>
        <v>0</v>
      </c>
      <c r="AJ54">
        <f t="shared" si="31"/>
        <v>0</v>
      </c>
      <c r="AK54">
        <f t="shared" si="28"/>
        <v>0</v>
      </c>
      <c r="AL54">
        <f t="shared" si="29"/>
        <v>0</v>
      </c>
      <c r="AM54"/>
      <c r="AN54"/>
    </row>
    <row r="55" spans="2:40" x14ac:dyDescent="0.2">
      <c r="B55" s="280">
        <v>47.863</v>
      </c>
      <c r="C55" s="270">
        <f t="shared" si="0"/>
        <v>1.0007639244772988</v>
      </c>
      <c r="D55" s="271">
        <f t="shared" si="1"/>
        <v>3.9075272921303202E-2</v>
      </c>
      <c r="E55" s="271">
        <f t="shared" si="2"/>
        <v>1.000000003056865</v>
      </c>
      <c r="F55" s="272">
        <f t="shared" si="3"/>
        <v>7.819034541361459E-5</v>
      </c>
      <c r="G55" s="271">
        <f t="shared" si="4"/>
        <v>1.0000001173042836</v>
      </c>
      <c r="H55" s="272">
        <f t="shared" si="5"/>
        <v>-4.8436406177572417E-4</v>
      </c>
      <c r="I55" s="270">
        <f t="shared" si="6"/>
        <v>168.43820505032588</v>
      </c>
      <c r="J55" s="273">
        <f t="shared" si="7"/>
        <v>1.5648593965465076</v>
      </c>
      <c r="K55" s="281">
        <f t="shared" si="8"/>
        <v>1.0003190207095918</v>
      </c>
      <c r="L55" s="282">
        <f t="shared" si="9"/>
        <v>2.5256124834562181E-2</v>
      </c>
      <c r="M55" s="270">
        <f t="shared" si="10"/>
        <v>1.0000007457604199</v>
      </c>
      <c r="N55" s="273">
        <f t="shared" si="11"/>
        <v>1.2212779834685425E-3</v>
      </c>
      <c r="O55" s="270">
        <f t="shared" si="12"/>
        <v>13.270406915451968</v>
      </c>
      <c r="P55" s="273">
        <f t="shared" si="13"/>
        <v>1.4953691869166614</v>
      </c>
      <c r="Q55" s="271">
        <f t="shared" si="14"/>
        <v>1.0000001072435032</v>
      </c>
      <c r="R55" s="272">
        <f t="shared" si="15"/>
        <v>4.6312739835900336E-4</v>
      </c>
      <c r="S55" s="270">
        <f t="shared" si="16"/>
        <v>1.0000000000056133</v>
      </c>
      <c r="T55" s="273">
        <f t="shared" si="17"/>
        <v>3.3506205124563111E-6</v>
      </c>
      <c r="U55" s="274">
        <f t="shared" si="18"/>
        <v>1.0000000512638667</v>
      </c>
      <c r="V55" s="275">
        <f t="shared" si="19"/>
        <v>4.6714574423807327E-4</v>
      </c>
      <c r="W55" s="276">
        <f t="shared" si="20"/>
        <v>42.141581518568017</v>
      </c>
      <c r="X55" s="277">
        <f t="shared" si="21"/>
        <v>-90.571629408664336</v>
      </c>
      <c r="Y55" s="299">
        <f t="shared" si="30"/>
        <v>89.428370591335664</v>
      </c>
      <c r="AB55" s="278">
        <f t="shared" si="22"/>
        <v>31.036976971955951</v>
      </c>
      <c r="AC55" s="279">
        <f t="shared" si="23"/>
        <v>-88.282743667692799</v>
      </c>
      <c r="AF55" s="278">
        <f t="shared" si="24"/>
        <v>72.908137153593827</v>
      </c>
      <c r="AG55" s="279">
        <f t="shared" si="25"/>
        <v>-2.2888857409715366</v>
      </c>
      <c r="AI55">
        <f t="shared" si="26"/>
        <v>0</v>
      </c>
      <c r="AJ55">
        <f t="shared" si="31"/>
        <v>0</v>
      </c>
      <c r="AK55">
        <f t="shared" si="28"/>
        <v>0</v>
      </c>
      <c r="AL55">
        <f t="shared" si="29"/>
        <v>0</v>
      </c>
      <c r="AM55"/>
      <c r="AN55"/>
    </row>
    <row r="56" spans="2:40" x14ac:dyDescent="0.2">
      <c r="B56" s="280">
        <v>52.481000000000002</v>
      </c>
      <c r="C56" s="270">
        <f t="shared" si="0"/>
        <v>1.0009183775774562</v>
      </c>
      <c r="D56" s="271">
        <f t="shared" si="1"/>
        <v>4.2840991585470375E-2</v>
      </c>
      <c r="E56" s="271">
        <f t="shared" si="2"/>
        <v>1.000000003675197</v>
      </c>
      <c r="F56" s="272">
        <f t="shared" si="3"/>
        <v>8.5734440297523229E-5</v>
      </c>
      <c r="G56" s="271">
        <f t="shared" si="4"/>
        <v>1.0000001410321859</v>
      </c>
      <c r="H56" s="272">
        <f t="shared" si="5"/>
        <v>-5.3109729695055444E-4</v>
      </c>
      <c r="I56" s="270">
        <f t="shared" si="6"/>
        <v>184.68920102936377</v>
      </c>
      <c r="J56" s="273">
        <f t="shared" si="7"/>
        <v>1.5653817986003453</v>
      </c>
      <c r="K56" s="281">
        <f t="shared" si="8"/>
        <v>1.0003835387426867</v>
      </c>
      <c r="L56" s="282">
        <f t="shared" si="9"/>
        <v>2.7691738761629406E-2</v>
      </c>
      <c r="M56" s="270">
        <f t="shared" si="10"/>
        <v>1.0000008966101859</v>
      </c>
      <c r="N56" s="273">
        <f t="shared" si="11"/>
        <v>1.3391112843891507E-3</v>
      </c>
      <c r="O56" s="270">
        <f t="shared" si="12"/>
        <v>14.543832690499952</v>
      </c>
      <c r="P56" s="273">
        <f t="shared" si="13"/>
        <v>1.5019843679098299</v>
      </c>
      <c r="Q56" s="271">
        <f t="shared" si="14"/>
        <v>1.000000128936346</v>
      </c>
      <c r="R56" s="272">
        <f t="shared" si="15"/>
        <v>5.0781164243312985E-4</v>
      </c>
      <c r="S56" s="270">
        <f t="shared" si="16"/>
        <v>1.0000000000067488</v>
      </c>
      <c r="T56" s="273">
        <f t="shared" si="17"/>
        <v>3.6739008234771445E-6</v>
      </c>
      <c r="U56" s="274">
        <f t="shared" si="18"/>
        <v>1.000000061633344</v>
      </c>
      <c r="V56" s="275">
        <f t="shared" si="19"/>
        <v>5.1221769904734142E-4</v>
      </c>
      <c r="W56" s="276">
        <f t="shared" si="20"/>
        <v>41.340782138647938</v>
      </c>
      <c r="X56" s="277">
        <f t="shared" si="21"/>
        <v>-90.689349385259632</v>
      </c>
      <c r="Y56" s="299">
        <f t="shared" si="30"/>
        <v>89.310650614740368</v>
      </c>
      <c r="AB56" s="278">
        <f t="shared" si="22"/>
        <v>30.237517905711861</v>
      </c>
      <c r="AC56" s="279">
        <f t="shared" si="23"/>
        <v>-88.179876052871279</v>
      </c>
      <c r="AF56" s="278">
        <f t="shared" si="24"/>
        <v>72.906796839917845</v>
      </c>
      <c r="AG56" s="279">
        <f t="shared" si="25"/>
        <v>-2.5094733323883491</v>
      </c>
      <c r="AI56">
        <f t="shared" si="26"/>
        <v>0</v>
      </c>
      <c r="AJ56">
        <f t="shared" si="31"/>
        <v>0</v>
      </c>
      <c r="AK56">
        <f t="shared" si="28"/>
        <v>0</v>
      </c>
      <c r="AL56">
        <f t="shared" si="29"/>
        <v>0</v>
      </c>
      <c r="AM56"/>
      <c r="AN56"/>
    </row>
    <row r="57" spans="2:40" x14ac:dyDescent="0.2">
      <c r="B57" s="280">
        <v>57.544000000000004</v>
      </c>
      <c r="C57" s="270">
        <f t="shared" si="0"/>
        <v>1.0011040198234789</v>
      </c>
      <c r="D57" s="271">
        <f t="shared" si="1"/>
        <v>4.6968182059513836E-2</v>
      </c>
      <c r="E57" s="271">
        <f t="shared" si="2"/>
        <v>1.0000000044185169</v>
      </c>
      <c r="F57" s="272">
        <f t="shared" si="3"/>
        <v>9.4005499705339003E-5</v>
      </c>
      <c r="G57" s="271">
        <f t="shared" si="4"/>
        <v>1.0000001695563747</v>
      </c>
      <c r="H57" s="272">
        <f t="shared" si="5"/>
        <v>-5.8233384033387614E-4</v>
      </c>
      <c r="I57" s="270">
        <f t="shared" si="6"/>
        <v>202.50622465979626</v>
      </c>
      <c r="J57" s="273">
        <f t="shared" si="7"/>
        <v>1.5658581869135384</v>
      </c>
      <c r="K57" s="281">
        <f t="shared" si="8"/>
        <v>1.0004610927506865</v>
      </c>
      <c r="L57" s="282">
        <f t="shared" si="9"/>
        <v>3.036167479787015E-2</v>
      </c>
      <c r="M57" s="270">
        <f t="shared" si="10"/>
        <v>1.0000010779522419</v>
      </c>
      <c r="N57" s="273">
        <f t="shared" si="11"/>
        <v>1.4682992022448942E-3</v>
      </c>
      <c r="O57" s="270">
        <f t="shared" si="12"/>
        <v>15.940577289365198</v>
      </c>
      <c r="P57" s="273">
        <f t="shared" si="13"/>
        <v>1.508022121651261</v>
      </c>
      <c r="Q57" s="271">
        <f t="shared" si="14"/>
        <v>1.0000001550141144</v>
      </c>
      <c r="R57" s="272">
        <f t="shared" si="15"/>
        <v>5.5680175004574697E-4</v>
      </c>
      <c r="S57" s="270">
        <f t="shared" si="16"/>
        <v>1.0000000000081137</v>
      </c>
      <c r="T57" s="273">
        <f t="shared" si="17"/>
        <v>4.0283330917089309E-6</v>
      </c>
      <c r="U57" s="274">
        <f t="shared" si="18"/>
        <v>1.0000000740988766</v>
      </c>
      <c r="V57" s="275">
        <f t="shared" si="19"/>
        <v>5.6163287984676224E-4</v>
      </c>
      <c r="W57" s="276">
        <f t="shared" si="20"/>
        <v>40.539905719084082</v>
      </c>
      <c r="X57" s="277">
        <f t="shared" si="21"/>
        <v>-90.812833898635191</v>
      </c>
      <c r="Y57" s="299">
        <f t="shared" si="30"/>
        <v>89.187166101364809</v>
      </c>
      <c r="AB57" s="278">
        <f t="shared" si="22"/>
        <v>29.438252179395171</v>
      </c>
      <c r="AC57" s="279">
        <f t="shared" si="23"/>
        <v>-88.06159694863733</v>
      </c>
      <c r="AF57" s="278">
        <f t="shared" si="24"/>
        <v>72.905186146670673</v>
      </c>
      <c r="AG57" s="279">
        <f t="shared" si="25"/>
        <v>-2.7512369499978533</v>
      </c>
      <c r="AI57">
        <f t="shared" si="26"/>
        <v>0</v>
      </c>
      <c r="AJ57">
        <f t="shared" si="31"/>
        <v>0</v>
      </c>
      <c r="AK57">
        <f t="shared" si="28"/>
        <v>0</v>
      </c>
      <c r="AL57">
        <f t="shared" si="29"/>
        <v>0</v>
      </c>
      <c r="AM57"/>
      <c r="AN57"/>
    </row>
    <row r="58" spans="2:40" x14ac:dyDescent="0.2">
      <c r="B58" s="280">
        <v>63.095999999999997</v>
      </c>
      <c r="C58" s="270">
        <f t="shared" si="0"/>
        <v>1.0013271866421714</v>
      </c>
      <c r="D58" s="271">
        <f t="shared" si="1"/>
        <v>5.1492144041444227E-2</v>
      </c>
      <c r="E58" s="271">
        <f t="shared" si="2"/>
        <v>1.0000000053122693</v>
      </c>
      <c r="F58" s="272">
        <f t="shared" si="3"/>
        <v>1.0307540327182594E-4</v>
      </c>
      <c r="G58" s="271">
        <f t="shared" si="4"/>
        <v>1.0000002038532669</v>
      </c>
      <c r="H58" s="272">
        <f t="shared" si="5"/>
        <v>-6.3851896200462291E-4</v>
      </c>
      <c r="I58" s="270">
        <f t="shared" si="6"/>
        <v>222.04411477986423</v>
      </c>
      <c r="J58" s="273">
        <f t="shared" si="7"/>
        <v>1.5662927020019639</v>
      </c>
      <c r="K58" s="281">
        <f t="shared" si="8"/>
        <v>1.0005543341232532</v>
      </c>
      <c r="L58" s="282">
        <f t="shared" si="9"/>
        <v>3.3288982333241686E-2</v>
      </c>
      <c r="M58" s="270">
        <f t="shared" si="10"/>
        <v>1.000001295994128</v>
      </c>
      <c r="N58" s="273">
        <f t="shared" si="11"/>
        <v>1.6099644271867846E-3</v>
      </c>
      <c r="O58" s="270">
        <f t="shared" si="12"/>
        <v>17.472779780010004</v>
      </c>
      <c r="P58" s="273">
        <f t="shared" si="13"/>
        <v>1.5135331589719339</v>
      </c>
      <c r="Q58" s="271">
        <f t="shared" si="14"/>
        <v>1.0000001863694818</v>
      </c>
      <c r="R58" s="272">
        <f t="shared" si="15"/>
        <v>6.1052346876308225E-4</v>
      </c>
      <c r="S58" s="270">
        <f t="shared" si="16"/>
        <v>1.0000000000097549</v>
      </c>
      <c r="T58" s="273">
        <f t="shared" si="17"/>
        <v>4.4169975106733724E-6</v>
      </c>
      <c r="U58" s="274">
        <f t="shared" si="18"/>
        <v>1.0000000890871747</v>
      </c>
      <c r="V58" s="275">
        <f t="shared" si="19"/>
        <v>6.1582072905093702E-4</v>
      </c>
      <c r="W58" s="276">
        <f t="shared" si="20"/>
        <v>39.738759632013476</v>
      </c>
      <c r="X58" s="277">
        <f t="shared" si="21"/>
        <v>-90.943132398166782</v>
      </c>
      <c r="Y58" s="299">
        <f t="shared" si="30"/>
        <v>89.056867601833218</v>
      </c>
      <c r="AB58" s="278">
        <f t="shared" si="22"/>
        <v>28.639041965748024</v>
      </c>
      <c r="AC58" s="279">
        <f t="shared" si="23"/>
        <v>-87.926887281718166</v>
      </c>
      <c r="AF58" s="278">
        <f t="shared" si="24"/>
        <v>72.90325027324721</v>
      </c>
      <c r="AG58" s="279">
        <f t="shared" si="25"/>
        <v>-3.0162451164486068</v>
      </c>
      <c r="AI58">
        <f t="shared" si="26"/>
        <v>0</v>
      </c>
      <c r="AJ58">
        <f t="shared" si="31"/>
        <v>0</v>
      </c>
      <c r="AK58">
        <f t="shared" si="28"/>
        <v>0</v>
      </c>
      <c r="AL58">
        <f t="shared" si="29"/>
        <v>0</v>
      </c>
      <c r="AM58"/>
      <c r="AN58"/>
    </row>
    <row r="59" spans="2:40" x14ac:dyDescent="0.2">
      <c r="B59" s="280">
        <v>69.183000000000007</v>
      </c>
      <c r="C59" s="270">
        <f t="shared" si="0"/>
        <v>1.0015953975787244</v>
      </c>
      <c r="D59" s="271">
        <f t="shared" si="1"/>
        <v>5.6449612655988871E-2</v>
      </c>
      <c r="E59" s="271">
        <f t="shared" si="2"/>
        <v>1.0000000063866807</v>
      </c>
      <c r="F59" s="272">
        <f t="shared" si="3"/>
        <v>1.1301929788650525E-4</v>
      </c>
      <c r="G59" s="271">
        <f t="shared" si="4"/>
        <v>1.000000245082777</v>
      </c>
      <c r="H59" s="272">
        <f t="shared" si="5"/>
        <v>-7.001181712654749E-4</v>
      </c>
      <c r="I59" s="270">
        <f t="shared" si="6"/>
        <v>243.46474872092628</v>
      </c>
      <c r="J59" s="273">
        <f t="shared" si="7"/>
        <v>1.5666889444447858</v>
      </c>
      <c r="K59" s="281">
        <f t="shared" si="8"/>
        <v>1.0006664113864359</v>
      </c>
      <c r="L59" s="282">
        <f t="shared" si="9"/>
        <v>3.6497712530827689E-2</v>
      </c>
      <c r="M59" s="270">
        <f t="shared" si="10"/>
        <v>1.0000015581099548</v>
      </c>
      <c r="N59" s="273">
        <f t="shared" si="11"/>
        <v>1.7652806755219434E-3</v>
      </c>
      <c r="O59" s="270">
        <f t="shared" si="12"/>
        <v>19.153135423916403</v>
      </c>
      <c r="P59" s="273">
        <f t="shared" si="13"/>
        <v>1.5185618041674818</v>
      </c>
      <c r="Q59" s="271">
        <f t="shared" si="14"/>
        <v>1.0000002240628805</v>
      </c>
      <c r="R59" s="272">
        <f t="shared" si="15"/>
        <v>6.6942189802910704E-4</v>
      </c>
      <c r="S59" s="270">
        <f t="shared" si="16"/>
        <v>1.000000000011728</v>
      </c>
      <c r="T59" s="273">
        <f t="shared" si="17"/>
        <v>4.8431142826885075E-6</v>
      </c>
      <c r="U59" s="274">
        <f t="shared" si="18"/>
        <v>1.0000001071051399</v>
      </c>
      <c r="V59" s="275">
        <f t="shared" si="19"/>
        <v>6.7523020912447433E-4</v>
      </c>
      <c r="W59" s="276">
        <f t="shared" si="20"/>
        <v>38.937467776495915</v>
      </c>
      <c r="X59" s="277">
        <f t="shared" si="21"/>
        <v>-91.081293258077878</v>
      </c>
      <c r="Y59" s="299">
        <f t="shared" si="30"/>
        <v>88.918706741922122</v>
      </c>
      <c r="AB59" s="278">
        <f t="shared" si="22"/>
        <v>27.840076150561302</v>
      </c>
      <c r="AC59" s="279">
        <f t="shared" si="23"/>
        <v>-87.774642568957375</v>
      </c>
      <c r="AF59" s="278">
        <f t="shared" si="24"/>
        <v>72.900924232916367</v>
      </c>
      <c r="AG59" s="279">
        <f t="shared" si="25"/>
        <v>-3.3066506891205085</v>
      </c>
      <c r="AI59">
        <f t="shared" si="26"/>
        <v>0</v>
      </c>
      <c r="AJ59">
        <f t="shared" si="31"/>
        <v>0</v>
      </c>
      <c r="AK59">
        <f t="shared" si="28"/>
        <v>0</v>
      </c>
      <c r="AL59">
        <f t="shared" si="29"/>
        <v>0</v>
      </c>
      <c r="AM59"/>
      <c r="AN59"/>
    </row>
    <row r="60" spans="2:40" x14ac:dyDescent="0.2">
      <c r="B60" s="280">
        <v>75.858000000000004</v>
      </c>
      <c r="C60" s="270">
        <f t="shared" si="0"/>
        <v>1.001917798511397</v>
      </c>
      <c r="D60" s="271">
        <f t="shared" si="1"/>
        <v>6.1882769162881143E-2</v>
      </c>
      <c r="E60" s="271">
        <f t="shared" si="2"/>
        <v>1.0000000076785498</v>
      </c>
      <c r="F60" s="272">
        <f t="shared" si="3"/>
        <v>1.2392376583395765E-4</v>
      </c>
      <c r="G60" s="271">
        <f t="shared" si="4"/>
        <v>1.0000002946570097</v>
      </c>
      <c r="H60" s="272">
        <f t="shared" si="5"/>
        <v>-7.6766781551266682E-4</v>
      </c>
      <c r="I60" s="270">
        <f t="shared" si="6"/>
        <v>266.95463767106156</v>
      </c>
      <c r="J60" s="273">
        <f t="shared" si="7"/>
        <v>1.5670503632580386</v>
      </c>
      <c r="K60" s="281">
        <f t="shared" si="8"/>
        <v>1.0008011561222447</v>
      </c>
      <c r="L60" s="282">
        <f t="shared" si="9"/>
        <v>4.0015537275316204E-2</v>
      </c>
      <c r="M60" s="270">
        <f t="shared" si="10"/>
        <v>1.0000018732771232</v>
      </c>
      <c r="N60" s="273">
        <f t="shared" si="11"/>
        <v>1.9356002680950416E-3</v>
      </c>
      <c r="O60" s="270">
        <f t="shared" si="12"/>
        <v>20.996275602626998</v>
      </c>
      <c r="P60" s="273">
        <f t="shared" si="13"/>
        <v>1.5231508077319666</v>
      </c>
      <c r="Q60" s="271">
        <f t="shared" si="14"/>
        <v>1.0000002693853047</v>
      </c>
      <c r="R60" s="272">
        <f t="shared" si="15"/>
        <v>7.3400986956834429E-4</v>
      </c>
      <c r="S60" s="270">
        <f t="shared" si="16"/>
        <v>1.0000000000141003</v>
      </c>
      <c r="T60" s="273">
        <f t="shared" si="17"/>
        <v>5.3103936408598035E-6</v>
      </c>
      <c r="U60" s="274">
        <f t="shared" si="18"/>
        <v>1.0000001287698854</v>
      </c>
      <c r="V60" s="275">
        <f t="shared" si="19"/>
        <v>7.4037860285586221E-4</v>
      </c>
      <c r="W60" s="276">
        <f t="shared" si="20"/>
        <v>38.135811754448568</v>
      </c>
      <c r="X60" s="277">
        <f t="shared" si="21"/>
        <v>-91.228478308424428</v>
      </c>
      <c r="Y60" s="299">
        <f t="shared" si="30"/>
        <v>88.771521691575572</v>
      </c>
      <c r="AB60" s="278">
        <f t="shared" si="22"/>
        <v>27.041215303374635</v>
      </c>
      <c r="AC60" s="279">
        <f t="shared" si="23"/>
        <v>-87.603552424490331</v>
      </c>
      <c r="AF60" s="278">
        <f t="shared" si="24"/>
        <v>72.898129058055702</v>
      </c>
      <c r="AG60" s="279">
        <f t="shared" si="25"/>
        <v>-3.6249258839340914</v>
      </c>
      <c r="AI60">
        <f t="shared" si="26"/>
        <v>0</v>
      </c>
      <c r="AJ60">
        <f t="shared" si="31"/>
        <v>0</v>
      </c>
      <c r="AK60">
        <f t="shared" si="28"/>
        <v>0</v>
      </c>
      <c r="AL60">
        <f t="shared" si="29"/>
        <v>0</v>
      </c>
      <c r="AM60"/>
      <c r="AN60"/>
    </row>
    <row r="61" spans="2:40" x14ac:dyDescent="0.2">
      <c r="B61" s="280">
        <v>83.176000000000002</v>
      </c>
      <c r="C61" s="270">
        <f t="shared" si="0"/>
        <v>1.0023052191773849</v>
      </c>
      <c r="D61" s="271">
        <f t="shared" si="1"/>
        <v>6.7835086912042528E-2</v>
      </c>
      <c r="E61" s="271">
        <f t="shared" si="2"/>
        <v>1.0000000092315047</v>
      </c>
      <c r="F61" s="272">
        <f t="shared" si="3"/>
        <v>1.3587865665234903E-4</v>
      </c>
      <c r="G61" s="271">
        <f t="shared" si="4"/>
        <v>1.0000003542501557</v>
      </c>
      <c r="H61" s="272">
        <f t="shared" si="5"/>
        <v>-8.4172448108755236E-4</v>
      </c>
      <c r="I61" s="270">
        <f t="shared" si="6"/>
        <v>292.7073312760416</v>
      </c>
      <c r="J61" s="273">
        <f t="shared" si="7"/>
        <v>1.5673799383466531</v>
      </c>
      <c r="K61" s="281">
        <f t="shared" si="8"/>
        <v>1.0009631086624922</v>
      </c>
      <c r="L61" s="282">
        <f t="shared" si="9"/>
        <v>4.387109105832844E-2</v>
      </c>
      <c r="M61" s="270">
        <f t="shared" si="10"/>
        <v>1.0000022521392138</v>
      </c>
      <c r="N61" s="273">
        <f t="shared" si="11"/>
        <v>2.1223265474405919E-3</v>
      </c>
      <c r="O61" s="270">
        <f t="shared" si="12"/>
        <v>23.017387517213795</v>
      </c>
      <c r="P61" s="273">
        <f t="shared" si="13"/>
        <v>1.5273372308919997</v>
      </c>
      <c r="Q61" s="271">
        <f t="shared" si="14"/>
        <v>1.0000003238673549</v>
      </c>
      <c r="R61" s="272">
        <f t="shared" si="15"/>
        <v>8.0481956673949834E-4</v>
      </c>
      <c r="S61" s="270">
        <f t="shared" si="16"/>
        <v>1.0000000000169518</v>
      </c>
      <c r="T61" s="273">
        <f t="shared" si="17"/>
        <v>5.8226858270889729E-6</v>
      </c>
      <c r="U61" s="274">
        <f t="shared" si="18"/>
        <v>1.0000001548130606</v>
      </c>
      <c r="V61" s="275">
        <f t="shared" si="19"/>
        <v>8.1180271303242014E-4</v>
      </c>
      <c r="W61" s="276">
        <f t="shared" si="20"/>
        <v>37.333933626816552</v>
      </c>
      <c r="X61" s="277">
        <f t="shared" si="21"/>
        <v>-91.385846393323234</v>
      </c>
      <c r="Y61" s="299">
        <f t="shared" si="30"/>
        <v>88.614153606676766</v>
      </c>
      <c r="AB61" s="278">
        <f t="shared" si="22"/>
        <v>26.242694873580319</v>
      </c>
      <c r="AC61" s="279">
        <f t="shared" si="23"/>
        <v>-87.41222735437897</v>
      </c>
      <c r="AF61" s="278">
        <f t="shared" si="24"/>
        <v>72.894771360217987</v>
      </c>
      <c r="AG61" s="279">
        <f t="shared" si="25"/>
        <v>-3.9736190389442618</v>
      </c>
      <c r="AI61">
        <f t="shared" si="26"/>
        <v>0</v>
      </c>
      <c r="AJ61">
        <f t="shared" si="31"/>
        <v>0</v>
      </c>
      <c r="AK61">
        <f t="shared" si="28"/>
        <v>0</v>
      </c>
      <c r="AL61">
        <f t="shared" si="29"/>
        <v>0</v>
      </c>
      <c r="AM61"/>
      <c r="AN61"/>
    </row>
    <row r="62" spans="2:40" x14ac:dyDescent="0.2">
      <c r="B62" s="280">
        <v>91.201000000000008</v>
      </c>
      <c r="C62" s="270">
        <f t="shared" si="0"/>
        <v>1.0027708586928084</v>
      </c>
      <c r="D62" s="271">
        <f t="shared" si="1"/>
        <v>7.435691946455153E-2</v>
      </c>
      <c r="E62" s="271">
        <f t="shared" si="2"/>
        <v>1.0000000110987901</v>
      </c>
      <c r="F62" s="272">
        <f t="shared" si="3"/>
        <v>1.489885225296273E-4</v>
      </c>
      <c r="G62" s="271">
        <f t="shared" si="4"/>
        <v>1.0000004259054258</v>
      </c>
      <c r="H62" s="272">
        <f t="shared" si="5"/>
        <v>-9.229358316405681E-4</v>
      </c>
      <c r="I62" s="270">
        <f t="shared" si="6"/>
        <v>320.94805123413539</v>
      </c>
      <c r="J62" s="273">
        <f t="shared" si="7"/>
        <v>1.5676805527181743</v>
      </c>
      <c r="K62" s="281">
        <f t="shared" si="8"/>
        <v>1.001157807002627</v>
      </c>
      <c r="L62" s="282">
        <f t="shared" si="9"/>
        <v>4.8097630038425432E-2</v>
      </c>
      <c r="M62" s="270">
        <f t="shared" si="10"/>
        <v>1.0000027076858304</v>
      </c>
      <c r="N62" s="273">
        <f t="shared" si="11"/>
        <v>2.3270924866551058E-3</v>
      </c>
      <c r="O62" s="270">
        <f t="shared" si="12"/>
        <v>25.234147137176382</v>
      </c>
      <c r="P62" s="273">
        <f t="shared" si="13"/>
        <v>1.5311571061568763</v>
      </c>
      <c r="Q62" s="271">
        <f t="shared" si="14"/>
        <v>1.0000003893770038</v>
      </c>
      <c r="R62" s="272">
        <f t="shared" si="15"/>
        <v>8.8247025705238502E-4</v>
      </c>
      <c r="S62" s="270">
        <f t="shared" si="16"/>
        <v>1.0000000000203806</v>
      </c>
      <c r="T62" s="273">
        <f t="shared" si="17"/>
        <v>6.3844711228614923E-6</v>
      </c>
      <c r="U62" s="274">
        <f t="shared" si="18"/>
        <v>1.0000001861275825</v>
      </c>
      <c r="V62" s="275">
        <f t="shared" si="19"/>
        <v>8.9012718281384446E-4</v>
      </c>
      <c r="W62" s="276">
        <f t="shared" si="20"/>
        <v>36.531562260344863</v>
      </c>
      <c r="X62" s="277">
        <f t="shared" si="21"/>
        <v>-91.554702775821696</v>
      </c>
      <c r="Y62" s="299">
        <f t="shared" si="30"/>
        <v>88.445297224178304</v>
      </c>
      <c r="AB62" s="278">
        <f t="shared" si="22"/>
        <v>25.444357394914512</v>
      </c>
      <c r="AC62" s="279">
        <f t="shared" si="23"/>
        <v>-87.19902066772606</v>
      </c>
      <c r="AF62" s="278">
        <f t="shared" si="24"/>
        <v>72.890737472412113</v>
      </c>
      <c r="AG62" s="279">
        <f t="shared" si="25"/>
        <v>-4.3556821080956301</v>
      </c>
      <c r="AI62">
        <f t="shared" si="26"/>
        <v>0</v>
      </c>
      <c r="AJ62">
        <f t="shared" si="31"/>
        <v>0</v>
      </c>
      <c r="AK62">
        <f t="shared" si="28"/>
        <v>0</v>
      </c>
      <c r="AL62">
        <f t="shared" si="29"/>
        <v>0</v>
      </c>
      <c r="AM62"/>
      <c r="AN62"/>
    </row>
    <row r="63" spans="2:40" x14ac:dyDescent="0.2">
      <c r="B63" s="280">
        <v>100</v>
      </c>
      <c r="C63" s="270">
        <f t="shared" si="0"/>
        <v>1.003330380570197</v>
      </c>
      <c r="D63" s="271">
        <f t="shared" si="1"/>
        <v>8.1500477293074691E-2</v>
      </c>
      <c r="E63" s="271">
        <f t="shared" si="2"/>
        <v>1.000000013343705</v>
      </c>
      <c r="F63" s="272">
        <f t="shared" si="3"/>
        <v>1.6336281653342571E-4</v>
      </c>
      <c r="G63" s="271">
        <f t="shared" si="4"/>
        <v>1.0000005120518665</v>
      </c>
      <c r="H63" s="272">
        <f t="shared" si="5"/>
        <v>-1.0119798890752256E-3</v>
      </c>
      <c r="I63" s="270">
        <f t="shared" si="6"/>
        <v>351.91257676892457</v>
      </c>
      <c r="J63" s="273">
        <f t="shared" si="7"/>
        <v>1.5679547081321532</v>
      </c>
      <c r="K63" s="281">
        <f t="shared" si="8"/>
        <v>1.0013918299777382</v>
      </c>
      <c r="L63" s="282">
        <f t="shared" si="9"/>
        <v>5.2729831541013836E-2</v>
      </c>
      <c r="M63" s="270">
        <f t="shared" si="10"/>
        <v>1.0000032553594744</v>
      </c>
      <c r="N63" s="273">
        <f t="shared" si="11"/>
        <v>2.5516075887314503E-3</v>
      </c>
      <c r="O63" s="270">
        <f t="shared" si="12"/>
        <v>27.665062206837117</v>
      </c>
      <c r="P63" s="273">
        <f t="shared" si="13"/>
        <v>1.5346417761801721</v>
      </c>
      <c r="Q63" s="271">
        <f t="shared" si="14"/>
        <v>1.0000004681349663</v>
      </c>
      <c r="R63" s="272">
        <f t="shared" si="15"/>
        <v>9.6761023532420439E-4</v>
      </c>
      <c r="S63" s="270">
        <f t="shared" si="16"/>
        <v>1.0000000000245031</v>
      </c>
      <c r="T63" s="273">
        <f t="shared" si="17"/>
        <v>7.0004398228571471E-6</v>
      </c>
      <c r="U63" s="274">
        <f t="shared" si="18"/>
        <v>1.0000002237749859</v>
      </c>
      <c r="V63" s="275">
        <f t="shared" si="19"/>
        <v>9.7600593532784562E-4</v>
      </c>
      <c r="W63" s="276">
        <f t="shared" si="20"/>
        <v>35.728741988362216</v>
      </c>
      <c r="X63" s="277">
        <f t="shared" si="21"/>
        <v>-91.736363362459556</v>
      </c>
      <c r="Y63" s="299">
        <f t="shared" si="30"/>
        <v>88.263636637540444</v>
      </c>
      <c r="AB63" s="278">
        <f t="shared" si="22"/>
        <v>24.646381846824479</v>
      </c>
      <c r="AC63" s="279">
        <f t="shared" si="23"/>
        <v>-86.962186787711161</v>
      </c>
      <c r="AF63" s="278">
        <f t="shared" si="24"/>
        <v>72.885892748519495</v>
      </c>
      <c r="AG63" s="279">
        <f t="shared" si="25"/>
        <v>-4.7741765747483766</v>
      </c>
      <c r="AI63">
        <f t="shared" si="26"/>
        <v>0</v>
      </c>
      <c r="AJ63">
        <f t="shared" si="31"/>
        <v>0</v>
      </c>
      <c r="AK63">
        <f t="shared" si="28"/>
        <v>0</v>
      </c>
      <c r="AL63">
        <f t="shared" si="29"/>
        <v>0</v>
      </c>
      <c r="AM63"/>
      <c r="AN63"/>
    </row>
    <row r="64" spans="2:40" x14ac:dyDescent="0.2">
      <c r="B64" s="280">
        <v>109.65</v>
      </c>
      <c r="C64" s="270">
        <f t="shared" si="0"/>
        <v>1.0040028137815553</v>
      </c>
      <c r="D64" s="271">
        <f t="shared" si="1"/>
        <v>8.9325328232718271E-2</v>
      </c>
      <c r="E64" s="271">
        <f t="shared" si="2"/>
        <v>1.0000000160433</v>
      </c>
      <c r="F64" s="272">
        <f t="shared" si="3"/>
        <v>1.7912732800652053E-4</v>
      </c>
      <c r="G64" s="271">
        <f t="shared" si="4"/>
        <v>1.0000006156461998</v>
      </c>
      <c r="H64" s="272">
        <f t="shared" si="5"/>
        <v>-1.1096358717363551E-3</v>
      </c>
      <c r="I64" s="270">
        <f t="shared" si="6"/>
        <v>385.8718782777018</v>
      </c>
      <c r="J64" s="273">
        <f t="shared" si="7"/>
        <v>1.5682047901330181</v>
      </c>
      <c r="K64" s="281">
        <f t="shared" si="8"/>
        <v>1.0016731790221787</v>
      </c>
      <c r="L64" s="282">
        <f t="shared" si="9"/>
        <v>5.7807428730644664E-2</v>
      </c>
      <c r="M64" s="270">
        <f t="shared" si="10"/>
        <v>1.0000039139572856</v>
      </c>
      <c r="N64" s="273">
        <f t="shared" si="11"/>
        <v>2.7978364926143353E-3</v>
      </c>
      <c r="O64" s="270">
        <f t="shared" si="12"/>
        <v>30.331405863899707</v>
      </c>
      <c r="P64" s="273">
        <f t="shared" si="13"/>
        <v>1.5378212232430535</v>
      </c>
      <c r="Q64" s="271">
        <f t="shared" si="14"/>
        <v>1.000000562844378</v>
      </c>
      <c r="R64" s="272">
        <f t="shared" si="15"/>
        <v>1.0609845560428646E-3</v>
      </c>
      <c r="S64" s="270">
        <f t="shared" si="16"/>
        <v>1.0000000000294604</v>
      </c>
      <c r="T64" s="273">
        <f t="shared" si="17"/>
        <v>7.6759822657374932E-6</v>
      </c>
      <c r="U64" s="274">
        <f t="shared" si="18"/>
        <v>1.0000002690474084</v>
      </c>
      <c r="V64" s="275">
        <f t="shared" si="19"/>
        <v>1.0701904940114187E-3</v>
      </c>
      <c r="W64" s="276">
        <f t="shared" si="20"/>
        <v>34.925190662273216</v>
      </c>
      <c r="X64" s="277">
        <f t="shared" si="21"/>
        <v>-91.932294341140164</v>
      </c>
      <c r="Y64" s="299">
        <f t="shared" si="30"/>
        <v>88.067705658859836</v>
      </c>
      <c r="AB64" s="278">
        <f t="shared" si="22"/>
        <v>23.848649334401983</v>
      </c>
      <c r="AC64" s="279">
        <f t="shared" si="23"/>
        <v>-86.699698418846182</v>
      </c>
      <c r="AF64" s="278">
        <f t="shared" si="24"/>
        <v>72.880073934852987</v>
      </c>
      <c r="AG64" s="279">
        <f t="shared" si="25"/>
        <v>-5.2325959222939922</v>
      </c>
      <c r="AI64">
        <f t="shared" si="26"/>
        <v>0</v>
      </c>
      <c r="AJ64">
        <f t="shared" si="31"/>
        <v>0</v>
      </c>
      <c r="AK64">
        <f t="shared" si="28"/>
        <v>0</v>
      </c>
      <c r="AL64">
        <f t="shared" si="29"/>
        <v>0</v>
      </c>
      <c r="AM64"/>
      <c r="AN64"/>
    </row>
    <row r="65" spans="2:40" x14ac:dyDescent="0.2">
      <c r="B65" s="280">
        <v>120.23</v>
      </c>
      <c r="C65" s="270">
        <f t="shared" si="0"/>
        <v>1.0048105949025972</v>
      </c>
      <c r="D65" s="271">
        <f t="shared" si="1"/>
        <v>9.7891663432821754E-2</v>
      </c>
      <c r="E65" s="271">
        <f t="shared" si="2"/>
        <v>1.0000000192886631</v>
      </c>
      <c r="F65" s="272">
        <f t="shared" si="3"/>
        <v>1.9641111353970055E-4</v>
      </c>
      <c r="G65" s="271">
        <f t="shared" si="4"/>
        <v>1.0000007401838382</v>
      </c>
      <c r="H65" s="272">
        <f t="shared" si="5"/>
        <v>-1.2167032355892759E-3</v>
      </c>
      <c r="I65" s="270">
        <f t="shared" si="6"/>
        <v>423.10396455336905</v>
      </c>
      <c r="J65" s="273">
        <f t="shared" si="7"/>
        <v>1.5684328392958646</v>
      </c>
      <c r="K65" s="281">
        <f t="shared" si="8"/>
        <v>1.0020113028916047</v>
      </c>
      <c r="L65" s="282">
        <f t="shared" si="9"/>
        <v>6.3370932631246046E-2</v>
      </c>
      <c r="M65" s="270">
        <f t="shared" si="10"/>
        <v>1.0000047057010359</v>
      </c>
      <c r="N65" s="273">
        <f t="shared" si="11"/>
        <v>3.067794837705477E-3</v>
      </c>
      <c r="O65" s="270">
        <f t="shared" si="12"/>
        <v>33.255006345971012</v>
      </c>
      <c r="P65" s="273">
        <f t="shared" si="13"/>
        <v>1.5407211327507977</v>
      </c>
      <c r="Q65" s="271">
        <f t="shared" si="14"/>
        <v>1.0000006767008625</v>
      </c>
      <c r="R65" s="272">
        <f t="shared" si="15"/>
        <v>1.1633576241725308E-3</v>
      </c>
      <c r="S65" s="270">
        <f t="shared" si="16"/>
        <v>1.0000000000354197</v>
      </c>
      <c r="T65" s="273">
        <f t="shared" si="17"/>
        <v>8.4166287989598921E-6</v>
      </c>
      <c r="U65" s="274">
        <f t="shared" si="18"/>
        <v>1.0000003234724057</v>
      </c>
      <c r="V65" s="275">
        <f t="shared" si="19"/>
        <v>1.1734519020570925E-3</v>
      </c>
      <c r="W65" s="276">
        <f t="shared" si="20"/>
        <v>34.121051099238549</v>
      </c>
      <c r="X65" s="277">
        <f t="shared" si="21"/>
        <v>-92.143938292537001</v>
      </c>
      <c r="Y65" s="299">
        <f t="shared" si="30"/>
        <v>87.856061707462999</v>
      </c>
      <c r="AB65" s="278">
        <f t="shared" si="22"/>
        <v>23.051494649136586</v>
      </c>
      <c r="AC65" s="279">
        <f t="shared" si="23"/>
        <v>-86.409466854407825</v>
      </c>
      <c r="AF65" s="278">
        <f t="shared" si="24"/>
        <v>72.873089057083718</v>
      </c>
      <c r="AG65" s="279">
        <f t="shared" si="25"/>
        <v>-5.7344714381291757</v>
      </c>
      <c r="AI65">
        <f t="shared" si="26"/>
        <v>0</v>
      </c>
      <c r="AJ65">
        <f t="shared" si="31"/>
        <v>0</v>
      </c>
      <c r="AK65">
        <f t="shared" si="28"/>
        <v>0</v>
      </c>
      <c r="AL65">
        <f t="shared" si="29"/>
        <v>0</v>
      </c>
      <c r="AM65"/>
      <c r="AN65"/>
    </row>
    <row r="66" spans="2:40" x14ac:dyDescent="0.2">
      <c r="B66" s="280">
        <v>131.83000000000001</v>
      </c>
      <c r="C66" s="270">
        <f t="shared" si="0"/>
        <v>1.0057808468718294</v>
      </c>
      <c r="D66" s="271">
        <f t="shared" si="1"/>
        <v>0.10726728362549642</v>
      </c>
      <c r="E66" s="271">
        <f t="shared" si="2"/>
        <v>1.0000000231902235</v>
      </c>
      <c r="F66" s="272">
        <f t="shared" si="3"/>
        <v>2.1536119962230983E-4</v>
      </c>
      <c r="G66" s="271">
        <f t="shared" si="4"/>
        <v>1.0000008899023951</v>
      </c>
      <c r="H66" s="272">
        <f t="shared" si="5"/>
        <v>-1.3340927517095662E-3</v>
      </c>
      <c r="I66" s="270">
        <f t="shared" si="6"/>
        <v>463.92555466064857</v>
      </c>
      <c r="J66" s="273">
        <f t="shared" si="7"/>
        <v>1.5686408068750906</v>
      </c>
      <c r="K66" s="281">
        <f t="shared" si="8"/>
        <v>1.002417642880381</v>
      </c>
      <c r="L66" s="282">
        <f t="shared" si="9"/>
        <v>6.946628070015122E-2</v>
      </c>
      <c r="M66" s="270">
        <f t="shared" si="10"/>
        <v>1.000005657530908</v>
      </c>
      <c r="N66" s="273">
        <f t="shared" si="11"/>
        <v>3.363778897322246E-3</v>
      </c>
      <c r="O66" s="270">
        <f t="shared" si="12"/>
        <v>36.460733601719873</v>
      </c>
      <c r="P66" s="273">
        <f t="shared" si="13"/>
        <v>1.5433661213407477</v>
      </c>
      <c r="Q66" s="271">
        <f t="shared" si="14"/>
        <v>1.0000008135785881</v>
      </c>
      <c r="R66" s="272">
        <f t="shared" si="15"/>
        <v>1.2756002794626826E-3</v>
      </c>
      <c r="S66" s="270">
        <f t="shared" si="16"/>
        <v>1.0000000000425842</v>
      </c>
      <c r="T66" s="273">
        <f t="shared" si="17"/>
        <v>9.2286798183613338E-6</v>
      </c>
      <c r="U66" s="274">
        <f t="shared" si="18"/>
        <v>1.0000003889018887</v>
      </c>
      <c r="V66" s="275">
        <f t="shared" si="19"/>
        <v>1.2866685628184944E-3</v>
      </c>
      <c r="W66" s="276">
        <f t="shared" si="20"/>
        <v>33.316158098159093</v>
      </c>
      <c r="X66" s="277">
        <f t="shared" si="21"/>
        <v>-92.372885343578815</v>
      </c>
      <c r="Y66" s="299">
        <f t="shared" si="30"/>
        <v>87.627114656421185</v>
      </c>
      <c r="AB66" s="278">
        <f t="shared" si="22"/>
        <v>22.254983989626002</v>
      </c>
      <c r="AC66" s="279">
        <f t="shared" si="23"/>
        <v>-86.089103437380729</v>
      </c>
      <c r="AF66" s="278">
        <f t="shared" si="24"/>
        <v>72.864706715514856</v>
      </c>
      <c r="AG66" s="279">
        <f t="shared" si="25"/>
        <v>-6.283781906198092</v>
      </c>
      <c r="AI66">
        <f t="shared" si="26"/>
        <v>0</v>
      </c>
      <c r="AJ66">
        <f t="shared" si="31"/>
        <v>0</v>
      </c>
      <c r="AK66">
        <f t="shared" si="28"/>
        <v>0</v>
      </c>
      <c r="AL66">
        <f t="shared" si="29"/>
        <v>0</v>
      </c>
      <c r="AM66"/>
      <c r="AN66"/>
    </row>
    <row r="67" spans="2:40" x14ac:dyDescent="0.2">
      <c r="B67" s="280">
        <v>144.54</v>
      </c>
      <c r="C67" s="270">
        <f t="shared" si="0"/>
        <v>1.0069452361982116</v>
      </c>
      <c r="D67" s="271">
        <f t="shared" si="1"/>
        <v>0.11751830560593347</v>
      </c>
      <c r="E67" s="271">
        <f t="shared" si="2"/>
        <v>1.000000027877417</v>
      </c>
      <c r="F67" s="272">
        <f t="shared" si="3"/>
        <v>2.3612461272956882E-4</v>
      </c>
      <c r="G67" s="271">
        <f t="shared" si="4"/>
        <v>1.000001069768814</v>
      </c>
      <c r="H67" s="272">
        <f t="shared" si="5"/>
        <v>-1.4627151878155123E-3</v>
      </c>
      <c r="I67" s="270">
        <f t="shared" si="6"/>
        <v>508.65336781125581</v>
      </c>
      <c r="J67" s="273">
        <f t="shared" si="7"/>
        <v>1.5688303501446668</v>
      </c>
      <c r="K67" s="281">
        <f t="shared" si="8"/>
        <v>1.002905587319721</v>
      </c>
      <c r="L67" s="282">
        <f t="shared" si="9"/>
        <v>7.6138943448286672E-2</v>
      </c>
      <c r="M67" s="270">
        <f t="shared" si="10"/>
        <v>1.0000068010236263</v>
      </c>
      <c r="N67" s="273">
        <f t="shared" si="11"/>
        <v>3.6880848909673562E-3</v>
      </c>
      <c r="O67" s="270">
        <f t="shared" si="12"/>
        <v>39.973459430524379</v>
      </c>
      <c r="P67" s="273">
        <f t="shared" si="13"/>
        <v>1.5457771178329995</v>
      </c>
      <c r="Q67" s="271">
        <f t="shared" si="14"/>
        <v>1.0000009780185029</v>
      </c>
      <c r="R67" s="272">
        <f t="shared" si="15"/>
        <v>1.3985833587280235E-3</v>
      </c>
      <c r="S67" s="270">
        <f t="shared" si="16"/>
        <v>1.0000000000511915</v>
      </c>
      <c r="T67" s="273">
        <f t="shared" si="17"/>
        <v>1.0118435719777689E-5</v>
      </c>
      <c r="U67" s="274">
        <f t="shared" si="18"/>
        <v>1.0000004675065002</v>
      </c>
      <c r="V67" s="275">
        <f t="shared" si="19"/>
        <v>1.4107188790326095E-3</v>
      </c>
      <c r="W67" s="276">
        <f t="shared" si="20"/>
        <v>32.510853682961027</v>
      </c>
      <c r="X67" s="277">
        <f t="shared" si="21"/>
        <v>-92.620639045626419</v>
      </c>
      <c r="Y67" s="299">
        <f t="shared" si="30"/>
        <v>87.379360954373581</v>
      </c>
      <c r="AB67" s="278">
        <f t="shared" si="22"/>
        <v>21.459728465116342</v>
      </c>
      <c r="AC67" s="279">
        <f t="shared" si="23"/>
        <v>-85.736229417886875</v>
      </c>
      <c r="AF67" s="278">
        <f t="shared" si="24"/>
        <v>72.854657824826447</v>
      </c>
      <c r="AG67" s="279">
        <f t="shared" si="25"/>
        <v>-6.8844096277395348</v>
      </c>
      <c r="AI67">
        <f t="shared" si="26"/>
        <v>0</v>
      </c>
      <c r="AJ67">
        <f t="shared" si="31"/>
        <v>0</v>
      </c>
      <c r="AK67">
        <f t="shared" si="28"/>
        <v>0</v>
      </c>
      <c r="AL67">
        <f t="shared" si="29"/>
        <v>0</v>
      </c>
      <c r="AM67"/>
      <c r="AN67"/>
    </row>
    <row r="68" spans="2:40" x14ac:dyDescent="0.2">
      <c r="B68" s="280">
        <v>158.49</v>
      </c>
      <c r="C68" s="270">
        <f t="shared" si="0"/>
        <v>1.0083447227635123</v>
      </c>
      <c r="D68" s="271">
        <f t="shared" si="1"/>
        <v>0.12874085855742978</v>
      </c>
      <c r="E68" s="271">
        <f t="shared" si="2"/>
        <v>1.0000000335181591</v>
      </c>
      <c r="F68" s="272">
        <f t="shared" si="3"/>
        <v>2.5891372444153106E-4</v>
      </c>
      <c r="G68" s="271">
        <f t="shared" si="4"/>
        <v>1.0000012862266869</v>
      </c>
      <c r="H68" s="272">
        <f t="shared" si="5"/>
        <v>-1.6038860984035025E-3</v>
      </c>
      <c r="I68" s="270">
        <f t="shared" si="6"/>
        <v>557.74488754676872</v>
      </c>
      <c r="J68" s="273">
        <f t="shared" si="7"/>
        <v>1.5690033914258819</v>
      </c>
      <c r="K68" s="281">
        <f t="shared" si="8"/>
        <v>1.0034924831726848</v>
      </c>
      <c r="L68" s="282">
        <f t="shared" si="9"/>
        <v>8.3454764291554143E-2</v>
      </c>
      <c r="M68" s="270">
        <f t="shared" si="10"/>
        <v>1.0000081771434164</v>
      </c>
      <c r="N68" s="273">
        <f t="shared" si="11"/>
        <v>4.0440295981877053E-3</v>
      </c>
      <c r="O68" s="270">
        <f t="shared" si="12"/>
        <v>43.829112724255758</v>
      </c>
      <c r="P68" s="273">
        <f t="shared" si="13"/>
        <v>1.5479784617062036</v>
      </c>
      <c r="Q68" s="271">
        <f t="shared" si="14"/>
        <v>1.0000011759115557</v>
      </c>
      <c r="R68" s="272">
        <f t="shared" si="15"/>
        <v>1.5335647383514504E-3</v>
      </c>
      <c r="S68" s="270">
        <f t="shared" si="16"/>
        <v>1.0000000000615494</v>
      </c>
      <c r="T68" s="273">
        <f t="shared" si="17"/>
        <v>1.1094997074972272E-5</v>
      </c>
      <c r="U68" s="274">
        <f t="shared" si="18"/>
        <v>1.0000005621022057</v>
      </c>
      <c r="V68" s="275">
        <f t="shared" si="19"/>
        <v>1.5468716548595884E-3</v>
      </c>
      <c r="W68" s="276">
        <f t="shared" si="20"/>
        <v>31.70358725693459</v>
      </c>
      <c r="X68" s="277">
        <f t="shared" si="21"/>
        <v>-92.889370728545714</v>
      </c>
      <c r="Y68" s="299">
        <f t="shared" si="30"/>
        <v>87.110629271454286</v>
      </c>
      <c r="AB68" s="278">
        <f t="shared" si="22"/>
        <v>20.664524493740736</v>
      </c>
      <c r="AC68" s="279">
        <f t="shared" si="23"/>
        <v>-85.347372424452715</v>
      </c>
      <c r="AF68" s="278">
        <f t="shared" si="24"/>
        <v>72.842595370175601</v>
      </c>
      <c r="AG68" s="279">
        <f t="shared" si="25"/>
        <v>-7.5419983040929983</v>
      </c>
      <c r="AI68">
        <f t="shared" si="26"/>
        <v>0</v>
      </c>
      <c r="AJ68">
        <f t="shared" si="31"/>
        <v>0</v>
      </c>
      <c r="AK68">
        <f t="shared" si="28"/>
        <v>0</v>
      </c>
      <c r="AL68">
        <f t="shared" si="29"/>
        <v>0</v>
      </c>
      <c r="AM68"/>
      <c r="AN68"/>
    </row>
    <row r="69" spans="2:40" x14ac:dyDescent="0.2">
      <c r="B69" s="280">
        <v>173.78</v>
      </c>
      <c r="C69" s="270">
        <f t="shared" si="0"/>
        <v>1.0100240855766431</v>
      </c>
      <c r="D69" s="271">
        <f t="shared" si="1"/>
        <v>0.14100397441197399</v>
      </c>
      <c r="E69" s="271">
        <f t="shared" si="2"/>
        <v>1.0000000402973062</v>
      </c>
      <c r="F69" s="272">
        <f t="shared" si="3"/>
        <v>2.8389189747051466E-4</v>
      </c>
      <c r="G69" s="271">
        <f t="shared" si="4"/>
        <v>1.0000015463696403</v>
      </c>
      <c r="H69" s="272">
        <f t="shared" si="5"/>
        <v>-1.7586174385892414E-3</v>
      </c>
      <c r="I69" s="270">
        <f t="shared" si="6"/>
        <v>611.5520244173963</v>
      </c>
      <c r="J69" s="273">
        <f t="shared" si="7"/>
        <v>1.5691611422059961</v>
      </c>
      <c r="K69" s="281">
        <f t="shared" si="8"/>
        <v>1.0041973714714969</v>
      </c>
      <c r="L69" s="282">
        <f t="shared" si="9"/>
        <v>9.1463022691666049E-2</v>
      </c>
      <c r="M69" s="270">
        <f t="shared" si="10"/>
        <v>1.0000098309867465</v>
      </c>
      <c r="N69" s="273">
        <f t="shared" si="11"/>
        <v>4.4341642294740214E-3</v>
      </c>
      <c r="O69" s="270">
        <f t="shared" si="12"/>
        <v>48.055332790718936</v>
      </c>
      <c r="P69" s="273">
        <f t="shared" si="13"/>
        <v>1.5499854796430137</v>
      </c>
      <c r="Q69" s="271">
        <f t="shared" si="14"/>
        <v>1.0000014137429802</v>
      </c>
      <c r="R69" s="272">
        <f t="shared" si="15"/>
        <v>1.6815120069126469E-3</v>
      </c>
      <c r="S69" s="270">
        <f t="shared" si="16"/>
        <v>1.0000000000739981</v>
      </c>
      <c r="T69" s="273">
        <f t="shared" si="17"/>
        <v>1.2165364323759733E-5</v>
      </c>
      <c r="U69" s="274">
        <f t="shared" si="18"/>
        <v>1.0000006757890509</v>
      </c>
      <c r="V69" s="275">
        <f t="shared" si="19"/>
        <v>1.6961028916845852E-3</v>
      </c>
      <c r="W69" s="276">
        <f t="shared" si="20"/>
        <v>30.895263141526293</v>
      </c>
      <c r="X69" s="277">
        <f t="shared" si="21"/>
        <v>-93.180532253742655</v>
      </c>
      <c r="Y69" s="299">
        <f t="shared" si="30"/>
        <v>86.819467746257345</v>
      </c>
      <c r="AB69" s="278">
        <f t="shared" si="22"/>
        <v>19.870653059286237</v>
      </c>
      <c r="AC69" s="279">
        <f t="shared" si="23"/>
        <v>-84.919924538606182</v>
      </c>
      <c r="AF69" s="278">
        <f t="shared" si="24"/>
        <v>72.828142689221821</v>
      </c>
      <c r="AG69" s="279">
        <f t="shared" si="25"/>
        <v>-8.2606077151364747</v>
      </c>
      <c r="AI69">
        <f t="shared" si="26"/>
        <v>0</v>
      </c>
      <c r="AJ69">
        <f t="shared" si="31"/>
        <v>0</v>
      </c>
      <c r="AK69">
        <f t="shared" si="28"/>
        <v>0</v>
      </c>
      <c r="AL69">
        <f t="shared" si="29"/>
        <v>0</v>
      </c>
      <c r="AM69"/>
      <c r="AN69"/>
    </row>
    <row r="70" spans="2:40" x14ac:dyDescent="0.2">
      <c r="B70" s="280">
        <v>190.55</v>
      </c>
      <c r="C70" s="270">
        <f t="shared" si="0"/>
        <v>1.0120400344544691</v>
      </c>
      <c r="D70" s="271">
        <f t="shared" si="1"/>
        <v>0.15440505625029799</v>
      </c>
      <c r="E70" s="271">
        <f t="shared" si="2"/>
        <v>1.0000000484500615</v>
      </c>
      <c r="F70" s="272">
        <f t="shared" si="3"/>
        <v>3.1128783961898826E-4</v>
      </c>
      <c r="G70" s="271">
        <f t="shared" si="4"/>
        <v>1.000001859223359</v>
      </c>
      <c r="H70" s="272">
        <f t="shared" si="5"/>
        <v>-1.9283259467764082E-3</v>
      </c>
      <c r="I70" s="270">
        <f t="shared" si="6"/>
        <v>670.56745331674051</v>
      </c>
      <c r="J70" s="273">
        <f t="shared" si="7"/>
        <v>1.5693050519563938</v>
      </c>
      <c r="K70" s="281">
        <f t="shared" si="8"/>
        <v>1.0050444313274507</v>
      </c>
      <c r="L70" s="282">
        <f t="shared" si="9"/>
        <v>0.10023289847705379</v>
      </c>
      <c r="M70" s="270">
        <f t="shared" si="10"/>
        <v>1.0000118199325745</v>
      </c>
      <c r="N70" s="273">
        <f t="shared" si="11"/>
        <v>4.8620604994202678E-3</v>
      </c>
      <c r="O70" s="270">
        <f t="shared" si="12"/>
        <v>52.69081620866951</v>
      </c>
      <c r="P70" s="273">
        <f t="shared" si="13"/>
        <v>1.5518165479045749</v>
      </c>
      <c r="Q70" s="271">
        <f t="shared" si="14"/>
        <v>1.0000016997643637</v>
      </c>
      <c r="R70" s="272">
        <f t="shared" si="15"/>
        <v>1.8437797895085927E-3</v>
      </c>
      <c r="S70" s="270">
        <f t="shared" si="16"/>
        <v>1.0000000000889688</v>
      </c>
      <c r="T70" s="273">
        <f t="shared" si="17"/>
        <v>1.3339338081881005E-5</v>
      </c>
      <c r="U70" s="274">
        <f t="shared" si="18"/>
        <v>1.0000008125114308</v>
      </c>
      <c r="V70" s="275">
        <f t="shared" si="19"/>
        <v>1.859778991674874E-3</v>
      </c>
      <c r="W70" s="276">
        <f t="shared" si="20"/>
        <v>30.085070595023666</v>
      </c>
      <c r="X70" s="277">
        <f t="shared" si="21"/>
        <v>-93.496174745439504</v>
      </c>
      <c r="Y70" s="299">
        <f t="shared" si="30"/>
        <v>86.503825254560496</v>
      </c>
      <c r="AB70" s="278">
        <f t="shared" si="22"/>
        <v>19.077778160399866</v>
      </c>
      <c r="AC70" s="279">
        <f t="shared" si="23"/>
        <v>-84.450209740915355</v>
      </c>
      <c r="AF70" s="278">
        <f t="shared" si="24"/>
        <v>72.810825041605568</v>
      </c>
      <c r="AG70" s="279">
        <f t="shared" si="25"/>
        <v>-9.0459650045241577</v>
      </c>
      <c r="AI70">
        <f t="shared" si="26"/>
        <v>0</v>
      </c>
      <c r="AJ70">
        <f t="shared" si="31"/>
        <v>0</v>
      </c>
      <c r="AK70">
        <f t="shared" si="28"/>
        <v>0</v>
      </c>
      <c r="AL70">
        <f t="shared" si="29"/>
        <v>0</v>
      </c>
      <c r="AM70"/>
      <c r="AN70"/>
    </row>
    <row r="71" spans="2:40" x14ac:dyDescent="0.2">
      <c r="B71" s="280">
        <v>208.93</v>
      </c>
      <c r="C71" s="270">
        <f t="shared" si="0"/>
        <v>1.0144573922358822</v>
      </c>
      <c r="D71" s="271">
        <f t="shared" si="1"/>
        <v>0.16902860249308768</v>
      </c>
      <c r="E71" s="271">
        <f t="shared" si="2"/>
        <v>1.0000000582475996</v>
      </c>
      <c r="F71" s="272">
        <f t="shared" si="3"/>
        <v>3.4131392236573695E-4</v>
      </c>
      <c r="G71" s="271">
        <f t="shared" si="4"/>
        <v>1.0000022351938191</v>
      </c>
      <c r="H71" s="272">
        <f t="shared" si="5"/>
        <v>-2.1143271533887072E-3</v>
      </c>
      <c r="I71" s="270">
        <f t="shared" si="6"/>
        <v>735.24865818673857</v>
      </c>
      <c r="J71" s="273">
        <f t="shared" si="7"/>
        <v>1.5694362422885593</v>
      </c>
      <c r="K71" s="281">
        <f t="shared" si="8"/>
        <v>1.0060614382838899</v>
      </c>
      <c r="L71" s="282">
        <f t="shared" si="9"/>
        <v>0.10982693923846053</v>
      </c>
      <c r="M71" s="270">
        <f t="shared" si="10"/>
        <v>1.0000142101342997</v>
      </c>
      <c r="N71" s="273">
        <f t="shared" si="11"/>
        <v>5.3310348017198876E-3</v>
      </c>
      <c r="O71" s="270">
        <f t="shared" si="12"/>
        <v>57.771496938148232</v>
      </c>
      <c r="P71" s="273">
        <f t="shared" si="13"/>
        <v>1.5534858883152303</v>
      </c>
      <c r="Q71" s="271">
        <f t="shared" si="14"/>
        <v>1.0000020434892034</v>
      </c>
      <c r="R71" s="272">
        <f t="shared" si="15"/>
        <v>2.0216259414790388E-3</v>
      </c>
      <c r="S71" s="270">
        <f t="shared" si="16"/>
        <v>1.0000000001069602</v>
      </c>
      <c r="T71" s="273">
        <f t="shared" si="17"/>
        <v>1.4626018921091424E-5</v>
      </c>
      <c r="U71" s="274">
        <f t="shared" si="18"/>
        <v>1.0000009768169604</v>
      </c>
      <c r="V71" s="275">
        <f t="shared" si="19"/>
        <v>2.039168754569103E-3</v>
      </c>
      <c r="W71" s="276">
        <f t="shared" si="20"/>
        <v>29.273278820501908</v>
      </c>
      <c r="X71" s="277">
        <f t="shared" si="21"/>
        <v>-93.837946075736738</v>
      </c>
      <c r="Y71" s="299">
        <f t="shared" si="30"/>
        <v>86.162053924263262</v>
      </c>
      <c r="AB71" s="278">
        <f t="shared" si="22"/>
        <v>18.286706830433786</v>
      </c>
      <c r="AC71" s="279">
        <f t="shared" si="23"/>
        <v>-83.934898597378123</v>
      </c>
      <c r="AF71" s="278">
        <f t="shared" si="24"/>
        <v>72.79010459704989</v>
      </c>
      <c r="AG71" s="279">
        <f t="shared" si="25"/>
        <v>-9.9030474783586175</v>
      </c>
      <c r="AI71">
        <f t="shared" si="26"/>
        <v>0</v>
      </c>
      <c r="AJ71">
        <f t="shared" si="31"/>
        <v>0</v>
      </c>
      <c r="AK71">
        <f t="shared" si="28"/>
        <v>0</v>
      </c>
      <c r="AL71">
        <f t="shared" si="29"/>
        <v>0</v>
      </c>
      <c r="AM71"/>
      <c r="AN71"/>
    </row>
    <row r="72" spans="2:40" x14ac:dyDescent="0.2">
      <c r="B72" s="280">
        <v>229.09</v>
      </c>
      <c r="C72" s="270">
        <f t="shared" si="0"/>
        <v>1.0173570508281682</v>
      </c>
      <c r="D72" s="271">
        <f t="shared" si="1"/>
        <v>0.18498463698059417</v>
      </c>
      <c r="E72" s="271">
        <f t="shared" si="2"/>
        <v>1.0000000700307352</v>
      </c>
      <c r="F72" s="272">
        <f t="shared" si="3"/>
        <v>3.7424786225309192E-4</v>
      </c>
      <c r="G72" s="271">
        <f t="shared" si="4"/>
        <v>1.0000026873593624</v>
      </c>
      <c r="H72" s="272">
        <f t="shared" si="5"/>
        <v>-2.3183413658137068E-3</v>
      </c>
      <c r="I72" s="270">
        <f t="shared" si="6"/>
        <v>806.19388738408315</v>
      </c>
      <c r="J72" s="273">
        <f t="shared" si="7"/>
        <v>1.5695559300713795</v>
      </c>
      <c r="K72" s="281">
        <f t="shared" si="8"/>
        <v>1.0072831947778966</v>
      </c>
      <c r="L72" s="282">
        <f t="shared" si="9"/>
        <v>0.12032675238909477</v>
      </c>
      <c r="M72" s="270">
        <f t="shared" si="10"/>
        <v>1.0000170847337138</v>
      </c>
      <c r="N72" s="273">
        <f t="shared" si="11"/>
        <v>5.8454239328082757E-3</v>
      </c>
      <c r="O72" s="270">
        <f t="shared" si="12"/>
        <v>63.344367121475024</v>
      </c>
      <c r="P72" s="273">
        <f t="shared" si="13"/>
        <v>1.5550089476343529</v>
      </c>
      <c r="Q72" s="271">
        <f t="shared" si="14"/>
        <v>1.0000024568741657</v>
      </c>
      <c r="R72" s="272">
        <f t="shared" si="15"/>
        <v>2.2166953491528012E-3</v>
      </c>
      <c r="S72" s="270">
        <f t="shared" si="16"/>
        <v>1.0000000001285976</v>
      </c>
      <c r="T72" s="273">
        <f t="shared" si="17"/>
        <v>1.6037307589070505E-5</v>
      </c>
      <c r="U72" s="274">
        <f t="shared" si="18"/>
        <v>1.0000011744211379</v>
      </c>
      <c r="V72" s="275">
        <f t="shared" si="19"/>
        <v>2.2359313797264608E-3</v>
      </c>
      <c r="W72" s="276">
        <f t="shared" si="20"/>
        <v>28.458900900539085</v>
      </c>
      <c r="X72" s="277">
        <f t="shared" si="21"/>
        <v>-94.207970307044178</v>
      </c>
      <c r="Y72" s="299">
        <f t="shared" si="30"/>
        <v>85.792029692955822</v>
      </c>
      <c r="AB72" s="278">
        <f t="shared" si="22"/>
        <v>17.497118360584452</v>
      </c>
      <c r="AC72" s="279">
        <f t="shared" si="23"/>
        <v>-83.369633549224474</v>
      </c>
      <c r="AF72" s="278">
        <f t="shared" si="24"/>
        <v>72.765315146936402</v>
      </c>
      <c r="AG72" s="279">
        <f t="shared" si="25"/>
        <v>-10.838336757819713</v>
      </c>
      <c r="AI72">
        <f t="shared" si="26"/>
        <v>0</v>
      </c>
      <c r="AJ72">
        <f t="shared" si="31"/>
        <v>0</v>
      </c>
      <c r="AK72">
        <f t="shared" si="28"/>
        <v>0</v>
      </c>
      <c r="AL72">
        <f t="shared" si="29"/>
        <v>0</v>
      </c>
      <c r="AM72"/>
      <c r="AN72"/>
    </row>
    <row r="73" spans="2:40" x14ac:dyDescent="0.2">
      <c r="B73" s="280">
        <v>251.19</v>
      </c>
      <c r="C73" s="270">
        <f t="shared" si="0"/>
        <v>1.0208315231338942</v>
      </c>
      <c r="D73" s="271">
        <f t="shared" si="1"/>
        <v>0.20236704311720669</v>
      </c>
      <c r="E73" s="271">
        <f t="shared" si="2"/>
        <v>1.0000000841939938</v>
      </c>
      <c r="F73" s="272">
        <f t="shared" si="3"/>
        <v>4.1035103946798594E-4</v>
      </c>
      <c r="G73" s="271">
        <f t="shared" si="4"/>
        <v>1.0000032308593709</v>
      </c>
      <c r="H73" s="272">
        <f t="shared" si="5"/>
        <v>-2.5419876759200941E-3</v>
      </c>
      <c r="I73" s="270">
        <f t="shared" si="6"/>
        <v>883.96619828516953</v>
      </c>
      <c r="J73" s="273">
        <f t="shared" si="7"/>
        <v>1.5696650615777046</v>
      </c>
      <c r="K73" s="281">
        <f t="shared" si="8"/>
        <v>1.0087497805016516</v>
      </c>
      <c r="L73" s="282">
        <f t="shared" si="9"/>
        <v>0.1318063304385369</v>
      </c>
      <c r="M73" s="270">
        <f t="shared" si="10"/>
        <v>1.0000205399740836</v>
      </c>
      <c r="N73" s="273">
        <f t="shared" si="11"/>
        <v>6.4093092473932241E-3</v>
      </c>
      <c r="O73" s="270">
        <f t="shared" si="12"/>
        <v>69.453655920787014</v>
      </c>
      <c r="P73" s="273">
        <f t="shared" si="13"/>
        <v>1.5563977391208728</v>
      </c>
      <c r="Q73" s="271">
        <f t="shared" si="14"/>
        <v>1.000002953760192</v>
      </c>
      <c r="R73" s="272">
        <f t="shared" si="15"/>
        <v>2.4305361225113202E-3</v>
      </c>
      <c r="S73" s="270">
        <f t="shared" si="16"/>
        <v>1.0000000001546057</v>
      </c>
      <c r="T73" s="273">
        <f t="shared" si="17"/>
        <v>1.7584404789509681E-5</v>
      </c>
      <c r="U73" s="274">
        <f t="shared" si="18"/>
        <v>1.0000014119401917</v>
      </c>
      <c r="V73" s="275">
        <f t="shared" si="19"/>
        <v>2.4516284626927942E-3</v>
      </c>
      <c r="W73" s="276">
        <f t="shared" si="20"/>
        <v>27.641974353075756</v>
      </c>
      <c r="X73" s="277">
        <f t="shared" si="21"/>
        <v>-94.607842429508366</v>
      </c>
      <c r="Y73" s="299">
        <f t="shared" si="30"/>
        <v>85.392157570491634</v>
      </c>
      <c r="AB73" s="278">
        <f t="shared" si="22"/>
        <v>16.709802496641242</v>
      </c>
      <c r="AC73" s="279">
        <f t="shared" si="23"/>
        <v>-82.750463199779873</v>
      </c>
      <c r="AF73" s="278">
        <f t="shared" si="24"/>
        <v>72.735704463416269</v>
      </c>
      <c r="AG73" s="279">
        <f t="shared" si="25"/>
        <v>-11.857379229728508</v>
      </c>
      <c r="AI73">
        <f t="shared" si="26"/>
        <v>0</v>
      </c>
      <c r="AJ73">
        <f t="shared" si="31"/>
        <v>0</v>
      </c>
      <c r="AK73">
        <f t="shared" si="28"/>
        <v>0</v>
      </c>
      <c r="AL73">
        <f t="shared" si="29"/>
        <v>0</v>
      </c>
      <c r="AM73"/>
      <c r="AN73"/>
    </row>
    <row r="74" spans="2:40" x14ac:dyDescent="0.2">
      <c r="B74" s="280">
        <v>275.42</v>
      </c>
      <c r="C74" s="270">
        <f t="shared" si="0"/>
        <v>1.0249927426989101</v>
      </c>
      <c r="D74" s="271">
        <f t="shared" si="1"/>
        <v>0.22128297195191921</v>
      </c>
      <c r="E74" s="271">
        <f t="shared" si="2"/>
        <v>1.00000010122024</v>
      </c>
      <c r="F74" s="272">
        <f t="shared" si="3"/>
        <v>4.499338429372768E-4</v>
      </c>
      <c r="G74" s="271">
        <f t="shared" si="4"/>
        <v>1.0000038842231216</v>
      </c>
      <c r="H74" s="272">
        <f t="shared" si="5"/>
        <v>-2.7871887445755326E-3</v>
      </c>
      <c r="I74" s="270">
        <f t="shared" si="6"/>
        <v>969.23422161259407</v>
      </c>
      <c r="J74" s="273">
        <f t="shared" si="7"/>
        <v>1.5697645842551504</v>
      </c>
      <c r="K74" s="281">
        <f t="shared" si="8"/>
        <v>1.0105100072982311</v>
      </c>
      <c r="L74" s="282">
        <f t="shared" si="9"/>
        <v>0.14435217462399186</v>
      </c>
      <c r="M74" s="270">
        <f t="shared" si="10"/>
        <v>1.0000246936475603</v>
      </c>
      <c r="N74" s="273">
        <f t="shared" si="11"/>
        <v>7.0275371822846096E-3</v>
      </c>
      <c r="O74" s="270">
        <f t="shared" si="12"/>
        <v>76.15188658288487</v>
      </c>
      <c r="P74" s="273">
        <f t="shared" si="13"/>
        <v>1.5576642983298488</v>
      </c>
      <c r="Q74" s="271">
        <f t="shared" si="14"/>
        <v>1.000003551087385</v>
      </c>
      <c r="R74" s="272">
        <f t="shared" si="15"/>
        <v>2.664986632781044E-3</v>
      </c>
      <c r="S74" s="270">
        <f t="shared" si="16"/>
        <v>1.0000000001858709</v>
      </c>
      <c r="T74" s="273">
        <f t="shared" si="17"/>
        <v>1.9280611358038973E-5</v>
      </c>
      <c r="U74" s="274">
        <f t="shared" si="18"/>
        <v>1.0000016974718222</v>
      </c>
      <c r="V74" s="275">
        <f t="shared" si="19"/>
        <v>2.6881143962086012E-3</v>
      </c>
      <c r="W74" s="276">
        <f t="shared" si="20"/>
        <v>26.821888945597866</v>
      </c>
      <c r="X74" s="277">
        <f t="shared" si="21"/>
        <v>-95.039276180572386</v>
      </c>
      <c r="Y74" s="299">
        <f t="shared" si="30"/>
        <v>84.960723819427614</v>
      </c>
      <c r="AB74" s="278">
        <f t="shared" si="22"/>
        <v>15.925048104576263</v>
      </c>
      <c r="AC74" s="279">
        <f t="shared" si="23"/>
        <v>-82.072763358354408</v>
      </c>
      <c r="AF74" s="278">
        <f t="shared" si="24"/>
        <v>72.700373448003361</v>
      </c>
      <c r="AG74" s="279">
        <f t="shared" si="25"/>
        <v>-12.96651282221799</v>
      </c>
      <c r="AI74">
        <f t="shared" si="26"/>
        <v>0</v>
      </c>
      <c r="AJ74">
        <f t="shared" si="31"/>
        <v>0</v>
      </c>
      <c r="AK74">
        <f t="shared" si="28"/>
        <v>0</v>
      </c>
      <c r="AL74">
        <f t="shared" si="29"/>
        <v>0</v>
      </c>
      <c r="AM74"/>
      <c r="AN74"/>
    </row>
    <row r="75" spans="2:40" x14ac:dyDescent="0.2">
      <c r="B75" s="280">
        <v>302</v>
      </c>
      <c r="C75" s="270">
        <f t="shared" si="0"/>
        <v>1.0299757105030556</v>
      </c>
      <c r="D75" s="271">
        <f t="shared" si="1"/>
        <v>0.24184950277108275</v>
      </c>
      <c r="E75" s="271">
        <f t="shared" si="2"/>
        <v>1.000000121699921</v>
      </c>
      <c r="F75" s="272">
        <f t="shared" si="3"/>
        <v>4.9335567029217713E-4</v>
      </c>
      <c r="G75" s="271">
        <f t="shared" si="4"/>
        <v>1.0000046701081333</v>
      </c>
      <c r="H75" s="272">
        <f t="shared" si="5"/>
        <v>-3.0561707931914569E-3</v>
      </c>
      <c r="I75" s="270">
        <f t="shared" si="6"/>
        <v>1062.7721614629122</v>
      </c>
      <c r="J75" s="273">
        <f t="shared" si="7"/>
        <v>1.5698553912079281</v>
      </c>
      <c r="K75" s="281">
        <f t="shared" si="8"/>
        <v>1.0126232074231112</v>
      </c>
      <c r="L75" s="282">
        <f t="shared" si="9"/>
        <v>0.15806223102321318</v>
      </c>
      <c r="M75" s="270">
        <f t="shared" si="10"/>
        <v>1.000029689788136</v>
      </c>
      <c r="N75" s="273">
        <f t="shared" si="11"/>
        <v>7.7057191208912265E-3</v>
      </c>
      <c r="O75" s="270">
        <f t="shared" si="12"/>
        <v>83.499876793138156</v>
      </c>
      <c r="P75" s="273">
        <f t="shared" si="13"/>
        <v>1.5588199749210108</v>
      </c>
      <c r="Q75" s="271">
        <f t="shared" si="14"/>
        <v>1.000004269570032</v>
      </c>
      <c r="R75" s="272">
        <f t="shared" si="15"/>
        <v>2.9221755050422892E-3</v>
      </c>
      <c r="S75" s="270">
        <f t="shared" si="16"/>
        <v>1.0000000002234779</v>
      </c>
      <c r="T75" s="273">
        <f t="shared" si="17"/>
        <v>2.1141328262224189E-5</v>
      </c>
      <c r="U75" s="274">
        <f t="shared" si="18"/>
        <v>1.000002040917888</v>
      </c>
      <c r="V75" s="275">
        <f t="shared" si="19"/>
        <v>2.9475363686559926E-3</v>
      </c>
      <c r="W75" s="276">
        <f t="shared" si="20"/>
        <v>25.997642269722334</v>
      </c>
      <c r="X75" s="277">
        <f t="shared" si="21"/>
        <v>-95.503970477981738</v>
      </c>
      <c r="Y75" s="299">
        <f t="shared" si="30"/>
        <v>84.496029522018262</v>
      </c>
      <c r="AB75" s="278">
        <f t="shared" si="22"/>
        <v>15.142921259623847</v>
      </c>
      <c r="AC75" s="279">
        <f t="shared" si="23"/>
        <v>-81.331294807761452</v>
      </c>
      <c r="AF75" s="278">
        <f t="shared" si="24"/>
        <v>72.658253617080248</v>
      </c>
      <c r="AG75" s="279">
        <f t="shared" si="25"/>
        <v>-14.172675670220285</v>
      </c>
      <c r="AI75">
        <f t="shared" si="26"/>
        <v>0</v>
      </c>
      <c r="AJ75">
        <f t="shared" si="31"/>
        <v>0</v>
      </c>
      <c r="AK75">
        <f t="shared" si="28"/>
        <v>0</v>
      </c>
      <c r="AL75">
        <f t="shared" si="29"/>
        <v>0</v>
      </c>
      <c r="AM75"/>
      <c r="AN75"/>
    </row>
    <row r="76" spans="2:40" x14ac:dyDescent="0.2">
      <c r="B76" s="280">
        <v>331.13</v>
      </c>
      <c r="C76" s="270">
        <f t="shared" si="0"/>
        <v>1.0359319056951304</v>
      </c>
      <c r="D76" s="271">
        <f t="shared" si="1"/>
        <v>0.26415138483465828</v>
      </c>
      <c r="E76" s="271">
        <f t="shared" si="2"/>
        <v>1.0000001463098158</v>
      </c>
      <c r="F76" s="272">
        <f t="shared" si="3"/>
        <v>5.4094324643572025E-4</v>
      </c>
      <c r="G76" s="271">
        <f t="shared" si="4"/>
        <v>1.0000056144847138</v>
      </c>
      <c r="H76" s="272">
        <f t="shared" si="5"/>
        <v>-3.3509576080102341E-3</v>
      </c>
      <c r="I76" s="270">
        <f t="shared" si="6"/>
        <v>1165.2838398059228</v>
      </c>
      <c r="J76" s="273">
        <f t="shared" si="7"/>
        <v>1.5699381666723755</v>
      </c>
      <c r="K76" s="281">
        <f t="shared" si="8"/>
        <v>1.0151567654553559</v>
      </c>
      <c r="L76" s="282">
        <f t="shared" si="9"/>
        <v>0.17301889861150282</v>
      </c>
      <c r="M76" s="270">
        <f t="shared" si="10"/>
        <v>1.0000356934861503</v>
      </c>
      <c r="N76" s="273">
        <f t="shared" si="11"/>
        <v>8.4489554970077277E-3</v>
      </c>
      <c r="O76" s="270">
        <f t="shared" si="12"/>
        <v>91.552916167881079</v>
      </c>
      <c r="P76" s="273">
        <f t="shared" si="13"/>
        <v>1.5598734646190733</v>
      </c>
      <c r="Q76" s="271">
        <f t="shared" si="14"/>
        <v>1.0000051329510937</v>
      </c>
      <c r="R76" s="272">
        <f t="shared" si="15"/>
        <v>3.2040378080691817E-3</v>
      </c>
      <c r="S76" s="270">
        <f t="shared" si="16"/>
        <v>1.0000000002686691</v>
      </c>
      <c r="T76" s="273">
        <f t="shared" si="17"/>
        <v>2.3180556381653601E-5</v>
      </c>
      <c r="U76" s="274">
        <f t="shared" si="18"/>
        <v>1.0000024536280565</v>
      </c>
      <c r="V76" s="275">
        <f t="shared" si="19"/>
        <v>3.2318463600314747E-3</v>
      </c>
      <c r="W76" s="276">
        <f t="shared" si="20"/>
        <v>25.169384095872232</v>
      </c>
      <c r="X76" s="277">
        <f t="shared" si="21"/>
        <v>-96.002600494980328</v>
      </c>
      <c r="Y76" s="299">
        <f t="shared" si="30"/>
        <v>83.997399505019672</v>
      </c>
      <c r="AB76" s="278">
        <f t="shared" si="22"/>
        <v>14.364742775780906</v>
      </c>
      <c r="AC76" s="279">
        <f t="shared" si="23"/>
        <v>-80.521667871664505</v>
      </c>
      <c r="AF76" s="278">
        <f t="shared" si="24"/>
        <v>72.608173927073082</v>
      </c>
      <c r="AG76" s="279">
        <f t="shared" si="25"/>
        <v>-15.480932623315828</v>
      </c>
      <c r="AI76">
        <f t="shared" si="26"/>
        <v>0</v>
      </c>
      <c r="AJ76">
        <f t="shared" si="31"/>
        <v>0</v>
      </c>
      <c r="AK76">
        <f t="shared" si="28"/>
        <v>0</v>
      </c>
      <c r="AL76">
        <f t="shared" si="29"/>
        <v>0</v>
      </c>
      <c r="AM76"/>
      <c r="AN76"/>
    </row>
    <row r="77" spans="2:40" x14ac:dyDescent="0.2">
      <c r="B77" s="280">
        <v>363.08</v>
      </c>
      <c r="C77" s="270">
        <f t="shared" ref="C77:C140" si="32">SQRT(1+(B77/PS_Pole1)^2)</f>
        <v>1.0430498974579581</v>
      </c>
      <c r="D77" s="271">
        <f t="shared" ref="D77:D140" si="33">ATAN(B77/PS_Pole1)</f>
        <v>0.28830599436425597</v>
      </c>
      <c r="E77" s="271">
        <f t="shared" ref="E77:E140" si="34">SQRT(1+(B77/PS_Zero1)^2)</f>
        <v>1.0000001759061616</v>
      </c>
      <c r="F77" s="272">
        <f t="shared" ref="F77:F140" si="35">ATAN(B77/PS_Zero1)</f>
        <v>5.9313764998828746E-4</v>
      </c>
      <c r="G77" s="271">
        <f t="shared" ref="G77:G140" si="36">IF(VIN_nom&gt;Vout, 1, SQRT(1+(B77/PS_RHPZ)^2))</f>
        <v>1.0000067502095096</v>
      </c>
      <c r="H77" s="272">
        <f t="shared" ref="H77:H140" si="37">IF(VIN_nom&gt;Vout, 0, -ATAN(B77/PS_RHPZ))</f>
        <v>-3.6742813007659249E-3</v>
      </c>
      <c r="I77" s="270">
        <f t="shared" ref="I77:I140" si="38">SQRT(1+(B77/EA_Pole1)^2)</f>
        <v>1277.7194163769007</v>
      </c>
      <c r="J77" s="273">
        <f t="shared" ref="J77:J140" si="39">ATAN(B77/EA_Pole1)</f>
        <v>1.5700136822727335</v>
      </c>
      <c r="K77" s="281">
        <f t="shared" ref="K77:K140" si="40">SQRT(1+(B77/EA_Zero1)^2)</f>
        <v>1.0181953228955083</v>
      </c>
      <c r="L77" s="282">
        <f t="shared" ref="L77:L140" si="41">ATAN(B77/EA_Zero1)</f>
        <v>0.189333823268546</v>
      </c>
      <c r="M77" s="270">
        <f t="shared" ref="M77:M140" si="42">SQRT(1+(B77/EA_Pole2)^2)</f>
        <v>1.0000429136045337</v>
      </c>
      <c r="N77" s="273">
        <f t="shared" ref="N77:N140" si="43">ATAN(B77/EA_Pole2)</f>
        <v>9.2641319012658416E-3</v>
      </c>
      <c r="O77" s="270">
        <f t="shared" ref="O77:O140" si="44">SQRT(1+(B77/$V$5)^2)</f>
        <v>100.38564665420681</v>
      </c>
      <c r="P77" s="273">
        <f t="shared" ref="P77:P140" si="45">ATAN(B77/$V$5)</f>
        <v>1.5608345785477504</v>
      </c>
      <c r="Q77" s="271">
        <f t="shared" ref="Q77:Q140" si="46">SQRT(1+(B77/$V$4)^2)</f>
        <v>1.0000061712692683</v>
      </c>
      <c r="R77" s="272">
        <f t="shared" ref="R77:R140" si="47">ATAN(B77/$V$4)</f>
        <v>3.5131858849749599E-3</v>
      </c>
      <c r="S77" s="270">
        <f t="shared" ref="S77:S140" si="48">SQRT(1+(B77/$V$7)^2)</f>
        <v>1.0000000003230169</v>
      </c>
      <c r="T77" s="273">
        <f t="shared" ref="T77:T140" si="49">ATAN(B77/$V$7)</f>
        <v>2.541719690377147E-5</v>
      </c>
      <c r="U77" s="274">
        <f t="shared" ref="U77:U140" si="50">SQRT((1-(B77^2/pterm2))^2+(B77/pterm1)^2)</f>
        <v>1.0000029499615393</v>
      </c>
      <c r="V77" s="275">
        <f t="shared" ref="V77:V140" si="51">IF((ATAN((B77/pterm1)/(1-B77^2/pterm2))&gt;0),ATAN((B77/pterm1)/(1-B77^2/pterm2)),PI()+ATAN((B77/pterm1)/(1-B77^2/pterm2)))</f>
        <v>3.5436795433865251E-3</v>
      </c>
      <c r="W77" s="276">
        <f t="shared" ref="W77:W140" si="52">20*LOG10(((E77*K77*G77)/(C77*I77*U77*M77))*Adc)</f>
        <v>24.335733958310477</v>
      </c>
      <c r="X77" s="277">
        <f t="shared" si="21"/>
        <v>-96.536215532892896</v>
      </c>
      <c r="Y77" s="299">
        <f t="shared" si="30"/>
        <v>83.463784467107104</v>
      </c>
      <c r="AB77" s="278">
        <f t="shared" ref="AB77:AB140" si="53">20*LOG10((K77/(I77*M77))*AEA)</f>
        <v>13.590564339426681</v>
      </c>
      <c r="AC77" s="279">
        <f t="shared" ref="AC77:AC140" si="54">(L77-(J77+N77))*radconv</f>
        <v>-79.637924438452558</v>
      </c>
      <c r="AF77" s="278">
        <f t="shared" ref="AF77:AF140" si="55">20*LOG10((E77*G77/(C77*U77))*Acs*Am)</f>
        <v>72.548702225865554</v>
      </c>
      <c r="AG77" s="279">
        <f t="shared" ref="AG77:AG140" si="56">(F77+H77-(D77+V77))*radconv</f>
        <v>-16.898291094440349</v>
      </c>
      <c r="AI77">
        <f t="shared" ref="AI77:AI140" si="57">SUM((W78&lt;0)*(W77&gt;0))*B77</f>
        <v>0</v>
      </c>
      <c r="AJ77">
        <f t="shared" ref="AJ77:AJ89" si="58">IF(AI77&gt;0,Y75,0)</f>
        <v>0</v>
      </c>
      <c r="AK77">
        <f t="shared" ref="AK77:AK140" si="59">SUM((AB78&lt;0)*(AB77&gt;0))*B77</f>
        <v>0</v>
      </c>
      <c r="AL77">
        <f t="shared" ref="AL77:AL140" si="60">IF(AK77&gt;0,AC77,0)</f>
        <v>0</v>
      </c>
      <c r="AM77"/>
      <c r="AN77"/>
    </row>
    <row r="78" spans="2:40" x14ac:dyDescent="0.2">
      <c r="B78" s="280">
        <v>398.11</v>
      </c>
      <c r="C78" s="270">
        <f t="shared" si="32"/>
        <v>1.0515432660358204</v>
      </c>
      <c r="D78" s="271">
        <f t="shared" si="33"/>
        <v>0.31439637403801313</v>
      </c>
      <c r="E78" s="271">
        <f t="shared" si="34"/>
        <v>1.0000002114864583</v>
      </c>
      <c r="F78" s="272">
        <f t="shared" si="35"/>
        <v>6.5036362299133001E-4</v>
      </c>
      <c r="G78" s="271">
        <f t="shared" si="36"/>
        <v>1.0000081155596776</v>
      </c>
      <c r="H78" s="272">
        <f t="shared" si="37"/>
        <v>-4.0287727145403556E-3</v>
      </c>
      <c r="I78" s="270">
        <f t="shared" si="38"/>
        <v>1400.993859876477</v>
      </c>
      <c r="J78" s="273">
        <f t="shared" si="39"/>
        <v>1.5700825477316525</v>
      </c>
      <c r="K78" s="281">
        <f t="shared" si="40"/>
        <v>1.0218362721558047</v>
      </c>
      <c r="L78" s="282">
        <f t="shared" si="41"/>
        <v>0.2071047361642831</v>
      </c>
      <c r="M78" s="270">
        <f t="shared" si="42"/>
        <v>1.0000515934571244</v>
      </c>
      <c r="N78" s="273">
        <f t="shared" si="43"/>
        <v>1.0157877631153738E-2</v>
      </c>
      <c r="O78" s="270">
        <f t="shared" si="44"/>
        <v>110.06994653029474</v>
      </c>
      <c r="P78" s="273">
        <f t="shared" si="45"/>
        <v>1.5617110697502787</v>
      </c>
      <c r="Q78" s="271">
        <f t="shared" si="46"/>
        <v>1.0000074195188897</v>
      </c>
      <c r="R78" s="272">
        <f t="shared" si="47"/>
        <v>3.852135256078729E-3</v>
      </c>
      <c r="S78" s="270">
        <f t="shared" si="48"/>
        <v>1.0000000003883531</v>
      </c>
      <c r="T78" s="273">
        <f t="shared" si="49"/>
        <v>2.7869450972016383E-5</v>
      </c>
      <c r="U78" s="274">
        <f t="shared" si="50"/>
        <v>1.000003546646542</v>
      </c>
      <c r="V78" s="275">
        <f t="shared" si="51"/>
        <v>3.885573478199662E-3</v>
      </c>
      <c r="W78" s="276">
        <f t="shared" si="52"/>
        <v>23.496213909296845</v>
      </c>
      <c r="X78" s="277">
        <f t="shared" si="21"/>
        <v>-97.104660560160667</v>
      </c>
      <c r="Y78" s="299">
        <f t="shared" ref="Y78:Y141" si="61">IF(X78&gt;0,X78-180,X78+180)</f>
        <v>82.895339439839333</v>
      </c>
      <c r="AB78" s="278">
        <f t="shared" si="53"/>
        <v>12.821478541639657</v>
      </c>
      <c r="AC78" s="279">
        <f t="shared" si="54"/>
        <v>-78.674879689862919</v>
      </c>
      <c r="AF78" s="278">
        <f t="shared" si="55"/>
        <v>72.478267974638953</v>
      </c>
      <c r="AG78" s="279">
        <f t="shared" si="56"/>
        <v>-18.429780870297755</v>
      </c>
      <c r="AI78">
        <f t="shared" si="57"/>
        <v>0</v>
      </c>
      <c r="AJ78">
        <f t="shared" si="58"/>
        <v>0</v>
      </c>
      <c r="AK78">
        <f t="shared" si="59"/>
        <v>0</v>
      </c>
      <c r="AL78">
        <f t="shared" si="60"/>
        <v>0</v>
      </c>
      <c r="AM78"/>
      <c r="AN78"/>
    </row>
    <row r="79" spans="2:40" x14ac:dyDescent="0.2">
      <c r="B79" s="280">
        <v>436.52</v>
      </c>
      <c r="C79" s="270">
        <f t="shared" si="32"/>
        <v>1.0616647105383006</v>
      </c>
      <c r="D79" s="271">
        <f t="shared" si="33"/>
        <v>0.34250309500911397</v>
      </c>
      <c r="E79" s="271">
        <f t="shared" si="34"/>
        <v>1.0000002542638828</v>
      </c>
      <c r="F79" s="272">
        <f t="shared" si="35"/>
        <v>7.1311125219645219E-4</v>
      </c>
      <c r="G79" s="271">
        <f t="shared" si="36"/>
        <v>1.0000097570883837</v>
      </c>
      <c r="H79" s="272">
        <f t="shared" si="37"/>
        <v>-4.417467385378261E-3</v>
      </c>
      <c r="I79" s="270">
        <f t="shared" si="38"/>
        <v>1536.1629034769906</v>
      </c>
      <c r="J79" s="273">
        <f t="shared" si="39"/>
        <v>1.5701453541224253</v>
      </c>
      <c r="K79" s="281">
        <f t="shared" si="40"/>
        <v>1.0261966054071956</v>
      </c>
      <c r="L79" s="282">
        <f t="shared" si="41"/>
        <v>0.22643859885271736</v>
      </c>
      <c r="M79" s="270">
        <f t="shared" si="42"/>
        <v>1.0000620289576827</v>
      </c>
      <c r="N79" s="273">
        <f t="shared" si="43"/>
        <v>1.1137841040897776E-2</v>
      </c>
      <c r="O79" s="270">
        <f t="shared" si="44"/>
        <v>120.68875298549992</v>
      </c>
      <c r="P79" s="273">
        <f t="shared" si="45"/>
        <v>1.5625104557591623</v>
      </c>
      <c r="Q79" s="271">
        <f t="shared" si="46"/>
        <v>1.0000089202605296</v>
      </c>
      <c r="R79" s="272">
        <f t="shared" si="47"/>
        <v>4.2237883992588239E-3</v>
      </c>
      <c r="S79" s="270">
        <f t="shared" si="48"/>
        <v>1.0000000004669054</v>
      </c>
      <c r="T79" s="273">
        <f t="shared" si="49"/>
        <v>3.0558319905723298E-5</v>
      </c>
      <c r="U79" s="274">
        <f t="shared" si="50"/>
        <v>1.0000042640282305</v>
      </c>
      <c r="V79" s="275">
        <f t="shared" si="51"/>
        <v>4.2604561081404412E-3</v>
      </c>
      <c r="W79" s="276">
        <f t="shared" si="52"/>
        <v>22.649891319786882</v>
      </c>
      <c r="X79" s="277">
        <f t="shared" ref="X79:X142" si="62">IF(((F79+L79+H79)-(D79+J79+V79+N79))*radconv&lt;-180,((F79+L79+H79)-(D79+J79+V79+N79))*radconv+360,((F79+L79+H79)-(D79+J79+V79+N79))*radconv)</f>
        <v>-97.707209204935864</v>
      </c>
      <c r="Y79" s="299">
        <f t="shared" si="61"/>
        <v>82.292790795064136</v>
      </c>
      <c r="AB79" s="278">
        <f t="shared" si="53"/>
        <v>12.05835225773143</v>
      </c>
      <c r="AC79" s="279">
        <f t="shared" si="54"/>
        <v>-77.626877264703495</v>
      </c>
      <c r="AF79" s="278">
        <f t="shared" si="55"/>
        <v>72.395071669037208</v>
      </c>
      <c r="AG79" s="279">
        <f t="shared" si="56"/>
        <v>-20.08033194023238</v>
      </c>
      <c r="AI79">
        <f t="shared" si="57"/>
        <v>0</v>
      </c>
      <c r="AJ79">
        <f t="shared" si="58"/>
        <v>0</v>
      </c>
      <c r="AK79">
        <f t="shared" si="59"/>
        <v>0</v>
      </c>
      <c r="AL79">
        <f t="shared" si="60"/>
        <v>0</v>
      </c>
      <c r="AM79"/>
      <c r="AN79"/>
    </row>
    <row r="80" spans="2:40" x14ac:dyDescent="0.2">
      <c r="B80" s="280">
        <v>478.63</v>
      </c>
      <c r="C80" s="270">
        <f t="shared" si="32"/>
        <v>1.0737053848800753</v>
      </c>
      <c r="D80" s="271">
        <f t="shared" si="33"/>
        <v>0.37268188855876955</v>
      </c>
      <c r="E80" s="271">
        <f t="shared" si="34"/>
        <v>1.0000003056864604</v>
      </c>
      <c r="F80" s="272">
        <f t="shared" si="35"/>
        <v>7.8190329638476257E-4</v>
      </c>
      <c r="G80" s="271">
        <f t="shared" si="36"/>
        <v>1.0000117303602509</v>
      </c>
      <c r="H80" s="272">
        <f t="shared" si="37"/>
        <v>-4.8436031184189172E-3</v>
      </c>
      <c r="I80" s="270">
        <f t="shared" si="38"/>
        <v>1684.3526626147989</v>
      </c>
      <c r="J80" s="273">
        <f t="shared" si="39"/>
        <v>1.5702026268643878</v>
      </c>
      <c r="K80" s="281">
        <f t="shared" si="40"/>
        <v>1.0314137478915391</v>
      </c>
      <c r="L80" s="282">
        <f t="shared" si="41"/>
        <v>0.24743828608358873</v>
      </c>
      <c r="M80" s="270">
        <f t="shared" si="42"/>
        <v>1.000074573289212</v>
      </c>
      <c r="N80" s="273">
        <f t="shared" si="43"/>
        <v>1.2212178773173226E-2</v>
      </c>
      <c r="O80" s="270">
        <f t="shared" si="44"/>
        <v>132.33053302306138</v>
      </c>
      <c r="P80" s="273">
        <f t="shared" si="45"/>
        <v>1.5632394198965007</v>
      </c>
      <c r="Q80" s="271">
        <f t="shared" si="46"/>
        <v>1.0000107242933838</v>
      </c>
      <c r="R80" s="272">
        <f t="shared" si="47"/>
        <v>4.6312412035249672E-3</v>
      </c>
      <c r="S80" s="270">
        <f t="shared" si="48"/>
        <v>1.0000000005613328</v>
      </c>
      <c r="T80" s="273">
        <f t="shared" si="49"/>
        <v>3.3506205112149739E-5</v>
      </c>
      <c r="U80" s="274">
        <f t="shared" si="50"/>
        <v>1.0000051263902245</v>
      </c>
      <c r="V80" s="275">
        <f t="shared" si="51"/>
        <v>4.6714505547591351E-3</v>
      </c>
      <c r="W80" s="276">
        <f t="shared" si="52"/>
        <v>21.795969234920921</v>
      </c>
      <c r="X80" s="277">
        <f t="shared" si="62"/>
        <v>-98.341992293332154</v>
      </c>
      <c r="Y80" s="299">
        <f t="shared" si="61"/>
        <v>81.658007706667846</v>
      </c>
      <c r="AB80" s="278">
        <f t="shared" si="53"/>
        <v>11.302375065958932</v>
      </c>
      <c r="AC80" s="279">
        <f t="shared" si="54"/>
        <v>-76.488520319506435</v>
      </c>
      <c r="AF80" s="278">
        <f t="shared" si="55"/>
        <v>72.297126775943752</v>
      </c>
      <c r="AG80" s="279">
        <f t="shared" si="56"/>
        <v>-21.853471973825716</v>
      </c>
      <c r="AI80">
        <f t="shared" si="57"/>
        <v>0</v>
      </c>
      <c r="AJ80">
        <f t="shared" si="58"/>
        <v>0</v>
      </c>
      <c r="AK80">
        <f t="shared" si="59"/>
        <v>0</v>
      </c>
      <c r="AL80">
        <f t="shared" si="60"/>
        <v>0</v>
      </c>
      <c r="AM80"/>
      <c r="AN80"/>
    </row>
    <row r="81" spans="2:40" x14ac:dyDescent="0.2">
      <c r="B81" s="280">
        <v>524.80999999999995</v>
      </c>
      <c r="C81" s="270">
        <f t="shared" si="32"/>
        <v>1.088007287304966</v>
      </c>
      <c r="D81" s="271">
        <f t="shared" si="33"/>
        <v>0.40497691980546319</v>
      </c>
      <c r="E81" s="271">
        <f t="shared" si="34"/>
        <v>1.0000003675196469</v>
      </c>
      <c r="F81" s="272">
        <f t="shared" si="35"/>
        <v>8.5734419501528399E-4</v>
      </c>
      <c r="G81" s="271">
        <f t="shared" si="36"/>
        <v>1.0000141031201444</v>
      </c>
      <c r="H81" s="272">
        <f t="shared" si="37"/>
        <v>-5.3109235351459713E-3</v>
      </c>
      <c r="I81" s="270">
        <f t="shared" si="38"/>
        <v>1846.8652083155589</v>
      </c>
      <c r="J81" s="273">
        <f t="shared" si="39"/>
        <v>1.5702548687370155</v>
      </c>
      <c r="K81" s="281">
        <f t="shared" si="40"/>
        <v>1.0376523785613707</v>
      </c>
      <c r="L81" s="282">
        <f t="shared" si="41"/>
        <v>0.27021367637017912</v>
      </c>
      <c r="M81" s="270">
        <f t="shared" si="42"/>
        <v>1.0000896570395945</v>
      </c>
      <c r="N81" s="273">
        <f t="shared" si="43"/>
        <v>1.3390320493025394E-2</v>
      </c>
      <c r="O81" s="270">
        <f t="shared" si="44"/>
        <v>145.09757728137814</v>
      </c>
      <c r="P81" s="273">
        <f t="shared" si="45"/>
        <v>1.5639043584014982</v>
      </c>
      <c r="Q81" s="271">
        <f t="shared" si="46"/>
        <v>1.0000128935523043</v>
      </c>
      <c r="R81" s="272">
        <f t="shared" si="47"/>
        <v>5.0780732112508716E-3</v>
      </c>
      <c r="S81" s="270">
        <f t="shared" si="48"/>
        <v>1.0000000006748773</v>
      </c>
      <c r="T81" s="273">
        <f t="shared" si="49"/>
        <v>3.6739008218407185E-5</v>
      </c>
      <c r="U81" s="274">
        <f t="shared" si="50"/>
        <v>1.0000061633395494</v>
      </c>
      <c r="V81" s="275">
        <f t="shared" si="51"/>
        <v>5.1221679106858284E-3</v>
      </c>
      <c r="W81" s="276">
        <f t="shared" si="52"/>
        <v>20.933252857651503</v>
      </c>
      <c r="X81" s="277">
        <f t="shared" si="62"/>
        <v>-99.006200574569618</v>
      </c>
      <c r="Y81" s="299">
        <f t="shared" si="61"/>
        <v>80.993799425430382</v>
      </c>
      <c r="AB81" s="278">
        <f t="shared" si="53"/>
        <v>10.55458000927068</v>
      </c>
      <c r="AC81" s="279">
        <f t="shared" si="54"/>
        <v>-75.25408236635279</v>
      </c>
      <c r="AF81" s="278">
        <f t="shared" si="55"/>
        <v>72.182205455362578</v>
      </c>
      <c r="AG81" s="279">
        <f t="shared" si="56"/>
        <v>-23.752118208216828</v>
      </c>
      <c r="AI81">
        <f t="shared" si="57"/>
        <v>0</v>
      </c>
      <c r="AJ81">
        <f t="shared" si="58"/>
        <v>0</v>
      </c>
      <c r="AK81">
        <f t="shared" si="59"/>
        <v>0</v>
      </c>
      <c r="AL81">
        <f t="shared" si="60"/>
        <v>0</v>
      </c>
      <c r="AM81"/>
      <c r="AN81"/>
    </row>
    <row r="82" spans="2:40" x14ac:dyDescent="0.2">
      <c r="B82" s="280">
        <v>575.44000000000005</v>
      </c>
      <c r="C82" s="270">
        <f t="shared" si="32"/>
        <v>1.1049551351402531</v>
      </c>
      <c r="D82" s="271">
        <f t="shared" si="33"/>
        <v>0.43938341134071202</v>
      </c>
      <c r="E82" s="271">
        <f t="shared" si="34"/>
        <v>1.0000004418516037</v>
      </c>
      <c r="F82" s="272">
        <f t="shared" si="35"/>
        <v>9.4005472291270231E-4</v>
      </c>
      <c r="G82" s="271">
        <f t="shared" si="36"/>
        <v>1.0000169554951688</v>
      </c>
      <c r="H82" s="272">
        <f t="shared" si="37"/>
        <v>-5.8232732373112318E-3</v>
      </c>
      <c r="I82" s="270">
        <f t="shared" si="38"/>
        <v>2025.0378027573677</v>
      </c>
      <c r="J82" s="273">
        <f t="shared" si="39"/>
        <v>1.5703025088329401</v>
      </c>
      <c r="K82" s="281">
        <f t="shared" si="40"/>
        <v>1.0451027752282482</v>
      </c>
      <c r="L82" s="282">
        <f t="shared" si="41"/>
        <v>0.2948570495284436</v>
      </c>
      <c r="M82" s="270">
        <f t="shared" si="42"/>
        <v>1.000107789473011</v>
      </c>
      <c r="N82" s="273">
        <f t="shared" si="43"/>
        <v>1.468194753835648E-2</v>
      </c>
      <c r="O82" s="270">
        <f t="shared" si="44"/>
        <v>159.09494156579132</v>
      </c>
      <c r="P82" s="273">
        <f t="shared" si="45"/>
        <v>1.5645107304398187</v>
      </c>
      <c r="Q82" s="271">
        <f t="shared" si="46"/>
        <v>1.0000155012925016</v>
      </c>
      <c r="R82" s="272">
        <f t="shared" si="47"/>
        <v>5.5679605355114688E-3</v>
      </c>
      <c r="S82" s="270">
        <f t="shared" si="48"/>
        <v>1.0000000008113734</v>
      </c>
      <c r="T82" s="273">
        <f t="shared" si="49"/>
        <v>4.0283330895517326E-5</v>
      </c>
      <c r="U82" s="274">
        <f t="shared" si="50"/>
        <v>1.0000074098950962</v>
      </c>
      <c r="V82" s="275">
        <f t="shared" si="51"/>
        <v>5.616316829151191E-3</v>
      </c>
      <c r="W82" s="276">
        <f t="shared" si="52"/>
        <v>20.061036766913926</v>
      </c>
      <c r="X82" s="277">
        <f t="shared" si="62"/>
        <v>-99.695249566170006</v>
      </c>
      <c r="Y82" s="299">
        <f t="shared" si="61"/>
        <v>80.304750433829994</v>
      </c>
      <c r="AB82" s="278">
        <f t="shared" si="53"/>
        <v>9.8166061325729483</v>
      </c>
      <c r="AC82" s="279">
        <f t="shared" si="54"/>
        <v>-73.918855446252749</v>
      </c>
      <c r="AF82" s="278">
        <f t="shared" si="55"/>
        <v>72.047963241322734</v>
      </c>
      <c r="AG82" s="279">
        <f t="shared" si="56"/>
        <v>-25.776394119917232</v>
      </c>
      <c r="AI82">
        <f t="shared" si="57"/>
        <v>0</v>
      </c>
      <c r="AJ82">
        <f t="shared" si="58"/>
        <v>0</v>
      </c>
      <c r="AK82">
        <f t="shared" si="59"/>
        <v>0</v>
      </c>
      <c r="AL82">
        <f t="shared" si="60"/>
        <v>0</v>
      </c>
      <c r="AM82"/>
      <c r="AN82"/>
    </row>
    <row r="83" spans="2:40" x14ac:dyDescent="0.2">
      <c r="B83" s="280">
        <v>630.96</v>
      </c>
      <c r="C83" s="270">
        <f t="shared" si="32"/>
        <v>1.1249948759317021</v>
      </c>
      <c r="D83" s="271">
        <f t="shared" si="33"/>
        <v>0.47587341207518508</v>
      </c>
      <c r="E83" s="271">
        <f t="shared" si="34"/>
        <v>1.0000005312268008</v>
      </c>
      <c r="F83" s="272">
        <f t="shared" si="35"/>
        <v>1.0307536713260446E-3</v>
      </c>
      <c r="G83" s="271">
        <f t="shared" si="36"/>
        <v>1.0000203851210061</v>
      </c>
      <c r="H83" s="272">
        <f t="shared" si="37"/>
        <v>-6.3851037137918013E-3</v>
      </c>
      <c r="I83" s="270">
        <f t="shared" si="38"/>
        <v>2220.4188548193674</v>
      </c>
      <c r="J83" s="273">
        <f t="shared" si="39"/>
        <v>1.5703459613011816</v>
      </c>
      <c r="K83" s="281">
        <f t="shared" si="40"/>
        <v>1.0539912491489958</v>
      </c>
      <c r="L83" s="282">
        <f t="shared" si="41"/>
        <v>0.32146208493630263</v>
      </c>
      <c r="M83" s="270">
        <f t="shared" si="42"/>
        <v>1.0001295910998604</v>
      </c>
      <c r="N83" s="273">
        <f t="shared" si="43"/>
        <v>1.6098267393119224E-2</v>
      </c>
      <c r="O83" s="270">
        <f t="shared" si="44"/>
        <v>174.44426996629224</v>
      </c>
      <c r="P83" s="273">
        <f t="shared" si="45"/>
        <v>1.5650638055880906</v>
      </c>
      <c r="Q83" s="271">
        <f t="shared" si="46"/>
        <v>1.000018636776262</v>
      </c>
      <c r="R83" s="272">
        <f t="shared" si="47"/>
        <v>6.1051595925686441E-3</v>
      </c>
      <c r="S83" s="270">
        <f t="shared" si="48"/>
        <v>1.0000000009754932</v>
      </c>
      <c r="T83" s="273">
        <f t="shared" si="49"/>
        <v>4.4169975078295982E-5</v>
      </c>
      <c r="U83" s="274">
        <f t="shared" si="50"/>
        <v>1.0000089087282118</v>
      </c>
      <c r="V83" s="275">
        <f t="shared" si="51"/>
        <v>6.1581915116909825E-3</v>
      </c>
      <c r="W83" s="276">
        <f t="shared" si="52"/>
        <v>19.178271624223232</v>
      </c>
      <c r="X83" s="277">
        <f t="shared" si="62"/>
        <v>-100.40329613366463</v>
      </c>
      <c r="Y83" s="299">
        <f t="shared" si="61"/>
        <v>79.596703866335375</v>
      </c>
      <c r="AB83" s="278">
        <f t="shared" si="53"/>
        <v>9.089941438850035</v>
      </c>
      <c r="AC83" s="279">
        <f t="shared" si="54"/>
        <v>-72.478137996744479</v>
      </c>
      <c r="AF83" s="278">
        <f t="shared" si="55"/>
        <v>71.891862792354956</v>
      </c>
      <c r="AG83" s="279">
        <f t="shared" si="56"/>
        <v>-27.925158136920135</v>
      </c>
      <c r="AI83">
        <f t="shared" si="57"/>
        <v>0</v>
      </c>
      <c r="AJ83">
        <f t="shared" si="58"/>
        <v>0</v>
      </c>
      <c r="AK83">
        <f t="shared" si="59"/>
        <v>0</v>
      </c>
      <c r="AL83">
        <f t="shared" si="60"/>
        <v>0</v>
      </c>
      <c r="AM83"/>
      <c r="AN83"/>
    </row>
    <row r="84" spans="2:40" x14ac:dyDescent="0.2">
      <c r="B84" s="280">
        <v>691.83</v>
      </c>
      <c r="C84" s="270">
        <f t="shared" si="32"/>
        <v>1.148622673069045</v>
      </c>
      <c r="D84" s="271">
        <f t="shared" si="33"/>
        <v>0.51435968106818553</v>
      </c>
      <c r="E84" s="271">
        <f t="shared" si="34"/>
        <v>1.0000006386678861</v>
      </c>
      <c r="F84" s="272">
        <f t="shared" si="35"/>
        <v>1.1301925024654129E-3</v>
      </c>
      <c r="G84" s="271">
        <f t="shared" si="36"/>
        <v>1.0000245079803749</v>
      </c>
      <c r="H84" s="272">
        <f t="shared" si="37"/>
        <v>-7.0010684686284668E-3</v>
      </c>
      <c r="I84" s="270">
        <f t="shared" si="38"/>
        <v>2434.6271556389033</v>
      </c>
      <c r="J84" s="273">
        <f t="shared" si="39"/>
        <v>1.5703855862731695</v>
      </c>
      <c r="K84" s="281">
        <f t="shared" si="40"/>
        <v>1.0645781735977695</v>
      </c>
      <c r="L84" s="282">
        <f t="shared" si="41"/>
        <v>0.35009774831369606</v>
      </c>
      <c r="M84" s="270">
        <f t="shared" si="42"/>
        <v>1.0001557989802015</v>
      </c>
      <c r="N84" s="273">
        <f t="shared" si="43"/>
        <v>1.7650991763736822E-2</v>
      </c>
      <c r="O84" s="270">
        <f t="shared" si="44"/>
        <v>191.27273631306721</v>
      </c>
      <c r="P84" s="273">
        <f t="shared" si="45"/>
        <v>1.5655681663424417</v>
      </c>
      <c r="Q84" s="271">
        <f t="shared" si="46"/>
        <v>1.0000224060395566</v>
      </c>
      <c r="R84" s="272">
        <f t="shared" si="47"/>
        <v>6.6941199878382393E-3</v>
      </c>
      <c r="S84" s="270">
        <f t="shared" si="48"/>
        <v>1.0000000011727876</v>
      </c>
      <c r="T84" s="273">
        <f t="shared" si="49"/>
        <v>4.8431142789397437E-5</v>
      </c>
      <c r="U84" s="274">
        <f t="shared" si="50"/>
        <v>1.0000107105295066</v>
      </c>
      <c r="V84" s="275">
        <f t="shared" si="51"/>
        <v>6.7522812910735192E-3</v>
      </c>
      <c r="W84" s="276">
        <f t="shared" si="52"/>
        <v>18.284388252420392</v>
      </c>
      <c r="X84" s="277">
        <f t="shared" si="62"/>
        <v>-101.12256275037591</v>
      </c>
      <c r="Y84" s="299">
        <f t="shared" si="61"/>
        <v>78.877437249624094</v>
      </c>
      <c r="AB84" s="278">
        <f t="shared" si="53"/>
        <v>8.3765737814658117</v>
      </c>
      <c r="AC84" s="279">
        <f t="shared" si="54"/>
        <v>-70.928670238504225</v>
      </c>
      <c r="AF84" s="278">
        <f t="shared" si="55"/>
        <v>71.711347077936338</v>
      </c>
      <c r="AG84" s="279">
        <f t="shared" si="56"/>
        <v>-30.193892511871695</v>
      </c>
      <c r="AI84">
        <f t="shared" si="57"/>
        <v>0</v>
      </c>
      <c r="AJ84">
        <f t="shared" si="58"/>
        <v>0</v>
      </c>
      <c r="AK84">
        <f t="shared" si="59"/>
        <v>0</v>
      </c>
      <c r="AL84">
        <f t="shared" si="60"/>
        <v>0</v>
      </c>
      <c r="AM84"/>
      <c r="AN84"/>
    </row>
    <row r="85" spans="2:40" x14ac:dyDescent="0.2">
      <c r="B85" s="280">
        <v>758.58</v>
      </c>
      <c r="C85" s="270">
        <f t="shared" si="32"/>
        <v>1.1764044786519705</v>
      </c>
      <c r="D85" s="271">
        <f t="shared" si="33"/>
        <v>0.55472034975476336</v>
      </c>
      <c r="E85" s="271">
        <f t="shared" si="34"/>
        <v>1.0000007678547</v>
      </c>
      <c r="F85" s="272">
        <f t="shared" si="35"/>
        <v>1.2392370303139729E-3</v>
      </c>
      <c r="G85" s="271">
        <f t="shared" si="36"/>
        <v>1.0000294652712238</v>
      </c>
      <c r="H85" s="272">
        <f t="shared" si="37"/>
        <v>-7.6765288692626499E-3</v>
      </c>
      <c r="I85" s="270">
        <f t="shared" si="38"/>
        <v>2669.5278341700764</v>
      </c>
      <c r="J85" s="273">
        <f t="shared" si="39"/>
        <v>1.5704217287065803</v>
      </c>
      <c r="K85" s="281">
        <f t="shared" si="40"/>
        <v>1.0771700931432242</v>
      </c>
      <c r="L85" s="282">
        <f t="shared" si="41"/>
        <v>0.38082451908222009</v>
      </c>
      <c r="M85" s="270">
        <f t="shared" si="42"/>
        <v>1.0001873103451984</v>
      </c>
      <c r="N85" s="273">
        <f t="shared" si="43"/>
        <v>1.9353610114546609E-2</v>
      </c>
      <c r="O85" s="270">
        <f t="shared" si="44"/>
        <v>209.72686742081231</v>
      </c>
      <c r="P85" s="273">
        <f t="shared" si="45"/>
        <v>1.5660282024173369</v>
      </c>
      <c r="Q85" s="271">
        <f t="shared" si="46"/>
        <v>1.0000269381712745</v>
      </c>
      <c r="R85" s="272">
        <f t="shared" si="47"/>
        <v>7.3399681971313135E-3</v>
      </c>
      <c r="S85" s="270">
        <f t="shared" si="48"/>
        <v>1.0000000014100139</v>
      </c>
      <c r="T85" s="273">
        <f t="shared" si="49"/>
        <v>5.3103936359179019E-5</v>
      </c>
      <c r="U85" s="274">
        <f t="shared" si="50"/>
        <v>1.0000128770109866</v>
      </c>
      <c r="V85" s="275">
        <f t="shared" si="51"/>
        <v>7.4037586082337349E-3</v>
      </c>
      <c r="W85" s="276">
        <f t="shared" si="52"/>
        <v>17.37864901747151</v>
      </c>
      <c r="X85" s="277">
        <f t="shared" si="62"/>
        <v>-101.84394823554057</v>
      </c>
      <c r="Y85" s="299">
        <f t="shared" si="61"/>
        <v>78.156051764459434</v>
      </c>
      <c r="AB85" s="278">
        <f t="shared" si="53"/>
        <v>7.6783948747884887</v>
      </c>
      <c r="AC85" s="279">
        <f t="shared" si="54"/>
        <v>-69.267779609920538</v>
      </c>
      <c r="AF85" s="278">
        <f t="shared" si="55"/>
        <v>71.503786749664783</v>
      </c>
      <c r="AG85" s="279">
        <f t="shared" si="56"/>
        <v>-32.576168625620042</v>
      </c>
      <c r="AI85">
        <f t="shared" si="57"/>
        <v>0</v>
      </c>
      <c r="AJ85">
        <f t="shared" si="58"/>
        <v>0</v>
      </c>
      <c r="AK85">
        <f t="shared" si="59"/>
        <v>0</v>
      </c>
      <c r="AL85">
        <f t="shared" si="60"/>
        <v>0</v>
      </c>
      <c r="AM85"/>
      <c r="AN85"/>
    </row>
    <row r="86" spans="2:40" x14ac:dyDescent="0.2">
      <c r="B86" s="280">
        <v>831.76</v>
      </c>
      <c r="C86" s="270">
        <f t="shared" si="32"/>
        <v>1.2089562601775767</v>
      </c>
      <c r="D86" s="271">
        <f t="shared" si="33"/>
        <v>0.59676166648092022</v>
      </c>
      <c r="E86" s="271">
        <f t="shared" si="34"/>
        <v>1.000000923150052</v>
      </c>
      <c r="F86" s="272">
        <f t="shared" si="35"/>
        <v>1.3587857386438622E-3</v>
      </c>
      <c r="G86" s="271">
        <f t="shared" si="36"/>
        <v>1.0000354243943916</v>
      </c>
      <c r="H86" s="272">
        <f t="shared" si="37"/>
        <v>-8.4170480197646273E-3</v>
      </c>
      <c r="I86" s="270">
        <f t="shared" si="38"/>
        <v>2927.0564016216422</v>
      </c>
      <c r="J86" s="273">
        <f t="shared" si="39"/>
        <v>1.570454686634188</v>
      </c>
      <c r="K86" s="281">
        <f t="shared" si="40"/>
        <v>1.0921146873511023</v>
      </c>
      <c r="L86" s="282">
        <f t="shared" si="41"/>
        <v>0.41366254793734319</v>
      </c>
      <c r="M86" s="270">
        <f t="shared" si="42"/>
        <v>1.0002251888199796</v>
      </c>
      <c r="N86" s="273">
        <f t="shared" si="43"/>
        <v>2.1220111675539048E-2</v>
      </c>
      <c r="O86" s="270">
        <f t="shared" si="44"/>
        <v>229.95871979935643</v>
      </c>
      <c r="P86" s="273">
        <f t="shared" si="45"/>
        <v>1.5664477065180522</v>
      </c>
      <c r="Q86" s="271">
        <f t="shared" si="46"/>
        <v>1.0000323862163021</v>
      </c>
      <c r="R86" s="272">
        <f t="shared" si="47"/>
        <v>8.0480236419247907E-3</v>
      </c>
      <c r="S86" s="270">
        <f t="shared" si="48"/>
        <v>1.0000000016951835</v>
      </c>
      <c r="T86" s="273">
        <f t="shared" si="49"/>
        <v>5.8226858205744284E-5</v>
      </c>
      <c r="U86" s="274">
        <f t="shared" si="50"/>
        <v>1.0000154813384827</v>
      </c>
      <c r="V86" s="275">
        <f t="shared" si="51"/>
        <v>8.1179909841651941E-3</v>
      </c>
      <c r="W86" s="276">
        <f t="shared" si="52"/>
        <v>16.461018644031725</v>
      </c>
      <c r="X86" s="277">
        <f t="shared" si="62"/>
        <v>-102.55659028651893</v>
      </c>
      <c r="Y86" s="299">
        <f t="shared" si="61"/>
        <v>77.443409713481074</v>
      </c>
      <c r="AB86" s="278">
        <f t="shared" si="53"/>
        <v>6.9978123988663787</v>
      </c>
      <c r="AC86" s="279">
        <f t="shared" si="54"/>
        <v>-67.495130161046035</v>
      </c>
      <c r="AF86" s="278">
        <f t="shared" si="55"/>
        <v>71.266738852147114</v>
      </c>
      <c r="AG86" s="279">
        <f t="shared" si="56"/>
        <v>-35.061460125472891</v>
      </c>
      <c r="AI86">
        <f t="shared" si="57"/>
        <v>0</v>
      </c>
      <c r="AJ86">
        <f t="shared" si="58"/>
        <v>0</v>
      </c>
      <c r="AK86">
        <f t="shared" si="59"/>
        <v>0</v>
      </c>
      <c r="AL86">
        <f t="shared" si="60"/>
        <v>0</v>
      </c>
      <c r="AM86"/>
      <c r="AN86"/>
    </row>
    <row r="87" spans="2:40" x14ac:dyDescent="0.2">
      <c r="B87" s="280">
        <v>912.01</v>
      </c>
      <c r="C87" s="270">
        <f t="shared" si="32"/>
        <v>1.24697213455283</v>
      </c>
      <c r="D87" s="271">
        <f t="shared" si="33"/>
        <v>0.64025651939261186</v>
      </c>
      <c r="E87" s="271">
        <f t="shared" si="34"/>
        <v>1.0000011098783927</v>
      </c>
      <c r="F87" s="272">
        <f t="shared" si="35"/>
        <v>1.4898841339267906E-3</v>
      </c>
      <c r="G87" s="271">
        <f t="shared" si="36"/>
        <v>1.0000425896447134</v>
      </c>
      <c r="H87" s="272">
        <f t="shared" si="37"/>
        <v>-9.2290988946381984E-3</v>
      </c>
      <c r="I87" s="270">
        <f t="shared" si="38"/>
        <v>3209.4650892475706</v>
      </c>
      <c r="J87" s="273">
        <f t="shared" si="39"/>
        <v>1.5704847483890338</v>
      </c>
      <c r="K87" s="281">
        <f t="shared" si="40"/>
        <v>1.1098177563144811</v>
      </c>
      <c r="L87" s="282">
        <f t="shared" si="41"/>
        <v>0.44861460237195494</v>
      </c>
      <c r="M87" s="270">
        <f t="shared" si="42"/>
        <v>1.0002707323016231</v>
      </c>
      <c r="N87" s="273">
        <f t="shared" si="43"/>
        <v>2.3266767534321435E-2</v>
      </c>
      <c r="O87" s="270">
        <f t="shared" si="44"/>
        <v>252.14523230484983</v>
      </c>
      <c r="P87" s="273">
        <f t="shared" si="45"/>
        <v>1.5668303480914261</v>
      </c>
      <c r="Q87" s="271">
        <f t="shared" si="46"/>
        <v>1.0000389369499014</v>
      </c>
      <c r="R87" s="272">
        <f t="shared" si="47"/>
        <v>8.824475796130625E-3</v>
      </c>
      <c r="S87" s="270">
        <f t="shared" si="48"/>
        <v>1.0000000020380735</v>
      </c>
      <c r="T87" s="273">
        <f t="shared" si="49"/>
        <v>6.3844711142735581E-5</v>
      </c>
      <c r="U87" s="274">
        <f t="shared" si="50"/>
        <v>1.0000186128051411</v>
      </c>
      <c r="V87" s="275">
        <f t="shared" si="51"/>
        <v>8.9012241777529366E-3</v>
      </c>
      <c r="W87" s="276">
        <f t="shared" si="52"/>
        <v>15.531373731664267</v>
      </c>
      <c r="X87" s="277">
        <f t="shared" si="62"/>
        <v>-103.24893539848442</v>
      </c>
      <c r="Y87" s="299">
        <f t="shared" si="61"/>
        <v>76.75106460151558</v>
      </c>
      <c r="AB87" s="278">
        <f t="shared" si="53"/>
        <v>6.3370540332204133</v>
      </c>
      <c r="AC87" s="279">
        <f t="shared" si="54"/>
        <v>-65.61151211113264</v>
      </c>
      <c r="AF87" s="278">
        <f t="shared" si="55"/>
        <v>70.99785230542561</v>
      </c>
      <c r="AG87" s="279">
        <f t="shared" si="56"/>
        <v>-37.637423287351766</v>
      </c>
      <c r="AI87">
        <f t="shared" si="57"/>
        <v>0</v>
      </c>
      <c r="AJ87">
        <f t="shared" si="58"/>
        <v>0</v>
      </c>
      <c r="AK87">
        <f t="shared" si="59"/>
        <v>0</v>
      </c>
      <c r="AL87">
        <f t="shared" si="60"/>
        <v>0</v>
      </c>
      <c r="AM87"/>
      <c r="AN87"/>
    </row>
    <row r="88" spans="2:40" x14ac:dyDescent="0.2">
      <c r="B88" s="280">
        <v>1000</v>
      </c>
      <c r="C88" s="270">
        <f t="shared" si="32"/>
        <v>1.2911952824858215</v>
      </c>
      <c r="D88" s="271">
        <f t="shared" si="33"/>
        <v>0.68490967877541398</v>
      </c>
      <c r="E88" s="271">
        <f t="shared" si="34"/>
        <v>1.0000013343696248</v>
      </c>
      <c r="F88" s="272">
        <f t="shared" si="35"/>
        <v>1.6336267266255022E-3</v>
      </c>
      <c r="G88" s="271">
        <f t="shared" si="36"/>
        <v>1.0000512038888352</v>
      </c>
      <c r="H88" s="272">
        <f t="shared" si="37"/>
        <v>-1.0119456908885282E-2</v>
      </c>
      <c r="I88" s="270">
        <f t="shared" si="38"/>
        <v>3519.111701667684</v>
      </c>
      <c r="J88" s="273">
        <f t="shared" si="39"/>
        <v>1.5705121641714186</v>
      </c>
      <c r="K88" s="281">
        <f t="shared" si="40"/>
        <v>1.1307341485142943</v>
      </c>
      <c r="L88" s="282">
        <f t="shared" si="41"/>
        <v>0.48562974883732646</v>
      </c>
      <c r="M88" s="270">
        <f t="shared" si="42"/>
        <v>1.0003254835075663</v>
      </c>
      <c r="N88" s="273">
        <f t="shared" si="43"/>
        <v>2.5510595804548824E-2</v>
      </c>
      <c r="O88" s="270">
        <f t="shared" si="44"/>
        <v>276.47163813096046</v>
      </c>
      <c r="P88" s="273">
        <f t="shared" si="45"/>
        <v>1.567179311367092</v>
      </c>
      <c r="Q88" s="271">
        <f t="shared" si="46"/>
        <v>1.0000468124118944</v>
      </c>
      <c r="R88" s="272">
        <f t="shared" si="47"/>
        <v>9.6758034083980274E-3</v>
      </c>
      <c r="S88" s="270">
        <f t="shared" si="48"/>
        <v>1.0000000024503077</v>
      </c>
      <c r="T88" s="273">
        <f t="shared" si="49"/>
        <v>7.0004398115360126E-5</v>
      </c>
      <c r="U88" s="274">
        <f t="shared" si="50"/>
        <v>1.000022377566355</v>
      </c>
      <c r="V88" s="275">
        <f t="shared" si="51"/>
        <v>9.7599965377404667E-3</v>
      </c>
      <c r="W88" s="276">
        <f t="shared" si="52"/>
        <v>14.590407601341081</v>
      </c>
      <c r="X88" s="277">
        <f t="shared" si="62"/>
        <v>-103.90867594534235</v>
      </c>
      <c r="Y88" s="299">
        <f t="shared" si="61"/>
        <v>76.091324054657647</v>
      </c>
      <c r="AB88" s="278">
        <f t="shared" si="53"/>
        <v>5.6987474739738131</v>
      </c>
      <c r="AC88" s="279">
        <f t="shared" si="54"/>
        <v>-63.62083313906713</v>
      </c>
      <c r="AF88" s="278">
        <f t="shared" si="55"/>
        <v>70.695192734349021</v>
      </c>
      <c r="AG88" s="279">
        <f t="shared" si="56"/>
        <v>-40.287842806275201</v>
      </c>
      <c r="AI88">
        <f t="shared" si="57"/>
        <v>0</v>
      </c>
      <c r="AJ88">
        <f t="shared" si="58"/>
        <v>0</v>
      </c>
      <c r="AK88">
        <f t="shared" si="59"/>
        <v>0</v>
      </c>
      <c r="AL88">
        <f t="shared" si="60"/>
        <v>0</v>
      </c>
      <c r="AM88"/>
      <c r="AN88"/>
    </row>
    <row r="89" spans="2:40" x14ac:dyDescent="0.2">
      <c r="B89" s="280">
        <v>1096.5</v>
      </c>
      <c r="C89" s="270">
        <f t="shared" si="32"/>
        <v>1.3424473949202085</v>
      </c>
      <c r="D89" s="271">
        <f t="shared" si="33"/>
        <v>0.73039917400509013</v>
      </c>
      <c r="E89" s="271">
        <f t="shared" si="34"/>
        <v>1.0000016043287294</v>
      </c>
      <c r="F89" s="272">
        <f t="shared" si="35"/>
        <v>1.7912713833651691E-3</v>
      </c>
      <c r="G89" s="271">
        <f t="shared" si="36"/>
        <v>1.0000615627439426</v>
      </c>
      <c r="H89" s="272">
        <f t="shared" si="37"/>
        <v>-1.1095907876228382E-2</v>
      </c>
      <c r="I89" s="270">
        <f t="shared" si="38"/>
        <v>3858.7059546635769</v>
      </c>
      <c r="J89" s="273">
        <f t="shared" si="39"/>
        <v>1.5705371725543449</v>
      </c>
      <c r="K89" s="281">
        <f t="shared" si="40"/>
        <v>1.1553855448462806</v>
      </c>
      <c r="L89" s="282">
        <f t="shared" si="41"/>
        <v>0.5246247646629274</v>
      </c>
      <c r="M89" s="270">
        <f t="shared" si="42"/>
        <v>1.0003913199288641</v>
      </c>
      <c r="N89" s="273">
        <f t="shared" si="43"/>
        <v>2.7971140915456914E-2</v>
      </c>
      <c r="O89" s="270">
        <f t="shared" si="44"/>
        <v>303.1508175282741</v>
      </c>
      <c r="P89" s="273">
        <f t="shared" si="45"/>
        <v>1.5674976326936583</v>
      </c>
      <c r="Q89" s="271">
        <f t="shared" si="46"/>
        <v>1.0000562828697666</v>
      </c>
      <c r="R89" s="272">
        <f t="shared" si="47"/>
        <v>1.0609451455386967E-2</v>
      </c>
      <c r="S89" s="270">
        <f t="shared" si="48"/>
        <v>1.0000000029460352</v>
      </c>
      <c r="T89" s="273">
        <f t="shared" si="49"/>
        <v>7.6759822508124423E-5</v>
      </c>
      <c r="U89" s="274">
        <f t="shared" si="50"/>
        <v>1.0000269048388037</v>
      </c>
      <c r="V89" s="275">
        <f t="shared" si="51"/>
        <v>1.0701822128290349E-2</v>
      </c>
      <c r="W89" s="276">
        <f t="shared" si="52"/>
        <v>13.638937804700667</v>
      </c>
      <c r="X89" s="277">
        <f t="shared" si="62"/>
        <v>-104.52407070749337</v>
      </c>
      <c r="Y89" s="299">
        <f t="shared" si="61"/>
        <v>75.475929292506635</v>
      </c>
      <c r="AB89" s="278">
        <f t="shared" si="53"/>
        <v>5.0853316005337508</v>
      </c>
      <c r="AC89" s="279">
        <f t="shared" si="54"/>
        <v>-61.528995035165053</v>
      </c>
      <c r="AF89" s="278">
        <f t="shared" si="55"/>
        <v>70.357138811148673</v>
      </c>
      <c r="AG89" s="279">
        <f t="shared" si="56"/>
        <v>-42.995075672328305</v>
      </c>
      <c r="AI89">
        <f t="shared" si="57"/>
        <v>0</v>
      </c>
      <c r="AJ89">
        <f t="shared" si="58"/>
        <v>0</v>
      </c>
      <c r="AK89">
        <f t="shared" si="59"/>
        <v>0</v>
      </c>
      <c r="AL89">
        <f t="shared" si="60"/>
        <v>0</v>
      </c>
      <c r="AM89"/>
      <c r="AN89"/>
    </row>
    <row r="90" spans="2:40" x14ac:dyDescent="0.2">
      <c r="B90" s="280">
        <v>1202.3</v>
      </c>
      <c r="C90" s="270">
        <f t="shared" si="32"/>
        <v>1.401582378189427</v>
      </c>
      <c r="D90" s="271">
        <f t="shared" si="33"/>
        <v>0.77634497154686266</v>
      </c>
      <c r="E90" s="271">
        <f t="shared" si="34"/>
        <v>1.0000019288644655</v>
      </c>
      <c r="F90" s="272">
        <f t="shared" si="35"/>
        <v>1.9641086349876514E-3</v>
      </c>
      <c r="G90" s="271">
        <f t="shared" si="36"/>
        <v>1.0000740156720644</v>
      </c>
      <c r="H90" s="272">
        <f t="shared" si="37"/>
        <v>-1.2166438023209537E-2</v>
      </c>
      <c r="I90" s="270">
        <f t="shared" si="38"/>
        <v>4231.027946265287</v>
      </c>
      <c r="J90" s="273">
        <f t="shared" si="39"/>
        <v>1.5705599776093062</v>
      </c>
      <c r="K90" s="281">
        <f t="shared" si="40"/>
        <v>1.1843416366290223</v>
      </c>
      <c r="L90" s="282">
        <f t="shared" si="41"/>
        <v>0.56544368410961721</v>
      </c>
      <c r="M90" s="270">
        <f t="shared" si="42"/>
        <v>1.0004704605442263</v>
      </c>
      <c r="N90" s="273">
        <f t="shared" si="43"/>
        <v>3.0668425912434124E-2</v>
      </c>
      <c r="O90" s="270">
        <f t="shared" si="44"/>
        <v>332.40118036351373</v>
      </c>
      <c r="P90" s="273">
        <f t="shared" si="45"/>
        <v>1.5677879093538476</v>
      </c>
      <c r="Q90" s="271">
        <f t="shared" si="46"/>
        <v>1.0000676678196756</v>
      </c>
      <c r="R90" s="272">
        <f t="shared" si="47"/>
        <v>1.1633056702154091E-2</v>
      </c>
      <c r="S90" s="270">
        <f t="shared" si="48"/>
        <v>1.000000003541982</v>
      </c>
      <c r="T90" s="273">
        <f t="shared" si="49"/>
        <v>8.4166287792842705E-5</v>
      </c>
      <c r="U90" s="274">
        <f t="shared" si="50"/>
        <v>1.0000323473821775</v>
      </c>
      <c r="V90" s="275">
        <f t="shared" si="51"/>
        <v>1.1734409850344534E-2</v>
      </c>
      <c r="W90" s="276">
        <f t="shared" si="52"/>
        <v>12.678804540472932</v>
      </c>
      <c r="X90" s="277">
        <f t="shared" si="62"/>
        <v>-105.08426579694495</v>
      </c>
      <c r="Y90" s="299">
        <f t="shared" si="61"/>
        <v>74.915734203055052</v>
      </c>
      <c r="AB90" s="278">
        <f t="shared" si="53"/>
        <v>4.4995616739308675</v>
      </c>
      <c r="AC90" s="279">
        <f t="shared" si="54"/>
        <v>-59.346092906456853</v>
      </c>
      <c r="AF90" s="278">
        <f t="shared" si="55"/>
        <v>69.982775473523816</v>
      </c>
      <c r="AG90" s="279">
        <f t="shared" si="56"/>
        <v>-45.738172890488094</v>
      </c>
      <c r="AI90">
        <f t="shared" si="57"/>
        <v>0</v>
      </c>
      <c r="AJ90">
        <f t="shared" ref="AJ90:AJ153" si="63">IF(AI90&gt;0,Y90,0)</f>
        <v>0</v>
      </c>
      <c r="AK90">
        <f t="shared" si="59"/>
        <v>0</v>
      </c>
      <c r="AL90">
        <f t="shared" si="60"/>
        <v>0</v>
      </c>
      <c r="AM90"/>
      <c r="AN90"/>
    </row>
    <row r="91" spans="2:40" x14ac:dyDescent="0.2">
      <c r="B91" s="280">
        <v>1318.3</v>
      </c>
      <c r="C91" s="270">
        <f t="shared" si="32"/>
        <v>1.469527540885655</v>
      </c>
      <c r="D91" s="271">
        <f t="shared" si="33"/>
        <v>0.82236407472197415</v>
      </c>
      <c r="E91" s="271">
        <f t="shared" si="34"/>
        <v>1.0000023190196978</v>
      </c>
      <c r="F91" s="272">
        <f t="shared" si="35"/>
        <v>2.1536087000111862E-3</v>
      </c>
      <c r="G91" s="271">
        <f t="shared" si="36"/>
        <v>1.0000889863198159</v>
      </c>
      <c r="H91" s="272">
        <f t="shared" si="37"/>
        <v>-1.3340144040642281E-2</v>
      </c>
      <c r="I91" s="270">
        <f t="shared" si="38"/>
        <v>4639.2448767788746</v>
      </c>
      <c r="J91" s="273">
        <f t="shared" si="39"/>
        <v>1.5705807744724165</v>
      </c>
      <c r="K91" s="281">
        <f t="shared" si="40"/>
        <v>1.2182417969294514</v>
      </c>
      <c r="L91" s="282">
        <f t="shared" si="41"/>
        <v>0.60788971316984797</v>
      </c>
      <c r="M91" s="270">
        <f t="shared" si="42"/>
        <v>1.0005655947424719</v>
      </c>
      <c r="N91" s="273">
        <f t="shared" si="43"/>
        <v>3.362523724508544E-2</v>
      </c>
      <c r="O91" s="270">
        <f t="shared" si="44"/>
        <v>364.47154824150329</v>
      </c>
      <c r="P91" s="273">
        <f t="shared" si="45"/>
        <v>1.5680526249628171</v>
      </c>
      <c r="Q91" s="271">
        <f t="shared" si="46"/>
        <v>1.0000813545826188</v>
      </c>
      <c r="R91" s="272">
        <f t="shared" si="47"/>
        <v>1.2755317912799748E-2</v>
      </c>
      <c r="S91" s="270">
        <f t="shared" si="48"/>
        <v>1.0000000042584265</v>
      </c>
      <c r="T91" s="273">
        <f t="shared" si="49"/>
        <v>9.22867979242356E-5</v>
      </c>
      <c r="U91" s="274">
        <f t="shared" si="50"/>
        <v>1.0000388903935513</v>
      </c>
      <c r="V91" s="275">
        <f t="shared" si="51"/>
        <v>1.2866541712709166E-2</v>
      </c>
      <c r="W91" s="276">
        <f t="shared" si="52"/>
        <v>11.71197510593888</v>
      </c>
      <c r="X91" s="277">
        <f t="shared" si="62"/>
        <v>-105.58084947108625</v>
      </c>
      <c r="Y91" s="299">
        <f t="shared" si="61"/>
        <v>74.419150528913747</v>
      </c>
      <c r="AB91" s="278">
        <f t="shared" si="53"/>
        <v>3.9438376811055011</v>
      </c>
      <c r="AC91" s="279">
        <f t="shared" si="54"/>
        <v>-57.084718966876679</v>
      </c>
      <c r="AF91" s="278">
        <f t="shared" si="55"/>
        <v>69.571670031815131</v>
      </c>
      <c r="AG91" s="279">
        <f t="shared" si="56"/>
        <v>-48.496130504209553</v>
      </c>
      <c r="AI91">
        <f t="shared" si="57"/>
        <v>0</v>
      </c>
      <c r="AJ91">
        <f t="shared" si="63"/>
        <v>0</v>
      </c>
      <c r="AK91">
        <f t="shared" si="59"/>
        <v>0</v>
      </c>
      <c r="AL91">
        <f t="shared" si="60"/>
        <v>0</v>
      </c>
      <c r="AM91"/>
      <c r="AN91"/>
    </row>
    <row r="92" spans="2:40" x14ac:dyDescent="0.2">
      <c r="B92" s="280">
        <v>1445.4</v>
      </c>
      <c r="C92" s="270">
        <f t="shared" si="32"/>
        <v>1.5472139057762009</v>
      </c>
      <c r="D92" s="271">
        <f t="shared" si="33"/>
        <v>0.8680404577015215</v>
      </c>
      <c r="E92" s="271">
        <f t="shared" si="34"/>
        <v>1.0000027877378548</v>
      </c>
      <c r="F92" s="272">
        <f t="shared" si="35"/>
        <v>2.3612417828309902E-3</v>
      </c>
      <c r="G92" s="271">
        <f t="shared" si="36"/>
        <v>1.0001069712171999</v>
      </c>
      <c r="H92" s="272">
        <f t="shared" si="37"/>
        <v>-1.4626119264467182E-2</v>
      </c>
      <c r="I92" s="270">
        <f t="shared" si="38"/>
        <v>5086.5239465250997</v>
      </c>
      <c r="J92" s="273">
        <f t="shared" si="39"/>
        <v>1.5705997288791187</v>
      </c>
      <c r="K92" s="281">
        <f t="shared" si="40"/>
        <v>1.2577605923670239</v>
      </c>
      <c r="L92" s="282">
        <f t="shared" si="41"/>
        <v>0.65168345524943438</v>
      </c>
      <c r="M92" s="270">
        <f t="shared" si="42"/>
        <v>1.0006798735612867</v>
      </c>
      <c r="N92" s="273">
        <f t="shared" si="43"/>
        <v>3.6864307794300208E-2</v>
      </c>
      <c r="O92" s="270">
        <f t="shared" si="44"/>
        <v>399.61074295416267</v>
      </c>
      <c r="P92" s="273">
        <f t="shared" si="45"/>
        <v>1.5682938889567462</v>
      </c>
      <c r="Q92" s="271">
        <f t="shared" si="46"/>
        <v>1.0000977971159635</v>
      </c>
      <c r="R92" s="272">
        <f t="shared" si="47"/>
        <v>1.3984930918580895E-2</v>
      </c>
      <c r="S92" s="270">
        <f t="shared" si="48"/>
        <v>1.0000000051191371</v>
      </c>
      <c r="T92" s="273">
        <f t="shared" si="49"/>
        <v>1.0118435685591236E-4</v>
      </c>
      <c r="U92" s="274">
        <f t="shared" si="50"/>
        <v>1.0000467509457891</v>
      </c>
      <c r="V92" s="275">
        <f t="shared" si="51"/>
        <v>1.4106999107602136E-2</v>
      </c>
      <c r="W92" s="276">
        <f t="shared" si="52"/>
        <v>10.741436325092696</v>
      </c>
      <c r="X92" s="277">
        <f t="shared" si="62"/>
        <v>-106.0082453554589</v>
      </c>
      <c r="Y92" s="299">
        <f t="shared" si="61"/>
        <v>73.991754644541103</v>
      </c>
      <c r="AB92" s="278">
        <f t="shared" si="53"/>
        <v>3.4206595083738067</v>
      </c>
      <c r="AC92" s="279">
        <f t="shared" si="54"/>
        <v>-54.76219345615425</v>
      </c>
      <c r="AF92" s="278">
        <f t="shared" si="55"/>
        <v>69.124309423700652</v>
      </c>
      <c r="AG92" s="279">
        <f t="shared" si="56"/>
        <v>-51.246051899304653</v>
      </c>
      <c r="AI92">
        <f t="shared" si="57"/>
        <v>0</v>
      </c>
      <c r="AJ92">
        <f t="shared" si="63"/>
        <v>0</v>
      </c>
      <c r="AK92">
        <f t="shared" si="59"/>
        <v>0</v>
      </c>
      <c r="AL92">
        <f t="shared" si="60"/>
        <v>0</v>
      </c>
      <c r="AM92"/>
      <c r="AN92"/>
    </row>
    <row r="93" spans="2:40" x14ac:dyDescent="0.2">
      <c r="B93" s="280">
        <v>1584.9</v>
      </c>
      <c r="C93" s="270">
        <f t="shared" si="32"/>
        <v>1.6358202812358167</v>
      </c>
      <c r="D93" s="271">
        <f t="shared" si="33"/>
        <v>0.91307630083868274</v>
      </c>
      <c r="E93" s="271">
        <f t="shared" si="34"/>
        <v>1.0000033518103677</v>
      </c>
      <c r="F93" s="272">
        <f t="shared" si="35"/>
        <v>2.5891315167527931E-3</v>
      </c>
      <c r="G93" s="271">
        <f t="shared" si="36"/>
        <v>1.0001286144805741</v>
      </c>
      <c r="H93" s="272">
        <f t="shared" si="37"/>
        <v>-1.6037499639879223E-2</v>
      </c>
      <c r="I93" s="270">
        <f t="shared" si="38"/>
        <v>5577.4400004353038</v>
      </c>
      <c r="J93" s="273">
        <f t="shared" si="39"/>
        <v>1.570617033067796</v>
      </c>
      <c r="K93" s="281">
        <f t="shared" si="40"/>
        <v>1.303731712588182</v>
      </c>
      <c r="L93" s="282">
        <f t="shared" si="41"/>
        <v>0.69659863903884411</v>
      </c>
      <c r="M93" s="270">
        <f t="shared" si="42"/>
        <v>1.0008173836269385</v>
      </c>
      <c r="N93" s="273">
        <f t="shared" si="43"/>
        <v>4.0418492096494285E-2</v>
      </c>
      <c r="O93" s="270">
        <f t="shared" si="44"/>
        <v>438.17817405657229</v>
      </c>
      <c r="P93" s="273">
        <f t="shared" si="45"/>
        <v>1.5685141481578384</v>
      </c>
      <c r="Q93" s="271">
        <f t="shared" si="46"/>
        <v>1.0001175843116694</v>
      </c>
      <c r="R93" s="272">
        <f t="shared" si="47"/>
        <v>1.5334457349393541E-2</v>
      </c>
      <c r="S93" s="270">
        <f t="shared" si="48"/>
        <v>1.0000000061549479</v>
      </c>
      <c r="T93" s="273">
        <f t="shared" si="49"/>
        <v>1.1094997029901446E-4</v>
      </c>
      <c r="U93" s="274">
        <f t="shared" si="50"/>
        <v>1.0000562106481192</v>
      </c>
      <c r="V93" s="275">
        <f t="shared" si="51"/>
        <v>1.5468466474975781E-2</v>
      </c>
      <c r="W93" s="276">
        <f t="shared" si="52"/>
        <v>9.7681776124910247</v>
      </c>
      <c r="X93" s="277">
        <f t="shared" si="62"/>
        <v>-106.36560519689623</v>
      </c>
      <c r="Y93" s="299">
        <f t="shared" si="61"/>
        <v>73.634394803103774</v>
      </c>
      <c r="AB93" s="278">
        <f t="shared" si="53"/>
        <v>2.9309946557326976</v>
      </c>
      <c r="AC93" s="279">
        <f t="shared" si="54"/>
        <v>-52.393374206073133</v>
      </c>
      <c r="AF93" s="278">
        <f t="shared" si="55"/>
        <v>68.640715563740088</v>
      </c>
      <c r="AG93" s="279">
        <f t="shared" si="56"/>
        <v>-53.972230990823128</v>
      </c>
      <c r="AI93">
        <f t="shared" si="57"/>
        <v>0</v>
      </c>
      <c r="AJ93">
        <f t="shared" si="63"/>
        <v>0</v>
      </c>
      <c r="AK93">
        <f t="shared" si="59"/>
        <v>0</v>
      </c>
      <c r="AL93">
        <f t="shared" si="60"/>
        <v>0</v>
      </c>
      <c r="AM93"/>
      <c r="AN93"/>
    </row>
    <row r="94" spans="2:40" x14ac:dyDescent="0.2">
      <c r="B94" s="280">
        <v>1737.8</v>
      </c>
      <c r="C94" s="270">
        <f t="shared" si="32"/>
        <v>1.7363367601054294</v>
      </c>
      <c r="D94" s="271">
        <f t="shared" si="33"/>
        <v>0.9570609570229448</v>
      </c>
      <c r="E94" s="271">
        <f t="shared" si="34"/>
        <v>1.0000040297225696</v>
      </c>
      <c r="F94" s="272">
        <f t="shared" si="35"/>
        <v>2.8389114242897357E-3</v>
      </c>
      <c r="G94" s="271">
        <f t="shared" si="36"/>
        <v>1.0001546251291344</v>
      </c>
      <c r="H94" s="272">
        <f t="shared" si="37"/>
        <v>-1.758437986704544E-2</v>
      </c>
      <c r="I94" s="270">
        <f t="shared" si="38"/>
        <v>6115.5121500084979</v>
      </c>
      <c r="J94" s="273">
        <f t="shared" si="39"/>
        <v>1.5706328081917238</v>
      </c>
      <c r="K94" s="281">
        <f t="shared" si="40"/>
        <v>1.3569215478524783</v>
      </c>
      <c r="L94" s="282">
        <f t="shared" si="41"/>
        <v>0.74223115405380324</v>
      </c>
      <c r="M94" s="270">
        <f t="shared" si="42"/>
        <v>1.0009826207353152</v>
      </c>
      <c r="N94" s="273">
        <f t="shared" si="43"/>
        <v>4.4312905339713791E-2</v>
      </c>
      <c r="O94" s="270">
        <f t="shared" si="44"/>
        <v>480.45031060732458</v>
      </c>
      <c r="P94" s="273">
        <f t="shared" si="45"/>
        <v>1.5687149446000104</v>
      </c>
      <c r="Q94" s="271">
        <f t="shared" si="46"/>
        <v>1.0001413644060109</v>
      </c>
      <c r="R94" s="272">
        <f t="shared" si="47"/>
        <v>1.6813551366295674E-2</v>
      </c>
      <c r="S94" s="270">
        <f t="shared" si="48"/>
        <v>1.0000000073998043</v>
      </c>
      <c r="T94" s="273">
        <f t="shared" si="49"/>
        <v>1.2165364264345663E-4</v>
      </c>
      <c r="U94" s="274">
        <f t="shared" si="50"/>
        <v>1.00006757952309</v>
      </c>
      <c r="V94" s="275">
        <f t="shared" si="51"/>
        <v>1.6960699261554604E-2</v>
      </c>
      <c r="W94" s="276">
        <f t="shared" si="52"/>
        <v>8.7962809447471919</v>
      </c>
      <c r="X94" s="277">
        <f t="shared" si="62"/>
        <v>-106.65504414584449</v>
      </c>
      <c r="Y94" s="299">
        <f t="shared" si="61"/>
        <v>73.344955854155515</v>
      </c>
      <c r="AB94" s="278">
        <f t="shared" si="53"/>
        <v>2.4769323780203321</v>
      </c>
      <c r="AC94" s="279">
        <f t="shared" si="54"/>
        <v>-50.002860977687305</v>
      </c>
      <c r="AF94" s="278">
        <f t="shared" si="55"/>
        <v>68.12288117370862</v>
      </c>
      <c r="AG94" s="279">
        <f t="shared" si="56"/>
        <v>-56.65218316815718</v>
      </c>
      <c r="AI94">
        <f t="shared" si="57"/>
        <v>0</v>
      </c>
      <c r="AJ94">
        <f t="shared" si="63"/>
        <v>0</v>
      </c>
      <c r="AK94">
        <f t="shared" si="59"/>
        <v>0</v>
      </c>
      <c r="AL94">
        <f t="shared" si="60"/>
        <v>0</v>
      </c>
      <c r="AM94"/>
      <c r="AN94"/>
    </row>
    <row r="95" spans="2:40" x14ac:dyDescent="0.2">
      <c r="B95" s="280">
        <v>1905.5</v>
      </c>
      <c r="C95" s="270">
        <f t="shared" si="32"/>
        <v>1.850000846989081</v>
      </c>
      <c r="D95" s="271">
        <f t="shared" si="33"/>
        <v>0.99971715149275442</v>
      </c>
      <c r="E95" s="271">
        <f t="shared" si="34"/>
        <v>1.0000048449945307</v>
      </c>
      <c r="F95" s="272">
        <f t="shared" si="35"/>
        <v>3.1128684421838876E-3</v>
      </c>
      <c r="G95" s="271">
        <f t="shared" si="36"/>
        <v>1.0001859052283679</v>
      </c>
      <c r="H95" s="272">
        <f t="shared" si="37"/>
        <v>-1.9280893771186396E-2</v>
      </c>
      <c r="I95" s="270">
        <f t="shared" si="38"/>
        <v>6705.6671513556266</v>
      </c>
      <c r="J95" s="273">
        <f t="shared" si="39"/>
        <v>1.5706471992016036</v>
      </c>
      <c r="K95" s="281">
        <f t="shared" si="40"/>
        <v>1.4182492355830332</v>
      </c>
      <c r="L95" s="282">
        <f t="shared" si="41"/>
        <v>0.78823966190341999</v>
      </c>
      <c r="M95" s="270">
        <f t="shared" si="42"/>
        <v>1.0011813025051868</v>
      </c>
      <c r="N95" s="273">
        <f t="shared" si="43"/>
        <v>4.8582729027784023E-2</v>
      </c>
      <c r="O95" s="270">
        <f t="shared" si="44"/>
        <v>526.8142094453973</v>
      </c>
      <c r="P95" s="273">
        <f t="shared" si="45"/>
        <v>1.56889812324875</v>
      </c>
      <c r="Q95" s="271">
        <f t="shared" si="46"/>
        <v>1.0001699621372722</v>
      </c>
      <c r="R95" s="272">
        <f t="shared" si="47"/>
        <v>1.8435729882823604E-2</v>
      </c>
      <c r="S95" s="270">
        <f t="shared" si="48"/>
        <v>1.000000008896897</v>
      </c>
      <c r="T95" s="273">
        <f t="shared" si="49"/>
        <v>1.3339338003553051E-4</v>
      </c>
      <c r="U95" s="274">
        <f t="shared" si="50"/>
        <v>1.0000812520364424</v>
      </c>
      <c r="V95" s="275">
        <f t="shared" si="51"/>
        <v>1.8597355320881345E-2</v>
      </c>
      <c r="W95" s="276">
        <f t="shared" si="52"/>
        <v>7.8277309114680547</v>
      </c>
      <c r="X95" s="277">
        <f t="shared" si="62"/>
        <v>-106.8837181487099</v>
      </c>
      <c r="Y95" s="299">
        <f t="shared" si="61"/>
        <v>73.116281851290097</v>
      </c>
      <c r="AB95" s="278">
        <f t="shared" si="53"/>
        <v>2.0589817115766125</v>
      </c>
      <c r="AC95" s="279">
        <f t="shared" si="54"/>
        <v>-47.612235076930197</v>
      </c>
      <c r="AF95" s="278">
        <f t="shared" si="55"/>
        <v>67.572281806873193</v>
      </c>
      <c r="AG95" s="279">
        <f t="shared" si="56"/>
        <v>-59.271483071779691</v>
      </c>
      <c r="AI95">
        <f t="shared" si="57"/>
        <v>0</v>
      </c>
      <c r="AJ95">
        <f t="shared" si="63"/>
        <v>0</v>
      </c>
      <c r="AK95">
        <f t="shared" si="59"/>
        <v>0</v>
      </c>
      <c r="AL95">
        <f t="shared" si="60"/>
        <v>0</v>
      </c>
      <c r="AM95"/>
      <c r="AN95"/>
    </row>
    <row r="96" spans="2:40" x14ac:dyDescent="0.2">
      <c r="B96" s="280">
        <v>2089.3000000000002</v>
      </c>
      <c r="C96" s="270">
        <f t="shared" si="32"/>
        <v>1.9779737273792657</v>
      </c>
      <c r="D96" s="271">
        <f t="shared" si="33"/>
        <v>1.0407562862493347</v>
      </c>
      <c r="E96" s="271">
        <f t="shared" si="34"/>
        <v>1.0000058247431687</v>
      </c>
      <c r="F96" s="272">
        <f t="shared" si="35"/>
        <v>3.4131261024760878E-3</v>
      </c>
      <c r="G96" s="271">
        <f t="shared" si="36"/>
        <v>1.0002234946567916</v>
      </c>
      <c r="H96" s="272">
        <f t="shared" si="37"/>
        <v>-2.1140153256021817E-2</v>
      </c>
      <c r="I96" s="270">
        <f t="shared" si="38"/>
        <v>7352.4798494480738</v>
      </c>
      <c r="J96" s="273">
        <f t="shared" si="39"/>
        <v>1.5706603182612373</v>
      </c>
      <c r="K96" s="281">
        <f t="shared" si="40"/>
        <v>1.4886106812007478</v>
      </c>
      <c r="L96" s="282">
        <f t="shared" si="41"/>
        <v>0.83420430677698842</v>
      </c>
      <c r="M96" s="270">
        <f t="shared" si="42"/>
        <v>1.0014200153046429</v>
      </c>
      <c r="N96" s="273">
        <f t="shared" si="43"/>
        <v>5.3260435010544789E-2</v>
      </c>
      <c r="O96" s="270">
        <f t="shared" si="44"/>
        <v>577.62928063546701</v>
      </c>
      <c r="P96" s="273">
        <f t="shared" si="45"/>
        <v>1.5690651117525816</v>
      </c>
      <c r="Q96" s="271">
        <f t="shared" si="46"/>
        <v>1.0002043282541244</v>
      </c>
      <c r="R96" s="272">
        <f t="shared" si="47"/>
        <v>2.0213533510669894E-2</v>
      </c>
      <c r="S96" s="270">
        <f t="shared" si="48"/>
        <v>1.0000000106960214</v>
      </c>
      <c r="T96" s="273">
        <f t="shared" si="49"/>
        <v>1.4626018817840886E-4</v>
      </c>
      <c r="U96" s="274">
        <f t="shared" si="50"/>
        <v>1.0000976829872221</v>
      </c>
      <c r="V96" s="275">
        <f t="shared" si="51"/>
        <v>2.039111467208286E-2</v>
      </c>
      <c r="W96" s="276">
        <f t="shared" si="52"/>
        <v>6.865615024731766</v>
      </c>
      <c r="X96" s="277">
        <f t="shared" si="62"/>
        <v>-107.06237074950647</v>
      </c>
      <c r="Y96" s="299">
        <f t="shared" si="61"/>
        <v>72.937629250493529</v>
      </c>
      <c r="AB96" s="278">
        <f t="shared" si="53"/>
        <v>1.6776454188605514</v>
      </c>
      <c r="AC96" s="279">
        <f t="shared" si="54"/>
        <v>-45.247419396220572</v>
      </c>
      <c r="AF96" s="278">
        <f t="shared" si="55"/>
        <v>66.991502212852964</v>
      </c>
      <c r="AG96" s="279">
        <f t="shared" si="56"/>
        <v>-61.814951353285885</v>
      </c>
      <c r="AI96">
        <f t="shared" si="57"/>
        <v>0</v>
      </c>
      <c r="AJ96">
        <f t="shared" si="63"/>
        <v>0</v>
      </c>
      <c r="AK96">
        <f t="shared" si="59"/>
        <v>0</v>
      </c>
      <c r="AL96">
        <f t="shared" si="60"/>
        <v>0</v>
      </c>
      <c r="AM96"/>
      <c r="AN96"/>
    </row>
    <row r="97" spans="2:40" x14ac:dyDescent="0.2">
      <c r="B97" s="280">
        <v>2290.9</v>
      </c>
      <c r="C97" s="270">
        <f t="shared" si="32"/>
        <v>2.1216825603701448</v>
      </c>
      <c r="D97" s="271">
        <f t="shared" si="33"/>
        <v>1.0800049007557389</v>
      </c>
      <c r="E97" s="271">
        <f t="shared" si="34"/>
        <v>1.0000070030492527</v>
      </c>
      <c r="F97" s="272">
        <f t="shared" si="35"/>
        <v>3.7424613248333615E-3</v>
      </c>
      <c r="G97" s="271">
        <f t="shared" si="36"/>
        <v>1.0002687001974429</v>
      </c>
      <c r="H97" s="272">
        <f t="shared" si="37"/>
        <v>-2.3179303041222191E-2</v>
      </c>
      <c r="I97" s="270">
        <f t="shared" si="38"/>
        <v>8061.9327338762869</v>
      </c>
      <c r="J97" s="273">
        <f t="shared" si="39"/>
        <v>1.570672287059566</v>
      </c>
      <c r="K97" s="281">
        <f t="shared" si="40"/>
        <v>1.5690581404768269</v>
      </c>
      <c r="L97" s="282">
        <f t="shared" si="41"/>
        <v>0.87977439160666671</v>
      </c>
      <c r="M97" s="270">
        <f t="shared" si="42"/>
        <v>1.0017070309883769</v>
      </c>
      <c r="N97" s="273">
        <f t="shared" si="43"/>
        <v>5.8388461611563851E-2</v>
      </c>
      <c r="O97" s="270">
        <f t="shared" si="44"/>
        <v>633.36552211343223</v>
      </c>
      <c r="P97" s="273">
        <f t="shared" si="45"/>
        <v>1.5692174590154604</v>
      </c>
      <c r="Q97" s="271">
        <f t="shared" si="46"/>
        <v>1.0002456575445628</v>
      </c>
      <c r="R97" s="272">
        <f t="shared" si="47"/>
        <v>2.2163360097771492E-2</v>
      </c>
      <c r="S97" s="270">
        <f t="shared" si="48"/>
        <v>1.0000000128597617</v>
      </c>
      <c r="T97" s="273">
        <f t="shared" si="49"/>
        <v>1.6037307452954779E-4</v>
      </c>
      <c r="U97" s="274">
        <f t="shared" si="50"/>
        <v>1.0001174439801597</v>
      </c>
      <c r="V97" s="275">
        <f t="shared" si="51"/>
        <v>2.2358558579849672E-2</v>
      </c>
      <c r="W97" s="276">
        <f t="shared" si="52"/>
        <v>5.9112109024926411</v>
      </c>
      <c r="X97" s="277">
        <f t="shared" si="62"/>
        <v>-107.2053686133096</v>
      </c>
      <c r="Y97" s="299">
        <f t="shared" si="61"/>
        <v>72.794631386690398</v>
      </c>
      <c r="AB97" s="278">
        <f t="shared" si="53"/>
        <v>1.3322078891916458</v>
      </c>
      <c r="AC97" s="279">
        <f t="shared" si="54"/>
        <v>-42.930945906526148</v>
      </c>
      <c r="AF97" s="278">
        <f t="shared" si="55"/>
        <v>66.382535620282766</v>
      </c>
      <c r="AG97" s="279">
        <f t="shared" si="56"/>
        <v>-64.274422706783454</v>
      </c>
      <c r="AI97">
        <f t="shared" si="57"/>
        <v>0</v>
      </c>
      <c r="AJ97">
        <f t="shared" si="63"/>
        <v>0</v>
      </c>
      <c r="AK97">
        <f t="shared" si="59"/>
        <v>0</v>
      </c>
      <c r="AL97">
        <f t="shared" si="60"/>
        <v>0</v>
      </c>
      <c r="AM97"/>
      <c r="AN97"/>
    </row>
    <row r="98" spans="2:40" x14ac:dyDescent="0.2">
      <c r="B98" s="280">
        <v>2511.9</v>
      </c>
      <c r="C98" s="270">
        <f t="shared" si="32"/>
        <v>2.2824766948178534</v>
      </c>
      <c r="D98" s="271">
        <f t="shared" si="33"/>
        <v>1.1172894899416947</v>
      </c>
      <c r="E98" s="271">
        <f t="shared" si="34"/>
        <v>1.000008419364282</v>
      </c>
      <c r="F98" s="272">
        <f t="shared" si="35"/>
        <v>4.10348759250903E-3</v>
      </c>
      <c r="G98" s="271">
        <f t="shared" si="36"/>
        <v>1.0003230342834435</v>
      </c>
      <c r="H98" s="272">
        <f t="shared" si="37"/>
        <v>-2.5414458409238297E-2</v>
      </c>
      <c r="I98" s="270">
        <f t="shared" si="38"/>
        <v>8839.6563830882915</v>
      </c>
      <c r="J98" s="273">
        <f t="shared" si="39"/>
        <v>1.5706832002254016</v>
      </c>
      <c r="K98" s="281">
        <f t="shared" si="40"/>
        <v>1.6606059033416154</v>
      </c>
      <c r="L98" s="282">
        <f t="shared" si="41"/>
        <v>0.92455510142100461</v>
      </c>
      <c r="M98" s="270">
        <f t="shared" si="42"/>
        <v>1.0020519133287369</v>
      </c>
      <c r="N98" s="273">
        <f t="shared" si="43"/>
        <v>6.4006419016737592E-2</v>
      </c>
      <c r="O98" s="270">
        <f t="shared" si="44"/>
        <v>694.46528500444674</v>
      </c>
      <c r="P98" s="273">
        <f t="shared" si="45"/>
        <v>1.5693563695109654</v>
      </c>
      <c r="Q98" s="271">
        <f t="shared" si="46"/>
        <v>1.0002953328446884</v>
      </c>
      <c r="R98" s="272">
        <f t="shared" si="47"/>
        <v>2.4300624618606787E-2</v>
      </c>
      <c r="S98" s="270">
        <f t="shared" si="48"/>
        <v>1.0000000154605644</v>
      </c>
      <c r="T98" s="273">
        <f t="shared" si="49"/>
        <v>1.7584404610078899E-4</v>
      </c>
      <c r="U98" s="274">
        <f t="shared" si="50"/>
        <v>1.0001411967167282</v>
      </c>
      <c r="V98" s="275">
        <f t="shared" si="51"/>
        <v>2.4515289090243628E-2</v>
      </c>
      <c r="W98" s="276">
        <f t="shared" si="52"/>
        <v>4.9666063810476277</v>
      </c>
      <c r="X98" s="277">
        <f t="shared" si="62"/>
        <v>-107.32933430923144</v>
      </c>
      <c r="Y98" s="299">
        <f t="shared" si="61"/>
        <v>72.670665690768558</v>
      </c>
      <c r="AB98" s="278">
        <f t="shared" si="53"/>
        <v>1.0218444576735581</v>
      </c>
      <c r="AC98" s="279">
        <f t="shared" si="54"/>
        <v>-40.687710757708757</v>
      </c>
      <c r="AF98" s="278">
        <f t="shared" si="55"/>
        <v>65.748294530355821</v>
      </c>
      <c r="AG98" s="279">
        <f t="shared" si="56"/>
        <v>-66.64162355152267</v>
      </c>
      <c r="AI98">
        <f t="shared" si="57"/>
        <v>0</v>
      </c>
      <c r="AJ98">
        <f t="shared" si="63"/>
        <v>0</v>
      </c>
      <c r="AK98">
        <f t="shared" si="59"/>
        <v>0</v>
      </c>
      <c r="AL98">
        <f t="shared" si="60"/>
        <v>0</v>
      </c>
      <c r="AM98"/>
      <c r="AN98"/>
    </row>
    <row r="99" spans="2:40" x14ac:dyDescent="0.2">
      <c r="B99" s="280">
        <v>2754.2</v>
      </c>
      <c r="C99" s="270">
        <f t="shared" si="32"/>
        <v>2.4619123173954458</v>
      </c>
      <c r="D99" s="271">
        <f t="shared" si="33"/>
        <v>1.1525174530371851</v>
      </c>
      <c r="E99" s="271">
        <f t="shared" si="34"/>
        <v>1.00001012197329</v>
      </c>
      <c r="F99" s="272">
        <f t="shared" si="35"/>
        <v>4.499308371746313E-3</v>
      </c>
      <c r="G99" s="271">
        <f t="shared" si="36"/>
        <v>1.0003883476595632</v>
      </c>
      <c r="H99" s="272">
        <f t="shared" si="37"/>
        <v>-2.7864745573706013E-2</v>
      </c>
      <c r="I99" s="270">
        <f t="shared" si="38"/>
        <v>9692.3371089999291</v>
      </c>
      <c r="J99" s="273">
        <f t="shared" si="39"/>
        <v>1.5706931525046788</v>
      </c>
      <c r="K99" s="281">
        <f t="shared" si="40"/>
        <v>1.7643830323903937</v>
      </c>
      <c r="L99" s="282">
        <f t="shared" si="41"/>
        <v>0.96821584289976048</v>
      </c>
      <c r="M99" s="270">
        <f t="shared" si="42"/>
        <v>1.0024663537943268</v>
      </c>
      <c r="N99" s="273">
        <f t="shared" si="43"/>
        <v>7.0161176668832301E-2</v>
      </c>
      <c r="O99" s="270">
        <f t="shared" si="44"/>
        <v>761.45386138180163</v>
      </c>
      <c r="P99" s="273">
        <f t="shared" si="45"/>
        <v>1.5694830492108351</v>
      </c>
      <c r="Q99" s="271">
        <f t="shared" si="46"/>
        <v>1.000355046340053</v>
      </c>
      <c r="R99" s="272">
        <f t="shared" si="47"/>
        <v>2.6643623012531061E-2</v>
      </c>
      <c r="S99" s="270">
        <f t="shared" si="48"/>
        <v>1.0000000185870985</v>
      </c>
      <c r="T99" s="273">
        <f t="shared" si="49"/>
        <v>1.928061112151436E-4</v>
      </c>
      <c r="U99" s="274">
        <f t="shared" si="50"/>
        <v>1.0001697510810488</v>
      </c>
      <c r="V99" s="275">
        <f t="shared" si="51"/>
        <v>2.6879831663679219E-2</v>
      </c>
      <c r="W99" s="276">
        <f t="shared" si="52"/>
        <v>4.0326873865558932</v>
      </c>
      <c r="X99" s="277">
        <f t="shared" si="62"/>
        <v>-107.4525741222532</v>
      </c>
      <c r="Y99" s="299">
        <f t="shared" si="61"/>
        <v>72.547425877746804</v>
      </c>
      <c r="AB99" s="278">
        <f t="shared" si="53"/>
        <v>0.74491613942452339</v>
      </c>
      <c r="AC99" s="279">
        <f t="shared" si="54"/>
        <v>-38.539346401554269</v>
      </c>
      <c r="AF99" s="278">
        <f t="shared" si="55"/>
        <v>65.091303854113121</v>
      </c>
      <c r="AG99" s="279">
        <f t="shared" si="56"/>
        <v>-68.913227720698941</v>
      </c>
      <c r="AI99">
        <f t="shared" si="57"/>
        <v>0</v>
      </c>
      <c r="AJ99">
        <f t="shared" si="63"/>
        <v>0</v>
      </c>
      <c r="AK99">
        <f t="shared" si="59"/>
        <v>0</v>
      </c>
      <c r="AL99">
        <f t="shared" si="60"/>
        <v>0</v>
      </c>
      <c r="AM99"/>
      <c r="AN99"/>
    </row>
    <row r="100" spans="2:40" x14ac:dyDescent="0.2">
      <c r="B100" s="280">
        <v>3020</v>
      </c>
      <c r="C100" s="270">
        <f t="shared" si="32"/>
        <v>2.6617656588489167</v>
      </c>
      <c r="D100" s="271">
        <f t="shared" si="33"/>
        <v>1.1856546128586858</v>
      </c>
      <c r="E100" s="271">
        <f t="shared" si="34"/>
        <v>1.0000121699187918</v>
      </c>
      <c r="F100" s="272">
        <f t="shared" si="35"/>
        <v>4.9335170762121973E-3</v>
      </c>
      <c r="G100" s="271">
        <f t="shared" si="36"/>
        <v>1.0004669029046773</v>
      </c>
      <c r="H100" s="272">
        <f t="shared" si="37"/>
        <v>-3.0552293261196593E-2</v>
      </c>
      <c r="I100" s="270">
        <f t="shared" si="38"/>
        <v>10627.716956997634</v>
      </c>
      <c r="J100" s="273">
        <f t="shared" si="39"/>
        <v>1.5707022332087086</v>
      </c>
      <c r="K100" s="281">
        <f t="shared" si="40"/>
        <v>1.8816418418994949</v>
      </c>
      <c r="L100" s="282">
        <f t="shared" si="41"/>
        <v>1.0104840301422984</v>
      </c>
      <c r="M100" s="270">
        <f t="shared" si="42"/>
        <v>1.0029646283770712</v>
      </c>
      <c r="N100" s="273">
        <f t="shared" si="43"/>
        <v>7.6906731483088048E-2</v>
      </c>
      <c r="O100" s="270">
        <f t="shared" si="44"/>
        <v>834.93948430226078</v>
      </c>
      <c r="P100" s="273">
        <f t="shared" si="45"/>
        <v>1.5695986349167681</v>
      </c>
      <c r="Q100" s="271">
        <f t="shared" si="46"/>
        <v>1.0004268668070362</v>
      </c>
      <c r="R100" s="272">
        <f t="shared" si="47"/>
        <v>2.9213524822175846E-2</v>
      </c>
      <c r="S100" s="270">
        <f t="shared" si="48"/>
        <v>1.0000000223477878</v>
      </c>
      <c r="T100" s="273">
        <f t="shared" si="49"/>
        <v>2.1141327950399328E-4</v>
      </c>
      <c r="U100" s="274">
        <f t="shared" si="50"/>
        <v>1.0002040974247337</v>
      </c>
      <c r="V100" s="275">
        <f t="shared" si="51"/>
        <v>2.9473633622690176E-2</v>
      </c>
      <c r="W100" s="276">
        <f t="shared" si="52"/>
        <v>3.1094803782610434</v>
      </c>
      <c r="X100" s="277">
        <f t="shared" si="62"/>
        <v>-107.59413761444019</v>
      </c>
      <c r="Y100" s="299">
        <f t="shared" si="61"/>
        <v>72.405862385559814</v>
      </c>
      <c r="AB100" s="278">
        <f t="shared" si="53"/>
        <v>0.49925231452538693</v>
      </c>
      <c r="AC100" s="279">
        <f t="shared" si="54"/>
        <v>-36.504569772235058</v>
      </c>
      <c r="AF100" s="278">
        <f t="shared" si="55"/>
        <v>64.413760670717423</v>
      </c>
      <c r="AG100" s="279">
        <f t="shared" si="56"/>
        <v>-71.089567842205142</v>
      </c>
      <c r="AI100">
        <f t="shared" si="57"/>
        <v>0</v>
      </c>
      <c r="AJ100">
        <f t="shared" si="63"/>
        <v>0</v>
      </c>
      <c r="AK100">
        <f t="shared" si="59"/>
        <v>0</v>
      </c>
      <c r="AL100">
        <f t="shared" si="60"/>
        <v>0</v>
      </c>
      <c r="AM100"/>
      <c r="AN100"/>
    </row>
    <row r="101" spans="2:40" x14ac:dyDescent="0.2">
      <c r="B101" s="280">
        <v>3311.3</v>
      </c>
      <c r="C101" s="270">
        <f t="shared" si="32"/>
        <v>2.8836593633289014</v>
      </c>
      <c r="D101" s="271">
        <f t="shared" si="33"/>
        <v>1.216658740096257</v>
      </c>
      <c r="E101" s="271">
        <f t="shared" si="34"/>
        <v>1.0000146308756162</v>
      </c>
      <c r="F101" s="272">
        <f t="shared" si="35"/>
        <v>5.4093802293721125E-3</v>
      </c>
      <c r="G101" s="271">
        <f t="shared" si="36"/>
        <v>1.0005612925228651</v>
      </c>
      <c r="H101" s="272">
        <f t="shared" si="37"/>
        <v>-3.3497167267481004E-2</v>
      </c>
      <c r="I101" s="270">
        <f t="shared" si="38"/>
        <v>11652.834150166369</v>
      </c>
      <c r="J101" s="273">
        <f t="shared" si="39"/>
        <v>1.5707105107617891</v>
      </c>
      <c r="K101" s="281">
        <f t="shared" si="40"/>
        <v>2.013535657736921</v>
      </c>
      <c r="L101" s="282">
        <f t="shared" si="41"/>
        <v>1.0510743631424306</v>
      </c>
      <c r="M101" s="270">
        <f t="shared" si="42"/>
        <v>1.0035630646016034</v>
      </c>
      <c r="N101" s="273">
        <f t="shared" si="43"/>
        <v>8.4291365447851194E-2</v>
      </c>
      <c r="O101" s="270">
        <f t="shared" si="44"/>
        <v>915.47509298959437</v>
      </c>
      <c r="P101" s="273">
        <f t="shared" si="45"/>
        <v>1.5697039975698619</v>
      </c>
      <c r="Q101" s="271">
        <f t="shared" si="46"/>
        <v>1.0005131647576913</v>
      </c>
      <c r="R101" s="272">
        <f t="shared" si="47"/>
        <v>3.20295302917303E-2</v>
      </c>
      <c r="S101" s="270">
        <f t="shared" si="48"/>
        <v>1.0000000268669094</v>
      </c>
      <c r="T101" s="273">
        <f t="shared" si="49"/>
        <v>2.318055597061227E-4</v>
      </c>
      <c r="U101" s="274">
        <f t="shared" si="50"/>
        <v>1.0002453709510459</v>
      </c>
      <c r="V101" s="275">
        <f t="shared" si="51"/>
        <v>3.2316183095254754E-2</v>
      </c>
      <c r="W101" s="276">
        <f t="shared" si="52"/>
        <v>2.1979144823862478</v>
      </c>
      <c r="X101" s="277">
        <f t="shared" si="62"/>
        <v>-107.77280110027867</v>
      </c>
      <c r="Y101" s="299">
        <f t="shared" si="61"/>
        <v>72.22719889972133</v>
      </c>
      <c r="AB101" s="278">
        <f t="shared" si="53"/>
        <v>0.28268681811197238</v>
      </c>
      <c r="AC101" s="279">
        <f t="shared" si="54"/>
        <v>-34.602497630582988</v>
      </c>
      <c r="AF101" s="278">
        <f t="shared" si="55"/>
        <v>63.718760271256031</v>
      </c>
      <c r="AG101" s="279">
        <f t="shared" si="56"/>
        <v>-73.170303469695682</v>
      </c>
      <c r="AI101">
        <f t="shared" si="57"/>
        <v>0</v>
      </c>
      <c r="AJ101">
        <f t="shared" si="63"/>
        <v>0</v>
      </c>
      <c r="AK101">
        <f t="shared" si="59"/>
        <v>0</v>
      </c>
      <c r="AL101">
        <f t="shared" si="60"/>
        <v>0</v>
      </c>
      <c r="AM101"/>
      <c r="AN101"/>
    </row>
    <row r="102" spans="2:40" x14ac:dyDescent="0.2">
      <c r="B102" s="280">
        <v>3630.8</v>
      </c>
      <c r="C102" s="270">
        <f t="shared" si="32"/>
        <v>3.1297458137532024</v>
      </c>
      <c r="D102" s="271">
        <f t="shared" si="33"/>
        <v>1.2455789605646848</v>
      </c>
      <c r="E102" s="271">
        <f t="shared" si="34"/>
        <v>1.0000175904630053</v>
      </c>
      <c r="F102" s="272">
        <f t="shared" si="35"/>
        <v>5.9313076392023701E-3</v>
      </c>
      <c r="G102" s="271">
        <f t="shared" si="36"/>
        <v>1.0006747955546929</v>
      </c>
      <c r="H102" s="272">
        <f t="shared" si="37"/>
        <v>-3.6726456826980773E-2</v>
      </c>
      <c r="I102" s="270">
        <f t="shared" si="38"/>
        <v>12777.190289678432</v>
      </c>
      <c r="J102" s="273">
        <f t="shared" si="39"/>
        <v>1.5707180623268602</v>
      </c>
      <c r="K102" s="281">
        <f t="shared" si="40"/>
        <v>2.1615206583858599</v>
      </c>
      <c r="L102" s="282">
        <f t="shared" si="41"/>
        <v>1.0898286739294407</v>
      </c>
      <c r="M102" s="270">
        <f t="shared" si="42"/>
        <v>1.0042822835560163</v>
      </c>
      <c r="N102" s="273">
        <f t="shared" si="43"/>
        <v>9.2380274560526179E-2</v>
      </c>
      <c r="O102" s="270">
        <f t="shared" si="44"/>
        <v>1003.8071554926904</v>
      </c>
      <c r="P102" s="273">
        <f t="shared" si="45"/>
        <v>1.5698001193461522</v>
      </c>
      <c r="Q102" s="271">
        <f t="shared" si="46"/>
        <v>1.0006169385244732</v>
      </c>
      <c r="R102" s="272">
        <f t="shared" si="47"/>
        <v>3.5117560101572888E-2</v>
      </c>
      <c r="S102" s="270">
        <f t="shared" si="48"/>
        <v>1.0000000323016944</v>
      </c>
      <c r="T102" s="273">
        <f t="shared" si="49"/>
        <v>2.5417196361899257E-4</v>
      </c>
      <c r="U102" s="274">
        <f t="shared" si="50"/>
        <v>1.000295007927424</v>
      </c>
      <c r="V102" s="275">
        <f t="shared" si="51"/>
        <v>3.5433789112579772E-2</v>
      </c>
      <c r="W102" s="276">
        <f t="shared" si="52"/>
        <v>1.2968949510550576</v>
      </c>
      <c r="X102" s="277">
        <f t="shared" si="62"/>
        <v>-108.00698834726879</v>
      </c>
      <c r="Y102" s="299">
        <f t="shared" si="61"/>
        <v>71.993011652731212</v>
      </c>
      <c r="AB102" s="278">
        <f t="shared" si="53"/>
        <v>9.2389536074755654E-2</v>
      </c>
      <c r="AC102" s="279">
        <f t="shared" si="54"/>
        <v>-32.84593221037747</v>
      </c>
      <c r="AF102" s="278">
        <f t="shared" si="55"/>
        <v>63.008038021962065</v>
      </c>
      <c r="AG102" s="279">
        <f t="shared" si="56"/>
        <v>-75.161056136891304</v>
      </c>
      <c r="AI102">
        <f t="shared" si="57"/>
        <v>0</v>
      </c>
      <c r="AJ102">
        <f t="shared" si="63"/>
        <v>0</v>
      </c>
      <c r="AK102">
        <f t="shared" si="59"/>
        <v>3630.8</v>
      </c>
      <c r="AL102">
        <f t="shared" si="60"/>
        <v>-32.84593221037747</v>
      </c>
      <c r="AM102"/>
      <c r="AN102"/>
    </row>
    <row r="103" spans="2:40" x14ac:dyDescent="0.2">
      <c r="B103" s="280">
        <v>3981.1</v>
      </c>
      <c r="C103" s="270">
        <f t="shared" si="32"/>
        <v>3.4021058235345971</v>
      </c>
      <c r="D103" s="271">
        <f t="shared" si="33"/>
        <v>1.2724545968778747</v>
      </c>
      <c r="E103" s="271">
        <f t="shared" si="34"/>
        <v>1.000021148424441</v>
      </c>
      <c r="F103" s="272">
        <f t="shared" si="35"/>
        <v>6.5035454537721738E-3</v>
      </c>
      <c r="G103" s="271">
        <f t="shared" si="36"/>
        <v>1.0008112302136447</v>
      </c>
      <c r="H103" s="272">
        <f t="shared" si="37"/>
        <v>-4.0266168950255421E-2</v>
      </c>
      <c r="I103" s="270">
        <f t="shared" si="38"/>
        <v>14009.935065558262</v>
      </c>
      <c r="J103" s="273">
        <f t="shared" si="39"/>
        <v>1.5707249488765715</v>
      </c>
      <c r="K103" s="281">
        <f t="shared" si="40"/>
        <v>2.3270016564942977</v>
      </c>
      <c r="L103" s="282">
        <f t="shared" si="41"/>
        <v>1.1265942227082046</v>
      </c>
      <c r="M103" s="270">
        <f t="shared" si="42"/>
        <v>1.005146236929418</v>
      </c>
      <c r="N103" s="273">
        <f t="shared" si="43"/>
        <v>0.1012350099547915</v>
      </c>
      <c r="O103" s="270">
        <f t="shared" si="44"/>
        <v>1100.6544929805148</v>
      </c>
      <c r="P103" s="273">
        <f t="shared" si="45"/>
        <v>1.5698877763424568</v>
      </c>
      <c r="Q103" s="271">
        <f t="shared" si="46"/>
        <v>1.0007416795971162</v>
      </c>
      <c r="R103" s="272">
        <f t="shared" si="47"/>
        <v>3.8502505889034519E-2</v>
      </c>
      <c r="S103" s="270">
        <f t="shared" si="48"/>
        <v>1.0000000388353141</v>
      </c>
      <c r="T103" s="273">
        <f t="shared" si="49"/>
        <v>2.7869450257685943E-4</v>
      </c>
      <c r="U103" s="274">
        <f t="shared" si="50"/>
        <v>1.0003546816711815</v>
      </c>
      <c r="V103" s="275">
        <f t="shared" si="51"/>
        <v>3.8851771735151842E-2</v>
      </c>
      <c r="W103" s="276">
        <f t="shared" si="52"/>
        <v>0.40607870808280921</v>
      </c>
      <c r="X103" s="277">
        <f t="shared" si="62"/>
        <v>-108.31393137269268</v>
      </c>
      <c r="Y103" s="299">
        <f t="shared" si="61"/>
        <v>71.686068627307321</v>
      </c>
      <c r="AB103" s="278">
        <f t="shared" si="53"/>
        <v>-7.4348612802509706E-2</v>
      </c>
      <c r="AC103" s="279">
        <f t="shared" si="54"/>
        <v>-31.247154970902315</v>
      </c>
      <c r="AF103" s="278">
        <f t="shared" si="55"/>
        <v>62.28395992786708</v>
      </c>
      <c r="AG103" s="279">
        <f t="shared" si="56"/>
        <v>-77.066776401790321</v>
      </c>
      <c r="AI103">
        <f t="shared" si="57"/>
        <v>3981.1</v>
      </c>
      <c r="AJ103">
        <f t="shared" si="63"/>
        <v>71.686068627307321</v>
      </c>
      <c r="AK103">
        <f t="shared" si="59"/>
        <v>0</v>
      </c>
      <c r="AL103">
        <f t="shared" si="60"/>
        <v>0</v>
      </c>
      <c r="AM103"/>
      <c r="AN103"/>
    </row>
    <row r="104" spans="2:40" x14ac:dyDescent="0.2">
      <c r="B104" s="280">
        <v>4365.2</v>
      </c>
      <c r="C104" s="270">
        <f t="shared" si="32"/>
        <v>3.7031332355503173</v>
      </c>
      <c r="D104" s="271">
        <f t="shared" si="33"/>
        <v>1.2973600971751467</v>
      </c>
      <c r="E104" s="271">
        <f t="shared" si="34"/>
        <v>1.0000254260682779</v>
      </c>
      <c r="F104" s="272">
        <f t="shared" si="35"/>
        <v>7.1309928554490407E-3</v>
      </c>
      <c r="G104" s="271">
        <f t="shared" si="36"/>
        <v>1.0009752380537837</v>
      </c>
      <c r="H104" s="272">
        <f t="shared" si="37"/>
        <v>-4.4146260055014416E-2</v>
      </c>
      <c r="I104" s="270">
        <f t="shared" si="38"/>
        <v>15361.625812455066</v>
      </c>
      <c r="J104" s="273">
        <f t="shared" si="39"/>
        <v>1.570731229518546</v>
      </c>
      <c r="K104" s="281">
        <f t="shared" si="40"/>
        <v>2.5115627196877126</v>
      </c>
      <c r="L104" s="282">
        <f t="shared" si="41"/>
        <v>1.1612878627032091</v>
      </c>
      <c r="M104" s="270">
        <f t="shared" si="42"/>
        <v>1.0061839674213229</v>
      </c>
      <c r="N104" s="273">
        <f t="shared" si="43"/>
        <v>0.11092580231598367</v>
      </c>
      <c r="O104" s="270">
        <f t="shared" si="44"/>
        <v>1206.846514565751</v>
      </c>
      <c r="P104" s="273">
        <f t="shared" si="45"/>
        <v>1.5699677209180416</v>
      </c>
      <c r="Q104" s="271">
        <f t="shared" si="46"/>
        <v>1.0008916325272266</v>
      </c>
      <c r="R104" s="272">
        <f t="shared" si="47"/>
        <v>4.2213043571251128E-2</v>
      </c>
      <c r="S104" s="270">
        <f t="shared" si="48"/>
        <v>1.0000000466905448</v>
      </c>
      <c r="T104" s="273">
        <f t="shared" si="49"/>
        <v>3.0558318964045493E-4</v>
      </c>
      <c r="U104" s="274">
        <f t="shared" si="50"/>
        <v>1.0004264274185388</v>
      </c>
      <c r="V104" s="275">
        <f t="shared" si="51"/>
        <v>4.2599336852385386E-2</v>
      </c>
      <c r="W104" s="276">
        <f t="shared" si="52"/>
        <v>-0.47555149901688587</v>
      </c>
      <c r="X104" s="277">
        <f t="shared" si="62"/>
        <v>-108.7097960565542</v>
      </c>
      <c r="Y104" s="299">
        <f t="shared" si="61"/>
        <v>71.290203943445803</v>
      </c>
      <c r="AB104" s="278">
        <f t="shared" si="53"/>
        <v>-0.2203859340166987</v>
      </c>
      <c r="AC104" s="279">
        <f t="shared" si="54"/>
        <v>-29.814957179953989</v>
      </c>
      <c r="AF104" s="278">
        <f t="shared" si="55"/>
        <v>61.548367041981571</v>
      </c>
      <c r="AG104" s="279">
        <f t="shared" si="56"/>
        <v>-78.894838876600176</v>
      </c>
      <c r="AI104">
        <f t="shared" si="57"/>
        <v>0</v>
      </c>
      <c r="AJ104">
        <f t="shared" si="63"/>
        <v>0</v>
      </c>
      <c r="AK104">
        <f t="shared" si="59"/>
        <v>0</v>
      </c>
      <c r="AL104">
        <f t="shared" si="60"/>
        <v>0</v>
      </c>
      <c r="AM104"/>
      <c r="AN104"/>
    </row>
    <row r="105" spans="2:40" x14ac:dyDescent="0.2">
      <c r="B105" s="280">
        <v>4786.3</v>
      </c>
      <c r="C105" s="270">
        <f t="shared" si="32"/>
        <v>4.0353841641220569</v>
      </c>
      <c r="D105" s="271">
        <f t="shared" si="33"/>
        <v>1.3203794226837935</v>
      </c>
      <c r="E105" s="271">
        <f t="shared" si="34"/>
        <v>1.0000305681834971</v>
      </c>
      <c r="F105" s="272">
        <f t="shared" si="35"/>
        <v>7.8188752182500269E-3</v>
      </c>
      <c r="G105" s="271">
        <f t="shared" si="36"/>
        <v>1.0011723556962306</v>
      </c>
      <c r="H105" s="272">
        <f t="shared" si="37"/>
        <v>-4.8398584538156195E-2</v>
      </c>
      <c r="I105" s="270">
        <f t="shared" si="38"/>
        <v>16843.523687333251</v>
      </c>
      <c r="J105" s="273">
        <f t="shared" si="39"/>
        <v>1.5707369567949399</v>
      </c>
      <c r="K105" s="281">
        <f t="shared" si="40"/>
        <v>2.7168790797470379</v>
      </c>
      <c r="L105" s="282">
        <f t="shared" si="41"/>
        <v>1.1938645467696118</v>
      </c>
      <c r="M105" s="270">
        <f t="shared" si="42"/>
        <v>1.0074300044965605</v>
      </c>
      <c r="N105" s="273">
        <f t="shared" si="43"/>
        <v>0.12152604792350688</v>
      </c>
      <c r="O105" s="270">
        <f t="shared" si="44"/>
        <v>1323.2679233687916</v>
      </c>
      <c r="P105" s="273">
        <f t="shared" si="45"/>
        <v>1.5700406218635508</v>
      </c>
      <c r="Q105" s="271">
        <f t="shared" si="46"/>
        <v>1.0010718606462803</v>
      </c>
      <c r="R105" s="272">
        <f t="shared" si="47"/>
        <v>4.6279674086735341E-2</v>
      </c>
      <c r="S105" s="270">
        <f t="shared" si="48"/>
        <v>1.0000000561332876</v>
      </c>
      <c r="T105" s="273">
        <f t="shared" si="49"/>
        <v>3.3506203870812922E-4</v>
      </c>
      <c r="U105" s="274">
        <f t="shared" si="50"/>
        <v>1.0005126745692718</v>
      </c>
      <c r="V105" s="275">
        <f t="shared" si="51"/>
        <v>4.6707619067756459E-2</v>
      </c>
      <c r="W105" s="276">
        <f t="shared" si="52"/>
        <v>-1.3489957881416881</v>
      </c>
      <c r="X105" s="277">
        <f t="shared" si="62"/>
        <v>-109.20949195358376</v>
      </c>
      <c r="Y105" s="299">
        <f t="shared" si="61"/>
        <v>70.790508046416235</v>
      </c>
      <c r="AB105" s="278">
        <f t="shared" si="53"/>
        <v>-0.34852545948193253</v>
      </c>
      <c r="AC105" s="279">
        <f t="shared" si="54"/>
        <v>-28.55612815629668</v>
      </c>
      <c r="AF105" s="278">
        <f t="shared" si="55"/>
        <v>60.803062278322002</v>
      </c>
      <c r="AG105" s="279">
        <f t="shared" si="56"/>
        <v>-80.653363797287085</v>
      </c>
      <c r="AI105">
        <f t="shared" si="57"/>
        <v>0</v>
      </c>
      <c r="AJ105">
        <f t="shared" si="63"/>
        <v>0</v>
      </c>
      <c r="AK105">
        <f t="shared" si="59"/>
        <v>0</v>
      </c>
      <c r="AL105">
        <f t="shared" si="60"/>
        <v>0</v>
      </c>
      <c r="AM105"/>
      <c r="AN105"/>
    </row>
    <row r="106" spans="2:40" x14ac:dyDescent="0.2">
      <c r="B106" s="280">
        <v>5248.1</v>
      </c>
      <c r="C106" s="270">
        <f t="shared" si="32"/>
        <v>4.4018161845846198</v>
      </c>
      <c r="D106" s="271">
        <f t="shared" si="33"/>
        <v>1.341616414839826</v>
      </c>
      <c r="E106" s="271">
        <f t="shared" si="34"/>
        <v>1.0000367512961168</v>
      </c>
      <c r="F106" s="272">
        <f t="shared" si="35"/>
        <v>8.5732339993747769E-3</v>
      </c>
      <c r="G106" s="271">
        <f t="shared" si="36"/>
        <v>1.0014093288554307</v>
      </c>
      <c r="H106" s="272">
        <f t="shared" si="37"/>
        <v>-5.3059884477112663E-2</v>
      </c>
      <c r="I106" s="270">
        <f t="shared" si="38"/>
        <v>18468.649402938143</v>
      </c>
      <c r="J106" s="273">
        <f t="shared" si="39"/>
        <v>1.57074218098387</v>
      </c>
      <c r="K106" s="281">
        <f t="shared" si="40"/>
        <v>2.9448677174717059</v>
      </c>
      <c r="L106" s="282">
        <f t="shared" si="41"/>
        <v>1.2243325628968103</v>
      </c>
      <c r="M106" s="270">
        <f t="shared" si="42"/>
        <v>1.0089262667595531</v>
      </c>
      <c r="N106" s="273">
        <f t="shared" si="43"/>
        <v>0.13311927051607805</v>
      </c>
      <c r="O106" s="270">
        <f t="shared" si="44"/>
        <v>1450.9416574392476</v>
      </c>
      <c r="P106" s="273">
        <f t="shared" si="45"/>
        <v>1.5701071191523697</v>
      </c>
      <c r="Q106" s="271">
        <f t="shared" si="46"/>
        <v>1.001288533383474</v>
      </c>
      <c r="R106" s="272">
        <f t="shared" si="47"/>
        <v>5.0737585763145743E-2</v>
      </c>
      <c r="S106" s="270">
        <f t="shared" si="48"/>
        <v>1.0000000674877341</v>
      </c>
      <c r="T106" s="273">
        <f t="shared" si="49"/>
        <v>3.6739006581981872E-4</v>
      </c>
      <c r="U106" s="274">
        <f t="shared" si="50"/>
        <v>1.0006163853313852</v>
      </c>
      <c r="V106" s="275">
        <f t="shared" si="51"/>
        <v>5.1212601128941236E-2</v>
      </c>
      <c r="W106" s="276">
        <f t="shared" si="52"/>
        <v>-2.2157521016275843</v>
      </c>
      <c r="X106" s="277">
        <f t="shared" si="62"/>
        <v>-109.82710298697674</v>
      </c>
      <c r="Y106" s="299">
        <f t="shared" si="61"/>
        <v>70.17289701302326</v>
      </c>
      <c r="AB106" s="278">
        <f t="shared" si="53"/>
        <v>-0.46155048391639858</v>
      </c>
      <c r="AC106" s="279">
        <f t="shared" si="54"/>
        <v>-27.474981471558792</v>
      </c>
      <c r="AF106" s="278">
        <f t="shared" si="55"/>
        <v>60.049330989270572</v>
      </c>
      <c r="AG106" s="279">
        <f t="shared" si="56"/>
        <v>-82.352121515417934</v>
      </c>
      <c r="AI106">
        <f t="shared" si="57"/>
        <v>0</v>
      </c>
      <c r="AJ106">
        <f t="shared" si="63"/>
        <v>0</v>
      </c>
      <c r="AK106">
        <f t="shared" si="59"/>
        <v>0</v>
      </c>
      <c r="AL106">
        <f t="shared" si="60"/>
        <v>0</v>
      </c>
      <c r="AM106"/>
      <c r="AN106"/>
    </row>
    <row r="107" spans="2:40" x14ac:dyDescent="0.2">
      <c r="B107" s="280">
        <v>5370.3</v>
      </c>
      <c r="C107" s="270">
        <f t="shared" si="32"/>
        <v>4.4990781592834646</v>
      </c>
      <c r="D107" s="271">
        <f t="shared" si="33"/>
        <v>1.3466565342341057</v>
      </c>
      <c r="E107" s="271">
        <f t="shared" si="34"/>
        <v>1.0000384826681088</v>
      </c>
      <c r="F107" s="272">
        <f t="shared" si="35"/>
        <v>8.7728483462192787E-3</v>
      </c>
      <c r="G107" s="271">
        <f t="shared" si="36"/>
        <v>1.0014756754036067</v>
      </c>
      <c r="H107" s="272">
        <f t="shared" si="37"/>
        <v>-5.4292964631146426E-2</v>
      </c>
      <c r="I107" s="270">
        <f t="shared" si="38"/>
        <v>18898.684834903557</v>
      </c>
      <c r="J107" s="273">
        <f t="shared" si="39"/>
        <v>1.5707434130599356</v>
      </c>
      <c r="K107" s="281">
        <f t="shared" si="40"/>
        <v>3.0056107830008498</v>
      </c>
      <c r="L107" s="282">
        <f t="shared" si="41"/>
        <v>1.2316193431426203</v>
      </c>
      <c r="M107" s="270">
        <f t="shared" si="42"/>
        <v>1.0093448486525793</v>
      </c>
      <c r="N107" s="273">
        <f t="shared" si="43"/>
        <v>0.13618114731878725</v>
      </c>
      <c r="O107" s="270">
        <f t="shared" si="44"/>
        <v>1484.7262627775845</v>
      </c>
      <c r="P107" s="273">
        <f t="shared" si="45"/>
        <v>1.570122801916489</v>
      </c>
      <c r="Q107" s="271">
        <f t="shared" si="46"/>
        <v>1.0013491971080897</v>
      </c>
      <c r="R107" s="272">
        <f t="shared" si="47"/>
        <v>5.1916893367974275E-2</v>
      </c>
      <c r="S107" s="270">
        <f t="shared" si="48"/>
        <v>1.0000000706671761</v>
      </c>
      <c r="T107" s="273">
        <f t="shared" si="49"/>
        <v>3.7594460210174299E-4</v>
      </c>
      <c r="U107" s="274">
        <f t="shared" si="50"/>
        <v>1.0006454266706166</v>
      </c>
      <c r="V107" s="275">
        <f t="shared" si="51"/>
        <v>5.240462498292222E-2</v>
      </c>
      <c r="W107" s="276">
        <f t="shared" si="52"/>
        <v>-2.4314391801913855</v>
      </c>
      <c r="X107" s="277">
        <f t="shared" si="62"/>
        <v>-110.00139317806466</v>
      </c>
      <c r="Y107" s="299">
        <f t="shared" si="61"/>
        <v>69.99860682193534</v>
      </c>
      <c r="AB107" s="278">
        <f t="shared" si="53"/>
        <v>-0.48774325781296335</v>
      </c>
      <c r="AC107" s="279">
        <f t="shared" si="54"/>
        <v>-27.232982928177424</v>
      </c>
      <c r="AF107" s="278">
        <f t="shared" si="55"/>
        <v>59.859836684603337</v>
      </c>
      <c r="AG107" s="279">
        <f t="shared" si="56"/>
        <v>-82.768410249887253</v>
      </c>
      <c r="AI107">
        <f t="shared" si="57"/>
        <v>0</v>
      </c>
      <c r="AJ107">
        <f t="shared" si="63"/>
        <v>0</v>
      </c>
      <c r="AK107">
        <f t="shared" si="59"/>
        <v>0</v>
      </c>
      <c r="AL107">
        <f t="shared" si="60"/>
        <v>0</v>
      </c>
      <c r="AM107"/>
      <c r="AN107"/>
    </row>
    <row r="108" spans="2:40" x14ac:dyDescent="0.2">
      <c r="B108" s="280">
        <v>5432.85</v>
      </c>
      <c r="C108" s="270">
        <f t="shared" si="32"/>
        <v>4.5489060299572577</v>
      </c>
      <c r="D108" s="271">
        <f t="shared" si="33"/>
        <v>1.3491529704971779</v>
      </c>
      <c r="E108" s="271">
        <f t="shared" si="34"/>
        <v>1.0000393843165765</v>
      </c>
      <c r="F108" s="272">
        <f t="shared" si="35"/>
        <v>8.8750238327958298E-3</v>
      </c>
      <c r="G108" s="271">
        <f t="shared" si="36"/>
        <v>1.0015102250724011</v>
      </c>
      <c r="H108" s="272">
        <f t="shared" si="37"/>
        <v>-5.4924072478157532E-2</v>
      </c>
      <c r="I108" s="270">
        <f t="shared" si="38"/>
        <v>19118.80526265108</v>
      </c>
      <c r="J108" s="273">
        <f t="shared" si="39"/>
        <v>1.5707440222713285</v>
      </c>
      <c r="K108" s="281">
        <f t="shared" si="40"/>
        <v>3.0367629630611406</v>
      </c>
      <c r="L108" s="282">
        <f t="shared" si="41"/>
        <v>1.2352363037695822</v>
      </c>
      <c r="M108" s="270">
        <f t="shared" si="42"/>
        <v>1.0095627655613157</v>
      </c>
      <c r="N108" s="273">
        <f t="shared" si="43"/>
        <v>0.13774742739558327</v>
      </c>
      <c r="O108" s="270">
        <f t="shared" si="44"/>
        <v>1502.0194467431509</v>
      </c>
      <c r="P108" s="273">
        <f t="shared" si="45"/>
        <v>1.5701305564042114</v>
      </c>
      <c r="Q108" s="271">
        <f t="shared" si="46"/>
        <v>1.0013807876080021</v>
      </c>
      <c r="R108" s="272">
        <f t="shared" si="47"/>
        <v>5.2520484875754822E-2</v>
      </c>
      <c r="S108" s="270">
        <f t="shared" si="48"/>
        <v>1.0000000723229399</v>
      </c>
      <c r="T108" s="273">
        <f t="shared" si="49"/>
        <v>3.8032337658490417E-4</v>
      </c>
      <c r="U108" s="274">
        <f t="shared" si="50"/>
        <v>1.0006605506713193</v>
      </c>
      <c r="V108" s="275">
        <f t="shared" si="51"/>
        <v>5.3014769457839402E-2</v>
      </c>
      <c r="W108" s="276">
        <f t="shared" si="52"/>
        <v>-2.5398268705154692</v>
      </c>
      <c r="X108" s="277">
        <f t="shared" si="62"/>
        <v>-110.09223229955646</v>
      </c>
      <c r="Y108" s="299">
        <f t="shared" si="61"/>
        <v>69.907767700443543</v>
      </c>
      <c r="AB108" s="278">
        <f t="shared" si="53"/>
        <v>-0.50063859768189667</v>
      </c>
      <c r="AC108" s="279">
        <f t="shared" si="54"/>
        <v>-27.115522492764999</v>
      </c>
      <c r="AF108" s="278">
        <f t="shared" si="55"/>
        <v>59.764344334148191</v>
      </c>
      <c r="AG108" s="279">
        <f t="shared" si="56"/>
        <v>-82.976709806791462</v>
      </c>
      <c r="AI108">
        <f t="shared" si="57"/>
        <v>0</v>
      </c>
      <c r="AJ108">
        <f t="shared" si="63"/>
        <v>0</v>
      </c>
      <c r="AK108">
        <f t="shared" si="59"/>
        <v>0</v>
      </c>
      <c r="AL108">
        <f t="shared" si="60"/>
        <v>0</v>
      </c>
      <c r="AM108"/>
      <c r="AN108"/>
    </row>
    <row r="109" spans="2:40" x14ac:dyDescent="0.2">
      <c r="B109" s="280">
        <v>5495.4</v>
      </c>
      <c r="C109" s="270">
        <f t="shared" si="32"/>
        <v>4.5987616358534478</v>
      </c>
      <c r="D109" s="271">
        <f t="shared" si="33"/>
        <v>1.3515952935085258</v>
      </c>
      <c r="E109" s="271">
        <f t="shared" si="34"/>
        <v>1.0000402964052666</v>
      </c>
      <c r="F109" s="272">
        <f t="shared" si="35"/>
        <v>8.9771991340603704E-3</v>
      </c>
      <c r="G109" s="271">
        <f t="shared" si="36"/>
        <v>1.0015451736122143</v>
      </c>
      <c r="H109" s="272">
        <f t="shared" si="37"/>
        <v>-5.5555136531966108E-2</v>
      </c>
      <c r="I109" s="270">
        <f t="shared" si="38"/>
        <v>19338.925690405536</v>
      </c>
      <c r="J109" s="273">
        <f t="shared" si="39"/>
        <v>1.5707446176143323</v>
      </c>
      <c r="K109" s="281">
        <f t="shared" si="40"/>
        <v>3.0679540641783483</v>
      </c>
      <c r="L109" s="282">
        <f t="shared" si="41"/>
        <v>1.2387797645519492</v>
      </c>
      <c r="M109" s="270">
        <f t="shared" si="42"/>
        <v>1.0097831580905137</v>
      </c>
      <c r="N109" s="273">
        <f t="shared" si="43"/>
        <v>0.13931302760770173</v>
      </c>
      <c r="O109" s="270">
        <f t="shared" si="44"/>
        <v>1519.3126307969806</v>
      </c>
      <c r="P109" s="273">
        <f t="shared" si="45"/>
        <v>1.5701381343650225</v>
      </c>
      <c r="Q109" s="271">
        <f t="shared" si="46"/>
        <v>1.0014127429105801</v>
      </c>
      <c r="R109" s="272">
        <f t="shared" si="47"/>
        <v>5.3124038081934291E-2</v>
      </c>
      <c r="S109" s="270">
        <f t="shared" si="48"/>
        <v>1.0000000739978772</v>
      </c>
      <c r="T109" s="273">
        <f t="shared" si="49"/>
        <v>3.8470215105348093E-4</v>
      </c>
      <c r="U109" s="274">
        <f t="shared" si="50"/>
        <v>1.0006758498707604</v>
      </c>
      <c r="V109" s="275">
        <f t="shared" si="51"/>
        <v>5.3624905846281802E-2</v>
      </c>
      <c r="W109" s="276">
        <f t="shared" si="52"/>
        <v>-2.6468960285561365</v>
      </c>
      <c r="X109" s="277">
        <f t="shared" si="62"/>
        <v>-110.18413948115311</v>
      </c>
      <c r="Y109" s="299">
        <f t="shared" si="61"/>
        <v>69.81586051884689</v>
      </c>
      <c r="AB109" s="278">
        <f t="shared" si="53"/>
        <v>-0.51320728917767033</v>
      </c>
      <c r="AC109" s="279">
        <f t="shared" si="54"/>
        <v>-27.002233540265902</v>
      </c>
      <c r="AF109" s="278">
        <f t="shared" si="55"/>
        <v>59.669843867603298</v>
      </c>
      <c r="AG109" s="279">
        <f t="shared" si="56"/>
        <v>-83.181905940887205</v>
      </c>
      <c r="AI109">
        <f t="shared" si="57"/>
        <v>0</v>
      </c>
      <c r="AJ109">
        <f t="shared" si="63"/>
        <v>0</v>
      </c>
      <c r="AK109">
        <f t="shared" si="59"/>
        <v>0</v>
      </c>
      <c r="AL109">
        <f t="shared" si="60"/>
        <v>0</v>
      </c>
      <c r="AM109"/>
      <c r="AN109"/>
    </row>
    <row r="110" spans="2:40" x14ac:dyDescent="0.2">
      <c r="B110" s="280">
        <v>5559.4</v>
      </c>
      <c r="C110" s="270">
        <f t="shared" si="32"/>
        <v>4.6498007437762574</v>
      </c>
      <c r="D110" s="271">
        <f t="shared" si="33"/>
        <v>1.3540400093399692</v>
      </c>
      <c r="E110" s="271">
        <f t="shared" si="34"/>
        <v>1.0000412404435266</v>
      </c>
      <c r="F110" s="272">
        <f t="shared" si="35"/>
        <v>9.0817428134263752E-3</v>
      </c>
      <c r="G110" s="271">
        <f t="shared" si="36"/>
        <v>1.0015813451142785</v>
      </c>
      <c r="H110" s="272">
        <f t="shared" si="37"/>
        <v>-5.6200783721427873E-2</v>
      </c>
      <c r="I110" s="270">
        <f t="shared" si="38"/>
        <v>19564.148829921422</v>
      </c>
      <c r="J110" s="273">
        <f t="shared" si="39"/>
        <v>1.5707452128921591</v>
      </c>
      <c r="K110" s="281">
        <f t="shared" si="40"/>
        <v>3.0999072798439395</v>
      </c>
      <c r="L110" s="282">
        <f t="shared" si="41"/>
        <v>1.2423315153340571</v>
      </c>
      <c r="M110" s="270">
        <f t="shared" si="42"/>
        <v>1.0100112203170759</v>
      </c>
      <c r="N110" s="273">
        <f t="shared" si="43"/>
        <v>0.14091420948445971</v>
      </c>
      <c r="O110" s="270">
        <f t="shared" si="44"/>
        <v>1537.0066961041759</v>
      </c>
      <c r="P110" s="273">
        <f t="shared" si="45"/>
        <v>1.5701457114962876</v>
      </c>
      <c r="Q110" s="271">
        <f t="shared" si="46"/>
        <v>1.0014458165328033</v>
      </c>
      <c r="R110" s="272">
        <f t="shared" si="47"/>
        <v>5.3741542430983419E-2</v>
      </c>
      <c r="S110" s="270">
        <f t="shared" si="48"/>
        <v>1.0000000757314875</v>
      </c>
      <c r="T110" s="273">
        <f t="shared" si="49"/>
        <v>3.8918243186936808E-4</v>
      </c>
      <c r="U110" s="274">
        <f t="shared" si="50"/>
        <v>1.0006916850680412</v>
      </c>
      <c r="V110" s="275">
        <f t="shared" si="51"/>
        <v>5.4249177617056811E-2</v>
      </c>
      <c r="W110" s="276">
        <f t="shared" si="52"/>
        <v>-2.7551171958750835</v>
      </c>
      <c r="X110" s="277">
        <f t="shared" si="62"/>
        <v>-110.27925720652748</v>
      </c>
      <c r="Y110" s="299">
        <f t="shared" si="61"/>
        <v>69.720742793472525</v>
      </c>
      <c r="AB110" s="278">
        <f t="shared" si="53"/>
        <v>-0.52574403995350616</v>
      </c>
      <c r="AC110" s="279">
        <f t="shared" si="54"/>
        <v>-26.890508281247016</v>
      </c>
      <c r="AF110" s="278">
        <f t="shared" si="55"/>
        <v>59.574159451060183</v>
      </c>
      <c r="AG110" s="279">
        <f t="shared" si="56"/>
        <v>-83.388748925280495</v>
      </c>
      <c r="AI110">
        <f t="shared" si="57"/>
        <v>0</v>
      </c>
      <c r="AJ110">
        <f t="shared" si="63"/>
        <v>0</v>
      </c>
      <c r="AK110">
        <f t="shared" si="59"/>
        <v>0</v>
      </c>
      <c r="AL110">
        <f t="shared" si="60"/>
        <v>0</v>
      </c>
      <c r="AM110"/>
      <c r="AN110"/>
    </row>
    <row r="111" spans="2:40" x14ac:dyDescent="0.2">
      <c r="B111" s="280">
        <v>5623.4</v>
      </c>
      <c r="C111" s="270">
        <f t="shared" si="32"/>
        <v>4.700867038310756</v>
      </c>
      <c r="D111" s="271">
        <f t="shared" si="33"/>
        <v>1.3564316245044421</v>
      </c>
      <c r="E111" s="271">
        <f t="shared" si="34"/>
        <v>1.0000421954115974</v>
      </c>
      <c r="F111" s="272">
        <f t="shared" si="35"/>
        <v>9.1862862942716471E-3</v>
      </c>
      <c r="G111" s="271">
        <f t="shared" si="36"/>
        <v>1.0016179341055786</v>
      </c>
      <c r="H111" s="272">
        <f t="shared" si="37"/>
        <v>-5.6846384009158965E-2</v>
      </c>
      <c r="I111" s="270">
        <f t="shared" si="38"/>
        <v>19789.371969444088</v>
      </c>
      <c r="J111" s="273">
        <f t="shared" si="39"/>
        <v>1.5707457946202541</v>
      </c>
      <c r="K111" s="281">
        <f t="shared" si="40"/>
        <v>3.1318988024092667</v>
      </c>
      <c r="L111" s="282">
        <f t="shared" si="41"/>
        <v>1.2458107488624717</v>
      </c>
      <c r="M111" s="270">
        <f t="shared" si="42"/>
        <v>1.0102418708206322</v>
      </c>
      <c r="N111" s="273">
        <f t="shared" si="43"/>
        <v>0.14251466432429852</v>
      </c>
      <c r="O111" s="270">
        <f t="shared" si="44"/>
        <v>1554.7007614976071</v>
      </c>
      <c r="P111" s="273">
        <f t="shared" si="45"/>
        <v>1.570153116156735</v>
      </c>
      <c r="Q111" s="271">
        <f t="shared" si="46"/>
        <v>1.0014792719926477</v>
      </c>
      <c r="R111" s="272">
        <f t="shared" si="47"/>
        <v>5.4359005758711505E-2</v>
      </c>
      <c r="S111" s="270">
        <f t="shared" si="48"/>
        <v>1.0000000774851707</v>
      </c>
      <c r="T111" s="273">
        <f t="shared" si="49"/>
        <v>3.9366271266963113E-4</v>
      </c>
      <c r="U111" s="274">
        <f t="shared" si="50"/>
        <v>1.0007077036855965</v>
      </c>
      <c r="V111" s="275">
        <f t="shared" si="51"/>
        <v>5.4873440725193748E-2</v>
      </c>
      <c r="W111" s="276">
        <f t="shared" si="52"/>
        <v>-2.8620272006580425</v>
      </c>
      <c r="X111" s="277">
        <f t="shared" si="62"/>
        <v>-110.3754418156548</v>
      </c>
      <c r="Y111" s="299">
        <f t="shared" si="61"/>
        <v>69.624558184345204</v>
      </c>
      <c r="AB111" s="278">
        <f t="shared" si="53"/>
        <v>-0.53796810218461055</v>
      </c>
      <c r="AC111" s="279">
        <f t="shared" si="54"/>
        <v>-26.782895522317162</v>
      </c>
      <c r="AF111" s="278">
        <f t="shared" si="55"/>
        <v>59.479473508508327</v>
      </c>
      <c r="AG111" s="279">
        <f t="shared" si="56"/>
        <v>-83.592546293337634</v>
      </c>
      <c r="AI111">
        <f t="shared" si="57"/>
        <v>0</v>
      </c>
      <c r="AJ111">
        <f t="shared" si="63"/>
        <v>0</v>
      </c>
      <c r="AK111">
        <f t="shared" si="59"/>
        <v>0</v>
      </c>
      <c r="AL111">
        <f t="shared" si="60"/>
        <v>0</v>
      </c>
      <c r="AM111"/>
      <c r="AN111"/>
    </row>
    <row r="112" spans="2:40" x14ac:dyDescent="0.2">
      <c r="B112" s="280">
        <v>5688.9</v>
      </c>
      <c r="C112" s="270">
        <f t="shared" si="32"/>
        <v>4.7531574345931329</v>
      </c>
      <c r="D112" s="271">
        <f t="shared" si="33"/>
        <v>1.358826068969585</v>
      </c>
      <c r="E112" s="271">
        <f t="shared" si="34"/>
        <v>1.0000431840787638</v>
      </c>
      <c r="F112" s="272">
        <f t="shared" si="35"/>
        <v>9.2932798050106916E-3</v>
      </c>
      <c r="G112" s="271">
        <f t="shared" si="36"/>
        <v>1.0016558128848763</v>
      </c>
      <c r="H112" s="272">
        <f t="shared" si="37"/>
        <v>-5.7507066433934717E-2</v>
      </c>
      <c r="I112" s="270">
        <f t="shared" si="38"/>
        <v>20019.873776306089</v>
      </c>
      <c r="J112" s="273">
        <f t="shared" si="39"/>
        <v>1.5707463764299947</v>
      </c>
      <c r="K112" s="281">
        <f t="shared" si="40"/>
        <v>3.1646785781402778</v>
      </c>
      <c r="L112" s="282">
        <f t="shared" si="41"/>
        <v>1.2492986487176292</v>
      </c>
      <c r="M112" s="270">
        <f t="shared" si="42"/>
        <v>1.0104806053277215</v>
      </c>
      <c r="N112" s="273">
        <f t="shared" si="43"/>
        <v>0.14415186899475499</v>
      </c>
      <c r="O112" s="270">
        <f t="shared" si="44"/>
        <v>1572.8095316349504</v>
      </c>
      <c r="P112" s="273">
        <f t="shared" si="45"/>
        <v>1.5701605218564976</v>
      </c>
      <c r="Q112" s="271">
        <f t="shared" si="46"/>
        <v>1.0015139068913728</v>
      </c>
      <c r="R112" s="272">
        <f t="shared" si="47"/>
        <v>5.499089792143546E-2</v>
      </c>
      <c r="S112" s="270">
        <f t="shared" si="48"/>
        <v>1.00000007930074</v>
      </c>
      <c r="T112" s="273">
        <f t="shared" si="49"/>
        <v>3.9824800003478503E-4</v>
      </c>
      <c r="U112" s="274">
        <f t="shared" si="50"/>
        <v>1.0007242876610265</v>
      </c>
      <c r="V112" s="275">
        <f t="shared" si="51"/>
        <v>5.5512325926457919E-2</v>
      </c>
      <c r="W112" s="276">
        <f t="shared" si="52"/>
        <v>-2.9701198075975555</v>
      </c>
      <c r="X112" s="277">
        <f t="shared" si="62"/>
        <v>-110.47495915334331</v>
      </c>
      <c r="Y112" s="299">
        <f t="shared" si="61"/>
        <v>69.525040846656694</v>
      </c>
      <c r="AB112" s="278">
        <f t="shared" si="53"/>
        <v>-0.55016919145375165</v>
      </c>
      <c r="AC112" s="279">
        <f t="shared" si="54"/>
        <v>-26.676891834311224</v>
      </c>
      <c r="AF112" s="278">
        <f t="shared" si="55"/>
        <v>59.383581990837953</v>
      </c>
      <c r="AG112" s="279">
        <f t="shared" si="56"/>
        <v>-83.798067319032057</v>
      </c>
      <c r="AI112">
        <f t="shared" si="57"/>
        <v>0</v>
      </c>
      <c r="AJ112">
        <f t="shared" si="63"/>
        <v>0</v>
      </c>
      <c r="AK112">
        <f t="shared" si="59"/>
        <v>0</v>
      </c>
      <c r="AL112">
        <f t="shared" si="60"/>
        <v>0</v>
      </c>
      <c r="AM112"/>
      <c r="AN112"/>
    </row>
    <row r="113" spans="2:40" x14ac:dyDescent="0.2">
      <c r="B113" s="280">
        <v>5754.4</v>
      </c>
      <c r="C113" s="270">
        <f t="shared" si="32"/>
        <v>4.8054744892967145</v>
      </c>
      <c r="D113" s="271">
        <f t="shared" si="33"/>
        <v>1.3611683901333227</v>
      </c>
      <c r="E113" s="271">
        <f t="shared" si="34"/>
        <v>1.0000441841940131</v>
      </c>
      <c r="F113" s="272">
        <f t="shared" si="35"/>
        <v>9.4002731029723206E-3</v>
      </c>
      <c r="G113" s="271">
        <f t="shared" si="36"/>
        <v>1.0016941288550261</v>
      </c>
      <c r="H113" s="272">
        <f t="shared" si="37"/>
        <v>-5.8167698603310447E-2</v>
      </c>
      <c r="I113" s="270">
        <f t="shared" si="38"/>
        <v>20250.375583174715</v>
      </c>
      <c r="J113" s="273">
        <f t="shared" si="39"/>
        <v>1.5707469449947271</v>
      </c>
      <c r="K113" s="281">
        <f t="shared" si="40"/>
        <v>3.1974960639504477</v>
      </c>
      <c r="L113" s="282">
        <f t="shared" si="41"/>
        <v>1.252714993338971</v>
      </c>
      <c r="M113" s="270">
        <f t="shared" si="42"/>
        <v>1.0107220470828135</v>
      </c>
      <c r="N113" s="273">
        <f t="shared" si="43"/>
        <v>0.14578829585738268</v>
      </c>
      <c r="O113" s="270">
        <f t="shared" si="44"/>
        <v>1590.9183018565896</v>
      </c>
      <c r="P113" s="273">
        <f t="shared" si="45"/>
        <v>1.5701677589641774</v>
      </c>
      <c r="Q113" s="271">
        <f t="shared" si="46"/>
        <v>1.0015489416545371</v>
      </c>
      <c r="R113" s="272">
        <f t="shared" si="47"/>
        <v>5.5622746128524934E-2</v>
      </c>
      <c r="S113" s="270">
        <f t="shared" si="48"/>
        <v>1.0000000811373342</v>
      </c>
      <c r="T113" s="273">
        <f t="shared" si="49"/>
        <v>4.0283328738319272E-4</v>
      </c>
      <c r="U113" s="274">
        <f t="shared" si="50"/>
        <v>1.0007410637604277</v>
      </c>
      <c r="V113" s="275">
        <f t="shared" si="51"/>
        <v>5.6151201843235014E-2</v>
      </c>
      <c r="W113" s="276">
        <f t="shared" si="52"/>
        <v>-3.0769078762416031</v>
      </c>
      <c r="X113" s="277">
        <f t="shared" si="62"/>
        <v>-110.57554113556475</v>
      </c>
      <c r="Y113" s="299">
        <f t="shared" si="61"/>
        <v>69.424458864435252</v>
      </c>
      <c r="AB113" s="278">
        <f t="shared" si="53"/>
        <v>-0.56207105405814684</v>
      </c>
      <c r="AC113" s="279">
        <f t="shared" si="54"/>
        <v>-26.574942635216068</v>
      </c>
      <c r="AF113" s="278">
        <f t="shared" si="55"/>
        <v>59.288695784798307</v>
      </c>
      <c r="AG113" s="279">
        <f t="shared" si="56"/>
        <v>-84.000598500348701</v>
      </c>
      <c r="AI113">
        <f t="shared" si="57"/>
        <v>0</v>
      </c>
      <c r="AJ113">
        <f t="shared" si="63"/>
        <v>0</v>
      </c>
      <c r="AK113">
        <f t="shared" si="59"/>
        <v>0</v>
      </c>
      <c r="AL113">
        <f t="shared" si="60"/>
        <v>0</v>
      </c>
      <c r="AM113"/>
      <c r="AN113"/>
    </row>
    <row r="114" spans="2:40" x14ac:dyDescent="0.2">
      <c r="B114" s="280">
        <v>5821.4</v>
      </c>
      <c r="C114" s="270">
        <f t="shared" si="32"/>
        <v>4.8590163279458709</v>
      </c>
      <c r="D114" s="271">
        <f t="shared" si="33"/>
        <v>1.3635121536326256</v>
      </c>
      <c r="E114" s="271">
        <f t="shared" si="34"/>
        <v>1.0000452190569689</v>
      </c>
      <c r="F114" s="272">
        <f t="shared" si="35"/>
        <v>9.5097164064360997E-3</v>
      </c>
      <c r="G114" s="271">
        <f t="shared" si="36"/>
        <v>1.0017337745613382</v>
      </c>
      <c r="H114" s="272">
        <f t="shared" si="37"/>
        <v>-5.8843407163644189E-2</v>
      </c>
      <c r="I114" s="270">
        <f t="shared" si="38"/>
        <v>20486.156057382828</v>
      </c>
      <c r="J114" s="273">
        <f t="shared" si="39"/>
        <v>1.5707475133426514</v>
      </c>
      <c r="K114" s="281">
        <f t="shared" si="40"/>
        <v>3.2311029126998028</v>
      </c>
      <c r="L114" s="282">
        <f t="shared" si="41"/>
        <v>1.2561377340125799</v>
      </c>
      <c r="M114" s="270">
        <f t="shared" si="42"/>
        <v>1.0109718169711437</v>
      </c>
      <c r="N114" s="273">
        <f t="shared" si="43"/>
        <v>0.14746138486144811</v>
      </c>
      <c r="O114" s="270">
        <f t="shared" si="44"/>
        <v>1609.4417768240407</v>
      </c>
      <c r="P114" s="273">
        <f t="shared" si="45"/>
        <v>1.5701749933122304</v>
      </c>
      <c r="Q114" s="271">
        <f t="shared" si="46"/>
        <v>1.0015851924018679</v>
      </c>
      <c r="R114" s="272">
        <f t="shared" si="47"/>
        <v>5.6269018143678975E-2</v>
      </c>
      <c r="S114" s="270">
        <f t="shared" si="48"/>
        <v>1.0000000830377405</v>
      </c>
      <c r="T114" s="273">
        <f t="shared" si="49"/>
        <v>4.0752358129457147E-4</v>
      </c>
      <c r="U114" s="274">
        <f t="shared" si="50"/>
        <v>1.000758422822084</v>
      </c>
      <c r="V114" s="275">
        <f t="shared" si="51"/>
        <v>5.6804698789078012E-2</v>
      </c>
      <c r="W114" s="276">
        <f t="shared" si="52"/>
        <v>-3.1848260663346477</v>
      </c>
      <c r="X114" s="277">
        <f t="shared" si="62"/>
        <v>-110.67950102613113</v>
      </c>
      <c r="Y114" s="299">
        <f t="shared" si="61"/>
        <v>69.320498973868865</v>
      </c>
      <c r="AB114" s="278">
        <f t="shared" si="53"/>
        <v>-0.5739496879943754</v>
      </c>
      <c r="AC114" s="279">
        <f t="shared" si="54"/>
        <v>-26.474727542870568</v>
      </c>
      <c r="AF114" s="278">
        <f t="shared" si="55"/>
        <v>59.192656228641489</v>
      </c>
      <c r="AG114" s="279">
        <f t="shared" si="56"/>
        <v>-84.204773483260595</v>
      </c>
      <c r="AI114">
        <f t="shared" si="57"/>
        <v>0</v>
      </c>
      <c r="AJ114">
        <f t="shared" si="63"/>
        <v>0</v>
      </c>
      <c r="AK114">
        <f t="shared" si="59"/>
        <v>0</v>
      </c>
      <c r="AL114">
        <f t="shared" si="60"/>
        <v>0</v>
      </c>
      <c r="AM114"/>
      <c r="AN114"/>
    </row>
    <row r="115" spans="2:40" x14ac:dyDescent="0.2">
      <c r="B115" s="280">
        <v>5888.4</v>
      </c>
      <c r="C115" s="270">
        <f t="shared" si="32"/>
        <v>4.9125842763712058</v>
      </c>
      <c r="D115" s="271">
        <f t="shared" si="33"/>
        <v>1.3658048156260834</v>
      </c>
      <c r="E115" s="271">
        <f t="shared" si="34"/>
        <v>1.0000462658982783</v>
      </c>
      <c r="F115" s="272">
        <f t="shared" si="35"/>
        <v>9.6191594820818262E-3</v>
      </c>
      <c r="G115" s="271">
        <f t="shared" si="36"/>
        <v>1.0017738776049958</v>
      </c>
      <c r="H115" s="272">
        <f t="shared" si="37"/>
        <v>-5.951906193247624E-2</v>
      </c>
      <c r="I115" s="270">
        <f t="shared" si="38"/>
        <v>20721.936531597406</v>
      </c>
      <c r="J115" s="273">
        <f t="shared" si="39"/>
        <v>1.5707480687569058</v>
      </c>
      <c r="K115" s="281">
        <f t="shared" si="40"/>
        <v>3.2647468347566431</v>
      </c>
      <c r="L115" s="282">
        <f t="shared" si="41"/>
        <v>1.2594899691212815</v>
      </c>
      <c r="M115" s="270">
        <f t="shared" si="42"/>
        <v>1.0112244153962981</v>
      </c>
      <c r="N115" s="273">
        <f t="shared" si="43"/>
        <v>0.14913364268731788</v>
      </c>
      <c r="O115" s="270">
        <f t="shared" si="44"/>
        <v>1627.9652518738062</v>
      </c>
      <c r="P115" s="273">
        <f t="shared" si="45"/>
        <v>1.5701820630311365</v>
      </c>
      <c r="Q115" s="271">
        <f t="shared" si="46"/>
        <v>1.0016218614484176</v>
      </c>
      <c r="R115" s="272">
        <f t="shared" si="47"/>
        <v>5.6915243109112439E-2</v>
      </c>
      <c r="S115" s="270">
        <f t="shared" si="48"/>
        <v>1.0000000849601454</v>
      </c>
      <c r="T115" s="273">
        <f t="shared" si="49"/>
        <v>4.1221387518802007E-4</v>
      </c>
      <c r="U115" s="274">
        <f t="shared" si="50"/>
        <v>1.0007759829136444</v>
      </c>
      <c r="V115" s="275">
        <f t="shared" si="51"/>
        <v>5.7458185794424861E-2</v>
      </c>
      <c r="W115" s="276">
        <f t="shared" si="52"/>
        <v>-3.2914476046223982</v>
      </c>
      <c r="X115" s="277">
        <f t="shared" si="62"/>
        <v>-110.78452068481842</v>
      </c>
      <c r="Y115" s="299">
        <f t="shared" si="61"/>
        <v>69.215479315181582</v>
      </c>
      <c r="AB115" s="278">
        <f t="shared" si="53"/>
        <v>-0.58554252301288146</v>
      </c>
      <c r="AC115" s="279">
        <f t="shared" si="54"/>
        <v>-26.378503757779097</v>
      </c>
      <c r="AF115" s="278">
        <f t="shared" si="55"/>
        <v>59.097627525372246</v>
      </c>
      <c r="AG115" s="279">
        <f t="shared" si="56"/>
        <v>-84.406016927039332</v>
      </c>
      <c r="AI115">
        <f t="shared" si="57"/>
        <v>0</v>
      </c>
      <c r="AJ115">
        <f t="shared" si="63"/>
        <v>0</v>
      </c>
      <c r="AK115">
        <f t="shared" si="59"/>
        <v>0</v>
      </c>
      <c r="AL115">
        <f t="shared" si="60"/>
        <v>0</v>
      </c>
      <c r="AM115"/>
      <c r="AN115"/>
    </row>
    <row r="116" spans="2:40" x14ac:dyDescent="0.2">
      <c r="B116" s="280">
        <v>5957</v>
      </c>
      <c r="C116" s="270">
        <f t="shared" si="32"/>
        <v>4.9674576297292328</v>
      </c>
      <c r="D116" s="271">
        <f t="shared" si="33"/>
        <v>1.3681009829518782</v>
      </c>
      <c r="E116" s="271">
        <f t="shared" si="34"/>
        <v>1.0000473501495879</v>
      </c>
      <c r="F116" s="272">
        <f t="shared" si="35"/>
        <v>9.7312158849321567E-3</v>
      </c>
      <c r="G116" s="271">
        <f t="shared" si="36"/>
        <v>1.0018154121259004</v>
      </c>
      <c r="H116" s="272">
        <f t="shared" si="37"/>
        <v>-6.0210795369405073E-2</v>
      </c>
      <c r="I116" s="270">
        <f t="shared" si="38"/>
        <v>20963.347584307168</v>
      </c>
      <c r="J116" s="273">
        <f t="shared" si="39"/>
        <v>1.5707486244898923</v>
      </c>
      <c r="K116" s="281">
        <f t="shared" si="40"/>
        <v>3.2992314211583809</v>
      </c>
      <c r="L116" s="282">
        <f t="shared" si="41"/>
        <v>1.2628513815284366</v>
      </c>
      <c r="M116" s="270">
        <f t="shared" si="42"/>
        <v>1.0114859744734799</v>
      </c>
      <c r="N116" s="273">
        <f t="shared" si="43"/>
        <v>0.15084496472629538</v>
      </c>
      <c r="O116" s="270">
        <f t="shared" si="44"/>
        <v>1646.9310786489377</v>
      </c>
      <c r="P116" s="273">
        <f t="shared" si="45"/>
        <v>1.5701891368071608</v>
      </c>
      <c r="Q116" s="271">
        <f t="shared" si="46"/>
        <v>1.0016598395280558</v>
      </c>
      <c r="R116" s="272">
        <f t="shared" si="47"/>
        <v>5.7576851005781027E-2</v>
      </c>
      <c r="S116" s="270">
        <f t="shared" si="48"/>
        <v>1.0000000869512518</v>
      </c>
      <c r="T116" s="273">
        <f t="shared" si="49"/>
        <v>4.1701617608102669E-4</v>
      </c>
      <c r="U116" s="274">
        <f t="shared" si="50"/>
        <v>1.0007941706419816</v>
      </c>
      <c r="V116" s="275">
        <f t="shared" si="51"/>
        <v>5.8127268040909758E-2</v>
      </c>
      <c r="W116" s="276">
        <f t="shared" si="52"/>
        <v>-3.3993059553993117</v>
      </c>
      <c r="X116" s="277">
        <f t="shared" si="62"/>
        <v>-110.89311864528931</v>
      </c>
      <c r="Y116" s="299">
        <f t="shared" si="61"/>
        <v>69.106881354710694</v>
      </c>
      <c r="AB116" s="278">
        <f t="shared" si="53"/>
        <v>-0.59712940441256679</v>
      </c>
      <c r="AC116" s="279">
        <f t="shared" si="54"/>
        <v>-26.28399238502201</v>
      </c>
      <c r="AF116" s="278">
        <f t="shared" si="55"/>
        <v>59.001356055995018</v>
      </c>
      <c r="AG116" s="279">
        <f t="shared" si="56"/>
        <v>-84.609126260267288</v>
      </c>
      <c r="AI116">
        <f t="shared" si="57"/>
        <v>0</v>
      </c>
      <c r="AJ116">
        <f t="shared" si="63"/>
        <v>0</v>
      </c>
      <c r="AK116">
        <f t="shared" si="59"/>
        <v>0</v>
      </c>
      <c r="AL116">
        <f t="shared" si="60"/>
        <v>0</v>
      </c>
      <c r="AM116"/>
      <c r="AN116"/>
    </row>
    <row r="117" spans="2:40" x14ac:dyDescent="0.2">
      <c r="B117" s="280">
        <v>6025.6</v>
      </c>
      <c r="C117" s="270">
        <f t="shared" si="32"/>
        <v>5.0223566010519027</v>
      </c>
      <c r="D117" s="271">
        <f t="shared" si="33"/>
        <v>1.3703469634682146</v>
      </c>
      <c r="E117" s="271">
        <f t="shared" si="34"/>
        <v>1.0000484469581024</v>
      </c>
      <c r="F117" s="272">
        <f t="shared" si="35"/>
        <v>9.8432720433926091E-3</v>
      </c>
      <c r="G117" s="271">
        <f t="shared" si="36"/>
        <v>1.0018574259707385</v>
      </c>
      <c r="H117" s="272">
        <f t="shared" si="37"/>
        <v>-6.0902471120274082E-2</v>
      </c>
      <c r="I117" s="270">
        <f t="shared" si="38"/>
        <v>21204.758637023253</v>
      </c>
      <c r="J117" s="273">
        <f t="shared" si="39"/>
        <v>1.5707491675691074</v>
      </c>
      <c r="K117" s="281">
        <f t="shared" si="40"/>
        <v>3.3337525144217248</v>
      </c>
      <c r="L117" s="282">
        <f t="shared" si="41"/>
        <v>1.266143215467038</v>
      </c>
      <c r="M117" s="270">
        <f t="shared" si="42"/>
        <v>1.0117504942751985</v>
      </c>
      <c r="N117" s="273">
        <f t="shared" si="43"/>
        <v>0.1525553969300191</v>
      </c>
      <c r="O117" s="270">
        <f t="shared" si="44"/>
        <v>1665.896905504602</v>
      </c>
      <c r="P117" s="273">
        <f t="shared" si="45"/>
        <v>1.5701960495167822</v>
      </c>
      <c r="Q117" s="271">
        <f t="shared" si="46"/>
        <v>1.0016982560258978</v>
      </c>
      <c r="R117" s="272">
        <f t="shared" si="47"/>
        <v>5.8238408444876398E-2</v>
      </c>
      <c r="S117" s="270">
        <f t="shared" si="48"/>
        <v>1.0000000889654204</v>
      </c>
      <c r="T117" s="273">
        <f t="shared" si="49"/>
        <v>4.2181847695479881E-4</v>
      </c>
      <c r="U117" s="274">
        <f t="shared" si="50"/>
        <v>1.000812569122445</v>
      </c>
      <c r="V117" s="275">
        <f t="shared" si="51"/>
        <v>5.8796339624132499E-2</v>
      </c>
      <c r="W117" s="276">
        <f t="shared" si="52"/>
        <v>-3.5058729684144252</v>
      </c>
      <c r="X117" s="277">
        <f t="shared" si="62"/>
        <v>-111.00277205504671</v>
      </c>
      <c r="Y117" s="299">
        <f t="shared" si="61"/>
        <v>68.997227944953295</v>
      </c>
      <c r="AB117" s="278">
        <f t="shared" si="53"/>
        <v>-0.6084430412399785</v>
      </c>
      <c r="AC117" s="279">
        <f t="shared" si="54"/>
        <v>-26.193415856045814</v>
      </c>
      <c r="AF117" s="278">
        <f t="shared" si="55"/>
        <v>58.906102679807319</v>
      </c>
      <c r="AG117" s="279">
        <f t="shared" si="56"/>
        <v>-84.809356199000874</v>
      </c>
      <c r="AI117">
        <f t="shared" si="57"/>
        <v>0</v>
      </c>
      <c r="AJ117">
        <f t="shared" si="63"/>
        <v>0</v>
      </c>
      <c r="AK117">
        <f t="shared" si="59"/>
        <v>0</v>
      </c>
      <c r="AL117">
        <f t="shared" si="60"/>
        <v>0</v>
      </c>
      <c r="AM117"/>
      <c r="AN117"/>
    </row>
    <row r="118" spans="2:40" x14ac:dyDescent="0.2">
      <c r="B118" s="280">
        <v>6095.8</v>
      </c>
      <c r="C118" s="270">
        <f t="shared" si="32"/>
        <v>5.0785616692756133</v>
      </c>
      <c r="D118" s="271">
        <f t="shared" si="33"/>
        <v>1.3725950468878165</v>
      </c>
      <c r="E118" s="271">
        <f t="shared" si="34"/>
        <v>1.0000495823480526</v>
      </c>
      <c r="F118" s="272">
        <f t="shared" si="35"/>
        <v>9.9579415006277976E-3</v>
      </c>
      <c r="G118" s="271">
        <f t="shared" si="36"/>
        <v>1.0019009158910672</v>
      </c>
      <c r="H118" s="272">
        <f t="shared" si="37"/>
        <v>-6.161021884739068E-2</v>
      </c>
      <c r="I118" s="270">
        <f t="shared" si="38"/>
        <v>21451.800268234671</v>
      </c>
      <c r="J118" s="273">
        <f t="shared" si="39"/>
        <v>1.570749710660686</v>
      </c>
      <c r="K118" s="281">
        <f t="shared" si="40"/>
        <v>3.3691153875892499</v>
      </c>
      <c r="L118" s="282">
        <f t="shared" si="41"/>
        <v>1.2694419533860206</v>
      </c>
      <c r="M118" s="270">
        <f t="shared" si="42"/>
        <v>1.0120242463247222</v>
      </c>
      <c r="N118" s="273">
        <f t="shared" si="43"/>
        <v>0.15430479167854386</v>
      </c>
      <c r="O118" s="270">
        <f t="shared" si="44"/>
        <v>1685.3050840875815</v>
      </c>
      <c r="P118" s="273">
        <f t="shared" si="45"/>
        <v>1.5702029623838341</v>
      </c>
      <c r="Q118" s="271">
        <f t="shared" si="46"/>
        <v>1.0017380223584211</v>
      </c>
      <c r="R118" s="272">
        <f t="shared" si="47"/>
        <v>5.8915342960454462E-2</v>
      </c>
      <c r="S118" s="270">
        <f t="shared" si="48"/>
        <v>1.0000000910504416</v>
      </c>
      <c r="T118" s="273">
        <f t="shared" si="49"/>
        <v>4.2673278482589116E-4</v>
      </c>
      <c r="U118" s="274">
        <f t="shared" si="50"/>
        <v>1.0008316149079906</v>
      </c>
      <c r="V118" s="275">
        <f t="shared" si="51"/>
        <v>5.9481005208364822E-2</v>
      </c>
      <c r="W118" s="276">
        <f t="shared" si="52"/>
        <v>-3.6136225509987407</v>
      </c>
      <c r="X118" s="277">
        <f t="shared" si="62"/>
        <v>-111.1160473692934</v>
      </c>
      <c r="Y118" s="299">
        <f t="shared" si="61"/>
        <v>68.883952630706602</v>
      </c>
      <c r="AB118" s="278">
        <f t="shared" si="53"/>
        <v>-0.6197505333086144</v>
      </c>
      <c r="AC118" s="279">
        <f t="shared" si="54"/>
        <v>-26.104676148216502</v>
      </c>
      <c r="AF118" s="278">
        <f t="shared" si="55"/>
        <v>58.809660589291639</v>
      </c>
      <c r="AG118" s="279">
        <f t="shared" si="56"/>
        <v>-85.011371221076899</v>
      </c>
      <c r="AI118">
        <f t="shared" si="57"/>
        <v>0</v>
      </c>
      <c r="AJ118">
        <f t="shared" si="63"/>
        <v>0</v>
      </c>
      <c r="AK118">
        <f t="shared" si="59"/>
        <v>0</v>
      </c>
      <c r="AL118">
        <f t="shared" si="60"/>
        <v>0</v>
      </c>
      <c r="AM118"/>
      <c r="AN118"/>
    </row>
    <row r="119" spans="2:40" x14ac:dyDescent="0.2">
      <c r="B119" s="280">
        <v>6166</v>
      </c>
      <c r="C119" s="270">
        <f t="shared" si="32"/>
        <v>5.1347918419751233</v>
      </c>
      <c r="D119" s="271">
        <f t="shared" si="33"/>
        <v>1.3747939045119808</v>
      </c>
      <c r="E119" s="271">
        <f t="shared" si="34"/>
        <v>1.0000507308877093</v>
      </c>
      <c r="F119" s="272">
        <f t="shared" si="35"/>
        <v>1.0072610695979299E-2</v>
      </c>
      <c r="G119" s="271">
        <f t="shared" si="36"/>
        <v>1.0019449076267093</v>
      </c>
      <c r="H119" s="272">
        <f t="shared" si="37"/>
        <v>-6.2317904779738885E-2</v>
      </c>
      <c r="I119" s="270">
        <f t="shared" si="38"/>
        <v>21698.841899452269</v>
      </c>
      <c r="J119" s="273">
        <f t="shared" si="39"/>
        <v>1.5707502413860537</v>
      </c>
      <c r="K119" s="281">
        <f t="shared" si="40"/>
        <v>3.4045141605227891</v>
      </c>
      <c r="L119" s="282">
        <f t="shared" si="41"/>
        <v>1.2726721279404032</v>
      </c>
      <c r="M119" s="270">
        <f t="shared" si="42"/>
        <v>1.0123010938743784</v>
      </c>
      <c r="N119" s="273">
        <f t="shared" si="43"/>
        <v>0.15605323491468265</v>
      </c>
      <c r="O119" s="270">
        <f t="shared" si="44"/>
        <v>1704.7132627492642</v>
      </c>
      <c r="P119" s="273">
        <f t="shared" si="45"/>
        <v>1.5702097178447563</v>
      </c>
      <c r="Q119" s="271">
        <f t="shared" si="46"/>
        <v>1.0017782476911485</v>
      </c>
      <c r="R119" s="272">
        <f t="shared" si="47"/>
        <v>5.9592223423024726E-2</v>
      </c>
      <c r="S119" s="270">
        <f t="shared" si="48"/>
        <v>1.0000000931596136</v>
      </c>
      <c r="T119" s="273">
        <f t="shared" si="49"/>
        <v>4.3164709267637201E-4</v>
      </c>
      <c r="U119" s="274">
        <f t="shared" si="50"/>
        <v>1.000850881398057</v>
      </c>
      <c r="V119" s="275">
        <f t="shared" si="51"/>
        <v>6.016565936640212E-2</v>
      </c>
      <c r="W119" s="276">
        <f t="shared" si="52"/>
        <v>-3.7200874423558652</v>
      </c>
      <c r="X119" s="277">
        <f t="shared" si="62"/>
        <v>-111.23037123821626</v>
      </c>
      <c r="Y119" s="299">
        <f t="shared" si="61"/>
        <v>68.769628761783736</v>
      </c>
      <c r="AB119" s="278">
        <f t="shared" si="53"/>
        <v>-0.63079732727073967</v>
      </c>
      <c r="AC119" s="279">
        <f t="shared" si="54"/>
        <v>-26.019809605632425</v>
      </c>
      <c r="AF119" s="278">
        <f t="shared" si="55"/>
        <v>58.714242491896641</v>
      </c>
      <c r="AG119" s="279">
        <f t="shared" si="56"/>
        <v>-85.210561632583833</v>
      </c>
      <c r="AI119">
        <f t="shared" si="57"/>
        <v>0</v>
      </c>
      <c r="AJ119">
        <f t="shared" si="63"/>
        <v>0</v>
      </c>
      <c r="AK119">
        <f t="shared" si="59"/>
        <v>0</v>
      </c>
      <c r="AL119">
        <f t="shared" si="60"/>
        <v>0</v>
      </c>
      <c r="AM119"/>
      <c r="AN119"/>
    </row>
    <row r="120" spans="2:40" x14ac:dyDescent="0.2">
      <c r="B120" s="280">
        <v>6237.8</v>
      </c>
      <c r="C120" s="270">
        <f t="shared" si="32"/>
        <v>5.1923287332091643</v>
      </c>
      <c r="D120" s="271">
        <f t="shared" si="33"/>
        <v>1.3769936021687876</v>
      </c>
      <c r="E120" s="271">
        <f t="shared" si="34"/>
        <v>1.0000519192075454</v>
      </c>
      <c r="F120" s="272">
        <f t="shared" si="35"/>
        <v>1.0189893160197593E-2</v>
      </c>
      <c r="G120" s="271">
        <f t="shared" si="36"/>
        <v>1.0019904210558297</v>
      </c>
      <c r="H120" s="272">
        <f t="shared" si="37"/>
        <v>-6.3041655652226455E-2</v>
      </c>
      <c r="I120" s="270">
        <f t="shared" si="38"/>
        <v>21951.514109165342</v>
      </c>
      <c r="J120" s="273">
        <f t="shared" si="39"/>
        <v>1.5707507718506968</v>
      </c>
      <c r="K120" s="281">
        <f t="shared" si="40"/>
        <v>3.4407557246264884</v>
      </c>
      <c r="L120" s="282">
        <f t="shared" si="41"/>
        <v>1.2759071360235446</v>
      </c>
      <c r="M120" s="270">
        <f t="shared" si="42"/>
        <v>1.0125874508263415</v>
      </c>
      <c r="N120" s="273">
        <f t="shared" si="43"/>
        <v>0.15784053409488977</v>
      </c>
      <c r="O120" s="270">
        <f t="shared" si="44"/>
        <v>1724.5637931400004</v>
      </c>
      <c r="P120" s="273">
        <f t="shared" si="45"/>
        <v>1.5702164699870378</v>
      </c>
      <c r="Q120" s="271">
        <f t="shared" si="46"/>
        <v>1.0018198645946821</v>
      </c>
      <c r="R120" s="272">
        <f t="shared" si="47"/>
        <v>6.0284474805849898E-2</v>
      </c>
      <c r="S120" s="270">
        <f t="shared" si="48"/>
        <v>1.00000009534184</v>
      </c>
      <c r="T120" s="273">
        <f t="shared" si="49"/>
        <v>4.3667340752181897E-4</v>
      </c>
      <c r="U120" s="274">
        <f t="shared" si="50"/>
        <v>1.0008708153213219</v>
      </c>
      <c r="V120" s="275">
        <f t="shared" si="51"/>
        <v>6.086590622091019E-2</v>
      </c>
      <c r="W120" s="276">
        <f t="shared" si="52"/>
        <v>-3.8276836071611839</v>
      </c>
      <c r="X120" s="277">
        <f t="shared" si="62"/>
        <v>-111.34835668302216</v>
      </c>
      <c r="Y120" s="299">
        <f t="shared" si="61"/>
        <v>68.65164331697784</v>
      </c>
      <c r="AB120" s="278">
        <f t="shared" si="53"/>
        <v>-0.64183860880256638</v>
      </c>
      <c r="AC120" s="279">
        <f t="shared" si="54"/>
        <v>-25.936892388916014</v>
      </c>
      <c r="AF120" s="278">
        <f t="shared" si="55"/>
        <v>58.617687608623143</v>
      </c>
      <c r="AG120" s="279">
        <f t="shared" si="56"/>
        <v>-85.411464294106153</v>
      </c>
      <c r="AI120">
        <f t="shared" si="57"/>
        <v>0</v>
      </c>
      <c r="AJ120">
        <f t="shared" si="63"/>
        <v>0</v>
      </c>
      <c r="AK120">
        <f t="shared" si="59"/>
        <v>0</v>
      </c>
      <c r="AL120">
        <f t="shared" si="60"/>
        <v>0</v>
      </c>
      <c r="AM120"/>
      <c r="AN120"/>
    </row>
    <row r="121" spans="2:40" x14ac:dyDescent="0.2">
      <c r="B121" s="280">
        <v>6309.6</v>
      </c>
      <c r="C121" s="270">
        <f t="shared" si="32"/>
        <v>5.2498901976382877</v>
      </c>
      <c r="D121" s="271">
        <f t="shared" si="33"/>
        <v>1.3791450736782376</v>
      </c>
      <c r="E121" s="271">
        <f t="shared" si="34"/>
        <v>1.0000531212832393</v>
      </c>
      <c r="F121" s="272">
        <f t="shared" si="35"/>
        <v>1.0307175344079302E-2</v>
      </c>
      <c r="G121" s="271">
        <f t="shared" si="36"/>
        <v>1.002036459295049</v>
      </c>
      <c r="H121" s="272">
        <f t="shared" si="37"/>
        <v>-6.3765340398765399E-2</v>
      </c>
      <c r="I121" s="270">
        <f t="shared" si="38"/>
        <v>22204.186318884447</v>
      </c>
      <c r="J121" s="273">
        <f t="shared" si="39"/>
        <v>1.5707512902425107</v>
      </c>
      <c r="K121" s="281">
        <f t="shared" si="40"/>
        <v>3.4770325463340246</v>
      </c>
      <c r="L121" s="282">
        <f t="shared" si="41"/>
        <v>1.2790746732521268</v>
      </c>
      <c r="M121" s="270">
        <f t="shared" si="42"/>
        <v>1.0128770405914984</v>
      </c>
      <c r="N121" s="273">
        <f t="shared" si="43"/>
        <v>0.15962681697188402</v>
      </c>
      <c r="O121" s="270">
        <f t="shared" si="44"/>
        <v>1744.4143236075724</v>
      </c>
      <c r="P121" s="273">
        <f t="shared" si="45"/>
        <v>1.5702230684575638</v>
      </c>
      <c r="Q121" s="271">
        <f t="shared" si="46"/>
        <v>1.0018619615422744</v>
      </c>
      <c r="R121" s="272">
        <f t="shared" si="47"/>
        <v>6.0976668345338679E-2</v>
      </c>
      <c r="S121" s="270">
        <f t="shared" si="48"/>
        <v>1.0000000975493304</v>
      </c>
      <c r="T121" s="273">
        <f t="shared" si="49"/>
        <v>4.4169972234520187E-4</v>
      </c>
      <c r="U121" s="274">
        <f t="shared" si="50"/>
        <v>1.0008909801317487</v>
      </c>
      <c r="V121" s="275">
        <f t="shared" si="51"/>
        <v>6.1566140844511577E-2</v>
      </c>
      <c r="W121" s="276">
        <f t="shared" si="52"/>
        <v>-3.9340029387505249</v>
      </c>
      <c r="X121" s="277">
        <f t="shared" si="62"/>
        <v>-111.46738137326678</v>
      </c>
      <c r="Y121" s="299">
        <f t="shared" si="61"/>
        <v>68.532618626733225</v>
      </c>
      <c r="AB121" s="278">
        <f t="shared" si="53"/>
        <v>-0.65263167061515814</v>
      </c>
      <c r="AC121" s="279">
        <f t="shared" si="54"/>
        <v>-25.857782045799009</v>
      </c>
      <c r="AF121" s="278">
        <f t="shared" si="55"/>
        <v>58.522161338846395</v>
      </c>
      <c r="AG121" s="279">
        <f t="shared" si="56"/>
        <v>-85.609599327467748</v>
      </c>
      <c r="AI121">
        <f t="shared" si="57"/>
        <v>0</v>
      </c>
      <c r="AJ121">
        <f t="shared" si="63"/>
        <v>0</v>
      </c>
      <c r="AK121">
        <f t="shared" si="59"/>
        <v>0</v>
      </c>
      <c r="AL121">
        <f t="shared" si="60"/>
        <v>0</v>
      </c>
      <c r="AM121"/>
      <c r="AN121"/>
    </row>
    <row r="122" spans="2:40" x14ac:dyDescent="0.2">
      <c r="B122" s="280">
        <v>6383.05</v>
      </c>
      <c r="C122" s="270">
        <f t="shared" si="32"/>
        <v>5.3087990467035953</v>
      </c>
      <c r="D122" s="271">
        <f t="shared" si="33"/>
        <v>1.381297701007522</v>
      </c>
      <c r="E122" s="271">
        <f t="shared" si="34"/>
        <v>1.0000543652168481</v>
      </c>
      <c r="F122" s="272">
        <f t="shared" si="35"/>
        <v>1.0427152437913981E-2</v>
      </c>
      <c r="G122" s="271">
        <f t="shared" si="36"/>
        <v>1.00208409847994</v>
      </c>
      <c r="H122" s="272">
        <f t="shared" si="37"/>
        <v>-6.45055865800164E-2</v>
      </c>
      <c r="I122" s="270">
        <f t="shared" si="38"/>
        <v>22462.665062676948</v>
      </c>
      <c r="J122" s="273">
        <f t="shared" si="39"/>
        <v>1.5707518084798373</v>
      </c>
      <c r="K122" s="281">
        <f t="shared" si="40"/>
        <v>3.5141783713842392</v>
      </c>
      <c r="L122" s="282">
        <f t="shared" si="41"/>
        <v>1.2822473010548805</v>
      </c>
      <c r="M122" s="270">
        <f t="shared" si="42"/>
        <v>1.0131766274884961</v>
      </c>
      <c r="N122" s="273">
        <f t="shared" si="43"/>
        <v>0.16145308694904301</v>
      </c>
      <c r="O122" s="270">
        <f t="shared" si="44"/>
        <v>1764.7210292950028</v>
      </c>
      <c r="P122" s="273">
        <f t="shared" si="45"/>
        <v>1.5702296649617131</v>
      </c>
      <c r="Q122" s="271">
        <f t="shared" si="46"/>
        <v>1.0019055225540292</v>
      </c>
      <c r="R122" s="272">
        <f t="shared" si="47"/>
        <v>6.1684708302959412E-2</v>
      </c>
      <c r="S122" s="270">
        <f t="shared" si="48"/>
        <v>1.0000000998336913</v>
      </c>
      <c r="T122" s="273">
        <f t="shared" si="49"/>
        <v>4.4684154438028869E-4</v>
      </c>
      <c r="U122" s="274">
        <f t="shared" si="50"/>
        <v>1.0009118472505727</v>
      </c>
      <c r="V122" s="275">
        <f t="shared" si="51"/>
        <v>6.2282454408602493E-2</v>
      </c>
      <c r="W122" s="276">
        <f t="shared" si="52"/>
        <v>-4.0414777821775107</v>
      </c>
      <c r="X122" s="277">
        <f t="shared" si="62"/>
        <v>-111.59018745069166</v>
      </c>
      <c r="Y122" s="299">
        <f t="shared" si="61"/>
        <v>68.409812549308342</v>
      </c>
      <c r="AB122" s="278">
        <f t="shared" si="53"/>
        <v>-0.66342784577578273</v>
      </c>
      <c r="AC122" s="279">
        <f t="shared" si="54"/>
        <v>-25.780671117489621</v>
      </c>
      <c r="AF122" s="278">
        <f t="shared" si="55"/>
        <v>58.425482670580031</v>
      </c>
      <c r="AG122" s="279">
        <f t="shared" si="56"/>
        <v>-85.809516333202026</v>
      </c>
      <c r="AI122">
        <f t="shared" si="57"/>
        <v>0</v>
      </c>
      <c r="AJ122">
        <f t="shared" si="63"/>
        <v>0</v>
      </c>
      <c r="AK122">
        <f t="shared" si="59"/>
        <v>0</v>
      </c>
      <c r="AL122">
        <f t="shared" si="60"/>
        <v>0</v>
      </c>
      <c r="AM122"/>
      <c r="AN122"/>
    </row>
    <row r="123" spans="2:40" x14ac:dyDescent="0.2">
      <c r="B123" s="280">
        <v>6456.5</v>
      </c>
      <c r="C123" s="270">
        <f t="shared" si="32"/>
        <v>5.3677319556895613</v>
      </c>
      <c r="D123" s="271">
        <f t="shared" si="33"/>
        <v>1.3834030700590059</v>
      </c>
      <c r="E123" s="271">
        <f t="shared" si="34"/>
        <v>1.000055623545707</v>
      </c>
      <c r="F123" s="272">
        <f t="shared" si="35"/>
        <v>1.0547129231551178E-2</v>
      </c>
      <c r="G123" s="271">
        <f t="shared" si="36"/>
        <v>1.0021322867188691</v>
      </c>
      <c r="H123" s="272">
        <f t="shared" si="37"/>
        <v>-6.5245761976303732E-2</v>
      </c>
      <c r="I123" s="270">
        <f t="shared" si="38"/>
        <v>22721.143806475342</v>
      </c>
      <c r="J123" s="273">
        <f t="shared" si="39"/>
        <v>1.5707523149260911</v>
      </c>
      <c r="K123" s="281">
        <f t="shared" si="40"/>
        <v>3.5513588284690498</v>
      </c>
      <c r="L123" s="282">
        <f t="shared" si="41"/>
        <v>1.2853535288099085</v>
      </c>
      <c r="M123" s="270">
        <f t="shared" si="42"/>
        <v>1.0134795915906523</v>
      </c>
      <c r="N123" s="273">
        <f t="shared" si="43"/>
        <v>0.16327827114013294</v>
      </c>
      <c r="O123" s="270">
        <f t="shared" si="44"/>
        <v>1785.0277350574754</v>
      </c>
      <c r="P123" s="273">
        <f t="shared" si="45"/>
        <v>1.5702361113804988</v>
      </c>
      <c r="Q123" s="271">
        <f t="shared" si="46"/>
        <v>1.0019495857978222</v>
      </c>
      <c r="R123" s="272">
        <f t="shared" si="47"/>
        <v>6.2392686339815435E-2</v>
      </c>
      <c r="S123" s="270">
        <f t="shared" si="48"/>
        <v>1.0000001021444904</v>
      </c>
      <c r="T123" s="273">
        <f t="shared" si="49"/>
        <v>4.5198336639174798E-4</v>
      </c>
      <c r="U123" s="274">
        <f t="shared" si="50"/>
        <v>1.0009329559983846</v>
      </c>
      <c r="V123" s="275">
        <f t="shared" si="51"/>
        <v>6.2998754875720639E-2</v>
      </c>
      <c r="W123" s="276">
        <f t="shared" si="52"/>
        <v>-4.1476830408835337</v>
      </c>
      <c r="X123" s="277">
        <f t="shared" si="62"/>
        <v>-111.71402259532688</v>
      </c>
      <c r="Y123" s="299">
        <f t="shared" si="61"/>
        <v>68.285977404673119</v>
      </c>
      <c r="AB123" s="278">
        <f t="shared" si="53"/>
        <v>-0.67398784520212263</v>
      </c>
      <c r="AC123" s="279">
        <f t="shared" si="54"/>
        <v>-25.707301745136476</v>
      </c>
      <c r="AF123" s="278">
        <f t="shared" si="55"/>
        <v>58.329837411300353</v>
      </c>
      <c r="AG123" s="279">
        <f t="shared" si="56"/>
        <v>-86.006720850190391</v>
      </c>
      <c r="AI123">
        <f t="shared" si="57"/>
        <v>0</v>
      </c>
      <c r="AJ123">
        <f t="shared" si="63"/>
        <v>0</v>
      </c>
      <c r="AK123">
        <f t="shared" si="59"/>
        <v>0</v>
      </c>
      <c r="AL123">
        <f t="shared" si="60"/>
        <v>0</v>
      </c>
      <c r="AM123"/>
      <c r="AN123"/>
    </row>
    <row r="124" spans="2:40" x14ac:dyDescent="0.2">
      <c r="B124" s="280">
        <v>6531.7</v>
      </c>
      <c r="C124" s="270">
        <f t="shared" si="32"/>
        <v>5.4280930926400028</v>
      </c>
      <c r="D124" s="271">
        <f t="shared" si="33"/>
        <v>1.3855112286327833</v>
      </c>
      <c r="E124" s="271">
        <f t="shared" si="34"/>
        <v>1.0000569267689163</v>
      </c>
      <c r="F124" s="272">
        <f t="shared" si="35"/>
        <v>1.066996424547767E-2</v>
      </c>
      <c r="G124" s="271">
        <f t="shared" si="36"/>
        <v>1.0021821918274427</v>
      </c>
      <c r="H124" s="272">
        <f t="shared" si="37"/>
        <v>-6.6003498422065265E-2</v>
      </c>
      <c r="I124" s="270">
        <f t="shared" si="38"/>
        <v>22985.780995502879</v>
      </c>
      <c r="J124" s="273">
        <f t="shared" si="39"/>
        <v>1.5707528216383604</v>
      </c>
      <c r="K124" s="281">
        <f t="shared" si="40"/>
        <v>3.5894598929094665</v>
      </c>
      <c r="L124" s="282">
        <f t="shared" si="41"/>
        <v>1.288467065845911</v>
      </c>
      <c r="M124" s="270">
        <f t="shared" si="42"/>
        <v>1.013793269732602</v>
      </c>
      <c r="N124" s="273">
        <f t="shared" si="43"/>
        <v>0.16514580510546209</v>
      </c>
      <c r="O124" s="270">
        <f t="shared" si="44"/>
        <v>1805.8182630200929</v>
      </c>
      <c r="P124" s="273">
        <f t="shared" si="45"/>
        <v>1.5702425611853734</v>
      </c>
      <c r="Q124" s="271">
        <f t="shared" si="46"/>
        <v>1.0019952191351063</v>
      </c>
      <c r="R124" s="272">
        <f t="shared" si="47"/>
        <v>6.3117467587642695E-2</v>
      </c>
      <c r="S124" s="270">
        <f t="shared" si="48"/>
        <v>1.0000001045377369</v>
      </c>
      <c r="T124" s="273">
        <f t="shared" si="49"/>
        <v>4.5724769605060342E-4</v>
      </c>
      <c r="U124" s="274">
        <f t="shared" si="50"/>
        <v>1.0009548180149557</v>
      </c>
      <c r="V124" s="275">
        <f t="shared" si="51"/>
        <v>6.3732107999831214E-2</v>
      </c>
      <c r="W124" s="276">
        <f t="shared" si="52"/>
        <v>-4.2551366392805212</v>
      </c>
      <c r="X124" s="277">
        <f t="shared" si="62"/>
        <v>-111.8418447107684</v>
      </c>
      <c r="Y124" s="299">
        <f t="shared" si="61"/>
        <v>68.158155289231601</v>
      </c>
      <c r="AB124" s="278">
        <f t="shared" si="53"/>
        <v>-0.68456625585396735</v>
      </c>
      <c r="AC124" s="279">
        <f t="shared" si="54"/>
        <v>-25.635940060401008</v>
      </c>
      <c r="AF124" s="278">
        <f t="shared" si="55"/>
        <v>58.232962223555205</v>
      </c>
      <c r="AG124" s="279">
        <f t="shared" si="56"/>
        <v>-86.205904650367401</v>
      </c>
      <c r="AI124">
        <f t="shared" si="57"/>
        <v>0</v>
      </c>
      <c r="AJ124">
        <f t="shared" si="63"/>
        <v>0</v>
      </c>
      <c r="AK124">
        <f t="shared" si="59"/>
        <v>0</v>
      </c>
      <c r="AL124">
        <f t="shared" si="60"/>
        <v>0</v>
      </c>
      <c r="AM124"/>
      <c r="AN124"/>
    </row>
    <row r="125" spans="2:40" x14ac:dyDescent="0.2">
      <c r="B125" s="280">
        <v>6606.9</v>
      </c>
      <c r="C125" s="270">
        <f t="shared" si="32"/>
        <v>5.4884778231526656</v>
      </c>
      <c r="D125" s="271">
        <f t="shared" si="33"/>
        <v>1.3875730078990927</v>
      </c>
      <c r="E125" s="271">
        <f t="shared" si="34"/>
        <v>1.0000582450813857</v>
      </c>
      <c r="F125" s="272">
        <f t="shared" si="35"/>
        <v>1.0792798937406541E-2</v>
      </c>
      <c r="G125" s="271">
        <f t="shared" si="36"/>
        <v>1.0022326722959773</v>
      </c>
      <c r="H125" s="272">
        <f t="shared" si="37"/>
        <v>-6.6761158971453571E-2</v>
      </c>
      <c r="I125" s="270">
        <f t="shared" si="38"/>
        <v>23250.418184536185</v>
      </c>
      <c r="J125" s="273">
        <f t="shared" si="39"/>
        <v>1.5707533168157912</v>
      </c>
      <c r="K125" s="281">
        <f t="shared" si="40"/>
        <v>3.6275950228385896</v>
      </c>
      <c r="L125" s="282">
        <f t="shared" si="41"/>
        <v>1.2915151697351139</v>
      </c>
      <c r="M125" s="270">
        <f t="shared" si="42"/>
        <v>1.0141104814696911</v>
      </c>
      <c r="N125" s="273">
        <f t="shared" si="43"/>
        <v>0.16701217725492654</v>
      </c>
      <c r="O125" s="270">
        <f t="shared" si="44"/>
        <v>1826.6087910561218</v>
      </c>
      <c r="P125" s="273">
        <f t="shared" si="45"/>
        <v>1.5702488641664187</v>
      </c>
      <c r="Q125" s="271">
        <f t="shared" si="46"/>
        <v>1.0020413787802496</v>
      </c>
      <c r="R125" s="272">
        <f t="shared" si="47"/>
        <v>6.3842182441161882E-2</v>
      </c>
      <c r="S125" s="270">
        <f t="shared" si="48"/>
        <v>1.0000001069586966</v>
      </c>
      <c r="T125" s="273">
        <f t="shared" si="49"/>
        <v>4.6251202568411525E-4</v>
      </c>
      <c r="U125" s="274">
        <f t="shared" si="50"/>
        <v>1.0009769333205303</v>
      </c>
      <c r="V125" s="275">
        <f t="shared" si="51"/>
        <v>6.4465447076383686E-2</v>
      </c>
      <c r="W125" s="276">
        <f t="shared" si="52"/>
        <v>-4.3613257115374617</v>
      </c>
      <c r="X125" s="277">
        <f t="shared" si="62"/>
        <v>-111.9706861677854</v>
      </c>
      <c r="Y125" s="299">
        <f t="shared" si="61"/>
        <v>68.029313832214598</v>
      </c>
      <c r="AB125" s="278">
        <f t="shared" si="53"/>
        <v>-0.69491984528607986</v>
      </c>
      <c r="AC125" s="279">
        <f t="shared" si="54"/>
        <v>-25.568260190774225</v>
      </c>
      <c r="AF125" s="278">
        <f t="shared" si="55"/>
        <v>58.13712674073038</v>
      </c>
      <c r="AG125" s="279">
        <f t="shared" si="56"/>
        <v>-86.402425977011177</v>
      </c>
      <c r="AI125">
        <f t="shared" si="57"/>
        <v>0</v>
      </c>
      <c r="AJ125">
        <f t="shared" si="63"/>
        <v>0</v>
      </c>
      <c r="AK125">
        <f t="shared" si="59"/>
        <v>0</v>
      </c>
      <c r="AL125">
        <f t="shared" si="60"/>
        <v>0</v>
      </c>
      <c r="AM125"/>
      <c r="AN125"/>
    </row>
    <row r="126" spans="2:40" x14ac:dyDescent="0.2">
      <c r="B126" s="280">
        <v>6683.85</v>
      </c>
      <c r="C126" s="270">
        <f t="shared" si="32"/>
        <v>5.5502914036233841</v>
      </c>
      <c r="D126" s="271">
        <f t="shared" si="33"/>
        <v>1.3896363177613356</v>
      </c>
      <c r="E126" s="271">
        <f t="shared" si="34"/>
        <v>1.0000596096926726</v>
      </c>
      <c r="F126" s="272">
        <f t="shared" si="35"/>
        <v>1.091849181223652E-2</v>
      </c>
      <c r="G126" s="271">
        <f t="shared" si="36"/>
        <v>1.0022849230185569</v>
      </c>
      <c r="H126" s="272">
        <f t="shared" si="37"/>
        <v>-6.7536371787401184E-2</v>
      </c>
      <c r="I126" s="270">
        <f t="shared" si="38"/>
        <v>23521.213818798777</v>
      </c>
      <c r="J126" s="273">
        <f t="shared" si="39"/>
        <v>1.5707538119821831</v>
      </c>
      <c r="K126" s="281">
        <f t="shared" si="40"/>
        <v>3.6666517609296934</v>
      </c>
      <c r="L126" s="282">
        <f t="shared" si="41"/>
        <v>1.294568543650269</v>
      </c>
      <c r="M126" s="270">
        <f t="shared" si="42"/>
        <v>1.0144387295694286</v>
      </c>
      <c r="N126" s="273">
        <f t="shared" si="43"/>
        <v>0.1689207671605007</v>
      </c>
      <c r="O126" s="270">
        <f t="shared" si="44"/>
        <v>1847.8831412940588</v>
      </c>
      <c r="P126" s="273">
        <f t="shared" si="45"/>
        <v>1.5702551670069953</v>
      </c>
      <c r="Q126" s="271">
        <f t="shared" si="46"/>
        <v>1.0020891573655391</v>
      </c>
      <c r="R126" s="272">
        <f t="shared" si="47"/>
        <v>6.4583692820063834E-2</v>
      </c>
      <c r="S126" s="270">
        <f t="shared" si="48"/>
        <v>1.0000001094646831</v>
      </c>
      <c r="T126" s="273">
        <f t="shared" si="49"/>
        <v>4.6789886296208039E-4</v>
      </c>
      <c r="U126" s="274">
        <f t="shared" si="50"/>
        <v>1.0009998254813894</v>
      </c>
      <c r="V126" s="275">
        <f t="shared" si="51"/>
        <v>6.5215837179341707E-2</v>
      </c>
      <c r="W126" s="276">
        <f t="shared" si="52"/>
        <v>-4.4687099859972301</v>
      </c>
      <c r="X126" s="277">
        <f t="shared" si="62"/>
        <v>-112.10355113068451</v>
      </c>
      <c r="Y126" s="299">
        <f t="shared" si="61"/>
        <v>67.896448869315492</v>
      </c>
      <c r="AB126" s="278">
        <f t="shared" si="53"/>
        <v>-0.70529272070328841</v>
      </c>
      <c r="AC126" s="279">
        <f t="shared" si="54"/>
        <v>-25.502697269515593</v>
      </c>
      <c r="AF126" s="278">
        <f t="shared" si="55"/>
        <v>58.040115341687823</v>
      </c>
      <c r="AG126" s="279">
        <f t="shared" si="56"/>
        <v>-86.600853861168915</v>
      </c>
      <c r="AI126">
        <f t="shared" si="57"/>
        <v>0</v>
      </c>
      <c r="AJ126">
        <f t="shared" si="63"/>
        <v>0</v>
      </c>
      <c r="AK126">
        <f t="shared" si="59"/>
        <v>0</v>
      </c>
      <c r="AL126">
        <f t="shared" si="60"/>
        <v>0</v>
      </c>
      <c r="AM126"/>
      <c r="AN126"/>
    </row>
    <row r="127" spans="2:40" x14ac:dyDescent="0.2">
      <c r="B127" s="280">
        <v>6760.8</v>
      </c>
      <c r="C127" s="270">
        <f t="shared" si="32"/>
        <v>5.6121280924885504</v>
      </c>
      <c r="D127" s="271">
        <f t="shared" si="33"/>
        <v>1.3916541672979843</v>
      </c>
      <c r="E127" s="271">
        <f t="shared" si="34"/>
        <v>1.0000609901035566</v>
      </c>
      <c r="F127" s="272">
        <f t="shared" si="35"/>
        <v>1.1044184342057813E-2</v>
      </c>
      <c r="G127" s="271">
        <f t="shared" si="36"/>
        <v>1.0023377760061738</v>
      </c>
      <c r="H127" s="272">
        <f t="shared" si="37"/>
        <v>-6.8311503315621802E-2</v>
      </c>
      <c r="I127" s="270">
        <f t="shared" si="38"/>
        <v>23792.009453067003</v>
      </c>
      <c r="J127" s="273">
        <f t="shared" si="39"/>
        <v>1.5707542958768159</v>
      </c>
      <c r="K127" s="281">
        <f t="shared" si="40"/>
        <v>3.7057419627928017</v>
      </c>
      <c r="L127" s="282">
        <f t="shared" si="41"/>
        <v>1.2975575276136557</v>
      </c>
      <c r="M127" s="270">
        <f t="shared" si="42"/>
        <v>1.014770670582281</v>
      </c>
      <c r="N127" s="273">
        <f t="shared" si="43"/>
        <v>0.17082811537488188</v>
      </c>
      <c r="O127" s="270">
        <f t="shared" si="44"/>
        <v>1869.1574916037328</v>
      </c>
      <c r="P127" s="273">
        <f t="shared" si="45"/>
        <v>1.5702613263724088</v>
      </c>
      <c r="Q127" s="271">
        <f t="shared" si="46"/>
        <v>1.0021374868844528</v>
      </c>
      <c r="R127" s="272">
        <f t="shared" si="47"/>
        <v>6.5325132085799389E-2</v>
      </c>
      <c r="S127" s="270">
        <f t="shared" si="48"/>
        <v>1.0000001119996875</v>
      </c>
      <c r="T127" s="273">
        <f t="shared" si="49"/>
        <v>4.7328570021289043E-4</v>
      </c>
      <c r="U127" s="274">
        <f t="shared" si="50"/>
        <v>1.0010229828668711</v>
      </c>
      <c r="V127" s="275">
        <f t="shared" si="51"/>
        <v>6.5966212231424293E-2</v>
      </c>
      <c r="W127" s="276">
        <f t="shared" si="52"/>
        <v>-4.5748360825960086</v>
      </c>
      <c r="X127" s="277">
        <f t="shared" si="62"/>
        <v>-112.23742339175435</v>
      </c>
      <c r="Y127" s="299">
        <f t="shared" si="61"/>
        <v>67.762576608245652</v>
      </c>
      <c r="AB127" s="278">
        <f t="shared" si="53"/>
        <v>-0.71545209036637525</v>
      </c>
      <c r="AC127" s="279">
        <f t="shared" si="54"/>
        <v>-25.44075183124729</v>
      </c>
      <c r="AF127" s="278">
        <f t="shared" si="55"/>
        <v>57.944148614752137</v>
      </c>
      <c r="AG127" s="279">
        <f t="shared" si="56"/>
        <v>-86.79667156050705</v>
      </c>
      <c r="AI127">
        <f t="shared" si="57"/>
        <v>0</v>
      </c>
      <c r="AJ127">
        <f t="shared" si="63"/>
        <v>0</v>
      </c>
      <c r="AK127">
        <f t="shared" si="59"/>
        <v>0</v>
      </c>
      <c r="AL127">
        <f t="shared" si="60"/>
        <v>0</v>
      </c>
      <c r="AM127"/>
      <c r="AN127"/>
    </row>
    <row r="128" spans="2:40" x14ac:dyDescent="0.2">
      <c r="B128" s="280">
        <v>6839.55</v>
      </c>
      <c r="C128" s="270">
        <f t="shared" si="32"/>
        <v>5.675434391003912</v>
      </c>
      <c r="D128" s="271">
        <f t="shared" si="33"/>
        <v>1.3936736837518706</v>
      </c>
      <c r="E128" s="271">
        <f t="shared" si="34"/>
        <v>1.0000624191629772</v>
      </c>
      <c r="F128" s="272">
        <f t="shared" si="35"/>
        <v>1.1172816686664091E-2</v>
      </c>
      <c r="G128" s="271">
        <f t="shared" si="36"/>
        <v>1.0023924887834919</v>
      </c>
      <c r="H128" s="272">
        <f t="shared" si="37"/>
        <v>-6.9104681454927847E-2</v>
      </c>
      <c r="I128" s="270">
        <f t="shared" si="38"/>
        <v>24069.139488142457</v>
      </c>
      <c r="J128" s="273">
        <f t="shared" si="39"/>
        <v>1.5707547798172501</v>
      </c>
      <c r="K128" s="281">
        <f t="shared" si="40"/>
        <v>3.7457801092642486</v>
      </c>
      <c r="L128" s="282">
        <f t="shared" si="41"/>
        <v>1.3005518110736951</v>
      </c>
      <c r="M128" s="270">
        <f t="shared" si="42"/>
        <v>1.01511419601621</v>
      </c>
      <c r="N128" s="273">
        <f t="shared" si="43"/>
        <v>0.17277878112069403</v>
      </c>
      <c r="O128" s="270">
        <f t="shared" si="44"/>
        <v>1890.9294876064337</v>
      </c>
      <c r="P128" s="273">
        <f t="shared" si="45"/>
        <v>1.5702674863208512</v>
      </c>
      <c r="Q128" s="271">
        <f t="shared" si="46"/>
        <v>1.0021875172506143</v>
      </c>
      <c r="R128" s="272">
        <f t="shared" si="47"/>
        <v>6.6083840492476106E-2</v>
      </c>
      <c r="S128" s="270">
        <f t="shared" si="48"/>
        <v>1.0000001146240345</v>
      </c>
      <c r="T128" s="273">
        <f t="shared" si="49"/>
        <v>4.787985453241668E-4</v>
      </c>
      <c r="U128" s="274">
        <f t="shared" si="50"/>
        <v>1.0010469565541169</v>
      </c>
      <c r="V128" s="275">
        <f t="shared" si="51"/>
        <v>6.6734124152803082E-2</v>
      </c>
      <c r="W128" s="276">
        <f t="shared" si="52"/>
        <v>-4.6821748533094318</v>
      </c>
      <c r="X128" s="277">
        <f t="shared" si="62"/>
        <v>-112.37543977997561</v>
      </c>
      <c r="Y128" s="299">
        <f t="shared" si="61"/>
        <v>67.624560220024392</v>
      </c>
      <c r="AB128" s="278">
        <f t="shared" si="53"/>
        <v>-0.72563871096747679</v>
      </c>
      <c r="AC128" s="279">
        <f t="shared" si="54"/>
        <v>-25.380984668541394</v>
      </c>
      <c r="AF128" s="278">
        <f t="shared" si="55"/>
        <v>57.846996464639808</v>
      </c>
      <c r="AG128" s="279">
        <f t="shared" si="56"/>
        <v>-86.994455111434206</v>
      </c>
      <c r="AI128">
        <f t="shared" si="57"/>
        <v>0</v>
      </c>
      <c r="AJ128">
        <f t="shared" si="63"/>
        <v>0</v>
      </c>
      <c r="AK128">
        <f t="shared" si="59"/>
        <v>0</v>
      </c>
      <c r="AL128">
        <f t="shared" si="60"/>
        <v>0</v>
      </c>
      <c r="AM128"/>
      <c r="AN128"/>
    </row>
    <row r="129" spans="2:40" x14ac:dyDescent="0.2">
      <c r="B129" s="280">
        <v>6918.3</v>
      </c>
      <c r="C129" s="270">
        <f t="shared" si="32"/>
        <v>5.7387633257373318</v>
      </c>
      <c r="D129" s="271">
        <f t="shared" si="33"/>
        <v>1.3956486362014715</v>
      </c>
      <c r="E129" s="271">
        <f t="shared" si="34"/>
        <v>1.0000638647696634</v>
      </c>
      <c r="F129" s="272">
        <f t="shared" si="35"/>
        <v>1.1301448661518942E-2</v>
      </c>
      <c r="G129" s="271">
        <f t="shared" si="36"/>
        <v>1.00244783212849</v>
      </c>
      <c r="H129" s="272">
        <f t="shared" si="37"/>
        <v>-6.9897772513264858E-2</v>
      </c>
      <c r="I129" s="270">
        <f t="shared" si="38"/>
        <v>24346.269523223422</v>
      </c>
      <c r="J129" s="273">
        <f t="shared" si="39"/>
        <v>1.5707552527404371</v>
      </c>
      <c r="K129" s="281">
        <f t="shared" si="40"/>
        <v>3.7858511288845316</v>
      </c>
      <c r="L129" s="282">
        <f t="shared" si="41"/>
        <v>1.3034827348724225</v>
      </c>
      <c r="M129" s="270">
        <f t="shared" si="42"/>
        <v>1.0154615814359997</v>
      </c>
      <c r="N129" s="273">
        <f t="shared" si="43"/>
        <v>0.17472811964953602</v>
      </c>
      <c r="O129" s="270">
        <f t="shared" si="44"/>
        <v>1912.7014836792523</v>
      </c>
      <c r="P129" s="273">
        <f t="shared" si="45"/>
        <v>1.5702735060337429</v>
      </c>
      <c r="Q129" s="271">
        <f t="shared" si="46"/>
        <v>1.0022381244566516</v>
      </c>
      <c r="R129" s="272">
        <f t="shared" si="47"/>
        <v>6.6842472715075568E-2</v>
      </c>
      <c r="S129" s="270">
        <f t="shared" si="48"/>
        <v>1.0000001172787729</v>
      </c>
      <c r="T129" s="273">
        <f t="shared" si="49"/>
        <v>4.8431139040634047E-4</v>
      </c>
      <c r="U129" s="274">
        <f t="shared" si="50"/>
        <v>1.0010712080299513</v>
      </c>
      <c r="V129" s="275">
        <f t="shared" si="51"/>
        <v>6.7502019944553349E-2</v>
      </c>
      <c r="W129" s="276">
        <f t="shared" si="52"/>
        <v>-4.7882613997691088</v>
      </c>
      <c r="X129" s="277">
        <f t="shared" si="62"/>
        <v>-112.51445051249857</v>
      </c>
      <c r="Y129" s="299">
        <f t="shared" si="61"/>
        <v>67.48554948750143</v>
      </c>
      <c r="AB129" s="278">
        <f t="shared" si="53"/>
        <v>-0.73562280161541205</v>
      </c>
      <c r="AC129" s="279">
        <f t="shared" si="54"/>
        <v>-25.324771071847408</v>
      </c>
      <c r="AF129" s="278">
        <f t="shared" si="55"/>
        <v>57.750894008828062</v>
      </c>
      <c r="AG129" s="279">
        <f t="shared" si="56"/>
        <v>-87.189679440651176</v>
      </c>
      <c r="AI129">
        <f t="shared" si="57"/>
        <v>0</v>
      </c>
      <c r="AJ129">
        <f t="shared" si="63"/>
        <v>0</v>
      </c>
      <c r="AK129">
        <f t="shared" si="59"/>
        <v>0</v>
      </c>
      <c r="AL129">
        <f t="shared" si="60"/>
        <v>0</v>
      </c>
      <c r="AM129"/>
      <c r="AN129"/>
    </row>
    <row r="130" spans="2:40" x14ac:dyDescent="0.2">
      <c r="B130" s="280">
        <v>6998.9</v>
      </c>
      <c r="C130" s="270">
        <f t="shared" si="32"/>
        <v>5.8036026546014359</v>
      </c>
      <c r="D130" s="271">
        <f t="shared" si="33"/>
        <v>1.3976253443856439</v>
      </c>
      <c r="E130" s="271">
        <f t="shared" si="34"/>
        <v>1.0000653614714841</v>
      </c>
      <c r="F130" s="272">
        <f t="shared" si="35"/>
        <v>1.1433102079570653E-2</v>
      </c>
      <c r="G130" s="271">
        <f t="shared" si="36"/>
        <v>1.0025051284555504</v>
      </c>
      <c r="H130" s="272">
        <f t="shared" si="37"/>
        <v>-7.0709403717455419E-2</v>
      </c>
      <c r="I130" s="270">
        <f t="shared" si="38"/>
        <v>24629.909914689575</v>
      </c>
      <c r="J130" s="273">
        <f t="shared" si="39"/>
        <v>1.5707557257531657</v>
      </c>
      <c r="K130" s="281">
        <f t="shared" si="40"/>
        <v>3.8268964623638726</v>
      </c>
      <c r="L130" s="282">
        <f t="shared" si="41"/>
        <v>1.3064189277146654</v>
      </c>
      <c r="M130" s="270">
        <f t="shared" si="42"/>
        <v>1.015821120592582</v>
      </c>
      <c r="N130" s="273">
        <f t="shared" si="43"/>
        <v>0.17672186377954124</v>
      </c>
      <c r="O130" s="270">
        <f t="shared" si="44"/>
        <v>1934.9849489363005</v>
      </c>
      <c r="P130" s="273">
        <f t="shared" si="45"/>
        <v>1.57027952688642</v>
      </c>
      <c r="Q130" s="271">
        <f t="shared" si="46"/>
        <v>1.0022905177649786</v>
      </c>
      <c r="R130" s="272">
        <f t="shared" si="47"/>
        <v>6.7618846985137884E-2</v>
      </c>
      <c r="S130" s="270">
        <f t="shared" si="48"/>
        <v>1.0000001200273474</v>
      </c>
      <c r="T130" s="273">
        <f t="shared" si="49"/>
        <v>4.8995374356472043E-4</v>
      </c>
      <c r="U130" s="274">
        <f t="shared" si="50"/>
        <v>1.0010963168827076</v>
      </c>
      <c r="V130" s="275">
        <f t="shared" si="51"/>
        <v>6.8287938297171488E-2</v>
      </c>
      <c r="W130" s="276">
        <f t="shared" si="52"/>
        <v>-4.8955761211967532</v>
      </c>
      <c r="X130" s="277">
        <f t="shared" si="62"/>
        <v>-112.65772597875015</v>
      </c>
      <c r="Y130" s="299">
        <f t="shared" si="61"/>
        <v>67.34227402124985</v>
      </c>
      <c r="AB130" s="278">
        <f t="shared" si="53"/>
        <v>-0.74564197693054801</v>
      </c>
      <c r="AC130" s="279">
        <f t="shared" si="54"/>
        <v>-25.270799839861656</v>
      </c>
      <c r="AF130" s="278">
        <f t="shared" si="55"/>
        <v>57.65359846271555</v>
      </c>
      <c r="AG130" s="279">
        <f t="shared" si="56"/>
        <v>-87.386926138888512</v>
      </c>
      <c r="AI130">
        <f t="shared" si="57"/>
        <v>0</v>
      </c>
      <c r="AJ130">
        <f t="shared" si="63"/>
        <v>0</v>
      </c>
      <c r="AK130">
        <f t="shared" si="59"/>
        <v>0</v>
      </c>
      <c r="AL130">
        <f t="shared" si="60"/>
        <v>0</v>
      </c>
      <c r="AM130"/>
      <c r="AN130"/>
    </row>
    <row r="131" spans="2:40" x14ac:dyDescent="0.2">
      <c r="B131" s="280">
        <v>7079.5</v>
      </c>
      <c r="C131" s="270">
        <f t="shared" si="32"/>
        <v>5.8684641591650593</v>
      </c>
      <c r="D131" s="271">
        <f t="shared" si="33"/>
        <v>1.3995583646448475</v>
      </c>
      <c r="E131" s="271">
        <f t="shared" si="34"/>
        <v>1.0000668755070081</v>
      </c>
      <c r="F131" s="272">
        <f t="shared" si="35"/>
        <v>1.1564755101275007E-2</v>
      </c>
      <c r="G131" s="271">
        <f t="shared" si="36"/>
        <v>1.0025630851023273</v>
      </c>
      <c r="H131" s="272">
        <f t="shared" si="37"/>
        <v>-7.1520941617861045E-2</v>
      </c>
      <c r="I131" s="270">
        <f t="shared" si="38"/>
        <v>24913.550306161116</v>
      </c>
      <c r="J131" s="273">
        <f t="shared" si="39"/>
        <v>1.5707561879954088</v>
      </c>
      <c r="K131" s="281">
        <f t="shared" si="40"/>
        <v>3.8679740880214362</v>
      </c>
      <c r="L131" s="282">
        <f t="shared" si="41"/>
        <v>1.3092927805540162</v>
      </c>
      <c r="M131" s="270">
        <f t="shared" si="42"/>
        <v>1.0161846947873379</v>
      </c>
      <c r="N131" s="273">
        <f t="shared" si="43"/>
        <v>0.1787141891665609</v>
      </c>
      <c r="O131" s="270">
        <f t="shared" si="44"/>
        <v>1957.2684142618962</v>
      </c>
      <c r="P131" s="273">
        <f t="shared" si="45"/>
        <v>1.5702854106445008</v>
      </c>
      <c r="Q131" s="271">
        <f t="shared" si="46"/>
        <v>1.0023435151475686</v>
      </c>
      <c r="R131" s="272">
        <f t="shared" si="47"/>
        <v>6.8395139623867313E-2</v>
      </c>
      <c r="S131" s="270">
        <f t="shared" si="48"/>
        <v>1.0000001228077582</v>
      </c>
      <c r="T131" s="273">
        <f t="shared" si="49"/>
        <v>4.95596096691904E-4</v>
      </c>
      <c r="U131" s="274">
        <f t="shared" si="50"/>
        <v>1.0011217167407165</v>
      </c>
      <c r="V131" s="275">
        <f t="shared" si="51"/>
        <v>6.9073839360687908E-2</v>
      </c>
      <c r="W131" s="276">
        <f t="shared" si="52"/>
        <v>-5.0016442387095239</v>
      </c>
      <c r="X131" s="277">
        <f t="shared" si="62"/>
        <v>-112.80198191146066</v>
      </c>
      <c r="Y131" s="299">
        <f t="shared" si="61"/>
        <v>67.198018088539342</v>
      </c>
      <c r="AB131" s="278">
        <f t="shared" si="53"/>
        <v>-0.75546928390084134</v>
      </c>
      <c r="AC131" s="279">
        <f t="shared" si="54"/>
        <v>-25.220318521847798</v>
      </c>
      <c r="AF131" s="278">
        <f t="shared" si="55"/>
        <v>57.557357652173081</v>
      </c>
      <c r="AG131" s="279">
        <f t="shared" si="56"/>
        <v>-87.581663389612856</v>
      </c>
      <c r="AI131">
        <f t="shared" si="57"/>
        <v>0</v>
      </c>
      <c r="AJ131">
        <f t="shared" si="63"/>
        <v>0</v>
      </c>
      <c r="AK131">
        <f t="shared" si="59"/>
        <v>0</v>
      </c>
      <c r="AL131">
        <f t="shared" si="60"/>
        <v>0</v>
      </c>
      <c r="AM131"/>
      <c r="AN131"/>
    </row>
    <row r="132" spans="2:40" x14ac:dyDescent="0.2">
      <c r="B132" s="280">
        <v>7161.95</v>
      </c>
      <c r="C132" s="270">
        <f t="shared" si="32"/>
        <v>5.9348366073291388</v>
      </c>
      <c r="D132" s="271">
        <f t="shared" si="33"/>
        <v>1.4014920282712289</v>
      </c>
      <c r="E132" s="271">
        <f t="shared" si="34"/>
        <v>1.0000684422289421</v>
      </c>
      <c r="F132" s="272">
        <f t="shared" si="35"/>
        <v>1.1699429520658231E-2</v>
      </c>
      <c r="G132" s="271">
        <f t="shared" si="36"/>
        <v>1.0026230551281241</v>
      </c>
      <c r="H132" s="272">
        <f t="shared" si="37"/>
        <v>-7.2351008990616264E-2</v>
      </c>
      <c r="I132" s="270">
        <f t="shared" si="38"/>
        <v>25203.701054017969</v>
      </c>
      <c r="J132" s="273">
        <f t="shared" si="39"/>
        <v>1.5707566500824122</v>
      </c>
      <c r="K132" s="281">
        <f t="shared" si="40"/>
        <v>3.9100269137603152</v>
      </c>
      <c r="L132" s="282">
        <f t="shared" si="41"/>
        <v>1.3121700935734979</v>
      </c>
      <c r="M132" s="270">
        <f t="shared" si="42"/>
        <v>1.0165607845577209</v>
      </c>
      <c r="N132" s="273">
        <f t="shared" si="43"/>
        <v>0.18075076124949632</v>
      </c>
      <c r="O132" s="270">
        <f t="shared" si="44"/>
        <v>1980.0633487732789</v>
      </c>
      <c r="P132" s="273">
        <f t="shared" si="45"/>
        <v>1.5702912924266126</v>
      </c>
      <c r="Q132" s="271">
        <f t="shared" si="46"/>
        <v>1.0023983539026482</v>
      </c>
      <c r="R132" s="272">
        <f t="shared" si="47"/>
        <v>6.9189164968618322E-2</v>
      </c>
      <c r="S132" s="270">
        <f t="shared" si="48"/>
        <v>1.0000001256849278</v>
      </c>
      <c r="T132" s="273">
        <f t="shared" si="49"/>
        <v>5.0136795789171057E-4</v>
      </c>
      <c r="U132" s="274">
        <f t="shared" si="50"/>
        <v>1.0011480007052365</v>
      </c>
      <c r="V132" s="275">
        <f t="shared" si="51"/>
        <v>6.9877761000264216E-2</v>
      </c>
      <c r="W132" s="276">
        <f t="shared" si="52"/>
        <v>-5.1088895417841425</v>
      </c>
      <c r="X132" s="277">
        <f t="shared" si="62"/>
        <v>-112.95053264289567</v>
      </c>
      <c r="Y132" s="299">
        <f t="shared" si="61"/>
        <v>67.049467357104334</v>
      </c>
      <c r="AB132" s="278">
        <f t="shared" si="53"/>
        <v>-0.76533349320388688</v>
      </c>
      <c r="AC132" s="279">
        <f t="shared" si="54"/>
        <v>-25.172174090154879</v>
      </c>
      <c r="AF132" s="278">
        <f t="shared" si="55"/>
        <v>57.4599765584015</v>
      </c>
      <c r="AG132" s="279">
        <f t="shared" si="56"/>
        <v>-87.778358552740784</v>
      </c>
      <c r="AI132">
        <f t="shared" si="57"/>
        <v>0</v>
      </c>
      <c r="AJ132">
        <f t="shared" si="63"/>
        <v>0</v>
      </c>
      <c r="AK132">
        <f t="shared" si="59"/>
        <v>0</v>
      </c>
      <c r="AL132">
        <f t="shared" si="60"/>
        <v>0</v>
      </c>
      <c r="AM132"/>
      <c r="AN132"/>
    </row>
    <row r="133" spans="2:40" x14ac:dyDescent="0.2">
      <c r="B133" s="280">
        <v>7244.4</v>
      </c>
      <c r="C133" s="270">
        <f t="shared" si="32"/>
        <v>6.0012307552768114</v>
      </c>
      <c r="D133" s="271">
        <f t="shared" si="33"/>
        <v>1.4033829129648212</v>
      </c>
      <c r="E133" s="271">
        <f t="shared" si="34"/>
        <v>1.0000700270892595</v>
      </c>
      <c r="F133" s="272">
        <f t="shared" si="35"/>
        <v>1.1834103515633666E-2</v>
      </c>
      <c r="G133" s="271">
        <f t="shared" si="36"/>
        <v>1.0026837158901678</v>
      </c>
      <c r="H133" s="272">
        <f t="shared" si="37"/>
        <v>-7.3180976499673131E-2</v>
      </c>
      <c r="I133" s="270">
        <f t="shared" si="38"/>
        <v>25493.851801880079</v>
      </c>
      <c r="J133" s="273">
        <f t="shared" si="39"/>
        <v>1.5707571016512021</v>
      </c>
      <c r="K133" s="281">
        <f t="shared" si="40"/>
        <v>3.9521114212946347</v>
      </c>
      <c r="L133" s="282">
        <f t="shared" si="41"/>
        <v>1.3149861507057983</v>
      </c>
      <c r="M133" s="270">
        <f t="shared" si="42"/>
        <v>1.016941087513102</v>
      </c>
      <c r="N133" s="273">
        <f t="shared" si="43"/>
        <v>0.18278581854415613</v>
      </c>
      <c r="O133" s="270">
        <f t="shared" si="44"/>
        <v>2002.8582833516036</v>
      </c>
      <c r="P133" s="273">
        <f t="shared" si="45"/>
        <v>1.5702970403252248</v>
      </c>
      <c r="Q133" s="271">
        <f t="shared" si="46"/>
        <v>1.0024538245767034</v>
      </c>
      <c r="R133" s="272">
        <f t="shared" si="47"/>
        <v>6.9983102939269126E-2</v>
      </c>
      <c r="S133" s="270">
        <f t="shared" si="48"/>
        <v>1.0000001285954119</v>
      </c>
      <c r="T133" s="273">
        <f t="shared" si="49"/>
        <v>5.0713981905811168E-4</v>
      </c>
      <c r="U133" s="274">
        <f t="shared" si="50"/>
        <v>1.0011745891999442</v>
      </c>
      <c r="V133" s="275">
        <f t="shared" si="51"/>
        <v>7.0681664127517654E-2</v>
      </c>
      <c r="W133" s="276">
        <f t="shared" si="52"/>
        <v>-5.2148950693829317</v>
      </c>
      <c r="X133" s="277">
        <f t="shared" si="62"/>
        <v>-113.10004787408167</v>
      </c>
      <c r="Y133" s="299">
        <f t="shared" si="61"/>
        <v>66.899952125918333</v>
      </c>
      <c r="AB133" s="278">
        <f t="shared" si="53"/>
        <v>-0.77501641842215463</v>
      </c>
      <c r="AC133" s="279">
        <f t="shared" si="54"/>
        <v>-25.127451968643499</v>
      </c>
      <c r="AF133" s="278">
        <f t="shared" si="55"/>
        <v>57.363653956020983</v>
      </c>
      <c r="AG133" s="279">
        <f t="shared" si="56"/>
        <v>-87.972595905438169</v>
      </c>
      <c r="AI133">
        <f t="shared" si="57"/>
        <v>0</v>
      </c>
      <c r="AJ133">
        <f t="shared" si="63"/>
        <v>0</v>
      </c>
      <c r="AK133">
        <f t="shared" si="59"/>
        <v>0</v>
      </c>
      <c r="AL133">
        <f t="shared" si="60"/>
        <v>0</v>
      </c>
      <c r="AM133"/>
      <c r="AN133"/>
    </row>
    <row r="134" spans="2:40" x14ac:dyDescent="0.2">
      <c r="B134" s="280">
        <v>7328.75</v>
      </c>
      <c r="C134" s="270">
        <f t="shared" si="32"/>
        <v>6.0691766208488014</v>
      </c>
      <c r="D134" s="271">
        <f t="shared" si="33"/>
        <v>1.405274552856882</v>
      </c>
      <c r="E134" s="271">
        <f t="shared" si="34"/>
        <v>1.0000716672416132</v>
      </c>
      <c r="F134" s="272">
        <f t="shared" si="35"/>
        <v>1.1971880530128043E-2</v>
      </c>
      <c r="G134" s="271">
        <f t="shared" si="36"/>
        <v>1.0027464892003346</v>
      </c>
      <c r="H134" s="272">
        <f t="shared" si="37"/>
        <v>-7.4029965487994009E-2</v>
      </c>
      <c r="I134" s="270">
        <f t="shared" si="38"/>
        <v>25790.688861705465</v>
      </c>
      <c r="J134" s="273">
        <f t="shared" si="39"/>
        <v>1.5707575531116649</v>
      </c>
      <c r="K134" s="281">
        <f t="shared" si="40"/>
        <v>3.9951974768626157</v>
      </c>
      <c r="L134" s="282">
        <f t="shared" si="41"/>
        <v>1.3178056850301025</v>
      </c>
      <c r="M134" s="270">
        <f t="shared" si="42"/>
        <v>1.0173345092831103</v>
      </c>
      <c r="N134" s="273">
        <f t="shared" si="43"/>
        <v>0.18486618890032291</v>
      </c>
      <c r="O134" s="270">
        <f t="shared" si="44"/>
        <v>2026.178510606898</v>
      </c>
      <c r="P134" s="273">
        <f t="shared" si="45"/>
        <v>1.5703027868450048</v>
      </c>
      <c r="Q134" s="271">
        <f t="shared" si="46"/>
        <v>1.0025112273524459</v>
      </c>
      <c r="R134" s="272">
        <f t="shared" si="47"/>
        <v>7.07952451842771E-2</v>
      </c>
      <c r="S134" s="270">
        <f t="shared" si="48"/>
        <v>1.0000001316074405</v>
      </c>
      <c r="T134" s="273">
        <f t="shared" si="49"/>
        <v>5.130446885123585E-4</v>
      </c>
      <c r="U134" s="274">
        <f t="shared" si="50"/>
        <v>1.0012021055515195</v>
      </c>
      <c r="V134" s="275">
        <f t="shared" si="51"/>
        <v>7.1504073236072538E-2</v>
      </c>
      <c r="W134" s="276">
        <f t="shared" si="52"/>
        <v>-5.32209271127231</v>
      </c>
      <c r="X134" s="277">
        <f t="shared" si="62"/>
        <v>-113.25397576268477</v>
      </c>
      <c r="Y134" s="299">
        <f t="shared" si="61"/>
        <v>66.746024237315225</v>
      </c>
      <c r="AB134" s="278">
        <f t="shared" si="53"/>
        <v>-0.78474435249969499</v>
      </c>
      <c r="AC134" s="279">
        <f t="shared" si="54"/>
        <v>-25.085126859680209</v>
      </c>
      <c r="AF134" s="278">
        <f t="shared" si="55"/>
        <v>57.266184248209143</v>
      </c>
      <c r="AG134" s="279">
        <f t="shared" si="56"/>
        <v>-88.168848903004587</v>
      </c>
      <c r="AI134">
        <f t="shared" si="57"/>
        <v>0</v>
      </c>
      <c r="AJ134">
        <f t="shared" si="63"/>
        <v>0</v>
      </c>
      <c r="AK134">
        <f t="shared" si="59"/>
        <v>0</v>
      </c>
      <c r="AL134">
        <f t="shared" si="60"/>
        <v>0</v>
      </c>
      <c r="AM134"/>
      <c r="AN134"/>
    </row>
    <row r="135" spans="2:40" x14ac:dyDescent="0.2">
      <c r="B135" s="280">
        <v>7413.1</v>
      </c>
      <c r="C135" s="270">
        <f t="shared" si="32"/>
        <v>6.1371437228433674</v>
      </c>
      <c r="D135" s="271">
        <f t="shared" si="33"/>
        <v>1.4071243005105569</v>
      </c>
      <c r="E135" s="271">
        <f t="shared" si="34"/>
        <v>1.0000733263777708</v>
      </c>
      <c r="F135" s="272">
        <f t="shared" si="35"/>
        <v>1.2109657090089624E-2</v>
      </c>
      <c r="G135" s="271">
        <f t="shared" si="36"/>
        <v>1.0028099851816343</v>
      </c>
      <c r="H135" s="272">
        <f t="shared" si="37"/>
        <v>-7.4878847575440957E-2</v>
      </c>
      <c r="I135" s="270">
        <f t="shared" si="38"/>
        <v>26087.52592153598</v>
      </c>
      <c r="J135" s="273">
        <f t="shared" si="39"/>
        <v>1.570757994298237</v>
      </c>
      <c r="K135" s="281">
        <f t="shared" si="40"/>
        <v>4.0383146154668976</v>
      </c>
      <c r="L135" s="282">
        <f t="shared" si="41"/>
        <v>1.3205650324914266</v>
      </c>
      <c r="M135" s="270">
        <f t="shared" si="42"/>
        <v>1.0177323306014758</v>
      </c>
      <c r="N135" s="273">
        <f t="shared" si="43"/>
        <v>0.18694494185573707</v>
      </c>
      <c r="O135" s="270">
        <f t="shared" si="44"/>
        <v>2049.4987379275794</v>
      </c>
      <c r="P135" s="273">
        <f t="shared" si="45"/>
        <v>1.5703084025912011</v>
      </c>
      <c r="Q135" s="271">
        <f t="shared" si="46"/>
        <v>1.0025692912835844</v>
      </c>
      <c r="R135" s="272">
        <f t="shared" si="47"/>
        <v>7.1607293894192806E-2</v>
      </c>
      <c r="S135" s="270">
        <f t="shared" si="48"/>
        <v>1.000000134654337</v>
      </c>
      <c r="T135" s="273">
        <f t="shared" si="49"/>
        <v>5.1894955793082816E-4</v>
      </c>
      <c r="U135" s="274">
        <f t="shared" si="50"/>
        <v>1.0012299406443945</v>
      </c>
      <c r="V135" s="275">
        <f t="shared" si="51"/>
        <v>7.2326462519179485E-2</v>
      </c>
      <c r="W135" s="276">
        <f t="shared" si="52"/>
        <v>-5.4280570621673796</v>
      </c>
      <c r="X135" s="277">
        <f t="shared" si="62"/>
        <v>-113.40885136233686</v>
      </c>
      <c r="Y135" s="299">
        <f t="shared" si="61"/>
        <v>66.591148637663139</v>
      </c>
      <c r="AB135" s="278">
        <f t="shared" si="53"/>
        <v>-0.79430127088572045</v>
      </c>
      <c r="AC135" s="279">
        <f t="shared" si="54"/>
        <v>-25.046156945060336</v>
      </c>
      <c r="AF135" s="278">
        <f t="shared" si="55"/>
        <v>57.169776815700104</v>
      </c>
      <c r="AG135" s="279">
        <f t="shared" si="56"/>
        <v>-88.362694417276543</v>
      </c>
      <c r="AI135">
        <f t="shared" si="57"/>
        <v>0</v>
      </c>
      <c r="AJ135">
        <f t="shared" si="63"/>
        <v>0</v>
      </c>
      <c r="AK135">
        <f t="shared" si="59"/>
        <v>0</v>
      </c>
      <c r="AL135">
        <f t="shared" si="60"/>
        <v>0</v>
      </c>
      <c r="AM135"/>
      <c r="AN135"/>
    </row>
    <row r="136" spans="2:40" x14ac:dyDescent="0.2">
      <c r="B136" s="280">
        <v>7499.45</v>
      </c>
      <c r="C136" s="270">
        <f t="shared" si="32"/>
        <v>6.2067436436984673</v>
      </c>
      <c r="D136" s="271">
        <f t="shared" si="33"/>
        <v>1.4089759369061567</v>
      </c>
      <c r="E136" s="271">
        <f t="shared" si="34"/>
        <v>1.0000750445174773</v>
      </c>
      <c r="F136" s="272">
        <f t="shared" si="35"/>
        <v>1.2250699956456338E-2</v>
      </c>
      <c r="G136" s="271">
        <f t="shared" si="36"/>
        <v>1.0028757351324915</v>
      </c>
      <c r="H136" s="272">
        <f t="shared" si="37"/>
        <v>-7.5747745287180521E-2</v>
      </c>
      <c r="I136" s="270">
        <f t="shared" si="38"/>
        <v>26391.401204485577</v>
      </c>
      <c r="J136" s="273">
        <f t="shared" si="39"/>
        <v>1.570758435665415</v>
      </c>
      <c r="K136" s="281">
        <f t="shared" si="40"/>
        <v>4.0824852619192882</v>
      </c>
      <c r="L136" s="282">
        <f t="shared" si="41"/>
        <v>1.3233294095053232</v>
      </c>
      <c r="M136" s="270">
        <f t="shared" si="42"/>
        <v>1.0181441364285964</v>
      </c>
      <c r="N136" s="273">
        <f t="shared" si="43"/>
        <v>0.18907129141376153</v>
      </c>
      <c r="O136" s="270">
        <f t="shared" si="44"/>
        <v>2073.3719049063538</v>
      </c>
      <c r="P136" s="273">
        <f t="shared" si="45"/>
        <v>1.5703140206363133</v>
      </c>
      <c r="Q136" s="271">
        <f t="shared" si="46"/>
        <v>1.0026294166888943</v>
      </c>
      <c r="R136" s="272">
        <f t="shared" si="47"/>
        <v>7.2438498881968627E-2</v>
      </c>
      <c r="S136" s="270">
        <f t="shared" si="48"/>
        <v>1.0000001378095948</v>
      </c>
      <c r="T136" s="273">
        <f t="shared" si="49"/>
        <v>5.2499443607098952E-4</v>
      </c>
      <c r="U136" s="274">
        <f t="shared" si="50"/>
        <v>1.001258765902439</v>
      </c>
      <c r="V136" s="275">
        <f t="shared" si="51"/>
        <v>7.3168330478064064E-2</v>
      </c>
      <c r="W136" s="276">
        <f t="shared" si="52"/>
        <v>-5.5352884856901499</v>
      </c>
      <c r="X136" s="277">
        <f t="shared" si="62"/>
        <v>-113.56834981272848</v>
      </c>
      <c r="Y136" s="299">
        <f t="shared" si="61"/>
        <v>66.431650187271515</v>
      </c>
      <c r="AB136" s="278">
        <f t="shared" si="53"/>
        <v>-0.80391674868906793</v>
      </c>
      <c r="AC136" s="279">
        <f t="shared" si="54"/>
        <v>-25.009625953101914</v>
      </c>
      <c r="AF136" s="278">
        <f t="shared" si="55"/>
        <v>57.072160869980678</v>
      </c>
      <c r="AG136" s="279">
        <f t="shared" si="56"/>
        <v>-88.558723859626625</v>
      </c>
      <c r="AI136">
        <f t="shared" si="57"/>
        <v>0</v>
      </c>
      <c r="AJ136">
        <f t="shared" si="63"/>
        <v>0</v>
      </c>
      <c r="AK136">
        <f t="shared" si="59"/>
        <v>0</v>
      </c>
      <c r="AL136">
        <f t="shared" si="60"/>
        <v>0</v>
      </c>
      <c r="AM136"/>
      <c r="AN136"/>
    </row>
    <row r="137" spans="2:40" x14ac:dyDescent="0.2">
      <c r="B137" s="280">
        <v>7585.8</v>
      </c>
      <c r="C137" s="270">
        <f t="shared" si="32"/>
        <v>6.2763643727273717</v>
      </c>
      <c r="D137" s="271">
        <f t="shared" si="33"/>
        <v>1.4107865007489349</v>
      </c>
      <c r="E137" s="271">
        <f t="shared" si="34"/>
        <v>1.0000767825516985</v>
      </c>
      <c r="F137" s="272">
        <f t="shared" si="35"/>
        <v>1.2391742335391798E-2</v>
      </c>
      <c r="G137" s="271">
        <f t="shared" si="36"/>
        <v>1.0029422421381069</v>
      </c>
      <c r="H137" s="272">
        <f t="shared" si="37"/>
        <v>-7.6616528418248411E-2</v>
      </c>
      <c r="I137" s="270">
        <f t="shared" si="38"/>
        <v>26695.276487440202</v>
      </c>
      <c r="J137" s="273">
        <f t="shared" si="39"/>
        <v>1.5707588669843304</v>
      </c>
      <c r="K137" s="281">
        <f t="shared" si="40"/>
        <v>4.1266864378358354</v>
      </c>
      <c r="L137" s="282">
        <f t="shared" si="41"/>
        <v>1.326034588021697</v>
      </c>
      <c r="M137" s="270">
        <f t="shared" si="42"/>
        <v>1.0185605419199166</v>
      </c>
      <c r="N137" s="273">
        <f t="shared" si="43"/>
        <v>0.19119591199314476</v>
      </c>
      <c r="O137" s="270">
        <f t="shared" si="44"/>
        <v>2097.2450719490789</v>
      </c>
      <c r="P137" s="273">
        <f t="shared" si="45"/>
        <v>1.5703195107797978</v>
      </c>
      <c r="Q137" s="271">
        <f t="shared" si="46"/>
        <v>1.0026902347292486</v>
      </c>
      <c r="R137" s="272">
        <f t="shared" si="47"/>
        <v>7.326960361064655E-2</v>
      </c>
      <c r="S137" s="270">
        <f t="shared" si="48"/>
        <v>1.0000001410013932</v>
      </c>
      <c r="T137" s="273">
        <f t="shared" si="49"/>
        <v>5.3103931417278368E-4</v>
      </c>
      <c r="U137" s="274">
        <f t="shared" si="50"/>
        <v>1.001287925211565</v>
      </c>
      <c r="V137" s="275">
        <f t="shared" si="51"/>
        <v>7.4010177177576325E-2</v>
      </c>
      <c r="W137" s="276">
        <f t="shared" si="52"/>
        <v>-5.6412914083796464</v>
      </c>
      <c r="X137" s="277">
        <f t="shared" si="62"/>
        <v>-113.72877940921573</v>
      </c>
      <c r="Y137" s="299">
        <f t="shared" si="61"/>
        <v>66.271220590784267</v>
      </c>
      <c r="AB137" s="278">
        <f t="shared" si="53"/>
        <v>-0.8133710040476595</v>
      </c>
      <c r="AC137" s="279">
        <f t="shared" si="54"/>
        <v>-24.976387146303008</v>
      </c>
      <c r="AF137" s="278">
        <f t="shared" si="55"/>
        <v>56.975612202649771</v>
      </c>
      <c r="AG137" s="279">
        <f t="shared" si="56"/>
        <v>-88.752392262912721</v>
      </c>
      <c r="AI137">
        <f t="shared" si="57"/>
        <v>0</v>
      </c>
      <c r="AJ137">
        <f t="shared" si="63"/>
        <v>0</v>
      </c>
      <c r="AK137">
        <f t="shared" si="59"/>
        <v>0</v>
      </c>
      <c r="AL137">
        <f t="shared" si="60"/>
        <v>0</v>
      </c>
      <c r="AM137"/>
      <c r="AN137"/>
    </row>
    <row r="138" spans="2:40" x14ac:dyDescent="0.2">
      <c r="B138" s="280">
        <v>7674.15</v>
      </c>
      <c r="C138" s="270">
        <f t="shared" si="32"/>
        <v>6.3476184484435478</v>
      </c>
      <c r="D138" s="271">
        <f t="shared" si="33"/>
        <v>1.4125978869283236</v>
      </c>
      <c r="E138" s="271">
        <f t="shared" si="34"/>
        <v>1.0000785814324133</v>
      </c>
      <c r="F138" s="272">
        <f t="shared" si="35"/>
        <v>1.2536050964349718E-2</v>
      </c>
      <c r="G138" s="271">
        <f t="shared" si="36"/>
        <v>1.0030110729517649</v>
      </c>
      <c r="H138" s="272">
        <f t="shared" si="37"/>
        <v>-7.7505313978658744E-2</v>
      </c>
      <c r="I138" s="270">
        <f t="shared" si="38"/>
        <v>27006.189993514025</v>
      </c>
      <c r="J138" s="273">
        <f t="shared" si="39"/>
        <v>1.5707592982469798</v>
      </c>
      <c r="K138" s="281">
        <f t="shared" si="40"/>
        <v>4.1719419677987419</v>
      </c>
      <c r="L138" s="282">
        <f t="shared" si="41"/>
        <v>1.3287430734900911</v>
      </c>
      <c r="M138" s="270">
        <f t="shared" si="42"/>
        <v>1.0189913468278646</v>
      </c>
      <c r="N138" s="273">
        <f t="shared" si="43"/>
        <v>0.19336793478879127</v>
      </c>
      <c r="O138" s="270">
        <f t="shared" si="44"/>
        <v>2121.6711786514043</v>
      </c>
      <c r="P138" s="273">
        <f t="shared" si="45"/>
        <v>1.5703250002071167</v>
      </c>
      <c r="Q138" s="271">
        <f t="shared" si="46"/>
        <v>1.0027531781629242</v>
      </c>
      <c r="R138" s="272">
        <f t="shared" si="47"/>
        <v>7.4119853066967875E-2</v>
      </c>
      <c r="S138" s="270">
        <f t="shared" si="48"/>
        <v>1.0000001443049384</v>
      </c>
      <c r="T138" s="273">
        <f t="shared" si="49"/>
        <v>5.3722420099183092E-4</v>
      </c>
      <c r="U138" s="274">
        <f t="shared" si="50"/>
        <v>1.0013181056502052</v>
      </c>
      <c r="V138" s="275">
        <f t="shared" si="51"/>
        <v>7.4871500094768839E-2</v>
      </c>
      <c r="W138" s="276">
        <f t="shared" si="52"/>
        <v>-5.748509917011063</v>
      </c>
      <c r="X138" s="277">
        <f t="shared" si="62"/>
        <v>-113.89385740894807</v>
      </c>
      <c r="Y138" s="299">
        <f t="shared" si="61"/>
        <v>66.106142591051935</v>
      </c>
      <c r="AB138" s="278">
        <f t="shared" si="53"/>
        <v>-0.82288611236708997</v>
      </c>
      <c r="AC138" s="279">
        <f t="shared" si="54"/>
        <v>-24.945674808817937</v>
      </c>
      <c r="AF138" s="278">
        <f t="shared" si="55"/>
        <v>56.877908802337785</v>
      </c>
      <c r="AG138" s="279">
        <f t="shared" si="56"/>
        <v>-88.948182600130124</v>
      </c>
      <c r="AI138">
        <f t="shared" si="57"/>
        <v>0</v>
      </c>
      <c r="AJ138">
        <f t="shared" si="63"/>
        <v>0</v>
      </c>
      <c r="AK138">
        <f t="shared" si="59"/>
        <v>0</v>
      </c>
      <c r="AL138">
        <f t="shared" si="60"/>
        <v>0</v>
      </c>
      <c r="AM138"/>
      <c r="AN138"/>
    </row>
    <row r="139" spans="2:40" x14ac:dyDescent="0.2">
      <c r="B139" s="280">
        <v>7762.5</v>
      </c>
      <c r="C139" s="270">
        <f t="shared" si="32"/>
        <v>6.4188928890232146</v>
      </c>
      <c r="D139" s="271">
        <f t="shared" si="33"/>
        <v>1.4143690520817376</v>
      </c>
      <c r="E139" s="271">
        <f t="shared" si="34"/>
        <v>1.00008040113967</v>
      </c>
      <c r="F139" s="272">
        <f t="shared" si="35"/>
        <v>1.2680359071156151E-2</v>
      </c>
      <c r="G139" s="271">
        <f t="shared" si="36"/>
        <v>1.0030806959746599</v>
      </c>
      <c r="H139" s="272">
        <f t="shared" si="37"/>
        <v>-7.8393976861199199E-2</v>
      </c>
      <c r="I139" s="270">
        <f t="shared" si="38"/>
        <v>27317.103499592758</v>
      </c>
      <c r="J139" s="273">
        <f t="shared" si="39"/>
        <v>1.5707597196926744</v>
      </c>
      <c r="K139" s="281">
        <f t="shared" si="40"/>
        <v>4.2172274457048928</v>
      </c>
      <c r="L139" s="282">
        <f t="shared" si="41"/>
        <v>1.3313934094781092</v>
      </c>
      <c r="M139" s="270">
        <f t="shared" si="42"/>
        <v>1.019426954937704</v>
      </c>
      <c r="N139" s="273">
        <f t="shared" si="43"/>
        <v>0.19553811157499934</v>
      </c>
      <c r="O139" s="270">
        <f t="shared" si="44"/>
        <v>2146.0972854162092</v>
      </c>
      <c r="P139" s="273">
        <f t="shared" si="45"/>
        <v>1.5703303646770643</v>
      </c>
      <c r="Q139" s="271">
        <f t="shared" si="46"/>
        <v>1.0028168464197704</v>
      </c>
      <c r="R139" s="272">
        <f t="shared" si="47"/>
        <v>7.4969995174128348E-2</v>
      </c>
      <c r="S139" s="270">
        <f t="shared" si="48"/>
        <v>1.0000001476467364</v>
      </c>
      <c r="T139" s="273">
        <f t="shared" si="49"/>
        <v>5.4340908776977746E-4</v>
      </c>
      <c r="U139" s="274">
        <f t="shared" si="50"/>
        <v>1.0013486358103016</v>
      </c>
      <c r="V139" s="275">
        <f t="shared" si="51"/>
        <v>7.5732800239399739E-2</v>
      </c>
      <c r="W139" s="276">
        <f t="shared" si="52"/>
        <v>-5.8545059523191796</v>
      </c>
      <c r="X139" s="277">
        <f t="shared" si="62"/>
        <v>-114.05984799865215</v>
      </c>
      <c r="Y139" s="299">
        <f t="shared" si="61"/>
        <v>65.940152001347855</v>
      </c>
      <c r="AB139" s="278">
        <f t="shared" si="53"/>
        <v>-0.83224972401087638</v>
      </c>
      <c r="AC139" s="279">
        <f t="shared" si="54"/>
        <v>-24.918187860119435</v>
      </c>
      <c r="AF139" s="278">
        <f t="shared" si="55"/>
        <v>56.781276378673454</v>
      </c>
      <c r="AG139" s="279">
        <f t="shared" si="56"/>
        <v>-89.141660138532714</v>
      </c>
      <c r="AI139">
        <f t="shared" si="57"/>
        <v>0</v>
      </c>
      <c r="AJ139">
        <f t="shared" si="63"/>
        <v>0</v>
      </c>
      <c r="AK139">
        <f t="shared" si="59"/>
        <v>0</v>
      </c>
      <c r="AL139">
        <f t="shared" si="60"/>
        <v>0</v>
      </c>
      <c r="AM139"/>
      <c r="AN139"/>
    </row>
    <row r="140" spans="2:40" x14ac:dyDescent="0.2">
      <c r="B140" s="280">
        <v>7852.9</v>
      </c>
      <c r="C140" s="270">
        <f t="shared" si="32"/>
        <v>6.4918415019882394</v>
      </c>
      <c r="D140" s="271">
        <f t="shared" si="33"/>
        <v>1.4161410525881648</v>
      </c>
      <c r="E140" s="271">
        <f t="shared" si="34"/>
        <v>1.000082284626794</v>
      </c>
      <c r="F140" s="272">
        <f t="shared" si="35"/>
        <v>1.2828015036651949E-2</v>
      </c>
      <c r="G140" s="271">
        <f t="shared" si="36"/>
        <v>1.0031527542954126</v>
      </c>
      <c r="H140" s="272">
        <f t="shared" si="37"/>
        <v>-7.9303131121055234E-2</v>
      </c>
      <c r="I140" s="270">
        <f t="shared" si="38"/>
        <v>27635.231184368662</v>
      </c>
      <c r="J140" s="273">
        <f t="shared" si="39"/>
        <v>1.5707601411015855</v>
      </c>
      <c r="K140" s="281">
        <f t="shared" si="40"/>
        <v>4.2635936931700549</v>
      </c>
      <c r="L140" s="282">
        <f t="shared" si="41"/>
        <v>1.3340469471596221</v>
      </c>
      <c r="M140" s="270">
        <f t="shared" si="42"/>
        <v>1.0198776357852173</v>
      </c>
      <c r="N140" s="273">
        <f t="shared" si="43"/>
        <v>0.19775671374358827</v>
      </c>
      <c r="O140" s="270">
        <f t="shared" si="44"/>
        <v>2171.0901553319713</v>
      </c>
      <c r="P140" s="273">
        <f t="shared" si="45"/>
        <v>1.5703357286788291</v>
      </c>
      <c r="Q140" s="271">
        <f t="shared" si="46"/>
        <v>1.0028827420835305</v>
      </c>
      <c r="R140" s="272">
        <f t="shared" si="47"/>
        <v>7.5839750897786662E-2</v>
      </c>
      <c r="S140" s="270">
        <f t="shared" si="48"/>
        <v>1.0000001511056695</v>
      </c>
      <c r="T140" s="273">
        <f t="shared" si="49"/>
        <v>5.4973748347916232E-4</v>
      </c>
      <c r="U140" s="274">
        <f t="shared" si="50"/>
        <v>1.0013802363634989</v>
      </c>
      <c r="V140" s="275">
        <f t="shared" si="51"/>
        <v>7.6614061433070133E-2</v>
      </c>
      <c r="W140" s="276">
        <f t="shared" si="52"/>
        <v>-5.9617277957421857</v>
      </c>
      <c r="X140" s="277">
        <f t="shared" si="62"/>
        <v>-114.23060351008583</v>
      </c>
      <c r="Y140" s="299">
        <f t="shared" si="61"/>
        <v>65.769396489914172</v>
      </c>
      <c r="AB140" s="278">
        <f t="shared" si="53"/>
        <v>-0.84168218175071974</v>
      </c>
      <c r="AC140" s="279">
        <f t="shared" si="54"/>
        <v>-24.893292035820597</v>
      </c>
      <c r="AF140" s="278">
        <f t="shared" si="55"/>
        <v>56.683486992990296</v>
      </c>
      <c r="AG140" s="279">
        <f t="shared" si="56"/>
        <v>-89.337311474265263</v>
      </c>
      <c r="AI140">
        <f t="shared" si="57"/>
        <v>0</v>
      </c>
      <c r="AJ140">
        <f t="shared" si="63"/>
        <v>0</v>
      </c>
      <c r="AK140">
        <f t="shared" si="59"/>
        <v>0</v>
      </c>
      <c r="AL140">
        <f t="shared" si="60"/>
        <v>0</v>
      </c>
      <c r="AM140"/>
      <c r="AN140"/>
    </row>
    <row r="141" spans="2:40" x14ac:dyDescent="0.2">
      <c r="B141" s="280">
        <v>7943.3</v>
      </c>
      <c r="C141" s="270">
        <f t="shared" ref="C141:C204" si="64">SQRT(1+(B141/PS_Pole1)^2)</f>
        <v>6.5648100461832977</v>
      </c>
      <c r="D141" s="271">
        <f t="shared" ref="D141:D204" si="65">ATAN(B141/PS_Pole1)</f>
        <v>1.4178736664960099</v>
      </c>
      <c r="E141" s="271">
        <f t="shared" ref="E141:E204" si="66">SQRT(1+(B141/PS_Zero1)^2)</f>
        <v>1.0000841899179138</v>
      </c>
      <c r="F141" s="272">
        <f t="shared" ref="F141:F204" si="67">ATAN(B141/PS_Zero1)</f>
        <v>1.2975670442759126E-2</v>
      </c>
      <c r="G141" s="271">
        <f t="shared" ref="G141:G204" si="68">IF(VIN_nom&gt;Vout, 1, SQRT(1+(B141/PS_RHPZ)^2))</f>
        <v>1.0032256416640666</v>
      </c>
      <c r="H141" s="272">
        <f t="shared" ref="H141:H204" si="69">IF(VIN_nom&gt;Vout, 0, -ATAN(B141/PS_RHPZ))</f>
        <v>-8.0212154026585991E-2</v>
      </c>
      <c r="I141" s="270">
        <f t="shared" ref="I141:I204" si="70">SQRT(1+(B141/EA_Pole1)^2)</f>
        <v>27953.358869149361</v>
      </c>
      <c r="J141" s="273">
        <f t="shared" ref="J141:J204" si="71">ATAN(B141/EA_Pole1)</f>
        <v>1.5707605529186732</v>
      </c>
      <c r="K141" s="281">
        <f t="shared" ref="K141:K204" si="72">SQRT(1+(B141/EA_Zero1)^2)</f>
        <v>4.3099893156697187</v>
      </c>
      <c r="L141" s="282">
        <f t="shared" ref="L141:L204" si="73">ATAN(B141/EA_Zero1)</f>
        <v>1.3366433738697281</v>
      </c>
      <c r="M141" s="270">
        <f t="shared" ref="M141:M204" si="74">SQRT(1+(B141/EA_Pole2)^2)</f>
        <v>1.0203333322208206</v>
      </c>
      <c r="N141" s="273">
        <f t="shared" ref="N141:N204" si="75">ATAN(B141/EA_Pole2)</f>
        <v>0.19997334509162543</v>
      </c>
      <c r="O141" s="270">
        <f t="shared" ref="O141:O204" si="76">SQRT(1+(B141/$V$5)^2)</f>
        <v>2196.0830253087797</v>
      </c>
      <c r="P141" s="273">
        <f t="shared" ref="P141:P204" si="77">ATAN(B141/$V$5)</f>
        <v>1.5703409705888545</v>
      </c>
      <c r="Q141" s="271">
        <f t="shared" ref="Q141:Q204" si="78">SQRT(1+(B141/$V$4)^2)</f>
        <v>1.0029493963030067</v>
      </c>
      <c r="R141" s="272">
        <f t="shared" ref="R141:R204" si="79">ATAN(B141/$V$4)</f>
        <v>7.6709391674420646E-2</v>
      </c>
      <c r="S141" s="270">
        <f t="shared" ref="S141:S204" si="80">SQRT(1+(B141/$V$7)^2)</f>
        <v>1.0000001546046509</v>
      </c>
      <c r="T141" s="273">
        <f t="shared" ref="T141:T204" si="81">ATAN(B141/$V$7)</f>
        <v>5.560658791445149E-4</v>
      </c>
      <c r="U141" s="274">
        <f t="shared" ref="U141:U204" si="82">SQRT((1-(B141^2/pterm2))^2+(B141/pterm1)^2)</f>
        <v>1.001412203074237</v>
      </c>
      <c r="V141" s="275">
        <f t="shared" ref="V141:V204" si="83">IF((ATAN((B141/pterm1)/(1-B141^2/pterm2))&gt;0),ATAN((B141/pterm1)/(1-B141^2/pterm2)),PI()+ATAN((B141/pterm1)/(1-B141^2/pterm2)))</f>
        <v>7.7495298231434889E-2</v>
      </c>
      <c r="W141" s="276">
        <f t="shared" ref="W141:W204" si="84">20*LOG10(((E141*K141*G141)/(C141*I141*U141*M141))*Adc)</f>
        <v>-6.0677329947574865</v>
      </c>
      <c r="X141" s="277">
        <f t="shared" si="62"/>
        <v>-114.40225219226026</v>
      </c>
      <c r="Y141" s="299">
        <f t="shared" si="61"/>
        <v>65.597747807739736</v>
      </c>
      <c r="AB141" s="278">
        <f t="shared" ref="AB141:AB204" si="85">20*LOG10((K141/(I141*M141))*AEA)</f>
        <v>-0.85097261087346165</v>
      </c>
      <c r="AC141" s="279">
        <f t="shared" ref="AC141:AC204" si="86">(L141-(J141+N141))*radconv</f>
        <v>-24.871554959876473</v>
      </c>
      <c r="AF141" s="278">
        <f t="shared" ref="AF141:AF204" si="87">20*LOG10((E141*G141/(C141*U141))*Acs*Am)</f>
        <v>56.586772223097732</v>
      </c>
      <c r="AG141" s="279">
        <f t="shared" ref="AG141:AG204" si="88">(F141+H141-(D141+V141))*radconv</f>
        <v>-89.530697232383773</v>
      </c>
      <c r="AI141">
        <f t="shared" ref="AI141:AI204" si="89">SUM((W142&lt;0)*(W141&gt;0))*B141</f>
        <v>0</v>
      </c>
      <c r="AJ141">
        <f t="shared" si="63"/>
        <v>0</v>
      </c>
      <c r="AK141">
        <f t="shared" ref="AK141:AK204" si="90">SUM((AB142&lt;0)*(AB141&gt;0))*B141</f>
        <v>0</v>
      </c>
      <c r="AL141">
        <f t="shared" ref="AL141:AL204" si="91">IF(AK141&gt;0,AC141,0)</f>
        <v>0</v>
      </c>
      <c r="AM141"/>
      <c r="AN141"/>
    </row>
    <row r="142" spans="2:40" x14ac:dyDescent="0.2">
      <c r="B142" s="280">
        <v>8035.8</v>
      </c>
      <c r="C142" s="270">
        <f t="shared" si="64"/>
        <v>6.639493601750833</v>
      </c>
      <c r="D142" s="271">
        <f t="shared" si="65"/>
        <v>1.4196071034467455</v>
      </c>
      <c r="E142" s="271">
        <f t="shared" si="66"/>
        <v>1.000086162038627</v>
      </c>
      <c r="F142" s="272">
        <f t="shared" si="67"/>
        <v>1.3126755311272767E-2</v>
      </c>
      <c r="G142" s="271">
        <f t="shared" si="68"/>
        <v>1.0033010801841318</v>
      </c>
      <c r="H142" s="272">
        <f t="shared" si="69"/>
        <v>-8.1142156110786859E-2</v>
      </c>
      <c r="I142" s="270">
        <f t="shared" si="70"/>
        <v>28278.876688205208</v>
      </c>
      <c r="J142" s="273">
        <f t="shared" si="71"/>
        <v>1.5707609647113445</v>
      </c>
      <c r="K142" s="281">
        <f t="shared" si="72"/>
        <v>4.3574921403544771</v>
      </c>
      <c r="L142" s="282">
        <f t="shared" si="73"/>
        <v>1.3392428663788105</v>
      </c>
      <c r="M142" s="270">
        <f t="shared" si="74"/>
        <v>1.0208047992280065</v>
      </c>
      <c r="N142" s="273">
        <f t="shared" si="75"/>
        <v>0.20223940900335863</v>
      </c>
      <c r="O142" s="270">
        <f t="shared" si="76"/>
        <v>2221.6564819279474</v>
      </c>
      <c r="P142" s="273">
        <f t="shared" si="77"/>
        <v>1.5703462121881149</v>
      </c>
      <c r="Q142" s="271">
        <f t="shared" si="78"/>
        <v>1.003018383940504</v>
      </c>
      <c r="R142" s="272">
        <f t="shared" si="79"/>
        <v>7.7599113951812709E-2</v>
      </c>
      <c r="S142" s="270">
        <f t="shared" si="80"/>
        <v>1.0000001582263689</v>
      </c>
      <c r="T142" s="273">
        <f t="shared" si="81"/>
        <v>5.6254128395510114E-4</v>
      </c>
      <c r="U142" s="274">
        <f t="shared" si="82"/>
        <v>1.0014452913995695</v>
      </c>
      <c r="V142" s="275">
        <f t="shared" si="83"/>
        <v>7.8396980694612012E-2</v>
      </c>
      <c r="W142" s="276">
        <f t="shared" si="84"/>
        <v>-6.1749728678026923</v>
      </c>
      <c r="X142" s="277">
        <f t="shared" si="62"/>
        <v>-114.5787816248244</v>
      </c>
      <c r="Y142" s="299">
        <f t="shared" ref="Y142:Y205" si="92">IF(X142&gt;0,X142-180,X142+180)</f>
        <v>65.421218375175599</v>
      </c>
      <c r="AB142" s="278">
        <f t="shared" si="85"/>
        <v>-0.8603398899378456</v>
      </c>
      <c r="AC142" s="279">
        <f t="shared" si="86"/>
        <v>-24.85247450246149</v>
      </c>
      <c r="AF142" s="278">
        <f t="shared" si="87"/>
        <v>56.488899629116915</v>
      </c>
      <c r="AG142" s="279">
        <f t="shared" si="88"/>
        <v>-89.726307122362925</v>
      </c>
      <c r="AI142">
        <f t="shared" si="89"/>
        <v>0</v>
      </c>
      <c r="AJ142">
        <f t="shared" si="63"/>
        <v>0</v>
      </c>
      <c r="AK142">
        <f t="shared" si="90"/>
        <v>0</v>
      </c>
      <c r="AL142">
        <f t="shared" si="91"/>
        <v>0</v>
      </c>
      <c r="AM142"/>
      <c r="AN142"/>
    </row>
    <row r="143" spans="2:40" x14ac:dyDescent="0.2">
      <c r="B143" s="280">
        <v>8128.3</v>
      </c>
      <c r="C143" s="270">
        <f t="shared" si="64"/>
        <v>6.7141966638333255</v>
      </c>
      <c r="D143" s="271">
        <f t="shared" si="65"/>
        <v>1.4213019724873168</v>
      </c>
      <c r="E143" s="271">
        <f t="shared" si="66"/>
        <v>1.0000881569878539</v>
      </c>
      <c r="F143" s="272">
        <f t="shared" si="67"/>
        <v>1.3277839580474994E-2</v>
      </c>
      <c r="G143" s="271">
        <f t="shared" si="68"/>
        <v>1.0033773863322688</v>
      </c>
      <c r="H143" s="272">
        <f t="shared" si="69"/>
        <v>-8.2072017547111561E-2</v>
      </c>
      <c r="I143" s="270">
        <f t="shared" si="70"/>
        <v>28604.394507265737</v>
      </c>
      <c r="J143" s="273">
        <f t="shared" si="71"/>
        <v>1.5707613671316201</v>
      </c>
      <c r="K143" s="281">
        <f t="shared" si="72"/>
        <v>4.4050237750131753</v>
      </c>
      <c r="L143" s="282">
        <f t="shared" si="73"/>
        <v>1.3417862770330931</v>
      </c>
      <c r="M143" s="270">
        <f t="shared" si="74"/>
        <v>1.0212815032589957</v>
      </c>
      <c r="N143" s="273">
        <f t="shared" si="75"/>
        <v>0.20450336906827038</v>
      </c>
      <c r="O143" s="270">
        <f t="shared" si="76"/>
        <v>2247.2299386067652</v>
      </c>
      <c r="P143" s="273">
        <f t="shared" si="77"/>
        <v>1.5703513344886697</v>
      </c>
      <c r="Q143" s="271">
        <f t="shared" si="78"/>
        <v>1.0030881654635213</v>
      </c>
      <c r="R143" s="272">
        <f t="shared" si="79"/>
        <v>7.8488713143268413E-2</v>
      </c>
      <c r="S143" s="270">
        <f t="shared" si="80"/>
        <v>1.0000001618900178</v>
      </c>
      <c r="T143" s="273">
        <f t="shared" si="81"/>
        <v>5.6901668871851168E-4</v>
      </c>
      <c r="U143" s="274">
        <f t="shared" si="82"/>
        <v>1.001478763112061</v>
      </c>
      <c r="V143" s="275">
        <f t="shared" si="83"/>
        <v>7.9298637022856555E-2</v>
      </c>
      <c r="W143" s="276">
        <f t="shared" si="84"/>
        <v>-6.2810017680655168</v>
      </c>
      <c r="X143" s="277">
        <f t="shared" ref="X143:X206" si="93">IF(((F143+L143+H143)-(D143+J143+V143+N143))*radconv&lt;-180,((F143+L143+H143)-(D143+J143+V143+N143))*radconv+360,((F143+L143+H143)-(D143+J143+V143+N143))*radconv)</f>
        <v>-114.7561839323435</v>
      </c>
      <c r="Y143" s="299">
        <f t="shared" si="92"/>
        <v>65.243816067656496</v>
      </c>
      <c r="AB143" s="278">
        <f t="shared" si="85"/>
        <v>-0.86957436671773181</v>
      </c>
      <c r="AC143" s="279">
        <f t="shared" si="86"/>
        <v>-24.836486220091476</v>
      </c>
      <c r="AF143" s="278">
        <f t="shared" si="87"/>
        <v>56.392105205633982</v>
      </c>
      <c r="AG143" s="279">
        <f t="shared" si="88"/>
        <v>-89.919697712251988</v>
      </c>
      <c r="AI143">
        <f t="shared" si="89"/>
        <v>0</v>
      </c>
      <c r="AJ143">
        <f t="shared" si="63"/>
        <v>0</v>
      </c>
      <c r="AK143">
        <f t="shared" si="90"/>
        <v>0</v>
      </c>
      <c r="AL143">
        <f t="shared" si="91"/>
        <v>0</v>
      </c>
      <c r="AM143"/>
      <c r="AN143"/>
    </row>
    <row r="144" spans="2:40" x14ac:dyDescent="0.2">
      <c r="B144" s="280">
        <v>8222.9500000000007</v>
      </c>
      <c r="C144" s="270">
        <f t="shared" si="64"/>
        <v>6.7906555876868966</v>
      </c>
      <c r="D144" s="271">
        <f t="shared" si="65"/>
        <v>1.4229976305722187</v>
      </c>
      <c r="E144" s="271">
        <f t="shared" si="66"/>
        <v>1.0000902219366221</v>
      </c>
      <c r="F144" s="272">
        <f t="shared" si="67"/>
        <v>1.3432434910536976E-2</v>
      </c>
      <c r="G144" s="271">
        <f t="shared" si="68"/>
        <v>1.0034563639884551</v>
      </c>
      <c r="H144" s="272">
        <f t="shared" si="69"/>
        <v>-8.302334474573024E-2</v>
      </c>
      <c r="I144" s="270">
        <f t="shared" si="70"/>
        <v>28937.478416179387</v>
      </c>
      <c r="J144" s="273">
        <f t="shared" si="71"/>
        <v>1.5707617695336931</v>
      </c>
      <c r="K144" s="281">
        <f t="shared" si="72"/>
        <v>4.4536890590036151</v>
      </c>
      <c r="L144" s="282">
        <f t="shared" si="73"/>
        <v>1.3443325918221425</v>
      </c>
      <c r="M144" s="270">
        <f t="shared" si="74"/>
        <v>1.0217747008175748</v>
      </c>
      <c r="N144" s="273">
        <f t="shared" si="75"/>
        <v>0.20681775202231237</v>
      </c>
      <c r="O144" s="270">
        <f t="shared" si="76"/>
        <v>2273.3978054193844</v>
      </c>
      <c r="P144" s="273">
        <f t="shared" si="77"/>
        <v>1.5703564565575525</v>
      </c>
      <c r="Q144" s="271">
        <f t="shared" si="78"/>
        <v>1.0031603905412978</v>
      </c>
      <c r="R144" s="272">
        <f t="shared" si="79"/>
        <v>7.939886065271963E-2</v>
      </c>
      <c r="S144" s="270">
        <f t="shared" si="80"/>
        <v>1.0000001656822259</v>
      </c>
      <c r="T144" s="273">
        <f t="shared" si="81"/>
        <v>5.7564260284053695E-4</v>
      </c>
      <c r="U144" s="274">
        <f t="shared" si="82"/>
        <v>1.0015134096840526</v>
      </c>
      <c r="V144" s="275">
        <f t="shared" si="83"/>
        <v>8.0221223402453357E-2</v>
      </c>
      <c r="W144" s="276">
        <f t="shared" si="84"/>
        <v>-6.3882729559013374</v>
      </c>
      <c r="X144" s="277">
        <f t="shared" si="93"/>
        <v>-114.93858200402441</v>
      </c>
      <c r="Y144" s="299">
        <f t="shared" si="92"/>
        <v>65.061417995975589</v>
      </c>
      <c r="AB144" s="278">
        <f t="shared" si="85"/>
        <v>-0.87889373088447242</v>
      </c>
      <c r="AC144" s="279">
        <f t="shared" si="86"/>
        <v>-24.823220560751285</v>
      </c>
      <c r="AF144" s="278">
        <f t="shared" si="87"/>
        <v>56.29415338196489</v>
      </c>
      <c r="AG144" s="279">
        <f t="shared" si="88"/>
        <v>-90.11536144327313</v>
      </c>
      <c r="AI144">
        <f t="shared" si="89"/>
        <v>0</v>
      </c>
      <c r="AJ144">
        <f t="shared" si="63"/>
        <v>0</v>
      </c>
      <c r="AK144">
        <f t="shared" si="90"/>
        <v>0</v>
      </c>
      <c r="AL144">
        <f t="shared" si="91"/>
        <v>0</v>
      </c>
      <c r="AM144"/>
      <c r="AN144"/>
    </row>
    <row r="145" spans="2:40" x14ac:dyDescent="0.2">
      <c r="B145" s="280">
        <v>8270.2750000000015</v>
      </c>
      <c r="C145" s="270">
        <f t="shared" si="64"/>
        <v>6.8288922484693204</v>
      </c>
      <c r="D145" s="271">
        <f t="shared" si="65"/>
        <v>1.4238312194842366</v>
      </c>
      <c r="E145" s="271">
        <f t="shared" si="66"/>
        <v>1.0000912633741808</v>
      </c>
      <c r="F145" s="272">
        <f t="shared" si="67"/>
        <v>1.3509732335242544E-2</v>
      </c>
      <c r="G145" s="271">
        <f t="shared" si="68"/>
        <v>1.0034961933330842</v>
      </c>
      <c r="H145" s="272">
        <f t="shared" si="69"/>
        <v>-8.3498951975954319E-2</v>
      </c>
      <c r="I145" s="270">
        <f t="shared" si="70"/>
        <v>29104.020370637936</v>
      </c>
      <c r="J145" s="273">
        <f t="shared" si="71"/>
        <v>1.5707619672807311</v>
      </c>
      <c r="K145" s="281">
        <f t="shared" si="72"/>
        <v>4.4780323531337194</v>
      </c>
      <c r="L145" s="282">
        <f t="shared" si="73"/>
        <v>1.3455849909911586</v>
      </c>
      <c r="M145" s="270">
        <f t="shared" si="74"/>
        <v>1.0220233504839336</v>
      </c>
      <c r="N145" s="273">
        <f t="shared" si="75"/>
        <v>0.20797410276418737</v>
      </c>
      <c r="O145" s="270">
        <f t="shared" si="76"/>
        <v>2286.4817388476768</v>
      </c>
      <c r="P145" s="273">
        <f t="shared" si="77"/>
        <v>1.5703589736269752</v>
      </c>
      <c r="Q145" s="271">
        <f t="shared" si="78"/>
        <v>1.003196814666385</v>
      </c>
      <c r="R145" s="272">
        <f t="shared" si="79"/>
        <v>7.985388507448285E-2</v>
      </c>
      <c r="S145" s="270">
        <f t="shared" si="80"/>
        <v>1.0000001675947936</v>
      </c>
      <c r="T145" s="273">
        <f t="shared" si="81"/>
        <v>5.7895555988263182E-4</v>
      </c>
      <c r="U145" s="274">
        <f t="shared" si="82"/>
        <v>1.001530883508899</v>
      </c>
      <c r="V145" s="275">
        <f t="shared" si="83"/>
        <v>8.0682506112626243E-2</v>
      </c>
      <c r="W145" s="276">
        <f t="shared" si="84"/>
        <v>-6.4414546226422855</v>
      </c>
      <c r="X145" s="277">
        <f t="shared" si="93"/>
        <v>-115.03010231434877</v>
      </c>
      <c r="Y145" s="299">
        <f t="shared" si="92"/>
        <v>64.969897685651233</v>
      </c>
      <c r="AB145" s="278">
        <f t="shared" si="85"/>
        <v>-0.88350653426281345</v>
      </c>
      <c r="AC145" s="279">
        <f t="shared" si="86"/>
        <v>-24.817728721317927</v>
      </c>
      <c r="AF145" s="278">
        <f t="shared" si="87"/>
        <v>56.245584518602286</v>
      </c>
      <c r="AG145" s="279">
        <f t="shared" si="88"/>
        <v>-90.212373593030804</v>
      </c>
      <c r="AI145">
        <f t="shared" si="89"/>
        <v>0</v>
      </c>
      <c r="AJ145">
        <f t="shared" si="63"/>
        <v>0</v>
      </c>
      <c r="AK145">
        <f t="shared" si="90"/>
        <v>0</v>
      </c>
      <c r="AL145">
        <f t="shared" si="91"/>
        <v>0</v>
      </c>
      <c r="AM145"/>
      <c r="AN145"/>
    </row>
    <row r="146" spans="2:40" x14ac:dyDescent="0.2">
      <c r="B146" s="280">
        <v>8317.6</v>
      </c>
      <c r="C146" s="270">
        <f t="shared" si="64"/>
        <v>6.8671336016022915</v>
      </c>
      <c r="D146" s="271">
        <f t="shared" si="65"/>
        <v>1.4246555248665267</v>
      </c>
      <c r="E146" s="271">
        <f t="shared" si="66"/>
        <v>1.0000923107871638</v>
      </c>
      <c r="F146" s="272">
        <f t="shared" si="67"/>
        <v>1.3587029598500246E-2</v>
      </c>
      <c r="G146" s="271">
        <f t="shared" si="68"/>
        <v>1.0035362496527493</v>
      </c>
      <c r="H146" s="272">
        <f t="shared" si="69"/>
        <v>-8.3974521345859532E-2</v>
      </c>
      <c r="I146" s="270">
        <f t="shared" si="70"/>
        <v>29270.562325097613</v>
      </c>
      <c r="J146" s="273">
        <f t="shared" si="71"/>
        <v>1.5707621627775099</v>
      </c>
      <c r="K146" s="281">
        <f t="shared" si="72"/>
        <v>4.5023825951155674</v>
      </c>
      <c r="L146" s="282">
        <f t="shared" si="73"/>
        <v>1.3468238453815504</v>
      </c>
      <c r="M146" s="270">
        <f t="shared" si="74"/>
        <v>1.022273366079923</v>
      </c>
      <c r="N146" s="273">
        <f t="shared" si="75"/>
        <v>0.20912988943756367</v>
      </c>
      <c r="O146" s="270">
        <f t="shared" si="76"/>
        <v>2299.56567229029</v>
      </c>
      <c r="P146" s="273">
        <f t="shared" si="77"/>
        <v>1.570361462053451</v>
      </c>
      <c r="Q146" s="271">
        <f t="shared" si="78"/>
        <v>1.0032334464854804</v>
      </c>
      <c r="R146" s="272">
        <f t="shared" si="79"/>
        <v>8.0308876361145587E-2</v>
      </c>
      <c r="S146" s="270">
        <f t="shared" si="80"/>
        <v>1.0000001695183369</v>
      </c>
      <c r="T146" s="273">
        <f t="shared" si="81"/>
        <v>5.8226851691201757E-4</v>
      </c>
      <c r="U146" s="274">
        <f t="shared" si="82"/>
        <v>1.0015484576948765</v>
      </c>
      <c r="V146" s="275">
        <f t="shared" si="83"/>
        <v>8.1143781782844634E-2</v>
      </c>
      <c r="W146" s="276">
        <f t="shared" si="84"/>
        <v>-6.4943387228667371</v>
      </c>
      <c r="X146" s="277">
        <f t="shared" si="93"/>
        <v>-115.12183176522967</v>
      </c>
      <c r="Y146" s="299">
        <f t="shared" si="92"/>
        <v>64.878168234770328</v>
      </c>
      <c r="AB146" s="278">
        <f t="shared" si="85"/>
        <v>-0.88808929161956385</v>
      </c>
      <c r="AC146" s="279">
        <f t="shared" si="86"/>
        <v>-24.812980492859477</v>
      </c>
      <c r="AF146" s="278">
        <f t="shared" si="87"/>
        <v>56.197283175734583</v>
      </c>
      <c r="AG146" s="279">
        <f t="shared" si="88"/>
        <v>-90.308851272370219</v>
      </c>
      <c r="AI146">
        <f t="shared" si="89"/>
        <v>0</v>
      </c>
      <c r="AJ146">
        <f t="shared" si="63"/>
        <v>0</v>
      </c>
      <c r="AK146">
        <f t="shared" si="90"/>
        <v>0</v>
      </c>
      <c r="AL146">
        <f t="shared" si="91"/>
        <v>0</v>
      </c>
      <c r="AM146"/>
      <c r="AN146"/>
    </row>
    <row r="147" spans="2:40" x14ac:dyDescent="0.2">
      <c r="B147" s="280">
        <v>8366.0499999999993</v>
      </c>
      <c r="C147" s="270">
        <f t="shared" si="64"/>
        <v>6.9062887997884044</v>
      </c>
      <c r="D147" s="271">
        <f t="shared" si="65"/>
        <v>1.4254899681444262</v>
      </c>
      <c r="E147" s="271">
        <f t="shared" si="66"/>
        <v>1.0000933892891926</v>
      </c>
      <c r="F147" s="272">
        <f t="shared" si="67"/>
        <v>1.3666164187915893E-2</v>
      </c>
      <c r="G147" s="271">
        <f t="shared" si="68"/>
        <v>1.0035774932870591</v>
      </c>
      <c r="H147" s="272">
        <f t="shared" si="69"/>
        <v>-8.4461356410448454E-2</v>
      </c>
      <c r="I147" s="270">
        <f t="shared" si="70"/>
        <v>29441.06328006064</v>
      </c>
      <c r="J147" s="273">
        <f t="shared" si="71"/>
        <v>1.5707623606303367</v>
      </c>
      <c r="K147" s="281">
        <f t="shared" si="72"/>
        <v>4.5273187664581629</v>
      </c>
      <c r="L147" s="282">
        <f t="shared" si="73"/>
        <v>1.3480783422419902</v>
      </c>
      <c r="M147" s="270">
        <f t="shared" si="74"/>
        <v>1.022530738969617</v>
      </c>
      <c r="N147" s="273">
        <f t="shared" si="75"/>
        <v>0.21031256409774499</v>
      </c>
      <c r="O147" s="270">
        <f t="shared" si="76"/>
        <v>2312.9606342762322</v>
      </c>
      <c r="P147" s="273">
        <f t="shared" si="77"/>
        <v>1.5703639804694405</v>
      </c>
      <c r="Q147" s="271">
        <f t="shared" si="78"/>
        <v>1.003271164243341</v>
      </c>
      <c r="R147" s="272">
        <f t="shared" si="79"/>
        <v>8.0774649086612971E-2</v>
      </c>
      <c r="S147" s="270">
        <f t="shared" si="80"/>
        <v>1.0000001714989764</v>
      </c>
      <c r="T147" s="273">
        <f t="shared" si="81"/>
        <v>5.8566022884962111E-4</v>
      </c>
      <c r="U147" s="274">
        <f t="shared" si="82"/>
        <v>1.0015665536203568</v>
      </c>
      <c r="V147" s="275">
        <f t="shared" si="83"/>
        <v>8.1616015466905487E-2</v>
      </c>
      <c r="W147" s="276">
        <f t="shared" si="84"/>
        <v>-6.5481755765689886</v>
      </c>
      <c r="X147" s="277">
        <f t="shared" si="93"/>
        <v>-115.21595458405172</v>
      </c>
      <c r="Y147" s="299">
        <f t="shared" si="92"/>
        <v>64.784045415948285</v>
      </c>
      <c r="AB147" s="278">
        <f t="shared" si="85"/>
        <v>-0.89275077572110129</v>
      </c>
      <c r="AC147" s="279">
        <f t="shared" si="86"/>
        <v>-24.808876720041262</v>
      </c>
      <c r="AF147" s="278">
        <f t="shared" si="87"/>
        <v>56.148107806133879</v>
      </c>
      <c r="AG147" s="279">
        <f t="shared" si="88"/>
        <v>-90.407077864010418</v>
      </c>
      <c r="AI147">
        <f t="shared" si="89"/>
        <v>0</v>
      </c>
      <c r="AJ147">
        <f t="shared" si="63"/>
        <v>0</v>
      </c>
      <c r="AK147">
        <f t="shared" si="90"/>
        <v>0</v>
      </c>
      <c r="AL147">
        <f t="shared" si="91"/>
        <v>0</v>
      </c>
      <c r="AM147"/>
      <c r="AN147"/>
    </row>
    <row r="148" spans="2:40" x14ac:dyDescent="0.2">
      <c r="B148" s="280">
        <v>8414.5</v>
      </c>
      <c r="C148" s="270">
        <f t="shared" si="64"/>
        <v>6.9454487525712256</v>
      </c>
      <c r="D148" s="271">
        <f t="shared" si="65"/>
        <v>1.4263150024455231</v>
      </c>
      <c r="E148" s="271">
        <f t="shared" si="66"/>
        <v>1.0000944740540758</v>
      </c>
      <c r="F148" s="272">
        <f t="shared" si="67"/>
        <v>1.3745298606158472E-2</v>
      </c>
      <c r="G148" s="271">
        <f t="shared" si="68"/>
        <v>1.0036189747580628</v>
      </c>
      <c r="H148" s="272">
        <f t="shared" si="69"/>
        <v>-8.49481513467754E-2</v>
      </c>
      <c r="I148" s="270">
        <f t="shared" si="70"/>
        <v>29611.56423502482</v>
      </c>
      <c r="J148" s="273">
        <f t="shared" si="71"/>
        <v>1.5707625562047227</v>
      </c>
      <c r="K148" s="281">
        <f t="shared" si="72"/>
        <v>4.5522619846610244</v>
      </c>
      <c r="L148" s="282">
        <f t="shared" si="73"/>
        <v>1.3493190935029709</v>
      </c>
      <c r="M148" s="270">
        <f t="shared" si="74"/>
        <v>1.0227895413718739</v>
      </c>
      <c r="N148" s="273">
        <f t="shared" si="75"/>
        <v>0.21149464189249345</v>
      </c>
      <c r="O148" s="270">
        <f t="shared" si="76"/>
        <v>2326.3555962766759</v>
      </c>
      <c r="P148" s="273">
        <f t="shared" si="77"/>
        <v>1.5703664698837707</v>
      </c>
      <c r="Q148" s="271">
        <f t="shared" si="78"/>
        <v>1.0033090996387013</v>
      </c>
      <c r="R148" s="272">
        <f t="shared" si="79"/>
        <v>8.1240386691121186E-2</v>
      </c>
      <c r="S148" s="270">
        <f t="shared" si="80"/>
        <v>1.0000001734911195</v>
      </c>
      <c r="T148" s="273">
        <f t="shared" si="81"/>
        <v>5.8905194077375029E-4</v>
      </c>
      <c r="U148" s="274">
        <f t="shared" si="82"/>
        <v>1.0015847547382586</v>
      </c>
      <c r="V148" s="275">
        <f t="shared" si="83"/>
        <v>8.208824168716751E-2</v>
      </c>
      <c r="W148" s="276">
        <f t="shared" si="84"/>
        <v>-6.6017083267494128</v>
      </c>
      <c r="X148" s="277">
        <f t="shared" si="93"/>
        <v>-115.31028882761724</v>
      </c>
      <c r="Y148" s="299">
        <f t="shared" si="92"/>
        <v>64.689711172382758</v>
      </c>
      <c r="AB148" s="278">
        <f t="shared" si="85"/>
        <v>-0.89738259588954261</v>
      </c>
      <c r="AC148" s="279">
        <f t="shared" si="86"/>
        <v>-24.805526183643654</v>
      </c>
      <c r="AF148" s="278">
        <f t="shared" si="87"/>
        <v>56.09920687612189</v>
      </c>
      <c r="AG148" s="279">
        <f t="shared" si="88"/>
        <v>-90.504762643973592</v>
      </c>
      <c r="AI148">
        <f t="shared" si="89"/>
        <v>0</v>
      </c>
      <c r="AJ148">
        <f t="shared" si="63"/>
        <v>0</v>
      </c>
      <c r="AK148">
        <f t="shared" si="90"/>
        <v>0</v>
      </c>
      <c r="AL148">
        <f t="shared" si="91"/>
        <v>0</v>
      </c>
      <c r="AM148"/>
      <c r="AN148"/>
    </row>
    <row r="149" spans="2:40" x14ac:dyDescent="0.2">
      <c r="B149" s="280">
        <v>8462.9500000000007</v>
      </c>
      <c r="C149" s="270">
        <f t="shared" si="64"/>
        <v>6.9846133799793479</v>
      </c>
      <c r="D149" s="271">
        <f t="shared" si="65"/>
        <v>1.4271307849131716</v>
      </c>
      <c r="E149" s="271">
        <f t="shared" si="66"/>
        <v>1.0000955650817931</v>
      </c>
      <c r="F149" s="272">
        <f t="shared" si="67"/>
        <v>1.3824432852237424E-2</v>
      </c>
      <c r="G149" s="271">
        <f t="shared" si="68"/>
        <v>1.0036606940362709</v>
      </c>
      <c r="H149" s="272">
        <f t="shared" si="69"/>
        <v>-8.5434905929119301E-2</v>
      </c>
      <c r="I149" s="270">
        <f t="shared" si="70"/>
        <v>29782.065189990113</v>
      </c>
      <c r="J149" s="273">
        <f t="shared" si="71"/>
        <v>1.5707627495398</v>
      </c>
      <c r="K149" s="281">
        <f t="shared" si="72"/>
        <v>4.5772121345199377</v>
      </c>
      <c r="L149" s="282">
        <f t="shared" si="73"/>
        <v>1.3505463200924339</v>
      </c>
      <c r="M149" s="270">
        <f t="shared" si="74"/>
        <v>1.0230497722018164</v>
      </c>
      <c r="N149" s="273">
        <f t="shared" si="75"/>
        <v>0.21267611997258409</v>
      </c>
      <c r="O149" s="270">
        <f t="shared" si="76"/>
        <v>2339.7505582913718</v>
      </c>
      <c r="P149" s="273">
        <f t="shared" si="77"/>
        <v>1.5703689307945405</v>
      </c>
      <c r="Q149" s="271">
        <f t="shared" si="78"/>
        <v>1.0033472526468756</v>
      </c>
      <c r="R149" s="272">
        <f t="shared" si="79"/>
        <v>8.1706088976617727E-2</v>
      </c>
      <c r="S149" s="270">
        <f t="shared" si="80"/>
        <v>1.0000001754947665</v>
      </c>
      <c r="T149" s="273">
        <f t="shared" si="81"/>
        <v>5.9244365268432684E-4</v>
      </c>
      <c r="U149" s="274">
        <f t="shared" si="82"/>
        <v>1.0016030610501372</v>
      </c>
      <c r="V149" s="275">
        <f t="shared" si="83"/>
        <v>8.2560460400553537E-2</v>
      </c>
      <c r="W149" s="276">
        <f t="shared" si="84"/>
        <v>-6.6549407999858161</v>
      </c>
      <c r="X149" s="277">
        <f t="shared" si="93"/>
        <v>-115.40483066498797</v>
      </c>
      <c r="Y149" s="299">
        <f t="shared" si="92"/>
        <v>64.595169335012031</v>
      </c>
      <c r="AB149" s="278">
        <f t="shared" si="85"/>
        <v>-0.90198563854821889</v>
      </c>
      <c r="AC149" s="279">
        <f t="shared" si="86"/>
        <v>-24.802916064421563</v>
      </c>
      <c r="AF149" s="278">
        <f t="shared" si="87"/>
        <v>56.050577445544157</v>
      </c>
      <c r="AG149" s="279">
        <f t="shared" si="88"/>
        <v>-90.601914600566403</v>
      </c>
      <c r="AI149">
        <f t="shared" si="89"/>
        <v>0</v>
      </c>
      <c r="AJ149">
        <f t="shared" si="63"/>
        <v>0</v>
      </c>
      <c r="AK149">
        <f t="shared" si="90"/>
        <v>0</v>
      </c>
      <c r="AL149">
        <f t="shared" si="91"/>
        <v>0</v>
      </c>
      <c r="AM149"/>
      <c r="AN149"/>
    </row>
    <row r="150" spans="2:40" x14ac:dyDescent="0.2">
      <c r="B150" s="280">
        <v>8511.4</v>
      </c>
      <c r="C150" s="270">
        <f t="shared" si="64"/>
        <v>7.0237826038156062</v>
      </c>
      <c r="D150" s="271">
        <f t="shared" si="65"/>
        <v>1.4279374692352749</v>
      </c>
      <c r="E150" s="271">
        <f t="shared" si="66"/>
        <v>1.0000966623723242</v>
      </c>
      <c r="F150" s="272">
        <f t="shared" si="67"/>
        <v>1.3903566925162194E-2</v>
      </c>
      <c r="G150" s="271">
        <f t="shared" si="68"/>
        <v>1.0037026510920295</v>
      </c>
      <c r="H150" s="272">
        <f t="shared" si="69"/>
        <v>-8.5921619931873042E-2</v>
      </c>
      <c r="I150" s="270">
        <f t="shared" si="70"/>
        <v>29952.566144956498</v>
      </c>
      <c r="J150" s="273">
        <f t="shared" si="71"/>
        <v>1.5707629406738095</v>
      </c>
      <c r="K150" s="281">
        <f t="shared" si="72"/>
        <v>4.602169103297288</v>
      </c>
      <c r="L150" s="282">
        <f t="shared" si="73"/>
        <v>1.3517602383110245</v>
      </c>
      <c r="M150" s="270">
        <f t="shared" si="74"/>
        <v>1.0233114303696855</v>
      </c>
      <c r="N150" s="273">
        <f t="shared" si="75"/>
        <v>0.21385699549837933</v>
      </c>
      <c r="O150" s="270">
        <f t="shared" si="76"/>
        <v>2353.1455203200753</v>
      </c>
      <c r="P150" s="273">
        <f t="shared" si="77"/>
        <v>1.5703713636885084</v>
      </c>
      <c r="Q150" s="271">
        <f t="shared" si="78"/>
        <v>1.0033856232430403</v>
      </c>
      <c r="R150" s="272">
        <f t="shared" si="79"/>
        <v>8.2171755745141323E-2</v>
      </c>
      <c r="S150" s="270">
        <f t="shared" si="80"/>
        <v>1.0000001775099172</v>
      </c>
      <c r="T150" s="273">
        <f t="shared" si="81"/>
        <v>5.9583536458127258E-4</v>
      </c>
      <c r="U150" s="274">
        <f t="shared" si="82"/>
        <v>1.0016214725575565</v>
      </c>
      <c r="V150" s="275">
        <f t="shared" si="83"/>
        <v>8.3032671563989052E-2</v>
      </c>
      <c r="W150" s="276">
        <f t="shared" si="84"/>
        <v>-6.7078767523047986</v>
      </c>
      <c r="X150" s="277">
        <f t="shared" si="93"/>
        <v>-115.49957633287227</v>
      </c>
      <c r="Y150" s="299">
        <f t="shared" si="92"/>
        <v>64.500423667127734</v>
      </c>
      <c r="AB150" s="278">
        <f t="shared" si="85"/>
        <v>-0.90656076558218002</v>
      </c>
      <c r="AC150" s="279">
        <f t="shared" si="86"/>
        <v>-24.801033808752702</v>
      </c>
      <c r="AF150" s="278">
        <f t="shared" si="87"/>
        <v>56.002216620259148</v>
      </c>
      <c r="AG150" s="279">
        <f t="shared" si="88"/>
        <v>-90.69854252411956</v>
      </c>
      <c r="AI150">
        <f t="shared" si="89"/>
        <v>0</v>
      </c>
      <c r="AJ150">
        <f t="shared" si="63"/>
        <v>0</v>
      </c>
      <c r="AK150">
        <f t="shared" si="90"/>
        <v>0</v>
      </c>
      <c r="AL150">
        <f t="shared" si="91"/>
        <v>0</v>
      </c>
      <c r="AM150"/>
      <c r="AN150"/>
    </row>
    <row r="151" spans="2:40" x14ac:dyDescent="0.2">
      <c r="B151" s="280">
        <v>8560.9500000000007</v>
      </c>
      <c r="C151" s="270">
        <f t="shared" si="64"/>
        <v>7.0638457930587926</v>
      </c>
      <c r="D151" s="271">
        <f t="shared" si="65"/>
        <v>1.4287532146790087</v>
      </c>
      <c r="E151" s="271">
        <f t="shared" si="66"/>
        <v>1.0000977910532312</v>
      </c>
      <c r="F151" s="272">
        <f t="shared" si="67"/>
        <v>1.3984497463577513E-2</v>
      </c>
      <c r="G151" s="271">
        <f t="shared" si="68"/>
        <v>1.0037458066386069</v>
      </c>
      <c r="H151" s="272">
        <f t="shared" si="69"/>
        <v>-8.641934199393253E-2</v>
      </c>
      <c r="I151" s="270">
        <f t="shared" si="70"/>
        <v>30126.938122637388</v>
      </c>
      <c r="J151" s="273">
        <f t="shared" si="71"/>
        <v>1.5707631339096417</v>
      </c>
      <c r="K151" s="281">
        <f t="shared" si="72"/>
        <v>4.6276996284883234</v>
      </c>
      <c r="L151" s="282">
        <f t="shared" si="73"/>
        <v>1.3529881727718895</v>
      </c>
      <c r="M151" s="270">
        <f t="shared" si="74"/>
        <v>1.0235805043511252</v>
      </c>
      <c r="N151" s="273">
        <f t="shared" si="75"/>
        <v>0.21506405522838865</v>
      </c>
      <c r="O151" s="270">
        <f t="shared" si="76"/>
        <v>2366.8445991479857</v>
      </c>
      <c r="P151" s="273">
        <f t="shared" si="77"/>
        <v>1.5703738233360252</v>
      </c>
      <c r="Q151" s="271">
        <f t="shared" si="78"/>
        <v>1.0034250900264232</v>
      </c>
      <c r="R151" s="272">
        <f t="shared" si="79"/>
        <v>8.2647957985507767E-2</v>
      </c>
      <c r="S151" s="270">
        <f t="shared" si="80"/>
        <v>1.0000001795827178</v>
      </c>
      <c r="T151" s="273">
        <f t="shared" si="81"/>
        <v>5.9930408127490873E-4</v>
      </c>
      <c r="U151" s="274">
        <f t="shared" si="82"/>
        <v>1.0016404108832995</v>
      </c>
      <c r="V151" s="275">
        <f t="shared" si="83"/>
        <v>8.3515595870008716E-2</v>
      </c>
      <c r="W151" s="276">
        <f t="shared" si="84"/>
        <v>-6.7617116994647937</v>
      </c>
      <c r="X151" s="277">
        <f t="shared" si="93"/>
        <v>-115.59668006137721</v>
      </c>
      <c r="Y151" s="299">
        <f t="shared" si="92"/>
        <v>64.403319938622786</v>
      </c>
      <c r="AB151" s="278">
        <f t="shared" si="85"/>
        <v>-0.9112117652765851</v>
      </c>
      <c r="AC151" s="279">
        <f t="shared" si="86"/>
        <v>-24.799848846373838</v>
      </c>
      <c r="AF151" s="278">
        <f t="shared" si="87"/>
        <v>55.953032672793555</v>
      </c>
      <c r="AG151" s="279">
        <f t="shared" si="88"/>
        <v>-90.79683121500338</v>
      </c>
      <c r="AI151">
        <f t="shared" si="89"/>
        <v>0</v>
      </c>
      <c r="AJ151">
        <f t="shared" si="63"/>
        <v>0</v>
      </c>
      <c r="AK151">
        <f t="shared" si="90"/>
        <v>0</v>
      </c>
      <c r="AL151">
        <f t="shared" si="91"/>
        <v>0</v>
      </c>
      <c r="AM151"/>
      <c r="AN151"/>
    </row>
    <row r="152" spans="2:40" x14ac:dyDescent="0.2">
      <c r="B152" s="280">
        <v>8610.5</v>
      </c>
      <c r="C152" s="270">
        <f t="shared" si="64"/>
        <v>7.1039136298515384</v>
      </c>
      <c r="D152" s="271">
        <f t="shared" si="65"/>
        <v>1.4295597586407072</v>
      </c>
      <c r="E152" s="271">
        <f t="shared" si="66"/>
        <v>1.0000989262845159</v>
      </c>
      <c r="F152" s="272">
        <f t="shared" si="67"/>
        <v>1.406542781879132E-2</v>
      </c>
      <c r="G152" s="271">
        <f t="shared" si="68"/>
        <v>1.0037892108189572</v>
      </c>
      <c r="H152" s="272">
        <f t="shared" si="69"/>
        <v>-8.6917021135935787E-2</v>
      </c>
      <c r="I152" s="270">
        <f t="shared" si="70"/>
        <v>30301.310100319388</v>
      </c>
      <c r="J152" s="273">
        <f t="shared" si="71"/>
        <v>1.5707633249214836</v>
      </c>
      <c r="K152" s="281">
        <f t="shared" si="72"/>
        <v>4.6532370548568887</v>
      </c>
      <c r="L152" s="282">
        <f t="shared" si="73"/>
        <v>1.3542026309950672</v>
      </c>
      <c r="M152" s="270">
        <f t="shared" si="74"/>
        <v>1.0238510688972533</v>
      </c>
      <c r="N152" s="273">
        <f t="shared" si="75"/>
        <v>0.21627047875624775</v>
      </c>
      <c r="O152" s="270">
        <f t="shared" si="76"/>
        <v>2380.5436779900501</v>
      </c>
      <c r="P152" s="273">
        <f t="shared" si="77"/>
        <v>1.570376254674962</v>
      </c>
      <c r="Q152" s="271">
        <f t="shared" si="78"/>
        <v>1.003464784337154</v>
      </c>
      <c r="R152" s="272">
        <f t="shared" si="79"/>
        <v>8.312412265934091E-2</v>
      </c>
      <c r="S152" s="270">
        <f t="shared" si="80"/>
        <v>1.0000001816675506</v>
      </c>
      <c r="T152" s="273">
        <f t="shared" si="81"/>
        <v>6.0277279795412303E-4</v>
      </c>
      <c r="U152" s="274">
        <f t="shared" si="82"/>
        <v>1.0016594592388264</v>
      </c>
      <c r="V152" s="275">
        <f t="shared" si="83"/>
        <v>8.3998512188240768E-2</v>
      </c>
      <c r="W152" s="276">
        <f t="shared" si="84"/>
        <v>-6.8152442362104217</v>
      </c>
      <c r="X152" s="277">
        <f t="shared" si="93"/>
        <v>-115.6939892299082</v>
      </c>
      <c r="Y152" s="299">
        <f t="shared" si="92"/>
        <v>64.306010770091802</v>
      </c>
      <c r="AB152" s="278">
        <f t="shared" si="85"/>
        <v>-0.91583531555370035</v>
      </c>
      <c r="AC152" s="279">
        <f t="shared" si="86"/>
        <v>-24.799399436414785</v>
      </c>
      <c r="AF152" s="278">
        <f t="shared" si="87"/>
        <v>55.904123686325036</v>
      </c>
      <c r="AG152" s="279">
        <f t="shared" si="88"/>
        <v>-90.894589793493395</v>
      </c>
      <c r="AI152">
        <f t="shared" si="89"/>
        <v>0</v>
      </c>
      <c r="AJ152">
        <f t="shared" si="63"/>
        <v>0</v>
      </c>
      <c r="AK152">
        <f t="shared" si="90"/>
        <v>0</v>
      </c>
      <c r="AL152">
        <f t="shared" si="91"/>
        <v>0</v>
      </c>
      <c r="AM152"/>
      <c r="AN152"/>
    </row>
    <row r="153" spans="2:40" x14ac:dyDescent="0.2">
      <c r="B153" s="280">
        <v>8660.0499999999993</v>
      </c>
      <c r="C153" s="270">
        <f t="shared" si="64"/>
        <v>7.1439860359949572</v>
      </c>
      <c r="D153" s="271">
        <f t="shared" si="65"/>
        <v>1.4303572549023562</v>
      </c>
      <c r="E153" s="271">
        <f t="shared" si="66"/>
        <v>1.000100068066156</v>
      </c>
      <c r="F153" s="272">
        <f t="shared" si="67"/>
        <v>1.4146357989744101E-2</v>
      </c>
      <c r="G153" s="271">
        <f t="shared" si="68"/>
        <v>1.0038328636008289</v>
      </c>
      <c r="H153" s="272">
        <f t="shared" si="69"/>
        <v>-8.7414657116931485E-2</v>
      </c>
      <c r="I153" s="270">
        <f t="shared" si="70"/>
        <v>30475.682078002475</v>
      </c>
      <c r="J153" s="273">
        <f t="shared" si="71"/>
        <v>1.5707635137475096</v>
      </c>
      <c r="K153" s="281">
        <f t="shared" si="72"/>
        <v>4.6787812694002806</v>
      </c>
      <c r="L153" s="282">
        <f t="shared" si="73"/>
        <v>1.355403830092569</v>
      </c>
      <c r="M153" s="270">
        <f t="shared" si="74"/>
        <v>1.024123122826686</v>
      </c>
      <c r="N153" s="273">
        <f t="shared" si="75"/>
        <v>0.21747626307579457</v>
      </c>
      <c r="O153" s="270">
        <f t="shared" si="76"/>
        <v>2394.2427568460262</v>
      </c>
      <c r="P153" s="273">
        <f t="shared" si="77"/>
        <v>1.5703786581912369</v>
      </c>
      <c r="Q153" s="271">
        <f t="shared" si="78"/>
        <v>1.0035047061482321</v>
      </c>
      <c r="R153" s="272">
        <f t="shared" si="79"/>
        <v>8.3600249555187259E-2</v>
      </c>
      <c r="S153" s="270">
        <f t="shared" si="80"/>
        <v>1.000000183764415</v>
      </c>
      <c r="T153" s="273">
        <f t="shared" si="81"/>
        <v>6.0624151461883234E-4</v>
      </c>
      <c r="U153" s="274">
        <f t="shared" si="82"/>
        <v>1.001678617625839</v>
      </c>
      <c r="V153" s="275">
        <f t="shared" si="83"/>
        <v>8.4481420472618071E-2</v>
      </c>
      <c r="W153" s="276">
        <f t="shared" si="84"/>
        <v>-6.8684781622699695</v>
      </c>
      <c r="X153" s="277">
        <f t="shared" si="93"/>
        <v>-115.79150002348453</v>
      </c>
      <c r="Y153" s="299">
        <f t="shared" si="92"/>
        <v>64.208499976515469</v>
      </c>
      <c r="AB153" s="278">
        <f t="shared" si="85"/>
        <v>-0.92043226371790055</v>
      </c>
      <c r="AC153" s="279">
        <f t="shared" si="86"/>
        <v>-24.799672969220438</v>
      </c>
      <c r="AF153" s="278">
        <f t="shared" si="87"/>
        <v>55.855486708429687</v>
      </c>
      <c r="AG153" s="279">
        <f t="shared" si="88"/>
        <v>-90.991827054264107</v>
      </c>
      <c r="AI153">
        <f t="shared" si="89"/>
        <v>0</v>
      </c>
      <c r="AJ153">
        <f t="shared" si="63"/>
        <v>0</v>
      </c>
      <c r="AK153">
        <f t="shared" si="90"/>
        <v>0</v>
      </c>
      <c r="AL153">
        <f t="shared" si="91"/>
        <v>0</v>
      </c>
      <c r="AM153"/>
      <c r="AN153"/>
    </row>
    <row r="154" spans="2:40" x14ac:dyDescent="0.2">
      <c r="B154" s="280">
        <v>8709.6</v>
      </c>
      <c r="C154" s="270">
        <f t="shared" si="64"/>
        <v>7.1840629350261027</v>
      </c>
      <c r="D154" s="271">
        <f t="shared" si="65"/>
        <v>1.4311458538610233</v>
      </c>
      <c r="E154" s="271">
        <f t="shared" si="66"/>
        <v>1.0001012163981293</v>
      </c>
      <c r="F154" s="272">
        <f t="shared" si="67"/>
        <v>1.4227287975376353E-2</v>
      </c>
      <c r="G154" s="271">
        <f t="shared" si="68"/>
        <v>1.003876764951791</v>
      </c>
      <c r="H154" s="272">
        <f t="shared" si="69"/>
        <v>-8.7912249696095499E-2</v>
      </c>
      <c r="I154" s="270">
        <f t="shared" si="70"/>
        <v>30650.054055686647</v>
      </c>
      <c r="J154" s="273">
        <f t="shared" si="71"/>
        <v>1.5707637004250259</v>
      </c>
      <c r="K154" s="281">
        <f t="shared" si="72"/>
        <v>4.7043321615404725</v>
      </c>
      <c r="L154" s="282">
        <f t="shared" si="73"/>
        <v>1.3565919826144961</v>
      </c>
      <c r="M154" s="270">
        <f t="shared" si="74"/>
        <v>1.024396664952796</v>
      </c>
      <c r="N154" s="273">
        <f t="shared" si="75"/>
        <v>0.21868140519148652</v>
      </c>
      <c r="O154" s="270">
        <f t="shared" si="76"/>
        <v>2407.941835715676</v>
      </c>
      <c r="P154" s="273">
        <f t="shared" si="77"/>
        <v>1.5703810343597089</v>
      </c>
      <c r="Q154" s="271">
        <f t="shared" si="78"/>
        <v>1.0035448554325073</v>
      </c>
      <c r="R154" s="272">
        <f t="shared" si="79"/>
        <v>8.4076338461695377E-2</v>
      </c>
      <c r="S154" s="270">
        <f t="shared" si="80"/>
        <v>1.0000001858733119</v>
      </c>
      <c r="T154" s="273">
        <f t="shared" si="81"/>
        <v>6.0971023126895306E-4</v>
      </c>
      <c r="U154" s="274">
        <f t="shared" si="82"/>
        <v>1.0016978860460488</v>
      </c>
      <c r="V154" s="275">
        <f t="shared" si="83"/>
        <v>8.4964320677076419E-2</v>
      </c>
      <c r="W154" s="276">
        <f t="shared" si="84"/>
        <v>-6.9214172074300295</v>
      </c>
      <c r="X154" s="277">
        <f t="shared" si="93"/>
        <v>-115.88920869512859</v>
      </c>
      <c r="Y154" s="299">
        <f t="shared" si="92"/>
        <v>64.110791304871412</v>
      </c>
      <c r="AB154" s="278">
        <f t="shared" si="85"/>
        <v>-0.92500343350992498</v>
      </c>
      <c r="AC154" s="279">
        <f t="shared" si="86"/>
        <v>-24.800657097072627</v>
      </c>
      <c r="AF154" s="278">
        <f t="shared" si="87"/>
        <v>55.807118833061658</v>
      </c>
      <c r="AG154" s="279">
        <f t="shared" si="88"/>
        <v>-91.088551598055957</v>
      </c>
      <c r="AI154">
        <f t="shared" si="89"/>
        <v>0</v>
      </c>
      <c r="AJ154">
        <f t="shared" ref="AJ154:AJ217" si="94">IF(AI154&gt;0,Y154,0)</f>
        <v>0</v>
      </c>
      <c r="AK154">
        <f t="shared" si="90"/>
        <v>0</v>
      </c>
      <c r="AL154">
        <f t="shared" si="91"/>
        <v>0</v>
      </c>
      <c r="AM154"/>
      <c r="AN154"/>
    </row>
    <row r="155" spans="2:40" x14ac:dyDescent="0.2">
      <c r="B155" s="280">
        <v>8760.3250000000007</v>
      </c>
      <c r="C155" s="270">
        <f t="shared" si="64"/>
        <v>7.2250947703339143</v>
      </c>
      <c r="D155" s="271">
        <f t="shared" si="65"/>
        <v>1.4319440904783627</v>
      </c>
      <c r="E155" s="271">
        <f t="shared" si="66"/>
        <v>1.0001023987461291</v>
      </c>
      <c r="F155" s="272">
        <f t="shared" si="67"/>
        <v>1.4310136894741541E-2</v>
      </c>
      <c r="G155" s="271">
        <f t="shared" si="68"/>
        <v>1.0039219648005286</v>
      </c>
      <c r="H155" s="272">
        <f t="shared" si="69"/>
        <v>-8.842159668833087E-2</v>
      </c>
      <c r="I155" s="270">
        <f t="shared" si="70"/>
        <v>30828.560989452209</v>
      </c>
      <c r="J155" s="273">
        <f t="shared" si="71"/>
        <v>1.570763889341831</v>
      </c>
      <c r="K155" s="281">
        <f t="shared" si="72"/>
        <v>4.7304957567660102</v>
      </c>
      <c r="L155" s="282">
        <f t="shared" si="73"/>
        <v>1.3577950132280605</v>
      </c>
      <c r="M155" s="270">
        <f t="shared" si="74"/>
        <v>1.0246782340045311</v>
      </c>
      <c r="N155" s="273">
        <f t="shared" si="75"/>
        <v>0.21991445700530496</v>
      </c>
      <c r="O155" s="270">
        <f t="shared" si="76"/>
        <v>2421.9657666208795</v>
      </c>
      <c r="P155" s="273">
        <f t="shared" si="77"/>
        <v>1.5703834390314961</v>
      </c>
      <c r="Q155" s="271">
        <f t="shared" si="78"/>
        <v>1.0035861923935561</v>
      </c>
      <c r="R155" s="272">
        <f t="shared" si="79"/>
        <v>8.4563677492918959E-2</v>
      </c>
      <c r="S155" s="270">
        <f t="shared" si="80"/>
        <v>1.0000001880446809</v>
      </c>
      <c r="T155" s="273">
        <f t="shared" si="81"/>
        <v>6.1326120304139049E-4</v>
      </c>
      <c r="U155" s="274">
        <f t="shared" si="82"/>
        <v>1.0017177253662419</v>
      </c>
      <c r="V155" s="275">
        <f t="shared" si="83"/>
        <v>8.5458663679596786E-2</v>
      </c>
      <c r="W155" s="276">
        <f t="shared" si="84"/>
        <v>-6.97530998805897</v>
      </c>
      <c r="X155" s="277">
        <f t="shared" si="93"/>
        <v>-115.98943550378316</v>
      </c>
      <c r="Y155" s="299">
        <f t="shared" si="92"/>
        <v>64.010564496216844</v>
      </c>
      <c r="AB155" s="278">
        <f t="shared" si="85"/>
        <v>-0.92965713488051205</v>
      </c>
      <c r="AC155" s="279">
        <f t="shared" si="86"/>
        <v>-24.802388009278708</v>
      </c>
      <c r="AF155" s="278">
        <f t="shared" si="87"/>
        <v>55.757879753803302</v>
      </c>
      <c r="AG155" s="279">
        <f t="shared" si="88"/>
        <v>-91.187047494504469</v>
      </c>
      <c r="AI155">
        <f t="shared" si="89"/>
        <v>0</v>
      </c>
      <c r="AJ155">
        <f t="shared" si="94"/>
        <v>0</v>
      </c>
      <c r="AK155">
        <f t="shared" si="90"/>
        <v>0</v>
      </c>
      <c r="AL155">
        <f t="shared" si="91"/>
        <v>0</v>
      </c>
      <c r="AM155"/>
      <c r="AN155"/>
    </row>
    <row r="156" spans="2:40" x14ac:dyDescent="0.2">
      <c r="B156" s="280">
        <v>8811.0499999999993</v>
      </c>
      <c r="C156" s="270">
        <f t="shared" si="64"/>
        <v>7.2661311573440148</v>
      </c>
      <c r="D156" s="271">
        <f t="shared" si="65"/>
        <v>1.4327333113110383</v>
      </c>
      <c r="E156" s="271">
        <f t="shared" si="66"/>
        <v>1.0001035879587588</v>
      </c>
      <c r="F156" s="272">
        <f t="shared" si="67"/>
        <v>1.4392985617645838E-2</v>
      </c>
      <c r="G156" s="271">
        <f t="shared" si="68"/>
        <v>1.0039674250776263</v>
      </c>
      <c r="H156" s="272">
        <f t="shared" si="69"/>
        <v>-8.8930897685581475E-2</v>
      </c>
      <c r="I156" s="270">
        <f t="shared" si="70"/>
        <v>31007.067923218852</v>
      </c>
      <c r="J156" s="273">
        <f t="shared" si="71"/>
        <v>1.5707640760834571</v>
      </c>
      <c r="K156" s="281">
        <f t="shared" si="72"/>
        <v>4.7566661230347016</v>
      </c>
      <c r="L156" s="282">
        <f t="shared" si="73"/>
        <v>1.3589848078090652</v>
      </c>
      <c r="M156" s="270">
        <f t="shared" si="74"/>
        <v>1.024961360136893</v>
      </c>
      <c r="N156" s="273">
        <f t="shared" si="75"/>
        <v>0.22114682947763725</v>
      </c>
      <c r="O156" s="270">
        <f t="shared" si="76"/>
        <v>2435.9896975399261</v>
      </c>
      <c r="P156" s="273">
        <f t="shared" si="77"/>
        <v>1.5703858160160142</v>
      </c>
      <c r="Q156" s="271">
        <f t="shared" si="78"/>
        <v>1.0036277676859877</v>
      </c>
      <c r="R156" s="272">
        <f t="shared" si="79"/>
        <v>8.5050976263817149E-2</v>
      </c>
      <c r="S156" s="270">
        <f t="shared" si="80"/>
        <v>1.0000001902286597</v>
      </c>
      <c r="T156" s="273">
        <f t="shared" si="81"/>
        <v>6.1681217479836209E-4</v>
      </c>
      <c r="U156" s="274">
        <f t="shared" si="82"/>
        <v>1.0017376800036946</v>
      </c>
      <c r="V156" s="275">
        <f t="shared" si="83"/>
        <v>8.5952998116764406E-2</v>
      </c>
      <c r="W156" s="276">
        <f t="shared" si="84"/>
        <v>-7.0289014296406771</v>
      </c>
      <c r="X156" s="277">
        <f t="shared" si="93"/>
        <v>-116.08986195198146</v>
      </c>
      <c r="Y156" s="299">
        <f t="shared" si="92"/>
        <v>63.910138048018538</v>
      </c>
      <c r="AB156" s="278">
        <f t="shared" si="85"/>
        <v>-0.93428549537872141</v>
      </c>
      <c r="AC156" s="279">
        <f t="shared" si="86"/>
        <v>-24.804838242259393</v>
      </c>
      <c r="AF156" s="278">
        <f t="shared" si="87"/>
        <v>55.708916672719802</v>
      </c>
      <c r="AG156" s="279">
        <f t="shared" si="88"/>
        <v>-91.285023709722054</v>
      </c>
      <c r="AI156">
        <f t="shared" si="89"/>
        <v>0</v>
      </c>
      <c r="AJ156">
        <f t="shared" si="94"/>
        <v>0</v>
      </c>
      <c r="AK156">
        <f t="shared" si="90"/>
        <v>0</v>
      </c>
      <c r="AL156">
        <f t="shared" si="91"/>
        <v>0</v>
      </c>
      <c r="AM156"/>
      <c r="AN156"/>
    </row>
    <row r="157" spans="2:40" x14ac:dyDescent="0.2">
      <c r="B157" s="280">
        <v>8861.7749999999996</v>
      </c>
      <c r="C157" s="270">
        <f t="shared" si="64"/>
        <v>7.3071720193706193</v>
      </c>
      <c r="D157" s="271">
        <f t="shared" si="65"/>
        <v>1.4335136672794571</v>
      </c>
      <c r="E157" s="271">
        <f t="shared" si="66"/>
        <v>1.0001047840359942</v>
      </c>
      <c r="F157" s="272">
        <f t="shared" si="67"/>
        <v>1.4475834142952625E-2</v>
      </c>
      <c r="G157" s="271">
        <f t="shared" si="68"/>
        <v>1.0040131457477082</v>
      </c>
      <c r="H157" s="272">
        <f t="shared" si="69"/>
        <v>-8.9440152429900499E-2</v>
      </c>
      <c r="I157" s="270">
        <f t="shared" si="70"/>
        <v>31185.574856986568</v>
      </c>
      <c r="J157" s="273">
        <f t="shared" si="71"/>
        <v>1.5707642606872569</v>
      </c>
      <c r="K157" s="281">
        <f t="shared" si="72"/>
        <v>4.7828431491988477</v>
      </c>
      <c r="L157" s="282">
        <f t="shared" si="73"/>
        <v>1.3601615802877738</v>
      </c>
      <c r="M157" s="270">
        <f t="shared" si="74"/>
        <v>1.0252460420598986</v>
      </c>
      <c r="N157" s="273">
        <f t="shared" si="75"/>
        <v>0.22237851942953812</v>
      </c>
      <c r="O157" s="270">
        <f t="shared" si="76"/>
        <v>2450.0136284725791</v>
      </c>
      <c r="P157" s="273">
        <f t="shared" si="77"/>
        <v>1.5703881657887109</v>
      </c>
      <c r="Q157" s="271">
        <f t="shared" si="78"/>
        <v>1.0036695812801841</v>
      </c>
      <c r="R157" s="272">
        <f t="shared" si="79"/>
        <v>8.5538234547979555E-2</v>
      </c>
      <c r="S157" s="270">
        <f t="shared" si="80"/>
        <v>1.0000001924252477</v>
      </c>
      <c r="T157" s="273">
        <f t="shared" si="81"/>
        <v>6.2036314653977844E-4</v>
      </c>
      <c r="U157" s="274">
        <f t="shared" si="82"/>
        <v>1.0017577499602746</v>
      </c>
      <c r="V157" s="275">
        <f t="shared" si="83"/>
        <v>8.6447323939169096E-2</v>
      </c>
      <c r="W157" s="276">
        <f t="shared" si="84"/>
        <v>-7.0821953167846754</v>
      </c>
      <c r="X157" s="277">
        <f t="shared" si="93"/>
        <v>-116.19048423197938</v>
      </c>
      <c r="Y157" s="299">
        <f t="shared" si="92"/>
        <v>63.809515768020617</v>
      </c>
      <c r="AB157" s="278">
        <f t="shared" si="85"/>
        <v>-0.93888932684458504</v>
      </c>
      <c r="AC157" s="279">
        <f t="shared" si="86"/>
        <v>-24.807995358713448</v>
      </c>
      <c r="AF157" s="278">
        <f t="shared" si="87"/>
        <v>55.660226617041673</v>
      </c>
      <c r="AG157" s="279">
        <f t="shared" si="88"/>
        <v>-91.382488873265956</v>
      </c>
      <c r="AI157">
        <f t="shared" si="89"/>
        <v>0</v>
      </c>
      <c r="AJ157">
        <f t="shared" si="94"/>
        <v>0</v>
      </c>
      <c r="AK157">
        <f t="shared" si="90"/>
        <v>0</v>
      </c>
      <c r="AL157">
        <f t="shared" si="91"/>
        <v>0</v>
      </c>
      <c r="AM157"/>
      <c r="AN157"/>
    </row>
    <row r="158" spans="2:40" x14ac:dyDescent="0.2">
      <c r="B158" s="280">
        <v>8912.5</v>
      </c>
      <c r="C158" s="270">
        <f t="shared" si="64"/>
        <v>7.3482172814328743</v>
      </c>
      <c r="D158" s="271">
        <f t="shared" si="65"/>
        <v>1.4342853059757554</v>
      </c>
      <c r="E158" s="271">
        <f t="shared" si="66"/>
        <v>1.0001059869778106</v>
      </c>
      <c r="F158" s="272">
        <f t="shared" si="67"/>
        <v>1.4558682469525283E-2</v>
      </c>
      <c r="G158" s="271">
        <f t="shared" si="68"/>
        <v>1.0040591267752026</v>
      </c>
      <c r="H158" s="272">
        <f t="shared" si="69"/>
        <v>-8.9949360663483899E-2</v>
      </c>
      <c r="I158" s="270">
        <f t="shared" si="70"/>
        <v>31364.081790755336</v>
      </c>
      <c r="J158" s="273">
        <f t="shared" si="71"/>
        <v>1.5707644431897319</v>
      </c>
      <c r="K158" s="281">
        <f t="shared" si="72"/>
        <v>4.8090267265028093</v>
      </c>
      <c r="L158" s="282">
        <f t="shared" si="73"/>
        <v>1.3613255400813773</v>
      </c>
      <c r="M158" s="270">
        <f t="shared" si="74"/>
        <v>1.0255322784779115</v>
      </c>
      <c r="N158" s="273">
        <f t="shared" si="75"/>
        <v>0.22360952369386577</v>
      </c>
      <c r="O158" s="270">
        <f t="shared" si="76"/>
        <v>2464.0375594186053</v>
      </c>
      <c r="P158" s="273">
        <f t="shared" si="77"/>
        <v>1.57039048881421</v>
      </c>
      <c r="Q158" s="271">
        <f t="shared" si="78"/>
        <v>1.0037116331463634</v>
      </c>
      <c r="R158" s="272">
        <f t="shared" si="79"/>
        <v>8.6025452119110238E-2</v>
      </c>
      <c r="S158" s="270">
        <f t="shared" si="80"/>
        <v>1.000000194634445</v>
      </c>
      <c r="T158" s="273">
        <f t="shared" si="81"/>
        <v>6.2391411826555017E-4</v>
      </c>
      <c r="U158" s="274">
        <f t="shared" si="82"/>
        <v>1.0017779352378604</v>
      </c>
      <c r="V158" s="275">
        <f t="shared" si="83"/>
        <v>8.6941641097403918E-2</v>
      </c>
      <c r="W158" s="276">
        <f t="shared" si="84"/>
        <v>-7.1351953644813886</v>
      </c>
      <c r="X158" s="277">
        <f t="shared" si="93"/>
        <v>-116.29129860455311</v>
      </c>
      <c r="Y158" s="299">
        <f t="shared" si="92"/>
        <v>63.708701395446894</v>
      </c>
      <c r="AB158" s="278">
        <f t="shared" si="85"/>
        <v>-0.94346941840718357</v>
      </c>
      <c r="AC158" s="279">
        <f t="shared" si="86"/>
        <v>-24.811847180547186</v>
      </c>
      <c r="AF158" s="278">
        <f t="shared" si="87"/>
        <v>55.611806660907554</v>
      </c>
      <c r="AG158" s="279">
        <f t="shared" si="88"/>
        <v>-91.479451424005887</v>
      </c>
      <c r="AI158">
        <f t="shared" si="89"/>
        <v>0</v>
      </c>
      <c r="AJ158">
        <f t="shared" si="94"/>
        <v>0</v>
      </c>
      <c r="AK158">
        <f t="shared" si="90"/>
        <v>0</v>
      </c>
      <c r="AL158">
        <f t="shared" si="91"/>
        <v>0</v>
      </c>
      <c r="AM158"/>
      <c r="AN158"/>
    </row>
    <row r="159" spans="2:40" x14ac:dyDescent="0.2">
      <c r="B159" s="280">
        <v>8964.4</v>
      </c>
      <c r="C159" s="270">
        <f t="shared" si="64"/>
        <v>7.3902177985156898</v>
      </c>
      <c r="D159" s="271">
        <f t="shared" si="65"/>
        <v>1.4350659470443661</v>
      </c>
      <c r="E159" s="271">
        <f t="shared" si="66"/>
        <v>1.0001072248896306</v>
      </c>
      <c r="F159" s="272">
        <f t="shared" si="67"/>
        <v>1.4643449697819527E-2</v>
      </c>
      <c r="G159" s="271">
        <f t="shared" si="68"/>
        <v>1.0041064423491295</v>
      </c>
      <c r="H159" s="272">
        <f t="shared" si="69"/>
        <v>-9.0470315849800642E-2</v>
      </c>
      <c r="I159" s="270">
        <f t="shared" si="70"/>
        <v>31546.723680605573</v>
      </c>
      <c r="J159" s="273">
        <f t="shared" si="71"/>
        <v>1.57076462778202</v>
      </c>
      <c r="K159" s="281">
        <f t="shared" si="72"/>
        <v>4.8358234928745896</v>
      </c>
      <c r="L159" s="282">
        <f t="shared" si="73"/>
        <v>1.3625034144768213</v>
      </c>
      <c r="M159" s="270">
        <f t="shared" si="74"/>
        <v>1.0258267528783007</v>
      </c>
      <c r="N159" s="273">
        <f t="shared" si="75"/>
        <v>0.22486833010151919</v>
      </c>
      <c r="O159" s="270">
        <f t="shared" si="76"/>
        <v>2478.3863424011365</v>
      </c>
      <c r="P159" s="273">
        <f t="shared" si="77"/>
        <v>1.5703928384403874</v>
      </c>
      <c r="Q159" s="271">
        <f t="shared" si="78"/>
        <v>1.0037549056907418</v>
      </c>
      <c r="R159" s="272">
        <f t="shared" si="79"/>
        <v>8.652391328216541E-2</v>
      </c>
      <c r="S159" s="270">
        <f t="shared" si="80"/>
        <v>1.0000001969078676</v>
      </c>
      <c r="T159" s="273">
        <f t="shared" si="81"/>
        <v>6.2754734511111807E-4</v>
      </c>
      <c r="U159" s="274">
        <f t="shared" si="82"/>
        <v>1.001798707450523</v>
      </c>
      <c r="V159" s="275">
        <f t="shared" si="83"/>
        <v>8.7447399658667324E-2</v>
      </c>
      <c r="W159" s="276">
        <f t="shared" si="84"/>
        <v>-7.1891227870779337</v>
      </c>
      <c r="X159" s="277">
        <f t="shared" si="93"/>
        <v>-116.39464324226728</v>
      </c>
      <c r="Y159" s="299">
        <f t="shared" si="92"/>
        <v>63.605356757732721</v>
      </c>
      <c r="AB159" s="278">
        <f t="shared" si="85"/>
        <v>-0.94813183262763723</v>
      </c>
      <c r="AC159" s="279">
        <f t="shared" si="86"/>
        <v>-24.816494819633316</v>
      </c>
      <c r="AF159" s="278">
        <f t="shared" si="87"/>
        <v>55.562541652531465</v>
      </c>
      <c r="AG159" s="279">
        <f t="shared" si="88"/>
        <v>-91.578148422633987</v>
      </c>
      <c r="AI159">
        <f t="shared" si="89"/>
        <v>0</v>
      </c>
      <c r="AJ159">
        <f t="shared" si="94"/>
        <v>0</v>
      </c>
      <c r="AK159">
        <f t="shared" si="90"/>
        <v>0</v>
      </c>
      <c r="AL159">
        <f t="shared" si="91"/>
        <v>0</v>
      </c>
      <c r="AM159"/>
      <c r="AN159"/>
    </row>
    <row r="160" spans="2:40" x14ac:dyDescent="0.2">
      <c r="B160" s="280">
        <v>9016.2999999999993</v>
      </c>
      <c r="C160" s="270">
        <f t="shared" si="64"/>
        <v>7.4322227682982192</v>
      </c>
      <c r="D160" s="271">
        <f t="shared" si="65"/>
        <v>1.4358377646225922</v>
      </c>
      <c r="E160" s="271">
        <f t="shared" si="66"/>
        <v>1.0001084699876861</v>
      </c>
      <c r="F160" s="272">
        <f t="shared" si="67"/>
        <v>1.4728216715658732E-2</v>
      </c>
      <c r="G160" s="271">
        <f t="shared" si="68"/>
        <v>1.0041540304061036</v>
      </c>
      <c r="H160" s="272">
        <f t="shared" si="69"/>
        <v>-9.0991221800102079E-2</v>
      </c>
      <c r="I160" s="270">
        <f t="shared" si="70"/>
        <v>31729.36557045687</v>
      </c>
      <c r="J160" s="273">
        <f t="shared" si="71"/>
        <v>1.5707648102491925</v>
      </c>
      <c r="K160" s="281">
        <f t="shared" si="72"/>
        <v>4.8626268944597264</v>
      </c>
      <c r="L160" s="282">
        <f t="shared" si="73"/>
        <v>1.3636683052945582</v>
      </c>
      <c r="M160" s="270">
        <f t="shared" si="74"/>
        <v>1.0261228518626913</v>
      </c>
      <c r="N160" s="273">
        <f t="shared" si="75"/>
        <v>0.22612641201702049</v>
      </c>
      <c r="O160" s="270">
        <f t="shared" si="76"/>
        <v>2492.7351253971924</v>
      </c>
      <c r="P160" s="273">
        <f t="shared" si="77"/>
        <v>1.5703951610165379</v>
      </c>
      <c r="Q160" s="271">
        <f t="shared" si="78"/>
        <v>1.0037984276100698</v>
      </c>
      <c r="R160" s="272">
        <f t="shared" si="79"/>
        <v>8.702233134525976E-2</v>
      </c>
      <c r="S160" s="270">
        <f t="shared" si="80"/>
        <v>1.0000001991944902</v>
      </c>
      <c r="T160" s="273">
        <f t="shared" si="81"/>
        <v>6.3118057194011849E-4</v>
      </c>
      <c r="U160" s="274">
        <f t="shared" si="82"/>
        <v>1.0018196003927009</v>
      </c>
      <c r="V160" s="275">
        <f t="shared" si="83"/>
        <v>8.7953149045083667E-2</v>
      </c>
      <c r="W160" s="276">
        <f t="shared" si="84"/>
        <v>-7.2427502518002616</v>
      </c>
      <c r="X160" s="277">
        <f t="shared" si="93"/>
        <v>-116.49818126868703</v>
      </c>
      <c r="Y160" s="299">
        <f t="shared" si="92"/>
        <v>63.501818731312966</v>
      </c>
      <c r="AB160" s="278">
        <f t="shared" si="85"/>
        <v>-0.95277099604300863</v>
      </c>
      <c r="AC160" s="279">
        <f t="shared" si="86"/>
        <v>-24.821844730822306</v>
      </c>
      <c r="AF160" s="278">
        <f t="shared" si="87"/>
        <v>55.513553351224509</v>
      </c>
      <c r="AG160" s="279">
        <f t="shared" si="88"/>
        <v>-91.676336537864742</v>
      </c>
      <c r="AI160">
        <f t="shared" si="89"/>
        <v>0</v>
      </c>
      <c r="AJ160">
        <f t="shared" si="94"/>
        <v>0</v>
      </c>
      <c r="AK160">
        <f t="shared" si="90"/>
        <v>0</v>
      </c>
      <c r="AL160">
        <f t="shared" si="91"/>
        <v>0</v>
      </c>
      <c r="AM160"/>
      <c r="AN160"/>
    </row>
    <row r="161" spans="2:40" x14ac:dyDescent="0.2">
      <c r="B161" s="280">
        <v>9068.2000000000007</v>
      </c>
      <c r="C161" s="270">
        <f t="shared" si="64"/>
        <v>7.474232115708328</v>
      </c>
      <c r="D161" s="271">
        <f t="shared" si="65"/>
        <v>1.4366009065618379</v>
      </c>
      <c r="E161" s="271">
        <f t="shared" si="66"/>
        <v>1.0001097222719504</v>
      </c>
      <c r="F161" s="272">
        <f t="shared" si="67"/>
        <v>1.4812983521825515E-2</v>
      </c>
      <c r="G161" s="271">
        <f t="shared" si="68"/>
        <v>1.0042018909073864</v>
      </c>
      <c r="H161" s="272">
        <f t="shared" si="69"/>
        <v>-9.1512078238719777E-2</v>
      </c>
      <c r="I161" s="270">
        <f t="shared" si="70"/>
        <v>31912.007460309218</v>
      </c>
      <c r="J161" s="273">
        <f t="shared" si="71"/>
        <v>1.5707649906277374</v>
      </c>
      <c r="K161" s="281">
        <f t="shared" si="72"/>
        <v>4.8894368221375029</v>
      </c>
      <c r="L161" s="282">
        <f t="shared" si="73"/>
        <v>1.3648204229228618</v>
      </c>
      <c r="M161" s="270">
        <f t="shared" si="74"/>
        <v>1.0264205740251164</v>
      </c>
      <c r="N161" s="273">
        <f t="shared" si="75"/>
        <v>0.2273837660865895</v>
      </c>
      <c r="O161" s="270">
        <f t="shared" si="76"/>
        <v>2507.083908406541</v>
      </c>
      <c r="P161" s="273">
        <f t="shared" si="77"/>
        <v>1.5703974570071073</v>
      </c>
      <c r="Q161" s="271">
        <f t="shared" si="78"/>
        <v>1.0038421988719124</v>
      </c>
      <c r="R161" s="272">
        <f t="shared" si="79"/>
        <v>8.752070606638071E-2</v>
      </c>
      <c r="S161" s="270">
        <f t="shared" si="80"/>
        <v>1.0000002014943135</v>
      </c>
      <c r="T161" s="273">
        <f t="shared" si="81"/>
        <v>6.3481379875245526E-4</v>
      </c>
      <c r="U161" s="274">
        <f t="shared" si="82"/>
        <v>1.0018406140664406</v>
      </c>
      <c r="V161" s="275">
        <f t="shared" si="83"/>
        <v>8.8458889203743091E-2</v>
      </c>
      <c r="W161" s="276">
        <f t="shared" si="84"/>
        <v>-7.2960815223686417</v>
      </c>
      <c r="X161" s="277">
        <f t="shared" si="93"/>
        <v>-116.60190889189039</v>
      </c>
      <c r="Y161" s="299">
        <f t="shared" si="92"/>
        <v>63.398091108109611</v>
      </c>
      <c r="AB161" s="278">
        <f t="shared" si="85"/>
        <v>-0.95738768474087865</v>
      </c>
      <c r="AC161" s="279">
        <f t="shared" si="86"/>
        <v>-24.827884669687137</v>
      </c>
      <c r="AF161" s="278">
        <f t="shared" si="87"/>
        <v>55.464838769353989</v>
      </c>
      <c r="AG161" s="279">
        <f t="shared" si="88"/>
        <v>-91.774024222203266</v>
      </c>
      <c r="AI161">
        <f t="shared" si="89"/>
        <v>0</v>
      </c>
      <c r="AJ161">
        <f t="shared" si="94"/>
        <v>0</v>
      </c>
      <c r="AK161">
        <f t="shared" si="90"/>
        <v>0</v>
      </c>
      <c r="AL161">
        <f t="shared" si="91"/>
        <v>0</v>
      </c>
      <c r="AM161"/>
      <c r="AN161"/>
    </row>
    <row r="162" spans="2:40" x14ac:dyDescent="0.2">
      <c r="B162" s="280">
        <v>9120.1</v>
      </c>
      <c r="C162" s="270">
        <f t="shared" si="64"/>
        <v>7.5162457673444996</v>
      </c>
      <c r="D162" s="271">
        <f t="shared" si="65"/>
        <v>1.4373555174486596</v>
      </c>
      <c r="E162" s="271">
        <f t="shared" si="66"/>
        <v>1.0001109817423968</v>
      </c>
      <c r="F162" s="272">
        <f t="shared" si="67"/>
        <v>1.4897750115102495E-2</v>
      </c>
      <c r="G162" s="271">
        <f t="shared" si="68"/>
        <v>1.0042500238140255</v>
      </c>
      <c r="H162" s="272">
        <f t="shared" si="69"/>
        <v>-9.203288489014512E-2</v>
      </c>
      <c r="I162" s="270">
        <f t="shared" si="70"/>
        <v>32094.649350162588</v>
      </c>
      <c r="J162" s="273">
        <f t="shared" si="71"/>
        <v>1.5707651689533122</v>
      </c>
      <c r="K162" s="281">
        <f t="shared" si="72"/>
        <v>4.9162531691411981</v>
      </c>
      <c r="L162" s="282">
        <f t="shared" si="73"/>
        <v>1.3659599732969643</v>
      </c>
      <c r="M162" s="270">
        <f t="shared" si="74"/>
        <v>1.0267199179535376</v>
      </c>
      <c r="N162" s="273">
        <f t="shared" si="75"/>
        <v>0.22864038896953079</v>
      </c>
      <c r="O162" s="270">
        <f t="shared" si="76"/>
        <v>2521.4326914289559</v>
      </c>
      <c r="P162" s="273">
        <f t="shared" si="77"/>
        <v>1.5703997268659695</v>
      </c>
      <c r="Q162" s="271">
        <f t="shared" si="78"/>
        <v>1.003886219443654</v>
      </c>
      <c r="R162" s="272">
        <f t="shared" si="79"/>
        <v>8.8019037203643888E-2</v>
      </c>
      <c r="S162" s="270">
        <f t="shared" si="80"/>
        <v>1.0000002038073368</v>
      </c>
      <c r="T162" s="273">
        <f t="shared" si="81"/>
        <v>6.3844702554803254E-4</v>
      </c>
      <c r="U162" s="274">
        <f t="shared" si="82"/>
        <v>1.0018617484737997</v>
      </c>
      <c r="V162" s="275">
        <f t="shared" si="83"/>
        <v>8.896462008173929E-2</v>
      </c>
      <c r="W162" s="276">
        <f t="shared" si="84"/>
        <v>-7.3491202933476867</v>
      </c>
      <c r="X162" s="277">
        <f t="shared" si="93"/>
        <v>-116.70582238874535</v>
      </c>
      <c r="Y162" s="299">
        <f t="shared" si="92"/>
        <v>63.294177611254653</v>
      </c>
      <c r="AB162" s="278">
        <f t="shared" si="85"/>
        <v>-0.96198265297296981</v>
      </c>
      <c r="AC162" s="279">
        <f t="shared" si="86"/>
        <v>-24.834602647643411</v>
      </c>
      <c r="AF162" s="278">
        <f t="shared" si="87"/>
        <v>55.416394966607044</v>
      </c>
      <c r="AG162" s="279">
        <f t="shared" si="88"/>
        <v>-91.871219741101953</v>
      </c>
      <c r="AI162">
        <f t="shared" si="89"/>
        <v>0</v>
      </c>
      <c r="AJ162">
        <f t="shared" si="94"/>
        <v>0</v>
      </c>
      <c r="AK162">
        <f t="shared" si="90"/>
        <v>0</v>
      </c>
      <c r="AL162">
        <f t="shared" si="91"/>
        <v>0</v>
      </c>
      <c r="AM162"/>
      <c r="AN162"/>
    </row>
    <row r="163" spans="2:40" x14ac:dyDescent="0.2">
      <c r="B163" s="280">
        <v>9173.2000000000007</v>
      </c>
      <c r="C163" s="270">
        <f t="shared" si="64"/>
        <v>7.5592352126990177</v>
      </c>
      <c r="D163" s="271">
        <f t="shared" si="65"/>
        <v>1.4381188942408549</v>
      </c>
      <c r="E163" s="271">
        <f t="shared" si="66"/>
        <v>1.0001122777708529</v>
      </c>
      <c r="F163" s="272">
        <f t="shared" si="67"/>
        <v>1.4984476408011541E-2</v>
      </c>
      <c r="G163" s="271">
        <f t="shared" si="68"/>
        <v>1.004299551505146</v>
      </c>
      <c r="H163" s="272">
        <f t="shared" si="69"/>
        <v>-9.2565681499467423E-2</v>
      </c>
      <c r="I163" s="270">
        <f t="shared" si="70"/>
        <v>32281.514173886448</v>
      </c>
      <c r="J163" s="273">
        <f t="shared" si="71"/>
        <v>1.5707653493136431</v>
      </c>
      <c r="K163" s="281">
        <f t="shared" si="72"/>
        <v>4.9436960820205513</v>
      </c>
      <c r="L163" s="282">
        <f t="shared" si="73"/>
        <v>1.3671130754103205</v>
      </c>
      <c r="M163" s="270">
        <f t="shared" si="74"/>
        <v>1.0270278600955831</v>
      </c>
      <c r="N163" s="273">
        <f t="shared" si="75"/>
        <v>0.22992530650533644</v>
      </c>
      <c r="O163" s="270">
        <f t="shared" si="76"/>
        <v>2536.1132382339665</v>
      </c>
      <c r="P163" s="273">
        <f t="shared" si="77"/>
        <v>1.5704020226247055</v>
      </c>
      <c r="Q163" s="271">
        <f t="shared" si="78"/>
        <v>1.0039315158210047</v>
      </c>
      <c r="R163" s="272">
        <f t="shared" si="79"/>
        <v>8.8528845088908195E-2</v>
      </c>
      <c r="S163" s="270">
        <f t="shared" si="80"/>
        <v>1.0000002061875022</v>
      </c>
      <c r="T163" s="273">
        <f t="shared" si="81"/>
        <v>6.4216425756999287E-4</v>
      </c>
      <c r="U163" s="274">
        <f t="shared" si="82"/>
        <v>1.0018834964933194</v>
      </c>
      <c r="V163" s="275">
        <f t="shared" si="83"/>
        <v>8.9482034499036592E-2</v>
      </c>
      <c r="W163" s="276">
        <f t="shared" si="84"/>
        <v>-7.4030864544009791</v>
      </c>
      <c r="X163" s="277">
        <f t="shared" si="93"/>
        <v>-116.81232706725014</v>
      </c>
      <c r="Y163" s="299">
        <f t="shared" si="92"/>
        <v>63.187672932749862</v>
      </c>
      <c r="AB163" s="278">
        <f t="shared" si="85"/>
        <v>-0.96666214812581575</v>
      </c>
      <c r="AC163" s="279">
        <f t="shared" si="86"/>
        <v>-24.842165448910247</v>
      </c>
      <c r="AF163" s="278">
        <f t="shared" si="87"/>
        <v>55.367108300706597</v>
      </c>
      <c r="AG163" s="279">
        <f t="shared" si="88"/>
        <v>-91.970161618339887</v>
      </c>
      <c r="AI163">
        <f t="shared" si="89"/>
        <v>0</v>
      </c>
      <c r="AJ163">
        <f t="shared" si="94"/>
        <v>0</v>
      </c>
      <c r="AK163">
        <f t="shared" si="90"/>
        <v>0</v>
      </c>
      <c r="AL163">
        <f t="shared" si="91"/>
        <v>0</v>
      </c>
      <c r="AM163"/>
      <c r="AN163"/>
    </row>
    <row r="164" spans="2:40" x14ac:dyDescent="0.2">
      <c r="B164" s="280">
        <v>9226.2999999999993</v>
      </c>
      <c r="C164" s="270">
        <f t="shared" si="64"/>
        <v>7.6022290133316357</v>
      </c>
      <c r="D164" s="271">
        <f t="shared" si="65"/>
        <v>1.4388736370354525</v>
      </c>
      <c r="E164" s="271">
        <f t="shared" si="66"/>
        <v>1.000113581321584</v>
      </c>
      <c r="F164" s="272">
        <f t="shared" si="67"/>
        <v>1.5071202475494322E-2</v>
      </c>
      <c r="G164" s="271">
        <f t="shared" si="68"/>
        <v>1.0043493642608519</v>
      </c>
      <c r="H164" s="272">
        <f t="shared" si="69"/>
        <v>-9.3098425409738839E-2</v>
      </c>
      <c r="I164" s="270">
        <f t="shared" si="70"/>
        <v>32468.378997611333</v>
      </c>
      <c r="J164" s="273">
        <f t="shared" si="71"/>
        <v>1.5707655275979231</v>
      </c>
      <c r="K164" s="281">
        <f t="shared" si="72"/>
        <v>4.9711454956773977</v>
      </c>
      <c r="L164" s="282">
        <f t="shared" si="73"/>
        <v>1.3682534447470194</v>
      </c>
      <c r="M164" s="270">
        <f t="shared" si="74"/>
        <v>1.0273374968558935</v>
      </c>
      <c r="N164" s="273">
        <f t="shared" si="75"/>
        <v>0.23120945161883671</v>
      </c>
      <c r="O164" s="270">
        <f t="shared" si="76"/>
        <v>2550.7937850521889</v>
      </c>
      <c r="P164" s="273">
        <f t="shared" si="77"/>
        <v>1.5704042919579468</v>
      </c>
      <c r="Q164" s="271">
        <f t="shared" si="78"/>
        <v>1.0039770731006683</v>
      </c>
      <c r="R164" s="272">
        <f t="shared" si="79"/>
        <v>8.9038606839737744E-2</v>
      </c>
      <c r="S164" s="270">
        <f t="shared" si="80"/>
        <v>1.0000002085814856</v>
      </c>
      <c r="T164" s="273">
        <f t="shared" si="81"/>
        <v>6.4588148957420654E-4</v>
      </c>
      <c r="U164" s="274">
        <f t="shared" si="82"/>
        <v>1.0019053708984553</v>
      </c>
      <c r="V164" s="275">
        <f t="shared" si="83"/>
        <v>8.9999439089514646E-2</v>
      </c>
      <c r="W164" s="276">
        <f t="shared" si="84"/>
        <v>-7.4567540431819701</v>
      </c>
      <c r="X164" s="277">
        <f t="shared" si="93"/>
        <v>-116.91901864345661</v>
      </c>
      <c r="Y164" s="299">
        <f t="shared" si="92"/>
        <v>63.08098135654339</v>
      </c>
      <c r="AB164" s="278">
        <f t="shared" si="85"/>
        <v>-0.9713204371132228</v>
      </c>
      <c r="AC164" s="279">
        <f t="shared" si="86"/>
        <v>-24.850413409053985</v>
      </c>
      <c r="AF164" s="278">
        <f t="shared" si="87"/>
        <v>55.318099000913008</v>
      </c>
      <c r="AG164" s="279">
        <f t="shared" si="88"/>
        <v>-92.068605234402639</v>
      </c>
      <c r="AI164">
        <f t="shared" si="89"/>
        <v>0</v>
      </c>
      <c r="AJ164">
        <f t="shared" si="94"/>
        <v>0</v>
      </c>
      <c r="AK164">
        <f t="shared" si="90"/>
        <v>0</v>
      </c>
      <c r="AL164">
        <f t="shared" si="91"/>
        <v>0</v>
      </c>
      <c r="AM164"/>
      <c r="AN164"/>
    </row>
    <row r="165" spans="2:40" x14ac:dyDescent="0.2">
      <c r="B165" s="280">
        <v>9279.4</v>
      </c>
      <c r="C165" s="270">
        <f t="shared" si="64"/>
        <v>7.645227095765156</v>
      </c>
      <c r="D165" s="271">
        <f t="shared" si="65"/>
        <v>1.4396198906425555</v>
      </c>
      <c r="E165" s="271">
        <f t="shared" si="66"/>
        <v>1.0001148923945604</v>
      </c>
      <c r="F165" s="272">
        <f t="shared" si="67"/>
        <v>1.5157928316247122E-2</v>
      </c>
      <c r="G165" s="271">
        <f t="shared" si="68"/>
        <v>1.00439946203873</v>
      </c>
      <c r="H165" s="272">
        <f t="shared" si="69"/>
        <v>-9.3631116326420169E-2</v>
      </c>
      <c r="I165" s="270">
        <f t="shared" si="70"/>
        <v>32655.243821337252</v>
      </c>
      <c r="J165" s="273">
        <f t="shared" si="71"/>
        <v>1.5707657038417921</v>
      </c>
      <c r="K165" s="281">
        <f t="shared" si="72"/>
        <v>4.9986013030162617</v>
      </c>
      <c r="L165" s="282">
        <f t="shared" si="73"/>
        <v>1.3693812881282863</v>
      </c>
      <c r="M165" s="270">
        <f t="shared" si="74"/>
        <v>1.0276488267026733</v>
      </c>
      <c r="N165" s="273">
        <f t="shared" si="75"/>
        <v>0.23249282077497557</v>
      </c>
      <c r="O165" s="270">
        <f t="shared" si="76"/>
        <v>2565.474331883398</v>
      </c>
      <c r="P165" s="273">
        <f t="shared" si="77"/>
        <v>1.5704065353193417</v>
      </c>
      <c r="Q165" s="271">
        <f t="shared" si="78"/>
        <v>1.0040228912471296</v>
      </c>
      <c r="R165" s="272">
        <f t="shared" si="79"/>
        <v>8.9548322197500321E-2</v>
      </c>
      <c r="S165" s="270">
        <f t="shared" si="80"/>
        <v>1.0000002109892867</v>
      </c>
      <c r="T165" s="273">
        <f t="shared" si="81"/>
        <v>6.4959872156057088E-4</v>
      </c>
      <c r="U165" s="274">
        <f t="shared" si="82"/>
        <v>1.0019273716914487</v>
      </c>
      <c r="V165" s="275">
        <f t="shared" si="83"/>
        <v>9.0516833796523782E-2</v>
      </c>
      <c r="W165" s="276">
        <f t="shared" si="84"/>
        <v>-7.5101268024891024</v>
      </c>
      <c r="X165" s="277">
        <f t="shared" si="93"/>
        <v>-117.02589334384052</v>
      </c>
      <c r="Y165" s="299">
        <f t="shared" si="92"/>
        <v>62.974106656159478</v>
      </c>
      <c r="AB165" s="278">
        <f t="shared" si="85"/>
        <v>-0.97595826124644525</v>
      </c>
      <c r="AC165" s="279">
        <f t="shared" si="86"/>
        <v>-24.859334477589513</v>
      </c>
      <c r="AF165" s="278">
        <f t="shared" si="87"/>
        <v>55.269364065739104</v>
      </c>
      <c r="AG165" s="279">
        <f t="shared" si="88"/>
        <v>-92.166558866251023</v>
      </c>
      <c r="AI165">
        <f t="shared" si="89"/>
        <v>0</v>
      </c>
      <c r="AJ165">
        <f t="shared" si="94"/>
        <v>0</v>
      </c>
      <c r="AK165">
        <f t="shared" si="90"/>
        <v>0</v>
      </c>
      <c r="AL165">
        <f t="shared" si="91"/>
        <v>0</v>
      </c>
      <c r="AM165"/>
      <c r="AN165"/>
    </row>
    <row r="166" spans="2:40" x14ac:dyDescent="0.2">
      <c r="B166" s="280">
        <v>9332.5</v>
      </c>
      <c r="C166" s="270">
        <f t="shared" si="64"/>
        <v>7.6882293881588897</v>
      </c>
      <c r="D166" s="271">
        <f t="shared" si="65"/>
        <v>1.4403577966707295</v>
      </c>
      <c r="E166" s="271">
        <f t="shared" si="66"/>
        <v>1.0001162109897528</v>
      </c>
      <c r="F166" s="272">
        <f t="shared" si="67"/>
        <v>1.5244653928966239E-2</v>
      </c>
      <c r="G166" s="271">
        <f t="shared" si="68"/>
        <v>1.0044498447961332</v>
      </c>
      <c r="H166" s="272">
        <f t="shared" si="69"/>
        <v>-9.4163753955151114E-2</v>
      </c>
      <c r="I166" s="270">
        <f t="shared" si="70"/>
        <v>32842.108645064167</v>
      </c>
      <c r="J166" s="273">
        <f t="shared" si="71"/>
        <v>1.5707658780800786</v>
      </c>
      <c r="K166" s="281">
        <f t="shared" si="72"/>
        <v>5.0260633992571089</v>
      </c>
      <c r="L166" s="282">
        <f t="shared" si="73"/>
        <v>1.370496807984166</v>
      </c>
      <c r="M166" s="270">
        <f t="shared" si="74"/>
        <v>1.0279618480976112</v>
      </c>
      <c r="N166" s="273">
        <f t="shared" si="75"/>
        <v>0.23377541045319197</v>
      </c>
      <c r="O166" s="270">
        <f t="shared" si="76"/>
        <v>2580.1548787273714</v>
      </c>
      <c r="P166" s="273">
        <f t="shared" si="77"/>
        <v>1.5704087531522133</v>
      </c>
      <c r="Q166" s="271">
        <f t="shared" si="78"/>
        <v>1.004068970224677</v>
      </c>
      <c r="R166" s="272">
        <f t="shared" si="79"/>
        <v>9.0057990903707211E-2</v>
      </c>
      <c r="S166" s="270">
        <f t="shared" si="80"/>
        <v>1.0000002134109054</v>
      </c>
      <c r="T166" s="273">
        <f t="shared" si="81"/>
        <v>6.5331595352898322E-4</v>
      </c>
      <c r="U166" s="274">
        <f t="shared" si="82"/>
        <v>1.0019494988745543</v>
      </c>
      <c r="V166" s="275">
        <f t="shared" si="83"/>
        <v>9.1034218563418368E-2</v>
      </c>
      <c r="W166" s="276">
        <f t="shared" si="84"/>
        <v>-7.5632084064283331</v>
      </c>
      <c r="X166" s="277">
        <f t="shared" si="93"/>
        <v>-117.13294746383359</v>
      </c>
      <c r="Y166" s="299">
        <f t="shared" si="92"/>
        <v>62.867052536166412</v>
      </c>
      <c r="AB166" s="278">
        <f t="shared" si="85"/>
        <v>-0.98057634085072065</v>
      </c>
      <c r="AC166" s="279">
        <f t="shared" si="86"/>
        <v>-24.868916856411847</v>
      </c>
      <c r="AF166" s="278">
        <f t="shared" si="87"/>
        <v>55.220900541404141</v>
      </c>
      <c r="AG166" s="279">
        <f t="shared" si="88"/>
        <v>-92.264030607421716</v>
      </c>
      <c r="AI166">
        <f t="shared" si="89"/>
        <v>0</v>
      </c>
      <c r="AJ166">
        <f t="shared" si="94"/>
        <v>0</v>
      </c>
      <c r="AK166">
        <f t="shared" si="90"/>
        <v>0</v>
      </c>
      <c r="AL166">
        <f t="shared" si="91"/>
        <v>0</v>
      </c>
      <c r="AM166"/>
      <c r="AN166"/>
    </row>
    <row r="167" spans="2:40" x14ac:dyDescent="0.2">
      <c r="B167" s="280">
        <v>9386.85</v>
      </c>
      <c r="C167" s="270">
        <f t="shared" si="64"/>
        <v>7.7322482620441937</v>
      </c>
      <c r="D167" s="271">
        <f t="shared" si="65"/>
        <v>1.4411045732470436</v>
      </c>
      <c r="E167" s="271">
        <f t="shared" si="66"/>
        <v>1.0001175684152057</v>
      </c>
      <c r="F167" s="272">
        <f t="shared" si="67"/>
        <v>1.533342086756371E-2</v>
      </c>
      <c r="G167" s="271">
        <f t="shared" si="68"/>
        <v>1.0045017086648809</v>
      </c>
      <c r="H167" s="272">
        <f t="shared" si="69"/>
        <v>-9.4708874643073135E-2</v>
      </c>
      <c r="I167" s="270">
        <f t="shared" si="70"/>
        <v>33033.37235823954</v>
      </c>
      <c r="J167" s="273">
        <f t="shared" si="71"/>
        <v>1.5707660543785866</v>
      </c>
      <c r="K167" s="281">
        <f t="shared" si="72"/>
        <v>5.0541783724058593</v>
      </c>
      <c r="L167" s="282">
        <f t="shared" si="73"/>
        <v>1.3716260324203289</v>
      </c>
      <c r="M167" s="270">
        <f t="shared" si="74"/>
        <v>1.0282839883037509</v>
      </c>
      <c r="N167" s="273">
        <f t="shared" si="75"/>
        <v>0.23508738204340721</v>
      </c>
      <c r="O167" s="270">
        <f t="shared" si="76"/>
        <v>2595.1810128452589</v>
      </c>
      <c r="P167" s="273">
        <f t="shared" si="77"/>
        <v>1.5704109972091003</v>
      </c>
      <c r="Q167" s="271">
        <f t="shared" si="78"/>
        <v>1.0041164039999317</v>
      </c>
      <c r="R167" s="272">
        <f t="shared" si="79"/>
        <v>9.0579608879394174E-2</v>
      </c>
      <c r="S167" s="270">
        <f t="shared" si="80"/>
        <v>1.0000002159038401</v>
      </c>
      <c r="T167" s="273">
        <f t="shared" si="81"/>
        <v>6.5712069093934737E-4</v>
      </c>
      <c r="U167" s="274">
        <f t="shared" si="82"/>
        <v>1.0019722778328102</v>
      </c>
      <c r="V167" s="275">
        <f t="shared" si="83"/>
        <v>9.1563772468080035E-2</v>
      </c>
      <c r="W167" s="276">
        <f t="shared" si="84"/>
        <v>-7.6172418247129485</v>
      </c>
      <c r="X167" s="277">
        <f t="shared" si="93"/>
        <v>-117.2427036992643</v>
      </c>
      <c r="Y167" s="299">
        <f t="shared" si="92"/>
        <v>62.757296300735703</v>
      </c>
      <c r="AB167" s="278">
        <f t="shared" si="85"/>
        <v>-0.98528341561035315</v>
      </c>
      <c r="AC167" s="279">
        <f t="shared" si="86"/>
        <v>-24.879397598217516</v>
      </c>
      <c r="AF167" s="278">
        <f t="shared" si="87"/>
        <v>55.171574197879167</v>
      </c>
      <c r="AG167" s="279">
        <f t="shared" si="88"/>
        <v>-92.363306101046788</v>
      </c>
      <c r="AI167">
        <f t="shared" si="89"/>
        <v>0</v>
      </c>
      <c r="AJ167">
        <f t="shared" si="94"/>
        <v>0</v>
      </c>
      <c r="AK167">
        <f t="shared" si="90"/>
        <v>0</v>
      </c>
      <c r="AL167">
        <f t="shared" si="91"/>
        <v>0</v>
      </c>
      <c r="AM167"/>
      <c r="AN167"/>
    </row>
    <row r="168" spans="2:40" x14ac:dyDescent="0.2">
      <c r="B168" s="280">
        <v>9441.2000000000007</v>
      </c>
      <c r="C168" s="270">
        <f t="shared" si="64"/>
        <v>7.7762713991930967</v>
      </c>
      <c r="D168" s="271">
        <f t="shared" si="65"/>
        <v>1.4418428949070858</v>
      </c>
      <c r="E168" s="271">
        <f t="shared" si="66"/>
        <v>1.0001189337211329</v>
      </c>
      <c r="F168" s="272">
        <f t="shared" si="67"/>
        <v>1.5422187564501394E-2</v>
      </c>
      <c r="G168" s="271">
        <f t="shared" si="68"/>
        <v>1.0045538709970319</v>
      </c>
      <c r="H168" s="272">
        <f t="shared" si="69"/>
        <v>-9.5253938881220329E-2</v>
      </c>
      <c r="I168" s="270">
        <f t="shared" si="70"/>
        <v>33224.636071415924</v>
      </c>
      <c r="J168" s="273">
        <f t="shared" si="71"/>
        <v>1.5707662286473052</v>
      </c>
      <c r="K168" s="281">
        <f t="shared" si="72"/>
        <v>5.0822997190696624</v>
      </c>
      <c r="L168" s="282">
        <f t="shared" si="73"/>
        <v>1.3727427618332568</v>
      </c>
      <c r="M168" s="270">
        <f t="shared" si="74"/>
        <v>1.0286078973533015</v>
      </c>
      <c r="N168" s="273">
        <f t="shared" si="75"/>
        <v>0.23639852960849356</v>
      </c>
      <c r="O168" s="270">
        <f t="shared" si="76"/>
        <v>2610.2071469760654</v>
      </c>
      <c r="P168" s="273">
        <f t="shared" si="77"/>
        <v>1.5704132154293404</v>
      </c>
      <c r="Q168" s="271">
        <f t="shared" si="78"/>
        <v>1.004164110954658</v>
      </c>
      <c r="R168" s="272">
        <f t="shared" si="79"/>
        <v>9.1101177433757549E-2</v>
      </c>
      <c r="S168" s="270">
        <f t="shared" si="80"/>
        <v>1.0000002184112506</v>
      </c>
      <c r="T168" s="273">
        <f t="shared" si="81"/>
        <v>6.609254283306866E-4</v>
      </c>
      <c r="U168" s="274">
        <f t="shared" si="82"/>
        <v>1.0019951892066075</v>
      </c>
      <c r="V168" s="275">
        <f t="shared" si="83"/>
        <v>9.2093315839056694E-2</v>
      </c>
      <c r="W168" s="276">
        <f t="shared" si="84"/>
        <v>-7.6709777939218888</v>
      </c>
      <c r="X168" s="277">
        <f t="shared" si="93"/>
        <v>-117.35264026228893</v>
      </c>
      <c r="Y168" s="299">
        <f t="shared" si="92"/>
        <v>62.647359737711071</v>
      </c>
      <c r="AB168" s="278">
        <f t="shared" si="85"/>
        <v>-0.9899712678888889</v>
      </c>
      <c r="AC168" s="279">
        <f t="shared" si="86"/>
        <v>-24.890546922659002</v>
      </c>
      <c r="AF168" s="278">
        <f t="shared" si="87"/>
        <v>55.122526080948759</v>
      </c>
      <c r="AG168" s="279">
        <f t="shared" si="88"/>
        <v>-92.462093339629916</v>
      </c>
      <c r="AI168">
        <f t="shared" si="89"/>
        <v>0</v>
      </c>
      <c r="AJ168">
        <f t="shared" si="94"/>
        <v>0</v>
      </c>
      <c r="AK168">
        <f t="shared" si="90"/>
        <v>0</v>
      </c>
      <c r="AL168">
        <f t="shared" si="91"/>
        <v>0</v>
      </c>
      <c r="AM168"/>
      <c r="AN168"/>
    </row>
    <row r="169" spans="2:40" x14ac:dyDescent="0.2">
      <c r="B169" s="280">
        <v>9495.5499999999993</v>
      </c>
      <c r="C169" s="270">
        <f t="shared" si="64"/>
        <v>7.82029872760749</v>
      </c>
      <c r="D169" s="271">
        <f t="shared" si="65"/>
        <v>1.442572903639479</v>
      </c>
      <c r="E169" s="271">
        <f t="shared" si="66"/>
        <v>1.000120306907502</v>
      </c>
      <c r="F169" s="272">
        <f t="shared" si="67"/>
        <v>1.5510954018381399E-2</v>
      </c>
      <c r="G169" s="271">
        <f t="shared" si="68"/>
        <v>1.0046063317460945</v>
      </c>
      <c r="H169" s="272">
        <f t="shared" si="69"/>
        <v>-9.5798946354539435E-2</v>
      </c>
      <c r="I169" s="270">
        <f t="shared" si="70"/>
        <v>33415.899784593305</v>
      </c>
      <c r="J169" s="273">
        <f t="shared" si="71"/>
        <v>1.5707664009210882</v>
      </c>
      <c r="K169" s="281">
        <f t="shared" si="72"/>
        <v>5.1104273340331501</v>
      </c>
      <c r="L169" s="282">
        <f t="shared" si="73"/>
        <v>1.3738471997309214</v>
      </c>
      <c r="M169" s="270">
        <f t="shared" si="74"/>
        <v>1.0289335735757636</v>
      </c>
      <c r="N169" s="273">
        <f t="shared" si="75"/>
        <v>0.23770884942079079</v>
      </c>
      <c r="O169" s="270">
        <f t="shared" si="76"/>
        <v>2625.2332811195674</v>
      </c>
      <c r="P169" s="273">
        <f t="shared" si="77"/>
        <v>1.5704154082565804</v>
      </c>
      <c r="Q169" s="271">
        <f t="shared" si="78"/>
        <v>1.0042120910499219</v>
      </c>
      <c r="R169" s="272">
        <f t="shared" si="79"/>
        <v>9.1622696290092662E-2</v>
      </c>
      <c r="S169" s="270">
        <f t="shared" si="80"/>
        <v>1.0000002209331373</v>
      </c>
      <c r="T169" s="273">
        <f t="shared" si="81"/>
        <v>6.6473016570289041E-4</v>
      </c>
      <c r="U169" s="274">
        <f t="shared" si="82"/>
        <v>1.0020182329984049</v>
      </c>
      <c r="V169" s="275">
        <f t="shared" si="83"/>
        <v>9.2622848615620729E-2</v>
      </c>
      <c r="W169" s="276">
        <f t="shared" si="84"/>
        <v>-7.7244200408961134</v>
      </c>
      <c r="X169" s="277">
        <f t="shared" si="93"/>
        <v>-117.46275339507552</v>
      </c>
      <c r="Y169" s="299">
        <f t="shared" si="92"/>
        <v>62.537246604924476</v>
      </c>
      <c r="AB169" s="278">
        <f t="shared" si="85"/>
        <v>-0.9946406061148052</v>
      </c>
      <c r="AC169" s="279">
        <f t="shared" si="86"/>
        <v>-24.902352958006215</v>
      </c>
      <c r="AF169" s="278">
        <f t="shared" si="87"/>
        <v>55.073753172200448</v>
      </c>
      <c r="AG169" s="279">
        <f t="shared" si="88"/>
        <v>-92.560400437069305</v>
      </c>
      <c r="AI169">
        <f t="shared" si="89"/>
        <v>0</v>
      </c>
      <c r="AJ169">
        <f t="shared" si="94"/>
        <v>0</v>
      </c>
      <c r="AK169">
        <f t="shared" si="90"/>
        <v>0</v>
      </c>
      <c r="AL169">
        <f t="shared" si="91"/>
        <v>0</v>
      </c>
      <c r="AM169"/>
      <c r="AN169"/>
    </row>
    <row r="170" spans="2:40" x14ac:dyDescent="0.2">
      <c r="B170" s="280">
        <v>9549.9</v>
      </c>
      <c r="C170" s="270">
        <f t="shared" si="64"/>
        <v>7.8643301768947751</v>
      </c>
      <c r="D170" s="271">
        <f t="shared" si="65"/>
        <v>1.4432947382888328</v>
      </c>
      <c r="E170" s="271">
        <f t="shared" si="66"/>
        <v>1.0001216879742809</v>
      </c>
      <c r="F170" s="272">
        <f t="shared" si="67"/>
        <v>1.5599720227805869E-2</v>
      </c>
      <c r="G170" s="271">
        <f t="shared" si="68"/>
        <v>1.004659090865321</v>
      </c>
      <c r="H170" s="272">
        <f t="shared" si="69"/>
        <v>-9.6343896748177754E-2</v>
      </c>
      <c r="I170" s="270">
        <f t="shared" si="70"/>
        <v>33607.16349777166</v>
      </c>
      <c r="J170" s="273">
        <f t="shared" si="71"/>
        <v>1.5707665712339962</v>
      </c>
      <c r="K170" s="281">
        <f t="shared" si="72"/>
        <v>5.1385611143614884</v>
      </c>
      <c r="L170" s="282">
        <f t="shared" si="73"/>
        <v>1.3749395452858846</v>
      </c>
      <c r="M170" s="270">
        <f t="shared" si="74"/>
        <v>1.0292610152936439</v>
      </c>
      <c r="N170" s="273">
        <f t="shared" si="75"/>
        <v>0.23901833776871351</v>
      </c>
      <c r="O170" s="270">
        <f t="shared" si="76"/>
        <v>2640.2594152755501</v>
      </c>
      <c r="P170" s="273">
        <f t="shared" si="77"/>
        <v>1.5704175761243666</v>
      </c>
      <c r="Q170" s="271">
        <f t="shared" si="78"/>
        <v>1.0042603442465745</v>
      </c>
      <c r="R170" s="272">
        <f t="shared" si="79"/>
        <v>9.214416517185578E-2</v>
      </c>
      <c r="S170" s="270">
        <f t="shared" si="80"/>
        <v>1.0000002234695</v>
      </c>
      <c r="T170" s="273">
        <f t="shared" si="81"/>
        <v>6.685349030558491E-4</v>
      </c>
      <c r="U170" s="274">
        <f t="shared" si="82"/>
        <v>1.0020414092106744</v>
      </c>
      <c r="V170" s="275">
        <f t="shared" si="83"/>
        <v>9.3152370737049128E-2</v>
      </c>
      <c r="W170" s="276">
        <f t="shared" si="84"/>
        <v>-7.7775722241246026</v>
      </c>
      <c r="X170" s="277">
        <f t="shared" si="93"/>
        <v>-117.57303940894163</v>
      </c>
      <c r="Y170" s="299">
        <f t="shared" si="92"/>
        <v>62.426960591058375</v>
      </c>
      <c r="AB170" s="278">
        <f t="shared" si="85"/>
        <v>-0.99929211851931576</v>
      </c>
      <c r="AC170" s="279">
        <f t="shared" si="86"/>
        <v>-24.914804081805293</v>
      </c>
      <c r="AF170" s="278">
        <f t="shared" si="87"/>
        <v>55.025252501376471</v>
      </c>
      <c r="AG170" s="279">
        <f t="shared" si="88"/>
        <v>-92.65823532713631</v>
      </c>
      <c r="AI170">
        <f t="shared" si="89"/>
        <v>0</v>
      </c>
      <c r="AJ170">
        <f t="shared" si="94"/>
        <v>0</v>
      </c>
      <c r="AK170">
        <f t="shared" si="90"/>
        <v>0</v>
      </c>
      <c r="AL170">
        <f t="shared" si="91"/>
        <v>0</v>
      </c>
      <c r="AM170"/>
      <c r="AN170"/>
    </row>
    <row r="171" spans="2:40" x14ac:dyDescent="0.2">
      <c r="B171" s="280">
        <v>9605.5249999999996</v>
      </c>
      <c r="C171" s="270">
        <f t="shared" si="64"/>
        <v>7.9093987578589777</v>
      </c>
      <c r="D171" s="271">
        <f t="shared" si="65"/>
        <v>1.4440251842183069</v>
      </c>
      <c r="E171" s="271">
        <f t="shared" si="66"/>
        <v>1.000123109599435</v>
      </c>
      <c r="F171" s="272">
        <f t="shared" si="67"/>
        <v>1.5690568554624976E-2</v>
      </c>
      <c r="G171" s="271">
        <f t="shared" si="68"/>
        <v>1.0047133965664155</v>
      </c>
      <c r="H171" s="272">
        <f t="shared" si="69"/>
        <v>-9.6901571734392719E-2</v>
      </c>
      <c r="I171" s="270">
        <f t="shared" si="70"/>
        <v>33802.91407818751</v>
      </c>
      <c r="J171" s="273">
        <f t="shared" si="71"/>
        <v>1.5707667435466053</v>
      </c>
      <c r="K171" s="281">
        <f t="shared" si="72"/>
        <v>5.1673611656994085</v>
      </c>
      <c r="L171" s="282">
        <f t="shared" si="73"/>
        <v>1.3760451984771849</v>
      </c>
      <c r="M171" s="270">
        <f t="shared" si="74"/>
        <v>1.0295979648356184</v>
      </c>
      <c r="N171" s="273">
        <f t="shared" si="75"/>
        <v>0.24035768067693011</v>
      </c>
      <c r="O171" s="270">
        <f t="shared" si="76"/>
        <v>2655.638048451573</v>
      </c>
      <c r="P171" s="273">
        <f t="shared" si="77"/>
        <v>1.5704197694458197</v>
      </c>
      <c r="Q171" s="271">
        <f t="shared" si="78"/>
        <v>1.0043100121634507</v>
      </c>
      <c r="R171" s="272">
        <f t="shared" si="79"/>
        <v>9.2677815188979717E-2</v>
      </c>
      <c r="S171" s="270">
        <f t="shared" si="80"/>
        <v>1.0000002260803527</v>
      </c>
      <c r="T171" s="273">
        <f t="shared" si="81"/>
        <v>6.7242889595684277E-4</v>
      </c>
      <c r="U171" s="274">
        <f t="shared" si="82"/>
        <v>1.0020652662343306</v>
      </c>
      <c r="V171" s="275">
        <f t="shared" si="83"/>
        <v>9.3694303854192432E-2</v>
      </c>
      <c r="W171" s="276">
        <f t="shared" si="84"/>
        <v>-7.8316747050468072</v>
      </c>
      <c r="X171" s="277">
        <f t="shared" si="93"/>
        <v>-117.68608786288144</v>
      </c>
      <c r="Y171" s="299">
        <f t="shared" si="92"/>
        <v>62.313912137118564</v>
      </c>
      <c r="AB171" s="278">
        <f t="shared" si="85"/>
        <v>-1.0040349907455302</v>
      </c>
      <c r="AC171" s="279">
        <f t="shared" si="86"/>
        <v>-24.928203389085468</v>
      </c>
      <c r="AF171" s="278">
        <f t="shared" si="87"/>
        <v>54.975892892680484</v>
      </c>
      <c r="AG171" s="279">
        <f t="shared" si="88"/>
        <v>-92.75788447379594</v>
      </c>
      <c r="AI171">
        <f t="shared" si="89"/>
        <v>0</v>
      </c>
      <c r="AJ171">
        <f t="shared" si="94"/>
        <v>0</v>
      </c>
      <c r="AK171">
        <f t="shared" si="90"/>
        <v>0</v>
      </c>
      <c r="AL171">
        <f t="shared" si="91"/>
        <v>0</v>
      </c>
      <c r="AM171"/>
      <c r="AN171"/>
    </row>
    <row r="172" spans="2:40" x14ac:dyDescent="0.2">
      <c r="B172" s="280">
        <v>9661.15</v>
      </c>
      <c r="C172" s="270">
        <f t="shared" si="64"/>
        <v>7.9544715110712287</v>
      </c>
      <c r="D172" s="271">
        <f t="shared" si="65"/>
        <v>1.4447473526170804</v>
      </c>
      <c r="E172" s="271">
        <f t="shared" si="66"/>
        <v>1.0001245394789999</v>
      </c>
      <c r="F172" s="272">
        <f t="shared" si="67"/>
        <v>1.5781416622421909E-2</v>
      </c>
      <c r="G172" s="271">
        <f t="shared" si="68"/>
        <v>1.0047680147009397</v>
      </c>
      <c r="H172" s="272">
        <f t="shared" si="69"/>
        <v>-9.7459186264757261E-2</v>
      </c>
      <c r="I172" s="270">
        <f t="shared" si="70"/>
        <v>33998.664658604328</v>
      </c>
      <c r="J172" s="273">
        <f t="shared" si="71"/>
        <v>1.5707669138750016</v>
      </c>
      <c r="K172" s="281">
        <f t="shared" si="72"/>
        <v>5.1961674639476039</v>
      </c>
      <c r="L172" s="282">
        <f t="shared" si="73"/>
        <v>1.3771385940439522</v>
      </c>
      <c r="M172" s="270">
        <f t="shared" si="74"/>
        <v>1.0299367601006137</v>
      </c>
      <c r="N172" s="273">
        <f t="shared" si="75"/>
        <v>0.24169614483745011</v>
      </c>
      <c r="O172" s="270">
        <f t="shared" si="76"/>
        <v>2671.0166816402239</v>
      </c>
      <c r="P172" s="273">
        <f t="shared" si="77"/>
        <v>1.5704219375107582</v>
      </c>
      <c r="Q172" s="271">
        <f t="shared" si="78"/>
        <v>1.0043599660617479</v>
      </c>
      <c r="R172" s="272">
        <f t="shared" si="79"/>
        <v>9.3211412273698696E-2</v>
      </c>
      <c r="S172" s="270">
        <f t="shared" si="80"/>
        <v>1.0000002287063685</v>
      </c>
      <c r="T172" s="273">
        <f t="shared" si="81"/>
        <v>6.76322888837444E-4</v>
      </c>
      <c r="U172" s="274">
        <f t="shared" si="82"/>
        <v>1.0020892619695387</v>
      </c>
      <c r="V172" s="275">
        <f t="shared" si="83"/>
        <v>9.4236225681729013E-2</v>
      </c>
      <c r="W172" s="276">
        <f t="shared" si="84"/>
        <v>-7.8854808953104047</v>
      </c>
      <c r="X172" s="277">
        <f t="shared" si="93"/>
        <v>-117.79930980130756</v>
      </c>
      <c r="Y172" s="299">
        <f t="shared" si="92"/>
        <v>62.200690198692442</v>
      </c>
      <c r="AB172" s="278">
        <f t="shared" si="85"/>
        <v>-1.0087605876817509</v>
      </c>
      <c r="AC172" s="279">
        <f t="shared" si="86"/>
        <v>-24.942254544296944</v>
      </c>
      <c r="AF172" s="278">
        <f t="shared" si="87"/>
        <v>54.926812299353109</v>
      </c>
      <c r="AG172" s="279">
        <f t="shared" si="88"/>
        <v>-92.857055257010629</v>
      </c>
      <c r="AI172">
        <f t="shared" si="89"/>
        <v>0</v>
      </c>
      <c r="AJ172">
        <f t="shared" si="94"/>
        <v>0</v>
      </c>
      <c r="AK172">
        <f t="shared" si="90"/>
        <v>0</v>
      </c>
      <c r="AL172">
        <f t="shared" si="91"/>
        <v>0</v>
      </c>
      <c r="AM172"/>
      <c r="AN172"/>
    </row>
    <row r="173" spans="2:40" x14ac:dyDescent="0.2">
      <c r="B173" s="280">
        <v>9716.7749999999996</v>
      </c>
      <c r="C173" s="270">
        <f t="shared" si="64"/>
        <v>7.9995483660070361</v>
      </c>
      <c r="D173" s="271">
        <f t="shared" si="65"/>
        <v>1.4454613826552474</v>
      </c>
      <c r="E173" s="271">
        <f t="shared" si="66"/>
        <v>1.0001259776129408</v>
      </c>
      <c r="F173" s="272">
        <f t="shared" si="67"/>
        <v>1.5872264429698173E-2</v>
      </c>
      <c r="G173" s="271">
        <f t="shared" si="68"/>
        <v>1.004822945217946</v>
      </c>
      <c r="H173" s="272">
        <f t="shared" si="69"/>
        <v>-9.8016740002395561E-2</v>
      </c>
      <c r="I173" s="270">
        <f t="shared" si="70"/>
        <v>34194.415239022135</v>
      </c>
      <c r="J173" s="273">
        <f t="shared" si="71"/>
        <v>1.5707670822532616</v>
      </c>
      <c r="K173" s="281">
        <f t="shared" si="72"/>
        <v>5.2249799057848989</v>
      </c>
      <c r="L173" s="282">
        <f t="shared" si="73"/>
        <v>1.3782199321290067</v>
      </c>
      <c r="M173" s="270">
        <f t="shared" si="74"/>
        <v>1.0302773992677936</v>
      </c>
      <c r="N173" s="273">
        <f t="shared" si="75"/>
        <v>0.24303372632386691</v>
      </c>
      <c r="O173" s="270">
        <f t="shared" si="76"/>
        <v>2686.3953148412861</v>
      </c>
      <c r="P173" s="273">
        <f t="shared" si="77"/>
        <v>1.5704240807529348</v>
      </c>
      <c r="Q173" s="271">
        <f t="shared" si="78"/>
        <v>1.0044102058987965</v>
      </c>
      <c r="R173" s="272">
        <f t="shared" si="79"/>
        <v>9.3744956130075482E-2</v>
      </c>
      <c r="S173" s="270">
        <f t="shared" si="80"/>
        <v>1.0000002313475476</v>
      </c>
      <c r="T173" s="273">
        <f t="shared" si="81"/>
        <v>6.8021688169753495E-4</v>
      </c>
      <c r="U173" s="274">
        <f t="shared" si="82"/>
        <v>1.0021133964189948</v>
      </c>
      <c r="V173" s="275">
        <f t="shared" si="83"/>
        <v>9.4778136154576254E-2</v>
      </c>
      <c r="W173" s="276">
        <f t="shared" si="84"/>
        <v>-7.938994505177992</v>
      </c>
      <c r="X173" s="277">
        <f t="shared" si="93"/>
        <v>-117.91270148478142</v>
      </c>
      <c r="Y173" s="299">
        <f t="shared" si="92"/>
        <v>62.087298515218578</v>
      </c>
      <c r="AB173" s="278">
        <f t="shared" si="85"/>
        <v>-1.01346958559556</v>
      </c>
      <c r="AC173" s="279">
        <f t="shared" si="86"/>
        <v>-24.956945857086733</v>
      </c>
      <c r="AF173" s="278">
        <f t="shared" si="87"/>
        <v>54.878007687399318</v>
      </c>
      <c r="AG173" s="279">
        <f t="shared" si="88"/>
        <v>-92.955755627694714</v>
      </c>
      <c r="AI173">
        <f t="shared" si="89"/>
        <v>0</v>
      </c>
      <c r="AJ173">
        <f t="shared" si="94"/>
        <v>0</v>
      </c>
      <c r="AK173">
        <f t="shared" si="90"/>
        <v>0</v>
      </c>
      <c r="AL173">
        <f t="shared" si="91"/>
        <v>0</v>
      </c>
      <c r="AM173"/>
      <c r="AN173"/>
    </row>
    <row r="174" spans="2:40" x14ac:dyDescent="0.2">
      <c r="B174" s="280">
        <v>9772.4</v>
      </c>
      <c r="C174" s="270">
        <f t="shared" si="64"/>
        <v>8.0446292537162467</v>
      </c>
      <c r="D174" s="271">
        <f t="shared" si="65"/>
        <v>1.4461674104169702</v>
      </c>
      <c r="E174" s="271">
        <f t="shared" si="66"/>
        <v>1.0001274240012215</v>
      </c>
      <c r="F174" s="272">
        <f t="shared" si="67"/>
        <v>1.596311197495531E-2</v>
      </c>
      <c r="G174" s="271">
        <f t="shared" si="68"/>
        <v>1.0048781880662065</v>
      </c>
      <c r="H174" s="272">
        <f t="shared" si="69"/>
        <v>-9.8574232610656523E-2</v>
      </c>
      <c r="I174" s="270">
        <f t="shared" si="70"/>
        <v>34390.165819440896</v>
      </c>
      <c r="J174" s="273">
        <f t="shared" si="71"/>
        <v>1.5707672487146864</v>
      </c>
      <c r="K174" s="281">
        <f t="shared" si="72"/>
        <v>5.2537983901348202</v>
      </c>
      <c r="L174" s="282">
        <f t="shared" si="73"/>
        <v>1.3792894085980214</v>
      </c>
      <c r="M174" s="270">
        <f t="shared" si="74"/>
        <v>1.0306198805088254</v>
      </c>
      <c r="N174" s="273">
        <f t="shared" si="75"/>
        <v>0.24437042122758462</v>
      </c>
      <c r="O174" s="270">
        <f t="shared" si="76"/>
        <v>2701.7739480545474</v>
      </c>
      <c r="P174" s="273">
        <f t="shared" si="77"/>
        <v>1.5704261995962268</v>
      </c>
      <c r="Q174" s="271">
        <f t="shared" si="78"/>
        <v>1.0044607316316914</v>
      </c>
      <c r="R174" s="272">
        <f t="shared" si="79"/>
        <v>9.4278446462353047E-2</v>
      </c>
      <c r="S174" s="270">
        <f t="shared" si="80"/>
        <v>1.00000023400389</v>
      </c>
      <c r="T174" s="273">
        <f t="shared" si="81"/>
        <v>6.8411087453699722E-4</v>
      </c>
      <c r="U174" s="274">
        <f t="shared" si="82"/>
        <v>1.0021376695854092</v>
      </c>
      <c r="V174" s="275">
        <f t="shared" si="83"/>
        <v>9.5320035207656695E-2</v>
      </c>
      <c r="W174" s="276">
        <f t="shared" si="84"/>
        <v>-7.9922191769137809</v>
      </c>
      <c r="X174" s="277">
        <f t="shared" si="93"/>
        <v>-118.02625924310532</v>
      </c>
      <c r="Y174" s="299">
        <f t="shared" si="92"/>
        <v>61.973740756894685</v>
      </c>
      <c r="AB174" s="278">
        <f t="shared" si="85"/>
        <v>-1.0181626413275722</v>
      </c>
      <c r="AC174" s="279">
        <f t="shared" si="86"/>
        <v>-24.972265883140405</v>
      </c>
      <c r="AF174" s="278">
        <f t="shared" si="87"/>
        <v>54.829476071395547</v>
      </c>
      <c r="AG174" s="279">
        <f t="shared" si="88"/>
        <v>-93.053993359964878</v>
      </c>
      <c r="AI174">
        <f t="shared" si="89"/>
        <v>0</v>
      </c>
      <c r="AJ174">
        <f t="shared" si="94"/>
        <v>0</v>
      </c>
      <c r="AK174">
        <f t="shared" si="90"/>
        <v>0</v>
      </c>
      <c r="AL174">
        <f t="shared" si="91"/>
        <v>0</v>
      </c>
      <c r="AM174"/>
      <c r="AN174"/>
    </row>
    <row r="175" spans="2:40" x14ac:dyDescent="0.2">
      <c r="B175" s="280">
        <v>9829.2999999999993</v>
      </c>
      <c r="C175" s="270">
        <f t="shared" si="64"/>
        <v>8.0907475583636081</v>
      </c>
      <c r="D175" s="271">
        <f t="shared" si="65"/>
        <v>1.4468814805018535</v>
      </c>
      <c r="E175" s="271">
        <f t="shared" si="66"/>
        <v>1.0001289120829437</v>
      </c>
      <c r="F175" s="272">
        <f t="shared" si="67"/>
        <v>1.60560415957819E-2</v>
      </c>
      <c r="G175" s="271">
        <f t="shared" si="68"/>
        <v>1.0049350202532144</v>
      </c>
      <c r="H175" s="272">
        <f t="shared" si="69"/>
        <v>-9.9144440103248105E-2</v>
      </c>
      <c r="I175" s="270">
        <f t="shared" si="70"/>
        <v>34590.403267097194</v>
      </c>
      <c r="J175" s="273">
        <f t="shared" si="71"/>
        <v>1.5707674170423154</v>
      </c>
      <c r="K175" s="281">
        <f t="shared" si="72"/>
        <v>5.2832835817693109</v>
      </c>
      <c r="L175" s="282">
        <f t="shared" si="73"/>
        <v>1.3803713261844348</v>
      </c>
      <c r="M175" s="270">
        <f t="shared" si="74"/>
        <v>1.0309721158597125</v>
      </c>
      <c r="N175" s="273">
        <f t="shared" si="75"/>
        <v>0.24573683362648815</v>
      </c>
      <c r="O175" s="270">
        <f t="shared" si="76"/>
        <v>2717.5050802886994</v>
      </c>
      <c r="P175" s="273">
        <f t="shared" si="77"/>
        <v>1.5704283421939396</v>
      </c>
      <c r="Q175" s="271">
        <f t="shared" si="78"/>
        <v>1.004512711238158</v>
      </c>
      <c r="R175" s="272">
        <f t="shared" si="79"/>
        <v>9.4824109425781261E-2</v>
      </c>
      <c r="S175" s="270">
        <f t="shared" si="80"/>
        <v>1.0000002367368077</v>
      </c>
      <c r="T175" s="273">
        <f t="shared" si="81"/>
        <v>6.880941229212012E-4</v>
      </c>
      <c r="U175" s="274">
        <f t="shared" si="82"/>
        <v>1.0021626426511367</v>
      </c>
      <c r="V175" s="275">
        <f t="shared" si="83"/>
        <v>9.587434343444165E-2</v>
      </c>
      <c r="W175" s="276">
        <f t="shared" si="84"/>
        <v>-8.0463686092481588</v>
      </c>
      <c r="X175" s="277">
        <f t="shared" si="93"/>
        <v>-118.1425879714087</v>
      </c>
      <c r="Y175" s="299">
        <f t="shared" si="92"/>
        <v>61.857412028591298</v>
      </c>
      <c r="AB175" s="278">
        <f t="shared" si="85"/>
        <v>-1.0229474388112298</v>
      </c>
      <c r="AC175" s="279">
        <f t="shared" si="86"/>
        <v>-24.988575879652178</v>
      </c>
      <c r="AF175" s="278">
        <f t="shared" si="87"/>
        <v>54.780111436544836</v>
      </c>
      <c r="AG175" s="279">
        <f t="shared" si="88"/>
        <v>-93.154012091756513</v>
      </c>
      <c r="AI175">
        <f t="shared" si="89"/>
        <v>0</v>
      </c>
      <c r="AJ175">
        <f t="shared" si="94"/>
        <v>0</v>
      </c>
      <c r="AK175">
        <f t="shared" si="90"/>
        <v>0</v>
      </c>
      <c r="AL175">
        <f t="shared" si="91"/>
        <v>0</v>
      </c>
      <c r="AM175"/>
      <c r="AN175"/>
    </row>
    <row r="176" spans="2:40" x14ac:dyDescent="0.2">
      <c r="B176" s="280">
        <v>9886.2000000000007</v>
      </c>
      <c r="C176" s="270">
        <f t="shared" si="64"/>
        <v>8.1368699416857666</v>
      </c>
      <c r="D176" s="271">
        <f t="shared" si="65"/>
        <v>1.4475874557877089</v>
      </c>
      <c r="E176" s="271">
        <f t="shared" si="66"/>
        <v>1.000130408801668</v>
      </c>
      <c r="F176" s="272">
        <f t="shared" si="67"/>
        <v>1.6148970939268287E-2</v>
      </c>
      <c r="G176" s="271">
        <f t="shared" si="68"/>
        <v>1.0049921791443459</v>
      </c>
      <c r="H176" s="272">
        <f t="shared" si="69"/>
        <v>-9.9714582920138489E-2</v>
      </c>
      <c r="I176" s="270">
        <f t="shared" si="70"/>
        <v>34790.640714754467</v>
      </c>
      <c r="J176" s="273">
        <f t="shared" si="71"/>
        <v>1.5707675834323258</v>
      </c>
      <c r="K176" s="281">
        <f t="shared" si="72"/>
        <v>5.3127748890799404</v>
      </c>
      <c r="L176" s="282">
        <f t="shared" si="73"/>
        <v>1.3814412335243744</v>
      </c>
      <c r="M176" s="270">
        <f t="shared" si="74"/>
        <v>1.0313262748040004</v>
      </c>
      <c r="N176" s="273">
        <f t="shared" si="75"/>
        <v>0.24710231011737979</v>
      </c>
      <c r="O176" s="270">
        <f t="shared" si="76"/>
        <v>2733.2362125351833</v>
      </c>
      <c r="P176" s="273">
        <f t="shared" si="77"/>
        <v>1.5704304601282237</v>
      </c>
      <c r="Q176" s="271">
        <f t="shared" si="78"/>
        <v>1.0045649899053413</v>
      </c>
      <c r="R176" s="272">
        <f t="shared" si="79"/>
        <v>9.5369715757846904E-2</v>
      </c>
      <c r="S176" s="270">
        <f t="shared" si="80"/>
        <v>1.0000002394855918</v>
      </c>
      <c r="T176" s="273">
        <f t="shared" si="81"/>
        <v>6.9207737128357033E-4</v>
      </c>
      <c r="U176" s="274">
        <f t="shared" si="82"/>
        <v>1.0021877608716496</v>
      </c>
      <c r="V176" s="275">
        <f t="shared" si="83"/>
        <v>9.6428639574212799E-2</v>
      </c>
      <c r="W176" s="276">
        <f t="shared" si="84"/>
        <v>-8.1002232047698683</v>
      </c>
      <c r="X176" s="277">
        <f t="shared" si="93"/>
        <v>-118.25908292144003</v>
      </c>
      <c r="Y176" s="299">
        <f t="shared" si="92"/>
        <v>61.740917078559974</v>
      </c>
      <c r="AB176" s="278">
        <f t="shared" si="85"/>
        <v>-1.0277168856958978</v>
      </c>
      <c r="AC176" s="279">
        <f t="shared" si="86"/>
        <v>-25.005520278001335</v>
      </c>
      <c r="AF176" s="278">
        <f t="shared" si="87"/>
        <v>54.731026287907795</v>
      </c>
      <c r="AG176" s="279">
        <f t="shared" si="88"/>
        <v>-93.253562643438698</v>
      </c>
      <c r="AI176">
        <f t="shared" si="89"/>
        <v>0</v>
      </c>
      <c r="AJ176">
        <f t="shared" si="94"/>
        <v>0</v>
      </c>
      <c r="AK176">
        <f t="shared" si="90"/>
        <v>0</v>
      </c>
      <c r="AL176">
        <f t="shared" si="91"/>
        <v>0</v>
      </c>
      <c r="AM176"/>
      <c r="AN176"/>
    </row>
    <row r="177" spans="2:40" x14ac:dyDescent="0.2">
      <c r="B177" s="280">
        <v>9943.1</v>
      </c>
      <c r="C177" s="270">
        <f t="shared" si="64"/>
        <v>8.1829963347159769</v>
      </c>
      <c r="D177" s="271">
        <f t="shared" si="65"/>
        <v>1.4482854724525132</v>
      </c>
      <c r="E177" s="271">
        <f t="shared" si="66"/>
        <v>1.0001319141573555</v>
      </c>
      <c r="F177" s="272">
        <f t="shared" si="67"/>
        <v>1.624190000381066E-2</v>
      </c>
      <c r="G177" s="271">
        <f t="shared" si="68"/>
        <v>1.0050496646838607</v>
      </c>
      <c r="H177" s="272">
        <f t="shared" si="69"/>
        <v>-0.10028466070172962</v>
      </c>
      <c r="I177" s="270">
        <f t="shared" si="70"/>
        <v>34990.878162412686</v>
      </c>
      <c r="J177" s="273">
        <f t="shared" si="71"/>
        <v>1.570767747917982</v>
      </c>
      <c r="K177" s="281">
        <f t="shared" si="72"/>
        <v>5.3422722107843637</v>
      </c>
      <c r="L177" s="282">
        <f t="shared" si="73"/>
        <v>1.3824993270913819</v>
      </c>
      <c r="M177" s="270">
        <f t="shared" si="74"/>
        <v>1.0316823553606789</v>
      </c>
      <c r="N177" s="273">
        <f t="shared" si="75"/>
        <v>0.2484668465748022</v>
      </c>
      <c r="O177" s="270">
        <f t="shared" si="76"/>
        <v>2748.9673447937862</v>
      </c>
      <c r="P177" s="273">
        <f t="shared" si="77"/>
        <v>1.5704325538224935</v>
      </c>
      <c r="Q177" s="271">
        <f t="shared" si="78"/>
        <v>1.0046175675865534</v>
      </c>
      <c r="R177" s="272">
        <f t="shared" si="79"/>
        <v>9.5915265142577366E-2</v>
      </c>
      <c r="S177" s="270">
        <f t="shared" si="80"/>
        <v>1.0000002422502419</v>
      </c>
      <c r="T177" s="273">
        <f t="shared" si="81"/>
        <v>6.9606061962397797E-4</v>
      </c>
      <c r="U177" s="274">
        <f t="shared" si="82"/>
        <v>1.0022130242498994</v>
      </c>
      <c r="V177" s="275">
        <f t="shared" si="83"/>
        <v>9.6982923557331083E-2</v>
      </c>
      <c r="W177" s="276">
        <f t="shared" si="84"/>
        <v>-8.153786651666513</v>
      </c>
      <c r="X177" s="277">
        <f t="shared" si="93"/>
        <v>-118.37574037955092</v>
      </c>
      <c r="Y177" s="299">
        <f t="shared" si="92"/>
        <v>61.624259620449081</v>
      </c>
      <c r="AB177" s="278">
        <f t="shared" si="85"/>
        <v>-1.032471625950258</v>
      </c>
      <c r="AC177" s="279">
        <f t="shared" si="86"/>
        <v>-25.023087586617791</v>
      </c>
      <c r="AF177" s="278">
        <f t="shared" si="87"/>
        <v>54.682217581265505</v>
      </c>
      <c r="AG177" s="279">
        <f t="shared" si="88"/>
        <v>-93.352652792933128</v>
      </c>
      <c r="AI177">
        <f t="shared" si="89"/>
        <v>0</v>
      </c>
      <c r="AJ177">
        <f t="shared" si="94"/>
        <v>0</v>
      </c>
      <c r="AK177">
        <f t="shared" si="90"/>
        <v>0</v>
      </c>
      <c r="AL177">
        <f t="shared" si="91"/>
        <v>0</v>
      </c>
      <c r="AM177"/>
      <c r="AN177"/>
    </row>
    <row r="178" spans="2:40" x14ac:dyDescent="0.2">
      <c r="B178" s="280">
        <v>10000</v>
      </c>
      <c r="C178" s="270">
        <f t="shared" si="64"/>
        <v>8.229126670027874</v>
      </c>
      <c r="D178" s="271">
        <f t="shared" si="65"/>
        <v>1.4489756636521507</v>
      </c>
      <c r="E178" s="271">
        <f t="shared" si="66"/>
        <v>1.0001334281499672</v>
      </c>
      <c r="F178" s="272">
        <f t="shared" si="67"/>
        <v>1.6334828787805254E-2</v>
      </c>
      <c r="G178" s="271">
        <f t="shared" si="68"/>
        <v>1.0051074768157124</v>
      </c>
      <c r="H178" s="272">
        <f t="shared" si="69"/>
        <v>-0.10085467308867453</v>
      </c>
      <c r="I178" s="270">
        <f t="shared" si="70"/>
        <v>35191.115610071851</v>
      </c>
      <c r="J178" s="273">
        <f t="shared" si="71"/>
        <v>1.5707679105317915</v>
      </c>
      <c r="K178" s="281">
        <f t="shared" si="72"/>
        <v>5.3717754478044419</v>
      </c>
      <c r="L178" s="282">
        <f t="shared" si="73"/>
        <v>1.3835457991497917</v>
      </c>
      <c r="M178" s="270">
        <f t="shared" si="74"/>
        <v>1.0320403555407303</v>
      </c>
      <c r="N178" s="273">
        <f t="shared" si="75"/>
        <v>0.24983043889297873</v>
      </c>
      <c r="O178" s="270">
        <f t="shared" si="76"/>
        <v>2764.6984770643026</v>
      </c>
      <c r="P178" s="273">
        <f t="shared" si="77"/>
        <v>1.5704346236905253</v>
      </c>
      <c r="Q178" s="271">
        <f t="shared" si="78"/>
        <v>1.0046704442348493</v>
      </c>
      <c r="R178" s="272">
        <f t="shared" si="79"/>
        <v>9.6460757264201696E-2</v>
      </c>
      <c r="S178" s="270">
        <f t="shared" si="80"/>
        <v>1.0000002450307586</v>
      </c>
      <c r="T178" s="273">
        <f t="shared" si="81"/>
        <v>7.000438679422977E-4</v>
      </c>
      <c r="U178" s="274">
        <f t="shared" si="82"/>
        <v>1.0022384327888538</v>
      </c>
      <c r="V178" s="275">
        <f t="shared" si="83"/>
        <v>9.753719531416323E-2</v>
      </c>
      <c r="W178" s="276">
        <f t="shared" si="84"/>
        <v>-8.2070625706120062</v>
      </c>
      <c r="X178" s="277">
        <f t="shared" si="93"/>
        <v>-118.49255670120864</v>
      </c>
      <c r="Y178" s="299">
        <f t="shared" si="92"/>
        <v>61.507443298791358</v>
      </c>
      <c r="AB178" s="278">
        <f t="shared" si="85"/>
        <v>-1.0372122849000234</v>
      </c>
      <c r="AC178" s="279">
        <f t="shared" si="86"/>
        <v>-25.041266556185505</v>
      </c>
      <c r="AF178" s="278">
        <f t="shared" si="87"/>
        <v>54.633682321269781</v>
      </c>
      <c r="AG178" s="279">
        <f t="shared" si="88"/>
        <v>-93.451290145023151</v>
      </c>
      <c r="AI178">
        <f t="shared" si="89"/>
        <v>0</v>
      </c>
      <c r="AJ178">
        <f t="shared" si="94"/>
        <v>0</v>
      </c>
      <c r="AK178">
        <f t="shared" si="90"/>
        <v>0</v>
      </c>
      <c r="AL178">
        <f t="shared" si="91"/>
        <v>0</v>
      </c>
      <c r="AM178"/>
      <c r="AN178"/>
    </row>
    <row r="179" spans="2:40" x14ac:dyDescent="0.2">
      <c r="B179" s="280">
        <v>10058.25</v>
      </c>
      <c r="C179" s="270">
        <f t="shared" si="64"/>
        <v>8.2763555009222056</v>
      </c>
      <c r="D179" s="271">
        <f t="shared" si="65"/>
        <v>1.4496742599845389</v>
      </c>
      <c r="E179" s="271">
        <f t="shared" si="66"/>
        <v>1.0001349870100089</v>
      </c>
      <c r="F179" s="272">
        <f t="shared" si="67"/>
        <v>1.6429962092491378E-2</v>
      </c>
      <c r="G179" s="271">
        <f t="shared" si="68"/>
        <v>1.0051669988370897</v>
      </c>
      <c r="H179" s="272">
        <f t="shared" si="69"/>
        <v>-0.10143814138006343</v>
      </c>
      <c r="I179" s="270">
        <f t="shared" si="70"/>
        <v>35396.103858335468</v>
      </c>
      <c r="J179" s="273">
        <f t="shared" si="71"/>
        <v>1.5707680750979263</v>
      </c>
      <c r="K179" s="281">
        <f t="shared" si="72"/>
        <v>5.4019847000601855</v>
      </c>
      <c r="L179" s="282">
        <f t="shared" si="73"/>
        <v>1.3846052576888377</v>
      </c>
      <c r="M179" s="270">
        <f t="shared" si="74"/>
        <v>1.0324088359695625</v>
      </c>
      <c r="N179" s="273">
        <f t="shared" si="75"/>
        <v>0.25122540130553711</v>
      </c>
      <c r="O179" s="270">
        <f t="shared" si="76"/>
        <v>2780.8028435923829</v>
      </c>
      <c r="P179" s="273">
        <f t="shared" si="77"/>
        <v>1.5704367184091899</v>
      </c>
      <c r="Q179" s="271">
        <f t="shared" si="78"/>
        <v>1.0047248850675794</v>
      </c>
      <c r="R179" s="272">
        <f t="shared" si="79"/>
        <v>9.7019131995169594E-2</v>
      </c>
      <c r="S179" s="270">
        <f t="shared" si="80"/>
        <v>1.0000002478936807</v>
      </c>
      <c r="T179" s="273">
        <f t="shared" si="81"/>
        <v>7.0412162212916507E-4</v>
      </c>
      <c r="U179" s="274">
        <f t="shared" si="82"/>
        <v>1.0022645945373716</v>
      </c>
      <c r="V179" s="275">
        <f t="shared" si="83"/>
        <v>9.8104604893590117E-2</v>
      </c>
      <c r="W179" s="276">
        <f t="shared" si="84"/>
        <v>-8.2613083745874203</v>
      </c>
      <c r="X179" s="277">
        <f t="shared" si="93"/>
        <v>-118.61230541542841</v>
      </c>
      <c r="Y179" s="299">
        <f t="shared" si="92"/>
        <v>61.387694584571591</v>
      </c>
      <c r="AB179" s="278">
        <f t="shared" si="85"/>
        <v>-1.0420514674726333</v>
      </c>
      <c r="AC179" s="279">
        <f t="shared" si="86"/>
        <v>-25.060498941093016</v>
      </c>
      <c r="AF179" s="278">
        <f t="shared" si="87"/>
        <v>54.584275699866971</v>
      </c>
      <c r="AG179" s="279">
        <f t="shared" si="88"/>
        <v>-93.551806474335422</v>
      </c>
      <c r="AI179">
        <f t="shared" si="89"/>
        <v>0</v>
      </c>
      <c r="AJ179">
        <f t="shared" si="94"/>
        <v>0</v>
      </c>
      <c r="AK179">
        <f t="shared" si="90"/>
        <v>0</v>
      </c>
      <c r="AL179">
        <f t="shared" si="91"/>
        <v>0</v>
      </c>
      <c r="AM179"/>
      <c r="AN179"/>
    </row>
    <row r="180" spans="2:40" x14ac:dyDescent="0.2">
      <c r="B180" s="280">
        <v>10116.5</v>
      </c>
      <c r="C180" s="270">
        <f t="shared" si="64"/>
        <v>8.3235883251445184</v>
      </c>
      <c r="D180" s="271">
        <f t="shared" si="65"/>
        <v>1.4503649281765878</v>
      </c>
      <c r="E180" s="271">
        <f t="shared" si="66"/>
        <v>1.0001365549215897</v>
      </c>
      <c r="F180" s="272">
        <f t="shared" si="67"/>
        <v>1.6525095099757997E-2</v>
      </c>
      <c r="G180" s="271">
        <f t="shared" si="68"/>
        <v>1.0052268630121499</v>
      </c>
      <c r="H180" s="272">
        <f t="shared" si="69"/>
        <v>-0.10202154037558439</v>
      </c>
      <c r="I180" s="270">
        <f t="shared" si="70"/>
        <v>35601.092106600037</v>
      </c>
      <c r="J180" s="273">
        <f t="shared" si="71"/>
        <v>1.5707682377689438</v>
      </c>
      <c r="K180" s="281">
        <f t="shared" si="72"/>
        <v>5.4321999483429737</v>
      </c>
      <c r="L180" s="282">
        <f t="shared" si="73"/>
        <v>1.3856529314487473</v>
      </c>
      <c r="M180" s="270">
        <f t="shared" si="74"/>
        <v>1.0327793239477017</v>
      </c>
      <c r="N180" s="273">
        <f t="shared" si="75"/>
        <v>0.25261936560185144</v>
      </c>
      <c r="O180" s="270">
        <f t="shared" si="76"/>
        <v>2796.9072101325237</v>
      </c>
      <c r="P180" s="273">
        <f t="shared" si="77"/>
        <v>1.5704387890054117</v>
      </c>
      <c r="Q180" s="271">
        <f t="shared" si="78"/>
        <v>1.0047796391217829</v>
      </c>
      <c r="R180" s="272">
        <f t="shared" si="79"/>
        <v>9.7577446044501873E-2</v>
      </c>
      <c r="S180" s="270">
        <f t="shared" si="80"/>
        <v>1.0000002507732306</v>
      </c>
      <c r="T180" s="273">
        <f t="shared" si="81"/>
        <v>7.0819937629261584E-4</v>
      </c>
      <c r="U180" s="274">
        <f t="shared" si="82"/>
        <v>1.0022909084227729</v>
      </c>
      <c r="V180" s="275">
        <f t="shared" si="83"/>
        <v>9.8672001512024543E-2</v>
      </c>
      <c r="W180" s="276">
        <f t="shared" si="84"/>
        <v>-8.3152603143303594</v>
      </c>
      <c r="X180" s="277">
        <f t="shared" si="93"/>
        <v>-118.73221310641389</v>
      </c>
      <c r="Y180" s="299">
        <f t="shared" si="92"/>
        <v>61.267786893586106</v>
      </c>
      <c r="AB180" s="278">
        <f t="shared" si="85"/>
        <v>-1.04687716160238</v>
      </c>
      <c r="AC180" s="279">
        <f t="shared" si="86"/>
        <v>-25.080349247677081</v>
      </c>
      <c r="AF180" s="278">
        <f t="shared" si="87"/>
        <v>54.535149454253784</v>
      </c>
      <c r="AG180" s="279">
        <f t="shared" si="88"/>
        <v>-93.651863858736803</v>
      </c>
      <c r="AI180">
        <f t="shared" si="89"/>
        <v>0</v>
      </c>
      <c r="AJ180">
        <f t="shared" si="94"/>
        <v>0</v>
      </c>
      <c r="AK180">
        <f t="shared" si="90"/>
        <v>0</v>
      </c>
      <c r="AL180">
        <f t="shared" si="91"/>
        <v>0</v>
      </c>
      <c r="AM180"/>
      <c r="AN180"/>
    </row>
    <row r="181" spans="2:40" x14ac:dyDescent="0.2">
      <c r="B181" s="280">
        <v>10174.75</v>
      </c>
      <c r="C181" s="270">
        <f t="shared" si="64"/>
        <v>8.370825075097116</v>
      </c>
      <c r="D181" s="271">
        <f t="shared" si="65"/>
        <v>1.4510478017797384</v>
      </c>
      <c r="E181" s="271">
        <f t="shared" si="66"/>
        <v>1.0001381318846669</v>
      </c>
      <c r="F181" s="272">
        <f t="shared" si="67"/>
        <v>1.6620227807884552E-2</v>
      </c>
      <c r="G181" s="271">
        <f t="shared" si="68"/>
        <v>1.0052870692797684</v>
      </c>
      <c r="H181" s="272">
        <f t="shared" si="69"/>
        <v>-0.10260486969052779</v>
      </c>
      <c r="I181" s="270">
        <f t="shared" si="70"/>
        <v>35806.080354865546</v>
      </c>
      <c r="J181" s="273">
        <f t="shared" si="71"/>
        <v>1.5707683985773921</v>
      </c>
      <c r="K181" s="281">
        <f t="shared" si="72"/>
        <v>5.4624210931521766</v>
      </c>
      <c r="L181" s="282">
        <f t="shared" si="73"/>
        <v>1.3866890137101455</v>
      </c>
      <c r="M181" s="270">
        <f t="shared" si="74"/>
        <v>1.0331518173154275</v>
      </c>
      <c r="N181" s="273">
        <f t="shared" si="75"/>
        <v>0.25401232744129387</v>
      </c>
      <c r="O181" s="270">
        <f t="shared" si="76"/>
        <v>2813.0115766845192</v>
      </c>
      <c r="P181" s="273">
        <f t="shared" si="77"/>
        <v>1.5704408358934903</v>
      </c>
      <c r="Q181" s="271">
        <f t="shared" si="78"/>
        <v>1.0048347063462568</v>
      </c>
      <c r="R181" s="272">
        <f t="shared" si="79"/>
        <v>9.8135699074077556E-2</v>
      </c>
      <c r="S181" s="270">
        <f t="shared" si="80"/>
        <v>1.000000253669409</v>
      </c>
      <c r="T181" s="273">
        <f t="shared" si="81"/>
        <v>7.1227713043251471E-4</v>
      </c>
      <c r="U181" s="274">
        <f t="shared" si="82"/>
        <v>1.0023173744482963</v>
      </c>
      <c r="V181" s="275">
        <f t="shared" si="83"/>
        <v>9.9239385094777241E-2</v>
      </c>
      <c r="W181" s="276">
        <f t="shared" si="84"/>
        <v>-8.3689220649792002</v>
      </c>
      <c r="X181" s="277">
        <f t="shared" si="93"/>
        <v>-118.85227607887697</v>
      </c>
      <c r="Y181" s="299">
        <f t="shared" si="92"/>
        <v>61.147723921123031</v>
      </c>
      <c r="AB181" s="278">
        <f t="shared" si="85"/>
        <v>-1.0516899813399183</v>
      </c>
      <c r="AC181" s="279">
        <f t="shared" si="86"/>
        <v>-25.100806154938837</v>
      </c>
      <c r="AF181" s="278">
        <f t="shared" si="87"/>
        <v>54.486300523342479</v>
      </c>
      <c r="AG181" s="279">
        <f t="shared" si="88"/>
        <v>-93.751469923938174</v>
      </c>
      <c r="AI181">
        <f t="shared" si="89"/>
        <v>0</v>
      </c>
      <c r="AJ181">
        <f t="shared" si="94"/>
        <v>0</v>
      </c>
      <c r="AK181">
        <f t="shared" si="90"/>
        <v>0</v>
      </c>
      <c r="AL181">
        <f t="shared" si="91"/>
        <v>0</v>
      </c>
      <c r="AM181"/>
      <c r="AN181"/>
    </row>
    <row r="182" spans="2:40" x14ac:dyDescent="0.2">
      <c r="B182" s="280">
        <v>10233</v>
      </c>
      <c r="C182" s="270">
        <f t="shared" si="64"/>
        <v>8.418065684694005</v>
      </c>
      <c r="D182" s="271">
        <f t="shared" si="65"/>
        <v>1.4517230113770225</v>
      </c>
      <c r="E182" s="271">
        <f t="shared" si="66"/>
        <v>1.000139717899198</v>
      </c>
      <c r="F182" s="272">
        <f t="shared" si="67"/>
        <v>1.6715360215150514E-2</v>
      </c>
      <c r="G182" s="271">
        <f t="shared" si="68"/>
        <v>1.0053476175784855</v>
      </c>
      <c r="H182" s="272">
        <f t="shared" si="69"/>
        <v>-0.10318812894046561</v>
      </c>
      <c r="I182" s="270">
        <f t="shared" si="70"/>
        <v>36011.068603131964</v>
      </c>
      <c r="J182" s="273">
        <f t="shared" si="71"/>
        <v>1.5707685575550789</v>
      </c>
      <c r="K182" s="281">
        <f t="shared" si="72"/>
        <v>5.4926480371578146</v>
      </c>
      <c r="L182" s="282">
        <f t="shared" si="73"/>
        <v>1.3877136935998327</v>
      </c>
      <c r="M182" s="270">
        <f t="shared" si="74"/>
        <v>1.0335263139044519</v>
      </c>
      <c r="N182" s="273">
        <f t="shared" si="75"/>
        <v>0.25540428250503788</v>
      </c>
      <c r="O182" s="270">
        <f t="shared" si="76"/>
        <v>2829.1159432481659</v>
      </c>
      <c r="P182" s="273">
        <f t="shared" si="77"/>
        <v>1.570442859478292</v>
      </c>
      <c r="Q182" s="271">
        <f t="shared" si="78"/>
        <v>1.004890086689517</v>
      </c>
      <c r="R182" s="272">
        <f t="shared" si="79"/>
        <v>9.8693890746001808E-2</v>
      </c>
      <c r="S182" s="270">
        <f t="shared" si="80"/>
        <v>1.0000002565822153</v>
      </c>
      <c r="T182" s="273">
        <f t="shared" si="81"/>
        <v>7.1635488454872603E-4</v>
      </c>
      <c r="U182" s="274">
        <f t="shared" si="82"/>
        <v>1.0023439926171978</v>
      </c>
      <c r="V182" s="275">
        <f t="shared" si="83"/>
        <v>9.9806755567165437E-2</v>
      </c>
      <c r="W182" s="276">
        <f t="shared" si="84"/>
        <v>-8.4222972344203928</v>
      </c>
      <c r="X182" s="277">
        <f t="shared" si="93"/>
        <v>-118.97249070667233</v>
      </c>
      <c r="Y182" s="299">
        <f t="shared" si="92"/>
        <v>61.027509293327668</v>
      </c>
      <c r="AB182" s="278">
        <f t="shared" si="85"/>
        <v>-1.0564905227927286</v>
      </c>
      <c r="AC182" s="279">
        <f t="shared" si="86"/>
        <v>-25.121858581082705</v>
      </c>
      <c r="AF182" s="278">
        <f t="shared" si="87"/>
        <v>54.437725895354099</v>
      </c>
      <c r="AG182" s="279">
        <f t="shared" si="88"/>
        <v>-93.850632125589598</v>
      </c>
      <c r="AI182">
        <f t="shared" si="89"/>
        <v>0</v>
      </c>
      <c r="AJ182">
        <f t="shared" si="94"/>
        <v>0</v>
      </c>
      <c r="AK182">
        <f t="shared" si="90"/>
        <v>0</v>
      </c>
      <c r="AL182">
        <f t="shared" si="91"/>
        <v>0</v>
      </c>
      <c r="AM182"/>
      <c r="AN182"/>
    </row>
    <row r="183" spans="2:40" x14ac:dyDescent="0.2">
      <c r="B183" s="280">
        <v>10292.5</v>
      </c>
      <c r="C183" s="270">
        <f t="shared" si="64"/>
        <v>8.4663239588682746</v>
      </c>
      <c r="D183" s="271">
        <f t="shared" si="65"/>
        <v>1.4524049307479969</v>
      </c>
      <c r="E183" s="271">
        <f t="shared" si="66"/>
        <v>1.0001413472932243</v>
      </c>
      <c r="F183" s="272">
        <f t="shared" si="67"/>
        <v>1.6812533777980365E-2</v>
      </c>
      <c r="G183" s="271">
        <f t="shared" si="68"/>
        <v>1.0054098182520974</v>
      </c>
      <c r="H183" s="272">
        <f t="shared" si="69"/>
        <v>-0.10378383174743726</v>
      </c>
      <c r="I183" s="270">
        <f t="shared" si="70"/>
        <v>36220.455740847079</v>
      </c>
      <c r="J183" s="273">
        <f t="shared" si="71"/>
        <v>1.5707687180865115</v>
      </c>
      <c r="K183" s="281">
        <f t="shared" si="72"/>
        <v>5.5235295162354188</v>
      </c>
      <c r="L183" s="282">
        <f t="shared" si="73"/>
        <v>1.3887487827296807</v>
      </c>
      <c r="M183" s="270">
        <f t="shared" si="74"/>
        <v>1.0339109128013855</v>
      </c>
      <c r="N183" s="273">
        <f t="shared" si="75"/>
        <v>0.25682506396677324</v>
      </c>
      <c r="O183" s="270">
        <f t="shared" si="76"/>
        <v>2845.5658970889504</v>
      </c>
      <c r="P183" s="273">
        <f t="shared" si="77"/>
        <v>1.5704449028403131</v>
      </c>
      <c r="Q183" s="271">
        <f t="shared" si="78"/>
        <v>1.0049469786681444</v>
      </c>
      <c r="R183" s="272">
        <f t="shared" si="79"/>
        <v>9.9263997082066818E-2</v>
      </c>
      <c r="S183" s="270">
        <f t="shared" si="80"/>
        <v>1.0000002595746951</v>
      </c>
      <c r="T183" s="273">
        <f t="shared" si="81"/>
        <v>7.2052014409347835E-4</v>
      </c>
      <c r="U183" s="274">
        <f t="shared" si="82"/>
        <v>1.0023713390705746</v>
      </c>
      <c r="V183" s="275">
        <f t="shared" si="83"/>
        <v>0.10038628775853981</v>
      </c>
      <c r="W183" s="276">
        <f t="shared" si="84"/>
        <v>-8.4765256047423438</v>
      </c>
      <c r="X183" s="277">
        <f t="shared" si="93"/>
        <v>-119.09543791948957</v>
      </c>
      <c r="Y183" s="299">
        <f t="shared" si="92"/>
        <v>60.904562080510431</v>
      </c>
      <c r="AB183" s="278">
        <f t="shared" si="85"/>
        <v>-1.0613820055091727</v>
      </c>
      <c r="AC183" s="279">
        <f t="shared" si="86"/>
        <v>-25.143966321663981</v>
      </c>
      <c r="AF183" s="278">
        <f t="shared" si="87"/>
        <v>54.388389007748586</v>
      </c>
      <c r="AG183" s="279">
        <f t="shared" si="88"/>
        <v>-93.951471597825545</v>
      </c>
      <c r="AI183">
        <f t="shared" si="89"/>
        <v>0</v>
      </c>
      <c r="AJ183">
        <f t="shared" si="94"/>
        <v>0</v>
      </c>
      <c r="AK183">
        <f t="shared" si="90"/>
        <v>0</v>
      </c>
      <c r="AL183">
        <f t="shared" si="91"/>
        <v>0</v>
      </c>
      <c r="AM183"/>
      <c r="AN183"/>
    </row>
    <row r="184" spans="2:40" x14ac:dyDescent="0.2">
      <c r="B184" s="280">
        <v>10352</v>
      </c>
      <c r="C184" s="270">
        <f t="shared" si="64"/>
        <v>8.5145861253737429</v>
      </c>
      <c r="D184" s="271">
        <f t="shared" si="65"/>
        <v>1.4530791199524953</v>
      </c>
      <c r="E184" s="271">
        <f t="shared" si="66"/>
        <v>1.0001429861312559</v>
      </c>
      <c r="F184" s="272">
        <f t="shared" si="67"/>
        <v>1.6909707023269865E-2</v>
      </c>
      <c r="G184" s="271">
        <f t="shared" si="68"/>
        <v>1.0054723756630655</v>
      </c>
      <c r="H184" s="272">
        <f t="shared" si="69"/>
        <v>-0.10437946064014555</v>
      </c>
      <c r="I184" s="270">
        <f t="shared" si="70"/>
        <v>36429.842878563126</v>
      </c>
      <c r="J184" s="273">
        <f t="shared" si="71"/>
        <v>1.5707688767725767</v>
      </c>
      <c r="K184" s="281">
        <f t="shared" si="72"/>
        <v>5.5544168474659443</v>
      </c>
      <c r="L184" s="282">
        <f t="shared" si="73"/>
        <v>1.3897723609757899</v>
      </c>
      <c r="M184" s="270">
        <f t="shared" si="74"/>
        <v>1.0342975972169324</v>
      </c>
      <c r="N184" s="273">
        <f t="shared" si="75"/>
        <v>0.25824478594062861</v>
      </c>
      <c r="O184" s="270">
        <f t="shared" si="76"/>
        <v>2862.01585094148</v>
      </c>
      <c r="P184" s="273">
        <f t="shared" si="77"/>
        <v>1.5704469227131483</v>
      </c>
      <c r="Q184" s="271">
        <f t="shared" si="78"/>
        <v>1.0050041972388377</v>
      </c>
      <c r="R184" s="272">
        <f t="shared" si="79"/>
        <v>9.9834038686905421E-2</v>
      </c>
      <c r="S184" s="270">
        <f t="shared" si="80"/>
        <v>1.0000002625845246</v>
      </c>
      <c r="T184" s="273">
        <f t="shared" si="81"/>
        <v>7.2468540361322951E-4</v>
      </c>
      <c r="U184" s="274">
        <f t="shared" si="82"/>
        <v>1.0023988442740774</v>
      </c>
      <c r="V184" s="275">
        <f t="shared" si="83"/>
        <v>0.10096580611333938</v>
      </c>
      <c r="W184" s="276">
        <f t="shared" si="84"/>
        <v>-8.5304623641595914</v>
      </c>
      <c r="X184" s="277">
        <f t="shared" si="93"/>
        <v>-119.21853593197473</v>
      </c>
      <c r="Y184" s="299">
        <f t="shared" si="92"/>
        <v>60.781464068025272</v>
      </c>
      <c r="AB184" s="278">
        <f t="shared" si="85"/>
        <v>-1.0662618798270829</v>
      </c>
      <c r="AC184" s="279">
        <f t="shared" si="86"/>
        <v>-25.166672777386221</v>
      </c>
      <c r="AF184" s="278">
        <f t="shared" si="87"/>
        <v>54.339332122649253</v>
      </c>
      <c r="AG184" s="279">
        <f t="shared" si="88"/>
        <v>-94.051863154588517</v>
      </c>
      <c r="AI184">
        <f t="shared" si="89"/>
        <v>0</v>
      </c>
      <c r="AJ184">
        <f t="shared" si="94"/>
        <v>0</v>
      </c>
      <c r="AK184">
        <f t="shared" si="90"/>
        <v>0</v>
      </c>
      <c r="AL184">
        <f t="shared" si="91"/>
        <v>0</v>
      </c>
      <c r="AM184"/>
      <c r="AN184"/>
    </row>
    <row r="185" spans="2:40" x14ac:dyDescent="0.2">
      <c r="B185" s="280">
        <v>10411.5</v>
      </c>
      <c r="C185" s="270">
        <f t="shared" si="64"/>
        <v>8.5628521183962363</v>
      </c>
      <c r="D185" s="271">
        <f t="shared" si="65"/>
        <v>1.4537457090896473</v>
      </c>
      <c r="E185" s="271">
        <f t="shared" si="66"/>
        <v>1.0001446344132463</v>
      </c>
      <c r="F185" s="272">
        <f t="shared" si="67"/>
        <v>1.7006879949185438E-2</v>
      </c>
      <c r="G185" s="271">
        <f t="shared" si="68"/>
        <v>1.005535289744808</v>
      </c>
      <c r="H185" s="272">
        <f t="shared" si="69"/>
        <v>-0.10497501520979838</v>
      </c>
      <c r="I185" s="270">
        <f t="shared" si="70"/>
        <v>36639.230016280082</v>
      </c>
      <c r="J185" s="273">
        <f t="shared" si="71"/>
        <v>1.5707690336449129</v>
      </c>
      <c r="K185" s="281">
        <f t="shared" si="72"/>
        <v>5.5853099337603895</v>
      </c>
      <c r="L185" s="282">
        <f t="shared" si="73"/>
        <v>1.3907846171799922</v>
      </c>
      <c r="M185" s="270">
        <f t="shared" si="74"/>
        <v>1.0346863648128841</v>
      </c>
      <c r="N185" s="273">
        <f t="shared" si="75"/>
        <v>0.25966344389447099</v>
      </c>
      <c r="O185" s="270">
        <f t="shared" si="76"/>
        <v>2878.4658048055526</v>
      </c>
      <c r="P185" s="273">
        <f t="shared" si="77"/>
        <v>1.5704489194995084</v>
      </c>
      <c r="Q185" s="271">
        <f t="shared" si="78"/>
        <v>1.0050617423458172</v>
      </c>
      <c r="R185" s="272">
        <f t="shared" si="79"/>
        <v>0.10040401520113784</v>
      </c>
      <c r="S185" s="270">
        <f t="shared" si="80"/>
        <v>1.0000002656117033</v>
      </c>
      <c r="T185" s="273">
        <f t="shared" si="81"/>
        <v>7.2885066310783488E-4</v>
      </c>
      <c r="U185" s="274">
        <f t="shared" si="82"/>
        <v>1.002426508231236</v>
      </c>
      <c r="V185" s="275">
        <f t="shared" si="83"/>
        <v>0.10154531055199062</v>
      </c>
      <c r="W185" s="276">
        <f t="shared" si="84"/>
        <v>-8.5841111508451835</v>
      </c>
      <c r="X185" s="277">
        <f t="shared" si="93"/>
        <v>-119.34178109268345</v>
      </c>
      <c r="Y185" s="299">
        <f t="shared" si="92"/>
        <v>60.658218907316552</v>
      </c>
      <c r="AB185" s="278">
        <f t="shared" si="85"/>
        <v>-1.071130726771917</v>
      </c>
      <c r="AC185" s="279">
        <f t="shared" si="86"/>
        <v>-25.189966870550109</v>
      </c>
      <c r="AF185" s="278">
        <f t="shared" si="87"/>
        <v>54.290552182908492</v>
      </c>
      <c r="AG185" s="279">
        <f t="shared" si="88"/>
        <v>-94.151814222133353</v>
      </c>
      <c r="AI185">
        <f t="shared" si="89"/>
        <v>0</v>
      </c>
      <c r="AJ185">
        <f t="shared" si="94"/>
        <v>0</v>
      </c>
      <c r="AK185">
        <f t="shared" si="90"/>
        <v>0</v>
      </c>
      <c r="AL185">
        <f t="shared" si="91"/>
        <v>0</v>
      </c>
      <c r="AM185"/>
      <c r="AN185"/>
    </row>
    <row r="186" spans="2:40" x14ac:dyDescent="0.2">
      <c r="B186" s="280">
        <v>10471</v>
      </c>
      <c r="C186" s="270">
        <f t="shared" si="64"/>
        <v>8.6111218735920012</v>
      </c>
      <c r="D186" s="271">
        <f t="shared" si="65"/>
        <v>1.4544048253688575</v>
      </c>
      <c r="E186" s="271">
        <f t="shared" si="66"/>
        <v>1.0001462921391489</v>
      </c>
      <c r="F186" s="272">
        <f t="shared" si="67"/>
        <v>1.7104052553893537E-2</v>
      </c>
      <c r="G186" s="271">
        <f t="shared" si="68"/>
        <v>1.0055985604303814</v>
      </c>
      <c r="H186" s="272">
        <f t="shared" si="69"/>
        <v>-0.10557049504791655</v>
      </c>
      <c r="I186" s="270">
        <f t="shared" si="70"/>
        <v>36848.617153997926</v>
      </c>
      <c r="J186" s="273">
        <f t="shared" si="71"/>
        <v>1.5707691887344386</v>
      </c>
      <c r="K186" s="281">
        <f t="shared" si="72"/>
        <v>5.6162086801480946</v>
      </c>
      <c r="L186" s="282">
        <f t="shared" si="73"/>
        <v>1.3917857361222838</v>
      </c>
      <c r="M186" s="270">
        <f t="shared" si="74"/>
        <v>1.0350772132419577</v>
      </c>
      <c r="N186" s="273">
        <f t="shared" si="75"/>
        <v>0.26108103332008975</v>
      </c>
      <c r="O186" s="270">
        <f t="shared" si="76"/>
        <v>2894.915758680972</v>
      </c>
      <c r="P186" s="273">
        <f t="shared" si="77"/>
        <v>1.5704508935929498</v>
      </c>
      <c r="Q186" s="271">
        <f t="shared" si="78"/>
        <v>1.0051196139329988</v>
      </c>
      <c r="R186" s="272">
        <f t="shared" si="79"/>
        <v>0.10097392626563548</v>
      </c>
      <c r="S186" s="270">
        <f t="shared" si="80"/>
        <v>1.0000002686562315</v>
      </c>
      <c r="T186" s="273">
        <f t="shared" si="81"/>
        <v>7.3301592257715015E-4</v>
      </c>
      <c r="U186" s="274">
        <f t="shared" si="82"/>
        <v>1.0024543309456</v>
      </c>
      <c r="V186" s="275">
        <f t="shared" si="83"/>
        <v>0.10212480099492711</v>
      </c>
      <c r="W186" s="276">
        <f t="shared" si="84"/>
        <v>-8.6374755365593092</v>
      </c>
      <c r="X186" s="277">
        <f t="shared" si="93"/>
        <v>-119.46516981867595</v>
      </c>
      <c r="Y186" s="299">
        <f t="shared" si="92"/>
        <v>60.534830181324054</v>
      </c>
      <c r="AB186" s="278">
        <f t="shared" si="85"/>
        <v>-1.0759891102537962</v>
      </c>
      <c r="AC186" s="279">
        <f t="shared" si="86"/>
        <v>-25.213837757511797</v>
      </c>
      <c r="AF186" s="278">
        <f t="shared" si="87"/>
        <v>54.24204618067624</v>
      </c>
      <c r="AG186" s="279">
        <f t="shared" si="88"/>
        <v>-94.251332061164135</v>
      </c>
      <c r="AI186">
        <f t="shared" si="89"/>
        <v>0</v>
      </c>
      <c r="AJ186">
        <f t="shared" si="94"/>
        <v>0</v>
      </c>
      <c r="AK186">
        <f t="shared" si="90"/>
        <v>0</v>
      </c>
      <c r="AL186">
        <f t="shared" si="91"/>
        <v>0</v>
      </c>
      <c r="AM186"/>
      <c r="AN186"/>
    </row>
    <row r="187" spans="2:40" x14ac:dyDescent="0.2">
      <c r="B187" s="280">
        <v>10532</v>
      </c>
      <c r="C187" s="270">
        <f t="shared" si="64"/>
        <v>8.6606123531556189</v>
      </c>
      <c r="D187" s="271">
        <f t="shared" si="65"/>
        <v>1.4550729304150636</v>
      </c>
      <c r="E187" s="271">
        <f t="shared" si="66"/>
        <v>1.0001480014604471</v>
      </c>
      <c r="F187" s="272">
        <f t="shared" si="67"/>
        <v>1.7203674552756631E-2</v>
      </c>
      <c r="G187" s="271">
        <f t="shared" si="68"/>
        <v>1.0056637963069612</v>
      </c>
      <c r="H187" s="272">
        <f t="shared" si="69"/>
        <v>-0.10618090897424129</v>
      </c>
      <c r="I187" s="270">
        <f t="shared" si="70"/>
        <v>37063.282959054101</v>
      </c>
      <c r="J187" s="273">
        <f t="shared" si="71"/>
        <v>1.5707693459146215</v>
      </c>
      <c r="K187" s="281">
        <f t="shared" si="72"/>
        <v>5.647892165208372</v>
      </c>
      <c r="L187" s="282">
        <f t="shared" si="73"/>
        <v>1.3928007206720954</v>
      </c>
      <c r="M187" s="270">
        <f t="shared" si="74"/>
        <v>1.0354800727073361</v>
      </c>
      <c r="N187" s="273">
        <f t="shared" si="75"/>
        <v>0.2625332463257472</v>
      </c>
      <c r="O187" s="270">
        <f t="shared" si="76"/>
        <v>2911.7804172875171</v>
      </c>
      <c r="P187" s="273">
        <f t="shared" si="77"/>
        <v>1.5704528942978166</v>
      </c>
      <c r="Q187" s="271">
        <f t="shared" si="78"/>
        <v>1.0051792833385611</v>
      </c>
      <c r="R187" s="272">
        <f t="shared" si="79"/>
        <v>0.10155813651474771</v>
      </c>
      <c r="S187" s="270">
        <f t="shared" si="80"/>
        <v>1.0000002717955234</v>
      </c>
      <c r="T187" s="273">
        <f t="shared" si="81"/>
        <v>7.3728618856130272E-4</v>
      </c>
      <c r="U187" s="274">
        <f t="shared" si="82"/>
        <v>1.0024830198877464</v>
      </c>
      <c r="V187" s="275">
        <f t="shared" si="83"/>
        <v>0.10271888582792782</v>
      </c>
      <c r="W187" s="276">
        <f t="shared" si="84"/>
        <v>-8.6918936677596275</v>
      </c>
      <c r="X187" s="277">
        <f t="shared" si="93"/>
        <v>-119.59181454431564</v>
      </c>
      <c r="Y187" s="299">
        <f t="shared" si="92"/>
        <v>60.408185455684361</v>
      </c>
      <c r="AB187" s="278">
        <f t="shared" si="85"/>
        <v>-1.0809596844164955</v>
      </c>
      <c r="AC187" s="279">
        <f t="shared" si="86"/>
        <v>-25.238898108475897</v>
      </c>
      <c r="AF187" s="278">
        <f t="shared" si="87"/>
        <v>54.192598623638624</v>
      </c>
      <c r="AG187" s="279">
        <f t="shared" si="88"/>
        <v>-94.352916435839717</v>
      </c>
      <c r="AI187">
        <f t="shared" si="89"/>
        <v>0</v>
      </c>
      <c r="AJ187">
        <f t="shared" si="94"/>
        <v>0</v>
      </c>
      <c r="AK187">
        <f t="shared" si="90"/>
        <v>0</v>
      </c>
      <c r="AL187">
        <f t="shared" si="91"/>
        <v>0</v>
      </c>
      <c r="AM187"/>
      <c r="AN187"/>
    </row>
    <row r="188" spans="2:40" x14ac:dyDescent="0.2">
      <c r="B188" s="280">
        <v>10593</v>
      </c>
      <c r="C188" s="270">
        <f t="shared" si="64"/>
        <v>8.7101066545763519</v>
      </c>
      <c r="D188" s="271">
        <f t="shared" si="65"/>
        <v>1.4557334428744084</v>
      </c>
      <c r="E188" s="271">
        <f t="shared" si="66"/>
        <v>1.000149720707723</v>
      </c>
      <c r="F188" s="272">
        <f t="shared" si="67"/>
        <v>1.7303296210110002E-2</v>
      </c>
      <c r="G188" s="271">
        <f t="shared" si="68"/>
        <v>1.0057294068503693</v>
      </c>
      <c r="H188" s="272">
        <f t="shared" si="69"/>
        <v>-0.10679124348508277</v>
      </c>
      <c r="I188" s="270">
        <f t="shared" si="70"/>
        <v>37277.948764111185</v>
      </c>
      <c r="J188" s="273">
        <f t="shared" si="71"/>
        <v>1.5707695012845542</v>
      </c>
      <c r="K188" s="281">
        <f t="shared" si="72"/>
        <v>5.6795814037717252</v>
      </c>
      <c r="L188" s="282">
        <f t="shared" si="73"/>
        <v>1.393804380028639</v>
      </c>
      <c r="M188" s="270">
        <f t="shared" si="74"/>
        <v>1.0358851142188361</v>
      </c>
      <c r="N188" s="273">
        <f t="shared" si="75"/>
        <v>0.26398432672981237</v>
      </c>
      <c r="O188" s="270">
        <f t="shared" si="76"/>
        <v>2928.6450759055833</v>
      </c>
      <c r="P188" s="273">
        <f t="shared" si="77"/>
        <v>1.5704548719604889</v>
      </c>
      <c r="Q188" s="271">
        <f t="shared" si="78"/>
        <v>1.0052392957726402</v>
      </c>
      <c r="R188" s="272">
        <f t="shared" si="79"/>
        <v>0.10214227720891357</v>
      </c>
      <c r="S188" s="270">
        <f t="shared" si="80"/>
        <v>1.0000002749530505</v>
      </c>
      <c r="T188" s="273">
        <f t="shared" si="81"/>
        <v>7.4155645451856611E-4</v>
      </c>
      <c r="U188" s="274">
        <f t="shared" si="82"/>
        <v>1.0025118757001807</v>
      </c>
      <c r="V188" s="275">
        <f t="shared" si="83"/>
        <v>0.1033129557813102</v>
      </c>
      <c r="W188" s="276">
        <f t="shared" si="84"/>
        <v>-8.7460202732882184</v>
      </c>
      <c r="X188" s="277">
        <f t="shared" si="93"/>
        <v>-119.71860275239388</v>
      </c>
      <c r="Y188" s="299">
        <f t="shared" si="92"/>
        <v>60.281397247606122</v>
      </c>
      <c r="AB188" s="278">
        <f t="shared" si="85"/>
        <v>-1.0859204084377532</v>
      </c>
      <c r="AC188" s="279">
        <f t="shared" si="86"/>
        <v>-25.264542348205602</v>
      </c>
      <c r="AF188" s="278">
        <f t="shared" si="87"/>
        <v>54.143432742131296</v>
      </c>
      <c r="AG188" s="279">
        <f t="shared" si="88"/>
        <v>-94.454060404188269</v>
      </c>
      <c r="AI188">
        <f t="shared" si="89"/>
        <v>0</v>
      </c>
      <c r="AJ188">
        <f t="shared" si="94"/>
        <v>0</v>
      </c>
      <c r="AK188">
        <f t="shared" si="90"/>
        <v>0</v>
      </c>
      <c r="AL188">
        <f t="shared" si="91"/>
        <v>0</v>
      </c>
      <c r="AM188"/>
      <c r="AN188"/>
    </row>
    <row r="189" spans="2:40" x14ac:dyDescent="0.2">
      <c r="B189" s="280">
        <v>10654</v>
      </c>
      <c r="C189" s="270">
        <f t="shared" si="64"/>
        <v>8.7596047130704005</v>
      </c>
      <c r="D189" s="271">
        <f t="shared" si="65"/>
        <v>1.4563864908763271</v>
      </c>
      <c r="E189" s="271">
        <f t="shared" si="66"/>
        <v>1.0001514498809254</v>
      </c>
      <c r="F189" s="272">
        <f t="shared" si="67"/>
        <v>1.7402917523978031E-2</v>
      </c>
      <c r="G189" s="271">
        <f t="shared" si="68"/>
        <v>1.0057953919872846</v>
      </c>
      <c r="H189" s="272">
        <f t="shared" si="69"/>
        <v>-0.10740149814131786</v>
      </c>
      <c r="I189" s="270">
        <f t="shared" si="70"/>
        <v>37492.614569169156</v>
      </c>
      <c r="J189" s="273">
        <f t="shared" si="71"/>
        <v>1.5707696548753303</v>
      </c>
      <c r="K189" s="281">
        <f t="shared" si="72"/>
        <v>5.7112763000675484</v>
      </c>
      <c r="L189" s="282">
        <f t="shared" si="73"/>
        <v>1.3947969007013452</v>
      </c>
      <c r="M189" s="270">
        <f t="shared" si="74"/>
        <v>1.0362923352178577</v>
      </c>
      <c r="N189" s="273">
        <f t="shared" si="75"/>
        <v>0.26543426975304568</v>
      </c>
      <c r="O189" s="270">
        <f t="shared" si="76"/>
        <v>2945.5097345349727</v>
      </c>
      <c r="P189" s="273">
        <f t="shared" si="77"/>
        <v>1.5704568269767547</v>
      </c>
      <c r="Q189" s="271">
        <f t="shared" si="78"/>
        <v>1.005299651173803</v>
      </c>
      <c r="R189" s="272">
        <f t="shared" si="79"/>
        <v>0.10272634796198402</v>
      </c>
      <c r="S189" s="270">
        <f t="shared" si="80"/>
        <v>1.0000002781288129</v>
      </c>
      <c r="T189" s="273">
        <f t="shared" si="81"/>
        <v>7.4582672044878472E-4</v>
      </c>
      <c r="U189" s="274">
        <f t="shared" si="82"/>
        <v>1.0025408983867934</v>
      </c>
      <c r="V189" s="275">
        <f t="shared" si="83"/>
        <v>0.10390701076936103</v>
      </c>
      <c r="W189" s="276">
        <f t="shared" si="84"/>
        <v>-8.7998589948280408</v>
      </c>
      <c r="X189" s="277">
        <f t="shared" si="93"/>
        <v>-119.84553079597697</v>
      </c>
      <c r="Y189" s="299">
        <f t="shared" si="92"/>
        <v>60.15446920402303</v>
      </c>
      <c r="AB189" s="278">
        <f t="shared" si="85"/>
        <v>-1.0908718375122399</v>
      </c>
      <c r="AC189" s="279">
        <f t="shared" si="86"/>
        <v>-25.290759518449004</v>
      </c>
      <c r="AF189" s="278">
        <f t="shared" si="87"/>
        <v>54.094545449665958</v>
      </c>
      <c r="AG189" s="279">
        <f t="shared" si="88"/>
        <v>-94.554771277527962</v>
      </c>
      <c r="AI189">
        <f t="shared" si="89"/>
        <v>0</v>
      </c>
      <c r="AJ189">
        <f t="shared" si="94"/>
        <v>0</v>
      </c>
      <c r="AK189">
        <f t="shared" si="90"/>
        <v>0</v>
      </c>
      <c r="AL189">
        <f t="shared" si="91"/>
        <v>0</v>
      </c>
      <c r="AM189"/>
      <c r="AN189"/>
    </row>
    <row r="190" spans="2:40" x14ac:dyDescent="0.2">
      <c r="B190" s="280">
        <v>10715</v>
      </c>
      <c r="C190" s="270">
        <f t="shared" si="64"/>
        <v>8.8091064653051809</v>
      </c>
      <c r="D190" s="271">
        <f t="shared" si="65"/>
        <v>1.4570321996960167</v>
      </c>
      <c r="E190" s="271">
        <f t="shared" si="66"/>
        <v>1.0001531889800024</v>
      </c>
      <c r="F190" s="272">
        <f t="shared" si="67"/>
        <v>1.7502538492385134E-2</v>
      </c>
      <c r="G190" s="271">
        <f t="shared" si="68"/>
        <v>1.0058617516439863</v>
      </c>
      <c r="H190" s="272">
        <f t="shared" si="69"/>
        <v>-0.10801167250417619</v>
      </c>
      <c r="I190" s="270">
        <f t="shared" si="70"/>
        <v>37707.280374228008</v>
      </c>
      <c r="J190" s="273">
        <f t="shared" si="71"/>
        <v>1.5707698067173361</v>
      </c>
      <c r="K190" s="281">
        <f t="shared" si="72"/>
        <v>5.7429767604225166</v>
      </c>
      <c r="L190" s="282">
        <f t="shared" si="73"/>
        <v>1.3957784651705052</v>
      </c>
      <c r="M190" s="270">
        <f t="shared" si="74"/>
        <v>1.036701733136064</v>
      </c>
      <c r="N190" s="273">
        <f t="shared" si="75"/>
        <v>0.26688307064282579</v>
      </c>
      <c r="O190" s="270">
        <f t="shared" si="76"/>
        <v>2962.3743931754921</v>
      </c>
      <c r="P190" s="273">
        <f t="shared" si="77"/>
        <v>1.5704587597333883</v>
      </c>
      <c r="Q190" s="271">
        <f t="shared" si="78"/>
        <v>1.0053603494802816</v>
      </c>
      <c r="R190" s="272">
        <f t="shared" si="79"/>
        <v>0.10331034838809332</v>
      </c>
      <c r="S190" s="270">
        <f t="shared" si="80"/>
        <v>1.0000002813228104</v>
      </c>
      <c r="T190" s="273">
        <f t="shared" si="81"/>
        <v>7.5009698635180287E-4</v>
      </c>
      <c r="U190" s="274">
        <f t="shared" si="82"/>
        <v>1.0025700879514958</v>
      </c>
      <c r="V190" s="275">
        <f t="shared" si="83"/>
        <v>0.10450105070637519</v>
      </c>
      <c r="W190" s="276">
        <f t="shared" si="84"/>
        <v>-8.8534134075008595</v>
      </c>
      <c r="X190" s="277">
        <f t="shared" si="93"/>
        <v>-119.97259509695326</v>
      </c>
      <c r="Y190" s="299">
        <f t="shared" si="92"/>
        <v>60.027404903046744</v>
      </c>
      <c r="AB190" s="278">
        <f t="shared" si="85"/>
        <v>-1.0958145102711179</v>
      </c>
      <c r="AC190" s="279">
        <f t="shared" si="86"/>
        <v>-25.317538893291427</v>
      </c>
      <c r="AF190" s="278">
        <f t="shared" si="87"/>
        <v>54.04593370975202</v>
      </c>
      <c r="AG190" s="279">
        <f t="shared" si="88"/>
        <v>-94.655056203661815</v>
      </c>
      <c r="AI190">
        <f t="shared" si="89"/>
        <v>0</v>
      </c>
      <c r="AJ190">
        <f t="shared" si="94"/>
        <v>0</v>
      </c>
      <c r="AK190">
        <f t="shared" si="90"/>
        <v>0</v>
      </c>
      <c r="AL190">
        <f t="shared" si="91"/>
        <v>0</v>
      </c>
      <c r="AM190"/>
      <c r="AN190"/>
    </row>
    <row r="191" spans="2:40" x14ac:dyDescent="0.2">
      <c r="B191" s="280">
        <v>10777.5</v>
      </c>
      <c r="C191" s="270">
        <f t="shared" si="64"/>
        <v>8.8598292401025436</v>
      </c>
      <c r="D191" s="271">
        <f t="shared" si="65"/>
        <v>1.4576863025718516</v>
      </c>
      <c r="E191" s="271">
        <f t="shared" si="66"/>
        <v>1.0001549811387509</v>
      </c>
      <c r="F191" s="272">
        <f t="shared" si="67"/>
        <v>1.7604608796363101E-2</v>
      </c>
      <c r="G191" s="271">
        <f t="shared" si="68"/>
        <v>1.0059301314652886</v>
      </c>
      <c r="H191" s="272">
        <f t="shared" si="69"/>
        <v>-0.10863676741690816</v>
      </c>
      <c r="I191" s="270">
        <f t="shared" si="70"/>
        <v>37927.224846625257</v>
      </c>
      <c r="J191" s="273">
        <f t="shared" si="71"/>
        <v>1.5707699605104095</v>
      </c>
      <c r="K191" s="281">
        <f t="shared" si="72"/>
        <v>5.7754624154609981</v>
      </c>
      <c r="L191" s="282">
        <f t="shared" si="73"/>
        <v>1.3967729895242404</v>
      </c>
      <c r="M191" s="270">
        <f t="shared" si="74"/>
        <v>1.0371234533938944</v>
      </c>
      <c r="N191" s="273">
        <f t="shared" si="75"/>
        <v>0.2683663082356455</v>
      </c>
      <c r="O191" s="270">
        <f t="shared" si="76"/>
        <v>2979.6537565480266</v>
      </c>
      <c r="P191" s="273">
        <f t="shared" si="77"/>
        <v>1.5704607173246437</v>
      </c>
      <c r="Q191" s="271">
        <f t="shared" si="78"/>
        <v>1.0054228959602587</v>
      </c>
      <c r="R191" s="272">
        <f t="shared" si="79"/>
        <v>0.1039086361349716</v>
      </c>
      <c r="S191" s="270">
        <f t="shared" si="80"/>
        <v>1.0000002846142622</v>
      </c>
      <c r="T191" s="273">
        <f t="shared" si="81"/>
        <v>7.5447225876504483E-4</v>
      </c>
      <c r="U191" s="274">
        <f t="shared" si="82"/>
        <v>1.0026001683803758</v>
      </c>
      <c r="V191" s="275">
        <f t="shared" si="83"/>
        <v>0.10510968248246352</v>
      </c>
      <c r="W191" s="276">
        <f t="shared" si="84"/>
        <v>-8.9079935204569836</v>
      </c>
      <c r="X191" s="277">
        <f t="shared" si="93"/>
        <v>-120.10292158350218</v>
      </c>
      <c r="Y191" s="299">
        <f t="shared" si="92"/>
        <v>59.89707841649782</v>
      </c>
      <c r="AB191" s="278">
        <f t="shared" si="85"/>
        <v>-1.1008701886049437</v>
      </c>
      <c r="AC191" s="279">
        <f t="shared" si="86"/>
        <v>-25.345548910977161</v>
      </c>
      <c r="AF191" s="278">
        <f t="shared" si="87"/>
        <v>53.996409275129722</v>
      </c>
      <c r="AG191" s="279">
        <f t="shared" si="88"/>
        <v>-94.757372672525022</v>
      </c>
      <c r="AI191">
        <f t="shared" si="89"/>
        <v>0</v>
      </c>
      <c r="AJ191">
        <f t="shared" si="94"/>
        <v>0</v>
      </c>
      <c r="AK191">
        <f t="shared" si="90"/>
        <v>0</v>
      </c>
      <c r="AL191">
        <f t="shared" si="91"/>
        <v>0</v>
      </c>
      <c r="AM191"/>
      <c r="AN191"/>
    </row>
    <row r="192" spans="2:40" x14ac:dyDescent="0.2">
      <c r="B192" s="280">
        <v>10840</v>
      </c>
      <c r="C192" s="270">
        <f t="shared" si="64"/>
        <v>8.9105557624255329</v>
      </c>
      <c r="D192" s="271">
        <f t="shared" si="65"/>
        <v>1.4583329582930904</v>
      </c>
      <c r="E192" s="271">
        <f t="shared" si="66"/>
        <v>1.0001567837174234</v>
      </c>
      <c r="F192" s="272">
        <f t="shared" si="67"/>
        <v>1.7706678733482643E-2</v>
      </c>
      <c r="G192" s="271">
        <f t="shared" si="68"/>
        <v>1.0059989042938784</v>
      </c>
      <c r="H192" s="272">
        <f t="shared" si="69"/>
        <v>-0.10926177710744502</v>
      </c>
      <c r="I192" s="270">
        <f t="shared" si="70"/>
        <v>38147.1693190234</v>
      </c>
      <c r="J192" s="273">
        <f t="shared" si="71"/>
        <v>1.5707701125300386</v>
      </c>
      <c r="K192" s="281">
        <f t="shared" si="72"/>
        <v>5.8079537189807668</v>
      </c>
      <c r="L192" s="282">
        <f t="shared" si="73"/>
        <v>1.3977563875515977</v>
      </c>
      <c r="M192" s="270">
        <f t="shared" si="74"/>
        <v>1.0375474534591149</v>
      </c>
      <c r="N192" s="273">
        <f t="shared" si="75"/>
        <v>0.26984833681861153</v>
      </c>
      <c r="O192" s="270">
        <f t="shared" si="76"/>
        <v>2996.9331199318472</v>
      </c>
      <c r="P192" s="273">
        <f t="shared" si="77"/>
        <v>1.5704626523422018</v>
      </c>
      <c r="Q192" s="271">
        <f t="shared" si="78"/>
        <v>1.0054858022847304</v>
      </c>
      <c r="R192" s="272">
        <f t="shared" si="79"/>
        <v>0.104506849234466</v>
      </c>
      <c r="S192" s="270">
        <f t="shared" si="80"/>
        <v>1.0000002879248568</v>
      </c>
      <c r="T192" s="273">
        <f t="shared" si="81"/>
        <v>7.5884753114940093E-4</v>
      </c>
      <c r="U192" s="274">
        <f t="shared" si="82"/>
        <v>1.0026304240037565</v>
      </c>
      <c r="V192" s="275">
        <f t="shared" si="83"/>
        <v>0.10571829827606934</v>
      </c>
      <c r="W192" s="276">
        <f t="shared" si="84"/>
        <v>-8.9622825613550585</v>
      </c>
      <c r="X192" s="277">
        <f t="shared" si="93"/>
        <v>-120.23338372071198</v>
      </c>
      <c r="Y192" s="299">
        <f t="shared" si="92"/>
        <v>59.766616279288016</v>
      </c>
      <c r="AB192" s="278">
        <f t="shared" si="85"/>
        <v>-1.1059177684843657</v>
      </c>
      <c r="AC192" s="279">
        <f t="shared" si="86"/>
        <v>-25.374127047432957</v>
      </c>
      <c r="AF192" s="278">
        <f t="shared" si="87"/>
        <v>53.947167814111062</v>
      </c>
      <c r="AG192" s="279">
        <f t="shared" si="88"/>
        <v>-94.859256673279035</v>
      </c>
      <c r="AI192">
        <f t="shared" si="89"/>
        <v>0</v>
      </c>
      <c r="AJ192">
        <f t="shared" si="94"/>
        <v>0</v>
      </c>
      <c r="AK192">
        <f t="shared" si="90"/>
        <v>0</v>
      </c>
      <c r="AL192">
        <f t="shared" si="91"/>
        <v>0</v>
      </c>
      <c r="AM192"/>
      <c r="AN192"/>
    </row>
    <row r="193" spans="2:40" x14ac:dyDescent="0.2">
      <c r="B193" s="280">
        <v>10902.5</v>
      </c>
      <c r="C193" s="270">
        <f t="shared" si="64"/>
        <v>8.9612859686340762</v>
      </c>
      <c r="D193" s="271">
        <f t="shared" si="65"/>
        <v>1.4589722927902122</v>
      </c>
      <c r="E193" s="271">
        <f t="shared" si="66"/>
        <v>1.0001585967159641</v>
      </c>
      <c r="F193" s="272">
        <f t="shared" si="67"/>
        <v>1.7808748301618962E-2</v>
      </c>
      <c r="G193" s="271">
        <f t="shared" si="68"/>
        <v>1.0060680700491598</v>
      </c>
      <c r="H193" s="272">
        <f t="shared" si="69"/>
        <v>-0.10988670110501</v>
      </c>
      <c r="I193" s="270">
        <f t="shared" si="70"/>
        <v>38367.113791422409</v>
      </c>
      <c r="J193" s="273">
        <f t="shared" si="71"/>
        <v>1.570770262806723</v>
      </c>
      <c r="K193" s="281">
        <f t="shared" si="72"/>
        <v>5.840450576711774</v>
      </c>
      <c r="L193" s="282">
        <f t="shared" si="73"/>
        <v>1.3987288430585114</v>
      </c>
      <c r="M193" s="270">
        <f t="shared" si="74"/>
        <v>1.037973730537902</v>
      </c>
      <c r="N193" s="273">
        <f t="shared" si="75"/>
        <v>0.27132915136704544</v>
      </c>
      <c r="O193" s="270">
        <f t="shared" si="76"/>
        <v>3014.2124833267612</v>
      </c>
      <c r="P193" s="273">
        <f t="shared" si="77"/>
        <v>1.5704645651742823</v>
      </c>
      <c r="Q193" s="271">
        <f t="shared" si="78"/>
        <v>1.0055490683861625</v>
      </c>
      <c r="R193" s="272">
        <f t="shared" si="79"/>
        <v>0.10510498727247475</v>
      </c>
      <c r="S193" s="270">
        <f t="shared" si="80"/>
        <v>1.0000002912545944</v>
      </c>
      <c r="T193" s="273">
        <f t="shared" si="81"/>
        <v>7.6322280350470389E-4</v>
      </c>
      <c r="U193" s="274">
        <f t="shared" si="82"/>
        <v>1.002660854825917</v>
      </c>
      <c r="V193" s="275">
        <f t="shared" si="83"/>
        <v>0.1063268979950351</v>
      </c>
      <c r="W193" s="276">
        <f t="shared" si="84"/>
        <v>-9.0162841684961617</v>
      </c>
      <c r="X193" s="277">
        <f t="shared" si="93"/>
        <v>-120.36397787428595</v>
      </c>
      <c r="Y193" s="299">
        <f t="shared" si="92"/>
        <v>59.636022125714049</v>
      </c>
      <c r="AB193" s="278">
        <f t="shared" si="85"/>
        <v>-1.1109577786210392</v>
      </c>
      <c r="AC193" s="279">
        <f t="shared" si="86"/>
        <v>-25.403262485209158</v>
      </c>
      <c r="AF193" s="278">
        <f t="shared" si="87"/>
        <v>53.898206217106633</v>
      </c>
      <c r="AG193" s="279">
        <f t="shared" si="88"/>
        <v>-94.96071538907681</v>
      </c>
      <c r="AI193">
        <f t="shared" si="89"/>
        <v>0</v>
      </c>
      <c r="AJ193">
        <f t="shared" si="94"/>
        <v>0</v>
      </c>
      <c r="AK193">
        <f t="shared" si="90"/>
        <v>0</v>
      </c>
      <c r="AL193">
        <f t="shared" si="91"/>
        <v>0</v>
      </c>
      <c r="AM193"/>
      <c r="AN193"/>
    </row>
    <row r="194" spans="2:40" x14ac:dyDescent="0.2">
      <c r="B194" s="280">
        <v>10965</v>
      </c>
      <c r="C194" s="270">
        <f t="shared" si="64"/>
        <v>9.0120197965165083</v>
      </c>
      <c r="D194" s="271">
        <f t="shared" si="65"/>
        <v>1.459604429182207</v>
      </c>
      <c r="E194" s="271">
        <f t="shared" si="66"/>
        <v>1.0001604201343159</v>
      </c>
      <c r="F194" s="272">
        <f t="shared" si="67"/>
        <v>1.7910817498647317E-2</v>
      </c>
      <c r="G194" s="271">
        <f t="shared" si="68"/>
        <v>1.0061376286500989</v>
      </c>
      <c r="H194" s="272">
        <f t="shared" si="69"/>
        <v>-0.11051153893922311</v>
      </c>
      <c r="I194" s="270">
        <f t="shared" si="70"/>
        <v>38587.058263822277</v>
      </c>
      <c r="J194" s="273">
        <f t="shared" si="71"/>
        <v>1.5707704113702672</v>
      </c>
      <c r="K194" s="281">
        <f t="shared" si="72"/>
        <v>5.8729528964545343</v>
      </c>
      <c r="L194" s="282">
        <f t="shared" si="73"/>
        <v>1.3996905358658447</v>
      </c>
      <c r="M194" s="270">
        <f t="shared" si="74"/>
        <v>1.0384022818260283</v>
      </c>
      <c r="N194" s="273">
        <f t="shared" si="75"/>
        <v>0.27280874688579454</v>
      </c>
      <c r="O194" s="270">
        <f t="shared" si="76"/>
        <v>3031.4918467325779</v>
      </c>
      <c r="P194" s="273">
        <f t="shared" si="77"/>
        <v>1.5704664562002542</v>
      </c>
      <c r="Q194" s="271">
        <f t="shared" si="78"/>
        <v>1.0056126941966508</v>
      </c>
      <c r="R194" s="272">
        <f t="shared" si="79"/>
        <v>0.10570304983521481</v>
      </c>
      <c r="S194" s="270">
        <f t="shared" si="80"/>
        <v>1.0000002946034754</v>
      </c>
      <c r="T194" s="273">
        <f t="shared" si="81"/>
        <v>7.6759807583078607E-4</v>
      </c>
      <c r="U194" s="274">
        <f t="shared" si="82"/>
        <v>1.0026914608511603</v>
      </c>
      <c r="V194" s="275">
        <f t="shared" si="83"/>
        <v>0.10693548154721244</v>
      </c>
      <c r="W194" s="276">
        <f t="shared" si="84"/>
        <v>-9.0700019136341474</v>
      </c>
      <c r="X194" s="277">
        <f t="shared" si="93"/>
        <v>-120.49470047884377</v>
      </c>
      <c r="Y194" s="299">
        <f t="shared" si="92"/>
        <v>59.505299521156232</v>
      </c>
      <c r="AB194" s="278">
        <f t="shared" si="85"/>
        <v>-1.1159907317421571</v>
      </c>
      <c r="AC194" s="279">
        <f t="shared" si="86"/>
        <v>-25.432944636835728</v>
      </c>
      <c r="AF194" s="278">
        <f t="shared" si="87"/>
        <v>53.849521425089776</v>
      </c>
      <c r="AG194" s="279">
        <f t="shared" si="88"/>
        <v>-95.061755842008068</v>
      </c>
      <c r="AI194">
        <f t="shared" si="89"/>
        <v>0</v>
      </c>
      <c r="AJ194">
        <f t="shared" si="94"/>
        <v>0</v>
      </c>
      <c r="AK194">
        <f t="shared" si="90"/>
        <v>0</v>
      </c>
      <c r="AL194">
        <f t="shared" si="91"/>
        <v>0</v>
      </c>
      <c r="AM194"/>
      <c r="AN194"/>
    </row>
    <row r="195" spans="2:40" x14ac:dyDescent="0.2">
      <c r="B195" s="280">
        <v>11028.75</v>
      </c>
      <c r="C195" s="270">
        <f t="shared" si="64"/>
        <v>9.0637719689344731</v>
      </c>
      <c r="D195" s="271">
        <f t="shared" si="65"/>
        <v>1.4602419176479133</v>
      </c>
      <c r="E195" s="271">
        <f t="shared" si="66"/>
        <v>1.000162290755465</v>
      </c>
      <c r="F195" s="272">
        <f t="shared" si="67"/>
        <v>1.8014927695097341E-2</v>
      </c>
      <c r="G195" s="271">
        <f t="shared" si="68"/>
        <v>1.0062089830481595</v>
      </c>
      <c r="H195" s="272">
        <f t="shared" si="69"/>
        <v>-0.11114878427723503</v>
      </c>
      <c r="I195" s="270">
        <f t="shared" si="70"/>
        <v>38811.401625671002</v>
      </c>
      <c r="J195" s="273">
        <f t="shared" si="71"/>
        <v>1.5707705611704095</v>
      </c>
      <c r="K195" s="281">
        <f t="shared" si="72"/>
        <v>5.906110796038865</v>
      </c>
      <c r="L195" s="282">
        <f t="shared" si="73"/>
        <v>1.4006605572404245</v>
      </c>
      <c r="M195" s="270">
        <f t="shared" si="74"/>
        <v>1.0388417441114473</v>
      </c>
      <c r="N195" s="273">
        <f t="shared" si="75"/>
        <v>0.27431667332104442</v>
      </c>
      <c r="O195" s="270">
        <f t="shared" si="76"/>
        <v>3049.1167974175505</v>
      </c>
      <c r="P195" s="273">
        <f t="shared" si="77"/>
        <v>1.5704683629665599</v>
      </c>
      <c r="Q195" s="271">
        <f t="shared" si="78"/>
        <v>1.0056779630248132</v>
      </c>
      <c r="R195" s="272">
        <f t="shared" si="79"/>
        <v>0.10631299546580066</v>
      </c>
      <c r="S195" s="270">
        <f t="shared" si="80"/>
        <v>1.0000002980390548</v>
      </c>
      <c r="T195" s="273">
        <f t="shared" si="81"/>
        <v>7.7206085357311299E-4</v>
      </c>
      <c r="U195" s="274">
        <f t="shared" si="82"/>
        <v>1.0027228594956124</v>
      </c>
      <c r="V195" s="275">
        <f t="shared" si="83"/>
        <v>0.10755622001985338</v>
      </c>
      <c r="W195" s="276">
        <f t="shared" si="84"/>
        <v>-9.1245052155013795</v>
      </c>
      <c r="X195" s="277">
        <f t="shared" si="93"/>
        <v>-120.62816623827342</v>
      </c>
      <c r="Y195" s="299">
        <f t="shared" si="92"/>
        <v>59.371833761726577</v>
      </c>
      <c r="AB195" s="278">
        <f t="shared" si="85"/>
        <v>-1.1211175894066021</v>
      </c>
      <c r="AC195" s="279">
        <f t="shared" si="86"/>
        <v>-25.463772909506783</v>
      </c>
      <c r="AF195" s="278">
        <f t="shared" si="87"/>
        <v>53.800144980886984</v>
      </c>
      <c r="AG195" s="279">
        <f t="shared" si="88"/>
        <v>-95.164393328766636</v>
      </c>
      <c r="AI195">
        <f t="shared" si="89"/>
        <v>0</v>
      </c>
      <c r="AJ195">
        <f t="shared" si="94"/>
        <v>0</v>
      </c>
      <c r="AK195">
        <f t="shared" si="90"/>
        <v>0</v>
      </c>
      <c r="AL195">
        <f t="shared" si="91"/>
        <v>0</v>
      </c>
      <c r="AM195"/>
      <c r="AN195"/>
    </row>
    <row r="196" spans="2:40" x14ac:dyDescent="0.2">
      <c r="B196" s="280">
        <v>11092.5</v>
      </c>
      <c r="C196" s="270">
        <f t="shared" si="64"/>
        <v>9.1155277829673889</v>
      </c>
      <c r="D196" s="271">
        <f t="shared" si="65"/>
        <v>1.4608721673494109</v>
      </c>
      <c r="E196" s="271">
        <f t="shared" si="66"/>
        <v>1.0001641722172656</v>
      </c>
      <c r="F196" s="272">
        <f t="shared" si="67"/>
        <v>1.8119037500981393E-2</v>
      </c>
      <c r="G196" s="271">
        <f t="shared" si="68"/>
        <v>1.0062807459911507</v>
      </c>
      <c r="H196" s="272">
        <f t="shared" si="69"/>
        <v>-0.11178593898361051</v>
      </c>
      <c r="I196" s="270">
        <f t="shared" si="70"/>
        <v>39035.744987520593</v>
      </c>
      <c r="J196" s="273">
        <f t="shared" si="71"/>
        <v>1.5707707092487109</v>
      </c>
      <c r="K196" s="281">
        <f t="shared" si="72"/>
        <v>5.9392741908738591</v>
      </c>
      <c r="L196" s="282">
        <f t="shared" si="73"/>
        <v>1.4016197468044247</v>
      </c>
      <c r="M196" s="270">
        <f t="shared" si="74"/>
        <v>1.0392835665581768</v>
      </c>
      <c r="N196" s="273">
        <f t="shared" si="75"/>
        <v>0.2758233210739468</v>
      </c>
      <c r="O196" s="270">
        <f t="shared" si="76"/>
        <v>3066.7417481134821</v>
      </c>
      <c r="P196" s="273">
        <f t="shared" si="77"/>
        <v>1.5704702478160142</v>
      </c>
      <c r="Q196" s="271">
        <f t="shared" si="78"/>
        <v>1.0057436059503988</v>
      </c>
      <c r="R196" s="272">
        <f t="shared" si="79"/>
        <v>0.10692286170332688</v>
      </c>
      <c r="S196" s="270">
        <f t="shared" si="80"/>
        <v>1.0000003014945507</v>
      </c>
      <c r="T196" s="273">
        <f t="shared" si="81"/>
        <v>7.7652363128468652E-4</v>
      </c>
      <c r="U196" s="274">
        <f t="shared" si="82"/>
        <v>1.0027544404304713</v>
      </c>
      <c r="V196" s="275">
        <f t="shared" si="83"/>
        <v>0.10817694147893718</v>
      </c>
      <c r="W196" s="276">
        <f t="shared" si="84"/>
        <v>-9.1787204891012539</v>
      </c>
      <c r="X196" s="277">
        <f t="shared" si="93"/>
        <v>-120.76175835710214</v>
      </c>
      <c r="Y196" s="299">
        <f t="shared" si="92"/>
        <v>59.238241642897862</v>
      </c>
      <c r="AB196" s="278">
        <f t="shared" si="85"/>
        <v>-1.1262381339220442</v>
      </c>
      <c r="AC196" s="279">
        <f t="shared" si="86"/>
        <v>-25.495148437452464</v>
      </c>
      <c r="AF196" s="278">
        <f t="shared" si="87"/>
        <v>53.751050251802546</v>
      </c>
      <c r="AG196" s="279">
        <f t="shared" si="88"/>
        <v>-95.266609919649653</v>
      </c>
      <c r="AI196">
        <f t="shared" si="89"/>
        <v>0</v>
      </c>
      <c r="AJ196">
        <f t="shared" si="94"/>
        <v>0</v>
      </c>
      <c r="AK196">
        <f t="shared" si="90"/>
        <v>0</v>
      </c>
      <c r="AL196">
        <f t="shared" si="91"/>
        <v>0</v>
      </c>
      <c r="AM196"/>
      <c r="AN196"/>
    </row>
    <row r="197" spans="2:40" x14ac:dyDescent="0.2">
      <c r="B197" s="280">
        <v>11156.25</v>
      </c>
      <c r="C197" s="270">
        <f t="shared" si="64"/>
        <v>9.167287176936787</v>
      </c>
      <c r="D197" s="271">
        <f t="shared" si="65"/>
        <v>1.4614953003940201</v>
      </c>
      <c r="E197" s="271">
        <f t="shared" si="66"/>
        <v>1.0001660645196566</v>
      </c>
      <c r="F197" s="272">
        <f t="shared" si="67"/>
        <v>1.8223146914044822E-2</v>
      </c>
      <c r="G197" s="271">
        <f t="shared" si="68"/>
        <v>1.0063529173916728</v>
      </c>
      <c r="H197" s="272">
        <f t="shared" si="69"/>
        <v>-0.11242300256046751</v>
      </c>
      <c r="I197" s="270">
        <f t="shared" si="70"/>
        <v>39260.088349371035</v>
      </c>
      <c r="J197" s="273">
        <f t="shared" si="71"/>
        <v>1.5707708556346891</v>
      </c>
      <c r="K197" s="281">
        <f t="shared" si="72"/>
        <v>5.9724429894185009</v>
      </c>
      <c r="L197" s="282">
        <f t="shared" si="73"/>
        <v>1.4025682832459172</v>
      </c>
      <c r="M197" s="270">
        <f t="shared" si="74"/>
        <v>1.0397277461574324</v>
      </c>
      <c r="N197" s="273">
        <f t="shared" si="75"/>
        <v>0.27732868493882629</v>
      </c>
      <c r="O197" s="270">
        <f t="shared" si="76"/>
        <v>3084.3666988201844</v>
      </c>
      <c r="P197" s="273">
        <f t="shared" si="77"/>
        <v>1.5704721111243338</v>
      </c>
      <c r="Q197" s="271">
        <f t="shared" si="78"/>
        <v>1.0058096229001627</v>
      </c>
      <c r="R197" s="272">
        <f t="shared" si="79"/>
        <v>0.10753264810971913</v>
      </c>
      <c r="S197" s="270">
        <f t="shared" si="80"/>
        <v>1.0000003049699631</v>
      </c>
      <c r="T197" s="273">
        <f t="shared" si="81"/>
        <v>7.8098640896532895E-4</v>
      </c>
      <c r="U197" s="274">
        <f t="shared" si="82"/>
        <v>1.0027862036603816</v>
      </c>
      <c r="V197" s="275">
        <f t="shared" si="83"/>
        <v>0.10879764582670506</v>
      </c>
      <c r="W197" s="276">
        <f t="shared" si="84"/>
        <v>-9.2326513209672409</v>
      </c>
      <c r="X197" s="277">
        <f t="shared" si="93"/>
        <v>-120.89547326292114</v>
      </c>
      <c r="Y197" s="299">
        <f t="shared" si="92"/>
        <v>59.104526737078857</v>
      </c>
      <c r="AB197" s="278">
        <f t="shared" si="85"/>
        <v>-1.1313528612948345</v>
      </c>
      <c r="AC197" s="279">
        <f t="shared" si="86"/>
        <v>-25.527060686028413</v>
      </c>
      <c r="AF197" s="278">
        <f t="shared" si="87"/>
        <v>53.702234147309355</v>
      </c>
      <c r="AG197" s="279">
        <f t="shared" si="88"/>
        <v>-95.368412576892723</v>
      </c>
      <c r="AI197">
        <f t="shared" si="89"/>
        <v>0</v>
      </c>
      <c r="AJ197">
        <f t="shared" si="94"/>
        <v>0</v>
      </c>
      <c r="AK197">
        <f t="shared" si="90"/>
        <v>0</v>
      </c>
      <c r="AL197">
        <f t="shared" si="91"/>
        <v>0</v>
      </c>
      <c r="AM197"/>
      <c r="AN197"/>
    </row>
    <row r="198" spans="2:40" x14ac:dyDescent="0.2">
      <c r="B198" s="280">
        <v>11220</v>
      </c>
      <c r="C198" s="270">
        <f t="shared" si="64"/>
        <v>9.2190500905451316</v>
      </c>
      <c r="D198" s="271">
        <f t="shared" si="65"/>
        <v>1.4621114361690319</v>
      </c>
      <c r="E198" s="271">
        <f t="shared" si="66"/>
        <v>1.0001679676625761</v>
      </c>
      <c r="F198" s="272">
        <f t="shared" si="67"/>
        <v>1.8327255932033021E-2</v>
      </c>
      <c r="G198" s="271">
        <f t="shared" si="68"/>
        <v>1.0064254971618534</v>
      </c>
      <c r="H198" s="272">
        <f t="shared" si="69"/>
        <v>-0.11305997451036226</v>
      </c>
      <c r="I198" s="270">
        <f t="shared" si="70"/>
        <v>39484.431711222307</v>
      </c>
      <c r="J198" s="273">
        <f t="shared" si="71"/>
        <v>1.5707710003571902</v>
      </c>
      <c r="K198" s="281">
        <f t="shared" si="72"/>
        <v>6.0056171021393316</v>
      </c>
      <c r="L198" s="282">
        <f t="shared" si="73"/>
        <v>1.4035063413824393</v>
      </c>
      <c r="M198" s="270">
        <f t="shared" si="74"/>
        <v>1.0401742798895308</v>
      </c>
      <c r="N198" s="273">
        <f t="shared" si="75"/>
        <v>0.27883275974215094</v>
      </c>
      <c r="O198" s="270">
        <f t="shared" si="76"/>
        <v>3101.9916495374737</v>
      </c>
      <c r="P198" s="273">
        <f t="shared" si="77"/>
        <v>1.5704739532586978</v>
      </c>
      <c r="Q198" s="271">
        <f t="shared" si="78"/>
        <v>1.0058760138004619</v>
      </c>
      <c r="R198" s="272">
        <f t="shared" si="79"/>
        <v>0.1081423542472552</v>
      </c>
      <c r="S198" s="270">
        <f t="shared" si="80"/>
        <v>1.0000003084652918</v>
      </c>
      <c r="T198" s="273">
        <f t="shared" si="81"/>
        <v>7.8544918661486258E-4</v>
      </c>
      <c r="U198" s="274">
        <f t="shared" si="82"/>
        <v>1.0028181491900128</v>
      </c>
      <c r="V198" s="275">
        <f t="shared" si="83"/>
        <v>0.10941833296540833</v>
      </c>
      <c r="W198" s="276">
        <f t="shared" si="84"/>
        <v>-9.2863012322689027</v>
      </c>
      <c r="X198" s="277">
        <f t="shared" si="93"/>
        <v>-121.02930745106966</v>
      </c>
      <c r="Y198" s="299">
        <f t="shared" si="92"/>
        <v>58.970692548930344</v>
      </c>
      <c r="AB198" s="278">
        <f t="shared" si="85"/>
        <v>-1.1364622523809909</v>
      </c>
      <c r="AC198" s="279">
        <f t="shared" si="86"/>
        <v>-25.55949934415877</v>
      </c>
      <c r="AF198" s="278">
        <f t="shared" si="87"/>
        <v>53.653693627093844</v>
      </c>
      <c r="AG198" s="279">
        <f t="shared" si="88"/>
        <v>-95.469808106910889</v>
      </c>
      <c r="AI198">
        <f t="shared" si="89"/>
        <v>0</v>
      </c>
      <c r="AJ198">
        <f t="shared" si="94"/>
        <v>0</v>
      </c>
      <c r="AK198">
        <f t="shared" si="90"/>
        <v>0</v>
      </c>
      <c r="AL198">
        <f t="shared" si="91"/>
        <v>0</v>
      </c>
      <c r="AM198"/>
      <c r="AN198"/>
    </row>
    <row r="199" spans="2:40" x14ac:dyDescent="0.2">
      <c r="B199" s="280">
        <v>11285.5</v>
      </c>
      <c r="C199" s="270">
        <f t="shared" si="64"/>
        <v>9.2722375508142552</v>
      </c>
      <c r="D199" s="271">
        <f t="shared" si="65"/>
        <v>1.462737320133501</v>
      </c>
      <c r="E199" s="271">
        <f t="shared" si="66"/>
        <v>1.0001699343395576</v>
      </c>
      <c r="F199" s="272">
        <f t="shared" si="67"/>
        <v>1.8434222430771061E-2</v>
      </c>
      <c r="G199" s="271">
        <f t="shared" si="68"/>
        <v>1.0065004945637661</v>
      </c>
      <c r="H199" s="272">
        <f t="shared" si="69"/>
        <v>-0.11371433600801482</v>
      </c>
      <c r="I199" s="270">
        <f t="shared" si="70"/>
        <v>39714.933518301717</v>
      </c>
      <c r="J199" s="273">
        <f t="shared" si="71"/>
        <v>1.5707711473494963</v>
      </c>
      <c r="K199" s="281">
        <f t="shared" si="72"/>
        <v>6.0397073197350766</v>
      </c>
      <c r="L199" s="282">
        <f t="shared" si="73"/>
        <v>1.4044594161833763</v>
      </c>
      <c r="M199" s="270">
        <f t="shared" si="74"/>
        <v>1.0406355201796862</v>
      </c>
      <c r="N199" s="273">
        <f t="shared" si="75"/>
        <v>0.2803767748434064</v>
      </c>
      <c r="O199" s="270">
        <f t="shared" si="76"/>
        <v>3120.100422442154</v>
      </c>
      <c r="P199" s="273">
        <f t="shared" si="77"/>
        <v>1.5704758242848083</v>
      </c>
      <c r="Q199" s="271">
        <f t="shared" si="78"/>
        <v>1.0059446166076322</v>
      </c>
      <c r="R199" s="272">
        <f t="shared" si="79"/>
        <v>0.10876871335202172</v>
      </c>
      <c r="S199" s="270">
        <f t="shared" si="80"/>
        <v>1.0000003120773144</v>
      </c>
      <c r="T199" s="273">
        <f t="shared" si="81"/>
        <v>7.9003447185355959E-4</v>
      </c>
      <c r="U199" s="274">
        <f t="shared" si="82"/>
        <v>1.0028511615355544</v>
      </c>
      <c r="V199" s="275">
        <f t="shared" si="83"/>
        <v>0.11005604054769742</v>
      </c>
      <c r="W199" s="276">
        <f t="shared" si="84"/>
        <v>-9.3411349260371974</v>
      </c>
      <c r="X199" s="277">
        <f t="shared" si="93"/>
        <v>-121.16693614408288</v>
      </c>
      <c r="Y199" s="299">
        <f t="shared" si="92"/>
        <v>58.833063855917118</v>
      </c>
      <c r="AB199" s="278">
        <f t="shared" si="85"/>
        <v>-1.1417068331459062</v>
      </c>
      <c r="AC199" s="279">
        <f t="shared" si="86"/>
        <v>-25.593366151349965</v>
      </c>
      <c r="AF199" s="278">
        <f t="shared" si="87"/>
        <v>53.604104514090466</v>
      </c>
      <c r="AG199" s="279">
        <f t="shared" si="88"/>
        <v>-95.573569992732914</v>
      </c>
      <c r="AI199">
        <f t="shared" si="89"/>
        <v>0</v>
      </c>
      <c r="AJ199">
        <f t="shared" si="94"/>
        <v>0</v>
      </c>
      <c r="AK199">
        <f t="shared" si="90"/>
        <v>0</v>
      </c>
      <c r="AL199">
        <f t="shared" si="91"/>
        <v>0</v>
      </c>
      <c r="AM199"/>
      <c r="AN199"/>
    </row>
    <row r="200" spans="2:40" x14ac:dyDescent="0.2">
      <c r="B200" s="280">
        <v>11351</v>
      </c>
      <c r="C200" s="270">
        <f t="shared" si="64"/>
        <v>9.3254286018703603</v>
      </c>
      <c r="D200" s="271">
        <f t="shared" si="65"/>
        <v>1.4633560644140167</v>
      </c>
      <c r="E200" s="271">
        <f t="shared" si="66"/>
        <v>1.0001719124602702</v>
      </c>
      <c r="F200" s="272">
        <f t="shared" si="67"/>
        <v>1.8541188507620428E-2</v>
      </c>
      <c r="G200" s="271">
        <f t="shared" si="68"/>
        <v>1.0065759228737596</v>
      </c>
      <c r="H200" s="272">
        <f t="shared" si="69"/>
        <v>-0.11436859971591708</v>
      </c>
      <c r="I200" s="270">
        <f t="shared" si="70"/>
        <v>39945.435325381979</v>
      </c>
      <c r="J200" s="273">
        <f t="shared" si="71"/>
        <v>1.5707712926453885</v>
      </c>
      <c r="K200" s="281">
        <f t="shared" si="72"/>
        <v>6.073802961921448</v>
      </c>
      <c r="L200" s="282">
        <f t="shared" si="73"/>
        <v>1.4054017915519326</v>
      </c>
      <c r="M200" s="270">
        <f t="shared" si="74"/>
        <v>1.0410992391252023</v>
      </c>
      <c r="N200" s="273">
        <f t="shared" si="75"/>
        <v>0.28191941817134036</v>
      </c>
      <c r="O200" s="270">
        <f t="shared" si="76"/>
        <v>3138.2091953576305</v>
      </c>
      <c r="P200" s="273">
        <f t="shared" si="77"/>
        <v>1.5704776737177204</v>
      </c>
      <c r="Q200" s="271">
        <f t="shared" si="78"/>
        <v>1.0060136140188409</v>
      </c>
      <c r="R200" s="272">
        <f t="shared" si="79"/>
        <v>0.1093949867848255</v>
      </c>
      <c r="S200" s="270">
        <f t="shared" si="80"/>
        <v>1.0000003157103623</v>
      </c>
      <c r="T200" s="273">
        <f t="shared" si="81"/>
        <v>7.94619757059036E-4</v>
      </c>
      <c r="U200" s="274">
        <f t="shared" si="82"/>
        <v>1.0028843663368814</v>
      </c>
      <c r="V200" s="275">
        <f t="shared" si="83"/>
        <v>0.11069372975396521</v>
      </c>
      <c r="W200" s="276">
        <f t="shared" si="84"/>
        <v>-9.3956793954553071</v>
      </c>
      <c r="X200" s="277">
        <f t="shared" si="93"/>
        <v>-121.30468347000199</v>
      </c>
      <c r="Y200" s="299">
        <f t="shared" si="92"/>
        <v>58.69531652999801</v>
      </c>
      <c r="AB200" s="278">
        <f t="shared" si="85"/>
        <v>-1.1469467627737748</v>
      </c>
      <c r="AC200" s="279">
        <f t="shared" si="86"/>
        <v>-25.627767296840656</v>
      </c>
      <c r="AF200" s="278">
        <f t="shared" si="87"/>
        <v>53.554799974300231</v>
      </c>
      <c r="AG200" s="279">
        <f t="shared" si="88"/>
        <v>-95.676916173161345</v>
      </c>
      <c r="AI200">
        <f t="shared" si="89"/>
        <v>0</v>
      </c>
      <c r="AJ200">
        <f t="shared" si="94"/>
        <v>0</v>
      </c>
      <c r="AK200">
        <f t="shared" si="90"/>
        <v>0</v>
      </c>
      <c r="AL200">
        <f t="shared" si="91"/>
        <v>0</v>
      </c>
      <c r="AM200"/>
      <c r="AN200"/>
    </row>
    <row r="201" spans="2:40" x14ac:dyDescent="0.2">
      <c r="B201" s="280">
        <v>11416.5</v>
      </c>
      <c r="C201" s="270">
        <f t="shared" si="64"/>
        <v>9.3786231826177833</v>
      </c>
      <c r="D201" s="271">
        <f t="shared" si="65"/>
        <v>1.4639677900193833</v>
      </c>
      <c r="E201" s="271">
        <f t="shared" si="66"/>
        <v>1.0001739020246461</v>
      </c>
      <c r="F201" s="272">
        <f t="shared" si="67"/>
        <v>1.864815416013588E-2</v>
      </c>
      <c r="G201" s="271">
        <f t="shared" si="68"/>
        <v>1.0066517819949701</v>
      </c>
      <c r="H201" s="272">
        <f t="shared" si="69"/>
        <v>-0.11502276509598482</v>
      </c>
      <c r="I201" s="270">
        <f t="shared" si="70"/>
        <v>40175.937132463063</v>
      </c>
      <c r="J201" s="273">
        <f t="shared" si="71"/>
        <v>1.5707714362740655</v>
      </c>
      <c r="K201" s="281">
        <f t="shared" si="72"/>
        <v>6.1079039378547302</v>
      </c>
      <c r="L201" s="282">
        <f t="shared" si="73"/>
        <v>1.406333645007817</v>
      </c>
      <c r="M201" s="270">
        <f t="shared" si="74"/>
        <v>1.0415654334154874</v>
      </c>
      <c r="N201" s="273">
        <f t="shared" si="75"/>
        <v>0.28346068422086318</v>
      </c>
      <c r="O201" s="270">
        <f t="shared" si="76"/>
        <v>3156.3179682837185</v>
      </c>
      <c r="P201" s="273">
        <f t="shared" si="77"/>
        <v>1.5704795019290947</v>
      </c>
      <c r="Q201" s="271">
        <f t="shared" si="78"/>
        <v>1.0060830059529016</v>
      </c>
      <c r="R201" s="272">
        <f t="shared" si="79"/>
        <v>0.11002117407207154</v>
      </c>
      <c r="S201" s="270">
        <f t="shared" si="80"/>
        <v>1.0000003193644347</v>
      </c>
      <c r="T201" s="273">
        <f t="shared" si="81"/>
        <v>7.9920504223109892E-4</v>
      </c>
      <c r="U201" s="274">
        <f t="shared" si="82"/>
        <v>1.0029177635991449</v>
      </c>
      <c r="V201" s="275">
        <f t="shared" si="83"/>
        <v>0.11133140047822401</v>
      </c>
      <c r="W201" s="276">
        <f t="shared" si="84"/>
        <v>-9.4499382542992283</v>
      </c>
      <c r="X201" s="277">
        <f t="shared" si="93"/>
        <v>-121.44254584048274</v>
      </c>
      <c r="Y201" s="299">
        <f t="shared" si="92"/>
        <v>58.557454159517263</v>
      </c>
      <c r="AB201" s="278">
        <f t="shared" si="85"/>
        <v>-1.1521825160491148</v>
      </c>
      <c r="AC201" s="279">
        <f t="shared" si="86"/>
        <v>-25.662692295755253</v>
      </c>
      <c r="AF201" s="278">
        <f t="shared" si="87"/>
        <v>53.505776868731651</v>
      </c>
      <c r="AG201" s="279">
        <f t="shared" si="88"/>
        <v>-95.779853544727473</v>
      </c>
      <c r="AI201">
        <f t="shared" si="89"/>
        <v>0</v>
      </c>
      <c r="AJ201">
        <f t="shared" si="94"/>
        <v>0</v>
      </c>
      <c r="AK201">
        <f t="shared" si="90"/>
        <v>0</v>
      </c>
      <c r="AL201">
        <f t="shared" si="91"/>
        <v>0</v>
      </c>
      <c r="AM201"/>
      <c r="AN201"/>
    </row>
    <row r="202" spans="2:40" x14ac:dyDescent="0.2">
      <c r="B202" s="280">
        <v>11482</v>
      </c>
      <c r="C202" s="270">
        <f t="shared" si="64"/>
        <v>9.4318212333351461</v>
      </c>
      <c r="D202" s="271">
        <f t="shared" si="65"/>
        <v>1.4645726152495984</v>
      </c>
      <c r="E202" s="271">
        <f t="shared" si="66"/>
        <v>1.0001759030326167</v>
      </c>
      <c r="F202" s="272">
        <f t="shared" si="67"/>
        <v>1.8755119385872224E-2</v>
      </c>
      <c r="G202" s="271">
        <f t="shared" si="68"/>
        <v>1.00672807183001</v>
      </c>
      <c r="H202" s="272">
        <f t="shared" si="69"/>
        <v>-0.11567683161063222</v>
      </c>
      <c r="I202" s="270">
        <f t="shared" si="70"/>
        <v>40406.438939544983</v>
      </c>
      <c r="J202" s="273">
        <f t="shared" si="71"/>
        <v>1.5707715782640599</v>
      </c>
      <c r="K202" s="281">
        <f t="shared" si="72"/>
        <v>6.1420101586946387</v>
      </c>
      <c r="L202" s="282">
        <f t="shared" si="73"/>
        <v>1.407255150201735</v>
      </c>
      <c r="M202" s="270">
        <f t="shared" si="74"/>
        <v>1.0420340997282171</v>
      </c>
      <c r="N202" s="273">
        <f t="shared" si="75"/>
        <v>0.28500056752288455</v>
      </c>
      <c r="O202" s="270">
        <f t="shared" si="76"/>
        <v>3174.4267412202357</v>
      </c>
      <c r="P202" s="273">
        <f t="shared" si="77"/>
        <v>1.570481309282111</v>
      </c>
      <c r="Q202" s="271">
        <f t="shared" si="78"/>
        <v>1.0061527923281866</v>
      </c>
      <c r="R202" s="272">
        <f t="shared" si="79"/>
        <v>0.11064727474056543</v>
      </c>
      <c r="S202" s="270">
        <f t="shared" si="80"/>
        <v>1.0000003230395322</v>
      </c>
      <c r="T202" s="273">
        <f t="shared" si="81"/>
        <v>8.0379032736955548E-4</v>
      </c>
      <c r="U202" s="274">
        <f t="shared" si="82"/>
        <v>1.0029513533275245</v>
      </c>
      <c r="V202" s="275">
        <f t="shared" si="83"/>
        <v>0.11196905261449762</v>
      </c>
      <c r="W202" s="276">
        <f t="shared" si="84"/>
        <v>-9.5039150502409395</v>
      </c>
      <c r="X202" s="277">
        <f t="shared" si="93"/>
        <v>-121.58051973570882</v>
      </c>
      <c r="Y202" s="299">
        <f t="shared" si="92"/>
        <v>58.419480264291181</v>
      </c>
      <c r="AB202" s="278">
        <f t="shared" si="85"/>
        <v>-1.1574145529759925</v>
      </c>
      <c r="AC202" s="279">
        <f t="shared" si="86"/>
        <v>-25.698130886920282</v>
      </c>
      <c r="AF202" s="278">
        <f t="shared" si="87"/>
        <v>53.457032109716813</v>
      </c>
      <c r="AG202" s="279">
        <f t="shared" si="88"/>
        <v>-95.88238884878858</v>
      </c>
      <c r="AI202">
        <f t="shared" si="89"/>
        <v>0</v>
      </c>
      <c r="AJ202">
        <f t="shared" si="94"/>
        <v>0</v>
      </c>
      <c r="AK202">
        <f t="shared" si="90"/>
        <v>0</v>
      </c>
      <c r="AL202">
        <f t="shared" si="91"/>
        <v>0</v>
      </c>
      <c r="AM202"/>
      <c r="AN202"/>
    </row>
    <row r="203" spans="2:40" x14ac:dyDescent="0.2">
      <c r="B203" s="280">
        <v>11548.75</v>
      </c>
      <c r="C203" s="270">
        <f t="shared" si="64"/>
        <v>9.4860380235180219</v>
      </c>
      <c r="D203" s="271">
        <f t="shared" si="65"/>
        <v>1.4651820035271763</v>
      </c>
      <c r="E203" s="271">
        <f t="shared" si="66"/>
        <v>1.0001779540009541</v>
      </c>
      <c r="F203" s="272">
        <f t="shared" si="67"/>
        <v>1.8864125491105058E-2</v>
      </c>
      <c r="G203" s="271">
        <f t="shared" si="68"/>
        <v>1.0068062605984136</v>
      </c>
      <c r="H203" s="272">
        <f t="shared" si="69"/>
        <v>-0.11634327804106316</v>
      </c>
      <c r="I203" s="270">
        <f t="shared" si="70"/>
        <v>40641.339636075849</v>
      </c>
      <c r="J203" s="273">
        <f t="shared" si="71"/>
        <v>1.5707717213067642</v>
      </c>
      <c r="K203" s="281">
        <f t="shared" si="72"/>
        <v>6.1767725676600014</v>
      </c>
      <c r="L203" s="282">
        <f t="shared" si="73"/>
        <v>1.4081837708706213</v>
      </c>
      <c r="M203" s="270">
        <f t="shared" si="74"/>
        <v>1.0425142498392759</v>
      </c>
      <c r="N203" s="273">
        <f t="shared" si="75"/>
        <v>0.28656840970411168</v>
      </c>
      <c r="O203" s="270">
        <f t="shared" si="76"/>
        <v>3192.881101437079</v>
      </c>
      <c r="P203" s="273">
        <f t="shared" si="77"/>
        <v>1.5704831300347986</v>
      </c>
      <c r="Q203" s="271">
        <f t="shared" si="78"/>
        <v>1.006224316223862</v>
      </c>
      <c r="R203" s="272">
        <f t="shared" si="79"/>
        <v>0.11128523429152515</v>
      </c>
      <c r="S203" s="270">
        <f t="shared" si="80"/>
        <v>1.0000003268063955</v>
      </c>
      <c r="T203" s="273">
        <f t="shared" si="81"/>
        <v>8.0846311791481153E-4</v>
      </c>
      <c r="U203" s="274">
        <f t="shared" si="82"/>
        <v>1.0029857820973385</v>
      </c>
      <c r="V203" s="275">
        <f t="shared" si="83"/>
        <v>0.11261885445149021</v>
      </c>
      <c r="W203" s="276">
        <f t="shared" si="84"/>
        <v>-9.5586353550990211</v>
      </c>
      <c r="X203" s="277">
        <f t="shared" si="93"/>
        <v>-121.72123788341692</v>
      </c>
      <c r="Y203" s="299">
        <f t="shared" si="92"/>
        <v>58.278762116583081</v>
      </c>
      <c r="AB203" s="278">
        <f t="shared" si="85"/>
        <v>-1.1627430759218875</v>
      </c>
      <c r="AC203" s="279">
        <f t="shared" si="86"/>
        <v>-25.734763777494628</v>
      </c>
      <c r="AF203" s="278">
        <f t="shared" si="87"/>
        <v>53.407640327804629</v>
      </c>
      <c r="AG203" s="279">
        <f t="shared" si="88"/>
        <v>-95.986474105922298</v>
      </c>
      <c r="AI203">
        <f t="shared" si="89"/>
        <v>0</v>
      </c>
      <c r="AJ203">
        <f t="shared" si="94"/>
        <v>0</v>
      </c>
      <c r="AK203">
        <f t="shared" si="90"/>
        <v>0</v>
      </c>
      <c r="AL203">
        <f t="shared" si="91"/>
        <v>0</v>
      </c>
      <c r="AM203"/>
      <c r="AN203"/>
    </row>
    <row r="204" spans="2:40" x14ac:dyDescent="0.2">
      <c r="B204" s="280">
        <v>11615.5</v>
      </c>
      <c r="C204" s="270">
        <f t="shared" si="64"/>
        <v>9.5402582963405926</v>
      </c>
      <c r="D204" s="271">
        <f t="shared" si="65"/>
        <v>1.4657844653378771</v>
      </c>
      <c r="E204" s="271">
        <f t="shared" si="66"/>
        <v>1.0001800168536878</v>
      </c>
      <c r="F204" s="272">
        <f t="shared" si="67"/>
        <v>1.8973131147986991E-2</v>
      </c>
      <c r="G204" s="271">
        <f t="shared" si="68"/>
        <v>1.0068848964711026</v>
      </c>
      <c r="H204" s="272">
        <f t="shared" si="69"/>
        <v>-0.11700962067091263</v>
      </c>
      <c r="I204" s="270">
        <f t="shared" si="70"/>
        <v>40876.240332607544</v>
      </c>
      <c r="J204" s="273">
        <f t="shared" si="71"/>
        <v>1.5707718627054412</v>
      </c>
      <c r="K204" s="281">
        <f t="shared" si="72"/>
        <v>6.2115402434599911</v>
      </c>
      <c r="L204" s="282">
        <f t="shared" si="73"/>
        <v>1.4091019968403602</v>
      </c>
      <c r="M204" s="270">
        <f t="shared" si="74"/>
        <v>1.042996960221833</v>
      </c>
      <c r="N204" s="273">
        <f t="shared" si="75"/>
        <v>0.28813480450381301</v>
      </c>
      <c r="O204" s="270">
        <f t="shared" si="76"/>
        <v>3211.335461664386</v>
      </c>
      <c r="P204" s="273">
        <f t="shared" si="77"/>
        <v>1.5704849298610979</v>
      </c>
      <c r="Q204" s="271">
        <f t="shared" si="78"/>
        <v>1.0062962495868628</v>
      </c>
      <c r="R204" s="272">
        <f t="shared" si="79"/>
        <v>0.11192310289517111</v>
      </c>
      <c r="S204" s="270">
        <f t="shared" si="80"/>
        <v>1.0000003305950937</v>
      </c>
      <c r="T204" s="273">
        <f t="shared" si="81"/>
        <v>8.1313590842476205E-4</v>
      </c>
      <c r="U204" s="274">
        <f t="shared" si="82"/>
        <v>1.0030204107603526</v>
      </c>
      <c r="V204" s="275">
        <f t="shared" si="83"/>
        <v>0.11326863676208014</v>
      </c>
      <c r="W204" s="276">
        <f t="shared" si="84"/>
        <v>-9.6130699648358302</v>
      </c>
      <c r="X204" s="277">
        <f t="shared" si="93"/>
        <v>-121.86206468272078</v>
      </c>
      <c r="Y204" s="299">
        <f t="shared" si="92"/>
        <v>58.137935317279215</v>
      </c>
      <c r="AB204" s="278">
        <f t="shared" si="85"/>
        <v>-1.1680686590964382</v>
      </c>
      <c r="AC204" s="279">
        <f t="shared" si="86"/>
        <v>-25.771909217410826</v>
      </c>
      <c r="AF204" s="278">
        <f t="shared" si="87"/>
        <v>53.358531301242365</v>
      </c>
      <c r="AG204" s="279">
        <f t="shared" si="88"/>
        <v>-96.090155465309962</v>
      </c>
      <c r="AI204">
        <f t="shared" si="89"/>
        <v>0</v>
      </c>
      <c r="AJ204">
        <f t="shared" si="94"/>
        <v>0</v>
      </c>
      <c r="AK204">
        <f t="shared" si="90"/>
        <v>0</v>
      </c>
      <c r="AL204">
        <f t="shared" si="91"/>
        <v>0</v>
      </c>
      <c r="AM204"/>
      <c r="AN204"/>
    </row>
    <row r="205" spans="2:40" x14ac:dyDescent="0.2">
      <c r="B205" s="280">
        <v>11682.25</v>
      </c>
      <c r="C205" s="270">
        <f t="shared" ref="C205:C268" si="95">SQRT(1+(B205/PS_Pole1)^2)</f>
        <v>9.5944819927596487</v>
      </c>
      <c r="D205" s="271">
        <f t="shared" ref="D205:D268" si="96">ATAN(B205/PS_Pole1)</f>
        <v>1.4663801176764366</v>
      </c>
      <c r="E205" s="271">
        <f t="shared" ref="E205:E268" si="97">SQRT(1+(B205/PS_Zero1)^2)</f>
        <v>1.0001820915907451</v>
      </c>
      <c r="F205" s="272">
        <f t="shared" ref="F205:F268" si="98">ATAN(B205/PS_Zero1)</f>
        <v>1.9082136353930339E-2</v>
      </c>
      <c r="G205" s="271">
        <f t="shared" ref="G205:G268" si="99">IF(VIN_nom&gt;Vout, 1, SQRT(1+(B205/PS_RHPZ)^2))</f>
        <v>1.0069639793433312</v>
      </c>
      <c r="H205" s="272">
        <f t="shared" ref="H205:H268" si="100">IF(VIN_nom&gt;Vout, 0, -ATAN(B205/PS_RHPZ))</f>
        <v>-0.11767585893283933</v>
      </c>
      <c r="I205" s="270">
        <f t="shared" ref="I205:I268" si="101">SQRT(1+(B205/EA_Pole1)^2)</f>
        <v>41111.141029140046</v>
      </c>
      <c r="J205" s="273">
        <f t="shared" ref="J205:J268" si="102">ATAN(B205/EA_Pole1)</f>
        <v>1.5707720024882716</v>
      </c>
      <c r="K205" s="281">
        <f t="shared" ref="K205:K268" si="103">SQRT(1+(B205/EA_Zero1)^2)</f>
        <v>6.246313098147243</v>
      </c>
      <c r="L205" s="282">
        <f t="shared" ref="L205:L268" si="104">ATAN(B205/EA_Zero1)</f>
        <v>1.4100100001495173</v>
      </c>
      <c r="M205" s="270">
        <f t="shared" ref="M205:M268" si="105">SQRT(1+(B205/EA_Pole2)^2)</f>
        <v>1.0434822273227762</v>
      </c>
      <c r="N205" s="273">
        <f t="shared" ref="N205:N268" si="106">ATAN(B205/EA_Pole2)</f>
        <v>0.28969974624940847</v>
      </c>
      <c r="O205" s="270">
        <f t="shared" ref="O205:O268" si="107">SQRT(1+(B205/$V$5)^2)</f>
        <v>3229.7898219019771</v>
      </c>
      <c r="P205" s="273">
        <f t="shared" ref="P205:P268" si="108">ATAN(B205/$V$5)</f>
        <v>1.5704867091197166</v>
      </c>
      <c r="Q205" s="271">
        <f t="shared" ref="Q205:Q268" si="109">SQRT(1+(B205/$V$4)^2)</f>
        <v>1.0063685923293855</v>
      </c>
      <c r="R205" s="272">
        <f t="shared" ref="R205:R268" si="110">ATAN(B205/$V$4)</f>
        <v>0.11256088005199416</v>
      </c>
      <c r="S205" s="270">
        <f t="shared" ref="S205:S268" si="111">SQRT(1+(B205/$V$7)^2)</f>
        <v>1.0000003344056272</v>
      </c>
      <c r="T205" s="273">
        <f t="shared" ref="T205:T268" si="112">ATAN(B205/$V$7)</f>
        <v>8.17808698899203E-4</v>
      </c>
      <c r="U205" s="274">
        <f t="shared" ref="U205:U268" si="113">SQRT((1-(B205^2/pterm2))^2+(B205/pterm1)^2)</f>
        <v>1.0030552393221417</v>
      </c>
      <c r="V205" s="275">
        <f t="shared" ref="V205:V268" si="114">IF((ATAN((B205/pterm1)/(1-B205^2/pterm2))&gt;0),ATAN((B205/pterm1)/(1-B205^2/pterm2)),PI()+ATAN((B205/pterm1)/(1-B205^2/pterm2)))</f>
        <v>0.11391839943414496</v>
      </c>
      <c r="W205" s="276">
        <f t="shared" ref="W205:W268" si="115">20*LOG10(((E205*K205*G205)/(C205*I205*U205*M205))*Adc)</f>
        <v>-9.6672224322674989</v>
      </c>
      <c r="X205" s="277">
        <f t="shared" si="93"/>
        <v>-122.00299661765892</v>
      </c>
      <c r="Y205" s="299">
        <f t="shared" si="92"/>
        <v>57.997003382341077</v>
      </c>
      <c r="AB205" s="278">
        <f t="shared" ref="AB205:AB268" si="116">20*LOG10((K205/(I205*M205))*AEA)</f>
        <v>-1.1733917450141775</v>
      </c>
      <c r="AC205" s="279">
        <f t="shared" ref="AC205:AC268" si="117">(L205-(J205+N205))*radconv</f>
        <v>-25.809557026184898</v>
      </c>
      <c r="AF205" s="278">
        <f t="shared" ref="AF205:AF268" si="118">20*LOG10((E205*G205/(C205*U205))*Acs*Am)</f>
        <v>53.30970191972844</v>
      </c>
      <c r="AG205" s="279">
        <f t="shared" ref="AG205:AG268" si="119">(F205+H205-(D205+V205))*radconv</f>
        <v>-96.193439591474018</v>
      </c>
      <c r="AI205">
        <f t="shared" ref="AI205:AI268" si="120">SUM((W206&lt;0)*(W205&gt;0))*B205</f>
        <v>0</v>
      </c>
      <c r="AJ205">
        <f t="shared" si="94"/>
        <v>0</v>
      </c>
      <c r="AK205">
        <f t="shared" ref="AK205:AK268" si="121">SUM((AB206&lt;0)*(AB205&gt;0))*B205</f>
        <v>0</v>
      </c>
      <c r="AL205">
        <f t="shared" ref="AL205:AL268" si="122">IF(AK205&gt;0,AC205,0)</f>
        <v>0</v>
      </c>
      <c r="AM205"/>
      <c r="AN205"/>
    </row>
    <row r="206" spans="2:40" x14ac:dyDescent="0.2">
      <c r="B206" s="280">
        <v>11749</v>
      </c>
      <c r="C206" s="270">
        <f t="shared" si="95"/>
        <v>9.6487090550555354</v>
      </c>
      <c r="D206" s="271">
        <f t="shared" si="96"/>
        <v>1.4669690749270636</v>
      </c>
      <c r="E206" s="271">
        <f t="shared" si="97"/>
        <v>1.0001841782120513</v>
      </c>
      <c r="F206" s="272">
        <f t="shared" si="98"/>
        <v>1.9191141106347488E-2</v>
      </c>
      <c r="G206" s="271">
        <f t="shared" si="99"/>
        <v>1.0070435091097909</v>
      </c>
      <c r="H206" s="272">
        <f t="shared" si="100"/>
        <v>-0.11834199226005032</v>
      </c>
      <c r="I206" s="270">
        <f t="shared" si="101"/>
        <v>41346.041725673334</v>
      </c>
      <c r="J206" s="273">
        <f t="shared" si="102"/>
        <v>1.5707721406827959</v>
      </c>
      <c r="K206" s="281">
        <f t="shared" si="103"/>
        <v>6.2810910457089788</v>
      </c>
      <c r="L206" s="282">
        <f t="shared" si="104"/>
        <v>1.4109079490946785</v>
      </c>
      <c r="M206" s="270">
        <f t="shared" si="105"/>
        <v>1.0439700475767986</v>
      </c>
      <c r="N206" s="273">
        <f t="shared" si="106"/>
        <v>0.29126322930730608</v>
      </c>
      <c r="O206" s="270">
        <f t="shared" si="107"/>
        <v>3248.2441821496764</v>
      </c>
      <c r="P206" s="273">
        <f t="shared" si="108"/>
        <v>1.5704884681612103</v>
      </c>
      <c r="Q206" s="271">
        <f t="shared" si="109"/>
        <v>1.0064413443631515</v>
      </c>
      <c r="R206" s="272">
        <f t="shared" si="110"/>
        <v>0.11319856526292592</v>
      </c>
      <c r="S206" s="270">
        <f t="shared" si="111"/>
        <v>1.0000003382379954</v>
      </c>
      <c r="T206" s="273">
        <f t="shared" si="112"/>
        <v>8.2248148933793022E-4</v>
      </c>
      <c r="U206" s="274">
        <f t="shared" si="113"/>
        <v>1.0030902677883118</v>
      </c>
      <c r="V206" s="275">
        <f t="shared" si="114"/>
        <v>0.11456814235557494</v>
      </c>
      <c r="W206" s="276">
        <f t="shared" si="115"/>
        <v>-9.7210962455001866</v>
      </c>
      <c r="X206" s="277">
        <f t="shared" si="93"/>
        <v>-122.1440302393265</v>
      </c>
      <c r="Y206" s="299">
        <f t="shared" ref="Y206:Y269" si="123">IF(X206&gt;0,X206-180,X206+180)</f>
        <v>57.855969760673503</v>
      </c>
      <c r="AB206" s="278">
        <f t="shared" si="116"/>
        <v>-1.1787127622364633</v>
      </c>
      <c r="AC206" s="279">
        <f t="shared" si="117"/>
        <v>-25.847697239929669</v>
      </c>
      <c r="AF206" s="278">
        <f t="shared" si="118"/>
        <v>53.261149123718035</v>
      </c>
      <c r="AG206" s="279">
        <f t="shared" si="119"/>
        <v>-96.296332999396839</v>
      </c>
      <c r="AI206">
        <f t="shared" si="120"/>
        <v>0</v>
      </c>
      <c r="AJ206">
        <f t="shared" si="94"/>
        <v>0</v>
      </c>
      <c r="AK206">
        <f t="shared" si="121"/>
        <v>0</v>
      </c>
      <c r="AL206">
        <f t="shared" si="122"/>
        <v>0</v>
      </c>
      <c r="AM206"/>
      <c r="AN206"/>
    </row>
    <row r="207" spans="2:40" x14ac:dyDescent="0.2">
      <c r="B207" s="280">
        <v>11817.5</v>
      </c>
      <c r="C207" s="270">
        <f t="shared" si="95"/>
        <v>9.7043612408564819</v>
      </c>
      <c r="D207" s="271">
        <f t="shared" si="96"/>
        <v>1.4675666296075027</v>
      </c>
      <c r="E207" s="271">
        <f t="shared" si="97"/>
        <v>1.0001863318943987</v>
      </c>
      <c r="F207" s="272">
        <f t="shared" si="98"/>
        <v>1.9303003187031396E-2</v>
      </c>
      <c r="G207" s="271">
        <f t="shared" si="99"/>
        <v>1.0071255884375805</v>
      </c>
      <c r="H207" s="272">
        <f t="shared" si="100"/>
        <v>-0.11902548006561822</v>
      </c>
      <c r="I207" s="270">
        <f t="shared" si="101"/>
        <v>41587.100867434907</v>
      </c>
      <c r="J207" s="273">
        <f t="shared" si="102"/>
        <v>1.5707722808773106</v>
      </c>
      <c r="K207" s="281">
        <f t="shared" si="103"/>
        <v>6.3167859813539033</v>
      </c>
      <c r="L207" s="282">
        <f t="shared" si="104"/>
        <v>1.4118191592149207</v>
      </c>
      <c r="M207" s="270">
        <f t="shared" si="105"/>
        <v>1.0444733078094057</v>
      </c>
      <c r="N207" s="273">
        <f t="shared" si="106"/>
        <v>0.29286618013753724</v>
      </c>
      <c r="O207" s="270">
        <f t="shared" si="107"/>
        <v>3267.1823645864843</v>
      </c>
      <c r="P207" s="273">
        <f t="shared" si="108"/>
        <v>1.5704902526600542</v>
      </c>
      <c r="Q207" s="271">
        <f t="shared" si="109"/>
        <v>1.0065164291881536</v>
      </c>
      <c r="R207" s="272">
        <f t="shared" si="110"/>
        <v>0.113852872696448</v>
      </c>
      <c r="S207" s="270">
        <f t="shared" si="111"/>
        <v>1.0000003421935391</v>
      </c>
      <c r="T207" s="273">
        <f t="shared" si="112"/>
        <v>8.2727678735381154E-4</v>
      </c>
      <c r="U207" s="274">
        <f t="shared" si="113"/>
        <v>1.0031264224441849</v>
      </c>
      <c r="V207" s="275">
        <f t="shared" si="114"/>
        <v>0.11523489908392415</v>
      </c>
      <c r="W207" s="276">
        <f t="shared" si="115"/>
        <v>-9.7760963640213951</v>
      </c>
      <c r="X207" s="277">
        <f t="shared" ref="X207:X270" si="124">IF(((F207+L207+H207)-(D207+J207+V207+N207))*radconv&lt;-180,((F207+L207+H207)-(D207+J207+V207+N207))*radconv+360,((F207+L207+H207)-(D207+J207+V207+N207))*radconv)</f>
        <v>-122.28886354429106</v>
      </c>
      <c r="Y207" s="299">
        <f t="shared" si="123"/>
        <v>57.711136455708939</v>
      </c>
      <c r="AB207" s="278">
        <f t="shared" si="116"/>
        <v>-1.1841715662329166</v>
      </c>
      <c r="AC207" s="279">
        <f t="shared" si="117"/>
        <v>-25.887339095683419</v>
      </c>
      <c r="AF207" s="278">
        <f t="shared" si="118"/>
        <v>53.211607809193282</v>
      </c>
      <c r="AG207" s="279">
        <f t="shared" si="119"/>
        <v>-96.401524448607603</v>
      </c>
      <c r="AI207">
        <f t="shared" si="120"/>
        <v>0</v>
      </c>
      <c r="AJ207">
        <f t="shared" si="94"/>
        <v>0</v>
      </c>
      <c r="AK207">
        <f t="shared" si="121"/>
        <v>0</v>
      </c>
      <c r="AL207">
        <f t="shared" si="122"/>
        <v>0</v>
      </c>
      <c r="AM207"/>
      <c r="AN207"/>
    </row>
    <row r="208" spans="2:40" x14ac:dyDescent="0.2">
      <c r="B208" s="280">
        <v>11886</v>
      </c>
      <c r="C208" s="270">
        <f t="shared" si="95"/>
        <v>9.7600168522914732</v>
      </c>
      <c r="D208" s="271">
        <f t="shared" si="96"/>
        <v>1.4681573694940748</v>
      </c>
      <c r="E208" s="271">
        <f t="shared" si="97"/>
        <v>1.0001884980921487</v>
      </c>
      <c r="F208" s="272">
        <f t="shared" si="98"/>
        <v>1.9414864784575603E-2</v>
      </c>
      <c r="G208" s="271">
        <f t="shared" si="99"/>
        <v>1.0072081381728992</v>
      </c>
      <c r="H208" s="272">
        <f t="shared" si="100"/>
        <v>-0.11970885615448099</v>
      </c>
      <c r="I208" s="270">
        <f t="shared" si="101"/>
        <v>41828.16000919728</v>
      </c>
      <c r="J208" s="273">
        <f t="shared" si="102"/>
        <v>1.5707724194559203</v>
      </c>
      <c r="K208" s="281">
        <f t="shared" si="103"/>
        <v>6.352486102906064</v>
      </c>
      <c r="L208" s="282">
        <f t="shared" si="104"/>
        <v>1.412720128318449</v>
      </c>
      <c r="M208" s="270">
        <f t="shared" si="105"/>
        <v>1.0449792491764049</v>
      </c>
      <c r="N208" s="273">
        <f t="shared" si="106"/>
        <v>0.29446758289690789</v>
      </c>
      <c r="O208" s="270">
        <f t="shared" si="107"/>
        <v>3286.1205470335763</v>
      </c>
      <c r="P208" s="273">
        <f t="shared" si="108"/>
        <v>1.5704920165904712</v>
      </c>
      <c r="Q208" s="271">
        <f t="shared" si="109"/>
        <v>1.0065919448567824</v>
      </c>
      <c r="R208" s="272">
        <f t="shared" si="110"/>
        <v>0.11450708223624359</v>
      </c>
      <c r="S208" s="270">
        <f t="shared" si="111"/>
        <v>1.0000003461720774</v>
      </c>
      <c r="T208" s="273">
        <f t="shared" si="112"/>
        <v>8.3207208533164659E-4</v>
      </c>
      <c r="U208" s="274">
        <f t="shared" si="113"/>
        <v>1.0031627876357823</v>
      </c>
      <c r="V208" s="275">
        <f t="shared" si="114"/>
        <v>0.11590163477326515</v>
      </c>
      <c r="W208" s="276">
        <f t="shared" si="115"/>
        <v>-9.8308102662501646</v>
      </c>
      <c r="X208" s="277">
        <f t="shared" si="124"/>
        <v>-122.43379678819291</v>
      </c>
      <c r="Y208" s="299">
        <f t="shared" si="123"/>
        <v>57.566203211807093</v>
      </c>
      <c r="AB208" s="278">
        <f t="shared" si="116"/>
        <v>-1.1896290629715502</v>
      </c>
      <c r="AC208" s="279">
        <f t="shared" si="117"/>
        <v>-25.927478927961577</v>
      </c>
      <c r="AF208" s="278">
        <f t="shared" si="118"/>
        <v>53.162351403703141</v>
      </c>
      <c r="AG208" s="279">
        <f t="shared" si="119"/>
        <v>-96.50631786023132</v>
      </c>
      <c r="AI208">
        <f t="shared" si="120"/>
        <v>0</v>
      </c>
      <c r="AJ208">
        <f t="shared" si="94"/>
        <v>0</v>
      </c>
      <c r="AK208">
        <f t="shared" si="121"/>
        <v>0</v>
      </c>
      <c r="AL208">
        <f t="shared" si="122"/>
        <v>0</v>
      </c>
      <c r="AM208"/>
      <c r="AN208"/>
    </row>
    <row r="209" spans="2:40" x14ac:dyDescent="0.2">
      <c r="B209" s="280">
        <v>11954.5</v>
      </c>
      <c r="C209" s="270">
        <f t="shared" si="95"/>
        <v>9.8156758310897132</v>
      </c>
      <c r="D209" s="271">
        <f t="shared" si="96"/>
        <v>1.4687414100991036</v>
      </c>
      <c r="E209" s="271">
        <f t="shared" si="97"/>
        <v>1.00019067680522</v>
      </c>
      <c r="F209" s="272">
        <f t="shared" si="98"/>
        <v>1.9526725896183792E-2</v>
      </c>
      <c r="G209" s="271">
        <f t="shared" si="99"/>
        <v>1.0072911582000945</v>
      </c>
      <c r="H209" s="272">
        <f t="shared" si="100"/>
        <v>-0.12039211991590651</v>
      </c>
      <c r="I209" s="270">
        <f t="shared" si="101"/>
        <v>42069.219150960453</v>
      </c>
      <c r="J209" s="273">
        <f t="shared" si="102"/>
        <v>1.5707725564464026</v>
      </c>
      <c r="K209" s="281">
        <f t="shared" si="103"/>
        <v>6.3881913234218324</v>
      </c>
      <c r="L209" s="282">
        <f t="shared" si="104"/>
        <v>1.4136110266490638</v>
      </c>
      <c r="M209" s="270">
        <f t="shared" si="105"/>
        <v>1.0454878677853643</v>
      </c>
      <c r="N209" s="273">
        <f t="shared" si="106"/>
        <v>0.29606743162530225</v>
      </c>
      <c r="O209" s="270">
        <f t="shared" si="107"/>
        <v>3305.0587294907759</v>
      </c>
      <c r="P209" s="273">
        <f t="shared" si="108"/>
        <v>1.5704937603060367</v>
      </c>
      <c r="Q209" s="271">
        <f t="shared" si="109"/>
        <v>1.0066678912720775</v>
      </c>
      <c r="R209" s="272">
        <f t="shared" si="110"/>
        <v>0.11516119334441619</v>
      </c>
      <c r="S209" s="270">
        <f t="shared" si="111"/>
        <v>1.0000003501736108</v>
      </c>
      <c r="T209" s="273">
        <f t="shared" si="112"/>
        <v>8.3686738327121482E-4</v>
      </c>
      <c r="U209" s="274">
        <f t="shared" si="113"/>
        <v>1.0031993633692649</v>
      </c>
      <c r="V209" s="275">
        <f t="shared" si="114"/>
        <v>0.11656834930247985</v>
      </c>
      <c r="W209" s="276">
        <f t="shared" si="115"/>
        <v>-9.8852415193668435</v>
      </c>
      <c r="X209" s="277">
        <f t="shared" si="124"/>
        <v>-122.57882645347985</v>
      </c>
      <c r="Y209" s="299">
        <f t="shared" si="123"/>
        <v>57.421173546520151</v>
      </c>
      <c r="AB209" s="278">
        <f t="shared" si="116"/>
        <v>-1.1950856727265822</v>
      </c>
      <c r="AC209" s="279">
        <f t="shared" si="117"/>
        <v>-25.968106642614934</v>
      </c>
      <c r="AF209" s="278">
        <f t="shared" si="118"/>
        <v>53.113376760341495</v>
      </c>
      <c r="AG209" s="279">
        <f t="shared" si="119"/>
        <v>-96.610719810864921</v>
      </c>
      <c r="AI209">
        <f t="shared" si="120"/>
        <v>0</v>
      </c>
      <c r="AJ209">
        <f t="shared" si="94"/>
        <v>0</v>
      </c>
      <c r="AK209">
        <f t="shared" si="121"/>
        <v>0</v>
      </c>
      <c r="AL209">
        <f t="shared" si="122"/>
        <v>0</v>
      </c>
      <c r="AM209"/>
      <c r="AN209"/>
    </row>
    <row r="210" spans="2:40" x14ac:dyDescent="0.2">
      <c r="B210" s="280">
        <v>12023</v>
      </c>
      <c r="C210" s="270">
        <f t="shared" si="95"/>
        <v>9.8713381202911368</v>
      </c>
      <c r="D210" s="271">
        <f t="shared" si="96"/>
        <v>1.4693188643480388</v>
      </c>
      <c r="E210" s="271">
        <f t="shared" si="97"/>
        <v>1.000192868033531</v>
      </c>
      <c r="F210" s="272">
        <f t="shared" si="98"/>
        <v>1.9638586519059739E-2</v>
      </c>
      <c r="G210" s="271">
        <f t="shared" si="99"/>
        <v>1.0073746484028925</v>
      </c>
      <c r="H210" s="272">
        <f t="shared" si="100"/>
        <v>-0.12107527073978298</v>
      </c>
      <c r="I210" s="270">
        <f t="shared" si="101"/>
        <v>42310.278292724404</v>
      </c>
      <c r="J210" s="273">
        <f t="shared" si="102"/>
        <v>1.570772691875902</v>
      </c>
      <c r="K210" s="281">
        <f t="shared" si="103"/>
        <v>6.4239015578782883</v>
      </c>
      <c r="L210" s="282">
        <f t="shared" si="104"/>
        <v>1.4144920207298086</v>
      </c>
      <c r="M210" s="270">
        <f t="shared" si="105"/>
        <v>1.0459991597308456</v>
      </c>
      <c r="N210" s="273">
        <f t="shared" si="106"/>
        <v>0.29766572040598671</v>
      </c>
      <c r="O210" s="270">
        <f t="shared" si="107"/>
        <v>3323.99691195791</v>
      </c>
      <c r="P210" s="273">
        <f t="shared" si="108"/>
        <v>1.5704954841522676</v>
      </c>
      <c r="Q210" s="271">
        <f t="shared" si="109"/>
        <v>1.0067442683365559</v>
      </c>
      <c r="R210" s="272">
        <f t="shared" si="110"/>
        <v>0.11581520548356806</v>
      </c>
      <c r="S210" s="270">
        <f t="shared" si="111"/>
        <v>1.000000354198139</v>
      </c>
      <c r="T210" s="273">
        <f t="shared" si="112"/>
        <v>8.4166268117229583E-4</v>
      </c>
      <c r="U210" s="274">
        <f t="shared" si="113"/>
        <v>1.0032361496508277</v>
      </c>
      <c r="V210" s="275">
        <f t="shared" si="114"/>
        <v>0.11723504255046464</v>
      </c>
      <c r="W210" s="276">
        <f t="shared" si="115"/>
        <v>-9.9393936254020581</v>
      </c>
      <c r="X210" s="277">
        <f t="shared" si="124"/>
        <v>-122.72394909005203</v>
      </c>
      <c r="Y210" s="299">
        <f t="shared" si="123"/>
        <v>57.276050909947969</v>
      </c>
      <c r="AB210" s="278">
        <f t="shared" si="116"/>
        <v>-1.2005418022287335</v>
      </c>
      <c r="AC210" s="279">
        <f t="shared" si="117"/>
        <v>-26.009212361127314</v>
      </c>
      <c r="AF210" s="278">
        <f t="shared" si="118"/>
        <v>53.064680783808441</v>
      </c>
      <c r="AG210" s="279">
        <f t="shared" si="119"/>
        <v>-96.71473672892472</v>
      </c>
      <c r="AI210">
        <f t="shared" si="120"/>
        <v>0</v>
      </c>
      <c r="AJ210">
        <f t="shared" si="94"/>
        <v>0</v>
      </c>
      <c r="AK210">
        <f t="shared" si="121"/>
        <v>0</v>
      </c>
      <c r="AL210">
        <f t="shared" si="122"/>
        <v>0</v>
      </c>
      <c r="AM210"/>
      <c r="AN210"/>
    </row>
    <row r="211" spans="2:40" x14ac:dyDescent="0.2">
      <c r="B211" s="280">
        <v>12093</v>
      </c>
      <c r="C211" s="270">
        <f t="shared" si="95"/>
        <v>9.9282226537294633</v>
      </c>
      <c r="D211" s="271">
        <f t="shared" si="96"/>
        <v>1.4699022741871381</v>
      </c>
      <c r="E211" s="271">
        <f t="shared" si="97"/>
        <v>1.0001951201741828</v>
      </c>
      <c r="F211" s="272">
        <f t="shared" si="98"/>
        <v>1.9752896136813979E-2</v>
      </c>
      <c r="G211" s="271">
        <f t="shared" si="99"/>
        <v>1.0074604524687159</v>
      </c>
      <c r="H211" s="272">
        <f t="shared" si="100"/>
        <v>-0.12177326376225076</v>
      </c>
      <c r="I211" s="270">
        <f t="shared" si="101"/>
        <v>42556.616101827043</v>
      </c>
      <c r="J211" s="273">
        <f t="shared" si="102"/>
        <v>1.5707728286859846</v>
      </c>
      <c r="K211" s="281">
        <f t="shared" si="103"/>
        <v>6.4603988615834895</v>
      </c>
      <c r="L211" s="282">
        <f t="shared" si="104"/>
        <v>1.4153822442057822</v>
      </c>
      <c r="M211" s="270">
        <f t="shared" si="105"/>
        <v>1.0465244055605356</v>
      </c>
      <c r="N211" s="273">
        <f t="shared" si="106"/>
        <v>0.29929739053849813</v>
      </c>
      <c r="O211" s="270">
        <f t="shared" si="107"/>
        <v>3343.3497991606901</v>
      </c>
      <c r="P211" s="273">
        <f t="shared" si="108"/>
        <v>1.5704972255715783</v>
      </c>
      <c r="Q211" s="271">
        <f t="shared" si="109"/>
        <v>1.0068227626873514</v>
      </c>
      <c r="R211" s="272">
        <f t="shared" si="110"/>
        <v>0.11648343625416126</v>
      </c>
      <c r="S211" s="270">
        <f t="shared" si="111"/>
        <v>1.0000003583345511</v>
      </c>
      <c r="T211" s="273">
        <f t="shared" si="112"/>
        <v>8.4656298555676763E-4</v>
      </c>
      <c r="U211" s="274">
        <f t="shared" si="113"/>
        <v>1.0032739589922595</v>
      </c>
      <c r="V211" s="275">
        <f t="shared" si="114"/>
        <v>0.11791631280930895</v>
      </c>
      <c r="W211" s="276">
        <f t="shared" si="115"/>
        <v>-9.994446738677615</v>
      </c>
      <c r="X211" s="277">
        <f t="shared" si="124"/>
        <v>-122.87234212055431</v>
      </c>
      <c r="Y211" s="299">
        <f t="shared" si="123"/>
        <v>57.127657879445692</v>
      </c>
      <c r="AB211" s="278">
        <f t="shared" si="116"/>
        <v>-1.2061173224269179</v>
      </c>
      <c r="AC211" s="279">
        <f t="shared" si="117"/>
        <v>-26.051701963921346</v>
      </c>
      <c r="AF211" s="278">
        <f t="shared" si="118"/>
        <v>53.015203190731064</v>
      </c>
      <c r="AG211" s="279">
        <f t="shared" si="119"/>
        <v>-96.82064015663299</v>
      </c>
      <c r="AI211">
        <f t="shared" si="120"/>
        <v>0</v>
      </c>
      <c r="AJ211">
        <f t="shared" si="94"/>
        <v>0</v>
      </c>
      <c r="AK211">
        <f t="shared" si="121"/>
        <v>0</v>
      </c>
      <c r="AL211">
        <f t="shared" si="122"/>
        <v>0</v>
      </c>
      <c r="AM211"/>
      <c r="AN211"/>
    </row>
    <row r="212" spans="2:40" x14ac:dyDescent="0.2">
      <c r="B212" s="280">
        <v>12163</v>
      </c>
      <c r="C212" s="270">
        <f t="shared" si="95"/>
        <v>9.9851105279042596</v>
      </c>
      <c r="D212" s="271">
        <f t="shared" si="96"/>
        <v>1.4704790365335296</v>
      </c>
      <c r="E212" s="271">
        <f t="shared" si="97"/>
        <v>1.000197385384014</v>
      </c>
      <c r="F212" s="272">
        <f t="shared" si="98"/>
        <v>1.9867205238293516E-2</v>
      </c>
      <c r="G212" s="271">
        <f t="shared" si="99"/>
        <v>1.0075467472797495</v>
      </c>
      <c r="H212" s="272">
        <f t="shared" si="100"/>
        <v>-0.12247113756063781</v>
      </c>
      <c r="I212" s="270">
        <f t="shared" si="101"/>
        <v>42802.953910930468</v>
      </c>
      <c r="J212" s="273">
        <f t="shared" si="102"/>
        <v>1.5707729639213395</v>
      </c>
      <c r="K212" s="281">
        <f t="shared" si="103"/>
        <v>6.4969012276154103</v>
      </c>
      <c r="L212" s="282">
        <f t="shared" si="104"/>
        <v>1.4162624650613773</v>
      </c>
      <c r="M212" s="270">
        <f t="shared" si="105"/>
        <v>1.0470524348020904</v>
      </c>
      <c r="N212" s="273">
        <f t="shared" si="106"/>
        <v>0.30092741930240097</v>
      </c>
      <c r="O212" s="270">
        <f t="shared" si="107"/>
        <v>3362.7026863734909</v>
      </c>
      <c r="P212" s="273">
        <f t="shared" si="108"/>
        <v>1.5704989469466004</v>
      </c>
      <c r="Q212" s="271">
        <f t="shared" si="109"/>
        <v>1.0069017065468819</v>
      </c>
      <c r="R212" s="272">
        <f t="shared" si="110"/>
        <v>0.11715156254079978</v>
      </c>
      <c r="S212" s="270">
        <f t="shared" si="111"/>
        <v>1.0000003624949765</v>
      </c>
      <c r="T212" s="273">
        <f t="shared" si="112"/>
        <v>8.514632899005826E-4</v>
      </c>
      <c r="U212" s="274">
        <f t="shared" si="113"/>
        <v>1.0033119882170065</v>
      </c>
      <c r="V212" s="275">
        <f t="shared" si="114"/>
        <v>0.11859756058904042</v>
      </c>
      <c r="W212" s="276">
        <f t="shared" si="115"/>
        <v>-10.049215538362805</v>
      </c>
      <c r="X212" s="277">
        <f t="shared" si="124"/>
        <v>-123.02082516257816</v>
      </c>
      <c r="Y212" s="299">
        <f t="shared" si="123"/>
        <v>56.979174837421837</v>
      </c>
      <c r="AB212" s="278">
        <f t="shared" si="116"/>
        <v>-1.2116931585125277</v>
      </c>
      <c r="AC212" s="279">
        <f t="shared" si="117"/>
        <v>-26.094670540927989</v>
      </c>
      <c r="AF212" s="278">
        <f t="shared" si="118"/>
        <v>52.966010227131477</v>
      </c>
      <c r="AG212" s="279">
        <f t="shared" si="119"/>
        <v>-96.92615462165017</v>
      </c>
      <c r="AI212">
        <f t="shared" si="120"/>
        <v>0</v>
      </c>
      <c r="AJ212">
        <f t="shared" si="94"/>
        <v>0</v>
      </c>
      <c r="AK212">
        <f t="shared" si="121"/>
        <v>0</v>
      </c>
      <c r="AL212">
        <f t="shared" si="122"/>
        <v>0</v>
      </c>
      <c r="AM212"/>
      <c r="AN212"/>
    </row>
    <row r="213" spans="2:40" x14ac:dyDescent="0.2">
      <c r="B213" s="280">
        <v>12233</v>
      </c>
      <c r="C213" s="270">
        <f t="shared" si="95"/>
        <v>10.042001686039775</v>
      </c>
      <c r="D213" s="271">
        <f t="shared" si="96"/>
        <v>1.4710492639807196</v>
      </c>
      <c r="E213" s="271">
        <f t="shared" si="97"/>
        <v>1.0001996636629358</v>
      </c>
      <c r="F213" s="272">
        <f t="shared" si="98"/>
        <v>1.998151382051461E-2</v>
      </c>
      <c r="G213" s="271">
        <f t="shared" si="99"/>
        <v>1.0076335327099093</v>
      </c>
      <c r="H213" s="272">
        <f t="shared" si="100"/>
        <v>-0.12316889148589538</v>
      </c>
      <c r="I213" s="270">
        <f t="shared" si="101"/>
        <v>43049.291720034678</v>
      </c>
      <c r="J213" s="273">
        <f t="shared" si="102"/>
        <v>1.5707730976089997</v>
      </c>
      <c r="K213" s="281">
        <f t="shared" si="103"/>
        <v>6.5334085711239007</v>
      </c>
      <c r="L213" s="282">
        <f t="shared" si="104"/>
        <v>1.4171328495988211</v>
      </c>
      <c r="M213" s="270">
        <f t="shared" si="105"/>
        <v>1.0475832432466139</v>
      </c>
      <c r="N213" s="273">
        <f t="shared" si="106"/>
        <v>0.3025558005242856</v>
      </c>
      <c r="O213" s="270">
        <f t="shared" si="107"/>
        <v>3382.0555735961429</v>
      </c>
      <c r="P213" s="273">
        <f t="shared" si="108"/>
        <v>1.5705006486214279</v>
      </c>
      <c r="Q213" s="271">
        <f t="shared" si="109"/>
        <v>1.0069810998094275</v>
      </c>
      <c r="R213" s="272">
        <f t="shared" si="110"/>
        <v>0.11781958377163422</v>
      </c>
      <c r="S213" s="270">
        <f t="shared" si="111"/>
        <v>1.0000003666794148</v>
      </c>
      <c r="T213" s="273">
        <f t="shared" si="112"/>
        <v>8.5636359420350526E-4</v>
      </c>
      <c r="U213" s="274">
        <f t="shared" si="113"/>
        <v>1.0033502373317922</v>
      </c>
      <c r="V213" s="275">
        <f t="shared" si="114"/>
        <v>0.11927878576047177</v>
      </c>
      <c r="W213" s="276">
        <f t="shared" si="115"/>
        <v>-10.103703560711788</v>
      </c>
      <c r="X213" s="277">
        <f t="shared" si="124"/>
        <v>-123.16939474226039</v>
      </c>
      <c r="Y213" s="299">
        <f t="shared" si="123"/>
        <v>56.830605257739606</v>
      </c>
      <c r="AB213" s="278">
        <f t="shared" si="116"/>
        <v>-1.2172697035166362</v>
      </c>
      <c r="AC213" s="279">
        <f t="shared" si="117"/>
        <v>-26.138108211570067</v>
      </c>
      <c r="AF213" s="278">
        <f t="shared" si="118"/>
        <v>52.917098749786611</v>
      </c>
      <c r="AG213" s="279">
        <f t="shared" si="119"/>
        <v>-97.031286530690323</v>
      </c>
      <c r="AI213">
        <f t="shared" si="120"/>
        <v>0</v>
      </c>
      <c r="AJ213">
        <f t="shared" si="94"/>
        <v>0</v>
      </c>
      <c r="AK213">
        <f t="shared" si="121"/>
        <v>0</v>
      </c>
      <c r="AL213">
        <f t="shared" si="122"/>
        <v>0</v>
      </c>
      <c r="AM213"/>
      <c r="AN213"/>
    </row>
    <row r="214" spans="2:40" x14ac:dyDescent="0.2">
      <c r="B214" s="280">
        <v>12303</v>
      </c>
      <c r="C214" s="270">
        <f t="shared" si="95"/>
        <v>10.09889607263638</v>
      </c>
      <c r="D214" s="271">
        <f t="shared" si="96"/>
        <v>1.4716130666021516</v>
      </c>
      <c r="E214" s="271">
        <f t="shared" si="97"/>
        <v>1.0002019550108587</v>
      </c>
      <c r="F214" s="272">
        <f t="shared" si="98"/>
        <v>2.0095821880493605E-2</v>
      </c>
      <c r="G214" s="271">
        <f t="shared" si="99"/>
        <v>1.0077208086324385</v>
      </c>
      <c r="H214" s="272">
        <f t="shared" si="100"/>
        <v>-0.1238665248896645</v>
      </c>
      <c r="I214" s="270">
        <f t="shared" si="101"/>
        <v>43295.629529139638</v>
      </c>
      <c r="J214" s="273">
        <f t="shared" si="102"/>
        <v>1.5707732297753829</v>
      </c>
      <c r="K214" s="281">
        <f t="shared" si="103"/>
        <v>6.5699208091333281</v>
      </c>
      <c r="L214" s="282">
        <f t="shared" si="104"/>
        <v>1.4179935604838247</v>
      </c>
      <c r="M214" s="270">
        <f t="shared" si="105"/>
        <v>1.0481168266716065</v>
      </c>
      <c r="N214" s="273">
        <f t="shared" si="106"/>
        <v>0.30418252807816432</v>
      </c>
      <c r="O214" s="270">
        <f t="shared" si="107"/>
        <v>3401.408460828477</v>
      </c>
      <c r="P214" s="273">
        <f t="shared" si="108"/>
        <v>1.5705023309323232</v>
      </c>
      <c r="Q214" s="271">
        <f t="shared" si="109"/>
        <v>1.0070609423687</v>
      </c>
      <c r="R214" s="272">
        <f t="shared" si="110"/>
        <v>0.11848749937537</v>
      </c>
      <c r="S214" s="270">
        <f t="shared" si="111"/>
        <v>1.000000370887866</v>
      </c>
      <c r="T214" s="273">
        <f t="shared" si="112"/>
        <v>8.6126389846530012E-4</v>
      </c>
      <c r="U214" s="274">
        <f t="shared" si="113"/>
        <v>1.0033887063433764</v>
      </c>
      <c r="V214" s="275">
        <f t="shared" si="114"/>
        <v>0.11995998819443184</v>
      </c>
      <c r="W214" s="276">
        <f t="shared" si="115"/>
        <v>-10.157914277480335</v>
      </c>
      <c r="X214" s="277">
        <f t="shared" si="124"/>
        <v>-123.31804745242816</v>
      </c>
      <c r="Y214" s="299">
        <f t="shared" si="123"/>
        <v>56.681952547571839</v>
      </c>
      <c r="AB214" s="278">
        <f t="shared" si="116"/>
        <v>-1.2228473375481941</v>
      </c>
      <c r="AC214" s="279">
        <f t="shared" si="117"/>
        <v>-26.182005306309225</v>
      </c>
      <c r="AF214" s="278">
        <f t="shared" si="118"/>
        <v>52.86846566704962</v>
      </c>
      <c r="AG214" s="279">
        <f t="shared" si="119"/>
        <v>-97.136042146118925</v>
      </c>
      <c r="AI214">
        <f t="shared" si="120"/>
        <v>0</v>
      </c>
      <c r="AJ214">
        <f t="shared" si="94"/>
        <v>0</v>
      </c>
      <c r="AK214">
        <f t="shared" si="121"/>
        <v>0</v>
      </c>
      <c r="AL214">
        <f t="shared" si="122"/>
        <v>0</v>
      </c>
      <c r="AM214"/>
      <c r="AN214"/>
    </row>
    <row r="215" spans="2:40" x14ac:dyDescent="0.2">
      <c r="B215" s="280">
        <v>12374.5</v>
      </c>
      <c r="C215" s="270">
        <f t="shared" si="95"/>
        <v>10.157012901225411</v>
      </c>
      <c r="D215" s="271">
        <f t="shared" si="96"/>
        <v>1.4721824297827941</v>
      </c>
      <c r="E215" s="271">
        <f t="shared" si="97"/>
        <v>1.0002043089510777</v>
      </c>
      <c r="F215" s="272">
        <f t="shared" si="98"/>
        <v>2.0212578856650201E-2</v>
      </c>
      <c r="G215" s="271">
        <f t="shared" si="99"/>
        <v>1.0078104609916179</v>
      </c>
      <c r="H215" s="272">
        <f t="shared" si="100"/>
        <v>-0.12457898248418876</v>
      </c>
      <c r="I215" s="270">
        <f t="shared" si="101"/>
        <v>43547.246005583336</v>
      </c>
      <c r="J215" s="273">
        <f t="shared" si="102"/>
        <v>1.5707733632302212</v>
      </c>
      <c r="K215" s="281">
        <f t="shared" si="103"/>
        <v>6.6072204208229977</v>
      </c>
      <c r="L215" s="282">
        <f t="shared" si="104"/>
        <v>1.4188628937939551</v>
      </c>
      <c r="M215" s="270">
        <f t="shared" si="105"/>
        <v>1.0486647044361206</v>
      </c>
      <c r="N215" s="273">
        <f t="shared" si="106"/>
        <v>0.30584240055845646</v>
      </c>
      <c r="O215" s="270">
        <f t="shared" si="107"/>
        <v>3421.1760527970423</v>
      </c>
      <c r="P215" s="273">
        <f t="shared" si="108"/>
        <v>1.5705040296436226</v>
      </c>
      <c r="Q215" s="271">
        <f t="shared" si="109"/>
        <v>1.0071429595704129</v>
      </c>
      <c r="R215" s="272">
        <f t="shared" si="110"/>
        <v>0.11916961781640356</v>
      </c>
      <c r="S215" s="270">
        <f t="shared" si="111"/>
        <v>1.0000003752112887</v>
      </c>
      <c r="T215" s="273">
        <f t="shared" si="112"/>
        <v>8.6626920920428695E-4</v>
      </c>
      <c r="U215" s="274">
        <f t="shared" si="113"/>
        <v>1.0034282267133872</v>
      </c>
      <c r="V215" s="275">
        <f t="shared" si="114"/>
        <v>0.12065576421557826</v>
      </c>
      <c r="W215" s="276">
        <f t="shared" si="115"/>
        <v>-10.213003913759191</v>
      </c>
      <c r="X215" s="277">
        <f t="shared" si="124"/>
        <v>-123.46996792486205</v>
      </c>
      <c r="Y215" s="299">
        <f t="shared" si="123"/>
        <v>56.530032075137953</v>
      </c>
      <c r="AB215" s="278">
        <f t="shared" si="116"/>
        <v>-1.2285459987446439</v>
      </c>
      <c r="AC215" s="279">
        <f t="shared" si="117"/>
        <v>-26.227307510698267</v>
      </c>
      <c r="AF215" s="278">
        <f t="shared" si="118"/>
        <v>52.819074691967216</v>
      </c>
      <c r="AG215" s="279">
        <f t="shared" si="119"/>
        <v>-97.242660414163794</v>
      </c>
      <c r="AI215">
        <f t="shared" si="120"/>
        <v>0</v>
      </c>
      <c r="AJ215">
        <f t="shared" si="94"/>
        <v>0</v>
      </c>
      <c r="AK215">
        <f t="shared" si="121"/>
        <v>0</v>
      </c>
      <c r="AL215">
        <f t="shared" si="122"/>
        <v>0</v>
      </c>
      <c r="AM215"/>
      <c r="AN215"/>
    </row>
    <row r="216" spans="2:40" x14ac:dyDescent="0.2">
      <c r="B216" s="280">
        <v>12446</v>
      </c>
      <c r="C216" s="270">
        <f t="shared" si="95"/>
        <v>10.21513298499211</v>
      </c>
      <c r="D216" s="271">
        <f t="shared" si="96"/>
        <v>1.4727453142396396</v>
      </c>
      <c r="E216" s="271">
        <f t="shared" si="97"/>
        <v>1.000206676526209</v>
      </c>
      <c r="F216" s="272">
        <f t="shared" si="98"/>
        <v>2.0329335281650856E-2</v>
      </c>
      <c r="G216" s="271">
        <f t="shared" si="99"/>
        <v>1.0079006248200211</v>
      </c>
      <c r="H216" s="272">
        <f t="shared" si="100"/>
        <v>-0.12529131297150925</v>
      </c>
      <c r="I216" s="270">
        <f t="shared" si="101"/>
        <v>43798.862482027798</v>
      </c>
      <c r="J216" s="273">
        <f t="shared" si="102"/>
        <v>1.5707734951517118</v>
      </c>
      <c r="K216" s="281">
        <f t="shared" si="103"/>
        <v>6.6445249697927871</v>
      </c>
      <c r="L216" s="282">
        <f t="shared" si="104"/>
        <v>1.4197224663012749</v>
      </c>
      <c r="M216" s="270">
        <f t="shared" si="105"/>
        <v>1.0492154684350865</v>
      </c>
      <c r="N216" s="273">
        <f t="shared" si="106"/>
        <v>0.30750053497163476</v>
      </c>
      <c r="O216" s="270">
        <f t="shared" si="107"/>
        <v>3440.9436447753669</v>
      </c>
      <c r="P216" s="273">
        <f t="shared" si="108"/>
        <v>1.5705057088373504</v>
      </c>
      <c r="Q216" s="271">
        <f t="shared" si="109"/>
        <v>1.0072254453047658</v>
      </c>
      <c r="R216" s="272">
        <f t="shared" si="110"/>
        <v>0.11985162485188812</v>
      </c>
      <c r="S216" s="270">
        <f t="shared" si="111"/>
        <v>1.0000003795597645</v>
      </c>
      <c r="T216" s="273">
        <f t="shared" si="112"/>
        <v>8.7127451989986817E-4</v>
      </c>
      <c r="U216" s="274">
        <f t="shared" si="113"/>
        <v>1.0034679765196945</v>
      </c>
      <c r="V216" s="275">
        <f t="shared" si="114"/>
        <v>0.12135151624198114</v>
      </c>
      <c r="W216" s="276">
        <f t="shared" si="115"/>
        <v>-10.267811355273665</v>
      </c>
      <c r="X216" s="277">
        <f t="shared" si="124"/>
        <v>-123.621968148882</v>
      </c>
      <c r="Y216" s="299">
        <f t="shared" si="123"/>
        <v>56.378031851117996</v>
      </c>
      <c r="AB216" s="278">
        <f t="shared" si="116"/>
        <v>-1.2342465583629867</v>
      </c>
      <c r="AC216" s="279">
        <f t="shared" si="117"/>
        <v>-26.273069296128526</v>
      </c>
      <c r="AF216" s="278">
        <f t="shared" si="118"/>
        <v>52.76996781007108</v>
      </c>
      <c r="AG216" s="279">
        <f t="shared" si="119"/>
        <v>-97.348898852753507</v>
      </c>
      <c r="AI216">
        <f t="shared" si="120"/>
        <v>0</v>
      </c>
      <c r="AJ216">
        <f t="shared" si="94"/>
        <v>0</v>
      </c>
      <c r="AK216">
        <f t="shared" si="121"/>
        <v>0</v>
      </c>
      <c r="AL216">
        <f t="shared" si="122"/>
        <v>0</v>
      </c>
      <c r="AM216"/>
      <c r="AN216"/>
    </row>
    <row r="217" spans="2:40" x14ac:dyDescent="0.2">
      <c r="B217" s="280">
        <v>12517.5</v>
      </c>
      <c r="C217" s="270">
        <f t="shared" si="95"/>
        <v>10.273256268688797</v>
      </c>
      <c r="D217" s="271">
        <f t="shared" si="96"/>
        <v>1.4733018295774991</v>
      </c>
      <c r="E217" s="271">
        <f t="shared" si="97"/>
        <v>1.0002090577361558</v>
      </c>
      <c r="F217" s="272">
        <f t="shared" si="98"/>
        <v>2.0446091152316225E-2</v>
      </c>
      <c r="G217" s="271">
        <f t="shared" si="99"/>
        <v>1.0079912999803966</v>
      </c>
      <c r="H217" s="272">
        <f t="shared" si="100"/>
        <v>-0.12600351566293824</v>
      </c>
      <c r="I217" s="270">
        <f t="shared" si="101"/>
        <v>44050.478958473017</v>
      </c>
      <c r="J217" s="273">
        <f t="shared" si="102"/>
        <v>1.5707736255661306</v>
      </c>
      <c r="K217" s="281">
        <f t="shared" si="103"/>
        <v>6.681834373348484</v>
      </c>
      <c r="L217" s="282">
        <f t="shared" si="104"/>
        <v>1.4205724402291924</v>
      </c>
      <c r="M217" s="270">
        <f t="shared" si="105"/>
        <v>1.0497691141256944</v>
      </c>
      <c r="N217" s="273">
        <f t="shared" si="106"/>
        <v>0.30915692494276054</v>
      </c>
      <c r="O217" s="270">
        <f t="shared" si="107"/>
        <v>3460.7112367632826</v>
      </c>
      <c r="P217" s="273">
        <f t="shared" si="108"/>
        <v>1.5705073688479598</v>
      </c>
      <c r="Q217" s="271">
        <f t="shared" si="109"/>
        <v>1.0073083994566578</v>
      </c>
      <c r="R217" s="272">
        <f t="shared" si="110"/>
        <v>0.12053351987482129</v>
      </c>
      <c r="S217" s="270">
        <f t="shared" si="111"/>
        <v>1.0000003839332936</v>
      </c>
      <c r="T217" s="273">
        <f t="shared" si="112"/>
        <v>8.7627983055179291E-4</v>
      </c>
      <c r="U217" s="274">
        <f t="shared" si="113"/>
        <v>1.0035079557696238</v>
      </c>
      <c r="V217" s="275">
        <f t="shared" si="114"/>
        <v>0.12204724413603919</v>
      </c>
      <c r="W217" s="276">
        <f t="shared" si="115"/>
        <v>-10.322340103171195</v>
      </c>
      <c r="X217" s="277">
        <f t="shared" si="124"/>
        <v>-123.77404469875219</v>
      </c>
      <c r="Y217" s="299">
        <f t="shared" si="123"/>
        <v>56.225955301247808</v>
      </c>
      <c r="AB217" s="278">
        <f t="shared" si="116"/>
        <v>-1.23994938241097</v>
      </c>
      <c r="AC217" s="279">
        <f t="shared" si="117"/>
        <v>-26.319281004131781</v>
      </c>
      <c r="AF217" s="278">
        <f t="shared" si="118"/>
        <v>52.721141886221531</v>
      </c>
      <c r="AG217" s="279">
        <f t="shared" si="119"/>
        <v>-97.454763694620439</v>
      </c>
      <c r="AI217">
        <f t="shared" si="120"/>
        <v>0</v>
      </c>
      <c r="AJ217">
        <f t="shared" si="94"/>
        <v>0</v>
      </c>
      <c r="AK217">
        <f t="shared" si="121"/>
        <v>0</v>
      </c>
      <c r="AL217">
        <f t="shared" si="122"/>
        <v>0</v>
      </c>
      <c r="AM217"/>
      <c r="AN217"/>
    </row>
    <row r="218" spans="2:40" x14ac:dyDescent="0.2">
      <c r="B218" s="280">
        <v>12589</v>
      </c>
      <c r="C218" s="270">
        <f t="shared" si="95"/>
        <v>10.331382698308051</v>
      </c>
      <c r="D218" s="271">
        <f t="shared" si="96"/>
        <v>1.4738520829505339</v>
      </c>
      <c r="E218" s="271">
        <f t="shared" si="97"/>
        <v>1.0002114525808208</v>
      </c>
      <c r="F218" s="272">
        <f t="shared" si="98"/>
        <v>2.0562846465467067E-2</v>
      </c>
      <c r="G218" s="271">
        <f t="shared" si="99"/>
        <v>1.0080824863347646</v>
      </c>
      <c r="H218" s="272">
        <f t="shared" si="100"/>
        <v>-0.1267155898705537</v>
      </c>
      <c r="I218" s="270">
        <f t="shared" si="101"/>
        <v>44302.095434918985</v>
      </c>
      <c r="J218" s="273">
        <f t="shared" si="102"/>
        <v>1.570773754499156</v>
      </c>
      <c r="K218" s="281">
        <f t="shared" si="103"/>
        <v>6.7191485506219406</v>
      </c>
      <c r="L218" s="282">
        <f t="shared" si="104"/>
        <v>1.4214129742537269</v>
      </c>
      <c r="M218" s="270">
        <f t="shared" si="105"/>
        <v>1.0503256369509681</v>
      </c>
      <c r="N218" s="273">
        <f t="shared" si="106"/>
        <v>0.3108115641485899</v>
      </c>
      <c r="O218" s="270">
        <f t="shared" si="107"/>
        <v>3480.4788287606261</v>
      </c>
      <c r="P218" s="273">
        <f t="shared" si="108"/>
        <v>1.5705090100023062</v>
      </c>
      <c r="Q218" s="271">
        <f t="shared" si="109"/>
        <v>1.007391821910373</v>
      </c>
      <c r="R218" s="272">
        <f t="shared" si="110"/>
        <v>0.12121530227881672</v>
      </c>
      <c r="S218" s="270">
        <f t="shared" si="111"/>
        <v>1.0000003883318755</v>
      </c>
      <c r="T218" s="273">
        <f t="shared" si="112"/>
        <v>8.8128514115981072E-4</v>
      </c>
      <c r="U218" s="274">
        <f t="shared" si="113"/>
        <v>1.0035481644705413</v>
      </c>
      <c r="V218" s="275">
        <f t="shared" si="114"/>
        <v>0.12274294776016911</v>
      </c>
      <c r="W218" s="276">
        <f t="shared" si="115"/>
        <v>-10.376593594845659</v>
      </c>
      <c r="X218" s="277">
        <f t="shared" si="124"/>
        <v>-123.92619421454789</v>
      </c>
      <c r="Y218" s="299">
        <f t="shared" si="123"/>
        <v>56.073805785452109</v>
      </c>
      <c r="AB218" s="278">
        <f t="shared" si="116"/>
        <v>-1.2456548245896744</v>
      </c>
      <c r="AC218" s="279">
        <f t="shared" si="117"/>
        <v>-26.365933182417891</v>
      </c>
      <c r="AF218" s="278">
        <f t="shared" si="118"/>
        <v>52.672593836725774</v>
      </c>
      <c r="AG218" s="279">
        <f t="shared" si="119"/>
        <v>-97.560261032129986</v>
      </c>
      <c r="AI218">
        <f t="shared" si="120"/>
        <v>0</v>
      </c>
      <c r="AJ218">
        <f t="shared" ref="AJ218:AJ281" si="125">IF(AI218&gt;0,Y218,0)</f>
        <v>0</v>
      </c>
      <c r="AK218">
        <f t="shared" si="121"/>
        <v>0</v>
      </c>
      <c r="AL218">
        <f t="shared" si="122"/>
        <v>0</v>
      </c>
      <c r="AM218"/>
      <c r="AN218"/>
    </row>
    <row r="219" spans="2:40" x14ac:dyDescent="0.2">
      <c r="B219" s="280">
        <v>12662.25</v>
      </c>
      <c r="C219" s="270">
        <f t="shared" si="95"/>
        <v>10.390935009944926</v>
      </c>
      <c r="D219" s="271">
        <f t="shared" si="96"/>
        <v>1.4744094198465181</v>
      </c>
      <c r="E219" s="271">
        <f t="shared" si="97"/>
        <v>1.0002139201798401</v>
      </c>
      <c r="F219" s="272">
        <f t="shared" si="98"/>
        <v>2.0682458844669148E-2</v>
      </c>
      <c r="G219" s="271">
        <f t="shared" si="99"/>
        <v>1.0081764344926807</v>
      </c>
      <c r="H219" s="272">
        <f t="shared" si="100"/>
        <v>-0.12744495851011053</v>
      </c>
      <c r="I219" s="270">
        <f t="shared" si="101"/>
        <v>44559.87035659339</v>
      </c>
      <c r="J219" s="273">
        <f t="shared" si="102"/>
        <v>1.5707738850778969</v>
      </c>
      <c r="K219" s="281">
        <f t="shared" si="103"/>
        <v>6.7573808796836294</v>
      </c>
      <c r="L219" s="282">
        <f t="shared" si="104"/>
        <v>1.4222644537498597</v>
      </c>
      <c r="M219" s="270">
        <f t="shared" si="105"/>
        <v>1.0508987598108595</v>
      </c>
      <c r="N219" s="273">
        <f t="shared" si="106"/>
        <v>0.31250487939436167</v>
      </c>
      <c r="O219" s="270">
        <f t="shared" si="107"/>
        <v>3500.7302429493338</v>
      </c>
      <c r="P219" s="273">
        <f t="shared" si="108"/>
        <v>1.5705106721045321</v>
      </c>
      <c r="Q219" s="271">
        <f t="shared" si="109"/>
        <v>1.0074777716857617</v>
      </c>
      <c r="R219" s="272">
        <f t="shared" si="110"/>
        <v>0.12191365424413722</v>
      </c>
      <c r="S219" s="270">
        <f t="shared" si="111"/>
        <v>1.0000003928640957</v>
      </c>
      <c r="T219" s="273">
        <f t="shared" si="112"/>
        <v>8.8641295932432814E-4</v>
      </c>
      <c r="U219" s="274">
        <f t="shared" si="113"/>
        <v>1.0035895952518594</v>
      </c>
      <c r="V219" s="275">
        <f t="shared" si="114"/>
        <v>0.12345565378333216</v>
      </c>
      <c r="W219" s="276">
        <f t="shared" si="115"/>
        <v>-10.431893053194234</v>
      </c>
      <c r="X219" s="277">
        <f t="shared" si="124"/>
        <v>-124.08213989097379</v>
      </c>
      <c r="Y219" s="299">
        <f t="shared" si="123"/>
        <v>55.917860109026208</v>
      </c>
      <c r="AB219" s="278">
        <f t="shared" si="116"/>
        <v>-1.251502982759354</v>
      </c>
      <c r="AC219" s="279">
        <f t="shared" si="117"/>
        <v>-26.414174299526195</v>
      </c>
      <c r="AF219" s="278">
        <f t="shared" si="118"/>
        <v>52.623142536546879</v>
      </c>
      <c r="AG219" s="279">
        <f t="shared" si="119"/>
        <v>-97.667965591447597</v>
      </c>
      <c r="AI219">
        <f t="shared" si="120"/>
        <v>0</v>
      </c>
      <c r="AJ219">
        <f t="shared" si="125"/>
        <v>0</v>
      </c>
      <c r="AK219">
        <f t="shared" si="121"/>
        <v>0</v>
      </c>
      <c r="AL219">
        <f t="shared" si="122"/>
        <v>0</v>
      </c>
      <c r="AM219"/>
      <c r="AN219"/>
    </row>
    <row r="220" spans="2:40" x14ac:dyDescent="0.2">
      <c r="B220" s="280">
        <v>12735.5</v>
      </c>
      <c r="C220" s="270">
        <f t="shared" si="95"/>
        <v>10.450490512473371</v>
      </c>
      <c r="D220" s="271">
        <f t="shared" si="96"/>
        <v>1.4749604045826574</v>
      </c>
      <c r="E220" s="271">
        <f t="shared" si="97"/>
        <v>1.0002164020889706</v>
      </c>
      <c r="F220" s="272">
        <f t="shared" si="98"/>
        <v>2.0802070631976869E-2</v>
      </c>
      <c r="G220" s="271">
        <f t="shared" si="99"/>
        <v>1.0082709188787833</v>
      </c>
      <c r="H220" s="272">
        <f t="shared" si="100"/>
        <v>-0.12817419084025872</v>
      </c>
      <c r="I220" s="270">
        <f t="shared" si="101"/>
        <v>44817.645278268552</v>
      </c>
      <c r="J220" s="273">
        <f t="shared" si="102"/>
        <v>1.5707740141545543</v>
      </c>
      <c r="K220" s="281">
        <f t="shared" si="103"/>
        <v>6.7956180528352519</v>
      </c>
      <c r="L220" s="282">
        <f t="shared" si="104"/>
        <v>1.4231063517438864</v>
      </c>
      <c r="M220" s="270">
        <f t="shared" si="105"/>
        <v>1.051474892640242</v>
      </c>
      <c r="N220" s="273">
        <f t="shared" si="106"/>
        <v>0.31419634385505951</v>
      </c>
      <c r="O220" s="270">
        <f t="shared" si="107"/>
        <v>3520.9816571476008</v>
      </c>
      <c r="P220" s="273">
        <f t="shared" si="108"/>
        <v>1.570512315087135</v>
      </c>
      <c r="Q220" s="271">
        <f t="shared" si="109"/>
        <v>1.0075642127195259</v>
      </c>
      <c r="R220" s="272">
        <f t="shared" si="110"/>
        <v>0.12261188672379277</v>
      </c>
      <c r="S220" s="270">
        <f t="shared" si="111"/>
        <v>1.0000003974226106</v>
      </c>
      <c r="T220" s="273">
        <f t="shared" si="112"/>
        <v>8.9154077744222986E-4</v>
      </c>
      <c r="U220" s="274">
        <f t="shared" si="113"/>
        <v>1.0036312668692671</v>
      </c>
      <c r="V220" s="275">
        <f t="shared" si="114"/>
        <v>0.12416833404171282</v>
      </c>
      <c r="W220" s="276">
        <f t="shared" si="115"/>
        <v>-10.48691072143939</v>
      </c>
      <c r="X220" s="277">
        <f t="shared" si="124"/>
        <v>-124.23815521459123</v>
      </c>
      <c r="Y220" s="299">
        <f t="shared" si="123"/>
        <v>55.761844785408769</v>
      </c>
      <c r="AB220" s="278">
        <f t="shared" si="116"/>
        <v>-1.2573546024578721</v>
      </c>
      <c r="AC220" s="279">
        <f t="shared" si="117"/>
        <v>-26.462858268029986</v>
      </c>
      <c r="AF220" s="278">
        <f t="shared" si="118"/>
        <v>52.573976488000241</v>
      </c>
      <c r="AG220" s="279">
        <f t="shared" si="119"/>
        <v>-97.775296946561255</v>
      </c>
      <c r="AI220">
        <f t="shared" si="120"/>
        <v>0</v>
      </c>
      <c r="AJ220">
        <f t="shared" si="125"/>
        <v>0</v>
      </c>
      <c r="AK220">
        <f t="shared" si="121"/>
        <v>0</v>
      </c>
      <c r="AL220">
        <f t="shared" si="122"/>
        <v>0</v>
      </c>
      <c r="AM220"/>
      <c r="AN220"/>
    </row>
    <row r="221" spans="2:40" x14ac:dyDescent="0.2">
      <c r="B221" s="280">
        <v>12808.75</v>
      </c>
      <c r="C221" s="270">
        <f t="shared" si="95"/>
        <v>10.51004915164954</v>
      </c>
      <c r="D221" s="271">
        <f t="shared" si="96"/>
        <v>1.4755051448113241</v>
      </c>
      <c r="E221" s="271">
        <f t="shared" si="97"/>
        <v>1.0002188983081055</v>
      </c>
      <c r="F221" s="272">
        <f t="shared" si="98"/>
        <v>2.0921681823972079E-2</v>
      </c>
      <c r="G221" s="271">
        <f t="shared" si="99"/>
        <v>1.0083659393423381</v>
      </c>
      <c r="H221" s="272">
        <f t="shared" si="100"/>
        <v>-0.12890328612384264</v>
      </c>
      <c r="I221" s="270">
        <f t="shared" si="101"/>
        <v>45075.420199944449</v>
      </c>
      <c r="J221" s="273">
        <f t="shared" si="102"/>
        <v>1.5707741417548982</v>
      </c>
      <c r="K221" s="281">
        <f t="shared" si="103"/>
        <v>6.8338599887650879</v>
      </c>
      <c r="L221" s="282">
        <f t="shared" si="104"/>
        <v>1.4239388278850242</v>
      </c>
      <c r="M221" s="270">
        <f t="shared" si="105"/>
        <v>1.0520540304940973</v>
      </c>
      <c r="N221" s="273">
        <f t="shared" si="106"/>
        <v>0.31588595090054189</v>
      </c>
      <c r="O221" s="270">
        <f t="shared" si="107"/>
        <v>3541.2330713552637</v>
      </c>
      <c r="P221" s="273">
        <f t="shared" si="108"/>
        <v>1.570513939278136</v>
      </c>
      <c r="Q221" s="271">
        <f t="shared" si="109"/>
        <v>1.0076511448852383</v>
      </c>
      <c r="R221" s="272">
        <f t="shared" si="110"/>
        <v>0.12330999906780488</v>
      </c>
      <c r="S221" s="270">
        <f t="shared" si="111"/>
        <v>1.0000004020074198</v>
      </c>
      <c r="T221" s="273">
        <f t="shared" si="112"/>
        <v>8.9666859551324645E-4</v>
      </c>
      <c r="U221" s="274">
        <f t="shared" si="113"/>
        <v>1.0036731793308169</v>
      </c>
      <c r="V221" s="275">
        <f t="shared" si="114"/>
        <v>0.12488098838743582</v>
      </c>
      <c r="W221" s="276">
        <f t="shared" si="115"/>
        <v>-10.541650097206013</v>
      </c>
      <c r="X221" s="277">
        <f t="shared" si="124"/>
        <v>-124.39423677728517</v>
      </c>
      <c r="Y221" s="299">
        <f t="shared" si="123"/>
        <v>55.605763222714828</v>
      </c>
      <c r="AB221" s="278">
        <f t="shared" si="116"/>
        <v>-1.2632100264070232</v>
      </c>
      <c r="AC221" s="279">
        <f t="shared" si="117"/>
        <v>-26.511975562300329</v>
      </c>
      <c r="AF221" s="278">
        <f t="shared" si="118"/>
        <v>52.525092536182775</v>
      </c>
      <c r="AG221" s="279">
        <f t="shared" si="119"/>
        <v>-97.882261214984823</v>
      </c>
      <c r="AI221">
        <f t="shared" si="120"/>
        <v>0</v>
      </c>
      <c r="AJ221">
        <f t="shared" si="125"/>
        <v>0</v>
      </c>
      <c r="AK221">
        <f t="shared" si="121"/>
        <v>0</v>
      </c>
      <c r="AL221">
        <f t="shared" si="122"/>
        <v>0</v>
      </c>
      <c r="AM221"/>
      <c r="AN221"/>
    </row>
    <row r="222" spans="2:40" x14ac:dyDescent="0.2">
      <c r="B222" s="280">
        <v>12882</v>
      </c>
      <c r="C222" s="270">
        <f t="shared" si="95"/>
        <v>10.569610874449399</v>
      </c>
      <c r="D222" s="271">
        <f t="shared" si="96"/>
        <v>1.476043745773342</v>
      </c>
      <c r="E222" s="271">
        <f t="shared" si="97"/>
        <v>1.0002214088371379</v>
      </c>
      <c r="F222" s="272">
        <f t="shared" si="98"/>
        <v>2.1041292417236731E-2</v>
      </c>
      <c r="G222" s="271">
        <f t="shared" si="99"/>
        <v>1.0084614957318123</v>
      </c>
      <c r="H222" s="272">
        <f t="shared" si="100"/>
        <v>-0.12963224362456627</v>
      </c>
      <c r="I222" s="270">
        <f t="shared" si="101"/>
        <v>45333.195121621087</v>
      </c>
      <c r="J222" s="273">
        <f t="shared" si="102"/>
        <v>1.5707742679041126</v>
      </c>
      <c r="K222" s="281">
        <f t="shared" si="103"/>
        <v>6.8721066079613369</v>
      </c>
      <c r="L222" s="282">
        <f t="shared" si="104"/>
        <v>1.42476203832129</v>
      </c>
      <c r="M222" s="270">
        <f t="shared" si="105"/>
        <v>1.0526361684125249</v>
      </c>
      <c r="N222" s="273">
        <f t="shared" si="106"/>
        <v>0.31757369395764018</v>
      </c>
      <c r="O222" s="270">
        <f t="shared" si="107"/>
        <v>3561.4844855721622</v>
      </c>
      <c r="P222" s="273">
        <f t="shared" si="108"/>
        <v>1.570515544998095</v>
      </c>
      <c r="Q222" s="271">
        <f t="shared" si="109"/>
        <v>1.0077385680557973</v>
      </c>
      <c r="R222" s="272">
        <f t="shared" si="110"/>
        <v>0.12400799062688714</v>
      </c>
      <c r="S222" s="270">
        <f t="shared" si="111"/>
        <v>1.0000004066185235</v>
      </c>
      <c r="T222" s="273">
        <f t="shared" si="112"/>
        <v>9.0179641353710794E-4</v>
      </c>
      <c r="U222" s="274">
        <f t="shared" si="113"/>
        <v>1.0037153326446067</v>
      </c>
      <c r="V222" s="275">
        <f t="shared" si="114"/>
        <v>0.12559361667264618</v>
      </c>
      <c r="W222" s="276">
        <f t="shared" si="115"/>
        <v>-10.596114614337349</v>
      </c>
      <c r="X222" s="277">
        <f t="shared" si="124"/>
        <v>-124.55038123665408</v>
      </c>
      <c r="Y222" s="299">
        <f t="shared" si="123"/>
        <v>55.449618763345924</v>
      </c>
      <c r="AB222" s="278">
        <f t="shared" si="116"/>
        <v>-1.2690695854699108</v>
      </c>
      <c r="AC222" s="279">
        <f t="shared" si="117"/>
        <v>-26.561516860542991</v>
      </c>
      <c r="AF222" s="278">
        <f t="shared" si="118"/>
        <v>52.476487578114323</v>
      </c>
      <c r="AG222" s="279">
        <f t="shared" si="119"/>
        <v>-97.988864376111081</v>
      </c>
      <c r="AI222">
        <f t="shared" si="120"/>
        <v>0</v>
      </c>
      <c r="AJ222">
        <f t="shared" si="125"/>
        <v>0</v>
      </c>
      <c r="AK222">
        <f t="shared" si="121"/>
        <v>0</v>
      </c>
      <c r="AL222">
        <f t="shared" si="122"/>
        <v>0</v>
      </c>
      <c r="AM222"/>
      <c r="AN222"/>
    </row>
    <row r="223" spans="2:40" x14ac:dyDescent="0.2">
      <c r="B223" s="280">
        <v>12957.25</v>
      </c>
      <c r="C223" s="270">
        <f t="shared" si="95"/>
        <v>10.630802012493508</v>
      </c>
      <c r="D223" s="271">
        <f t="shared" si="96"/>
        <v>1.4765907676785905</v>
      </c>
      <c r="E223" s="271">
        <f t="shared" si="97"/>
        <v>1.0002240028142273</v>
      </c>
      <c r="F223" s="272">
        <f t="shared" si="98"/>
        <v>2.1164168201680812E-2</v>
      </c>
      <c r="G223" s="271">
        <f t="shared" si="99"/>
        <v>1.0085602190842575</v>
      </c>
      <c r="H223" s="272">
        <f t="shared" si="100"/>
        <v>-0.13038096015176781</v>
      </c>
      <c r="I223" s="270">
        <f t="shared" si="101"/>
        <v>45598.008266415905</v>
      </c>
      <c r="J223" s="273">
        <f t="shared" si="102"/>
        <v>1.5707743960124327</v>
      </c>
      <c r="K223" s="281">
        <f t="shared" si="103"/>
        <v>6.9114022985682775</v>
      </c>
      <c r="L223" s="282">
        <f t="shared" si="104"/>
        <v>1.4255982373293894</v>
      </c>
      <c r="M223" s="270">
        <f t="shared" si="105"/>
        <v>1.0532373197065623</v>
      </c>
      <c r="N223" s="273">
        <f t="shared" si="106"/>
        <v>0.31930557086558214</v>
      </c>
      <c r="O223" s="270">
        <f t="shared" si="107"/>
        <v>3582.2888394358342</v>
      </c>
      <c r="P223" s="273">
        <f t="shared" si="108"/>
        <v>1.5705171756549945</v>
      </c>
      <c r="Q223" s="271">
        <f t="shared" si="109"/>
        <v>1.0078288893701308</v>
      </c>
      <c r="R223" s="272">
        <f t="shared" si="110"/>
        <v>0.12472491351766506</v>
      </c>
      <c r="S223" s="270">
        <f t="shared" si="111"/>
        <v>1.0000004113829088</v>
      </c>
      <c r="T223" s="273">
        <f t="shared" si="112"/>
        <v>9.0706424019482775E-4</v>
      </c>
      <c r="U223" s="274">
        <f t="shared" si="113"/>
        <v>1.0037588877169465</v>
      </c>
      <c r="V223" s="275">
        <f t="shared" si="114"/>
        <v>0.12632567509254261</v>
      </c>
      <c r="W223" s="276">
        <f t="shared" si="115"/>
        <v>-10.651783541594991</v>
      </c>
      <c r="X223" s="277">
        <f t="shared" si="124"/>
        <v>-124.71085107768066</v>
      </c>
      <c r="Y223" s="299">
        <f t="shared" si="123"/>
        <v>55.289148922319342</v>
      </c>
      <c r="AB223" s="278">
        <f t="shared" si="116"/>
        <v>-1.2750937740459278</v>
      </c>
      <c r="AC223" s="279">
        <f t="shared" si="117"/>
        <v>-26.612842764073179</v>
      </c>
      <c r="AF223" s="278">
        <f t="shared" si="118"/>
        <v>52.426842839432695</v>
      </c>
      <c r="AG223" s="279">
        <f t="shared" si="119"/>
        <v>-98.098008313607451</v>
      </c>
      <c r="AI223">
        <f t="shared" si="120"/>
        <v>0</v>
      </c>
      <c r="AJ223">
        <f t="shared" si="125"/>
        <v>0</v>
      </c>
      <c r="AK223">
        <f t="shared" si="121"/>
        <v>0</v>
      </c>
      <c r="AL223">
        <f t="shared" si="122"/>
        <v>0</v>
      </c>
      <c r="AM223"/>
      <c r="AN223"/>
    </row>
    <row r="224" spans="2:40" x14ac:dyDescent="0.2">
      <c r="B224" s="280">
        <v>13032.5</v>
      </c>
      <c r="C224" s="270">
        <f t="shared" si="95"/>
        <v>10.691996295212252</v>
      </c>
      <c r="D224" s="271">
        <f t="shared" si="96"/>
        <v>1.4771315281233266</v>
      </c>
      <c r="E224" s="271">
        <f t="shared" si="97"/>
        <v>1.0002266118930787</v>
      </c>
      <c r="F224" s="272">
        <f t="shared" si="98"/>
        <v>2.1287043346940152E-2</v>
      </c>
      <c r="G224" s="271">
        <f t="shared" si="99"/>
        <v>1.0086595077009399</v>
      </c>
      <c r="H224" s="272">
        <f t="shared" si="100"/>
        <v>-0.13112952969690014</v>
      </c>
      <c r="I224" s="270">
        <f t="shared" si="101"/>
        <v>45862.821411211458</v>
      </c>
      <c r="J224" s="273">
        <f t="shared" si="102"/>
        <v>1.5707745226413512</v>
      </c>
      <c r="K224" s="281">
        <f t="shared" si="103"/>
        <v>6.9507027671820252</v>
      </c>
      <c r="L224" s="282">
        <f t="shared" si="104"/>
        <v>1.4264249808841853</v>
      </c>
      <c r="M224" s="270">
        <f t="shared" si="105"/>
        <v>1.0538416264684751</v>
      </c>
      <c r="N224" s="273">
        <f t="shared" si="106"/>
        <v>0.32103546672912248</v>
      </c>
      <c r="O224" s="270">
        <f t="shared" si="107"/>
        <v>3603.0931933089223</v>
      </c>
      <c r="P224" s="273">
        <f t="shared" si="108"/>
        <v>1.5705187874809829</v>
      </c>
      <c r="Q224" s="271">
        <f t="shared" si="109"/>
        <v>1.0079197285937826</v>
      </c>
      <c r="R224" s="272">
        <f t="shared" si="110"/>
        <v>0.12544170755080172</v>
      </c>
      <c r="S224" s="270">
        <f t="shared" si="111"/>
        <v>1.0000004161750444</v>
      </c>
      <c r="T224" s="273">
        <f t="shared" si="112"/>
        <v>9.1233206680220555E-4</v>
      </c>
      <c r="U224" s="274">
        <f t="shared" si="113"/>
        <v>1.003802696990892</v>
      </c>
      <c r="V224" s="275">
        <f t="shared" si="114"/>
        <v>0.12705770569312638</v>
      </c>
      <c r="W224" s="276">
        <f t="shared" si="115"/>
        <v>-10.707169542427186</v>
      </c>
      <c r="X224" s="277">
        <f t="shared" si="124"/>
        <v>-124.87138035200836</v>
      </c>
      <c r="Y224" s="299">
        <f t="shared" si="123"/>
        <v>55.128619647991641</v>
      </c>
      <c r="AB224" s="278">
        <f t="shared" si="116"/>
        <v>-1.2811229977365386</v>
      </c>
      <c r="AC224" s="279">
        <f t="shared" si="117"/>
        <v>-26.664596834924318</v>
      </c>
      <c r="AF224" s="278">
        <f t="shared" si="118"/>
        <v>52.377486062291112</v>
      </c>
      <c r="AG224" s="279">
        <f t="shared" si="119"/>
        <v>-98.20678351708402</v>
      </c>
      <c r="AI224">
        <f t="shared" si="120"/>
        <v>0</v>
      </c>
      <c r="AJ224">
        <f t="shared" si="125"/>
        <v>0</v>
      </c>
      <c r="AK224">
        <f t="shared" si="121"/>
        <v>0</v>
      </c>
      <c r="AL224">
        <f t="shared" si="122"/>
        <v>0</v>
      </c>
      <c r="AM224"/>
      <c r="AN224"/>
    </row>
    <row r="225" spans="2:40" x14ac:dyDescent="0.2">
      <c r="B225" s="280">
        <v>13107.75</v>
      </c>
      <c r="C225" s="270">
        <f t="shared" si="95"/>
        <v>10.753193668918483</v>
      </c>
      <c r="D225" s="271">
        <f t="shared" si="96"/>
        <v>1.4776661336921308</v>
      </c>
      <c r="E225" s="271">
        <f t="shared" si="97"/>
        <v>1.0002292360735738</v>
      </c>
      <c r="F225" s="272">
        <f t="shared" si="98"/>
        <v>2.1409917849309363E-2</v>
      </c>
      <c r="G225" s="271">
        <f t="shared" si="99"/>
        <v>1.0087593614149488</v>
      </c>
      <c r="H225" s="272">
        <f t="shared" si="100"/>
        <v>-0.13187795146455708</v>
      </c>
      <c r="I225" s="270">
        <f t="shared" si="101"/>
        <v>46127.634556007746</v>
      </c>
      <c r="J225" s="273">
        <f t="shared" si="102"/>
        <v>1.5707746478163471</v>
      </c>
      <c r="K225" s="281">
        <f t="shared" si="103"/>
        <v>6.990007933211297</v>
      </c>
      <c r="L225" s="282">
        <f t="shared" si="104"/>
        <v>1.4272424273513398</v>
      </c>
      <c r="M225" s="270">
        <f t="shared" si="105"/>
        <v>1.0544490832730491</v>
      </c>
      <c r="N225" s="273">
        <f t="shared" si="106"/>
        <v>0.32276337460964699</v>
      </c>
      <c r="O225" s="270">
        <f t="shared" si="107"/>
        <v>3623.8975471912636</v>
      </c>
      <c r="P225" s="273">
        <f t="shared" si="108"/>
        <v>1.5705203808003787</v>
      </c>
      <c r="Q225" s="271">
        <f t="shared" si="109"/>
        <v>1.0080110855867348</v>
      </c>
      <c r="R225" s="272">
        <f t="shared" si="110"/>
        <v>0.12615837202466551</v>
      </c>
      <c r="S225" s="270">
        <f t="shared" si="111"/>
        <v>1.0000004209949298</v>
      </c>
      <c r="T225" s="273">
        <f t="shared" si="112"/>
        <v>9.1759989335894884E-4</v>
      </c>
      <c r="U225" s="274">
        <f t="shared" si="113"/>
        <v>1.0038467604753689</v>
      </c>
      <c r="V225" s="275">
        <f t="shared" si="114"/>
        <v>0.12778970831416581</v>
      </c>
      <c r="W225" s="276">
        <f t="shared" si="115"/>
        <v>-10.762276139300543</v>
      </c>
      <c r="X225" s="277">
        <f t="shared" si="124"/>
        <v>-125.03196564216459</v>
      </c>
      <c r="Y225" s="299">
        <f t="shared" si="123"/>
        <v>54.968034357835407</v>
      </c>
      <c r="AB225" s="278">
        <f t="shared" si="116"/>
        <v>-1.2871575786884462</v>
      </c>
      <c r="AC225" s="279">
        <f t="shared" si="117"/>
        <v>-26.716769603318912</v>
      </c>
      <c r="AF225" s="278">
        <f t="shared" si="118"/>
        <v>52.328414046369659</v>
      </c>
      <c r="AG225" s="279">
        <f t="shared" si="119"/>
        <v>-98.315196038845713</v>
      </c>
      <c r="AI225">
        <f t="shared" si="120"/>
        <v>0</v>
      </c>
      <c r="AJ225">
        <f t="shared" si="125"/>
        <v>0</v>
      </c>
      <c r="AK225">
        <f t="shared" si="121"/>
        <v>0</v>
      </c>
      <c r="AL225">
        <f t="shared" si="122"/>
        <v>0</v>
      </c>
      <c r="AM225"/>
      <c r="AN225"/>
    </row>
    <row r="226" spans="2:40" x14ac:dyDescent="0.2">
      <c r="B226" s="280">
        <v>13183</v>
      </c>
      <c r="C226" s="270">
        <f t="shared" si="95"/>
        <v>10.814394081137603</v>
      </c>
      <c r="D226" s="271">
        <f t="shared" si="96"/>
        <v>1.4781946885711228</v>
      </c>
      <c r="E226" s="271">
        <f t="shared" si="97"/>
        <v>1.0002318753555941</v>
      </c>
      <c r="F226" s="272">
        <f t="shared" si="98"/>
        <v>2.1532791705083158E-2</v>
      </c>
      <c r="G226" s="271">
        <f t="shared" si="99"/>
        <v>1.0088597800584895</v>
      </c>
      <c r="H226" s="272">
        <f t="shared" si="100"/>
        <v>-0.13262622466030857</v>
      </c>
      <c r="I226" s="270">
        <f t="shared" si="101"/>
        <v>46392.447700804754</v>
      </c>
      <c r="J226" s="273">
        <f t="shared" si="102"/>
        <v>1.5707747715623182</v>
      </c>
      <c r="K226" s="281">
        <f t="shared" si="103"/>
        <v>7.0293177178578192</v>
      </c>
      <c r="L226" s="282">
        <f t="shared" si="104"/>
        <v>1.4280507316043636</v>
      </c>
      <c r="M226" s="270">
        <f t="shared" si="105"/>
        <v>1.0550596846793181</v>
      </c>
      <c r="N226" s="273">
        <f t="shared" si="106"/>
        <v>0.32448928763196294</v>
      </c>
      <c r="O226" s="270">
        <f t="shared" si="107"/>
        <v>3644.7019010826998</v>
      </c>
      <c r="P226" s="273">
        <f t="shared" si="108"/>
        <v>1.5705219559300942</v>
      </c>
      <c r="Q226" s="271">
        <f t="shared" si="109"/>
        <v>1.0081029602082228</v>
      </c>
      <c r="R226" s="272">
        <f t="shared" si="110"/>
        <v>0.12687490623841083</v>
      </c>
      <c r="S226" s="270">
        <f t="shared" si="111"/>
        <v>1.0000004258425654</v>
      </c>
      <c r="T226" s="273">
        <f t="shared" si="112"/>
        <v>9.228677198647653E-4</v>
      </c>
      <c r="U226" s="274">
        <f t="shared" si="113"/>
        <v>1.0038910781793544</v>
      </c>
      <c r="V226" s="275">
        <f t="shared" si="114"/>
        <v>0.1285216827954522</v>
      </c>
      <c r="W226" s="276">
        <f t="shared" si="115"/>
        <v>-10.817106790173332</v>
      </c>
      <c r="X226" s="277">
        <f t="shared" si="124"/>
        <v>-125.1926035969984</v>
      </c>
      <c r="Y226" s="299">
        <f t="shared" si="123"/>
        <v>54.807396403001604</v>
      </c>
      <c r="AB226" s="278">
        <f t="shared" si="116"/>
        <v>-1.2931978275015474</v>
      </c>
      <c r="AC226" s="279">
        <f t="shared" si="117"/>
        <v>-26.769351803165417</v>
      </c>
      <c r="AF226" s="278">
        <f t="shared" si="118"/>
        <v>52.279623644309972</v>
      </c>
      <c r="AG226" s="279">
        <f t="shared" si="119"/>
        <v>-98.423251793832961</v>
      </c>
      <c r="AI226">
        <f t="shared" si="120"/>
        <v>0</v>
      </c>
      <c r="AJ226">
        <f t="shared" si="125"/>
        <v>0</v>
      </c>
      <c r="AK226">
        <f t="shared" si="121"/>
        <v>0</v>
      </c>
      <c r="AL226">
        <f t="shared" si="122"/>
        <v>0</v>
      </c>
      <c r="AM226"/>
      <c r="AN226"/>
    </row>
    <row r="227" spans="2:40" x14ac:dyDescent="0.2">
      <c r="B227" s="280">
        <v>13259.75</v>
      </c>
      <c r="C227" s="270">
        <f t="shared" si="95"/>
        <v>10.876817511912535</v>
      </c>
      <c r="D227" s="271">
        <f t="shared" si="96"/>
        <v>1.4787276522238488</v>
      </c>
      <c r="E227" s="271">
        <f t="shared" si="97"/>
        <v>1.000234582803829</v>
      </c>
      <c r="F227" s="272">
        <f t="shared" si="98"/>
        <v>2.1658114203697305E-2</v>
      </c>
      <c r="G227" s="271">
        <f t="shared" si="99"/>
        <v>1.0089627821610019</v>
      </c>
      <c r="H227" s="272">
        <f t="shared" si="100"/>
        <v>-0.13338925973429702</v>
      </c>
      <c r="I227" s="270">
        <f t="shared" si="101"/>
        <v>46662.539512940624</v>
      </c>
      <c r="J227" s="273">
        <f t="shared" si="102"/>
        <v>1.5707748963281771</v>
      </c>
      <c r="K227" s="281">
        <f t="shared" si="103"/>
        <v>7.0694157639920379</v>
      </c>
      <c r="L227" s="282">
        <f t="shared" si="104"/>
        <v>1.4288658879041429</v>
      </c>
      <c r="M227" s="270">
        <f t="shared" si="105"/>
        <v>1.0556856911350947</v>
      </c>
      <c r="N227" s="273">
        <f t="shared" si="106"/>
        <v>0.32624754227154873</v>
      </c>
      <c r="O227" s="270">
        <f t="shared" si="107"/>
        <v>3665.9209597120766</v>
      </c>
      <c r="P227" s="273">
        <f t="shared" si="108"/>
        <v>1.5705235440416971</v>
      </c>
      <c r="Q227" s="271">
        <f t="shared" si="109"/>
        <v>1.0081971992794114</v>
      </c>
      <c r="R227" s="272">
        <f t="shared" si="110"/>
        <v>0.12760558861945151</v>
      </c>
      <c r="S227" s="270">
        <f t="shared" si="111"/>
        <v>1.0000004308154167</v>
      </c>
      <c r="T227" s="273">
        <f t="shared" si="112"/>
        <v>9.282405528262405E-4</v>
      </c>
      <c r="U227" s="274">
        <f t="shared" si="113"/>
        <v>1.0039365411733443</v>
      </c>
      <c r="V227" s="275">
        <f t="shared" si="114"/>
        <v>0.12926821897735152</v>
      </c>
      <c r="W227" s="276">
        <f t="shared" si="115"/>
        <v>-10.872749679217533</v>
      </c>
      <c r="X227" s="277">
        <f t="shared" si="124"/>
        <v>-125.35649447961529</v>
      </c>
      <c r="Y227" s="299">
        <f t="shared" si="123"/>
        <v>54.643505520384707</v>
      </c>
      <c r="AB227" s="278">
        <f t="shared" si="116"/>
        <v>-1.2993646288444294</v>
      </c>
      <c r="AC227" s="279">
        <f t="shared" si="117"/>
        <v>-26.823394506259266</v>
      </c>
      <c r="AF227" s="278">
        <f t="shared" si="118"/>
        <v>52.230147556608657</v>
      </c>
      <c r="AG227" s="279">
        <f t="shared" si="119"/>
        <v>-98.533099973356059</v>
      </c>
      <c r="AI227">
        <f t="shared" si="120"/>
        <v>0</v>
      </c>
      <c r="AJ227">
        <f t="shared" si="125"/>
        <v>0</v>
      </c>
      <c r="AK227">
        <f t="shared" si="121"/>
        <v>0</v>
      </c>
      <c r="AL227">
        <f t="shared" si="122"/>
        <v>0</v>
      </c>
      <c r="AM227"/>
      <c r="AN227"/>
    </row>
    <row r="228" spans="2:40" x14ac:dyDescent="0.2">
      <c r="B228" s="280">
        <v>13336.5</v>
      </c>
      <c r="C228" s="270">
        <f t="shared" si="95"/>
        <v>10.939243996989335</v>
      </c>
      <c r="D228" s="271">
        <f t="shared" si="96"/>
        <v>1.4792545331460489</v>
      </c>
      <c r="E228" s="271">
        <f t="shared" si="97"/>
        <v>1.0002373059613916</v>
      </c>
      <c r="F228" s="272">
        <f t="shared" si="98"/>
        <v>2.1783436021895822E-2</v>
      </c>
      <c r="G228" s="271">
        <f t="shared" si="99"/>
        <v>1.0090663715842447</v>
      </c>
      <c r="H228" s="272">
        <f t="shared" si="100"/>
        <v>-0.13415213858802566</v>
      </c>
      <c r="I228" s="270">
        <f t="shared" si="101"/>
        <v>46932.631325077215</v>
      </c>
      <c r="J228" s="273">
        <f t="shared" si="102"/>
        <v>1.5707750196580104</v>
      </c>
      <c r="K228" s="281">
        <f t="shared" si="103"/>
        <v>7.1095184546202761</v>
      </c>
      <c r="L228" s="282">
        <f t="shared" si="104"/>
        <v>1.4296718486233111</v>
      </c>
      <c r="M228" s="270">
        <f t="shared" si="105"/>
        <v>1.0563149573261783</v>
      </c>
      <c r="N228" s="273">
        <f t="shared" si="106"/>
        <v>0.32800370748580709</v>
      </c>
      <c r="O228" s="270">
        <f t="shared" si="107"/>
        <v>3687.140018350593</v>
      </c>
      <c r="P228" s="273">
        <f t="shared" si="108"/>
        <v>1.5705251138745078</v>
      </c>
      <c r="Q228" s="271">
        <f t="shared" si="109"/>
        <v>1.0082919765230138</v>
      </c>
      <c r="R228" s="272">
        <f t="shared" si="110"/>
        <v>0.12833613402537117</v>
      </c>
      <c r="S228" s="270">
        <f t="shared" si="111"/>
        <v>1.0000004358171353</v>
      </c>
      <c r="T228" s="273">
        <f t="shared" si="112"/>
        <v>9.3361338573412413E-4</v>
      </c>
      <c r="U228" s="274">
        <f t="shared" si="113"/>
        <v>1.0039822686418722</v>
      </c>
      <c r="V228" s="275">
        <f t="shared" si="114"/>
        <v>0.13001472554989935</v>
      </c>
      <c r="W228" s="276">
        <f t="shared" si="115"/>
        <v>-10.928112579120926</v>
      </c>
      <c r="X228" s="277">
        <f t="shared" si="124"/>
        <v>-125.52043330960582</v>
      </c>
      <c r="Y228" s="299">
        <f t="shared" si="123"/>
        <v>54.479566690394179</v>
      </c>
      <c r="AB228" s="278">
        <f t="shared" si="116"/>
        <v>-1.3055379438489887</v>
      </c>
      <c r="AC228" s="279">
        <f t="shared" si="117"/>
        <v>-26.877844279781225</v>
      </c>
      <c r="AF228" s="278">
        <f t="shared" si="118"/>
        <v>52.180957971709823</v>
      </c>
      <c r="AG228" s="279">
        <f t="shared" si="119"/>
        <v>-98.642589029824592</v>
      </c>
      <c r="AI228">
        <f t="shared" si="120"/>
        <v>0</v>
      </c>
      <c r="AJ228">
        <f t="shared" si="125"/>
        <v>0</v>
      </c>
      <c r="AK228">
        <f t="shared" si="121"/>
        <v>0</v>
      </c>
      <c r="AL228">
        <f t="shared" si="122"/>
        <v>0</v>
      </c>
      <c r="AM228"/>
      <c r="AN228"/>
    </row>
    <row r="229" spans="2:40" x14ac:dyDescent="0.2">
      <c r="B229" s="280">
        <v>13413.25</v>
      </c>
      <c r="C229" s="270">
        <f t="shared" si="95"/>
        <v>11.001673484375191</v>
      </c>
      <c r="D229" s="271">
        <f t="shared" si="96"/>
        <v>1.4797754345928549</v>
      </c>
      <c r="E229" s="271">
        <f t="shared" si="97"/>
        <v>1.0002400448281539</v>
      </c>
      <c r="F229" s="272">
        <f t="shared" si="98"/>
        <v>2.1908757155747791E-2</v>
      </c>
      <c r="G229" s="271">
        <f t="shared" si="99"/>
        <v>1.0091705481473556</v>
      </c>
      <c r="H229" s="272">
        <f t="shared" si="100"/>
        <v>-0.13491486038177219</v>
      </c>
      <c r="I229" s="270">
        <f t="shared" si="101"/>
        <v>47202.723137214503</v>
      </c>
      <c r="J229" s="273">
        <f t="shared" si="102"/>
        <v>1.5707751415764684</v>
      </c>
      <c r="K229" s="281">
        <f t="shared" si="103"/>
        <v>7.1496257115887731</v>
      </c>
      <c r="L229" s="282">
        <f t="shared" si="104"/>
        <v>1.4304687674592507</v>
      </c>
      <c r="M229" s="270">
        <f t="shared" si="105"/>
        <v>1.0569474774304031</v>
      </c>
      <c r="N229" s="273">
        <f t="shared" si="106"/>
        <v>0.3297577761838989</v>
      </c>
      <c r="O229" s="270">
        <f t="shared" si="107"/>
        <v>3708.3590769980924</v>
      </c>
      <c r="P229" s="273">
        <f t="shared" si="108"/>
        <v>1.5705266657422974</v>
      </c>
      <c r="Q229" s="271">
        <f t="shared" si="109"/>
        <v>1.0083872917872836</v>
      </c>
      <c r="R229" s="272">
        <f t="shared" si="110"/>
        <v>0.12906654171512347</v>
      </c>
      <c r="S229" s="270">
        <f t="shared" si="111"/>
        <v>1.0000004408477212</v>
      </c>
      <c r="T229" s="273">
        <f t="shared" si="112"/>
        <v>9.3898621858810578E-4</v>
      </c>
      <c r="U229" s="274">
        <f t="shared" si="113"/>
        <v>1.0040282605946222</v>
      </c>
      <c r="V229" s="275">
        <f t="shared" si="114"/>
        <v>0.13076120234318958</v>
      </c>
      <c r="W229" s="276">
        <f t="shared" si="115"/>
        <v>-10.983198961149705</v>
      </c>
      <c r="X229" s="277">
        <f t="shared" si="124"/>
        <v>-125.68441673435679</v>
      </c>
      <c r="Y229" s="299">
        <f t="shared" si="123"/>
        <v>54.315583265643212</v>
      </c>
      <c r="AB229" s="278">
        <f t="shared" si="116"/>
        <v>-1.3117180673534685</v>
      </c>
      <c r="AC229" s="279">
        <f t="shared" si="117"/>
        <v>-26.932691912657173</v>
      </c>
      <c r="AF229" s="278">
        <f t="shared" si="118"/>
        <v>52.132051713185525</v>
      </c>
      <c r="AG229" s="279">
        <f t="shared" si="119"/>
        <v>-98.751724821699639</v>
      </c>
      <c r="AI229">
        <f t="shared" si="120"/>
        <v>0</v>
      </c>
      <c r="AJ229">
        <f t="shared" si="125"/>
        <v>0</v>
      </c>
      <c r="AK229">
        <f t="shared" si="121"/>
        <v>0</v>
      </c>
      <c r="AL229">
        <f t="shared" si="122"/>
        <v>0</v>
      </c>
      <c r="AM229"/>
      <c r="AN229"/>
    </row>
    <row r="230" spans="2:40" x14ac:dyDescent="0.2">
      <c r="B230" s="280">
        <v>13490</v>
      </c>
      <c r="C230" s="270">
        <f t="shared" si="95"/>
        <v>11.064105923248297</v>
      </c>
      <c r="D230" s="271">
        <f t="shared" si="96"/>
        <v>1.4802904575019575</v>
      </c>
      <c r="E230" s="271">
        <f t="shared" si="97"/>
        <v>1.0002427994039864</v>
      </c>
      <c r="F230" s="272">
        <f t="shared" si="98"/>
        <v>2.2034077601322411E-2</v>
      </c>
      <c r="G230" s="271">
        <f t="shared" si="99"/>
        <v>1.0092753116685227</v>
      </c>
      <c r="H230" s="272">
        <f t="shared" si="100"/>
        <v>-0.13567742427689095</v>
      </c>
      <c r="I230" s="270">
        <f t="shared" si="101"/>
        <v>47472.814949352491</v>
      </c>
      <c r="J230" s="273">
        <f t="shared" si="102"/>
        <v>1.5707752621076405</v>
      </c>
      <c r="K230" s="281">
        <f t="shared" si="103"/>
        <v>7.1897374584788647</v>
      </c>
      <c r="L230" s="282">
        <f t="shared" si="104"/>
        <v>1.4312567947259429</v>
      </c>
      <c r="M230" s="270">
        <f t="shared" si="105"/>
        <v>1.0575832456094609</v>
      </c>
      <c r="N230" s="273">
        <f t="shared" si="106"/>
        <v>0.33150974134350847</v>
      </c>
      <c r="O230" s="270">
        <f t="shared" si="107"/>
        <v>3729.5781356544203</v>
      </c>
      <c r="P230" s="273">
        <f t="shared" si="108"/>
        <v>1.5705281999516962</v>
      </c>
      <c r="Q230" s="271">
        <f t="shared" si="109"/>
        <v>1.0084831449196698</v>
      </c>
      <c r="R230" s="272">
        <f t="shared" si="110"/>
        <v>0.12979681094852927</v>
      </c>
      <c r="S230" s="270">
        <f t="shared" si="111"/>
        <v>1.0000004459071747</v>
      </c>
      <c r="T230" s="273">
        <f t="shared" si="112"/>
        <v>9.4435905138787538E-4</v>
      </c>
      <c r="U230" s="274">
        <f t="shared" si="113"/>
        <v>1.0040745170413312</v>
      </c>
      <c r="V230" s="275">
        <f t="shared" si="114"/>
        <v>0.13150764918734176</v>
      </c>
      <c r="W230" s="276">
        <f t="shared" si="115"/>
        <v>-11.038012233174177</v>
      </c>
      <c r="X230" s="277">
        <f t="shared" si="124"/>
        <v>-125.84844146628731</v>
      </c>
      <c r="Y230" s="299">
        <f t="shared" si="123"/>
        <v>54.151558533712688</v>
      </c>
      <c r="AB230" s="278">
        <f t="shared" si="116"/>
        <v>-1.3179052832757976</v>
      </c>
      <c r="AC230" s="279">
        <f t="shared" si="117"/>
        <v>-26.987928391561521</v>
      </c>
      <c r="AF230" s="278">
        <f t="shared" si="118"/>
        <v>52.083425657083382</v>
      </c>
      <c r="AG230" s="279">
        <f t="shared" si="119"/>
        <v>-98.860513074725787</v>
      </c>
      <c r="AI230">
        <f t="shared" si="120"/>
        <v>0</v>
      </c>
      <c r="AJ230">
        <f t="shared" si="125"/>
        <v>0</v>
      </c>
      <c r="AK230">
        <f t="shared" si="121"/>
        <v>0</v>
      </c>
      <c r="AL230">
        <f t="shared" si="122"/>
        <v>0</v>
      </c>
      <c r="AM230"/>
      <c r="AN230"/>
    </row>
    <row r="231" spans="2:40" x14ac:dyDescent="0.2">
      <c r="B231" s="280">
        <v>13568.5</v>
      </c>
      <c r="C231" s="270">
        <f t="shared" si="95"/>
        <v>11.127964904494307</v>
      </c>
      <c r="D231" s="271">
        <f t="shared" si="96"/>
        <v>1.4808112453295175</v>
      </c>
      <c r="E231" s="271">
        <f t="shared" si="97"/>
        <v>1.0002456330380367</v>
      </c>
      <c r="F231" s="272">
        <f t="shared" si="98"/>
        <v>2.2162254800246386E-2</v>
      </c>
      <c r="G231" s="271">
        <f t="shared" si="99"/>
        <v>1.0093830709297185</v>
      </c>
      <c r="H231" s="272">
        <f t="shared" si="100"/>
        <v>-0.13645721140926512</v>
      </c>
      <c r="I231" s="270">
        <f t="shared" si="101"/>
        <v>47749.065206719089</v>
      </c>
      <c r="J231" s="273">
        <f t="shared" si="102"/>
        <v>1.5707753839765244</v>
      </c>
      <c r="K231" s="281">
        <f t="shared" si="103"/>
        <v>7.2307683722293943</v>
      </c>
      <c r="L231" s="282">
        <f t="shared" si="104"/>
        <v>1.4320537452774371</v>
      </c>
      <c r="M231" s="270">
        <f t="shared" si="105"/>
        <v>1.0582368640389497</v>
      </c>
      <c r="N231" s="273">
        <f t="shared" si="106"/>
        <v>0.33329947031328411</v>
      </c>
      <c r="O231" s="270">
        <f t="shared" si="107"/>
        <v>3751.2810165040719</v>
      </c>
      <c r="P231" s="273">
        <f t="shared" si="108"/>
        <v>1.5705297511884719</v>
      </c>
      <c r="Q231" s="271">
        <f t="shared" si="109"/>
        <v>1.0085817398725918</v>
      </c>
      <c r="R231" s="272">
        <f t="shared" si="110"/>
        <v>0.13054358727353832</v>
      </c>
      <c r="S231" s="270">
        <f t="shared" si="111"/>
        <v>1.0000004511118523</v>
      </c>
      <c r="T231" s="273">
        <f t="shared" si="112"/>
        <v>9.4985439171950978E-4</v>
      </c>
      <c r="U231" s="274">
        <f t="shared" si="113"/>
        <v>1.0041221018144244</v>
      </c>
      <c r="V231" s="275">
        <f t="shared" si="114"/>
        <v>0.13227108483382399</v>
      </c>
      <c r="W231" s="276">
        <f t="shared" si="115"/>
        <v>-11.093796284554418</v>
      </c>
      <c r="X231" s="277">
        <f t="shared" si="124"/>
        <v>-126.01624554630895</v>
      </c>
      <c r="Y231" s="299">
        <f t="shared" si="123"/>
        <v>53.983754453691049</v>
      </c>
      <c r="AB231" s="278">
        <f t="shared" si="116"/>
        <v>-1.3242411974856436</v>
      </c>
      <c r="AC231" s="279">
        <f t="shared" si="117"/>
        <v>-27.044817387493424</v>
      </c>
      <c r="AF231" s="278">
        <f t="shared" si="118"/>
        <v>52.03397751991298</v>
      </c>
      <c r="AG231" s="279">
        <f t="shared" si="119"/>
        <v>-98.971428158815527</v>
      </c>
      <c r="AI231">
        <f t="shared" si="120"/>
        <v>0</v>
      </c>
      <c r="AJ231">
        <f t="shared" si="125"/>
        <v>0</v>
      </c>
      <c r="AK231">
        <f t="shared" si="121"/>
        <v>0</v>
      </c>
      <c r="AL231">
        <f t="shared" si="122"/>
        <v>0</v>
      </c>
      <c r="AM231"/>
      <c r="AN231"/>
    </row>
    <row r="232" spans="2:40" x14ac:dyDescent="0.2">
      <c r="B232" s="280">
        <v>13647</v>
      </c>
      <c r="C232" s="270">
        <f t="shared" si="95"/>
        <v>11.191826869424055</v>
      </c>
      <c r="D232" s="271">
        <f t="shared" si="96"/>
        <v>1.481326089934333</v>
      </c>
      <c r="E232" s="271">
        <f t="shared" si="97"/>
        <v>1.0002484831054235</v>
      </c>
      <c r="F232" s="272">
        <f t="shared" si="98"/>
        <v>2.2290431270830403E-2</v>
      </c>
      <c r="G232" s="271">
        <f t="shared" si="99"/>
        <v>1.0094914438331772</v>
      </c>
      <c r="H232" s="272">
        <f t="shared" si="100"/>
        <v>-0.13723683158914449</v>
      </c>
      <c r="I232" s="270">
        <f t="shared" si="101"/>
        <v>48025.315464086387</v>
      </c>
      <c r="J232" s="273">
        <f t="shared" si="102"/>
        <v>1.5707755044433844</v>
      </c>
      <c r="K232" s="281">
        <f t="shared" si="103"/>
        <v>7.2718038266316363</v>
      </c>
      <c r="L232" s="282">
        <f t="shared" si="104"/>
        <v>1.4328417017949155</v>
      </c>
      <c r="M232" s="270">
        <f t="shared" si="105"/>
        <v>1.0588938679474771</v>
      </c>
      <c r="N232" s="273">
        <f t="shared" si="106"/>
        <v>0.33508698408346549</v>
      </c>
      <c r="O232" s="270">
        <f t="shared" si="107"/>
        <v>3772.9838973626465</v>
      </c>
      <c r="P232" s="273">
        <f t="shared" si="108"/>
        <v>1.5705312845792627</v>
      </c>
      <c r="Q232" s="271">
        <f t="shared" si="109"/>
        <v>1.0086808971760741</v>
      </c>
      <c r="R232" s="272">
        <f t="shared" si="110"/>
        <v>0.13129021719275033</v>
      </c>
      <c r="S232" s="270">
        <f t="shared" si="111"/>
        <v>1.0000004563467288</v>
      </c>
      <c r="T232" s="273">
        <f t="shared" si="112"/>
        <v>9.5534973199377525E-4</v>
      </c>
      <c r="U232" s="274">
        <f t="shared" si="113"/>
        <v>1.0041699633013774</v>
      </c>
      <c r="V232" s="275">
        <f t="shared" si="114"/>
        <v>0.13303448879043817</v>
      </c>
      <c r="W232" s="276">
        <f t="shared" si="115"/>
        <v>-11.149301644195157</v>
      </c>
      <c r="X232" s="277">
        <f t="shared" si="124"/>
        <v>-126.18408608338474</v>
      </c>
      <c r="Y232" s="299">
        <f t="shared" si="123"/>
        <v>53.815913916615258</v>
      </c>
      <c r="AB232" s="278">
        <f t="shared" si="116"/>
        <v>-1.3305850985975489</v>
      </c>
      <c r="AC232" s="279">
        <f t="shared" si="117"/>
        <v>-27.102094701697656</v>
      </c>
      <c r="AF232" s="278">
        <f t="shared" si="118"/>
        <v>51.984816061384151</v>
      </c>
      <c r="AG232" s="279">
        <f t="shared" si="119"/>
        <v>-99.081991381687089</v>
      </c>
      <c r="AI232">
        <f t="shared" si="120"/>
        <v>0</v>
      </c>
      <c r="AJ232">
        <f t="shared" si="125"/>
        <v>0</v>
      </c>
      <c r="AK232">
        <f t="shared" si="121"/>
        <v>0</v>
      </c>
      <c r="AL232">
        <f t="shared" si="122"/>
        <v>0</v>
      </c>
      <c r="AM232"/>
      <c r="AN232"/>
    </row>
    <row r="233" spans="2:40" x14ac:dyDescent="0.2">
      <c r="B233" s="280">
        <v>13725.5</v>
      </c>
      <c r="C233" s="270">
        <f t="shared" si="95"/>
        <v>11.255691767251522</v>
      </c>
      <c r="D233" s="271">
        <f t="shared" si="96"/>
        <v>1.48183509220682</v>
      </c>
      <c r="E233" s="271">
        <f t="shared" si="97"/>
        <v>1.0002513496060066</v>
      </c>
      <c r="F233" s="272">
        <f t="shared" si="98"/>
        <v>2.2418607008869038E-2</v>
      </c>
      <c r="G233" s="271">
        <f t="shared" si="99"/>
        <v>1.00960043018129</v>
      </c>
      <c r="H233" s="272">
        <f t="shared" si="100"/>
        <v>-0.13801628392272736</v>
      </c>
      <c r="I233" s="270">
        <f t="shared" si="101"/>
        <v>48301.565721454368</v>
      </c>
      <c r="J233" s="273">
        <f t="shared" si="102"/>
        <v>1.570775623532277</v>
      </c>
      <c r="K233" s="281">
        <f t="shared" si="103"/>
        <v>7.3128437452470481</v>
      </c>
      <c r="L233" s="282">
        <f t="shared" si="104"/>
        <v>1.4336208147160441</v>
      </c>
      <c r="M233" s="270">
        <f t="shared" si="105"/>
        <v>1.0595542510372826</v>
      </c>
      <c r="N233" s="273">
        <f t="shared" si="106"/>
        <v>0.33687227536253678</v>
      </c>
      <c r="O233" s="270">
        <f t="shared" si="107"/>
        <v>3794.6867782299914</v>
      </c>
      <c r="P233" s="273">
        <f t="shared" si="108"/>
        <v>1.5705328004302672</v>
      </c>
      <c r="Q233" s="271">
        <f t="shared" si="109"/>
        <v>1.0087806166642894</v>
      </c>
      <c r="R233" s="272">
        <f t="shared" si="110"/>
        <v>0.13203669991703407</v>
      </c>
      <c r="S233" s="270">
        <f t="shared" si="111"/>
        <v>1.0000004616118039</v>
      </c>
      <c r="T233" s="273">
        <f t="shared" si="112"/>
        <v>9.6084507221033991E-4</v>
      </c>
      <c r="U233" s="274">
        <f t="shared" si="113"/>
        <v>1.0042181015127831</v>
      </c>
      <c r="V233" s="275">
        <f t="shared" si="114"/>
        <v>0.13379786087550063</v>
      </c>
      <c r="W233" s="276">
        <f t="shared" si="115"/>
        <v>-11.204531762262281</v>
      </c>
      <c r="X233" s="277">
        <f t="shared" si="124"/>
        <v>-126.35195976089177</v>
      </c>
      <c r="Y233" s="299">
        <f t="shared" si="123"/>
        <v>53.648040239108227</v>
      </c>
      <c r="AB233" s="278">
        <f t="shared" si="116"/>
        <v>-1.3369372572475706</v>
      </c>
      <c r="AC233" s="279">
        <f t="shared" si="117"/>
        <v>-27.159751298336104</v>
      </c>
      <c r="AF233" s="278">
        <f t="shared" si="118"/>
        <v>51.935938101967054</v>
      </c>
      <c r="AG233" s="279">
        <f t="shared" si="119"/>
        <v>-99.192208462555669</v>
      </c>
      <c r="AI233">
        <f t="shared" si="120"/>
        <v>0</v>
      </c>
      <c r="AJ233">
        <f t="shared" si="125"/>
        <v>0</v>
      </c>
      <c r="AK233">
        <f t="shared" si="121"/>
        <v>0</v>
      </c>
      <c r="AL233">
        <f t="shared" si="122"/>
        <v>0</v>
      </c>
      <c r="AM233"/>
      <c r="AN233"/>
    </row>
    <row r="234" spans="2:40" x14ac:dyDescent="0.2">
      <c r="B234" s="280">
        <v>13804</v>
      </c>
      <c r="C234" s="270">
        <f t="shared" si="95"/>
        <v>11.319559548334526</v>
      </c>
      <c r="D234" s="271">
        <f t="shared" si="96"/>
        <v>1.4823383507726655</v>
      </c>
      <c r="E234" s="271">
        <f t="shared" si="97"/>
        <v>1.0002542325396446</v>
      </c>
      <c r="F234" s="272">
        <f t="shared" si="98"/>
        <v>2.2546782010156998E-2</v>
      </c>
      <c r="G234" s="271">
        <f t="shared" si="99"/>
        <v>1.009710029775414</v>
      </c>
      <c r="H234" s="272">
        <f t="shared" si="100"/>
        <v>-0.13879556751741273</v>
      </c>
      <c r="I234" s="270">
        <f t="shared" si="101"/>
        <v>48577.815978823033</v>
      </c>
      <c r="J234" s="273">
        <f t="shared" si="102"/>
        <v>1.57077574126671</v>
      </c>
      <c r="K234" s="281">
        <f t="shared" si="103"/>
        <v>7.3538880533351909</v>
      </c>
      <c r="L234" s="282">
        <f t="shared" si="104"/>
        <v>1.434391231163429</v>
      </c>
      <c r="M234" s="270">
        <f t="shared" si="105"/>
        <v>1.060218006993946</v>
      </c>
      <c r="N234" s="273">
        <f t="shared" si="106"/>
        <v>0.33865533693377137</v>
      </c>
      <c r="O234" s="270">
        <f t="shared" si="107"/>
        <v>3816.3896591059561</v>
      </c>
      <c r="P234" s="273">
        <f t="shared" si="108"/>
        <v>1.5705342990407187</v>
      </c>
      <c r="Q234" s="271">
        <f t="shared" si="109"/>
        <v>1.0088808981705357</v>
      </c>
      <c r="R234" s="272">
        <f t="shared" si="110"/>
        <v>0.13278303465822566</v>
      </c>
      <c r="S234" s="270">
        <f t="shared" si="111"/>
        <v>1.0000004669070779</v>
      </c>
      <c r="T234" s="273">
        <f t="shared" si="112"/>
        <v>9.663404123688719E-4</v>
      </c>
      <c r="U234" s="274">
        <f t="shared" si="113"/>
        <v>1.0042665164592923</v>
      </c>
      <c r="V234" s="275">
        <f t="shared" si="114"/>
        <v>0.13456120090735665</v>
      </c>
      <c r="W234" s="276">
        <f t="shared" si="115"/>
        <v>-11.25949002589816</v>
      </c>
      <c r="X234" s="277">
        <f t="shared" si="124"/>
        <v>-126.51986332671083</v>
      </c>
      <c r="Y234" s="299">
        <f t="shared" si="123"/>
        <v>53.480136673289167</v>
      </c>
      <c r="AB234" s="278">
        <f t="shared" si="116"/>
        <v>-1.3432979336282516</v>
      </c>
      <c r="AC234" s="279">
        <f t="shared" si="117"/>
        <v>-27.217778335763299</v>
      </c>
      <c r="AF234" s="278">
        <f t="shared" si="118"/>
        <v>51.887340514711852</v>
      </c>
      <c r="AG234" s="279">
        <f t="shared" si="119"/>
        <v>-99.302084990947534</v>
      </c>
      <c r="AI234">
        <f t="shared" si="120"/>
        <v>0</v>
      </c>
      <c r="AJ234">
        <f t="shared" si="125"/>
        <v>0</v>
      </c>
      <c r="AK234">
        <f t="shared" si="121"/>
        <v>0</v>
      </c>
      <c r="AL234">
        <f t="shared" si="122"/>
        <v>0</v>
      </c>
      <c r="AM234"/>
      <c r="AN234"/>
    </row>
    <row r="235" spans="2:40" x14ac:dyDescent="0.2">
      <c r="B235" s="280">
        <v>13884.25</v>
      </c>
      <c r="C235" s="270">
        <f t="shared" si="95"/>
        <v>11.384854063309335</v>
      </c>
      <c r="D235" s="271">
        <f t="shared" si="96"/>
        <v>1.4828469916784872</v>
      </c>
      <c r="E235" s="271">
        <f t="shared" si="97"/>
        <v>1.000257196729007</v>
      </c>
      <c r="F235" s="272">
        <f t="shared" si="98"/>
        <v>2.267781364998285E-2</v>
      </c>
      <c r="G235" s="271">
        <f t="shared" si="99"/>
        <v>1.0098227063696819</v>
      </c>
      <c r="H235" s="272">
        <f t="shared" si="100"/>
        <v>-0.13959204832467656</v>
      </c>
      <c r="I235" s="270">
        <f t="shared" si="101"/>
        <v>48860.224681420346</v>
      </c>
      <c r="J235" s="273">
        <f t="shared" si="102"/>
        <v>1.5707758602496322</v>
      </c>
      <c r="K235" s="281">
        <f t="shared" si="103"/>
        <v>7.395851823164028</v>
      </c>
      <c r="L235" s="282">
        <f t="shared" si="104"/>
        <v>1.4351699828918121</v>
      </c>
      <c r="M235" s="270">
        <f t="shared" si="105"/>
        <v>1.0609000399570252</v>
      </c>
      <c r="N235" s="273">
        <f t="shared" si="106"/>
        <v>0.3404758360260417</v>
      </c>
      <c r="O235" s="270">
        <f t="shared" si="107"/>
        <v>3838.5763621758119</v>
      </c>
      <c r="P235" s="273">
        <f t="shared" si="108"/>
        <v>1.5705358135428573</v>
      </c>
      <c r="Q235" s="271">
        <f t="shared" si="109"/>
        <v>1.0089839960285325</v>
      </c>
      <c r="R235" s="272">
        <f t="shared" si="110"/>
        <v>0.13354585364695348</v>
      </c>
      <c r="S235" s="270">
        <f t="shared" si="111"/>
        <v>1.0000004723516156</v>
      </c>
      <c r="T235" s="273">
        <f t="shared" si="112"/>
        <v>9.7195826005022255E-4</v>
      </c>
      <c r="U235" s="274">
        <f t="shared" si="113"/>
        <v>1.0043162967887991</v>
      </c>
      <c r="V235" s="275">
        <f t="shared" si="114"/>
        <v>0.13534152475152708</v>
      </c>
      <c r="W235" s="276">
        <f t="shared" si="115"/>
        <v>-11.315395923934432</v>
      </c>
      <c r="X235" s="277">
        <f t="shared" si="124"/>
        <v>-126.69153754009012</v>
      </c>
      <c r="Y235" s="299">
        <f t="shared" si="123"/>
        <v>53.308462459909876</v>
      </c>
      <c r="AB235" s="278">
        <f t="shared" si="116"/>
        <v>-1.3498094735866895</v>
      </c>
      <c r="AC235" s="279">
        <f t="shared" si="117"/>
        <v>-27.277472880252208</v>
      </c>
      <c r="AF235" s="278">
        <f t="shared" si="118"/>
        <v>51.837946156634018</v>
      </c>
      <c r="AG235" s="279">
        <f t="shared" si="119"/>
        <v>-99.414064659837905</v>
      </c>
      <c r="AI235">
        <f t="shared" si="120"/>
        <v>0</v>
      </c>
      <c r="AJ235">
        <f t="shared" si="125"/>
        <v>0</v>
      </c>
      <c r="AK235">
        <f t="shared" si="121"/>
        <v>0</v>
      </c>
      <c r="AL235">
        <f t="shared" si="122"/>
        <v>0</v>
      </c>
      <c r="AM235"/>
      <c r="AN235"/>
    </row>
    <row r="236" spans="2:40" x14ac:dyDescent="0.2">
      <c r="B236" s="280">
        <v>13964.5</v>
      </c>
      <c r="C236" s="270">
        <f t="shared" si="95"/>
        <v>11.450151490129977</v>
      </c>
      <c r="D236" s="271">
        <f t="shared" si="96"/>
        <v>1.4833498314026166</v>
      </c>
      <c r="E236" s="271">
        <f t="shared" si="97"/>
        <v>1.000260178091974</v>
      </c>
      <c r="F236" s="272">
        <f t="shared" si="98"/>
        <v>2.280884451095587E-2</v>
      </c>
      <c r="G236" s="271">
        <f t="shared" si="99"/>
        <v>1.00993602343379</v>
      </c>
      <c r="H236" s="272">
        <f t="shared" si="100"/>
        <v>-0.14038835090317606</v>
      </c>
      <c r="I236" s="270">
        <f t="shared" si="101"/>
        <v>49142.633384018351</v>
      </c>
      <c r="J236" s="273">
        <f t="shared" si="102"/>
        <v>1.5707759778650325</v>
      </c>
      <c r="K236" s="281">
        <f t="shared" si="103"/>
        <v>7.4378200276260742</v>
      </c>
      <c r="L236" s="282">
        <f t="shared" si="104"/>
        <v>1.4359399468056484</v>
      </c>
      <c r="M236" s="270">
        <f t="shared" si="105"/>
        <v>1.0615855844483104</v>
      </c>
      <c r="N236" s="273">
        <f t="shared" si="106"/>
        <v>0.34229398987521914</v>
      </c>
      <c r="O236" s="270">
        <f t="shared" si="107"/>
        <v>3860.7630652543721</v>
      </c>
      <c r="P236" s="273">
        <f t="shared" si="108"/>
        <v>1.5705373106381733</v>
      </c>
      <c r="Q236" s="271">
        <f t="shared" si="109"/>
        <v>1.0090876808868907</v>
      </c>
      <c r="R236" s="272">
        <f t="shared" si="110"/>
        <v>0.13430851631842944</v>
      </c>
      <c r="S236" s="270">
        <f t="shared" si="111"/>
        <v>1.0000004778277134</v>
      </c>
      <c r="T236" s="273">
        <f t="shared" si="112"/>
        <v>9.7757610767022275E-4</v>
      </c>
      <c r="U236" s="274">
        <f t="shared" si="113"/>
        <v>1.004366366352146</v>
      </c>
      <c r="V236" s="275">
        <f t="shared" si="114"/>
        <v>0.13612181471360921</v>
      </c>
      <c r="W236" s="276">
        <f t="shared" si="115"/>
        <v>-11.371024674960593</v>
      </c>
      <c r="X236" s="277">
        <f t="shared" si="124"/>
        <v>-126.86323631561086</v>
      </c>
      <c r="Y236" s="299">
        <f t="shared" si="123"/>
        <v>53.136763684389138</v>
      </c>
      <c r="AB236" s="278">
        <f t="shared" si="116"/>
        <v>-1.3563304332628379</v>
      </c>
      <c r="AC236" s="279">
        <f t="shared" si="117"/>
        <v>-27.337536478541377</v>
      </c>
      <c r="AF236" s="278">
        <f t="shared" si="118"/>
        <v>51.788838365284001</v>
      </c>
      <c r="AG236" s="279">
        <f t="shared" si="119"/>
        <v>-99.525699837069453</v>
      </c>
      <c r="AI236">
        <f t="shared" si="120"/>
        <v>0</v>
      </c>
      <c r="AJ236">
        <f t="shared" si="125"/>
        <v>0</v>
      </c>
      <c r="AK236">
        <f t="shared" si="121"/>
        <v>0</v>
      </c>
      <c r="AL236">
        <f t="shared" si="122"/>
        <v>0</v>
      </c>
      <c r="AM236"/>
      <c r="AN236"/>
    </row>
    <row r="237" spans="2:40" x14ac:dyDescent="0.2">
      <c r="B237" s="280">
        <v>14044.75</v>
      </c>
      <c r="C237" s="270">
        <f t="shared" si="95"/>
        <v>11.515451779262305</v>
      </c>
      <c r="D237" s="271">
        <f t="shared" si="96"/>
        <v>1.4838469683782858</v>
      </c>
      <c r="E237" s="271">
        <f t="shared" si="97"/>
        <v>1.0002631766283923</v>
      </c>
      <c r="F237" s="272">
        <f t="shared" si="98"/>
        <v>2.2939874588583677E-2</v>
      </c>
      <c r="G237" s="271">
        <f t="shared" si="99"/>
        <v>1.0100499807521766</v>
      </c>
      <c r="H237" s="272">
        <f t="shared" si="100"/>
        <v>-0.14118447430320075</v>
      </c>
      <c r="I237" s="270">
        <f t="shared" si="101"/>
        <v>49425.042086617024</v>
      </c>
      <c r="J237" s="273">
        <f t="shared" si="102"/>
        <v>1.5707760941363524</v>
      </c>
      <c r="K237" s="281">
        <f t="shared" si="103"/>
        <v>7.4797925920747712</v>
      </c>
      <c r="L237" s="282">
        <f t="shared" si="104"/>
        <v>1.4367012699216652</v>
      </c>
      <c r="M237" s="270">
        <f t="shared" si="105"/>
        <v>1.0622746336692521</v>
      </c>
      <c r="N237" s="273">
        <f t="shared" si="106"/>
        <v>0.34410979101303718</v>
      </c>
      <c r="O237" s="270">
        <f t="shared" si="107"/>
        <v>3882.9497683414857</v>
      </c>
      <c r="P237" s="273">
        <f t="shared" si="108"/>
        <v>1.5705387906250479</v>
      </c>
      <c r="Q237" s="271">
        <f t="shared" si="109"/>
        <v>1.0091919525646844</v>
      </c>
      <c r="R237" s="272">
        <f t="shared" si="110"/>
        <v>0.13507102183375908</v>
      </c>
      <c r="S237" s="270">
        <f t="shared" si="111"/>
        <v>1.0000004833353715</v>
      </c>
      <c r="T237" s="273">
        <f t="shared" si="112"/>
        <v>9.8319395522851807E-4</v>
      </c>
      <c r="U237" s="274">
        <f t="shared" si="113"/>
        <v>1.0044167251609026</v>
      </c>
      <c r="V237" s="275">
        <f t="shared" si="114"/>
        <v>0.13690207059962076</v>
      </c>
      <c r="W237" s="276">
        <f t="shared" si="115"/>
        <v>-11.426379703040521</v>
      </c>
      <c r="X237" s="277">
        <f t="shared" si="124"/>
        <v>-127.03495637781538</v>
      </c>
      <c r="Y237" s="299">
        <f t="shared" si="123"/>
        <v>52.965043622184623</v>
      </c>
      <c r="AB237" s="278">
        <f t="shared" si="116"/>
        <v>-1.3628610589994823</v>
      </c>
      <c r="AC237" s="279">
        <f t="shared" si="117"/>
        <v>-27.397960280635811</v>
      </c>
      <c r="AF237" s="278">
        <f t="shared" si="118"/>
        <v>51.740013962940722</v>
      </c>
      <c r="AG237" s="279">
        <f t="shared" si="119"/>
        <v>-99.636996097179576</v>
      </c>
      <c r="AI237">
        <f t="shared" si="120"/>
        <v>0</v>
      </c>
      <c r="AJ237">
        <f t="shared" si="125"/>
        <v>0</v>
      </c>
      <c r="AK237">
        <f t="shared" si="121"/>
        <v>0</v>
      </c>
      <c r="AL237">
        <f t="shared" si="122"/>
        <v>0</v>
      </c>
      <c r="AM237"/>
      <c r="AN237"/>
    </row>
    <row r="238" spans="2:40" x14ac:dyDescent="0.2">
      <c r="B238" s="280">
        <v>14125</v>
      </c>
      <c r="C238" s="270">
        <f t="shared" si="95"/>
        <v>11.580754882287248</v>
      </c>
      <c r="D238" s="271">
        <f t="shared" si="96"/>
        <v>1.4843384988299149</v>
      </c>
      <c r="E238" s="271">
        <f t="shared" si="97"/>
        <v>1.0002661923381069</v>
      </c>
      <c r="F238" s="272">
        <f t="shared" si="98"/>
        <v>2.3070903878374054E-2</v>
      </c>
      <c r="G238" s="271">
        <f t="shared" si="99"/>
        <v>1.0101645781081587</v>
      </c>
      <c r="H238" s="272">
        <f t="shared" si="100"/>
        <v>-0.14198041757637597</v>
      </c>
      <c r="I238" s="270">
        <f t="shared" si="101"/>
        <v>49707.450789216353</v>
      </c>
      <c r="J238" s="273">
        <f t="shared" si="102"/>
        <v>1.570776209086501</v>
      </c>
      <c r="K238" s="281">
        <f t="shared" si="103"/>
        <v>7.5217694435220448</v>
      </c>
      <c r="L238" s="282">
        <f t="shared" si="104"/>
        <v>1.4374540960153366</v>
      </c>
      <c r="M238" s="270">
        <f t="shared" si="105"/>
        <v>1.0629671808042178</v>
      </c>
      <c r="N238" s="273">
        <f t="shared" si="106"/>
        <v>0.34592323205260173</v>
      </c>
      <c r="O238" s="270">
        <f t="shared" si="107"/>
        <v>3905.1364714370084</v>
      </c>
      <c r="P238" s="273">
        <f t="shared" si="108"/>
        <v>1.5705402537950814</v>
      </c>
      <c r="Q238" s="271">
        <f t="shared" si="109"/>
        <v>1.0092968108800384</v>
      </c>
      <c r="R238" s="272">
        <f t="shared" si="110"/>
        <v>0.13583336935512463</v>
      </c>
      <c r="S238" s="270">
        <f t="shared" si="111"/>
        <v>1.0000004888745897</v>
      </c>
      <c r="T238" s="273">
        <f t="shared" si="112"/>
        <v>9.8881180272475345E-4</v>
      </c>
      <c r="U238" s="274">
        <f t="shared" si="113"/>
        <v>1.0044673732267015</v>
      </c>
      <c r="V238" s="275">
        <f t="shared" si="114"/>
        <v>0.1376822922156116</v>
      </c>
      <c r="W238" s="276">
        <f t="shared" si="115"/>
        <v>-11.481464369699619</v>
      </c>
      <c r="X238" s="277">
        <f t="shared" si="124"/>
        <v>-127.20669451511075</v>
      </c>
      <c r="Y238" s="299">
        <f t="shared" si="123"/>
        <v>52.793305484889245</v>
      </c>
      <c r="AB238" s="278">
        <f t="shared" si="116"/>
        <v>-1.3694015871747467</v>
      </c>
      <c r="AC238" s="279">
        <f t="shared" si="117"/>
        <v>-27.458735626882348</v>
      </c>
      <c r="AF238" s="278">
        <f t="shared" si="118"/>
        <v>51.691469824456888</v>
      </c>
      <c r="AG238" s="279">
        <f t="shared" si="119"/>
        <v>-99.747958888228411</v>
      </c>
      <c r="AI238">
        <f t="shared" si="120"/>
        <v>0</v>
      </c>
      <c r="AJ238">
        <f t="shared" si="125"/>
        <v>0</v>
      </c>
      <c r="AK238">
        <f t="shared" si="121"/>
        <v>0</v>
      </c>
      <c r="AL238">
        <f t="shared" si="122"/>
        <v>0</v>
      </c>
      <c r="AM238"/>
      <c r="AN238"/>
    </row>
    <row r="239" spans="2:40" x14ac:dyDescent="0.2">
      <c r="B239" s="280">
        <v>14207.25</v>
      </c>
      <c r="C239" s="270">
        <f t="shared" si="95"/>
        <v>11.64768834741459</v>
      </c>
      <c r="D239" s="271">
        <f t="shared" si="96"/>
        <v>1.4848365598272701</v>
      </c>
      <c r="E239" s="271">
        <f t="shared" si="97"/>
        <v>1.0002693010261556</v>
      </c>
      <c r="F239" s="272">
        <f t="shared" si="98"/>
        <v>2.3205197873401792E-2</v>
      </c>
      <c r="G239" s="271">
        <f t="shared" si="99"/>
        <v>1.0102826954081199</v>
      </c>
      <c r="H239" s="272">
        <f t="shared" si="100"/>
        <v>-0.14279600953464125</v>
      </c>
      <c r="I239" s="270">
        <f t="shared" si="101"/>
        <v>49996.897714934094</v>
      </c>
      <c r="J239" s="273">
        <f t="shared" si="102"/>
        <v>1.5707763255539042</v>
      </c>
      <c r="K239" s="281">
        <f t="shared" si="103"/>
        <v>7.5647968209512761</v>
      </c>
      <c r="L239" s="282">
        <f t="shared" si="104"/>
        <v>1.4382170139384163</v>
      </c>
      <c r="M239" s="270">
        <f t="shared" si="105"/>
        <v>1.0636806102953451</v>
      </c>
      <c r="N239" s="273">
        <f t="shared" si="106"/>
        <v>0.34777941118182293</v>
      </c>
      <c r="O239" s="270">
        <f t="shared" si="107"/>
        <v>3927.8761141821169</v>
      </c>
      <c r="P239" s="273">
        <f t="shared" si="108"/>
        <v>1.5705417362778504</v>
      </c>
      <c r="Q239" s="271">
        <f t="shared" si="109"/>
        <v>1.0094048910455651</v>
      </c>
      <c r="R239" s="272">
        <f t="shared" si="110"/>
        <v>0.13661455136683617</v>
      </c>
      <c r="S239" s="270">
        <f t="shared" si="111"/>
        <v>1.000000494584607</v>
      </c>
      <c r="T239" s="273">
        <f t="shared" si="112"/>
        <v>9.9456965881656147E-4</v>
      </c>
      <c r="U239" s="274">
        <f t="shared" si="113"/>
        <v>1.0045195837220509</v>
      </c>
      <c r="V239" s="275">
        <f t="shared" si="114"/>
        <v>0.13848192284239433</v>
      </c>
      <c r="W239" s="276">
        <f t="shared" si="115"/>
        <v>-11.53764476352098</v>
      </c>
      <c r="X239" s="277">
        <f t="shared" si="124"/>
        <v>-127.38272819227566</v>
      </c>
      <c r="Y239" s="299">
        <f t="shared" si="123"/>
        <v>52.617271807724336</v>
      </c>
      <c r="AB239" s="278">
        <f t="shared" si="116"/>
        <v>-1.3761156320503996</v>
      </c>
      <c r="AC239" s="279">
        <f t="shared" si="117"/>
        <v>-27.521381552990292</v>
      </c>
      <c r="AF239" s="278">
        <f t="shared" si="118"/>
        <v>51.642003475511174</v>
      </c>
      <c r="AG239" s="279">
        <f t="shared" si="119"/>
        <v>-99.861346639285372</v>
      </c>
      <c r="AI239">
        <f t="shared" si="120"/>
        <v>0</v>
      </c>
      <c r="AJ239">
        <f t="shared" si="125"/>
        <v>0</v>
      </c>
      <c r="AK239">
        <f t="shared" si="121"/>
        <v>0</v>
      </c>
      <c r="AL239">
        <f t="shared" si="122"/>
        <v>0</v>
      </c>
      <c r="AM239"/>
      <c r="AN239"/>
    </row>
    <row r="240" spans="2:40" x14ac:dyDescent="0.2">
      <c r="B240" s="280">
        <v>14289.5</v>
      </c>
      <c r="C240" s="270">
        <f t="shared" si="95"/>
        <v>11.714624668904575</v>
      </c>
      <c r="D240" s="271">
        <f t="shared" si="96"/>
        <v>1.4853289291932892</v>
      </c>
      <c r="E240" s="271">
        <f t="shared" si="97"/>
        <v>1.0002724277538262</v>
      </c>
      <c r="F240" s="272">
        <f t="shared" si="98"/>
        <v>2.3339491031278695E-2</v>
      </c>
      <c r="G240" s="271">
        <f t="shared" si="99"/>
        <v>1.0104014845808886</v>
      </c>
      <c r="H240" s="272">
        <f t="shared" si="100"/>
        <v>-0.1436114102629254</v>
      </c>
      <c r="I240" s="270">
        <f t="shared" si="101"/>
        <v>50286.344640652518</v>
      </c>
      <c r="J240" s="273">
        <f t="shared" si="102"/>
        <v>1.5707764406805407</v>
      </c>
      <c r="K240" s="281">
        <f t="shared" si="103"/>
        <v>7.6078285516174633</v>
      </c>
      <c r="L240" s="282">
        <f t="shared" si="104"/>
        <v>1.438971301797334</v>
      </c>
      <c r="M240" s="270">
        <f t="shared" si="105"/>
        <v>1.0643976996725184</v>
      </c>
      <c r="N240" s="273">
        <f t="shared" si="106"/>
        <v>0.3496330956586115</v>
      </c>
      <c r="O240" s="270">
        <f t="shared" si="107"/>
        <v>3950.6157569357583</v>
      </c>
      <c r="P240" s="273">
        <f t="shared" si="108"/>
        <v>1.5705432016943541</v>
      </c>
      <c r="Q240" s="271">
        <f t="shared" si="109"/>
        <v>1.0095135870636021</v>
      </c>
      <c r="R240" s="272">
        <f t="shared" si="110"/>
        <v>0.13739556563272265</v>
      </c>
      <c r="S240" s="270">
        <f t="shared" si="111"/>
        <v>1.000000500327777</v>
      </c>
      <c r="T240" s="273">
        <f t="shared" si="112"/>
        <v>1.0003275148424238E-3</v>
      </c>
      <c r="U240" s="274">
        <f t="shared" si="113"/>
        <v>1.0045720980968491</v>
      </c>
      <c r="V240" s="275">
        <f t="shared" si="114"/>
        <v>0.13928151705725886</v>
      </c>
      <c r="W240" s="276">
        <f t="shared" si="115"/>
        <v>-11.593548107243947</v>
      </c>
      <c r="X240" s="277">
        <f t="shared" si="124"/>
        <v>-127.55877422440899</v>
      </c>
      <c r="Y240" s="299">
        <f t="shared" si="123"/>
        <v>52.441225775591008</v>
      </c>
      <c r="AB240" s="278">
        <f t="shared" si="116"/>
        <v>-1.3828405512125128</v>
      </c>
      <c r="AC240" s="279">
        <f t="shared" si="117"/>
        <v>-27.58437893547563</v>
      </c>
      <c r="AF240" s="278">
        <f t="shared" si="118"/>
        <v>51.592825050950324</v>
      </c>
      <c r="AG240" s="279">
        <f t="shared" si="119"/>
        <v>-99.974395288933351</v>
      </c>
      <c r="AI240">
        <f t="shared" si="120"/>
        <v>0</v>
      </c>
      <c r="AJ240">
        <f t="shared" si="125"/>
        <v>0</v>
      </c>
      <c r="AK240">
        <f t="shared" si="121"/>
        <v>0</v>
      </c>
      <c r="AL240">
        <f t="shared" si="122"/>
        <v>0</v>
      </c>
      <c r="AM240"/>
      <c r="AN240"/>
    </row>
    <row r="241" spans="2:40" x14ac:dyDescent="0.2">
      <c r="B241" s="280">
        <v>14371.75</v>
      </c>
      <c r="C241" s="270">
        <f t="shared" si="95"/>
        <v>11.781563798072392</v>
      </c>
      <c r="D241" s="271">
        <f t="shared" si="96"/>
        <v>1.4858157037013477</v>
      </c>
      <c r="E241" s="271">
        <f t="shared" si="97"/>
        <v>1.0002755725209489</v>
      </c>
      <c r="F241" s="272">
        <f t="shared" si="98"/>
        <v>2.3473783347168785E-2</v>
      </c>
      <c r="G241" s="271">
        <f t="shared" si="99"/>
        <v>1.0105209453895243</v>
      </c>
      <c r="H241" s="272">
        <f t="shared" si="100"/>
        <v>-0.14442661874457446</v>
      </c>
      <c r="I241" s="270">
        <f t="shared" si="101"/>
        <v>50575.79156637159</v>
      </c>
      <c r="J241" s="273">
        <f t="shared" si="102"/>
        <v>1.5707765544894301</v>
      </c>
      <c r="K241" s="281">
        <f t="shared" si="103"/>
        <v>7.6508645620672127</v>
      </c>
      <c r="L241" s="282">
        <f t="shared" si="104"/>
        <v>1.4397171043584471</v>
      </c>
      <c r="M241" s="270">
        <f t="shared" si="105"/>
        <v>1.0651184415437001</v>
      </c>
      <c r="N241" s="273">
        <f t="shared" si="106"/>
        <v>0.35148427779537106</v>
      </c>
      <c r="O241" s="270">
        <f t="shared" si="107"/>
        <v>3973.3553996977862</v>
      </c>
      <c r="P241" s="273">
        <f t="shared" si="108"/>
        <v>1.5705446503376048</v>
      </c>
      <c r="Q241" s="271">
        <f t="shared" si="109"/>
        <v>1.0096228987352416</v>
      </c>
      <c r="R241" s="272">
        <f t="shared" si="110"/>
        <v>0.13817641125430583</v>
      </c>
      <c r="S241" s="270">
        <f t="shared" si="111"/>
        <v>1.0000005061041002</v>
      </c>
      <c r="T241" s="273">
        <f t="shared" si="112"/>
        <v>1.0060853708019585E-3</v>
      </c>
      <c r="U241" s="274">
        <f t="shared" si="113"/>
        <v>1.0046249163638292</v>
      </c>
      <c r="V241" s="275">
        <f t="shared" si="114"/>
        <v>0.140081074651496</v>
      </c>
      <c r="W241" s="276">
        <f t="shared" si="115"/>
        <v>-11.649177825088605</v>
      </c>
      <c r="X241" s="277">
        <f t="shared" si="124"/>
        <v>-127.73482935263647</v>
      </c>
      <c r="Y241" s="299">
        <f t="shared" si="123"/>
        <v>52.265170647363533</v>
      </c>
      <c r="AB241" s="278">
        <f t="shared" si="116"/>
        <v>-1.3895765686993951</v>
      </c>
      <c r="AC241" s="279">
        <f t="shared" si="117"/>
        <v>-27.647719040689164</v>
      </c>
      <c r="AF241" s="278">
        <f t="shared" si="118"/>
        <v>51.543931350592544</v>
      </c>
      <c r="AG241" s="279">
        <f t="shared" si="119"/>
        <v>-100.08711031194731</v>
      </c>
      <c r="AI241">
        <f t="shared" si="120"/>
        <v>0</v>
      </c>
      <c r="AJ241">
        <f t="shared" si="125"/>
        <v>0</v>
      </c>
      <c r="AK241">
        <f t="shared" si="121"/>
        <v>0</v>
      </c>
      <c r="AL241">
        <f t="shared" si="122"/>
        <v>0</v>
      </c>
      <c r="AM241"/>
      <c r="AN241"/>
    </row>
    <row r="242" spans="2:40" x14ac:dyDescent="0.2">
      <c r="B242" s="280">
        <v>14454</v>
      </c>
      <c r="C242" s="270">
        <f t="shared" si="95"/>
        <v>11.848505687331404</v>
      </c>
      <c r="D242" s="271">
        <f t="shared" si="96"/>
        <v>1.4862969779485578</v>
      </c>
      <c r="E242" s="271">
        <f t="shared" si="97"/>
        <v>1.0002787353273541</v>
      </c>
      <c r="F242" s="272">
        <f t="shared" si="98"/>
        <v>2.3608074816236252E-2</v>
      </c>
      <c r="G242" s="271">
        <f t="shared" si="99"/>
        <v>1.0106410775958592</v>
      </c>
      <c r="H242" s="272">
        <f t="shared" si="100"/>
        <v>-0.14524163396443604</v>
      </c>
      <c r="I242" s="270">
        <f t="shared" si="101"/>
        <v>50865.238492091303</v>
      </c>
      <c r="J242" s="273">
        <f t="shared" si="102"/>
        <v>1.5707766670030681</v>
      </c>
      <c r="K242" s="281">
        <f t="shared" si="103"/>
        <v>7.6939047804833587</v>
      </c>
      <c r="L242" s="282">
        <f t="shared" si="104"/>
        <v>1.4404545631870245</v>
      </c>
      <c r="M242" s="270">
        <f t="shared" si="105"/>
        <v>1.0658428284992458</v>
      </c>
      <c r="N242" s="273">
        <f t="shared" si="106"/>
        <v>0.35333294999384751</v>
      </c>
      <c r="O242" s="270">
        <f t="shared" si="107"/>
        <v>3996.0950424680577</v>
      </c>
      <c r="P242" s="273">
        <f t="shared" si="108"/>
        <v>1.5705460824939455</v>
      </c>
      <c r="Q242" s="271">
        <f t="shared" si="109"/>
        <v>1.0097328258605349</v>
      </c>
      <c r="R242" s="272">
        <f t="shared" si="110"/>
        <v>0.13895708733431816</v>
      </c>
      <c r="S242" s="270">
        <f t="shared" si="111"/>
        <v>1.000000511913576</v>
      </c>
      <c r="T242" s="273">
        <f t="shared" si="112"/>
        <v>1.0118432266947835E-3</v>
      </c>
      <c r="U242" s="274">
        <f t="shared" si="113"/>
        <v>1.0046780385357934</v>
      </c>
      <c r="V242" s="275">
        <f t="shared" si="114"/>
        <v>0.14088059541643302</v>
      </c>
      <c r="W242" s="276">
        <f t="shared" si="115"/>
        <v>-11.704537278574351</v>
      </c>
      <c r="X242" s="277">
        <f t="shared" si="124"/>
        <v>-127.91089038197906</v>
      </c>
      <c r="Y242" s="299">
        <f t="shared" si="123"/>
        <v>52.089109618020942</v>
      </c>
      <c r="AB242" s="278">
        <f t="shared" si="116"/>
        <v>-1.3963238989483926</v>
      </c>
      <c r="AC242" s="279">
        <f t="shared" si="117"/>
        <v>-27.711393323479491</v>
      </c>
      <c r="AF242" s="278">
        <f t="shared" si="118"/>
        <v>51.4953192273558</v>
      </c>
      <c r="AG242" s="279">
        <f t="shared" si="119"/>
        <v>-100.19949705849956</v>
      </c>
      <c r="AI242">
        <f t="shared" si="120"/>
        <v>0</v>
      </c>
      <c r="AJ242">
        <f t="shared" si="125"/>
        <v>0</v>
      </c>
      <c r="AK242">
        <f t="shared" si="121"/>
        <v>0</v>
      </c>
      <c r="AL242">
        <f t="shared" si="122"/>
        <v>0</v>
      </c>
      <c r="AM242"/>
      <c r="AN242"/>
    </row>
    <row r="243" spans="2:40" x14ac:dyDescent="0.2">
      <c r="B243" s="280">
        <v>14622.5</v>
      </c>
      <c r="C243" s="270">
        <f t="shared" si="95"/>
        <v>11.985653422668731</v>
      </c>
      <c r="D243" s="271">
        <f t="shared" si="96"/>
        <v>1.4872661433395555</v>
      </c>
      <c r="E243" s="271">
        <f t="shared" si="97"/>
        <v>1.0002852710861405</v>
      </c>
      <c r="F243" s="272">
        <f t="shared" si="98"/>
        <v>2.3883185981678861E-2</v>
      </c>
      <c r="G243" s="271">
        <f t="shared" si="99"/>
        <v>1.0108892799100055</v>
      </c>
      <c r="H243" s="272">
        <f t="shared" si="100"/>
        <v>-0.14691069262178263</v>
      </c>
      <c r="I243" s="270">
        <f t="shared" si="101"/>
        <v>51458.208789768345</v>
      </c>
      <c r="J243" s="273">
        <f t="shared" si="102"/>
        <v>1.570776893549481</v>
      </c>
      <c r="K243" s="281">
        <f t="shared" si="103"/>
        <v>7.7820912048740984</v>
      </c>
      <c r="L243" s="282">
        <f t="shared" si="104"/>
        <v>1.4419398697354109</v>
      </c>
      <c r="M243" s="270">
        <f t="shared" si="105"/>
        <v>1.067338182372066</v>
      </c>
      <c r="N243" s="273">
        <f t="shared" si="106"/>
        <v>0.3571123299321059</v>
      </c>
      <c r="O243" s="270">
        <f t="shared" si="107"/>
        <v>4042.6802073174181</v>
      </c>
      <c r="P243" s="273">
        <f t="shared" si="108"/>
        <v>1.5705489661433201</v>
      </c>
      <c r="Q243" s="271">
        <f t="shared" si="109"/>
        <v>1.0099599471789276</v>
      </c>
      <c r="R243" s="272">
        <f t="shared" si="110"/>
        <v>0.14055587229126762</v>
      </c>
      <c r="S243" s="270">
        <f t="shared" si="111"/>
        <v>1.0000005239185843</v>
      </c>
      <c r="T243" s="273">
        <f t="shared" si="112"/>
        <v>1.0236389555783657E-3</v>
      </c>
      <c r="U243" s="274">
        <f t="shared" si="113"/>
        <v>1.0047878154064105</v>
      </c>
      <c r="V243" s="275">
        <f t="shared" si="114"/>
        <v>0.1425184035267226</v>
      </c>
      <c r="W243" s="276">
        <f t="shared" si="115"/>
        <v>-11.817118309480881</v>
      </c>
      <c r="X243" s="277">
        <f t="shared" si="124"/>
        <v>-128.27157997234048</v>
      </c>
      <c r="Y243" s="299">
        <f t="shared" si="123"/>
        <v>51.728420027659524</v>
      </c>
      <c r="AB243" s="278">
        <f t="shared" si="116"/>
        <v>-1.4101828788469806</v>
      </c>
      <c r="AC243" s="279">
        <f t="shared" si="117"/>
        <v>-27.84284702676575</v>
      </c>
      <c r="AF243" s="278">
        <f t="shared" si="118"/>
        <v>51.396597176347854</v>
      </c>
      <c r="AG243" s="279">
        <f t="shared" si="119"/>
        <v>-100.42873294557472</v>
      </c>
      <c r="AI243">
        <f t="shared" si="120"/>
        <v>0</v>
      </c>
      <c r="AJ243">
        <f t="shared" si="125"/>
        <v>0</v>
      </c>
      <c r="AK243">
        <f t="shared" si="121"/>
        <v>0</v>
      </c>
      <c r="AL243">
        <f t="shared" si="122"/>
        <v>0</v>
      </c>
      <c r="AM243"/>
      <c r="AN243"/>
    </row>
    <row r="244" spans="2:40" x14ac:dyDescent="0.2">
      <c r="B244" s="280">
        <v>14706.75</v>
      </c>
      <c r="C244" s="270">
        <f t="shared" si="95"/>
        <v>12.054231440000828</v>
      </c>
      <c r="D244" s="271">
        <f t="shared" si="96"/>
        <v>1.487742455759012</v>
      </c>
      <c r="E244" s="271">
        <f t="shared" si="97"/>
        <v>1.0002885673556587</v>
      </c>
      <c r="F244" s="272">
        <f t="shared" si="98"/>
        <v>2.4020740211038571E-2</v>
      </c>
      <c r="G244" s="271">
        <f t="shared" si="99"/>
        <v>1.0110144367117833</v>
      </c>
      <c r="H244" s="272">
        <f t="shared" si="100"/>
        <v>-0.14774491347524019</v>
      </c>
      <c r="I244" s="270">
        <f t="shared" si="101"/>
        <v>51754.693938607823</v>
      </c>
      <c r="J244" s="273">
        <f t="shared" si="102"/>
        <v>1.5707770048759757</v>
      </c>
      <c r="K244" s="281">
        <f t="shared" si="103"/>
        <v>7.8261907463777574</v>
      </c>
      <c r="L244" s="282">
        <f t="shared" si="104"/>
        <v>1.4426699697506564</v>
      </c>
      <c r="M244" s="270">
        <f t="shared" si="105"/>
        <v>1.0680915643622952</v>
      </c>
      <c r="N244" s="273">
        <f t="shared" si="106"/>
        <v>0.35899803801904784</v>
      </c>
      <c r="O244" s="270">
        <f t="shared" si="107"/>
        <v>4065.9727897544876</v>
      </c>
      <c r="P244" s="273">
        <f t="shared" si="108"/>
        <v>1.5705503831888299</v>
      </c>
      <c r="Q244" s="271">
        <f t="shared" si="109"/>
        <v>1.0100744756004676</v>
      </c>
      <c r="R244" s="272">
        <f t="shared" si="110"/>
        <v>0.14135499412614097</v>
      </c>
      <c r="S244" s="270">
        <f t="shared" si="111"/>
        <v>1.0000005299732659</v>
      </c>
      <c r="T244" s="273">
        <f t="shared" si="112"/>
        <v>1.0295368199135404E-3</v>
      </c>
      <c r="U244" s="274">
        <f t="shared" si="113"/>
        <v>1.0048431821932071</v>
      </c>
      <c r="V244" s="275">
        <f t="shared" si="114"/>
        <v>0.14333724872982609</v>
      </c>
      <c r="W244" s="276">
        <f t="shared" si="115"/>
        <v>-11.872997307719945</v>
      </c>
      <c r="X244" s="277">
        <f t="shared" si="124"/>
        <v>-128.45192093902352</v>
      </c>
      <c r="Y244" s="299">
        <f t="shared" si="123"/>
        <v>51.548079060976477</v>
      </c>
      <c r="AB244" s="278">
        <f t="shared" si="116"/>
        <v>-1.4171310133338566</v>
      </c>
      <c r="AC244" s="279">
        <f t="shared" si="117"/>
        <v>-27.909064870583496</v>
      </c>
      <c r="AF244" s="278">
        <f t="shared" si="118"/>
        <v>51.34766631259567</v>
      </c>
      <c r="AG244" s="279">
        <f t="shared" si="119"/>
        <v>-100.54285606844003</v>
      </c>
      <c r="AI244">
        <f t="shared" si="120"/>
        <v>0</v>
      </c>
      <c r="AJ244">
        <f t="shared" si="125"/>
        <v>0</v>
      </c>
      <c r="AK244">
        <f t="shared" si="121"/>
        <v>0</v>
      </c>
      <c r="AL244">
        <f t="shared" si="122"/>
        <v>0</v>
      </c>
      <c r="AM244"/>
      <c r="AN244"/>
    </row>
    <row r="245" spans="2:40" x14ac:dyDescent="0.2">
      <c r="B245" s="280">
        <v>14791</v>
      </c>
      <c r="C245" s="270">
        <f t="shared" si="95"/>
        <v>12.122812161177457</v>
      </c>
      <c r="D245" s="271">
        <f t="shared" si="96"/>
        <v>1.4882133791305663</v>
      </c>
      <c r="E245" s="271">
        <f t="shared" si="97"/>
        <v>1.0002918825516784</v>
      </c>
      <c r="F245" s="272">
        <f t="shared" si="98"/>
        <v>2.4158293531228593E-2</v>
      </c>
      <c r="G245" s="271">
        <f t="shared" si="99"/>
        <v>1.0111402969287453</v>
      </c>
      <c r="H245" s="272">
        <f t="shared" si="100"/>
        <v>-0.14857892723213478</v>
      </c>
      <c r="I245" s="270">
        <f t="shared" si="101"/>
        <v>52051.179087447948</v>
      </c>
      <c r="J245" s="273">
        <f t="shared" si="102"/>
        <v>1.570777114934232</v>
      </c>
      <c r="K245" s="281">
        <f t="shared" si="103"/>
        <v>7.8702944128493408</v>
      </c>
      <c r="L245" s="282">
        <f t="shared" si="104"/>
        <v>1.4433918874576732</v>
      </c>
      <c r="M245" s="270">
        <f t="shared" si="105"/>
        <v>1.0688487390119952</v>
      </c>
      <c r="N245" s="273">
        <f t="shared" si="106"/>
        <v>0.36088108111501688</v>
      </c>
      <c r="O245" s="270">
        <f t="shared" si="107"/>
        <v>4089.2653721996289</v>
      </c>
      <c r="P245" s="273">
        <f t="shared" si="108"/>
        <v>1.5705517840912695</v>
      </c>
      <c r="Q245" s="271">
        <f t="shared" si="109"/>
        <v>1.0101896489047328</v>
      </c>
      <c r="R245" s="272">
        <f t="shared" si="110"/>
        <v>0.14215393425285305</v>
      </c>
      <c r="S245" s="270">
        <f t="shared" si="111"/>
        <v>1.000000536062732</v>
      </c>
      <c r="T245" s="273">
        <f t="shared" si="112"/>
        <v>1.0354346841770909E-3</v>
      </c>
      <c r="U245" s="274">
        <f t="shared" si="113"/>
        <v>1.0048988678997228</v>
      </c>
      <c r="V245" s="275">
        <f t="shared" si="114"/>
        <v>0.14415605439941179</v>
      </c>
      <c r="W245" s="276">
        <f t="shared" si="115"/>
        <v>-11.928606455375911</v>
      </c>
      <c r="X245" s="277">
        <f t="shared" si="124"/>
        <v>-128.63225510356335</v>
      </c>
      <c r="Y245" s="299">
        <f t="shared" si="123"/>
        <v>51.367744896436648</v>
      </c>
      <c r="AB245" s="278">
        <f t="shared" si="116"/>
        <v>-1.4240918365434252</v>
      </c>
      <c r="AC245" s="279">
        <f t="shared" si="117"/>
        <v>-27.975598760729536</v>
      </c>
      <c r="AF245" s="278">
        <f t="shared" si="118"/>
        <v>51.299017988149274</v>
      </c>
      <c r="AG245" s="279">
        <f t="shared" si="119"/>
        <v>-100.65665634283381</v>
      </c>
      <c r="AI245">
        <f t="shared" si="120"/>
        <v>0</v>
      </c>
      <c r="AJ245">
        <f t="shared" si="125"/>
        <v>0</v>
      </c>
      <c r="AK245">
        <f t="shared" si="121"/>
        <v>0</v>
      </c>
      <c r="AL245">
        <f t="shared" si="122"/>
        <v>0</v>
      </c>
      <c r="AM245"/>
      <c r="AN245"/>
    </row>
    <row r="246" spans="2:40" x14ac:dyDescent="0.2">
      <c r="B246" s="280">
        <v>14877.25</v>
      </c>
      <c r="C246" s="270">
        <f t="shared" si="95"/>
        <v>12.193023664593692</v>
      </c>
      <c r="D246" s="271">
        <f t="shared" si="96"/>
        <v>1.4886899939570291</v>
      </c>
      <c r="E246" s="271">
        <f t="shared" si="97"/>
        <v>1.0002952960522915</v>
      </c>
      <c r="F246" s="272">
        <f t="shared" si="98"/>
        <v>2.4299111264910158E-2</v>
      </c>
      <c r="G246" s="271">
        <f t="shared" si="99"/>
        <v>1.0112698733119234</v>
      </c>
      <c r="H246" s="272">
        <f t="shared" si="100"/>
        <v>-0.14943252387548742</v>
      </c>
      <c r="I246" s="270">
        <f t="shared" si="101"/>
        <v>52354.702459406581</v>
      </c>
      <c r="J246" s="273">
        <f t="shared" si="102"/>
        <v>1.5707772263138875</v>
      </c>
      <c r="K246" s="281">
        <f t="shared" si="103"/>
        <v>7.9154492516542074</v>
      </c>
      <c r="L246" s="282">
        <f t="shared" si="104"/>
        <v>1.444122608727834</v>
      </c>
      <c r="M246" s="270">
        <f t="shared" si="105"/>
        <v>1.0696278085027444</v>
      </c>
      <c r="N246" s="273">
        <f t="shared" si="106"/>
        <v>0.36280605687494355</v>
      </c>
      <c r="O246" s="270">
        <f t="shared" si="107"/>
        <v>4113.1108942956025</v>
      </c>
      <c r="P246" s="273">
        <f t="shared" si="108"/>
        <v>1.5705532018134529</v>
      </c>
      <c r="Q246" s="271">
        <f t="shared" si="109"/>
        <v>1.0103082240907104</v>
      </c>
      <c r="R246" s="272">
        <f t="shared" si="110"/>
        <v>0.1429716510877834</v>
      </c>
      <c r="S246" s="270">
        <f t="shared" si="111"/>
        <v>1.0000005423327887</v>
      </c>
      <c r="T246" s="273">
        <f t="shared" si="112"/>
        <v>1.0414725570132238E-3</v>
      </c>
      <c r="U246" s="274">
        <f t="shared" si="113"/>
        <v>1.0049562059026584</v>
      </c>
      <c r="V246" s="275">
        <f t="shared" si="114"/>
        <v>0.14499425640598787</v>
      </c>
      <c r="W246" s="276">
        <f t="shared" si="115"/>
        <v>-11.98525960455482</v>
      </c>
      <c r="X246" s="277">
        <f t="shared" si="124"/>
        <v>-128.81685990569164</v>
      </c>
      <c r="Y246" s="299">
        <f t="shared" si="123"/>
        <v>51.183140094308357</v>
      </c>
      <c r="AB246" s="278">
        <f t="shared" si="116"/>
        <v>-1.4312312370407847</v>
      </c>
      <c r="AC246" s="279">
        <f t="shared" si="117"/>
        <v>-28.044030884241852</v>
      </c>
      <c r="AF246" s="278">
        <f t="shared" si="118"/>
        <v>51.249504239467726</v>
      </c>
      <c r="AG246" s="279">
        <f t="shared" si="119"/>
        <v>-100.77282902144978</v>
      </c>
      <c r="AI246">
        <f t="shared" si="120"/>
        <v>0</v>
      </c>
      <c r="AJ246">
        <f t="shared" si="125"/>
        <v>0</v>
      </c>
      <c r="AK246">
        <f t="shared" si="121"/>
        <v>0</v>
      </c>
      <c r="AL246">
        <f t="shared" si="122"/>
        <v>0</v>
      </c>
      <c r="AM246"/>
      <c r="AN246"/>
    </row>
    <row r="247" spans="2:40" x14ac:dyDescent="0.2">
      <c r="B247" s="280">
        <v>14963.5</v>
      </c>
      <c r="C247" s="270">
        <f t="shared" si="95"/>
        <v>12.26323790608137</v>
      </c>
      <c r="D247" s="271">
        <f t="shared" si="96"/>
        <v>1.48916115108973</v>
      </c>
      <c r="E247" s="271">
        <f t="shared" si="97"/>
        <v>1.0002987293882586</v>
      </c>
      <c r="F247" s="272">
        <f t="shared" si="98"/>
        <v>2.443992803472364E-2</v>
      </c>
      <c r="G247" s="271">
        <f t="shared" si="99"/>
        <v>1.0114001863447533</v>
      </c>
      <c r="H247" s="272">
        <f t="shared" si="100"/>
        <v>-0.15028590117857293</v>
      </c>
      <c r="I247" s="270">
        <f t="shared" si="101"/>
        <v>52658.22583136586</v>
      </c>
      <c r="J247" s="273">
        <f t="shared" si="102"/>
        <v>1.5707773364095527</v>
      </c>
      <c r="K247" s="281">
        <f t="shared" si="103"/>
        <v>7.9606082689925639</v>
      </c>
      <c r="L247" s="282">
        <f t="shared" si="104"/>
        <v>1.4448450398944008</v>
      </c>
      <c r="M247" s="270">
        <f t="shared" si="105"/>
        <v>1.0704108357551501</v>
      </c>
      <c r="N247" s="273">
        <f t="shared" si="106"/>
        <v>0.36472822343117867</v>
      </c>
      <c r="O247" s="270">
        <f t="shared" si="107"/>
        <v>4136.9564163997484</v>
      </c>
      <c r="P247" s="273">
        <f t="shared" si="108"/>
        <v>1.570554603192063</v>
      </c>
      <c r="Q247" s="271">
        <f t="shared" si="109"/>
        <v>1.0104274746713979</v>
      </c>
      <c r="R247" s="272">
        <f t="shared" si="110"/>
        <v>0.14378917545548431</v>
      </c>
      <c r="S247" s="270">
        <f t="shared" si="111"/>
        <v>1.0000005486393011</v>
      </c>
      <c r="T247" s="273">
        <f t="shared" si="112"/>
        <v>1.0475104297734208E-3</v>
      </c>
      <c r="U247" s="274">
        <f t="shared" si="113"/>
        <v>1.0050138781767026</v>
      </c>
      <c r="V247" s="275">
        <f t="shared" si="114"/>
        <v>0.1458324165046144</v>
      </c>
      <c r="W247" s="276">
        <f t="shared" si="115"/>
        <v>-12.041636859985365</v>
      </c>
      <c r="X247" s="277">
        <f t="shared" si="124"/>
        <v>-129.00145105067196</v>
      </c>
      <c r="Y247" s="299">
        <f t="shared" si="123"/>
        <v>50.99854894932804</v>
      </c>
      <c r="AB247" s="278">
        <f t="shared" si="116"/>
        <v>-1.4383843147113042</v>
      </c>
      <c r="AC247" s="279">
        <f t="shared" si="117"/>
        <v>-28.112776966619286</v>
      </c>
      <c r="AF247" s="278">
        <f t="shared" si="118"/>
        <v>51.200280061707701</v>
      </c>
      <c r="AG247" s="279">
        <f t="shared" si="119"/>
        <v>-100.88867408405268</v>
      </c>
      <c r="AI247">
        <f t="shared" si="120"/>
        <v>0</v>
      </c>
      <c r="AJ247">
        <f t="shared" si="125"/>
        <v>0</v>
      </c>
      <c r="AK247">
        <f t="shared" si="121"/>
        <v>0</v>
      </c>
      <c r="AL247">
        <f t="shared" si="122"/>
        <v>0</v>
      </c>
      <c r="AM247"/>
      <c r="AN247"/>
    </row>
    <row r="248" spans="2:40" x14ac:dyDescent="0.2">
      <c r="B248" s="280">
        <v>15049.75</v>
      </c>
      <c r="C248" s="270">
        <f t="shared" si="95"/>
        <v>12.333454838877049</v>
      </c>
      <c r="D248" s="271">
        <f t="shared" si="96"/>
        <v>1.489626943533048</v>
      </c>
      <c r="E248" s="271">
        <f t="shared" si="97"/>
        <v>1.0003021825593756</v>
      </c>
      <c r="F248" s="272">
        <f t="shared" si="98"/>
        <v>2.4580743835094385E-2</v>
      </c>
      <c r="G248" s="271">
        <f t="shared" si="99"/>
        <v>1.0115312357425323</v>
      </c>
      <c r="H248" s="272">
        <f t="shared" si="100"/>
        <v>-0.15113905798345495</v>
      </c>
      <c r="I248" s="270">
        <f t="shared" si="101"/>
        <v>52961.749203325766</v>
      </c>
      <c r="J248" s="273">
        <f t="shared" si="102"/>
        <v>1.5707774452433032</v>
      </c>
      <c r="K248" s="281">
        <f t="shared" si="103"/>
        <v>8.0057713941534967</v>
      </c>
      <c r="L248" s="282">
        <f t="shared" si="104"/>
        <v>1.44555932049824</v>
      </c>
      <c r="M248" s="270">
        <f t="shared" si="105"/>
        <v>1.0711978120900441</v>
      </c>
      <c r="N248" s="273">
        <f t="shared" si="106"/>
        <v>0.36664757275602744</v>
      </c>
      <c r="O248" s="270">
        <f t="shared" si="107"/>
        <v>4160.8019385119251</v>
      </c>
      <c r="P248" s="273">
        <f t="shared" si="108"/>
        <v>1.570555988508094</v>
      </c>
      <c r="Q248" s="271">
        <f t="shared" si="109"/>
        <v>1.0105474004076935</v>
      </c>
      <c r="R248" s="272">
        <f t="shared" si="110"/>
        <v>0.14460650633150862</v>
      </c>
      <c r="S248" s="270">
        <f t="shared" si="111"/>
        <v>1.0000005549822695</v>
      </c>
      <c r="T248" s="273">
        <f t="shared" si="112"/>
        <v>1.0535483024572423E-3</v>
      </c>
      <c r="U248" s="274">
        <f t="shared" si="113"/>
        <v>1.0050718847371964</v>
      </c>
      <c r="V248" s="275">
        <f t="shared" si="114"/>
        <v>0.14667053445497658</v>
      </c>
      <c r="W248" s="276">
        <f t="shared" si="115"/>
        <v>-12.097741626617491</v>
      </c>
      <c r="X248" s="277">
        <f t="shared" si="124"/>
        <v>-129.18602533367735</v>
      </c>
      <c r="Y248" s="299">
        <f t="shared" si="123"/>
        <v>50.81397466632265</v>
      </c>
      <c r="AB248" s="278">
        <f t="shared" si="116"/>
        <v>-1.4455512474690466</v>
      </c>
      <c r="AC248" s="279">
        <f t="shared" si="117"/>
        <v>-28.181828554070936</v>
      </c>
      <c r="AF248" s="278">
        <f t="shared" si="118"/>
        <v>51.151342227833318</v>
      </c>
      <c r="AG248" s="279">
        <f t="shared" si="119"/>
        <v>-101.0041967796064</v>
      </c>
      <c r="AI248">
        <f t="shared" si="120"/>
        <v>0</v>
      </c>
      <c r="AJ248">
        <f t="shared" si="125"/>
        <v>0</v>
      </c>
      <c r="AK248">
        <f t="shared" si="121"/>
        <v>0</v>
      </c>
      <c r="AL248">
        <f t="shared" si="122"/>
        <v>0</v>
      </c>
      <c r="AM248"/>
      <c r="AN248"/>
    </row>
    <row r="249" spans="2:40" x14ac:dyDescent="0.2">
      <c r="B249" s="280">
        <v>15136</v>
      </c>
      <c r="C249" s="270">
        <f t="shared" si="95"/>
        <v>12.403674417274413</v>
      </c>
      <c r="D249" s="271">
        <f t="shared" si="96"/>
        <v>1.4900874621947324</v>
      </c>
      <c r="E249" s="271">
        <f t="shared" si="97"/>
        <v>1.000305655565437</v>
      </c>
      <c r="F249" s="272">
        <f t="shared" si="98"/>
        <v>2.4721558660447951E-2</v>
      </c>
      <c r="G249" s="271">
        <f t="shared" si="99"/>
        <v>1.0116630212190976</v>
      </c>
      <c r="H249" s="272">
        <f t="shared" si="100"/>
        <v>-0.1519919931340793</v>
      </c>
      <c r="I249" s="270">
        <f t="shared" si="101"/>
        <v>53265.27257528629</v>
      </c>
      <c r="J249" s="273">
        <f t="shared" si="102"/>
        <v>1.5707775528367114</v>
      </c>
      <c r="K249" s="281">
        <f t="shared" si="103"/>
        <v>8.050938558006397</v>
      </c>
      <c r="L249" s="282">
        <f t="shared" si="104"/>
        <v>1.4462655869825194</v>
      </c>
      <c r="M249" s="270">
        <f t="shared" si="105"/>
        <v>1.0719887288100372</v>
      </c>
      <c r="N249" s="273">
        <f t="shared" si="106"/>
        <v>0.36856409692833597</v>
      </c>
      <c r="O249" s="270">
        <f t="shared" si="107"/>
        <v>4184.6474606319962</v>
      </c>
      <c r="P249" s="273">
        <f t="shared" si="108"/>
        <v>1.5705573580361361</v>
      </c>
      <c r="Q249" s="271">
        <f t="shared" si="109"/>
        <v>1.0106680010592555</v>
      </c>
      <c r="R249" s="272">
        <f t="shared" si="110"/>
        <v>0.14542364269292787</v>
      </c>
      <c r="S249" s="270">
        <f t="shared" si="111"/>
        <v>1.0000005613616938</v>
      </c>
      <c r="T249" s="273">
        <f t="shared" si="112"/>
        <v>1.0595861750642471E-3</v>
      </c>
      <c r="U249" s="274">
        <f t="shared" si="113"/>
        <v>1.0051302255995644</v>
      </c>
      <c r="V249" s="275">
        <f t="shared" si="114"/>
        <v>0.14750861001680587</v>
      </c>
      <c r="W249" s="276">
        <f t="shared" si="115"/>
        <v>-12.153577246821856</v>
      </c>
      <c r="X249" s="277">
        <f t="shared" si="124"/>
        <v>-129.37057961342379</v>
      </c>
      <c r="Y249" s="299">
        <f t="shared" si="123"/>
        <v>50.629420386576214</v>
      </c>
      <c r="AB249" s="278">
        <f t="shared" si="116"/>
        <v>-1.4527322043971496</v>
      </c>
      <c r="AC249" s="279">
        <f t="shared" si="117"/>
        <v>-28.251177376366456</v>
      </c>
      <c r="AF249" s="278">
        <f t="shared" si="118"/>
        <v>51.102687564557044</v>
      </c>
      <c r="AG249" s="279">
        <f t="shared" si="119"/>
        <v>-101.11940223705732</v>
      </c>
      <c r="AI249">
        <f t="shared" si="120"/>
        <v>0</v>
      </c>
      <c r="AJ249">
        <f t="shared" si="125"/>
        <v>0</v>
      </c>
      <c r="AK249">
        <f t="shared" si="121"/>
        <v>0</v>
      </c>
      <c r="AL249">
        <f t="shared" si="122"/>
        <v>0</v>
      </c>
      <c r="AM249"/>
      <c r="AN249"/>
    </row>
    <row r="250" spans="2:40" x14ac:dyDescent="0.2">
      <c r="B250" s="280">
        <v>15224</v>
      </c>
      <c r="C250" s="270">
        <f t="shared" si="95"/>
        <v>12.475321421051314</v>
      </c>
      <c r="D250" s="271">
        <f t="shared" si="96"/>
        <v>1.4905519815414874</v>
      </c>
      <c r="E250" s="271">
        <f t="shared" si="97"/>
        <v>1.0003092194807734</v>
      </c>
      <c r="F250" s="272">
        <f t="shared" si="98"/>
        <v>2.4865229587523855E-2</v>
      </c>
      <c r="G250" s="271">
        <f t="shared" si="99"/>
        <v>1.011798238938135</v>
      </c>
      <c r="H250" s="272">
        <f t="shared" si="100"/>
        <v>-0.15286200457185112</v>
      </c>
      <c r="I250" s="270">
        <f t="shared" si="101"/>
        <v>53574.954392475636</v>
      </c>
      <c r="J250" s="273">
        <f t="shared" si="102"/>
        <v>1.5707776613567008</v>
      </c>
      <c r="K250" s="281">
        <f t="shared" si="103"/>
        <v>8.0970262493794802</v>
      </c>
      <c r="L250" s="282">
        <f t="shared" si="104"/>
        <v>1.4469780622677031</v>
      </c>
      <c r="M250" s="270">
        <f t="shared" si="105"/>
        <v>1.0727997451934954</v>
      </c>
      <c r="N250" s="273">
        <f t="shared" si="106"/>
        <v>0.37051658727316933</v>
      </c>
      <c r="O250" s="270">
        <f t="shared" si="107"/>
        <v>4208.9768049480072</v>
      </c>
      <c r="P250" s="273">
        <f t="shared" si="108"/>
        <v>1.5705587393583889</v>
      </c>
      <c r="Q250" s="271">
        <f t="shared" si="109"/>
        <v>1.0107917440249774</v>
      </c>
      <c r="R250" s="272">
        <f t="shared" si="110"/>
        <v>0.1462571570982307</v>
      </c>
      <c r="S250" s="270">
        <f t="shared" si="111"/>
        <v>1.0000005679081287</v>
      </c>
      <c r="T250" s="273">
        <f t="shared" si="112"/>
        <v>1.0657465551517677E-3</v>
      </c>
      <c r="U250" s="274">
        <f t="shared" si="113"/>
        <v>1.0051900947507595</v>
      </c>
      <c r="V250" s="275">
        <f t="shared" si="114"/>
        <v>0.14836364607372327</v>
      </c>
      <c r="W250" s="276">
        <f t="shared" si="115"/>
        <v>-12.210271774793583</v>
      </c>
      <c r="X250" s="277">
        <f t="shared" si="124"/>
        <v>-129.55885466182812</v>
      </c>
      <c r="Y250" s="299">
        <f t="shared" si="123"/>
        <v>50.441145338171879</v>
      </c>
      <c r="AB250" s="278">
        <f t="shared" si="116"/>
        <v>-1.4600734823251815</v>
      </c>
      <c r="AC250" s="279">
        <f t="shared" si="117"/>
        <v>-28.322231223554432</v>
      </c>
      <c r="AF250" s="278">
        <f t="shared" si="118"/>
        <v>51.053334314513357</v>
      </c>
      <c r="AG250" s="279">
        <f t="shared" si="119"/>
        <v>-101.23662343827365</v>
      </c>
      <c r="AI250">
        <f t="shared" si="120"/>
        <v>0</v>
      </c>
      <c r="AJ250">
        <f t="shared" si="125"/>
        <v>0</v>
      </c>
      <c r="AK250">
        <f t="shared" si="121"/>
        <v>0</v>
      </c>
      <c r="AL250">
        <f t="shared" si="122"/>
        <v>0</v>
      </c>
      <c r="AM250"/>
      <c r="AN250"/>
    </row>
    <row r="251" spans="2:40" x14ac:dyDescent="0.2">
      <c r="B251" s="280">
        <v>15312</v>
      </c>
      <c r="C251" s="270">
        <f t="shared" si="95"/>
        <v>12.546971085987414</v>
      </c>
      <c r="D251" s="271">
        <f t="shared" si="96"/>
        <v>1.4910111956971173</v>
      </c>
      <c r="E251" s="271">
        <f t="shared" si="97"/>
        <v>1.0003128040436804</v>
      </c>
      <c r="F251" s="272">
        <f t="shared" si="98"/>
        <v>2.5008899487892408E-2</v>
      </c>
      <c r="G251" s="271">
        <f t="shared" si="99"/>
        <v>1.0119342223023875</v>
      </c>
      <c r="H251" s="272">
        <f t="shared" si="100"/>
        <v>-0.15373178284416739</v>
      </c>
      <c r="I251" s="270">
        <f t="shared" si="101"/>
        <v>53884.636209665608</v>
      </c>
      <c r="J251" s="273">
        <f t="shared" si="102"/>
        <v>1.570777768629334</v>
      </c>
      <c r="K251" s="281">
        <f t="shared" si="103"/>
        <v>8.143118004446853</v>
      </c>
      <c r="L251" s="282">
        <f t="shared" si="104"/>
        <v>1.4476824723881332</v>
      </c>
      <c r="M251" s="270">
        <f t="shared" si="105"/>
        <v>1.0736148451361038</v>
      </c>
      <c r="N251" s="273">
        <f t="shared" si="106"/>
        <v>0.37246612033731119</v>
      </c>
      <c r="O251" s="270">
        <f t="shared" si="107"/>
        <v>4233.3061492719571</v>
      </c>
      <c r="P251" s="273">
        <f t="shared" si="108"/>
        <v>1.5705601048033753</v>
      </c>
      <c r="Q251" s="271">
        <f t="shared" si="109"/>
        <v>1.0109161890622838</v>
      </c>
      <c r="R251" s="272">
        <f t="shared" si="110"/>
        <v>0.14709046686903876</v>
      </c>
      <c r="S251" s="270">
        <f t="shared" si="111"/>
        <v>1.0000005744925138</v>
      </c>
      <c r="T251" s="273">
        <f t="shared" si="112"/>
        <v>1.0719069351583976E-3</v>
      </c>
      <c r="U251" s="274">
        <f t="shared" si="113"/>
        <v>1.0052503119400347</v>
      </c>
      <c r="V251" s="275">
        <f t="shared" si="114"/>
        <v>0.14921863749938016</v>
      </c>
      <c r="W251" s="276">
        <f t="shared" si="115"/>
        <v>-12.266692960295302</v>
      </c>
      <c r="X251" s="277">
        <f t="shared" si="124"/>
        <v>-129.74710247614885</v>
      </c>
      <c r="Y251" s="299">
        <f t="shared" si="123"/>
        <v>50.252897523851146</v>
      </c>
      <c r="AB251" s="278">
        <f t="shared" si="116"/>
        <v>-1.4674296880738242</v>
      </c>
      <c r="AC251" s="279">
        <f t="shared" si="117"/>
        <v>-28.393577659473166</v>
      </c>
      <c r="AF251" s="278">
        <f t="shared" si="118"/>
        <v>51.004269334760281</v>
      </c>
      <c r="AG251" s="279">
        <f t="shared" si="119"/>
        <v>-101.35352481667566</v>
      </c>
      <c r="AI251">
        <f t="shared" si="120"/>
        <v>0</v>
      </c>
      <c r="AJ251">
        <f t="shared" si="125"/>
        <v>0</v>
      </c>
      <c r="AK251">
        <f t="shared" si="121"/>
        <v>0</v>
      </c>
      <c r="AL251">
        <f t="shared" si="122"/>
        <v>0</v>
      </c>
      <c r="AM251"/>
      <c r="AN251"/>
    </row>
    <row r="252" spans="2:40" x14ac:dyDescent="0.2">
      <c r="B252" s="280">
        <v>15400</v>
      </c>
      <c r="C252" s="270">
        <f t="shared" si="95"/>
        <v>12.618623366751818</v>
      </c>
      <c r="D252" s="271">
        <f t="shared" si="96"/>
        <v>1.4914651948396171</v>
      </c>
      <c r="E252" s="271">
        <f t="shared" si="97"/>
        <v>1.0003164092539358</v>
      </c>
      <c r="F252" s="272">
        <f t="shared" si="98"/>
        <v>2.5152568355633696E-2</v>
      </c>
      <c r="G252" s="271">
        <f t="shared" si="99"/>
        <v>1.0120709710032354</v>
      </c>
      <c r="H252" s="272">
        <f t="shared" si="100"/>
        <v>-0.15460132672928065</v>
      </c>
      <c r="I252" s="270">
        <f t="shared" si="101"/>
        <v>54194.318026856177</v>
      </c>
      <c r="J252" s="273">
        <f t="shared" si="102"/>
        <v>1.5707778746759944</v>
      </c>
      <c r="K252" s="281">
        <f t="shared" si="103"/>
        <v>8.1892137545928456</v>
      </c>
      <c r="L252" s="282">
        <f t="shared" si="104"/>
        <v>1.4483789528312883</v>
      </c>
      <c r="M252" s="270">
        <f t="shared" si="105"/>
        <v>1.0744340193441069</v>
      </c>
      <c r="N252" s="273">
        <f t="shared" si="106"/>
        <v>0.37441268804903277</v>
      </c>
      <c r="O252" s="270">
        <f t="shared" si="107"/>
        <v>4257.6354936037096</v>
      </c>
      <c r="P252" s="273">
        <f t="shared" si="108"/>
        <v>1.5705614546432771</v>
      </c>
      <c r="Q252" s="271">
        <f t="shared" si="109"/>
        <v>1.0110413359119288</v>
      </c>
      <c r="R252" s="272">
        <f t="shared" si="110"/>
        <v>0.1479235709238203</v>
      </c>
      <c r="S252" s="270">
        <f t="shared" si="111"/>
        <v>1.0000005811148494</v>
      </c>
      <c r="T252" s="273">
        <f t="shared" si="112"/>
        <v>1.0780673150836691E-3</v>
      </c>
      <c r="U252" s="274">
        <f t="shared" si="113"/>
        <v>1.0053108771840438</v>
      </c>
      <c r="V252" s="275">
        <f t="shared" si="114"/>
        <v>0.15007358403873394</v>
      </c>
      <c r="W252" s="276">
        <f t="shared" si="115"/>
        <v>-12.322844161292588</v>
      </c>
      <c r="X252" s="277">
        <f t="shared" si="124"/>
        <v>-129.93531991481825</v>
      </c>
      <c r="Y252" s="299">
        <f t="shared" si="123"/>
        <v>50.064680085181749</v>
      </c>
      <c r="AB252" s="278">
        <f t="shared" si="116"/>
        <v>-1.4748009746897837</v>
      </c>
      <c r="AC252" s="279">
        <f t="shared" si="117"/>
        <v>-28.465208460011137</v>
      </c>
      <c r="AF252" s="278">
        <f t="shared" si="118"/>
        <v>50.955489420378953</v>
      </c>
      <c r="AG252" s="279">
        <f t="shared" si="119"/>
        <v>-101.47011145480715</v>
      </c>
      <c r="AI252">
        <f t="shared" si="120"/>
        <v>0</v>
      </c>
      <c r="AJ252">
        <f t="shared" si="125"/>
        <v>0</v>
      </c>
      <c r="AK252">
        <f t="shared" si="121"/>
        <v>0</v>
      </c>
      <c r="AL252">
        <f t="shared" si="122"/>
        <v>0</v>
      </c>
      <c r="AM252"/>
      <c r="AN252"/>
    </row>
    <row r="253" spans="2:40" x14ac:dyDescent="0.2">
      <c r="B253" s="280">
        <v>15488</v>
      </c>
      <c r="C253" s="270">
        <f t="shared" si="95"/>
        <v>12.69027821903579</v>
      </c>
      <c r="D253" s="271">
        <f t="shared" si="96"/>
        <v>1.4919140671189552</v>
      </c>
      <c r="E253" s="271">
        <f t="shared" si="97"/>
        <v>1.0003200351113168</v>
      </c>
      <c r="F253" s="272">
        <f t="shared" si="98"/>
        <v>2.5296236184828045E-2</v>
      </c>
      <c r="G253" s="271">
        <f t="shared" si="99"/>
        <v>1.0122084847304893</v>
      </c>
      <c r="H253" s="272">
        <f t="shared" si="100"/>
        <v>-0.15547063500751948</v>
      </c>
      <c r="I253" s="270">
        <f t="shared" si="101"/>
        <v>54503.999844047357</v>
      </c>
      <c r="J253" s="273">
        <f t="shared" si="102"/>
        <v>1.5707779795175791</v>
      </c>
      <c r="K253" s="281">
        <f t="shared" si="103"/>
        <v>8.2353134327321609</v>
      </c>
      <c r="L253" s="282">
        <f t="shared" si="104"/>
        <v>1.449067636082086</v>
      </c>
      <c r="M253" s="270">
        <f t="shared" si="105"/>
        <v>1.0752572585056877</v>
      </c>
      <c r="N253" s="273">
        <f t="shared" si="106"/>
        <v>0.37635628245102959</v>
      </c>
      <c r="O253" s="270">
        <f t="shared" si="107"/>
        <v>4281.964837943131</v>
      </c>
      <c r="P253" s="273">
        <f t="shared" si="108"/>
        <v>1.5705627891440899</v>
      </c>
      <c r="Q253" s="271">
        <f t="shared" si="109"/>
        <v>1.0111671843133339</v>
      </c>
      <c r="R253" s="272">
        <f t="shared" si="110"/>
        <v>0.14875646818271987</v>
      </c>
      <c r="S253" s="270">
        <f t="shared" si="111"/>
        <v>1.0000005877751352</v>
      </c>
      <c r="T253" s="273">
        <f t="shared" si="112"/>
        <v>1.0842276949271147E-3</v>
      </c>
      <c r="U253" s="274">
        <f t="shared" si="113"/>
        <v>1.0053717904995316</v>
      </c>
      <c r="V253" s="275">
        <f t="shared" si="114"/>
        <v>0.15092848543679296</v>
      </c>
      <c r="W253" s="276">
        <f t="shared" si="115"/>
        <v>-12.378728674130478</v>
      </c>
      <c r="X253" s="277">
        <f t="shared" si="124"/>
        <v>-130.12350389875553</v>
      </c>
      <c r="Y253" s="299">
        <f t="shared" si="123"/>
        <v>49.87649610124447</v>
      </c>
      <c r="AB253" s="278">
        <f t="shared" si="116"/>
        <v>-1.4821874868818676</v>
      </c>
      <c r="AC253" s="279">
        <f t="shared" si="117"/>
        <v>-28.537115579619066</v>
      </c>
      <c r="AF253" s="278">
        <f t="shared" si="118"/>
        <v>50.906991419733146</v>
      </c>
      <c r="AG253" s="279">
        <f t="shared" si="119"/>
        <v>-101.58638831913649</v>
      </c>
      <c r="AI253">
        <f t="shared" si="120"/>
        <v>0</v>
      </c>
      <c r="AJ253">
        <f t="shared" si="125"/>
        <v>0</v>
      </c>
      <c r="AK253">
        <f t="shared" si="121"/>
        <v>0</v>
      </c>
      <c r="AL253">
        <f t="shared" si="122"/>
        <v>0</v>
      </c>
      <c r="AM253"/>
      <c r="AN253"/>
    </row>
    <row r="254" spans="2:40" x14ac:dyDescent="0.2">
      <c r="B254" s="280">
        <v>15578.25</v>
      </c>
      <c r="C254" s="270">
        <f t="shared" si="95"/>
        <v>12.763767781227324</v>
      </c>
      <c r="D254" s="271">
        <f t="shared" si="96"/>
        <v>1.492369181342339</v>
      </c>
      <c r="E254" s="271">
        <f t="shared" si="97"/>
        <v>1.0003237751207819</v>
      </c>
      <c r="F254" s="272">
        <f t="shared" si="98"/>
        <v>2.5443576254282858E-2</v>
      </c>
      <c r="G254" s="271">
        <f t="shared" si="99"/>
        <v>1.0123503087241084</v>
      </c>
      <c r="H254" s="272">
        <f t="shared" si="100"/>
        <v>-0.15636192392248111</v>
      </c>
      <c r="I254" s="270">
        <f t="shared" si="101"/>
        <v>54821.599662246881</v>
      </c>
      <c r="J254" s="273">
        <f t="shared" si="102"/>
        <v>1.5707780858094782</v>
      </c>
      <c r="K254" s="281">
        <f t="shared" si="103"/>
        <v>8.2825958070432453</v>
      </c>
      <c r="L254" s="282">
        <f t="shared" si="104"/>
        <v>1.4497659646343453</v>
      </c>
      <c r="M254" s="270">
        <f t="shared" si="105"/>
        <v>1.0761057588052936</v>
      </c>
      <c r="N254" s="273">
        <f t="shared" si="106"/>
        <v>0.37834647449809888</v>
      </c>
      <c r="O254" s="270">
        <f t="shared" si="107"/>
        <v>4306.9162393899705</v>
      </c>
      <c r="P254" s="273">
        <f t="shared" si="108"/>
        <v>1.5705641421055732</v>
      </c>
      <c r="Q254" s="271">
        <f t="shared" si="109"/>
        <v>1.0112969788423578</v>
      </c>
      <c r="R254" s="272">
        <f t="shared" si="110"/>
        <v>0.14961044518619454</v>
      </c>
      <c r="S254" s="270">
        <f t="shared" si="111"/>
        <v>1.0000005946451305</v>
      </c>
      <c r="T254" s="273">
        <f t="shared" si="112"/>
        <v>1.0905455843969857E-3</v>
      </c>
      <c r="U254" s="274">
        <f t="shared" si="113"/>
        <v>1.0054346228099647</v>
      </c>
      <c r="V254" s="275">
        <f t="shared" si="114"/>
        <v>0.15180519795485531</v>
      </c>
      <c r="W254" s="276">
        <f t="shared" si="115"/>
        <v>-12.435768438526907</v>
      </c>
      <c r="X254" s="277">
        <f t="shared" si="124"/>
        <v>-130.31646149514106</v>
      </c>
      <c r="Y254" s="299">
        <f t="shared" si="123"/>
        <v>49.683538504858944</v>
      </c>
      <c r="AB254" s="278">
        <f t="shared" si="116"/>
        <v>-1.4897788163449821</v>
      </c>
      <c r="AC254" s="279">
        <f t="shared" si="117"/>
        <v>-28.611139995655915</v>
      </c>
      <c r="AF254" s="278">
        <f t="shared" si="118"/>
        <v>50.857542984799835</v>
      </c>
      <c r="AG254" s="279">
        <f t="shared" si="119"/>
        <v>-101.70532149948518</v>
      </c>
      <c r="AI254">
        <f t="shared" si="120"/>
        <v>0</v>
      </c>
      <c r="AJ254">
        <f t="shared" si="125"/>
        <v>0</v>
      </c>
      <c r="AK254">
        <f t="shared" si="121"/>
        <v>0</v>
      </c>
      <c r="AL254">
        <f t="shared" si="122"/>
        <v>0</v>
      </c>
      <c r="AM254"/>
      <c r="AN254"/>
    </row>
    <row r="255" spans="2:40" x14ac:dyDescent="0.2">
      <c r="B255" s="280">
        <v>15668.5</v>
      </c>
      <c r="C255" s="270">
        <f t="shared" si="95"/>
        <v>12.837259956895096</v>
      </c>
      <c r="D255" s="271">
        <f t="shared" si="96"/>
        <v>1.4928190846808265</v>
      </c>
      <c r="E255" s="271">
        <f t="shared" si="97"/>
        <v>1.000327536846209</v>
      </c>
      <c r="F255" s="272">
        <f t="shared" si="98"/>
        <v>2.559091521879343E-2</v>
      </c>
      <c r="G255" s="271">
        <f t="shared" si="99"/>
        <v>1.0124929366990225</v>
      </c>
      <c r="H255" s="272">
        <f t="shared" si="100"/>
        <v>-0.15725296243672954</v>
      </c>
      <c r="I255" s="270">
        <f t="shared" si="101"/>
        <v>55139.199480447023</v>
      </c>
      <c r="J255" s="273">
        <f t="shared" si="102"/>
        <v>1.5707781908769023</v>
      </c>
      <c r="K255" s="281">
        <f t="shared" si="103"/>
        <v>8.3298821746128535</v>
      </c>
      <c r="L255" s="282">
        <f t="shared" si="104"/>
        <v>1.4504563650956932</v>
      </c>
      <c r="M255" s="270">
        <f t="shared" si="105"/>
        <v>1.0769585146877672</v>
      </c>
      <c r="N255" s="273">
        <f t="shared" si="106"/>
        <v>0.38033352266270926</v>
      </c>
      <c r="O255" s="270">
        <f t="shared" si="107"/>
        <v>4331.8676408446017</v>
      </c>
      <c r="P255" s="273">
        <f t="shared" si="108"/>
        <v>1.5705654794810375</v>
      </c>
      <c r="Q255" s="271">
        <f t="shared" si="109"/>
        <v>1.0114275106971264</v>
      </c>
      <c r="R255" s="272">
        <f t="shared" si="110"/>
        <v>0.15046420238864855</v>
      </c>
      <c r="S255" s="270">
        <f t="shared" si="111"/>
        <v>1.0000006015550416</v>
      </c>
      <c r="T255" s="273">
        <f t="shared" si="112"/>
        <v>1.0968634737797969E-3</v>
      </c>
      <c r="U255" s="274">
        <f t="shared" si="113"/>
        <v>1.0054978212544987</v>
      </c>
      <c r="V255" s="275">
        <f t="shared" si="114"/>
        <v>0.15268186245066429</v>
      </c>
      <c r="W255" s="276">
        <f t="shared" si="115"/>
        <v>-12.492534533102154</v>
      </c>
      <c r="X255" s="277">
        <f t="shared" si="124"/>
        <v>-130.5093775395421</v>
      </c>
      <c r="Y255" s="299">
        <f t="shared" si="123"/>
        <v>49.490622460457899</v>
      </c>
      <c r="AB255" s="278">
        <f t="shared" si="116"/>
        <v>-1.4973864425186587</v>
      </c>
      <c r="AC255" s="279">
        <f t="shared" si="117"/>
        <v>-28.685438456488143</v>
      </c>
      <c r="AF255" s="278">
        <f t="shared" si="118"/>
        <v>50.80838451639827</v>
      </c>
      <c r="AG255" s="279">
        <f t="shared" si="119"/>
        <v>-101.82393908305393</v>
      </c>
      <c r="AI255">
        <f t="shared" si="120"/>
        <v>0</v>
      </c>
      <c r="AJ255">
        <f t="shared" si="125"/>
        <v>0</v>
      </c>
      <c r="AK255">
        <f t="shared" si="121"/>
        <v>0</v>
      </c>
      <c r="AL255">
        <f t="shared" si="122"/>
        <v>0</v>
      </c>
      <c r="AM255"/>
      <c r="AN255"/>
    </row>
    <row r="256" spans="2:40" x14ac:dyDescent="0.2">
      <c r="B256" s="280">
        <v>15758.75</v>
      </c>
      <c r="C256" s="270">
        <f t="shared" si="95"/>
        <v>12.910754701408857</v>
      </c>
      <c r="D256" s="271">
        <f t="shared" si="96"/>
        <v>1.4932638659399298</v>
      </c>
      <c r="E256" s="271">
        <f t="shared" si="97"/>
        <v>1.0003313202873534</v>
      </c>
      <c r="F256" s="272">
        <f t="shared" si="98"/>
        <v>2.5738253071975175E-2</v>
      </c>
      <c r="G256" s="271">
        <f t="shared" si="99"/>
        <v>1.0126363683155142</v>
      </c>
      <c r="H256" s="272">
        <f t="shared" si="100"/>
        <v>-0.15814374924149097</v>
      </c>
      <c r="I256" s="270">
        <f t="shared" si="101"/>
        <v>55456.799298647762</v>
      </c>
      <c r="J256" s="273">
        <f t="shared" si="102"/>
        <v>1.5707782947408888</v>
      </c>
      <c r="K256" s="281">
        <f t="shared" si="103"/>
        <v>8.3771724678191166</v>
      </c>
      <c r="L256" s="282">
        <f t="shared" si="104"/>
        <v>1.4511389710678289</v>
      </c>
      <c r="M256" s="270">
        <f t="shared" si="105"/>
        <v>1.0778155160521963</v>
      </c>
      <c r="N256" s="273">
        <f t="shared" si="106"/>
        <v>0.38231741873458247</v>
      </c>
      <c r="O256" s="270">
        <f t="shared" si="107"/>
        <v>4356.8190423068945</v>
      </c>
      <c r="P256" s="273">
        <f t="shared" si="108"/>
        <v>1.5705668015382657</v>
      </c>
      <c r="Q256" s="271">
        <f t="shared" si="109"/>
        <v>1.0115587795922054</v>
      </c>
      <c r="R256" s="272">
        <f t="shared" si="110"/>
        <v>0.15131773863080389</v>
      </c>
      <c r="S256" s="270">
        <f t="shared" si="111"/>
        <v>1.0000006085048685</v>
      </c>
      <c r="T256" s="273">
        <f t="shared" si="112"/>
        <v>1.1031813630750437E-3</v>
      </c>
      <c r="U256" s="274">
        <f t="shared" si="113"/>
        <v>1.0055613858514934</v>
      </c>
      <c r="V256" s="275">
        <f t="shared" si="114"/>
        <v>0.15355847864933411</v>
      </c>
      <c r="W256" s="276">
        <f t="shared" si="115"/>
        <v>-12.54903032103655</v>
      </c>
      <c r="X256" s="277">
        <f t="shared" si="124"/>
        <v>-130.70224890574593</v>
      </c>
      <c r="Y256" s="299">
        <f t="shared" si="123"/>
        <v>49.297751094254068</v>
      </c>
      <c r="AB256" s="278">
        <f t="shared" si="116"/>
        <v>-1.5050104959936119</v>
      </c>
      <c r="AC256" s="279">
        <f t="shared" si="117"/>
        <v>-28.760002838093346</v>
      </c>
      <c r="AF256" s="278">
        <f t="shared" si="118"/>
        <v>50.759512781938824</v>
      </c>
      <c r="AG256" s="279">
        <f t="shared" si="119"/>
        <v>-101.94224606765258</v>
      </c>
      <c r="AI256">
        <f t="shared" si="120"/>
        <v>0</v>
      </c>
      <c r="AJ256">
        <f t="shared" si="125"/>
        <v>0</v>
      </c>
      <c r="AK256">
        <f t="shared" si="121"/>
        <v>0</v>
      </c>
      <c r="AL256">
        <f t="shared" si="122"/>
        <v>0</v>
      </c>
      <c r="AM256"/>
      <c r="AN256"/>
    </row>
    <row r="257" spans="2:40" x14ac:dyDescent="0.2">
      <c r="B257" s="280">
        <v>15849</v>
      </c>
      <c r="C257" s="270">
        <f t="shared" si="95"/>
        <v>12.984251971147303</v>
      </c>
      <c r="D257" s="271">
        <f t="shared" si="96"/>
        <v>1.4937036119226414</v>
      </c>
      <c r="E257" s="271">
        <f t="shared" si="97"/>
        <v>1.0003351254439687</v>
      </c>
      <c r="F257" s="272">
        <f t="shared" si="98"/>
        <v>2.5885589807443779E-2</v>
      </c>
      <c r="G257" s="271">
        <f t="shared" si="99"/>
        <v>1.012780603232144</v>
      </c>
      <c r="H257" s="272">
        <f t="shared" si="100"/>
        <v>-0.1590342830303289</v>
      </c>
      <c r="I257" s="270">
        <f t="shared" si="101"/>
        <v>55774.399116849083</v>
      </c>
      <c r="J257" s="273">
        <f t="shared" si="102"/>
        <v>1.5707783974219964</v>
      </c>
      <c r="K257" s="281">
        <f t="shared" si="103"/>
        <v>8.4244666205529821</v>
      </c>
      <c r="L257" s="282">
        <f t="shared" si="104"/>
        <v>1.4518139131817716</v>
      </c>
      <c r="M257" s="270">
        <f t="shared" si="105"/>
        <v>1.0786767527795609</v>
      </c>
      <c r="N257" s="273">
        <f t="shared" si="106"/>
        <v>0.38429815462871614</v>
      </c>
      <c r="O257" s="270">
        <f t="shared" si="107"/>
        <v>4381.7704437767143</v>
      </c>
      <c r="P257" s="273">
        <f t="shared" si="108"/>
        <v>1.57056810853894</v>
      </c>
      <c r="Q257" s="271">
        <f t="shared" si="109"/>
        <v>1.0116907852406978</v>
      </c>
      <c r="R257" s="272">
        <f t="shared" si="110"/>
        <v>0.15217105275527029</v>
      </c>
      <c r="S257" s="270">
        <f t="shared" si="111"/>
        <v>1.0000006154946111</v>
      </c>
      <c r="T257" s="273">
        <f t="shared" si="112"/>
        <v>1.1094992522822221E-3</v>
      </c>
      <c r="U257" s="274">
        <f t="shared" si="113"/>
        <v>1.0056253166194082</v>
      </c>
      <c r="V257" s="275">
        <f t="shared" si="114"/>
        <v>0.1544350462760368</v>
      </c>
      <c r="W257" s="276">
        <f t="shared" si="115"/>
        <v>-12.605259103564821</v>
      </c>
      <c r="X257" s="277">
        <f t="shared" si="124"/>
        <v>-130.8950725302991</v>
      </c>
      <c r="Y257" s="299">
        <f t="shared" si="123"/>
        <v>49.104927469700897</v>
      </c>
      <c r="AB257" s="278">
        <f t="shared" si="116"/>
        <v>-1.512651099331304</v>
      </c>
      <c r="AC257" s="279">
        <f t="shared" si="117"/>
        <v>-28.834825193806815</v>
      </c>
      <c r="AF257" s="278">
        <f t="shared" si="118"/>
        <v>50.710924602748236</v>
      </c>
      <c r="AG257" s="279">
        <f t="shared" si="119"/>
        <v>-102.06024733649228</v>
      </c>
      <c r="AI257">
        <f t="shared" si="120"/>
        <v>0</v>
      </c>
      <c r="AJ257">
        <f t="shared" si="125"/>
        <v>0</v>
      </c>
      <c r="AK257">
        <f t="shared" si="121"/>
        <v>0</v>
      </c>
      <c r="AL257">
        <f t="shared" si="122"/>
        <v>0</v>
      </c>
      <c r="AM257"/>
      <c r="AN257"/>
    </row>
    <row r="258" spans="2:40" x14ac:dyDescent="0.2">
      <c r="B258" s="280">
        <v>15941.25</v>
      </c>
      <c r="C258" s="270">
        <f t="shared" si="95"/>
        <v>13.059380554642772</v>
      </c>
      <c r="D258" s="271">
        <f t="shared" si="96"/>
        <v>1.494147987413162</v>
      </c>
      <c r="E258" s="271">
        <f t="shared" si="97"/>
        <v>1.0003390373677736</v>
      </c>
      <c r="F258" s="272">
        <f t="shared" si="98"/>
        <v>2.6036190461134753E-2</v>
      </c>
      <c r="G258" s="271">
        <f t="shared" si="99"/>
        <v>1.0129288643330241</v>
      </c>
      <c r="H258" s="272">
        <f t="shared" si="100"/>
        <v>-0.15994428879371872</v>
      </c>
      <c r="I258" s="270">
        <f t="shared" si="101"/>
        <v>56099.037158169049</v>
      </c>
      <c r="J258" s="273">
        <f t="shared" si="102"/>
        <v>1.5707785011770123</v>
      </c>
      <c r="K258" s="281">
        <f t="shared" si="103"/>
        <v>8.4728127646355347</v>
      </c>
      <c r="L258" s="282">
        <f t="shared" si="104"/>
        <v>1.4524960249459622</v>
      </c>
      <c r="M258" s="270">
        <f t="shared" si="105"/>
        <v>1.0795614417223922</v>
      </c>
      <c r="N258" s="273">
        <f t="shared" si="106"/>
        <v>0.38631951065923814</v>
      </c>
      <c r="O258" s="270">
        <f t="shared" si="107"/>
        <v>4407.2747848989411</v>
      </c>
      <c r="P258" s="273">
        <f t="shared" si="108"/>
        <v>1.5705694292091126</v>
      </c>
      <c r="Q258" s="271">
        <f t="shared" si="109"/>
        <v>1.0118264773466363</v>
      </c>
      <c r="R258" s="272">
        <f t="shared" si="110"/>
        <v>0.15304304612939434</v>
      </c>
      <c r="S258" s="270">
        <f t="shared" si="111"/>
        <v>1.0000006226805034</v>
      </c>
      <c r="T258" s="273">
        <f t="shared" si="112"/>
        <v>1.1159571500229475E-3</v>
      </c>
      <c r="U258" s="274">
        <f t="shared" si="113"/>
        <v>1.0056910425876859</v>
      </c>
      <c r="V258" s="275">
        <f t="shared" si="114"/>
        <v>0.15533098873956411</v>
      </c>
      <c r="W258" s="276">
        <f t="shared" si="115"/>
        <v>-12.66246138047264</v>
      </c>
      <c r="X258" s="277">
        <f t="shared" si="124"/>
        <v>-131.09211678892046</v>
      </c>
      <c r="Y258" s="299">
        <f t="shared" si="123"/>
        <v>48.907883211079536</v>
      </c>
      <c r="AB258" s="278">
        <f t="shared" si="116"/>
        <v>-1.5204782470632354</v>
      </c>
      <c r="AC258" s="279">
        <f t="shared" si="117"/>
        <v>-28.911564182729212</v>
      </c>
      <c r="AF258" s="278">
        <f t="shared" si="118"/>
        <v>50.66154947357235</v>
      </c>
      <c r="AG258" s="279">
        <f t="shared" si="119"/>
        <v>-102.18055260619126</v>
      </c>
      <c r="AI258">
        <f t="shared" si="120"/>
        <v>0</v>
      </c>
      <c r="AJ258">
        <f t="shared" si="125"/>
        <v>0</v>
      </c>
      <c r="AK258">
        <f t="shared" si="121"/>
        <v>0</v>
      </c>
      <c r="AL258">
        <f t="shared" si="122"/>
        <v>0</v>
      </c>
      <c r="AM258"/>
      <c r="AN258"/>
    </row>
    <row r="259" spans="2:40" x14ac:dyDescent="0.2">
      <c r="B259" s="280">
        <v>16033.5</v>
      </c>
      <c r="C259" s="270">
        <f t="shared" si="95"/>
        <v>13.134511687466794</v>
      </c>
      <c r="D259" s="271">
        <f t="shared" si="96"/>
        <v>1.4945872792172046</v>
      </c>
      <c r="E259" s="271">
        <f t="shared" si="97"/>
        <v>1.0003429719796471</v>
      </c>
      <c r="F259" s="272">
        <f t="shared" si="98"/>
        <v>2.6186789933537465E-2</v>
      </c>
      <c r="G259" s="271">
        <f t="shared" si="99"/>
        <v>1.0130779640049996</v>
      </c>
      <c r="H259" s="272">
        <f t="shared" si="100"/>
        <v>-0.16085402745023092</v>
      </c>
      <c r="I259" s="270">
        <f t="shared" si="101"/>
        <v>56423.675199489611</v>
      </c>
      <c r="J259" s="273">
        <f t="shared" si="102"/>
        <v>1.5707786037381033</v>
      </c>
      <c r="K259" s="281">
        <f t="shared" si="103"/>
        <v>8.5211628061839697</v>
      </c>
      <c r="L259" s="282">
        <f t="shared" si="104"/>
        <v>1.4531703962623608</v>
      </c>
      <c r="M259" s="270">
        <f t="shared" si="105"/>
        <v>1.0804505343899251</v>
      </c>
      <c r="N259" s="273">
        <f t="shared" si="106"/>
        <v>0.38833754821389099</v>
      </c>
      <c r="O259" s="270">
        <f t="shared" si="107"/>
        <v>4432.7791260287668</v>
      </c>
      <c r="P259" s="273">
        <f t="shared" si="108"/>
        <v>1.5705707346821269</v>
      </c>
      <c r="Q259" s="271">
        <f t="shared" si="109"/>
        <v>1.0119629386108804</v>
      </c>
      <c r="R259" s="272">
        <f t="shared" si="110"/>
        <v>0.15391480499295815</v>
      </c>
      <c r="S259" s="270">
        <f t="shared" si="111"/>
        <v>1.0000006299081003</v>
      </c>
      <c r="T259" s="273">
        <f t="shared" si="112"/>
        <v>1.122415047670592E-3</v>
      </c>
      <c r="U259" s="274">
        <f t="shared" si="113"/>
        <v>1.0057571511752119</v>
      </c>
      <c r="V259" s="275">
        <f t="shared" si="114"/>
        <v>0.15622687987403219</v>
      </c>
      <c r="W259" s="276">
        <f t="shared" si="115"/>
        <v>-12.719391469813557</v>
      </c>
      <c r="X259" s="277">
        <f t="shared" si="124"/>
        <v>-131.28910488833131</v>
      </c>
      <c r="Y259" s="299">
        <f t="shared" si="123"/>
        <v>48.710895111668691</v>
      </c>
      <c r="AB259" s="278">
        <f t="shared" si="116"/>
        <v>-1.5283229207442053</v>
      </c>
      <c r="AC259" s="279">
        <f t="shared" si="117"/>
        <v>-28.988556463573065</v>
      </c>
      <c r="AF259" s="278">
        <f t="shared" si="118"/>
        <v>50.612464057912412</v>
      </c>
      <c r="AG259" s="279">
        <f t="shared" si="119"/>
        <v>-102.30054842475828</v>
      </c>
      <c r="AI259">
        <f t="shared" si="120"/>
        <v>0</v>
      </c>
      <c r="AJ259">
        <f t="shared" si="125"/>
        <v>0</v>
      </c>
      <c r="AK259">
        <f t="shared" si="121"/>
        <v>0</v>
      </c>
      <c r="AL259">
        <f t="shared" si="122"/>
        <v>0</v>
      </c>
      <c r="AM259"/>
      <c r="AN259"/>
    </row>
    <row r="260" spans="2:40" x14ac:dyDescent="0.2">
      <c r="B260" s="280">
        <v>16125.75</v>
      </c>
      <c r="C260" s="270">
        <f t="shared" si="95"/>
        <v>13.209645326120722</v>
      </c>
      <c r="D260" s="271">
        <f t="shared" si="96"/>
        <v>1.4950215739085242</v>
      </c>
      <c r="E260" s="271">
        <f t="shared" si="97"/>
        <v>1.0003469292793215</v>
      </c>
      <c r="F260" s="272">
        <f t="shared" si="98"/>
        <v>2.6337388217834642E-2</v>
      </c>
      <c r="G260" s="271">
        <f t="shared" si="99"/>
        <v>1.0132279018778754</v>
      </c>
      <c r="H260" s="272">
        <f t="shared" si="100"/>
        <v>-0.16176349761227229</v>
      </c>
      <c r="I260" s="270">
        <f t="shared" si="101"/>
        <v>56748.313240810763</v>
      </c>
      <c r="J260" s="273">
        <f t="shared" si="102"/>
        <v>1.5707787051257589</v>
      </c>
      <c r="K260" s="281">
        <f t="shared" si="103"/>
        <v>8.5695166792286486</v>
      </c>
      <c r="L260" s="282">
        <f t="shared" si="104"/>
        <v>1.453837157539787</v>
      </c>
      <c r="M260" s="270">
        <f t="shared" si="105"/>
        <v>1.0813440199197899</v>
      </c>
      <c r="N260" s="273">
        <f t="shared" si="106"/>
        <v>0.39035225906163884</v>
      </c>
      <c r="O260" s="270">
        <f t="shared" si="107"/>
        <v>4458.2834671660612</v>
      </c>
      <c r="P260" s="273">
        <f t="shared" si="108"/>
        <v>1.5705720252187967</v>
      </c>
      <c r="Q260" s="271">
        <f t="shared" si="109"/>
        <v>1.0121001687223137</v>
      </c>
      <c r="R260" s="272">
        <f t="shared" si="110"/>
        <v>0.15478632811607806</v>
      </c>
      <c r="S260" s="270">
        <f t="shared" si="111"/>
        <v>1.0000006371774015</v>
      </c>
      <c r="T260" s="273">
        <f t="shared" si="112"/>
        <v>1.1288729452246173E-3</v>
      </c>
      <c r="U260" s="274">
        <f t="shared" si="113"/>
        <v>1.0058236424020255</v>
      </c>
      <c r="V260" s="275">
        <f t="shared" si="114"/>
        <v>0.15712271938612352</v>
      </c>
      <c r="W260" s="276">
        <f t="shared" si="115"/>
        <v>-12.776052705900847</v>
      </c>
      <c r="X260" s="277">
        <f t="shared" si="124"/>
        <v>-131.48603375061933</v>
      </c>
      <c r="Y260" s="299">
        <f t="shared" si="123"/>
        <v>48.513966249380672</v>
      </c>
      <c r="AB260" s="278">
        <f t="shared" si="116"/>
        <v>-1.5361852270054754</v>
      </c>
      <c r="AC260" s="279">
        <f t="shared" si="117"/>
        <v>-29.06579409403372</v>
      </c>
      <c r="AF260" s="278">
        <f t="shared" si="118"/>
        <v>50.563665128086384</v>
      </c>
      <c r="AG260" s="279">
        <f t="shared" si="119"/>
        <v>-102.42023965658561</v>
      </c>
      <c r="AI260">
        <f t="shared" si="120"/>
        <v>0</v>
      </c>
      <c r="AJ260">
        <f t="shared" si="125"/>
        <v>0</v>
      </c>
      <c r="AK260">
        <f t="shared" si="121"/>
        <v>0</v>
      </c>
      <c r="AL260">
        <f t="shared" si="122"/>
        <v>0</v>
      </c>
      <c r="AM260"/>
      <c r="AN260"/>
    </row>
    <row r="261" spans="2:40" x14ac:dyDescent="0.2">
      <c r="B261" s="280">
        <v>16218</v>
      </c>
      <c r="C261" s="270">
        <f t="shared" si="95"/>
        <v>13.284781428088502</v>
      </c>
      <c r="D261" s="271">
        <f t="shared" si="96"/>
        <v>1.4954509561099394</v>
      </c>
      <c r="E261" s="271">
        <f t="shared" si="97"/>
        <v>1.0003509092665275</v>
      </c>
      <c r="F261" s="272">
        <f t="shared" si="98"/>
        <v>2.648798530720933E-2</v>
      </c>
      <c r="G261" s="271">
        <f t="shared" si="99"/>
        <v>1.013378677579595</v>
      </c>
      <c r="H261" s="272">
        <f t="shared" si="100"/>
        <v>-0.16267269789484529</v>
      </c>
      <c r="I261" s="270">
        <f t="shared" si="101"/>
        <v>57072.95128213249</v>
      </c>
      <c r="J261" s="273">
        <f t="shared" si="102"/>
        <v>1.5707788053600034</v>
      </c>
      <c r="K261" s="281">
        <f t="shared" si="103"/>
        <v>8.6178743192753551</v>
      </c>
      <c r="L261" s="282">
        <f t="shared" si="104"/>
        <v>1.4544964362874131</v>
      </c>
      <c r="M261" s="270">
        <f t="shared" si="105"/>
        <v>1.0822418874319086</v>
      </c>
      <c r="N261" s="273">
        <f t="shared" si="106"/>
        <v>0.39236363510658639</v>
      </c>
      <c r="O261" s="270">
        <f t="shared" si="107"/>
        <v>4483.7878083106962</v>
      </c>
      <c r="P261" s="273">
        <f t="shared" si="108"/>
        <v>1.5705733010740013</v>
      </c>
      <c r="Q261" s="271">
        <f t="shared" si="109"/>
        <v>1.0122381673682361</v>
      </c>
      <c r="R261" s="272">
        <f t="shared" si="110"/>
        <v>0.15565761427096794</v>
      </c>
      <c r="S261" s="270">
        <f t="shared" si="111"/>
        <v>1.0000006444884073</v>
      </c>
      <c r="T261" s="273">
        <f t="shared" si="112"/>
        <v>1.1353308426844842E-3</v>
      </c>
      <c r="U261" s="274">
        <f t="shared" si="113"/>
        <v>1.0058905162882734</v>
      </c>
      <c r="V261" s="275">
        <f t="shared" si="114"/>
        <v>0.15801850698258518</v>
      </c>
      <c r="W261" s="276">
        <f t="shared" si="115"/>
        <v>-12.832448361601298</v>
      </c>
      <c r="X261" s="277">
        <f t="shared" si="124"/>
        <v>-131.68290036009805</v>
      </c>
      <c r="Y261" s="299">
        <f t="shared" si="123"/>
        <v>48.317099639901954</v>
      </c>
      <c r="AB261" s="278">
        <f t="shared" si="116"/>
        <v>-1.5440652648579756</v>
      </c>
      <c r="AC261" s="279">
        <f t="shared" si="117"/>
        <v>-29.143269305660457</v>
      </c>
      <c r="AF261" s="278">
        <f t="shared" si="118"/>
        <v>50.515149510238437</v>
      </c>
      <c r="AG261" s="279">
        <f t="shared" si="119"/>
        <v>-102.53963105443758</v>
      </c>
      <c r="AI261">
        <f t="shared" si="120"/>
        <v>0</v>
      </c>
      <c r="AJ261">
        <f t="shared" si="125"/>
        <v>0</v>
      </c>
      <c r="AK261">
        <f t="shared" si="121"/>
        <v>0</v>
      </c>
      <c r="AL261">
        <f t="shared" si="122"/>
        <v>0</v>
      </c>
      <c r="AM261"/>
      <c r="AN261"/>
    </row>
    <row r="262" spans="2:40" x14ac:dyDescent="0.2">
      <c r="B262" s="280">
        <v>16312.5</v>
      </c>
      <c r="C262" s="270">
        <f t="shared" si="95"/>
        <v>13.361752628638673</v>
      </c>
      <c r="D262" s="271">
        <f t="shared" si="96"/>
        <v>1.4958858038348182</v>
      </c>
      <c r="E262" s="271">
        <f t="shared" si="97"/>
        <v>1.0003550098506209</v>
      </c>
      <c r="F262" s="272">
        <f t="shared" si="98"/>
        <v>2.6642254250204781E-2</v>
      </c>
      <c r="G262" s="271">
        <f t="shared" si="99"/>
        <v>1.0135339990769097</v>
      </c>
      <c r="H262" s="272">
        <f t="shared" si="100"/>
        <v>-0.16360379251567114</v>
      </c>
      <c r="I262" s="270">
        <f t="shared" si="101"/>
        <v>57405.507324462647</v>
      </c>
      <c r="J262" s="273">
        <f t="shared" si="102"/>
        <v>1.5707789068634883</v>
      </c>
      <c r="K262" s="281">
        <f t="shared" si="103"/>
        <v>8.6674152539888496</v>
      </c>
      <c r="L262" s="282">
        <f t="shared" si="104"/>
        <v>1.4551641668197237</v>
      </c>
      <c r="M262" s="270">
        <f t="shared" si="105"/>
        <v>1.0831661863625366</v>
      </c>
      <c r="N262" s="273">
        <f t="shared" si="106"/>
        <v>0.39442060298308529</v>
      </c>
      <c r="O262" s="270">
        <f t="shared" si="107"/>
        <v>4509.9142065639007</v>
      </c>
      <c r="P262" s="273">
        <f t="shared" si="108"/>
        <v>1.5705745930850317</v>
      </c>
      <c r="Q262" s="271">
        <f t="shared" si="109"/>
        <v>1.0123803283864585</v>
      </c>
      <c r="R262" s="272">
        <f t="shared" si="110"/>
        <v>0.15654990431819582</v>
      </c>
      <c r="S262" s="270">
        <f t="shared" si="111"/>
        <v>1.000000652020973</v>
      </c>
      <c r="T262" s="273">
        <f t="shared" si="112"/>
        <v>1.1419462497403003E-3</v>
      </c>
      <c r="U262" s="274">
        <f t="shared" si="113"/>
        <v>1.0059594180390821</v>
      </c>
      <c r="V262" s="275">
        <f t="shared" si="114"/>
        <v>0.15893608892011263</v>
      </c>
      <c r="W262" s="276">
        <f t="shared" si="115"/>
        <v>-12.889947503439931</v>
      </c>
      <c r="X262" s="277">
        <f t="shared" si="124"/>
        <v>-131.88450095688455</v>
      </c>
      <c r="Y262" s="299">
        <f t="shared" si="123"/>
        <v>48.115499043115449</v>
      </c>
      <c r="AB262" s="278">
        <f t="shared" si="116"/>
        <v>-1.5521559800984621</v>
      </c>
      <c r="AC262" s="279">
        <f t="shared" si="117"/>
        <v>-29.222872557945699</v>
      </c>
      <c r="AF262" s="278">
        <f t="shared" si="118"/>
        <v>50.465741083640296</v>
      </c>
      <c r="AG262" s="279">
        <f t="shared" si="119"/>
        <v>-102.66162839893882</v>
      </c>
      <c r="AI262">
        <f t="shared" si="120"/>
        <v>0</v>
      </c>
      <c r="AJ262">
        <f t="shared" si="125"/>
        <v>0</v>
      </c>
      <c r="AK262">
        <f t="shared" si="121"/>
        <v>0</v>
      </c>
      <c r="AL262">
        <f t="shared" si="122"/>
        <v>0</v>
      </c>
      <c r="AM262"/>
      <c r="AN262"/>
    </row>
    <row r="263" spans="2:40" x14ac:dyDescent="0.2">
      <c r="B263" s="280">
        <v>16407</v>
      </c>
      <c r="C263" s="270">
        <f t="shared" si="95"/>
        <v>13.438726326853729</v>
      </c>
      <c r="D263" s="271">
        <f t="shared" si="96"/>
        <v>1.4963156702399274</v>
      </c>
      <c r="E263" s="271">
        <f t="shared" si="97"/>
        <v>1.0003591342418743</v>
      </c>
      <c r="F263" s="272">
        <f t="shared" si="98"/>
        <v>2.6796521924797499E-2</v>
      </c>
      <c r="G263" s="271">
        <f t="shared" si="99"/>
        <v>1.0136901989748337</v>
      </c>
      <c r="H263" s="272">
        <f t="shared" si="100"/>
        <v>-0.16453460099781342</v>
      </c>
      <c r="I263" s="270">
        <f t="shared" si="101"/>
        <v>57738.063366793387</v>
      </c>
      <c r="J263" s="273">
        <f t="shared" si="102"/>
        <v>1.5707790071977066</v>
      </c>
      <c r="K263" s="281">
        <f t="shared" si="103"/>
        <v>8.7169600092643762</v>
      </c>
      <c r="L263" s="282">
        <f t="shared" si="104"/>
        <v>1.4558243072575383</v>
      </c>
      <c r="M263" s="270">
        <f t="shared" si="105"/>
        <v>1.0840950604696291</v>
      </c>
      <c r="N263" s="273">
        <f t="shared" si="106"/>
        <v>0.39647405463401525</v>
      </c>
      <c r="O263" s="270">
        <f t="shared" si="107"/>
        <v>4536.0406048245477</v>
      </c>
      <c r="P263" s="273">
        <f t="shared" si="108"/>
        <v>1.5705758702127759</v>
      </c>
      <c r="Q263" s="271">
        <f t="shared" si="109"/>
        <v>1.0125232952164838</v>
      </c>
      <c r="R263" s="272">
        <f t="shared" si="110"/>
        <v>0.15744194309534446</v>
      </c>
      <c r="S263" s="270">
        <f t="shared" si="111"/>
        <v>1.0000006595973021</v>
      </c>
      <c r="T263" s="273">
        <f t="shared" si="112"/>
        <v>1.1485616566961653E-3</v>
      </c>
      <c r="U263" s="274">
        <f t="shared" si="113"/>
        <v>1.0060287213864274</v>
      </c>
      <c r="V263" s="275">
        <f t="shared" si="114"/>
        <v>0.15985361575589563</v>
      </c>
      <c r="W263" s="276">
        <f t="shared" si="115"/>
        <v>-12.947174713017999</v>
      </c>
      <c r="X263" s="277">
        <f t="shared" si="124"/>
        <v>-132.08603001461137</v>
      </c>
      <c r="Y263" s="299">
        <f t="shared" si="123"/>
        <v>47.913969985388633</v>
      </c>
      <c r="AB263" s="278">
        <f t="shared" si="116"/>
        <v>-1.5602654893791155</v>
      </c>
      <c r="AC263" s="279">
        <f t="shared" si="117"/>
        <v>-29.302709158732714</v>
      </c>
      <c r="AF263" s="278">
        <f t="shared" si="118"/>
        <v>50.416623383342873</v>
      </c>
      <c r="AG263" s="279">
        <f t="shared" si="119"/>
        <v>-102.78332085587867</v>
      </c>
      <c r="AI263">
        <f t="shared" si="120"/>
        <v>0</v>
      </c>
      <c r="AJ263">
        <f t="shared" si="125"/>
        <v>0</v>
      </c>
      <c r="AK263">
        <f t="shared" si="121"/>
        <v>0</v>
      </c>
      <c r="AL263">
        <f t="shared" si="122"/>
        <v>0</v>
      </c>
      <c r="AM263"/>
      <c r="AN263"/>
    </row>
    <row r="264" spans="2:40" x14ac:dyDescent="0.2">
      <c r="B264" s="280">
        <v>16501.5</v>
      </c>
      <c r="C264" s="270">
        <f t="shared" si="95"/>
        <v>13.515702480060087</v>
      </c>
      <c r="D264" s="271">
        <f t="shared" si="96"/>
        <v>1.4967406402755505</v>
      </c>
      <c r="E264" s="271">
        <f t="shared" si="97"/>
        <v>1.0003632824399933</v>
      </c>
      <c r="F264" s="272">
        <f t="shared" si="98"/>
        <v>2.6950788323660529E-2</v>
      </c>
      <c r="G264" s="271">
        <f t="shared" si="99"/>
        <v>1.0138472768673708</v>
      </c>
      <c r="H264" s="272">
        <f t="shared" si="100"/>
        <v>-0.16546512186098633</v>
      </c>
      <c r="I264" s="270">
        <f t="shared" si="101"/>
        <v>58070.619409124716</v>
      </c>
      <c r="J264" s="273">
        <f t="shared" si="102"/>
        <v>1.5707791063827463</v>
      </c>
      <c r="K264" s="281">
        <f t="shared" si="103"/>
        <v>8.7665085203251305</v>
      </c>
      <c r="L264" s="282">
        <f t="shared" si="104"/>
        <v>1.456476985718739</v>
      </c>
      <c r="M264" s="270">
        <f t="shared" si="105"/>
        <v>1.0850284980029985</v>
      </c>
      <c r="N264" s="273">
        <f t="shared" si="106"/>
        <v>0.39852398179477661</v>
      </c>
      <c r="O264" s="270">
        <f t="shared" si="107"/>
        <v>4562.1670030925088</v>
      </c>
      <c r="P264" s="273">
        <f t="shared" si="108"/>
        <v>1.570577132712933</v>
      </c>
      <c r="Q264" s="271">
        <f t="shared" si="109"/>
        <v>1.012667067517022</v>
      </c>
      <c r="R264" s="272">
        <f t="shared" si="110"/>
        <v>0.15833372928948783</v>
      </c>
      <c r="S264" s="270">
        <f t="shared" si="111"/>
        <v>1.0000006672173951</v>
      </c>
      <c r="T264" s="273">
        <f t="shared" si="112"/>
        <v>1.1551770635514996E-3</v>
      </c>
      <c r="U264" s="274">
        <f t="shared" si="113"/>
        <v>1.0060984263523223</v>
      </c>
      <c r="V264" s="275">
        <f t="shared" si="114"/>
        <v>0.16077108717490954</v>
      </c>
      <c r="W264" s="276">
        <f t="shared" si="115"/>
        <v>-13.004133317359525</v>
      </c>
      <c r="X264" s="277">
        <f t="shared" si="124"/>
        <v>-132.28748448513778</v>
      </c>
      <c r="Y264" s="299">
        <f t="shared" si="123"/>
        <v>47.712515514862218</v>
      </c>
      <c r="AB264" s="278">
        <f t="shared" si="116"/>
        <v>-1.5683938759475189</v>
      </c>
      <c r="AC264" s="279">
        <f t="shared" si="117"/>
        <v>-29.382771295031848</v>
      </c>
      <c r="AF264" s="278">
        <f t="shared" si="118"/>
        <v>50.367793165569751</v>
      </c>
      <c r="AG264" s="279">
        <f t="shared" si="119"/>
        <v>-102.90471319010592</v>
      </c>
      <c r="AI264">
        <f t="shared" si="120"/>
        <v>0</v>
      </c>
      <c r="AJ264">
        <f t="shared" si="125"/>
        <v>0</v>
      </c>
      <c r="AK264">
        <f t="shared" si="121"/>
        <v>0</v>
      </c>
      <c r="AL264">
        <f t="shared" si="122"/>
        <v>0</v>
      </c>
      <c r="AM264"/>
      <c r="AN264"/>
    </row>
    <row r="265" spans="2:40" x14ac:dyDescent="0.2">
      <c r="B265" s="280">
        <v>16596</v>
      </c>
      <c r="C265" s="270">
        <f t="shared" si="95"/>
        <v>13.592681046549465</v>
      </c>
      <c r="D265" s="271">
        <f t="shared" si="96"/>
        <v>1.4971607969747642</v>
      </c>
      <c r="E265" s="271">
        <f t="shared" si="97"/>
        <v>1.0003674544446821</v>
      </c>
      <c r="F265" s="272">
        <f t="shared" si="98"/>
        <v>2.7105053439467286E-2</v>
      </c>
      <c r="G265" s="271">
        <f t="shared" si="99"/>
        <v>1.014005232346495</v>
      </c>
      <c r="H265" s="272">
        <f t="shared" si="100"/>
        <v>-0.1663953536278113</v>
      </c>
      <c r="I265" s="270">
        <f t="shared" si="101"/>
        <v>58403.175451456598</v>
      </c>
      <c r="J265" s="273">
        <f t="shared" si="102"/>
        <v>1.5707792044382385</v>
      </c>
      <c r="K265" s="281">
        <f t="shared" si="103"/>
        <v>8.8160607238456965</v>
      </c>
      <c r="L265" s="282">
        <f t="shared" si="104"/>
        <v>1.4571223274665306</v>
      </c>
      <c r="M265" s="270">
        <f t="shared" si="105"/>
        <v>1.0859664871952281</v>
      </c>
      <c r="N265" s="273">
        <f t="shared" si="106"/>
        <v>0.40057037634759918</v>
      </c>
      <c r="O265" s="270">
        <f t="shared" si="107"/>
        <v>4588.2934013676577</v>
      </c>
      <c r="P265" s="273">
        <f t="shared" si="108"/>
        <v>1.5705783808353775</v>
      </c>
      <c r="Q265" s="271">
        <f t="shared" si="109"/>
        <v>1.0128116449450546</v>
      </c>
      <c r="R265" s="272">
        <f t="shared" si="110"/>
        <v>0.15922526159005043</v>
      </c>
      <c r="S265" s="270">
        <f t="shared" si="111"/>
        <v>1.0000006748812516</v>
      </c>
      <c r="T265" s="273">
        <f t="shared" si="112"/>
        <v>1.1617924703057245E-3</v>
      </c>
      <c r="U265" s="274">
        <f t="shared" si="113"/>
        <v>1.0061685329588994</v>
      </c>
      <c r="V265" s="275">
        <f t="shared" si="114"/>
        <v>0.16168850286220221</v>
      </c>
      <c r="W265" s="276">
        <f t="shared" si="115"/>
        <v>-13.060826582003685</v>
      </c>
      <c r="X265" s="277">
        <f t="shared" si="124"/>
        <v>-132.48886138259317</v>
      </c>
      <c r="Y265" s="299">
        <f t="shared" si="123"/>
        <v>47.511138617406829</v>
      </c>
      <c r="AB265" s="278">
        <f t="shared" si="116"/>
        <v>-1.5765412157658385</v>
      </c>
      <c r="AC265" s="279">
        <f t="shared" si="117"/>
        <v>-29.463051325800947</v>
      </c>
      <c r="AF265" s="278">
        <f t="shared" si="118"/>
        <v>50.319247240743906</v>
      </c>
      <c r="AG265" s="279">
        <f t="shared" si="119"/>
        <v>-103.02581005679222</v>
      </c>
      <c r="AI265">
        <f t="shared" si="120"/>
        <v>0</v>
      </c>
      <c r="AJ265">
        <f t="shared" si="125"/>
        <v>0</v>
      </c>
      <c r="AK265">
        <f t="shared" si="121"/>
        <v>0</v>
      </c>
      <c r="AL265">
        <f t="shared" si="122"/>
        <v>0</v>
      </c>
      <c r="AM265"/>
      <c r="AN265"/>
    </row>
    <row r="266" spans="2:40" x14ac:dyDescent="0.2">
      <c r="B266" s="280">
        <v>16692.5</v>
      </c>
      <c r="C266" s="270">
        <f t="shared" si="95"/>
        <v>13.671291237119586</v>
      </c>
      <c r="D266" s="271">
        <f t="shared" si="96"/>
        <v>1.4975849630059861</v>
      </c>
      <c r="E266" s="271">
        <f t="shared" si="97"/>
        <v>1.0003717393131217</v>
      </c>
      <c r="F266" s="272">
        <f t="shared" si="98"/>
        <v>2.726258209376051E-2</v>
      </c>
      <c r="G266" s="271">
        <f t="shared" si="99"/>
        <v>1.0141674360155866</v>
      </c>
      <c r="H266" s="272">
        <f t="shared" si="100"/>
        <v>-0.16734497296836534</v>
      </c>
      <c r="I266" s="270">
        <f t="shared" si="101"/>
        <v>58742.769716907191</v>
      </c>
      <c r="J266" s="273">
        <f t="shared" si="102"/>
        <v>1.5707793034232567</v>
      </c>
      <c r="K266" s="281">
        <f t="shared" si="103"/>
        <v>8.8666653974211371</v>
      </c>
      <c r="L266" s="282">
        <f t="shared" si="104"/>
        <v>1.457773883252639</v>
      </c>
      <c r="M266" s="270">
        <f t="shared" si="105"/>
        <v>1.0869290129392262</v>
      </c>
      <c r="N266" s="273">
        <f t="shared" si="106"/>
        <v>0.40265642700912191</v>
      </c>
      <c r="O266" s="270">
        <f t="shared" si="107"/>
        <v>4614.972739296134</v>
      </c>
      <c r="P266" s="273">
        <f t="shared" si="108"/>
        <v>1.5705796407895145</v>
      </c>
      <c r="Q266" s="271">
        <f t="shared" si="109"/>
        <v>1.0129601127219627</v>
      </c>
      <c r="R266" s="272">
        <f t="shared" si="110"/>
        <v>0.16013539892898507</v>
      </c>
      <c r="S266" s="270">
        <f t="shared" si="111"/>
        <v>1.0000006827524688</v>
      </c>
      <c r="T266" s="273">
        <f t="shared" si="112"/>
        <v>1.1685478855635607E-3</v>
      </c>
      <c r="U266" s="274">
        <f t="shared" si="113"/>
        <v>1.0062405378074377</v>
      </c>
      <c r="V266" s="275">
        <f t="shared" si="114"/>
        <v>0.16262527691381584</v>
      </c>
      <c r="W266" s="276">
        <f t="shared" si="115"/>
        <v>-13.118449212494468</v>
      </c>
      <c r="X266" s="277">
        <f t="shared" si="124"/>
        <v>-132.69441713234235</v>
      </c>
      <c r="Y266" s="299">
        <f t="shared" si="123"/>
        <v>47.305582867657648</v>
      </c>
      <c r="AB266" s="278">
        <f t="shared" si="116"/>
        <v>-1.5848806168404403</v>
      </c>
      <c r="AC266" s="279">
        <f t="shared" si="117"/>
        <v>-29.545247499319114</v>
      </c>
      <c r="AF266" s="278">
        <f t="shared" si="118"/>
        <v>50.26996401132773</v>
      </c>
      <c r="AG266" s="279">
        <f t="shared" si="119"/>
        <v>-103.14916963302325</v>
      </c>
      <c r="AI266">
        <f t="shared" si="120"/>
        <v>0</v>
      </c>
      <c r="AJ266">
        <f t="shared" si="125"/>
        <v>0</v>
      </c>
      <c r="AK266">
        <f t="shared" si="121"/>
        <v>0</v>
      </c>
      <c r="AL266">
        <f t="shared" si="122"/>
        <v>0</v>
      </c>
      <c r="AM266"/>
      <c r="AN266"/>
    </row>
    <row r="267" spans="2:40" x14ac:dyDescent="0.2">
      <c r="B267" s="280">
        <v>16789</v>
      </c>
      <c r="C267" s="270">
        <f t="shared" si="95"/>
        <v>13.749903859259854</v>
      </c>
      <c r="D267" s="271">
        <f t="shared" si="96"/>
        <v>1.4980042789247201</v>
      </c>
      <c r="E267" s="271">
        <f t="shared" si="97"/>
        <v>1.0003760490058504</v>
      </c>
      <c r="F267" s="272">
        <f t="shared" si="98"/>
        <v>2.7420109394673008E-2</v>
      </c>
      <c r="G267" s="271">
        <f t="shared" si="99"/>
        <v>1.0143305539444594</v>
      </c>
      <c r="H267" s="272">
        <f t="shared" si="100"/>
        <v>-0.16829428774176131</v>
      </c>
      <c r="I267" s="270">
        <f t="shared" si="101"/>
        <v>59082.363982358351</v>
      </c>
      <c r="J267" s="273">
        <f t="shared" si="102"/>
        <v>1.5707794012703806</v>
      </c>
      <c r="K267" s="281">
        <f t="shared" si="103"/>
        <v>8.9172737923942194</v>
      </c>
      <c r="L267" s="282">
        <f t="shared" si="104"/>
        <v>1.4584180437326086</v>
      </c>
      <c r="M267" s="270">
        <f t="shared" si="105"/>
        <v>1.0878962601899049</v>
      </c>
      <c r="N267" s="273">
        <f t="shared" si="106"/>
        <v>0.40473877730857594</v>
      </c>
      <c r="O267" s="270">
        <f t="shared" si="107"/>
        <v>4641.6520772318518</v>
      </c>
      <c r="P267" s="273">
        <f t="shared" si="108"/>
        <v>1.5705808862596955</v>
      </c>
      <c r="Q267" s="271">
        <f t="shared" si="109"/>
        <v>1.0131094193380197</v>
      </c>
      <c r="R267" s="272">
        <f t="shared" si="110"/>
        <v>0.16104526875913605</v>
      </c>
      <c r="S267" s="270">
        <f t="shared" si="111"/>
        <v>1.0000006906693217</v>
      </c>
      <c r="T267" s="273">
        <f t="shared" si="112"/>
        <v>1.1753033007147421E-3</v>
      </c>
      <c r="U267" s="274">
        <f t="shared" si="113"/>
        <v>1.0063129615242503</v>
      </c>
      <c r="V267" s="275">
        <f t="shared" si="114"/>
        <v>0.16356199218616488</v>
      </c>
      <c r="W267" s="276">
        <f t="shared" si="115"/>
        <v>-13.175801845831314</v>
      </c>
      <c r="X267" s="277">
        <f t="shared" si="124"/>
        <v>-132.89988588994655</v>
      </c>
      <c r="Y267" s="299">
        <f t="shared" si="123"/>
        <v>47.100114110053454</v>
      </c>
      <c r="AB267" s="278">
        <f t="shared" si="116"/>
        <v>-1.5932399198626808</v>
      </c>
      <c r="AC267" s="279">
        <f t="shared" si="117"/>
        <v>-29.627655312341492</v>
      </c>
      <c r="AF267" s="278">
        <f t="shared" si="118"/>
        <v>50.220970681013128</v>
      </c>
      <c r="AG267" s="279">
        <f t="shared" si="119"/>
        <v>-103.27223057760504</v>
      </c>
      <c r="AI267">
        <f t="shared" si="120"/>
        <v>0</v>
      </c>
      <c r="AJ267">
        <f t="shared" si="125"/>
        <v>0</v>
      </c>
      <c r="AK267">
        <f t="shared" si="121"/>
        <v>0</v>
      </c>
      <c r="AL267">
        <f t="shared" si="122"/>
        <v>0</v>
      </c>
      <c r="AM267"/>
      <c r="AN267"/>
    </row>
    <row r="268" spans="2:40" x14ac:dyDescent="0.2">
      <c r="B268" s="280">
        <v>16885.5</v>
      </c>
      <c r="C268" s="270">
        <f t="shared" si="95"/>
        <v>13.828518871501164</v>
      </c>
      <c r="D268" s="271">
        <f t="shared" si="96"/>
        <v>1.4984188273007857</v>
      </c>
      <c r="E268" s="271">
        <f t="shared" si="97"/>
        <v>1.0003803835225469</v>
      </c>
      <c r="F268" s="272">
        <f t="shared" si="98"/>
        <v>2.7577635334404285E-2</v>
      </c>
      <c r="G268" s="271">
        <f t="shared" si="99"/>
        <v>1.0144945856921095</v>
      </c>
      <c r="H268" s="272">
        <f t="shared" si="100"/>
        <v>-0.16924329638428318</v>
      </c>
      <c r="I268" s="270">
        <f t="shared" si="101"/>
        <v>59421.958247810071</v>
      </c>
      <c r="J268" s="273">
        <f t="shared" si="102"/>
        <v>1.5707794979991192</v>
      </c>
      <c r="K268" s="281">
        <f t="shared" si="103"/>
        <v>8.9678858457621509</v>
      </c>
      <c r="L268" s="282">
        <f t="shared" si="104"/>
        <v>1.459054933577941</v>
      </c>
      <c r="M268" s="270">
        <f t="shared" si="105"/>
        <v>1.0888682163648482</v>
      </c>
      <c r="N268" s="273">
        <f t="shared" si="106"/>
        <v>0.40681741907232799</v>
      </c>
      <c r="O268" s="270">
        <f t="shared" si="107"/>
        <v>4668.3314151746872</v>
      </c>
      <c r="P268" s="273">
        <f t="shared" si="108"/>
        <v>1.5705821174942465</v>
      </c>
      <c r="Q268" s="271">
        <f t="shared" si="109"/>
        <v>1.0132595644224101</v>
      </c>
      <c r="R268" s="272">
        <f t="shared" si="110"/>
        <v>0.16195486969259704</v>
      </c>
      <c r="S268" s="270">
        <f t="shared" si="111"/>
        <v>1.0000006986318104</v>
      </c>
      <c r="T268" s="273">
        <f t="shared" si="112"/>
        <v>1.1820587157586517E-3</v>
      </c>
      <c r="U268" s="274">
        <f t="shared" si="113"/>
        <v>1.0063858041332894</v>
      </c>
      <c r="V268" s="275">
        <f t="shared" si="114"/>
        <v>0.16449864834411207</v>
      </c>
      <c r="W268" s="276">
        <f t="shared" si="115"/>
        <v>-13.232887770082824</v>
      </c>
      <c r="X268" s="277">
        <f t="shared" si="124"/>
        <v>-133.10526466761073</v>
      </c>
      <c r="Y268" s="299">
        <f t="shared" si="123"/>
        <v>46.894735332389274</v>
      </c>
      <c r="AB268" s="278">
        <f t="shared" si="116"/>
        <v>-1.6016191838142049</v>
      </c>
      <c r="AC268" s="279">
        <f t="shared" si="117"/>
        <v>-29.710267154520299</v>
      </c>
      <c r="AF268" s="278">
        <f t="shared" si="118"/>
        <v>50.172264020713143</v>
      </c>
      <c r="AG268" s="279">
        <f t="shared" si="119"/>
        <v>-103.3949975130904</v>
      </c>
      <c r="AI268">
        <f t="shared" si="120"/>
        <v>0</v>
      </c>
      <c r="AJ268">
        <f t="shared" si="125"/>
        <v>0</v>
      </c>
      <c r="AK268">
        <f t="shared" si="121"/>
        <v>0</v>
      </c>
      <c r="AL268">
        <f t="shared" si="122"/>
        <v>0</v>
      </c>
      <c r="AM268"/>
      <c r="AN268"/>
    </row>
    <row r="269" spans="2:40" x14ac:dyDescent="0.2">
      <c r="B269" s="280">
        <v>16982</v>
      </c>
      <c r="C269" s="270">
        <f t="shared" ref="C269:C332" si="126">SQRT(1+(B269/PS_Pole1)^2)</f>
        <v>13.90713623331084</v>
      </c>
      <c r="D269" s="271">
        <f t="shared" ref="D269:D332" si="127">ATAN(B269/PS_Pole1)</f>
        <v>1.498828688843566</v>
      </c>
      <c r="E269" s="271">
        <f t="shared" ref="E269:E332" si="128">SQRT(1+(B269/PS_Zero1)^2)</f>
        <v>1.0003847428628885</v>
      </c>
      <c r="F269" s="272">
        <f t="shared" ref="F269:F332" si="129">ATAN(B269/PS_Zero1)</f>
        <v>2.7735159905154256E-2</v>
      </c>
      <c r="G269" s="271">
        <f t="shared" ref="G269:G332" si="130">IF(VIN_nom&gt;Vout, 1, SQRT(1+(B269/PS_RHPZ)^2))</f>
        <v>1.0146595308153477</v>
      </c>
      <c r="H269" s="272">
        <f t="shared" ref="H269:H332" si="131">IF(VIN_nom&gt;Vout, 0, -ATAN(B269/PS_RHPZ))</f>
        <v>-0.17019199733542892</v>
      </c>
      <c r="I269" s="270">
        <f t="shared" ref="I269:I332" si="132">SQRT(1+(B269/EA_Pole1)^2)</f>
        <v>59761.552513262344</v>
      </c>
      <c r="J269" s="273">
        <f t="shared" ref="J269:J332" si="133">ATAN(B269/EA_Pole1)</f>
        <v>1.570779593628538</v>
      </c>
      <c r="K269" s="281">
        <f t="shared" ref="K269:K332" si="134">SQRT(1+(B269/EA_Zero1)^2)</f>
        <v>9.0185014959319254</v>
      </c>
      <c r="L269" s="282">
        <f t="shared" ref="L269:L332" si="135">ATAN(B269/EA_Zero1)</f>
        <v>1.459684674685199</v>
      </c>
      <c r="M269" s="270">
        <f t="shared" ref="M269:M332" si="136">SQRT(1+(B269/EA_Pole2)^2)</f>
        <v>1.0898448688653786</v>
      </c>
      <c r="N269" s="273">
        <f t="shared" ref="N269:N332" si="137">ATAN(B269/EA_Pole2)</f>
        <v>0.40889234428402038</v>
      </c>
      <c r="O269" s="270">
        <f t="shared" ref="O269:O332" si="138">SQRT(1+(B269/$V$5)^2)</f>
        <v>4695.0107531245194</v>
      </c>
      <c r="P269" s="273">
        <f t="shared" ref="P269:P332" si="139">ATAN(B269/$V$5)</f>
        <v>1.5705833347358484</v>
      </c>
      <c r="Q269" s="271">
        <f t="shared" ref="Q269:Q332" si="140">SQRT(1+(B269/$V$4)^2)</f>
        <v>1.0134105476024557</v>
      </c>
      <c r="R269" s="272">
        <f t="shared" ref="R269:R332" si="141">ATAN(B269/$V$4)</f>
        <v>0.16286420034406171</v>
      </c>
      <c r="S269" s="270">
        <f t="shared" ref="S269:S332" si="142">SQRT(1+(B269/$V$7)^2)</f>
        <v>1.0000007066399348</v>
      </c>
      <c r="T269" s="273">
        <f t="shared" ref="T269:T332" si="143">ATAN(B269/$V$7)</f>
        <v>1.1888141306946737E-3</v>
      </c>
      <c r="U269" s="274">
        <f t="shared" ref="U269:U332" si="144">SQRT((1-(B269^2/pterm2))^2+(B269/pterm1)^2)</f>
        <v>1.0064590656586365</v>
      </c>
      <c r="V269" s="275">
        <f t="shared" ref="V269:V332" si="145">IF((ATAN((B269/pterm1)/(1-B269^2/pterm2))&gt;0),ATAN((B269/pterm1)/(1-B269^2/pterm2)),PI()+ATAN((B269/pterm1)/(1-B269^2/pterm2)))</f>
        <v>0.16543524505260099</v>
      </c>
      <c r="W269" s="276">
        <f t="shared" ref="W269:W332" si="146">20*LOG10(((E269*K269*G269)/(C269*I269*U269*M269))*Adc)</f>
        <v>-13.289710212563932</v>
      </c>
      <c r="X269" s="277">
        <f t="shared" si="124"/>
        <v>-133.31055053911169</v>
      </c>
      <c r="Y269" s="299">
        <f t="shared" si="123"/>
        <v>46.689449460888312</v>
      </c>
      <c r="AB269" s="278">
        <f t="shared" ref="AB269:AB332" si="147">20*LOG10((K269/(I269*M269))*AEA)</f>
        <v>-1.6100184608097401</v>
      </c>
      <c r="AC269" s="279">
        <f t="shared" ref="AC269:AC332" si="148">(L269-(J269+N269))*radconv</f>
        <v>-29.793075583485887</v>
      </c>
      <c r="AF269" s="278">
        <f t="shared" ref="AF269:AF332" si="149">20*LOG10((E269*G269/(C269*U269))*Acs*Am)</f>
        <v>50.12384085522757</v>
      </c>
      <c r="AG269" s="279">
        <f t="shared" ref="AG269:AG332" si="150">(F269+H269-(D269+V269))*radconv</f>
        <v>-103.51747495562583</v>
      </c>
      <c r="AI269">
        <f t="shared" ref="AI269:AI332" si="151">SUM((W270&lt;0)*(W269&gt;0))*B269</f>
        <v>0</v>
      </c>
      <c r="AJ269">
        <f t="shared" si="125"/>
        <v>0</v>
      </c>
      <c r="AK269">
        <f t="shared" ref="AK269:AK332" si="152">SUM((AB270&lt;0)*(AB269&gt;0))*B269</f>
        <v>0</v>
      </c>
      <c r="AL269">
        <f t="shared" ref="AL269:AL332" si="153">IF(AK269&gt;0,AC269,0)</f>
        <v>0</v>
      </c>
      <c r="AM269"/>
      <c r="AN269"/>
    </row>
    <row r="270" spans="2:40" x14ac:dyDescent="0.2">
      <c r="B270" s="280">
        <v>17081</v>
      </c>
      <c r="C270" s="270">
        <f t="shared" si="126"/>
        <v>13.987792714474619</v>
      </c>
      <c r="D270" s="271">
        <f t="shared" si="127"/>
        <v>1.4992443807137124</v>
      </c>
      <c r="E270" s="271">
        <f t="shared" si="128"/>
        <v>1.0003892409357933</v>
      </c>
      <c r="F270" s="272">
        <f t="shared" si="129"/>
        <v>2.7896763992518139E-2</v>
      </c>
      <c r="G270" s="271">
        <f t="shared" si="130"/>
        <v>1.0148296978374396</v>
      </c>
      <c r="H270" s="272">
        <f t="shared" si="131"/>
        <v>-0.17116495464760684</v>
      </c>
      <c r="I270" s="270">
        <f t="shared" si="132"/>
        <v>60109.9445576129</v>
      </c>
      <c r="J270" s="273">
        <f t="shared" si="133"/>
        <v>1.5707796906125244</v>
      </c>
      <c r="K270" s="281">
        <f t="shared" si="134"/>
        <v>9.0704321070423681</v>
      </c>
      <c r="L270" s="282">
        <f t="shared" si="135"/>
        <v>1.4603234263130722</v>
      </c>
      <c r="M270" s="270">
        <f t="shared" si="136"/>
        <v>1.0908516904233829</v>
      </c>
      <c r="N270" s="273">
        <f t="shared" si="137"/>
        <v>0.41101715357276791</v>
      </c>
      <c r="O270" s="270">
        <f t="shared" si="138"/>
        <v>4722.381265639784</v>
      </c>
      <c r="P270" s="273">
        <f t="shared" si="139"/>
        <v>1.5705845692193807</v>
      </c>
      <c r="Q270" s="271">
        <f t="shared" si="140"/>
        <v>1.0135663128166474</v>
      </c>
      <c r="R270" s="272">
        <f t="shared" si="141"/>
        <v>0.16379680645925901</v>
      </c>
      <c r="S270" s="270">
        <f t="shared" si="142"/>
        <v>1.000000714902948</v>
      </c>
      <c r="T270" s="273">
        <f t="shared" si="143"/>
        <v>1.1957445562675705E-3</v>
      </c>
      <c r="U270" s="274">
        <f t="shared" si="144"/>
        <v>1.0065346605123586</v>
      </c>
      <c r="V270" s="275">
        <f t="shared" si="145"/>
        <v>0.16639604379379216</v>
      </c>
      <c r="W270" s="276">
        <f t="shared" si="146"/>
        <v>-13.347734250127907</v>
      </c>
      <c r="X270" s="277">
        <f t="shared" si="124"/>
        <v>-133.52105514601118</v>
      </c>
      <c r="Y270" s="299">
        <f t="shared" ref="Y270:Y333" si="154">IF(X270&gt;0,X270-180,X270+180)</f>
        <v>46.478944853988821</v>
      </c>
      <c r="AB270" s="278">
        <f t="shared" si="147"/>
        <v>-1.6186561807613085</v>
      </c>
      <c r="AC270" s="279">
        <f t="shared" si="148"/>
        <v>-29.878225972340175</v>
      </c>
      <c r="AF270" s="278">
        <f t="shared" si="149"/>
        <v>50.074454537615161</v>
      </c>
      <c r="AG270" s="279">
        <f t="shared" si="150"/>
        <v>-103.64282917367103</v>
      </c>
      <c r="AI270">
        <f t="shared" si="151"/>
        <v>0</v>
      </c>
      <c r="AJ270">
        <f t="shared" si="125"/>
        <v>0</v>
      </c>
      <c r="AK270">
        <f t="shared" si="152"/>
        <v>0</v>
      </c>
      <c r="AL270">
        <f t="shared" si="153"/>
        <v>0</v>
      </c>
      <c r="AM270"/>
      <c r="AN270"/>
    </row>
    <row r="271" spans="2:40" x14ac:dyDescent="0.2">
      <c r="B271" s="280">
        <v>17180</v>
      </c>
      <c r="C271" s="270">
        <f t="shared" si="126"/>
        <v>14.068451585009953</v>
      </c>
      <c r="D271" s="271">
        <f t="shared" si="127"/>
        <v>1.4996553060689637</v>
      </c>
      <c r="E271" s="271">
        <f t="shared" si="128"/>
        <v>1.0003937651345089</v>
      </c>
      <c r="F271" s="272">
        <f t="shared" si="129"/>
        <v>2.8058366622419933E-2</v>
      </c>
      <c r="G271" s="271">
        <f t="shared" si="130"/>
        <v>1.0150008252212839</v>
      </c>
      <c r="H271" s="272">
        <f t="shared" si="131"/>
        <v>-0.17213758480242256</v>
      </c>
      <c r="I271" s="270">
        <f t="shared" si="132"/>
        <v>60458.336601964016</v>
      </c>
      <c r="J271" s="273">
        <f t="shared" si="133"/>
        <v>1.5707797864787674</v>
      </c>
      <c r="K271" s="281">
        <f t="shared" si="134"/>
        <v>9.1223663767867613</v>
      </c>
      <c r="L271" s="282">
        <f t="shared" si="135"/>
        <v>1.4609549052807764</v>
      </c>
      <c r="M271" s="270">
        <f t="shared" si="136"/>
        <v>1.0918634278786734</v>
      </c>
      <c r="N271" s="273">
        <f t="shared" si="137"/>
        <v>0.41313803466017751</v>
      </c>
      <c r="O271" s="270">
        <f t="shared" si="138"/>
        <v>4749.7517781621627</v>
      </c>
      <c r="P271" s="273">
        <f t="shared" si="139"/>
        <v>1.5705857894754549</v>
      </c>
      <c r="Q271" s="271">
        <f t="shared" si="140"/>
        <v>1.0137229593130022</v>
      </c>
      <c r="R271" s="272">
        <f t="shared" si="141"/>
        <v>0.16472912516145705</v>
      </c>
      <c r="S271" s="270">
        <f t="shared" si="142"/>
        <v>1.0000007232139918</v>
      </c>
      <c r="T271" s="273">
        <f t="shared" si="143"/>
        <v>1.2026749817256018E-3</v>
      </c>
      <c r="U271" s="274">
        <f t="shared" si="144"/>
        <v>1.0066106963208219</v>
      </c>
      <c r="V271" s="275">
        <f t="shared" si="145"/>
        <v>0.16735677925118728</v>
      </c>
      <c r="W271" s="276">
        <f t="shared" si="146"/>
        <v>-13.405487668475807</v>
      </c>
      <c r="X271" s="277">
        <f t="shared" ref="X271:X334" si="155">IF(((F271+L271+H271)-(D271+J271+V271+N271))*radconv&lt;-180,((F271+L271+H271)-(D271+J271+V271+N271))*radconv+360,((F271+L271+H271)-(D271+J271+V271+N271))*radconv)</f>
        <v>-133.73145592393388</v>
      </c>
      <c r="Y271" s="299">
        <f t="shared" si="154"/>
        <v>46.268544076066121</v>
      </c>
      <c r="AB271" s="278">
        <f t="shared" si="147"/>
        <v>-1.6273150541122297</v>
      </c>
      <c r="AC271" s="279">
        <f t="shared" si="148"/>
        <v>-29.963567920528238</v>
      </c>
      <c r="AF271" s="278">
        <f t="shared" si="149"/>
        <v>50.025359992618178</v>
      </c>
      <c r="AG271" s="279">
        <f t="shared" si="150"/>
        <v>-103.76788800340566</v>
      </c>
      <c r="AI271">
        <f t="shared" si="151"/>
        <v>0</v>
      </c>
      <c r="AJ271">
        <f t="shared" si="125"/>
        <v>0</v>
      </c>
      <c r="AK271">
        <f t="shared" si="152"/>
        <v>0</v>
      </c>
      <c r="AL271">
        <f t="shared" si="153"/>
        <v>0</v>
      </c>
      <c r="AM271"/>
      <c r="AN271"/>
    </row>
    <row r="272" spans="2:40" x14ac:dyDescent="0.2">
      <c r="B272" s="280">
        <v>17279</v>
      </c>
      <c r="C272" s="270">
        <f t="shared" si="126"/>
        <v>14.149112804054063</v>
      </c>
      <c r="D272" s="271">
        <f t="shared" si="127"/>
        <v>1.500061546288143</v>
      </c>
      <c r="E272" s="271">
        <f t="shared" si="128"/>
        <v>1.0003983154586813</v>
      </c>
      <c r="F272" s="272">
        <f t="shared" si="129"/>
        <v>2.8219967786438833E-2</v>
      </c>
      <c r="G272" s="271">
        <f t="shared" si="130"/>
        <v>1.0151729124812172</v>
      </c>
      <c r="H272" s="272">
        <f t="shared" si="131"/>
        <v>-0.17310988612555525</v>
      </c>
      <c r="I272" s="270">
        <f t="shared" si="132"/>
        <v>60806.728646315685</v>
      </c>
      <c r="J272" s="273">
        <f t="shared" si="133"/>
        <v>1.5707798812464795</v>
      </c>
      <c r="K272" s="281">
        <f t="shared" si="134"/>
        <v>9.1743042430322816</v>
      </c>
      <c r="L272" s="282">
        <f t="shared" si="135"/>
        <v>1.4615792345970149</v>
      </c>
      <c r="M272" s="270">
        <f t="shared" si="136"/>
        <v>1.0928800675785237</v>
      </c>
      <c r="N272" s="273">
        <f t="shared" si="137"/>
        <v>0.41525497940241402</v>
      </c>
      <c r="O272" s="270">
        <f t="shared" si="138"/>
        <v>4777.1222906915318</v>
      </c>
      <c r="P272" s="273">
        <f t="shared" si="139"/>
        <v>1.5705869957486196</v>
      </c>
      <c r="Q272" s="271">
        <f t="shared" si="140"/>
        <v>1.0138804866830406</v>
      </c>
      <c r="R272" s="272">
        <f t="shared" si="141"/>
        <v>0.165661154963474</v>
      </c>
      <c r="S272" s="270">
        <f t="shared" si="142"/>
        <v>1.0000007315730663</v>
      </c>
      <c r="T272" s="273">
        <f t="shared" si="143"/>
        <v>1.2096054070681024E-3</v>
      </c>
      <c r="U272" s="274">
        <f t="shared" si="144"/>
        <v>1.0066871731104521</v>
      </c>
      <c r="V272" s="275">
        <f t="shared" si="145"/>
        <v>0.16831745106327789</v>
      </c>
      <c r="W272" s="276">
        <f t="shared" si="146"/>
        <v>-13.46297376226895</v>
      </c>
      <c r="X272" s="277">
        <f t="shared" si="155"/>
        <v>-133.94174990599487</v>
      </c>
      <c r="Y272" s="299">
        <f t="shared" si="154"/>
        <v>46.058250094005132</v>
      </c>
      <c r="AB272" s="278">
        <f t="shared" si="147"/>
        <v>-1.6359951161671917</v>
      </c>
      <c r="AC272" s="279">
        <f t="shared" si="148"/>
        <v>-30.049093914663995</v>
      </c>
      <c r="AF272" s="278">
        <f t="shared" si="149"/>
        <v>49.976553960879997</v>
      </c>
      <c r="AG272" s="279">
        <f t="shared" si="150"/>
        <v>-103.89265599133088</v>
      </c>
      <c r="AI272">
        <f t="shared" si="151"/>
        <v>0</v>
      </c>
      <c r="AJ272">
        <f t="shared" si="125"/>
        <v>0</v>
      </c>
      <c r="AK272">
        <f t="shared" si="152"/>
        <v>0</v>
      </c>
      <c r="AL272">
        <f t="shared" si="153"/>
        <v>0</v>
      </c>
      <c r="AM272"/>
      <c r="AN272"/>
    </row>
    <row r="273" spans="2:40" x14ac:dyDescent="0.2">
      <c r="B273" s="280">
        <v>17378</v>
      </c>
      <c r="C273" s="270">
        <f t="shared" si="126"/>
        <v>14.22977633166952</v>
      </c>
      <c r="D273" s="271">
        <f t="shared" si="127"/>
        <v>1.5004631809111093</v>
      </c>
      <c r="E273" s="271">
        <f t="shared" si="128"/>
        <v>1.000402891907954</v>
      </c>
      <c r="F273" s="272">
        <f t="shared" si="129"/>
        <v>2.8381567476154491E-2</v>
      </c>
      <c r="G273" s="271">
        <f t="shared" si="130"/>
        <v>1.0153459591291816</v>
      </c>
      <c r="H273" s="272">
        <f t="shared" si="131"/>
        <v>-0.1740818569463031</v>
      </c>
      <c r="I273" s="270">
        <f t="shared" si="132"/>
        <v>61155.120690667893</v>
      </c>
      <c r="J273" s="273">
        <f t="shared" si="133"/>
        <v>1.5707799749344351</v>
      </c>
      <c r="K273" s="281">
        <f t="shared" si="134"/>
        <v>9.2262456450409225</v>
      </c>
      <c r="L273" s="282">
        <f t="shared" si="135"/>
        <v>1.4621965345230441</v>
      </c>
      <c r="M273" s="270">
        <f t="shared" si="136"/>
        <v>1.0939015958549321</v>
      </c>
      <c r="N273" s="273">
        <f t="shared" si="137"/>
        <v>0.41736797982696705</v>
      </c>
      <c r="O273" s="270">
        <f t="shared" si="138"/>
        <v>4804.492803227773</v>
      </c>
      <c r="P273" s="273">
        <f t="shared" si="139"/>
        <v>1.570588188277851</v>
      </c>
      <c r="Q273" s="271">
        <f t="shared" si="140"/>
        <v>1.0140388945162406</v>
      </c>
      <c r="R273" s="272">
        <f t="shared" si="141"/>
        <v>0.16659289438105726</v>
      </c>
      <c r="S273" s="270">
        <f t="shared" si="142"/>
        <v>1.0000007399801718</v>
      </c>
      <c r="T273" s="273">
        <f t="shared" si="143"/>
        <v>1.2165358322944061E-3</v>
      </c>
      <c r="U273" s="274">
        <f t="shared" si="144"/>
        <v>1.0067640909078173</v>
      </c>
      <c r="V273" s="275">
        <f t="shared" si="145"/>
        <v>0.16927805886864775</v>
      </c>
      <c r="W273" s="276">
        <f t="shared" si="146"/>
        <v>-13.520195765018169</v>
      </c>
      <c r="X273" s="277">
        <f t="shared" si="155"/>
        <v>-134.15193418736507</v>
      </c>
      <c r="Y273" s="299">
        <f t="shared" si="154"/>
        <v>45.848065812634928</v>
      </c>
      <c r="AB273" s="278">
        <f t="shared" si="147"/>
        <v>-1.6446963956508016</v>
      </c>
      <c r="AC273" s="279">
        <f t="shared" si="148"/>
        <v>-30.134796608569459</v>
      </c>
      <c r="AF273" s="278">
        <f t="shared" si="149"/>
        <v>49.928033237614393</v>
      </c>
      <c r="AG273" s="279">
        <f t="shared" si="150"/>
        <v>-104.0171375787956</v>
      </c>
      <c r="AI273">
        <f t="shared" si="151"/>
        <v>0</v>
      </c>
      <c r="AJ273">
        <f t="shared" si="125"/>
        <v>0</v>
      </c>
      <c r="AK273">
        <f t="shared" si="152"/>
        <v>0</v>
      </c>
      <c r="AL273">
        <f t="shared" si="153"/>
        <v>0</v>
      </c>
      <c r="AM273"/>
      <c r="AN273"/>
    </row>
    <row r="274" spans="2:40" x14ac:dyDescent="0.2">
      <c r="B274" s="280">
        <v>17479.25</v>
      </c>
      <c r="C274" s="270">
        <f t="shared" si="126"/>
        <v>14.312275468465367</v>
      </c>
      <c r="D274" s="271">
        <f t="shared" si="127"/>
        <v>1.5008692608211689</v>
      </c>
      <c r="E274" s="271">
        <f t="shared" si="128"/>
        <v>1.0004075993895394</v>
      </c>
      <c r="F274" s="272">
        <f t="shared" si="129"/>
        <v>2.854683835237155E-2</v>
      </c>
      <c r="G274" s="271">
        <f t="shared" si="130"/>
        <v>1.0155239304865775</v>
      </c>
      <c r="H274" s="272">
        <f t="shared" si="131"/>
        <v>-0.1750755744207359</v>
      </c>
      <c r="I274" s="270">
        <f t="shared" si="132"/>
        <v>61511.430736028648</v>
      </c>
      <c r="J274" s="273">
        <f t="shared" si="133"/>
        <v>1.570780069653938</v>
      </c>
      <c r="K274" s="281">
        <f t="shared" si="134"/>
        <v>9.2793711287933185</v>
      </c>
      <c r="L274" s="282">
        <f t="shared" si="135"/>
        <v>1.4628207156837518</v>
      </c>
      <c r="M274" s="270">
        <f t="shared" si="136"/>
        <v>1.0949513829183182</v>
      </c>
      <c r="N274" s="273">
        <f t="shared" si="137"/>
        <v>0.41952491505663891</v>
      </c>
      <c r="O274" s="270">
        <f t="shared" si="138"/>
        <v>4832.4853728740982</v>
      </c>
      <c r="P274" s="273">
        <f t="shared" si="139"/>
        <v>1.5705893939373756</v>
      </c>
      <c r="Q274" s="271">
        <f t="shared" si="140"/>
        <v>1.0142018128038366</v>
      </c>
      <c r="R274" s="272">
        <f t="shared" si="141"/>
        <v>0.16754550779181263</v>
      </c>
      <c r="S274" s="270">
        <f t="shared" si="142"/>
        <v>1.0000007486280287</v>
      </c>
      <c r="T274" s="273">
        <f t="shared" si="143"/>
        <v>1.2236237670640623E-3</v>
      </c>
      <c r="U274" s="274">
        <f t="shared" si="144"/>
        <v>1.0068432130207661</v>
      </c>
      <c r="V274" s="275">
        <f t="shared" si="145"/>
        <v>0.1702604320877294</v>
      </c>
      <c r="W274" s="276">
        <f t="shared" si="146"/>
        <v>-13.578448412823139</v>
      </c>
      <c r="X274" s="277">
        <f t="shared" si="155"/>
        <v>-134.36677895155719</v>
      </c>
      <c r="Y274" s="299">
        <f t="shared" si="154"/>
        <v>45.633221048442806</v>
      </c>
      <c r="AB274" s="278">
        <f t="shared" si="147"/>
        <v>-1.6536174010044151</v>
      </c>
      <c r="AC274" s="279">
        <f t="shared" si="148"/>
        <v>-30.222622374780372</v>
      </c>
      <c r="AF274" s="278">
        <f t="shared" si="149"/>
        <v>49.878701595163037</v>
      </c>
      <c r="AG274" s="279">
        <f t="shared" si="150"/>
        <v>-104.14415657677685</v>
      </c>
      <c r="AI274">
        <f t="shared" si="151"/>
        <v>0</v>
      </c>
      <c r="AJ274">
        <f t="shared" si="125"/>
        <v>0</v>
      </c>
      <c r="AK274">
        <f t="shared" si="152"/>
        <v>0</v>
      </c>
      <c r="AL274">
        <f t="shared" si="153"/>
        <v>0</v>
      </c>
      <c r="AM274"/>
      <c r="AN274"/>
    </row>
    <row r="275" spans="2:40" x14ac:dyDescent="0.2">
      <c r="B275" s="280">
        <v>17580.5</v>
      </c>
      <c r="C275" s="270">
        <f t="shared" si="126"/>
        <v>14.394776938315582</v>
      </c>
      <c r="D275" s="271">
        <f t="shared" si="127"/>
        <v>1.5012706860265803</v>
      </c>
      <c r="E275" s="271">
        <f t="shared" si="128"/>
        <v>1.000412334196463</v>
      </c>
      <c r="F275" s="272">
        <f t="shared" si="129"/>
        <v>2.8712107668696495E-2</v>
      </c>
      <c r="G275" s="271">
        <f t="shared" si="130"/>
        <v>1.0157029042958767</v>
      </c>
      <c r="H275" s="272">
        <f t="shared" si="131"/>
        <v>-0.17606894267615522</v>
      </c>
      <c r="I275" s="270">
        <f t="shared" si="132"/>
        <v>61867.740781389955</v>
      </c>
      <c r="J275" s="273">
        <f t="shared" si="133"/>
        <v>1.5707801632824197</v>
      </c>
      <c r="K275" s="281">
        <f t="shared" si="134"/>
        <v>9.3325001866476374</v>
      </c>
      <c r="L275" s="282">
        <f t="shared" si="135"/>
        <v>1.4634377902717028</v>
      </c>
      <c r="M275" s="270">
        <f t="shared" si="136"/>
        <v>1.0960062543278122</v>
      </c>
      <c r="N275" s="273">
        <f t="shared" si="137"/>
        <v>0.42167770832178425</v>
      </c>
      <c r="O275" s="270">
        <f t="shared" si="138"/>
        <v>4860.4779425273655</v>
      </c>
      <c r="P275" s="273">
        <f t="shared" si="139"/>
        <v>1.5705905857095797</v>
      </c>
      <c r="Q275" s="271">
        <f t="shared" si="140"/>
        <v>1.0143656511553678</v>
      </c>
      <c r="R275" s="272">
        <f t="shared" si="141"/>
        <v>0.16849781433802638</v>
      </c>
      <c r="S275" s="270">
        <f t="shared" si="142"/>
        <v>1.0000007573261243</v>
      </c>
      <c r="T275" s="273">
        <f t="shared" si="143"/>
        <v>1.2307117017107717E-3</v>
      </c>
      <c r="U275" s="274">
        <f t="shared" si="144"/>
        <v>1.0069227964717165</v>
      </c>
      <c r="V275" s="275">
        <f t="shared" si="145"/>
        <v>0.17124273759327527</v>
      </c>
      <c r="W275" s="276">
        <f t="shared" si="146"/>
        <v>-13.63643148060746</v>
      </c>
      <c r="X275" s="277">
        <f t="shared" si="155"/>
        <v>-134.58150301874656</v>
      </c>
      <c r="Y275" s="299">
        <f t="shared" si="154"/>
        <v>45.41849698125344</v>
      </c>
      <c r="AB275" s="278">
        <f t="shared" si="147"/>
        <v>-1.6625606398863719</v>
      </c>
      <c r="AC275" s="279">
        <f t="shared" si="148"/>
        <v>-30.310617938019856</v>
      </c>
      <c r="AF275" s="278">
        <f t="shared" si="149"/>
        <v>49.829661766260671</v>
      </c>
      <c r="AG275" s="279">
        <f t="shared" si="150"/>
        <v>-104.2708850807267</v>
      </c>
      <c r="AI275">
        <f t="shared" si="151"/>
        <v>0</v>
      </c>
      <c r="AJ275">
        <f t="shared" si="125"/>
        <v>0</v>
      </c>
      <c r="AK275">
        <f t="shared" si="152"/>
        <v>0</v>
      </c>
      <c r="AL275">
        <f t="shared" si="153"/>
        <v>0</v>
      </c>
      <c r="AM275"/>
      <c r="AN275"/>
    </row>
    <row r="276" spans="2:40" x14ac:dyDescent="0.2">
      <c r="B276" s="280">
        <v>17681.75</v>
      </c>
      <c r="C276" s="270">
        <f t="shared" si="126"/>
        <v>14.477280701334127</v>
      </c>
      <c r="D276" s="271">
        <f t="shared" si="127"/>
        <v>1.5016675359761573</v>
      </c>
      <c r="E276" s="271">
        <f t="shared" si="128"/>
        <v>1.000417096328337</v>
      </c>
      <c r="F276" s="272">
        <f t="shared" si="129"/>
        <v>2.8877375416123223E-2</v>
      </c>
      <c r="G276" s="271">
        <f t="shared" si="130"/>
        <v>1.0158828800272568</v>
      </c>
      <c r="H276" s="272">
        <f t="shared" si="131"/>
        <v>-0.17706195993718016</v>
      </c>
      <c r="I276" s="270">
        <f t="shared" si="132"/>
        <v>62224.050826751802</v>
      </c>
      <c r="J276" s="273">
        <f t="shared" si="133"/>
        <v>1.5707802558386224</v>
      </c>
      <c r="K276" s="281">
        <f t="shared" si="134"/>
        <v>9.3856327579083398</v>
      </c>
      <c r="L276" s="282">
        <f t="shared" si="135"/>
        <v>1.4640478785049911</v>
      </c>
      <c r="M276" s="270">
        <f t="shared" si="136"/>
        <v>1.0970661954170302</v>
      </c>
      <c r="N276" s="273">
        <f t="shared" si="137"/>
        <v>0.42382635164489663</v>
      </c>
      <c r="O276" s="270">
        <f t="shared" si="138"/>
        <v>4888.4705121874576</v>
      </c>
      <c r="P276" s="273">
        <f t="shared" si="139"/>
        <v>1.5705917638330293</v>
      </c>
      <c r="Q276" s="271">
        <f t="shared" si="140"/>
        <v>1.0145304091250857</v>
      </c>
      <c r="R276" s="272">
        <f t="shared" si="141"/>
        <v>0.16944981244151672</v>
      </c>
      <c r="S276" s="270">
        <f t="shared" si="142"/>
        <v>1.0000007660744588</v>
      </c>
      <c r="T276" s="273">
        <f t="shared" si="143"/>
        <v>1.2377996362338221E-3</v>
      </c>
      <c r="U276" s="274">
        <f t="shared" si="144"/>
        <v>1.0070028412895513</v>
      </c>
      <c r="V276" s="275">
        <f t="shared" si="145"/>
        <v>0.17222497499896444</v>
      </c>
      <c r="W276" s="276">
        <f t="shared" si="146"/>
        <v>-13.694148238206932</v>
      </c>
      <c r="X276" s="277">
        <f t="shared" si="155"/>
        <v>-134.79610347368143</v>
      </c>
      <c r="Y276" s="299">
        <f t="shared" si="154"/>
        <v>45.203896526318573</v>
      </c>
      <c r="AB276" s="278">
        <f t="shared" si="147"/>
        <v>-1.6715261231762237</v>
      </c>
      <c r="AC276" s="279">
        <f t="shared" si="148"/>
        <v>-30.398775954294933</v>
      </c>
      <c r="AF276" s="278">
        <f t="shared" si="149"/>
        <v>49.780910491951047</v>
      </c>
      <c r="AG276" s="279">
        <f t="shared" si="150"/>
        <v>-104.39732751938649</v>
      </c>
      <c r="AI276">
        <f t="shared" si="151"/>
        <v>0</v>
      </c>
      <c r="AJ276">
        <f t="shared" si="125"/>
        <v>0</v>
      </c>
      <c r="AK276">
        <f t="shared" si="152"/>
        <v>0</v>
      </c>
      <c r="AL276">
        <f t="shared" si="153"/>
        <v>0</v>
      </c>
      <c r="AM276"/>
      <c r="AN276"/>
    </row>
    <row r="277" spans="2:40" x14ac:dyDescent="0.2">
      <c r="B277" s="280">
        <v>17783</v>
      </c>
      <c r="C277" s="270">
        <f t="shared" si="126"/>
        <v>14.559786718537948</v>
      </c>
      <c r="D277" s="271">
        <f t="shared" si="127"/>
        <v>1.5020598883237015</v>
      </c>
      <c r="E277" s="271">
        <f t="shared" si="128"/>
        <v>1.0004218857847709</v>
      </c>
      <c r="F277" s="272">
        <f t="shared" si="129"/>
        <v>2.9042641585646147E-2</v>
      </c>
      <c r="G277" s="271">
        <f t="shared" si="130"/>
        <v>1.0160638571483045</v>
      </c>
      <c r="H277" s="272">
        <f t="shared" si="131"/>
        <v>-0.1780546244324531</v>
      </c>
      <c r="I277" s="270">
        <f t="shared" si="132"/>
        <v>62580.360872114172</v>
      </c>
      <c r="J277" s="273">
        <f t="shared" si="133"/>
        <v>1.5707803473408617</v>
      </c>
      <c r="K277" s="281">
        <f t="shared" si="134"/>
        <v>9.4387687832425904</v>
      </c>
      <c r="L277" s="282">
        <f t="shared" si="135"/>
        <v>1.4646510979156873</v>
      </c>
      <c r="M277" s="270">
        <f t="shared" si="136"/>
        <v>1.0981311915058634</v>
      </c>
      <c r="N277" s="273">
        <f t="shared" si="137"/>
        <v>0.42597083723246643</v>
      </c>
      <c r="O277" s="270">
        <f t="shared" si="138"/>
        <v>4916.4630818542582</v>
      </c>
      <c r="P277" s="273">
        <f t="shared" si="139"/>
        <v>1.570592928540858</v>
      </c>
      <c r="Q277" s="271">
        <f t="shared" si="140"/>
        <v>1.0146960862650305</v>
      </c>
      <c r="R277" s="272">
        <f t="shared" si="141"/>
        <v>0.17040150052736044</v>
      </c>
      <c r="S277" s="270">
        <f t="shared" si="142"/>
        <v>1.000000774873032</v>
      </c>
      <c r="T277" s="273">
        <f t="shared" si="143"/>
        <v>1.244887570632501E-3</v>
      </c>
      <c r="U277" s="274">
        <f t="shared" si="144"/>
        <v>1.0070833475033094</v>
      </c>
      <c r="V277" s="275">
        <f t="shared" si="145"/>
        <v>0.17320714391857889</v>
      </c>
      <c r="W277" s="276">
        <f t="shared" si="146"/>
        <v>-13.75160189467606</v>
      </c>
      <c r="X277" s="277">
        <f t="shared" si="155"/>
        <v>-135.01057746291551</v>
      </c>
      <c r="Y277" s="299">
        <f t="shared" si="154"/>
        <v>44.989422537084494</v>
      </c>
      <c r="AB277" s="278">
        <f t="shared" si="147"/>
        <v>-1.6805138555420061</v>
      </c>
      <c r="AC277" s="279">
        <f t="shared" si="148"/>
        <v>-30.487089244028187</v>
      </c>
      <c r="AF277" s="278">
        <f t="shared" si="149"/>
        <v>49.732444567847708</v>
      </c>
      <c r="AG277" s="279">
        <f t="shared" si="150"/>
        <v>-104.52348821888734</v>
      </c>
      <c r="AI277">
        <f t="shared" si="151"/>
        <v>0</v>
      </c>
      <c r="AJ277">
        <f t="shared" si="125"/>
        <v>0</v>
      </c>
      <c r="AK277">
        <f t="shared" si="152"/>
        <v>0</v>
      </c>
      <c r="AL277">
        <f t="shared" si="153"/>
        <v>0</v>
      </c>
      <c r="AM277"/>
      <c r="AN277"/>
    </row>
    <row r="278" spans="2:40" x14ac:dyDescent="0.2">
      <c r="B278" s="280">
        <v>17886.5</v>
      </c>
      <c r="C278" s="270">
        <f t="shared" si="126"/>
        <v>14.644128493000272</v>
      </c>
      <c r="D278" s="271">
        <f t="shared" si="127"/>
        <v>1.5024563900091561</v>
      </c>
      <c r="E278" s="271">
        <f t="shared" si="128"/>
        <v>1.0004268099152871</v>
      </c>
      <c r="F278" s="272">
        <f t="shared" si="129"/>
        <v>2.9211578696447419E-2</v>
      </c>
      <c r="G278" s="271">
        <f t="shared" si="130"/>
        <v>1.0162498904426636</v>
      </c>
      <c r="H278" s="272">
        <f t="shared" si="131"/>
        <v>-0.17906898168684626</v>
      </c>
      <c r="I278" s="270">
        <f t="shared" si="132"/>
        <v>62944.588918485126</v>
      </c>
      <c r="J278" s="273">
        <f t="shared" si="133"/>
        <v>1.570780439805765</v>
      </c>
      <c r="K278" s="281">
        <f t="shared" si="134"/>
        <v>9.4930891188093973</v>
      </c>
      <c r="L278" s="282">
        <f t="shared" si="135"/>
        <v>1.4652607423673176</v>
      </c>
      <c r="M278" s="270">
        <f t="shared" si="136"/>
        <v>1.0992250636231455</v>
      </c>
      <c r="N278" s="273">
        <f t="shared" si="137"/>
        <v>0.42815867277880215</v>
      </c>
      <c r="O278" s="270">
        <f t="shared" si="138"/>
        <v>4945.0777086315793</v>
      </c>
      <c r="P278" s="273">
        <f t="shared" si="139"/>
        <v>1.5705941055021817</v>
      </c>
      <c r="Q278" s="271">
        <f t="shared" si="140"/>
        <v>1.0148663946866445</v>
      </c>
      <c r="R278" s="272">
        <f t="shared" si="141"/>
        <v>0.17137401517277662</v>
      </c>
      <c r="S278" s="270">
        <f t="shared" si="142"/>
        <v>1.0000007839190552</v>
      </c>
      <c r="T278" s="273">
        <f t="shared" si="143"/>
        <v>1.2521330145551948E-3</v>
      </c>
      <c r="U278" s="274">
        <f t="shared" si="144"/>
        <v>1.0071661196641506</v>
      </c>
      <c r="V278" s="275">
        <f t="shared" si="145"/>
        <v>0.17421106762629504</v>
      </c>
      <c r="W278" s="276">
        <f t="shared" si="146"/>
        <v>-13.810063642191349</v>
      </c>
      <c r="X278" s="277">
        <f t="shared" si="155"/>
        <v>-135.22968392045078</v>
      </c>
      <c r="Y278" s="299">
        <f t="shared" si="154"/>
        <v>44.770316079549218</v>
      </c>
      <c r="AB278" s="278">
        <f t="shared" si="147"/>
        <v>-1.689724310094562</v>
      </c>
      <c r="AC278" s="279">
        <f t="shared" si="148"/>
        <v>-30.577518230868641</v>
      </c>
      <c r="AF278" s="278">
        <f t="shared" si="149"/>
        <v>49.683193274884971</v>
      </c>
      <c r="AG278" s="279">
        <f t="shared" si="150"/>
        <v>-104.65216568958213</v>
      </c>
      <c r="AI278">
        <f t="shared" si="151"/>
        <v>0</v>
      </c>
      <c r="AJ278">
        <f t="shared" si="125"/>
        <v>0</v>
      </c>
      <c r="AK278">
        <f t="shared" si="152"/>
        <v>0</v>
      </c>
      <c r="AL278">
        <f t="shared" si="153"/>
        <v>0</v>
      </c>
      <c r="AM278"/>
      <c r="AN278"/>
    </row>
    <row r="279" spans="2:40" x14ac:dyDescent="0.2">
      <c r="B279" s="280">
        <v>17990</v>
      </c>
      <c r="C279" s="270">
        <f t="shared" si="126"/>
        <v>14.728472543350868</v>
      </c>
      <c r="D279" s="271">
        <f t="shared" si="127"/>
        <v>1.5028483505436463</v>
      </c>
      <c r="E279" s="271">
        <f t="shared" si="128"/>
        <v>1.0004317625974501</v>
      </c>
      <c r="F279" s="272">
        <f t="shared" si="129"/>
        <v>2.9380514139408582E-2</v>
      </c>
      <c r="G279" s="271">
        <f t="shared" si="130"/>
        <v>1.0164369689941255</v>
      </c>
      <c r="H279" s="272">
        <f t="shared" si="131"/>
        <v>-0.18008296659268383</v>
      </c>
      <c r="I279" s="270">
        <f t="shared" si="132"/>
        <v>63308.816964856611</v>
      </c>
      <c r="J279" s="273">
        <f t="shared" si="133"/>
        <v>1.5707805312067309</v>
      </c>
      <c r="K279" s="281">
        <f t="shared" si="134"/>
        <v>9.5474129424889629</v>
      </c>
      <c r="L279" s="282">
        <f t="shared" si="135"/>
        <v>1.4658634494090597</v>
      </c>
      <c r="M279" s="270">
        <f t="shared" si="136"/>
        <v>1.1003241868417899</v>
      </c>
      <c r="N279" s="273">
        <f t="shared" si="137"/>
        <v>0.43034214786406777</v>
      </c>
      <c r="O279" s="270">
        <f t="shared" si="138"/>
        <v>4973.6923354156716</v>
      </c>
      <c r="P279" s="273">
        <f t="shared" si="139"/>
        <v>1.570595268920927</v>
      </c>
      <c r="Q279" s="271">
        <f t="shared" si="140"/>
        <v>1.015037662630778</v>
      </c>
      <c r="R279" s="272">
        <f t="shared" si="141"/>
        <v>0.17234620255139757</v>
      </c>
      <c r="S279" s="270">
        <f t="shared" si="142"/>
        <v>1.0000007930175747</v>
      </c>
      <c r="T279" s="273">
        <f t="shared" si="143"/>
        <v>1.2593784583464235E-3</v>
      </c>
      <c r="U279" s="274">
        <f t="shared" si="144"/>
        <v>1.0072493740171069</v>
      </c>
      <c r="V279" s="275">
        <f t="shared" si="145"/>
        <v>0.17521491895450619</v>
      </c>
      <c r="W279" s="276">
        <f t="shared" si="146"/>
        <v>-13.868257058112881</v>
      </c>
      <c r="X279" s="277">
        <f t="shared" si="155"/>
        <v>-135.44865239105309</v>
      </c>
      <c r="Y279" s="299">
        <f t="shared" si="154"/>
        <v>44.551347608946912</v>
      </c>
      <c r="AB279" s="278">
        <f t="shared" si="147"/>
        <v>-1.6989580045281079</v>
      </c>
      <c r="AC279" s="279">
        <f t="shared" si="148"/>
        <v>-30.668094805041299</v>
      </c>
      <c r="AF279" s="278">
        <f t="shared" si="149"/>
        <v>49.634233553396989</v>
      </c>
      <c r="AG279" s="279">
        <f t="shared" si="150"/>
        <v>-104.78055758601181</v>
      </c>
      <c r="AI279">
        <f t="shared" si="151"/>
        <v>0</v>
      </c>
      <c r="AJ279">
        <f t="shared" si="125"/>
        <v>0</v>
      </c>
      <c r="AK279">
        <f t="shared" si="152"/>
        <v>0</v>
      </c>
      <c r="AL279">
        <f t="shared" si="153"/>
        <v>0</v>
      </c>
      <c r="AM279"/>
      <c r="AN279"/>
    </row>
    <row r="280" spans="2:40" x14ac:dyDescent="0.2">
      <c r="B280" s="280">
        <v>18093.5</v>
      </c>
      <c r="C280" s="270">
        <f t="shared" si="126"/>
        <v>14.812818830713077</v>
      </c>
      <c r="D280" s="271">
        <f t="shared" si="127"/>
        <v>1.5032358473795644</v>
      </c>
      <c r="E280" s="271">
        <f t="shared" si="128"/>
        <v>1.0004367438308361</v>
      </c>
      <c r="F280" s="272">
        <f t="shared" si="129"/>
        <v>2.954944790491193E-2</v>
      </c>
      <c r="G280" s="271">
        <f t="shared" si="130"/>
        <v>1.0166250922256488</v>
      </c>
      <c r="H280" s="272">
        <f t="shared" si="131"/>
        <v>-0.18109657727101333</v>
      </c>
      <c r="I280" s="270">
        <f t="shared" si="132"/>
        <v>63673.045011228627</v>
      </c>
      <c r="J280" s="273">
        <f t="shared" si="133"/>
        <v>1.5707806215620173</v>
      </c>
      <c r="K280" s="281">
        <f t="shared" si="134"/>
        <v>9.6017401950771326</v>
      </c>
      <c r="L280" s="282">
        <f t="shared" si="135"/>
        <v>1.4664593363561915</v>
      </c>
      <c r="M280" s="270">
        <f t="shared" si="136"/>
        <v>1.1014285454414647</v>
      </c>
      <c r="N280" s="273">
        <f t="shared" si="137"/>
        <v>0.43252125475378028</v>
      </c>
      <c r="O280" s="270">
        <f t="shared" si="138"/>
        <v>5002.3069622064195</v>
      </c>
      <c r="P280" s="273">
        <f t="shared" si="139"/>
        <v>1.5705964190294963</v>
      </c>
      <c r="Q280" s="271">
        <f t="shared" si="140"/>
        <v>1.0152098896118107</v>
      </c>
      <c r="R280" s="272">
        <f t="shared" si="141"/>
        <v>0.17331806099159955</v>
      </c>
      <c r="S280" s="270">
        <f t="shared" si="142"/>
        <v>1.0000008021685909</v>
      </c>
      <c r="T280" s="273">
        <f t="shared" si="143"/>
        <v>1.2666239020054262E-3</v>
      </c>
      <c r="U280" s="274">
        <f t="shared" si="144"/>
        <v>1.0073331105936976</v>
      </c>
      <c r="V280" s="275">
        <f t="shared" si="145"/>
        <v>0.17621869749100766</v>
      </c>
      <c r="W280" s="276">
        <f t="shared" si="146"/>
        <v>-13.926185382498561</v>
      </c>
      <c r="X280" s="277">
        <f t="shared" si="155"/>
        <v>-135.66748001791771</v>
      </c>
      <c r="Y280" s="299">
        <f t="shared" si="154"/>
        <v>44.332519982082289</v>
      </c>
      <c r="AB280" s="278">
        <f t="shared" si="147"/>
        <v>-1.7082149251494965</v>
      </c>
      <c r="AC280" s="279">
        <f t="shared" si="148"/>
        <v>-30.758811802768683</v>
      </c>
      <c r="AF280" s="278">
        <f t="shared" si="149"/>
        <v>49.585562149632693</v>
      </c>
      <c r="AG280" s="279">
        <f t="shared" si="150"/>
        <v>-104.90866821514904</v>
      </c>
      <c r="AI280">
        <f t="shared" si="151"/>
        <v>0</v>
      </c>
      <c r="AJ280">
        <f t="shared" si="125"/>
        <v>0</v>
      </c>
      <c r="AK280">
        <f t="shared" si="152"/>
        <v>0</v>
      </c>
      <c r="AL280">
        <f t="shared" si="153"/>
        <v>0</v>
      </c>
      <c r="AM280"/>
      <c r="AN280"/>
    </row>
    <row r="281" spans="2:40" x14ac:dyDescent="0.2">
      <c r="B281" s="280">
        <v>18197</v>
      </c>
      <c r="C281" s="270">
        <f t="shared" si="126"/>
        <v>14.897167317089687</v>
      </c>
      <c r="D281" s="271">
        <f t="shared" si="127"/>
        <v>1.5036189562205782</v>
      </c>
      <c r="E281" s="271">
        <f t="shared" si="128"/>
        <v>1.0004417536150185</v>
      </c>
      <c r="F281" s="272">
        <f t="shared" si="129"/>
        <v>2.9718379983340315E-2</v>
      </c>
      <c r="G281" s="271">
        <f t="shared" si="130"/>
        <v>1.0168142595573966</v>
      </c>
      <c r="H281" s="272">
        <f t="shared" si="131"/>
        <v>-0.18210981184734479</v>
      </c>
      <c r="I281" s="270">
        <f t="shared" si="132"/>
        <v>64037.273057601153</v>
      </c>
      <c r="J281" s="273">
        <f t="shared" si="133"/>
        <v>1.5707807108894669</v>
      </c>
      <c r="K281" s="281">
        <f t="shared" si="134"/>
        <v>9.6560708186984527</v>
      </c>
      <c r="L281" s="282">
        <f t="shared" si="135"/>
        <v>1.4670485179032815</v>
      </c>
      <c r="M281" s="270">
        <f t="shared" si="136"/>
        <v>1.1025381236900937</v>
      </c>
      <c r="N281" s="273">
        <f t="shared" si="137"/>
        <v>0.43469598591031033</v>
      </c>
      <c r="O281" s="270">
        <f t="shared" si="138"/>
        <v>5030.9215890037085</v>
      </c>
      <c r="P281" s="273">
        <f t="shared" si="139"/>
        <v>1.5705975560550045</v>
      </c>
      <c r="Q281" s="271">
        <f t="shared" si="140"/>
        <v>1.0153830751417336</v>
      </c>
      <c r="R281" s="272">
        <f t="shared" si="141"/>
        <v>0.17428958882537524</v>
      </c>
      <c r="S281" s="270">
        <f t="shared" si="142"/>
        <v>1.0000008113721033</v>
      </c>
      <c r="T281" s="273">
        <f t="shared" si="143"/>
        <v>1.2738693455314426E-3</v>
      </c>
      <c r="U281" s="274">
        <f t="shared" si="144"/>
        <v>1.0074173294256108</v>
      </c>
      <c r="V281" s="275">
        <f t="shared" si="145"/>
        <v>0.17722240282370974</v>
      </c>
      <c r="W281" s="276">
        <f t="shared" si="146"/>
        <v>-13.983851795111104</v>
      </c>
      <c r="X281" s="277">
        <f t="shared" si="155"/>
        <v>-135.88616400571814</v>
      </c>
      <c r="Y281" s="299">
        <f t="shared" si="154"/>
        <v>44.113835994281857</v>
      </c>
      <c r="AB281" s="278">
        <f t="shared" si="147"/>
        <v>-1.7174950524298691</v>
      </c>
      <c r="AC281" s="279">
        <f t="shared" si="148"/>
        <v>-30.849662221684063</v>
      </c>
      <c r="AF281" s="278">
        <f t="shared" si="149"/>
        <v>49.537175864300522</v>
      </c>
      <c r="AG281" s="279">
        <f t="shared" si="150"/>
        <v>-105.03650178403407</v>
      </c>
      <c r="AI281">
        <f t="shared" si="151"/>
        <v>0</v>
      </c>
      <c r="AJ281">
        <f t="shared" si="125"/>
        <v>0</v>
      </c>
      <c r="AK281">
        <f t="shared" si="152"/>
        <v>0</v>
      </c>
      <c r="AL281">
        <f t="shared" si="153"/>
        <v>0</v>
      </c>
      <c r="AM281"/>
      <c r="AN281"/>
    </row>
    <row r="282" spans="2:40" x14ac:dyDescent="0.2">
      <c r="B282" s="280">
        <v>18303</v>
      </c>
      <c r="C282" s="270">
        <f t="shared" si="126"/>
        <v>14.98355544704545</v>
      </c>
      <c r="D282" s="271">
        <f t="shared" si="127"/>
        <v>1.5040068479519901</v>
      </c>
      <c r="E282" s="271">
        <f t="shared" si="128"/>
        <v>1.000446914001607</v>
      </c>
      <c r="F282" s="272">
        <f t="shared" si="129"/>
        <v>2.9891390788013818E-2</v>
      </c>
      <c r="G282" s="271">
        <f t="shared" si="130"/>
        <v>1.0170090777741148</v>
      </c>
      <c r="H282" s="272">
        <f t="shared" si="131"/>
        <v>-0.18314712889631801</v>
      </c>
      <c r="I282" s="270">
        <f t="shared" si="132"/>
        <v>64410.298882872092</v>
      </c>
      <c r="J282" s="273">
        <f t="shared" si="133"/>
        <v>1.5707808013274267</v>
      </c>
      <c r="K282" s="281">
        <f t="shared" si="134"/>
        <v>9.7117172112644656</v>
      </c>
      <c r="L282" s="282">
        <f t="shared" si="135"/>
        <v>1.4676450977458395</v>
      </c>
      <c r="M282" s="270">
        <f t="shared" si="136"/>
        <v>1.1036798971855921</v>
      </c>
      <c r="N282" s="273">
        <f t="shared" si="137"/>
        <v>0.43691870358415974</v>
      </c>
      <c r="O282" s="270">
        <f t="shared" si="138"/>
        <v>5060.2273903679834</v>
      </c>
      <c r="P282" s="273">
        <f t="shared" si="139"/>
        <v>1.5705987072159004</v>
      </c>
      <c r="Q282" s="271">
        <f t="shared" si="140"/>
        <v>1.0155614369431598</v>
      </c>
      <c r="R282" s="272">
        <f t="shared" si="141"/>
        <v>0.17528423909464158</v>
      </c>
      <c r="S282" s="270">
        <f t="shared" si="142"/>
        <v>1.0000008208523368</v>
      </c>
      <c r="T282" s="273">
        <f t="shared" si="143"/>
        <v>1.281289799632009E-3</v>
      </c>
      <c r="U282" s="274">
        <f t="shared" si="144"/>
        <v>1.0075040824311396</v>
      </c>
      <c r="V282" s="275">
        <f t="shared" si="145"/>
        <v>0.17825027593864939</v>
      </c>
      <c r="W282" s="276">
        <f t="shared" si="146"/>
        <v>-14.042642899065489</v>
      </c>
      <c r="X282" s="277">
        <f t="shared" si="155"/>
        <v>-136.10997847255521</v>
      </c>
      <c r="Y282" s="299">
        <f t="shared" si="154"/>
        <v>43.890021527444787</v>
      </c>
      <c r="AB282" s="278">
        <f t="shared" si="147"/>
        <v>-1.7270233653140974</v>
      </c>
      <c r="AC282" s="279">
        <f t="shared" si="148"/>
        <v>-30.942838238037023</v>
      </c>
      <c r="AF282" s="278">
        <f t="shared" si="149"/>
        <v>49.487913073230359</v>
      </c>
      <c r="AG282" s="279">
        <f t="shared" si="150"/>
        <v>-105.16714023451817</v>
      </c>
      <c r="AI282">
        <f t="shared" si="151"/>
        <v>0</v>
      </c>
      <c r="AJ282">
        <f t="shared" ref="AJ282:AJ345" si="156">IF(AI282&gt;0,Y282,0)</f>
        <v>0</v>
      </c>
      <c r="AK282">
        <f t="shared" si="152"/>
        <v>0</v>
      </c>
      <c r="AL282">
        <f t="shared" si="153"/>
        <v>0</v>
      </c>
      <c r="AM282"/>
      <c r="AN282"/>
    </row>
    <row r="283" spans="2:40" x14ac:dyDescent="0.2">
      <c r="B283" s="280">
        <v>18409</v>
      </c>
      <c r="C283" s="270">
        <f t="shared" si="126"/>
        <v>15.06994580557981</v>
      </c>
      <c r="D283" s="271">
        <f t="shared" si="127"/>
        <v>1.5043902924643333</v>
      </c>
      <c r="E283" s="271">
        <f t="shared" si="128"/>
        <v>1.0004521043340018</v>
      </c>
      <c r="F283" s="272">
        <f t="shared" si="129"/>
        <v>3.0064399802710338E-2</v>
      </c>
      <c r="G283" s="271">
        <f t="shared" si="130"/>
        <v>1.0172049898998488</v>
      </c>
      <c r="H283" s="272">
        <f t="shared" si="131"/>
        <v>-0.18418404748933093</v>
      </c>
      <c r="I283" s="270">
        <f t="shared" si="132"/>
        <v>64783.32470814354</v>
      </c>
      <c r="J283" s="273">
        <f t="shared" si="133"/>
        <v>1.5707808907238932</v>
      </c>
      <c r="K283" s="281">
        <f t="shared" si="134"/>
        <v>9.7673670209185826</v>
      </c>
      <c r="L283" s="282">
        <f t="shared" si="135"/>
        <v>1.468234879740175</v>
      </c>
      <c r="M283" s="270">
        <f t="shared" si="136"/>
        <v>1.1048271120969846</v>
      </c>
      <c r="N283" s="273">
        <f t="shared" si="137"/>
        <v>0.43913681620869049</v>
      </c>
      <c r="O283" s="270">
        <f t="shared" si="138"/>
        <v>5089.5331917388858</v>
      </c>
      <c r="P283" s="273">
        <f t="shared" si="139"/>
        <v>1.5705998451199059</v>
      </c>
      <c r="Q283" s="271">
        <f t="shared" si="140"/>
        <v>1.0157408031156931</v>
      </c>
      <c r="R283" s="272">
        <f t="shared" si="141"/>
        <v>0.1762785390635736</v>
      </c>
      <c r="S283" s="270">
        <f t="shared" si="142"/>
        <v>1.0000008303876335</v>
      </c>
      <c r="T283" s="273">
        <f t="shared" si="143"/>
        <v>1.2887102535914716E-3</v>
      </c>
      <c r="U283" s="274">
        <f t="shared" si="144"/>
        <v>1.0075913413385378</v>
      </c>
      <c r="V283" s="275">
        <f t="shared" si="145"/>
        <v>0.17927807139612051</v>
      </c>
      <c r="W283" s="276">
        <f t="shared" si="146"/>
        <v>-14.101165848998383</v>
      </c>
      <c r="X283" s="277">
        <f t="shared" si="155"/>
        <v>-136.33363653422649</v>
      </c>
      <c r="Y283" s="299">
        <f t="shared" si="154"/>
        <v>43.666363465773514</v>
      </c>
      <c r="AB283" s="278">
        <f t="shared" si="147"/>
        <v>-1.7365759602005366</v>
      </c>
      <c r="AC283" s="279">
        <f t="shared" si="148"/>
        <v>-31.036139832839329</v>
      </c>
      <c r="AF283" s="278">
        <f t="shared" si="149"/>
        <v>49.43894271818391</v>
      </c>
      <c r="AG283" s="279">
        <f t="shared" si="150"/>
        <v>-105.29749670138716</v>
      </c>
      <c r="AI283">
        <f t="shared" si="151"/>
        <v>0</v>
      </c>
      <c r="AJ283">
        <f t="shared" si="156"/>
        <v>0</v>
      </c>
      <c r="AK283">
        <f t="shared" si="152"/>
        <v>0</v>
      </c>
      <c r="AL283">
        <f t="shared" si="153"/>
        <v>0</v>
      </c>
      <c r="AM283"/>
      <c r="AN283"/>
    </row>
    <row r="284" spans="2:40" x14ac:dyDescent="0.2">
      <c r="B284" s="280">
        <v>18515</v>
      </c>
      <c r="C284" s="270">
        <f t="shared" si="126"/>
        <v>15.15633835458441</v>
      </c>
      <c r="D284" s="271">
        <f t="shared" si="127"/>
        <v>1.5047693656925731</v>
      </c>
      <c r="E284" s="271">
        <f t="shared" si="128"/>
        <v>1.000457324611737</v>
      </c>
      <c r="F284" s="272">
        <f t="shared" si="129"/>
        <v>3.0237407017100763E-2</v>
      </c>
      <c r="G284" s="271">
        <f t="shared" si="130"/>
        <v>1.0174019953026656</v>
      </c>
      <c r="H284" s="272">
        <f t="shared" si="131"/>
        <v>-0.18522056562742173</v>
      </c>
      <c r="I284" s="270">
        <f t="shared" si="132"/>
        <v>65156.35053341552</v>
      </c>
      <c r="J284" s="273">
        <f t="shared" si="133"/>
        <v>1.5707809790967544</v>
      </c>
      <c r="K284" s="281">
        <f t="shared" si="134"/>
        <v>9.8230201895848879</v>
      </c>
      <c r="L284" s="282">
        <f t="shared" si="135"/>
        <v>1.4688179790138458</v>
      </c>
      <c r="M284" s="270">
        <f t="shared" si="136"/>
        <v>1.1059797514913929</v>
      </c>
      <c r="N284" s="273">
        <f t="shared" si="137"/>
        <v>0.44135031632182248</v>
      </c>
      <c r="O284" s="270">
        <f t="shared" si="138"/>
        <v>5118.8389931163047</v>
      </c>
      <c r="P284" s="273">
        <f t="shared" si="139"/>
        <v>1.570600969994711</v>
      </c>
      <c r="Q284" s="271">
        <f t="shared" si="140"/>
        <v>1.0159211731273523</v>
      </c>
      <c r="R284" s="272">
        <f t="shared" si="141"/>
        <v>0.17727248695224188</v>
      </c>
      <c r="S284" s="270">
        <f t="shared" si="142"/>
        <v>1.0000008399779934</v>
      </c>
      <c r="T284" s="273">
        <f t="shared" si="143"/>
        <v>1.2961307074090135E-3</v>
      </c>
      <c r="U284" s="274">
        <f t="shared" si="144"/>
        <v>1.0076791061823942</v>
      </c>
      <c r="V284" s="275">
        <f t="shared" si="145"/>
        <v>0.18030578875382453</v>
      </c>
      <c r="W284" s="276">
        <f t="shared" si="146"/>
        <v>-14.159423873248295</v>
      </c>
      <c r="X284" s="277">
        <f t="shared" si="155"/>
        <v>-136.55713537935895</v>
      </c>
      <c r="Y284" s="299">
        <f t="shared" si="154"/>
        <v>43.442864620641046</v>
      </c>
      <c r="AB284" s="278">
        <f t="shared" si="147"/>
        <v>-1.7461527984741398</v>
      </c>
      <c r="AC284" s="279">
        <f t="shared" si="148"/>
        <v>-31.129559983247002</v>
      </c>
      <c r="AF284" s="278">
        <f t="shared" si="149"/>
        <v>49.390261532207603</v>
      </c>
      <c r="AG284" s="279">
        <f t="shared" si="150"/>
        <v>-105.42757539611196</v>
      </c>
      <c r="AI284">
        <f t="shared" si="151"/>
        <v>0</v>
      </c>
      <c r="AJ284">
        <f t="shared" si="156"/>
        <v>0</v>
      </c>
      <c r="AK284">
        <f t="shared" si="152"/>
        <v>0</v>
      </c>
      <c r="AL284">
        <f t="shared" si="153"/>
        <v>0</v>
      </c>
      <c r="AM284"/>
      <c r="AN284"/>
    </row>
    <row r="285" spans="2:40" x14ac:dyDescent="0.2">
      <c r="B285" s="280">
        <v>18621</v>
      </c>
      <c r="C285" s="270">
        <f t="shared" si="126"/>
        <v>15.242733056813902</v>
      </c>
      <c r="D285" s="271">
        <f t="shared" si="127"/>
        <v>1.5051441418551907</v>
      </c>
      <c r="E285" s="271">
        <f t="shared" si="128"/>
        <v>1.0004625748343439</v>
      </c>
      <c r="F285" s="272">
        <f t="shared" si="129"/>
        <v>3.0410412420856629E-2</v>
      </c>
      <c r="G285" s="271">
        <f t="shared" si="130"/>
        <v>1.0176000933475962</v>
      </c>
      <c r="H285" s="272">
        <f t="shared" si="131"/>
        <v>-0.18625668131661408</v>
      </c>
      <c r="I285" s="270">
        <f t="shared" si="132"/>
        <v>65529.376358687987</v>
      </c>
      <c r="J285" s="273">
        <f t="shared" si="133"/>
        <v>1.5707810664634909</v>
      </c>
      <c r="K285" s="281">
        <f t="shared" si="134"/>
        <v>9.878676660492717</v>
      </c>
      <c r="L285" s="282">
        <f t="shared" si="135"/>
        <v>1.4693945081183075</v>
      </c>
      <c r="M285" s="270">
        <f t="shared" si="136"/>
        <v>1.1071377984265556</v>
      </c>
      <c r="N285" s="273">
        <f t="shared" si="137"/>
        <v>0.44355919667327132</v>
      </c>
      <c r="O285" s="270">
        <f t="shared" si="138"/>
        <v>5148.1447945001255</v>
      </c>
      <c r="P285" s="273">
        <f t="shared" si="139"/>
        <v>1.5706020820628221</v>
      </c>
      <c r="Q285" s="271">
        <f t="shared" si="140"/>
        <v>1.0161025464435585</v>
      </c>
      <c r="R285" s="272">
        <f t="shared" si="141"/>
        <v>0.17826608098475996</v>
      </c>
      <c r="S285" s="270">
        <f t="shared" si="142"/>
        <v>1.0000008496234163</v>
      </c>
      <c r="T285" s="273">
        <f t="shared" si="143"/>
        <v>1.3035511610838169E-3</v>
      </c>
      <c r="U285" s="274">
        <f t="shared" si="144"/>
        <v>1.0077673769974826</v>
      </c>
      <c r="V285" s="275">
        <f t="shared" si="145"/>
        <v>0.18133342756959239</v>
      </c>
      <c r="W285" s="276">
        <f t="shared" si="146"/>
        <v>-14.21742013989256</v>
      </c>
      <c r="X285" s="277">
        <f t="shared" si="155"/>
        <v>-136.78047225823678</v>
      </c>
      <c r="Y285" s="299">
        <f t="shared" si="154"/>
        <v>43.219527741763216</v>
      </c>
      <c r="AB285" s="278">
        <f t="shared" si="147"/>
        <v>-1.7557538360149754</v>
      </c>
      <c r="AC285" s="279">
        <f t="shared" si="148"/>
        <v>-31.223091826127565</v>
      </c>
      <c r="AF285" s="278">
        <f t="shared" si="149"/>
        <v>49.341866303104176</v>
      </c>
      <c r="AG285" s="279">
        <f t="shared" si="150"/>
        <v>-105.55738043210921</v>
      </c>
      <c r="AI285">
        <f t="shared" si="151"/>
        <v>0</v>
      </c>
      <c r="AJ285">
        <f t="shared" si="156"/>
        <v>0</v>
      </c>
      <c r="AK285">
        <f t="shared" si="152"/>
        <v>0</v>
      </c>
      <c r="AL285">
        <f t="shared" si="153"/>
        <v>0</v>
      </c>
      <c r="AM285"/>
      <c r="AN285"/>
    </row>
    <row r="286" spans="2:40" x14ac:dyDescent="0.2">
      <c r="B286" s="280">
        <v>18729.5</v>
      </c>
      <c r="C286" s="270">
        <f t="shared" si="126"/>
        <v>15.331167561948115</v>
      </c>
      <c r="D286" s="271">
        <f t="shared" si="127"/>
        <v>1.505523382516307</v>
      </c>
      <c r="E286" s="271">
        <f t="shared" si="128"/>
        <v>1.000467979895034</v>
      </c>
      <c r="F286" s="272">
        <f t="shared" si="129"/>
        <v>3.0587496254765052E-2</v>
      </c>
      <c r="G286" s="271">
        <f t="shared" si="130"/>
        <v>1.0178039944510677</v>
      </c>
      <c r="H286" s="272">
        <f t="shared" si="131"/>
        <v>-0.1873168148221285</v>
      </c>
      <c r="I286" s="270">
        <f t="shared" si="132"/>
        <v>65911.199962858896</v>
      </c>
      <c r="J286" s="273">
        <f t="shared" si="133"/>
        <v>1.5707811548665962</v>
      </c>
      <c r="K286" s="281">
        <f t="shared" si="134"/>
        <v>9.9356491460758587</v>
      </c>
      <c r="L286" s="282">
        <f t="shared" si="135"/>
        <v>1.4699779450269965</v>
      </c>
      <c r="M286" s="270">
        <f t="shared" si="136"/>
        <v>1.108328740445446</v>
      </c>
      <c r="N286" s="273">
        <f t="shared" si="137"/>
        <v>0.44581538143114774</v>
      </c>
      <c r="O286" s="270">
        <f t="shared" si="138"/>
        <v>5178.1417704514042</v>
      </c>
      <c r="P286" s="273">
        <f t="shared" si="139"/>
        <v>1.5706032073225944</v>
      </c>
      <c r="Q286" s="271">
        <f t="shared" si="140"/>
        <v>1.0162892359494582</v>
      </c>
      <c r="R286" s="272">
        <f t="shared" si="141"/>
        <v>0.17928274051633372</v>
      </c>
      <c r="S286" s="270">
        <f t="shared" si="142"/>
        <v>1.0000008595533523</v>
      </c>
      <c r="T286" s="273">
        <f t="shared" si="143"/>
        <v>1.3111466253098174E-3</v>
      </c>
      <c r="U286" s="274">
        <f t="shared" si="144"/>
        <v>1.0078582537197875</v>
      </c>
      <c r="V286" s="275">
        <f t="shared" si="145"/>
        <v>0.18238522134609841</v>
      </c>
      <c r="W286" s="276">
        <f t="shared" si="146"/>
        <v>-14.276516397379851</v>
      </c>
      <c r="X286" s="277">
        <f t="shared" si="155"/>
        <v>-137.0089059682067</v>
      </c>
      <c r="Y286" s="299">
        <f t="shared" si="154"/>
        <v>42.991094031793295</v>
      </c>
      <c r="AB286" s="278">
        <f t="shared" si="147"/>
        <v>-1.7656063236141861</v>
      </c>
      <c r="AC286" s="279">
        <f t="shared" si="148"/>
        <v>-31.318938283200403</v>
      </c>
      <c r="AF286" s="278">
        <f t="shared" si="149"/>
        <v>49.292622533216097</v>
      </c>
      <c r="AG286" s="279">
        <f t="shared" si="150"/>
        <v>-105.68996768500629</v>
      </c>
      <c r="AI286">
        <f t="shared" si="151"/>
        <v>0</v>
      </c>
      <c r="AJ286">
        <f t="shared" si="156"/>
        <v>0</v>
      </c>
      <c r="AK286">
        <f t="shared" si="152"/>
        <v>0</v>
      </c>
      <c r="AL286">
        <f t="shared" si="153"/>
        <v>0</v>
      </c>
      <c r="AM286"/>
      <c r="AN286"/>
    </row>
    <row r="287" spans="2:40" x14ac:dyDescent="0.2">
      <c r="B287" s="280">
        <v>18838</v>
      </c>
      <c r="C287" s="270">
        <f t="shared" si="126"/>
        <v>15.419604246771978</v>
      </c>
      <c r="D287" s="271">
        <f t="shared" si="127"/>
        <v>1.5058982730819799</v>
      </c>
      <c r="E287" s="271">
        <f t="shared" si="128"/>
        <v>1.0004734163287441</v>
      </c>
      <c r="F287" s="272">
        <f t="shared" si="129"/>
        <v>3.0764578169728524E-2</v>
      </c>
      <c r="G287" s="271">
        <f t="shared" si="130"/>
        <v>1.0180090389882166</v>
      </c>
      <c r="H287" s="272">
        <f t="shared" si="131"/>
        <v>-0.1883765224599725</v>
      </c>
      <c r="I287" s="270">
        <f t="shared" si="132"/>
        <v>66293.023567030337</v>
      </c>
      <c r="J287" s="273">
        <f t="shared" si="133"/>
        <v>1.5707812422513621</v>
      </c>
      <c r="K287" s="281">
        <f t="shared" si="134"/>
        <v>9.9926249751740972</v>
      </c>
      <c r="L287" s="282">
        <f t="shared" si="135"/>
        <v>1.4705547288630398</v>
      </c>
      <c r="M287" s="270">
        <f t="shared" si="136"/>
        <v>1.1095253121390056</v>
      </c>
      <c r="N287" s="273">
        <f t="shared" si="137"/>
        <v>0.44806671124691611</v>
      </c>
      <c r="O287" s="270">
        <f t="shared" si="138"/>
        <v>5208.1387464091631</v>
      </c>
      <c r="P287" s="273">
        <f t="shared" si="139"/>
        <v>1.5706043196201964</v>
      </c>
      <c r="Q287" s="271">
        <f t="shared" si="140"/>
        <v>1.0164769755019749</v>
      </c>
      <c r="R287" s="272">
        <f t="shared" si="141"/>
        <v>0.18029902555147387</v>
      </c>
      <c r="S287" s="270">
        <f t="shared" si="142"/>
        <v>1.0000008695409792</v>
      </c>
      <c r="T287" s="273">
        <f t="shared" si="143"/>
        <v>1.3187420893845351E-3</v>
      </c>
      <c r="U287" s="274">
        <f t="shared" si="144"/>
        <v>1.0079496606356539</v>
      </c>
      <c r="V287" s="275">
        <f t="shared" si="145"/>
        <v>0.18343693189512031</v>
      </c>
      <c r="W287" s="276">
        <f t="shared" si="146"/>
        <v>-14.335344934145864</v>
      </c>
      <c r="X287" s="277">
        <f t="shared" si="155"/>
        <v>-137.23716434395521</v>
      </c>
      <c r="Y287" s="299">
        <f t="shared" si="154"/>
        <v>42.762835656044786</v>
      </c>
      <c r="AB287" s="278">
        <f t="shared" si="147"/>
        <v>-1.7754840551065287</v>
      </c>
      <c r="AC287" s="279">
        <f t="shared" si="148"/>
        <v>-31.414887707217531</v>
      </c>
      <c r="AF287" s="278">
        <f t="shared" si="149"/>
        <v>49.24367172794242</v>
      </c>
      <c r="AG287" s="279">
        <f t="shared" si="150"/>
        <v>-105.8222766367377</v>
      </c>
      <c r="AI287">
        <f t="shared" si="151"/>
        <v>0</v>
      </c>
      <c r="AJ287">
        <f t="shared" si="156"/>
        <v>0</v>
      </c>
      <c r="AK287">
        <f t="shared" si="152"/>
        <v>0</v>
      </c>
      <c r="AL287">
        <f t="shared" si="153"/>
        <v>0</v>
      </c>
      <c r="AM287"/>
      <c r="AN287"/>
    </row>
    <row r="288" spans="2:40" x14ac:dyDescent="0.2">
      <c r="B288" s="280">
        <v>18946.5</v>
      </c>
      <c r="C288" s="270">
        <f t="shared" si="126"/>
        <v>15.508043073995582</v>
      </c>
      <c r="D288" s="271">
        <f t="shared" si="127"/>
        <v>1.5062688878687231</v>
      </c>
      <c r="E288" s="271">
        <f t="shared" si="128"/>
        <v>1.0004788841349626</v>
      </c>
      <c r="F288" s="272">
        <f t="shared" si="129"/>
        <v>3.0941658154672546E-2</v>
      </c>
      <c r="G288" s="271">
        <f t="shared" si="130"/>
        <v>1.0182152262682616</v>
      </c>
      <c r="H288" s="272">
        <f t="shared" si="131"/>
        <v>-0.18943580210808567</v>
      </c>
      <c r="I288" s="270">
        <f t="shared" si="132"/>
        <v>66674.847171202273</v>
      </c>
      <c r="J288" s="273">
        <f t="shared" si="133"/>
        <v>1.5707813286352839</v>
      </c>
      <c r="K288" s="281">
        <f t="shared" si="134"/>
        <v>10.049604090919656</v>
      </c>
      <c r="L288" s="282">
        <f t="shared" si="135"/>
        <v>1.471124972403884</v>
      </c>
      <c r="M288" s="270">
        <f t="shared" si="136"/>
        <v>1.1107274953129176</v>
      </c>
      <c r="N288" s="273">
        <f t="shared" si="137"/>
        <v>0.45031317902634244</v>
      </c>
      <c r="O288" s="270">
        <f t="shared" si="138"/>
        <v>5238.1357223732921</v>
      </c>
      <c r="P288" s="273">
        <f t="shared" si="139"/>
        <v>1.5706054191783179</v>
      </c>
      <c r="Q288" s="271">
        <f t="shared" si="140"/>
        <v>1.0166657645193971</v>
      </c>
      <c r="R288" s="272">
        <f t="shared" si="141"/>
        <v>0.18131493419892009</v>
      </c>
      <c r="S288" s="270">
        <f t="shared" si="142"/>
        <v>1.0000008795862974</v>
      </c>
      <c r="T288" s="273">
        <f t="shared" si="143"/>
        <v>1.3263375533070932E-3</v>
      </c>
      <c r="U288" s="274">
        <f t="shared" si="144"/>
        <v>1.008041597782974</v>
      </c>
      <c r="V288" s="275">
        <f t="shared" si="145"/>
        <v>0.1844885587428868</v>
      </c>
      <c r="W288" s="276">
        <f t="shared" si="146"/>
        <v>-14.393908960787307</v>
      </c>
      <c r="X288" s="277">
        <f t="shared" si="155"/>
        <v>-137.46524462827031</v>
      </c>
      <c r="Y288" s="299">
        <f t="shared" si="154"/>
        <v>42.534755371729688</v>
      </c>
      <c r="AB288" s="278">
        <f t="shared" si="147"/>
        <v>-1.7853869666061641</v>
      </c>
      <c r="AC288" s="279">
        <f t="shared" si="148"/>
        <v>-31.510933231039957</v>
      </c>
      <c r="AF288" s="278">
        <f t="shared" si="149"/>
        <v>49.195010612800615</v>
      </c>
      <c r="AG288" s="279">
        <f t="shared" si="150"/>
        <v>-105.95431139723036</v>
      </c>
      <c r="AI288">
        <f t="shared" si="151"/>
        <v>0</v>
      </c>
      <c r="AJ288">
        <f t="shared" si="156"/>
        <v>0</v>
      </c>
      <c r="AK288">
        <f t="shared" si="152"/>
        <v>0</v>
      </c>
      <c r="AL288">
        <f t="shared" si="153"/>
        <v>0</v>
      </c>
      <c r="AM288"/>
      <c r="AN288"/>
    </row>
    <row r="289" spans="2:40" x14ac:dyDescent="0.2">
      <c r="B289" s="280">
        <v>19055</v>
      </c>
      <c r="C289" s="270">
        <f t="shared" si="126"/>
        <v>15.596484007173917</v>
      </c>
      <c r="D289" s="271">
        <f t="shared" si="127"/>
        <v>1.5066352995121421</v>
      </c>
      <c r="E289" s="271">
        <f t="shared" si="128"/>
        <v>1.0004843833131751</v>
      </c>
      <c r="F289" s="272">
        <f t="shared" si="129"/>
        <v>3.1118736198523341E-2</v>
      </c>
      <c r="G289" s="271">
        <f t="shared" si="130"/>
        <v>1.0184225555971318</v>
      </c>
      <c r="H289" s="272">
        <f t="shared" si="131"/>
        <v>-0.19049465164996315</v>
      </c>
      <c r="I289" s="270">
        <f t="shared" si="132"/>
        <v>67056.670775374674</v>
      </c>
      <c r="J289" s="273">
        <f t="shared" si="133"/>
        <v>1.5707814140354579</v>
      </c>
      <c r="K289" s="281">
        <f t="shared" si="134"/>
        <v>10.106586437723958</v>
      </c>
      <c r="L289" s="282">
        <f t="shared" si="135"/>
        <v>1.471688785900791</v>
      </c>
      <c r="M289" s="270">
        <f t="shared" si="136"/>
        <v>1.1119352717664091</v>
      </c>
      <c r="N289" s="273">
        <f t="shared" si="137"/>
        <v>0.45255477790209436</v>
      </c>
      <c r="O289" s="270">
        <f t="shared" si="138"/>
        <v>5268.1326983436829</v>
      </c>
      <c r="P289" s="273">
        <f t="shared" si="139"/>
        <v>1.570606506214576</v>
      </c>
      <c r="Q289" s="271">
        <f t="shared" si="140"/>
        <v>1.0168556024171955</v>
      </c>
      <c r="R289" s="272">
        <f t="shared" si="141"/>
        <v>0.18233046457192037</v>
      </c>
      <c r="S289" s="270">
        <f t="shared" si="142"/>
        <v>1.0000008896893067</v>
      </c>
      <c r="T289" s="273">
        <f t="shared" si="143"/>
        <v>1.3339330170766158E-3</v>
      </c>
      <c r="U289" s="274">
        <f t="shared" si="144"/>
        <v>1.0081340651998398</v>
      </c>
      <c r="V289" s="275">
        <f t="shared" si="145"/>
        <v>0.18554010141577226</v>
      </c>
      <c r="W289" s="276">
        <f t="shared" si="146"/>
        <v>-14.452211627817979</v>
      </c>
      <c r="X289" s="277">
        <f t="shared" si="155"/>
        <v>-137.69314412567488</v>
      </c>
      <c r="Y289" s="299">
        <f t="shared" si="154"/>
        <v>42.306855874325123</v>
      </c>
      <c r="AB289" s="278">
        <f t="shared" si="147"/>
        <v>-1.7953149890685138</v>
      </c>
      <c r="AC289" s="279">
        <f t="shared" si="148"/>
        <v>-31.607068145246064</v>
      </c>
      <c r="AF289" s="278">
        <f t="shared" si="149"/>
        <v>49.146635968232289</v>
      </c>
      <c r="AG289" s="279">
        <f t="shared" si="150"/>
        <v>-106.08607598042882</v>
      </c>
      <c r="AI289">
        <f t="shared" si="151"/>
        <v>0</v>
      </c>
      <c r="AJ289">
        <f t="shared" si="156"/>
        <v>0</v>
      </c>
      <c r="AK289">
        <f t="shared" si="152"/>
        <v>0</v>
      </c>
      <c r="AL289">
        <f t="shared" si="153"/>
        <v>0</v>
      </c>
      <c r="AM289"/>
      <c r="AN289"/>
    </row>
    <row r="290" spans="2:40" x14ac:dyDescent="0.2">
      <c r="B290" s="280">
        <v>19165.75</v>
      </c>
      <c r="C290" s="270">
        <f t="shared" si="126"/>
        <v>15.686761103846537</v>
      </c>
      <c r="D290" s="271">
        <f t="shared" si="127"/>
        <v>1.5070050484869952</v>
      </c>
      <c r="E290" s="271">
        <f t="shared" si="128"/>
        <v>1.0004900288837049</v>
      </c>
      <c r="F290" s="272">
        <f t="shared" si="129"/>
        <v>3.1299484354318424E-2</v>
      </c>
      <c r="G290" s="271">
        <f t="shared" si="130"/>
        <v>1.0186353614768988</v>
      </c>
      <c r="H290" s="272">
        <f t="shared" si="131"/>
        <v>-0.19157501313157371</v>
      </c>
      <c r="I290" s="270">
        <f t="shared" si="132"/>
        <v>67446.41238055579</v>
      </c>
      <c r="J290" s="273">
        <f t="shared" si="133"/>
        <v>1.5707815002093934</v>
      </c>
      <c r="K290" s="281">
        <f t="shared" si="134"/>
        <v>10.164753721928616</v>
      </c>
      <c r="L290" s="282">
        <f t="shared" si="135"/>
        <v>1.4722577718702274</v>
      </c>
      <c r="M290" s="270">
        <f t="shared" si="136"/>
        <v>1.113173843835793</v>
      </c>
      <c r="N290" s="273">
        <f t="shared" si="137"/>
        <v>0.45483783324845806</v>
      </c>
      <c r="O290" s="270">
        <f t="shared" si="138"/>
        <v>5298.7517314257966</v>
      </c>
      <c r="P290" s="273">
        <f t="shared" si="139"/>
        <v>1.5706076030998413</v>
      </c>
      <c r="Q290" s="271">
        <f t="shared" si="140"/>
        <v>1.0170504581680231</v>
      </c>
      <c r="R290" s="272">
        <f t="shared" si="141"/>
        <v>0.18336666225357923</v>
      </c>
      <c r="S290" s="270">
        <f t="shared" si="142"/>
        <v>1.0000009000613235</v>
      </c>
      <c r="T290" s="273">
        <f t="shared" si="143"/>
        <v>1.3416859903047395E-3</v>
      </c>
      <c r="U290" s="274">
        <f t="shared" si="144"/>
        <v>1.0082289970616753</v>
      </c>
      <c r="V290" s="275">
        <f t="shared" si="145"/>
        <v>0.18661336297011163</v>
      </c>
      <c r="W290" s="276">
        <f t="shared" si="146"/>
        <v>-14.511457001101487</v>
      </c>
      <c r="X290" s="277">
        <f t="shared" si="155"/>
        <v>-137.92558046404685</v>
      </c>
      <c r="Y290" s="299">
        <f t="shared" si="154"/>
        <v>42.074419535953155</v>
      </c>
      <c r="AB290" s="278">
        <f t="shared" si="147"/>
        <v>-1.8054747127732886</v>
      </c>
      <c r="AC290" s="279">
        <f t="shared" si="148"/>
        <v>-31.705282023739425</v>
      </c>
      <c r="AF290" s="278">
        <f t="shared" si="149"/>
        <v>49.09755031865356</v>
      </c>
      <c r="AG290" s="279">
        <f t="shared" si="150"/>
        <v>-106.22029844030743</v>
      </c>
      <c r="AI290">
        <f t="shared" si="151"/>
        <v>0</v>
      </c>
      <c r="AJ290">
        <f t="shared" si="156"/>
        <v>0</v>
      </c>
      <c r="AK290">
        <f t="shared" si="152"/>
        <v>0</v>
      </c>
      <c r="AL290">
        <f t="shared" si="153"/>
        <v>0</v>
      </c>
      <c r="AM290"/>
      <c r="AN290"/>
    </row>
    <row r="291" spans="2:40" x14ac:dyDescent="0.2">
      <c r="B291" s="280">
        <v>19276.5</v>
      </c>
      <c r="C291" s="270">
        <f t="shared" si="126"/>
        <v>15.777040320580529</v>
      </c>
      <c r="D291" s="271">
        <f t="shared" si="127"/>
        <v>1.5073705659638346</v>
      </c>
      <c r="E291" s="271">
        <f t="shared" si="128"/>
        <v>1.0004957071397702</v>
      </c>
      <c r="F291" s="272">
        <f t="shared" si="129"/>
        <v>3.1480230464366807E-2</v>
      </c>
      <c r="G291" s="271">
        <f t="shared" si="130"/>
        <v>1.0188493557909646</v>
      </c>
      <c r="H291" s="272">
        <f t="shared" si="131"/>
        <v>-0.19265492204513146</v>
      </c>
      <c r="I291" s="270">
        <f t="shared" si="132"/>
        <v>67836.153985737386</v>
      </c>
      <c r="J291" s="273">
        <f t="shared" si="133"/>
        <v>1.5707815853931324</v>
      </c>
      <c r="K291" s="281">
        <f t="shared" si="134"/>
        <v>10.222924259472759</v>
      </c>
      <c r="L291" s="282">
        <f t="shared" si="135"/>
        <v>1.4728202827261219</v>
      </c>
      <c r="M291" s="270">
        <f t="shared" si="136"/>
        <v>1.114418205232715</v>
      </c>
      <c r="N291" s="273">
        <f t="shared" si="137"/>
        <v>0.4571158019188194</v>
      </c>
      <c r="O291" s="270">
        <f t="shared" si="138"/>
        <v>5329.3707645142122</v>
      </c>
      <c r="P291" s="273">
        <f t="shared" si="139"/>
        <v>1.5706086873811544</v>
      </c>
      <c r="Q291" s="271">
        <f t="shared" si="140"/>
        <v>1.0172464055126207</v>
      </c>
      <c r="R291" s="272">
        <f t="shared" si="141"/>
        <v>0.18440246185134793</v>
      </c>
      <c r="S291" s="270">
        <f t="shared" si="142"/>
        <v>1.0000009104934489</v>
      </c>
      <c r="T291" s="273">
        <f t="shared" si="143"/>
        <v>1.3494389633715693E-3</v>
      </c>
      <c r="U291" s="274">
        <f t="shared" si="144"/>
        <v>1.0083244814946803</v>
      </c>
      <c r="V291" s="275">
        <f t="shared" si="145"/>
        <v>0.18768653582553618</v>
      </c>
      <c r="W291" s="276">
        <f t="shared" si="146"/>
        <v>-14.570436510487173</v>
      </c>
      <c r="X291" s="277">
        <f t="shared" si="155"/>
        <v>-138.15782295521853</v>
      </c>
      <c r="Y291" s="299">
        <f t="shared" si="154"/>
        <v>41.842177044781465</v>
      </c>
      <c r="AB291" s="278">
        <f t="shared" si="147"/>
        <v>-1.815660438777555</v>
      </c>
      <c r="AC291" s="279">
        <f t="shared" si="148"/>
        <v>-31.803575397109842</v>
      </c>
      <c r="AF291" s="278">
        <f t="shared" si="149"/>
        <v>49.04875653527214</v>
      </c>
      <c r="AG291" s="279">
        <f t="shared" si="150"/>
        <v>-106.35424755810865</v>
      </c>
      <c r="AI291">
        <f t="shared" si="151"/>
        <v>0</v>
      </c>
      <c r="AJ291">
        <f t="shared" si="156"/>
        <v>0</v>
      </c>
      <c r="AK291">
        <f t="shared" si="152"/>
        <v>0</v>
      </c>
      <c r="AL291">
        <f t="shared" si="153"/>
        <v>0</v>
      </c>
      <c r="AM291"/>
      <c r="AN291"/>
    </row>
    <row r="292" spans="2:40" x14ac:dyDescent="0.2">
      <c r="B292" s="280">
        <v>19387.25</v>
      </c>
      <c r="C292" s="270">
        <f t="shared" si="126"/>
        <v>15.867321621188788</v>
      </c>
      <c r="D292" s="271">
        <f t="shared" si="127"/>
        <v>1.5077319240728122</v>
      </c>
      <c r="E292" s="271">
        <f t="shared" si="128"/>
        <v>1.0005014180808147</v>
      </c>
      <c r="F292" s="272">
        <f t="shared" si="129"/>
        <v>3.1660974516893772E-2</v>
      </c>
      <c r="G292" s="271">
        <f t="shared" si="130"/>
        <v>1.0190645377906475</v>
      </c>
      <c r="H292" s="272">
        <f t="shared" si="131"/>
        <v>-0.1937343761577521</v>
      </c>
      <c r="I292" s="270">
        <f t="shared" si="132"/>
        <v>68225.895590919477</v>
      </c>
      <c r="J292" s="273">
        <f t="shared" si="133"/>
        <v>1.5707816696036443</v>
      </c>
      <c r="K292" s="281">
        <f t="shared" si="134"/>
        <v>10.281097995134125</v>
      </c>
      <c r="L292" s="282">
        <f t="shared" si="135"/>
        <v>1.4733764280242212</v>
      </c>
      <c r="M292" s="270">
        <f t="shared" si="136"/>
        <v>1.1156683365857842</v>
      </c>
      <c r="N292" s="273">
        <f t="shared" si="137"/>
        <v>0.45938867733167527</v>
      </c>
      <c r="O292" s="270">
        <f t="shared" si="138"/>
        <v>5359.9897976088214</v>
      </c>
      <c r="P292" s="273">
        <f t="shared" si="139"/>
        <v>1.5706097592745167</v>
      </c>
      <c r="Q292" s="271">
        <f t="shared" si="140"/>
        <v>1.0174434438203046</v>
      </c>
      <c r="R292" s="272">
        <f t="shared" si="141"/>
        <v>0.18543786137329082</v>
      </c>
      <c r="S292" s="270">
        <f t="shared" si="142"/>
        <v>1.0000009209856828</v>
      </c>
      <c r="T292" s="273">
        <f t="shared" si="143"/>
        <v>1.3571919362761731E-3</v>
      </c>
      <c r="U292" s="274">
        <f t="shared" si="144"/>
        <v>1.0084205185400152</v>
      </c>
      <c r="V292" s="275">
        <f t="shared" si="145"/>
        <v>0.18875961947881489</v>
      </c>
      <c r="W292" s="276">
        <f t="shared" si="146"/>
        <v>-14.629153321985584</v>
      </c>
      <c r="X292" s="277">
        <f t="shared" si="155"/>
        <v>-138.38986892264791</v>
      </c>
      <c r="Y292" s="299">
        <f t="shared" si="154"/>
        <v>41.610131077352094</v>
      </c>
      <c r="AB292" s="278">
        <f t="shared" si="147"/>
        <v>-1.825872078311229</v>
      </c>
      <c r="AC292" s="279">
        <f t="shared" si="148"/>
        <v>-31.901941612155333</v>
      </c>
      <c r="AF292" s="278">
        <f t="shared" si="149"/>
        <v>49.000251363307399</v>
      </c>
      <c r="AG292" s="279">
        <f t="shared" si="150"/>
        <v>-106.48792731049257</v>
      </c>
      <c r="AI292">
        <f t="shared" si="151"/>
        <v>0</v>
      </c>
      <c r="AJ292">
        <f t="shared" si="156"/>
        <v>0</v>
      </c>
      <c r="AK292">
        <f t="shared" si="152"/>
        <v>0</v>
      </c>
      <c r="AL292">
        <f t="shared" si="153"/>
        <v>0</v>
      </c>
      <c r="AM292"/>
      <c r="AN292"/>
    </row>
    <row r="293" spans="2:40" x14ac:dyDescent="0.2">
      <c r="B293" s="280">
        <v>19498</v>
      </c>
      <c r="C293" s="270">
        <f t="shared" si="126"/>
        <v>15.957604970302304</v>
      </c>
      <c r="D293" s="271">
        <f t="shared" si="127"/>
        <v>1.5080891933161182</v>
      </c>
      <c r="E293" s="271">
        <f t="shared" si="128"/>
        <v>1.0005071617062782</v>
      </c>
      <c r="F293" s="272">
        <f t="shared" si="129"/>
        <v>3.1841716500125405E-2</v>
      </c>
      <c r="G293" s="271">
        <f t="shared" si="130"/>
        <v>1.0192809067237452</v>
      </c>
      <c r="H293" s="272">
        <f t="shared" si="131"/>
        <v>-0.19481337324267123</v>
      </c>
      <c r="I293" s="270">
        <f t="shared" si="132"/>
        <v>68615.637196102049</v>
      </c>
      <c r="J293" s="273">
        <f t="shared" si="133"/>
        <v>1.570781752857513</v>
      </c>
      <c r="K293" s="281">
        <f t="shared" si="134"/>
        <v>10.339274874930272</v>
      </c>
      <c r="L293" s="282">
        <f t="shared" si="135"/>
        <v>1.4739263148704407</v>
      </c>
      <c r="M293" s="270">
        <f t="shared" si="136"/>
        <v>1.1169242185207156</v>
      </c>
      <c r="N293" s="273">
        <f t="shared" si="137"/>
        <v>0.46165645314541132</v>
      </c>
      <c r="O293" s="270">
        <f t="shared" si="138"/>
        <v>5390.6088307095197</v>
      </c>
      <c r="P293" s="273">
        <f t="shared" si="139"/>
        <v>1.5706108189910213</v>
      </c>
      <c r="Q293" s="271">
        <f t="shared" si="140"/>
        <v>1.01764157245737</v>
      </c>
      <c r="R293" s="272">
        <f t="shared" si="141"/>
        <v>0.18647285883244177</v>
      </c>
      <c r="S293" s="270">
        <f t="shared" si="142"/>
        <v>1.0000009315380254</v>
      </c>
      <c r="T293" s="273">
        <f t="shared" si="143"/>
        <v>1.3649449090176195E-3</v>
      </c>
      <c r="U293" s="274">
        <f t="shared" si="144"/>
        <v>1.0085171082390572</v>
      </c>
      <c r="V293" s="275">
        <f t="shared" si="145"/>
        <v>0.18983261342687877</v>
      </c>
      <c r="W293" s="276">
        <f t="shared" si="146"/>
        <v>-14.687610542368159</v>
      </c>
      <c r="X293" s="277">
        <f t="shared" si="155"/>
        <v>-138.62171575096519</v>
      </c>
      <c r="Y293" s="299">
        <f t="shared" si="154"/>
        <v>41.378284249034806</v>
      </c>
      <c r="AB293" s="278">
        <f t="shared" si="147"/>
        <v>-1.8361095378474075</v>
      </c>
      <c r="AC293" s="279">
        <f t="shared" si="148"/>
        <v>-32.000374169761429</v>
      </c>
      <c r="AF293" s="278">
        <f t="shared" si="149"/>
        <v>48.952031602461012</v>
      </c>
      <c r="AG293" s="279">
        <f t="shared" si="150"/>
        <v>-106.62134158120378</v>
      </c>
      <c r="AI293">
        <f t="shared" si="151"/>
        <v>0</v>
      </c>
      <c r="AJ293">
        <f t="shared" si="156"/>
        <v>0</v>
      </c>
      <c r="AK293">
        <f t="shared" si="152"/>
        <v>0</v>
      </c>
      <c r="AL293">
        <f t="shared" si="153"/>
        <v>0</v>
      </c>
      <c r="AM293"/>
      <c r="AN293"/>
    </row>
    <row r="294" spans="2:40" x14ac:dyDescent="0.2">
      <c r="B294" s="280">
        <v>19611.75</v>
      </c>
      <c r="C294" s="270">
        <f t="shared" si="126"/>
        <v>16.050336014218381</v>
      </c>
      <c r="D294" s="271">
        <f t="shared" si="127"/>
        <v>1.5084519561590737</v>
      </c>
      <c r="E294" s="271">
        <f t="shared" si="128"/>
        <v>1.0005130949391303</v>
      </c>
      <c r="F294" s="272">
        <f t="shared" si="129"/>
        <v>3.2027352262226083E-2</v>
      </c>
      <c r="G294" s="271">
        <f t="shared" si="130"/>
        <v>1.0195043714689151</v>
      </c>
      <c r="H294" s="272">
        <f t="shared" si="131"/>
        <v>-0.19592112014175186</v>
      </c>
      <c r="I294" s="270">
        <f t="shared" si="132"/>
        <v>69015.936135962722</v>
      </c>
      <c r="J294" s="273">
        <f t="shared" si="133"/>
        <v>1.5707818373877245</v>
      </c>
      <c r="K294" s="281">
        <f t="shared" si="134"/>
        <v>10.399030869759857</v>
      </c>
      <c r="L294" s="282">
        <f t="shared" si="135"/>
        <v>1.474484692014995</v>
      </c>
      <c r="M294" s="270">
        <f t="shared" si="136"/>
        <v>1.1182200858277491</v>
      </c>
      <c r="N294" s="273">
        <f t="shared" si="137"/>
        <v>0.46398034346574568</v>
      </c>
      <c r="O294" s="270">
        <f t="shared" si="138"/>
        <v>5422.0572732909577</v>
      </c>
      <c r="P294" s="273">
        <f t="shared" si="139"/>
        <v>1.5706118949537586</v>
      </c>
      <c r="Q294" s="271">
        <f t="shared" si="140"/>
        <v>1.017846202373009</v>
      </c>
      <c r="R294" s="272">
        <f t="shared" si="141"/>
        <v>0.18753547171137863</v>
      </c>
      <c r="S294" s="270">
        <f t="shared" si="142"/>
        <v>1.0000009424387835</v>
      </c>
      <c r="T294" s="273">
        <f t="shared" si="143"/>
        <v>1.3729078943938767E-3</v>
      </c>
      <c r="U294" s="274">
        <f t="shared" si="144"/>
        <v>1.0086168897189682</v>
      </c>
      <c r="V294" s="275">
        <f t="shared" si="145"/>
        <v>0.1909345787624776</v>
      </c>
      <c r="W294" s="276">
        <f t="shared" si="146"/>
        <v>-14.747384222167248</v>
      </c>
      <c r="X294" s="277">
        <f t="shared" si="155"/>
        <v>-138.85963286699251</v>
      </c>
      <c r="Y294" s="299">
        <f t="shared" si="154"/>
        <v>41.140367133007487</v>
      </c>
      <c r="AB294" s="278">
        <f t="shared" si="147"/>
        <v>-1.8466510855873672</v>
      </c>
      <c r="AC294" s="279">
        <f t="shared" si="148"/>
        <v>-32.101535466632718</v>
      </c>
      <c r="AF294" s="278">
        <f t="shared" si="149"/>
        <v>48.902799470401881</v>
      </c>
      <c r="AG294" s="279">
        <f t="shared" si="150"/>
        <v>-106.75809740035979</v>
      </c>
      <c r="AI294">
        <f t="shared" si="151"/>
        <v>0</v>
      </c>
      <c r="AJ294">
        <f t="shared" si="156"/>
        <v>0</v>
      </c>
      <c r="AK294">
        <f t="shared" si="152"/>
        <v>0</v>
      </c>
      <c r="AL294">
        <f t="shared" si="153"/>
        <v>0</v>
      </c>
      <c r="AM294"/>
      <c r="AN294"/>
    </row>
    <row r="295" spans="2:40" x14ac:dyDescent="0.2">
      <c r="B295" s="280">
        <v>19725.5</v>
      </c>
      <c r="C295" s="270">
        <f t="shared" si="126"/>
        <v>16.143069146042411</v>
      </c>
      <c r="D295" s="271">
        <f t="shared" si="127"/>
        <v>1.508810551299224</v>
      </c>
      <c r="E295" s="271">
        <f t="shared" si="128"/>
        <v>1.0005190626498905</v>
      </c>
      <c r="F295" s="272">
        <f t="shared" si="129"/>
        <v>3.2212985816232137E-2</v>
      </c>
      <c r="G295" s="271">
        <f t="shared" si="130"/>
        <v>1.0197290867019511</v>
      </c>
      <c r="H295" s="272">
        <f t="shared" si="131"/>
        <v>-0.19702838017604604</v>
      </c>
      <c r="I295" s="270">
        <f t="shared" si="132"/>
        <v>69416.23507582389</v>
      </c>
      <c r="J295" s="273">
        <f t="shared" si="133"/>
        <v>1.5707819209430243</v>
      </c>
      <c r="K295" s="281">
        <f t="shared" si="134"/>
        <v>10.458790069801919</v>
      </c>
      <c r="L295" s="282">
        <f t="shared" si="135"/>
        <v>1.4750366884444175</v>
      </c>
      <c r="M295" s="270">
        <f t="shared" si="136"/>
        <v>1.1195219780452865</v>
      </c>
      <c r="N295" s="273">
        <f t="shared" si="137"/>
        <v>0.46629884137828315</v>
      </c>
      <c r="O295" s="270">
        <f t="shared" si="138"/>
        <v>5453.5057158786021</v>
      </c>
      <c r="P295" s="273">
        <f t="shared" si="139"/>
        <v>1.5706129585071011</v>
      </c>
      <c r="Q295" s="271">
        <f t="shared" si="140"/>
        <v>1.0180519811229716</v>
      </c>
      <c r="R295" s="272">
        <f t="shared" si="141"/>
        <v>0.18859765621759408</v>
      </c>
      <c r="S295" s="270">
        <f t="shared" si="142"/>
        <v>1.0000009534029506</v>
      </c>
      <c r="T295" s="273">
        <f t="shared" si="143"/>
        <v>1.3808708795960242E-3</v>
      </c>
      <c r="U295" s="274">
        <f t="shared" si="144"/>
        <v>1.0087172542878942</v>
      </c>
      <c r="V295" s="275">
        <f t="shared" si="145"/>
        <v>0.19203644839193165</v>
      </c>
      <c r="W295" s="276">
        <f t="shared" si="146"/>
        <v>-14.80689051430889</v>
      </c>
      <c r="X295" s="277">
        <f t="shared" si="155"/>
        <v>-139.09733450887848</v>
      </c>
      <c r="Y295" s="299">
        <f t="shared" si="154"/>
        <v>40.902665491121525</v>
      </c>
      <c r="AB295" s="278">
        <f t="shared" si="147"/>
        <v>-1.8572196565221419</v>
      </c>
      <c r="AC295" s="279">
        <f t="shared" si="148"/>
        <v>-32.202753333484836</v>
      </c>
      <c r="AF295" s="278">
        <f t="shared" si="149"/>
        <v>48.853861749195005</v>
      </c>
      <c r="AG295" s="279">
        <f t="shared" si="150"/>
        <v>-106.89458117539367</v>
      </c>
      <c r="AI295">
        <f t="shared" si="151"/>
        <v>0</v>
      </c>
      <c r="AJ295">
        <f t="shared" si="156"/>
        <v>0</v>
      </c>
      <c r="AK295">
        <f t="shared" si="152"/>
        <v>0</v>
      </c>
      <c r="AL295">
        <f t="shared" si="153"/>
        <v>0</v>
      </c>
      <c r="AM295"/>
      <c r="AN295"/>
    </row>
    <row r="296" spans="2:40" x14ac:dyDescent="0.2">
      <c r="B296" s="280">
        <v>19839.25</v>
      </c>
      <c r="C296" s="270">
        <f t="shared" si="126"/>
        <v>16.235804329998231</v>
      </c>
      <c r="D296" s="271">
        <f t="shared" si="127"/>
        <v>1.5091650500584293</v>
      </c>
      <c r="E296" s="271">
        <f t="shared" si="128"/>
        <v>1.000525064837942</v>
      </c>
      <c r="F296" s="272">
        <f t="shared" si="129"/>
        <v>3.2398617149389387E-2</v>
      </c>
      <c r="G296" s="271">
        <f t="shared" si="130"/>
        <v>1.0199550515963349</v>
      </c>
      <c r="H296" s="272">
        <f t="shared" si="131"/>
        <v>-0.19813515095319467</v>
      </c>
      <c r="I296" s="270">
        <f t="shared" si="132"/>
        <v>69816.534015685538</v>
      </c>
      <c r="J296" s="273">
        <f t="shared" si="133"/>
        <v>1.5707820035401814</v>
      </c>
      <c r="K296" s="281">
        <f t="shared" si="134"/>
        <v>10.518552420427008</v>
      </c>
      <c r="L296" s="282">
        <f t="shared" si="135"/>
        <v>1.4755824125776953</v>
      </c>
      <c r="M296" s="270">
        <f t="shared" si="136"/>
        <v>1.1208298741787479</v>
      </c>
      <c r="N296" s="273">
        <f t="shared" si="137"/>
        <v>0.46861194079120211</v>
      </c>
      <c r="O296" s="270">
        <f t="shared" si="138"/>
        <v>5484.9541584723429</v>
      </c>
      <c r="P296" s="273">
        <f t="shared" si="139"/>
        <v>1.5706140098644998</v>
      </c>
      <c r="Q296" s="271">
        <f t="shared" si="140"/>
        <v>1.0182589080107576</v>
      </c>
      <c r="R296" s="272">
        <f t="shared" si="141"/>
        <v>0.18965941021473626</v>
      </c>
      <c r="S296" s="270">
        <f t="shared" si="142"/>
        <v>1.000000964430527</v>
      </c>
      <c r="T296" s="273">
        <f t="shared" si="143"/>
        <v>1.3888338646230517E-3</v>
      </c>
      <c r="U296" s="274">
        <f t="shared" si="144"/>
        <v>1.0088182019913809</v>
      </c>
      <c r="V296" s="275">
        <f t="shared" si="145"/>
        <v>0.1931382217707126</v>
      </c>
      <c r="W296" s="276">
        <f t="shared" si="146"/>
        <v>-14.866132598946077</v>
      </c>
      <c r="X296" s="277">
        <f t="shared" si="155"/>
        <v>-139.33481803549904</v>
      </c>
      <c r="Y296" s="299">
        <f t="shared" si="154"/>
        <v>40.66518196450096</v>
      </c>
      <c r="AB296" s="278">
        <f t="shared" si="147"/>
        <v>-1.8678151349042273</v>
      </c>
      <c r="AC296" s="279">
        <f t="shared" si="148"/>
        <v>-32.304021210292525</v>
      </c>
      <c r="AF296" s="278">
        <f t="shared" si="149"/>
        <v>48.805215142939915</v>
      </c>
      <c r="AG296" s="279">
        <f t="shared" si="150"/>
        <v>-107.03079682520651</v>
      </c>
      <c r="AI296">
        <f t="shared" si="151"/>
        <v>0</v>
      </c>
      <c r="AJ296">
        <f t="shared" si="156"/>
        <v>0</v>
      </c>
      <c r="AK296">
        <f t="shared" si="152"/>
        <v>0</v>
      </c>
      <c r="AL296">
        <f t="shared" si="153"/>
        <v>0</v>
      </c>
      <c r="AM296"/>
      <c r="AN296"/>
    </row>
    <row r="297" spans="2:40" x14ac:dyDescent="0.2">
      <c r="B297" s="280">
        <v>19953</v>
      </c>
      <c r="C297" s="270">
        <f t="shared" si="126"/>
        <v>16.328541531121644</v>
      </c>
      <c r="D297" s="271">
        <f t="shared" si="127"/>
        <v>1.5095155221424434</v>
      </c>
      <c r="E297" s="271">
        <f t="shared" si="128"/>
        <v>1.0005311015026641</v>
      </c>
      <c r="F297" s="272">
        <f t="shared" si="129"/>
        <v>3.2584246248944598E-2</v>
      </c>
      <c r="G297" s="271">
        <f t="shared" si="130"/>
        <v>1.0201822653216872</v>
      </c>
      <c r="H297" s="272">
        <f t="shared" si="131"/>
        <v>-0.19924143008774681</v>
      </c>
      <c r="I297" s="270">
        <f t="shared" si="132"/>
        <v>70216.832955547667</v>
      </c>
      <c r="J297" s="273">
        <f t="shared" si="133"/>
        <v>1.5707820851955829</v>
      </c>
      <c r="K297" s="281">
        <f t="shared" si="134"/>
        <v>10.578317868237336</v>
      </c>
      <c r="L297" s="282">
        <f t="shared" si="135"/>
        <v>1.4761219703987689</v>
      </c>
      <c r="M297" s="270">
        <f t="shared" si="136"/>
        <v>1.1221437532348379</v>
      </c>
      <c r="N297" s="273">
        <f t="shared" si="137"/>
        <v>0.47091963587208957</v>
      </c>
      <c r="O297" s="270">
        <f t="shared" si="138"/>
        <v>5516.4026010720772</v>
      </c>
      <c r="P297" s="273">
        <f t="shared" si="139"/>
        <v>1.5706150492345383</v>
      </c>
      <c r="Q297" s="271">
        <f t="shared" si="140"/>
        <v>1.0184669823365489</v>
      </c>
      <c r="R297" s="272">
        <f t="shared" si="141"/>
        <v>0.19072073157206737</v>
      </c>
      <c r="S297" s="270">
        <f t="shared" si="142"/>
        <v>1.0000009755215125</v>
      </c>
      <c r="T297" s="273">
        <f t="shared" si="143"/>
        <v>1.39679684947395E-3</v>
      </c>
      <c r="U297" s="274">
        <f t="shared" si="144"/>
        <v>1.0089197328752149</v>
      </c>
      <c r="V297" s="275">
        <f t="shared" si="145"/>
        <v>0.19423989835447675</v>
      </c>
      <c r="W297" s="276">
        <f t="shared" si="146"/>
        <v>-14.925113596371142</v>
      </c>
      <c r="X297" s="277">
        <f t="shared" si="155"/>
        <v>-139.57208086789919</v>
      </c>
      <c r="Y297" s="299">
        <f t="shared" si="154"/>
        <v>40.427919132100811</v>
      </c>
      <c r="AB297" s="278">
        <f t="shared" si="147"/>
        <v>-1.8784374005188396</v>
      </c>
      <c r="AC297" s="279">
        <f t="shared" si="148"/>
        <v>-32.405332691389575</v>
      </c>
      <c r="AF297" s="278">
        <f t="shared" si="149"/>
        <v>48.756856411129455</v>
      </c>
      <c r="AG297" s="279">
        <f t="shared" si="150"/>
        <v>-107.16674817650963</v>
      </c>
      <c r="AI297">
        <f t="shared" si="151"/>
        <v>0</v>
      </c>
      <c r="AJ297">
        <f t="shared" si="156"/>
        <v>0</v>
      </c>
      <c r="AK297">
        <f t="shared" si="152"/>
        <v>0</v>
      </c>
      <c r="AL297">
        <f t="shared" si="153"/>
        <v>0</v>
      </c>
      <c r="AM297"/>
      <c r="AN297"/>
    </row>
    <row r="298" spans="2:40" x14ac:dyDescent="0.2">
      <c r="B298" s="280">
        <v>20069</v>
      </c>
      <c r="C298" s="270">
        <f t="shared" si="126"/>
        <v>16.423115136453404</v>
      </c>
      <c r="D298" s="271">
        <f t="shared" si="127"/>
        <v>1.509868850330423</v>
      </c>
      <c r="E298" s="271">
        <f t="shared" si="128"/>
        <v>1.0005372930796437</v>
      </c>
      <c r="F298" s="272">
        <f t="shared" si="129"/>
        <v>3.2773544819356133E-2</v>
      </c>
      <c r="G298" s="271">
        <f t="shared" si="130"/>
        <v>1.020415258648139</v>
      </c>
      <c r="H298" s="272">
        <f t="shared" si="131"/>
        <v>-0.20036908287507438</v>
      </c>
      <c r="I298" s="270">
        <f t="shared" si="132"/>
        <v>70625.049896418524</v>
      </c>
      <c r="J298" s="273">
        <f t="shared" si="133"/>
        <v>1.5707821675128641</v>
      </c>
      <c r="K298" s="281">
        <f t="shared" si="134"/>
        <v>10.63926862531823</v>
      </c>
      <c r="L298" s="282">
        <f t="shared" si="135"/>
        <v>1.4766659577201071</v>
      </c>
      <c r="M298" s="270">
        <f t="shared" si="136"/>
        <v>1.1234897609554384</v>
      </c>
      <c r="N298" s="273">
        <f t="shared" si="137"/>
        <v>0.47326740615328222</v>
      </c>
      <c r="O298" s="270">
        <f t="shared" si="138"/>
        <v>5548.4731007842483</v>
      </c>
      <c r="P298" s="273">
        <f t="shared" si="139"/>
        <v>1.5706160970294729</v>
      </c>
      <c r="Q298" s="271">
        <f t="shared" si="140"/>
        <v>1.0186803533966593</v>
      </c>
      <c r="R298" s="272">
        <f t="shared" si="141"/>
        <v>0.19180259833511784</v>
      </c>
      <c r="S298" s="270">
        <f t="shared" si="142"/>
        <v>1.0000009868971831</v>
      </c>
      <c r="T298" s="273">
        <f t="shared" si="143"/>
        <v>1.4049173437328684E-3</v>
      </c>
      <c r="U298" s="274">
        <f t="shared" si="144"/>
        <v>1.0090238727075473</v>
      </c>
      <c r="V298" s="275">
        <f t="shared" si="145"/>
        <v>0.19536326609319751</v>
      </c>
      <c r="W298" s="276">
        <f t="shared" si="146"/>
        <v>-14.9849955398572</v>
      </c>
      <c r="X298" s="277">
        <f t="shared" si="155"/>
        <v>-139.81380691563101</v>
      </c>
      <c r="Y298" s="299">
        <f t="shared" si="154"/>
        <v>40.186193084368995</v>
      </c>
      <c r="AB298" s="278">
        <f t="shared" si="147"/>
        <v>-1.8892972350645354</v>
      </c>
      <c r="AC298" s="279">
        <f t="shared" si="148"/>
        <v>-32.508686558579647</v>
      </c>
      <c r="AF298" s="278">
        <f t="shared" si="149"/>
        <v>48.707834302189084</v>
      </c>
      <c r="AG298" s="279">
        <f t="shared" si="150"/>
        <v>-107.30512035705132</v>
      </c>
      <c r="AI298">
        <f t="shared" si="151"/>
        <v>0</v>
      </c>
      <c r="AJ298">
        <f t="shared" si="156"/>
        <v>0</v>
      </c>
      <c r="AK298">
        <f t="shared" si="152"/>
        <v>0</v>
      </c>
      <c r="AL298">
        <f t="shared" si="153"/>
        <v>0</v>
      </c>
      <c r="AM298"/>
      <c r="AN298"/>
    </row>
    <row r="299" spans="2:40" x14ac:dyDescent="0.2">
      <c r="B299" s="280">
        <v>20185</v>
      </c>
      <c r="C299" s="270">
        <f t="shared" si="126"/>
        <v>16.517690768581897</v>
      </c>
      <c r="D299" s="271">
        <f t="shared" si="127"/>
        <v>1.5102181324467694</v>
      </c>
      <c r="E299" s="271">
        <f t="shared" si="128"/>
        <v>1.0005435205093809</v>
      </c>
      <c r="F299" s="272">
        <f t="shared" si="129"/>
        <v>3.2962841040144485E-2</v>
      </c>
      <c r="G299" s="271">
        <f t="shared" si="130"/>
        <v>1.0206495489420837</v>
      </c>
      <c r="H299" s="272">
        <f t="shared" si="131"/>
        <v>-0.20149621938930828</v>
      </c>
      <c r="I299" s="270">
        <f t="shared" si="132"/>
        <v>71033.266837289862</v>
      </c>
      <c r="J299" s="273">
        <f t="shared" si="133"/>
        <v>1.5707822488840169</v>
      </c>
      <c r="K299" s="281">
        <f t="shared" si="134"/>
        <v>10.700222494926551</v>
      </c>
      <c r="L299" s="282">
        <f t="shared" si="135"/>
        <v>1.4772037475462259</v>
      </c>
      <c r="M299" s="270">
        <f t="shared" si="136"/>
        <v>1.1248419465395143</v>
      </c>
      <c r="N299" s="273">
        <f t="shared" si="137"/>
        <v>0.47560954475469064</v>
      </c>
      <c r="O299" s="270">
        <f t="shared" si="138"/>
        <v>5580.5436005024403</v>
      </c>
      <c r="P299" s="273">
        <f t="shared" si="139"/>
        <v>1.5706171327813847</v>
      </c>
      <c r="Q299" s="271">
        <f t="shared" si="140"/>
        <v>1.0188949162564322</v>
      </c>
      <c r="R299" s="272">
        <f t="shared" si="141"/>
        <v>0.1928840107160158</v>
      </c>
      <c r="S299" s="270">
        <f t="shared" si="142"/>
        <v>1.0000009983387961</v>
      </c>
      <c r="T299" s="273">
        <f t="shared" si="143"/>
        <v>1.4130378378064995E-3</v>
      </c>
      <c r="U299" s="274">
        <f t="shared" si="144"/>
        <v>1.0091286191162061</v>
      </c>
      <c r="V299" s="275">
        <f t="shared" si="145"/>
        <v>0.19648653202698663</v>
      </c>
      <c r="W299" s="276">
        <f t="shared" si="146"/>
        <v>-15.044612335325052</v>
      </c>
      <c r="X299" s="277">
        <f t="shared" si="155"/>
        <v>-140.05529822652301</v>
      </c>
      <c r="Y299" s="299">
        <f t="shared" si="154"/>
        <v>39.944701773476993</v>
      </c>
      <c r="AB299" s="278">
        <f t="shared" si="147"/>
        <v>-1.9001846611501931</v>
      </c>
      <c r="AC299" s="279">
        <f t="shared" si="148"/>
        <v>-32.612072790396965</v>
      </c>
      <c r="AF299" s="278">
        <f t="shared" si="149"/>
        <v>48.659104932806905</v>
      </c>
      <c r="AG299" s="279">
        <f t="shared" si="150"/>
        <v>-107.44322543612604</v>
      </c>
      <c r="AI299">
        <f t="shared" si="151"/>
        <v>0</v>
      </c>
      <c r="AJ299">
        <f t="shared" si="156"/>
        <v>0</v>
      </c>
      <c r="AK299">
        <f t="shared" si="152"/>
        <v>0</v>
      </c>
      <c r="AL299">
        <f t="shared" si="153"/>
        <v>0</v>
      </c>
      <c r="AM299"/>
      <c r="AN299"/>
    </row>
    <row r="300" spans="2:40" x14ac:dyDescent="0.2">
      <c r="B300" s="280">
        <v>20301</v>
      </c>
      <c r="C300" s="270">
        <f t="shared" si="126"/>
        <v>16.612268392890734</v>
      </c>
      <c r="D300" s="271">
        <f t="shared" si="127"/>
        <v>1.5105634375112889</v>
      </c>
      <c r="E300" s="271">
        <f t="shared" si="128"/>
        <v>1.0005497837912063</v>
      </c>
      <c r="F300" s="272">
        <f t="shared" si="129"/>
        <v>3.3152134897787532E-2</v>
      </c>
      <c r="G300" s="271">
        <f t="shared" si="130"/>
        <v>1.0208851353105699</v>
      </c>
      <c r="H300" s="272">
        <f t="shared" si="131"/>
        <v>-0.20262283712297691</v>
      </c>
      <c r="I300" s="270">
        <f t="shared" si="132"/>
        <v>71441.483778161652</v>
      </c>
      <c r="J300" s="273">
        <f t="shared" si="133"/>
        <v>1.5707823293252592</v>
      </c>
      <c r="K300" s="281">
        <f t="shared" si="134"/>
        <v>10.761179424172019</v>
      </c>
      <c r="L300" s="282">
        <f t="shared" si="135"/>
        <v>1.4777354448809039</v>
      </c>
      <c r="M300" s="270">
        <f t="shared" si="136"/>
        <v>1.1262002877344925</v>
      </c>
      <c r="N300" s="273">
        <f t="shared" si="137"/>
        <v>0.47794604631175169</v>
      </c>
      <c r="O300" s="270">
        <f t="shared" si="138"/>
        <v>5612.6141002265504</v>
      </c>
      <c r="P300" s="273">
        <f t="shared" si="139"/>
        <v>1.5706181566967155</v>
      </c>
      <c r="Q300" s="271">
        <f t="shared" si="140"/>
        <v>1.0191106701631056</v>
      </c>
      <c r="R300" s="272">
        <f t="shared" si="141"/>
        <v>0.19396496647323799</v>
      </c>
      <c r="S300" s="270">
        <f t="shared" si="142"/>
        <v>1.0000010098463517</v>
      </c>
      <c r="T300" s="273">
        <f t="shared" si="143"/>
        <v>1.4211583316937725E-3</v>
      </c>
      <c r="U300" s="274">
        <f t="shared" si="144"/>
        <v>1.0092339721505186</v>
      </c>
      <c r="V300" s="275">
        <f t="shared" si="145"/>
        <v>0.19760969557915511</v>
      </c>
      <c r="W300" s="276">
        <f t="shared" si="146"/>
        <v>-15.103967108644172</v>
      </c>
      <c r="X300" s="277">
        <f t="shared" si="155"/>
        <v>-140.29655225647335</v>
      </c>
      <c r="Y300" s="299">
        <f t="shared" si="154"/>
        <v>39.703447743526652</v>
      </c>
      <c r="AB300" s="278">
        <f t="shared" si="147"/>
        <v>-1.9110995381349249</v>
      </c>
      <c r="AC300" s="279">
        <f t="shared" si="148"/>
        <v>-32.71548506413059</v>
      </c>
      <c r="AF300" s="278">
        <f t="shared" si="149"/>
        <v>48.610665036472511</v>
      </c>
      <c r="AG300" s="279">
        <f t="shared" si="150"/>
        <v>-107.58106719234279</v>
      </c>
      <c r="AI300">
        <f t="shared" si="151"/>
        <v>0</v>
      </c>
      <c r="AJ300">
        <f t="shared" si="156"/>
        <v>0</v>
      </c>
      <c r="AK300">
        <f t="shared" si="152"/>
        <v>0</v>
      </c>
      <c r="AL300">
        <f t="shared" si="153"/>
        <v>0</v>
      </c>
      <c r="AM300"/>
      <c r="AN300"/>
    </row>
    <row r="301" spans="2:40" x14ac:dyDescent="0.2">
      <c r="B301" s="280">
        <v>20417</v>
      </c>
      <c r="C301" s="270">
        <f t="shared" si="126"/>
        <v>16.706847975546658</v>
      </c>
      <c r="D301" s="271">
        <f t="shared" si="127"/>
        <v>1.510904832984711</v>
      </c>
      <c r="E301" s="271">
        <f t="shared" si="128"/>
        <v>1.0005560829244466</v>
      </c>
      <c r="F301" s="272">
        <f t="shared" si="129"/>
        <v>3.3341426378764159E-2</v>
      </c>
      <c r="G301" s="271">
        <f t="shared" si="130"/>
        <v>1.0211220168565334</v>
      </c>
      <c r="H301" s="272">
        <f t="shared" si="131"/>
        <v>-0.2037489335761842</v>
      </c>
      <c r="I301" s="270">
        <f t="shared" si="132"/>
        <v>71849.700719033921</v>
      </c>
      <c r="J301" s="273">
        <f t="shared" si="133"/>
        <v>1.5707824088524414</v>
      </c>
      <c r="K301" s="281">
        <f t="shared" si="134"/>
        <v>10.822139361353376</v>
      </c>
      <c r="L301" s="282">
        <f t="shared" si="135"/>
        <v>1.478261152375979</v>
      </c>
      <c r="M301" s="270">
        <f t="shared" si="136"/>
        <v>1.1275647622939711</v>
      </c>
      <c r="N301" s="273">
        <f t="shared" si="137"/>
        <v>0.48027690573188397</v>
      </c>
      <c r="O301" s="270">
        <f t="shared" si="138"/>
        <v>5644.6845999564785</v>
      </c>
      <c r="P301" s="273">
        <f t="shared" si="139"/>
        <v>1.5706191689772147</v>
      </c>
      <c r="Q301" s="271">
        <f t="shared" si="140"/>
        <v>1.019327614360378</v>
      </c>
      <c r="R301" s="272">
        <f t="shared" si="141"/>
        <v>0.19504546337142206</v>
      </c>
      <c r="S301" s="270">
        <f t="shared" si="142"/>
        <v>1.0000010214198498</v>
      </c>
      <c r="T301" s="273">
        <f t="shared" si="143"/>
        <v>1.4292788253936158E-3</v>
      </c>
      <c r="U301" s="274">
        <f t="shared" si="144"/>
        <v>1.0093399318600706</v>
      </c>
      <c r="V301" s="275">
        <f t="shared" si="145"/>
        <v>0.19873275617321823</v>
      </c>
      <c r="W301" s="276">
        <f t="shared" si="146"/>
        <v>-15.163062926910605</v>
      </c>
      <c r="X301" s="277">
        <f t="shared" si="155"/>
        <v>-140.53756652281592</v>
      </c>
      <c r="Y301" s="299">
        <f t="shared" si="154"/>
        <v>39.462433477184078</v>
      </c>
      <c r="AB301" s="278">
        <f t="shared" si="147"/>
        <v>-1.9220417213329812</v>
      </c>
      <c r="AC301" s="279">
        <f t="shared" si="148"/>
        <v>-32.818917207388168</v>
      </c>
      <c r="AF301" s="278">
        <f t="shared" si="149"/>
        <v>48.562511401404137</v>
      </c>
      <c r="AG301" s="279">
        <f t="shared" si="150"/>
        <v>-107.7186493154277</v>
      </c>
      <c r="AI301">
        <f t="shared" si="151"/>
        <v>0</v>
      </c>
      <c r="AJ301">
        <f t="shared" si="156"/>
        <v>0</v>
      </c>
      <c r="AK301">
        <f t="shared" si="152"/>
        <v>0</v>
      </c>
      <c r="AL301">
        <f t="shared" si="153"/>
        <v>0</v>
      </c>
      <c r="AM301"/>
      <c r="AN301"/>
    </row>
    <row r="302" spans="2:40" x14ac:dyDescent="0.2">
      <c r="B302" s="280">
        <v>20536</v>
      </c>
      <c r="C302" s="270">
        <f t="shared" si="126"/>
        <v>16.80387558220696</v>
      </c>
      <c r="D302" s="271">
        <f t="shared" si="127"/>
        <v>1.5112510641940413</v>
      </c>
      <c r="E302" s="271">
        <f t="shared" si="128"/>
        <v>1.0005625822197877</v>
      </c>
      <c r="F302" s="272">
        <f t="shared" si="129"/>
        <v>3.3535610845246706E-2</v>
      </c>
      <c r="G302" s="271">
        <f t="shared" si="130"/>
        <v>1.0213663695594211</v>
      </c>
      <c r="H302" s="272">
        <f t="shared" si="131"/>
        <v>-0.20490360892456289</v>
      </c>
      <c r="I302" s="270">
        <f t="shared" si="132"/>
        <v>72268.47499458438</v>
      </c>
      <c r="J302" s="273">
        <f t="shared" si="133"/>
        <v>1.5707824895027702</v>
      </c>
      <c r="K302" s="281">
        <f t="shared" si="134"/>
        <v>10.884678921294984</v>
      </c>
      <c r="L302" s="282">
        <f t="shared" si="135"/>
        <v>1.4787943367234877</v>
      </c>
      <c r="M302" s="270">
        <f t="shared" si="136"/>
        <v>1.1289708750281131</v>
      </c>
      <c r="N302" s="273">
        <f t="shared" si="137"/>
        <v>0.48266217804641298</v>
      </c>
      <c r="O302" s="270">
        <f t="shared" si="138"/>
        <v>5677.5845091681213</v>
      </c>
      <c r="P302" s="273">
        <f t="shared" si="139"/>
        <v>1.5706201955539516</v>
      </c>
      <c r="Q302" s="271">
        <f t="shared" si="140"/>
        <v>1.019551405250779</v>
      </c>
      <c r="R302" s="272">
        <f t="shared" si="141"/>
        <v>0.19615342500551802</v>
      </c>
      <c r="S302" s="270">
        <f t="shared" si="142"/>
        <v>1.0000010333611851</v>
      </c>
      <c r="T302" s="273">
        <f t="shared" si="143"/>
        <v>1.4376093316656733E-3</v>
      </c>
      <c r="U302" s="274">
        <f t="shared" si="144"/>
        <v>1.0094492623721225</v>
      </c>
      <c r="V302" s="275">
        <f t="shared" si="145"/>
        <v>0.19988475384722745</v>
      </c>
      <c r="W302" s="276">
        <f t="shared" si="146"/>
        <v>-15.223421152045557</v>
      </c>
      <c r="X302" s="277">
        <f t="shared" si="155"/>
        <v>-140.78456223308996</v>
      </c>
      <c r="Y302" s="299">
        <f t="shared" si="154"/>
        <v>39.215437766910043</v>
      </c>
      <c r="AB302" s="278">
        <f t="shared" si="147"/>
        <v>-1.9332951109470853</v>
      </c>
      <c r="AC302" s="279">
        <f t="shared" si="148"/>
        <v>-32.925038652108867</v>
      </c>
      <c r="AF302" s="278">
        <f t="shared" si="149"/>
        <v>48.51340656588328</v>
      </c>
      <c r="AG302" s="279">
        <f t="shared" si="150"/>
        <v>-107.8595235809811</v>
      </c>
      <c r="AI302">
        <f t="shared" si="151"/>
        <v>0</v>
      </c>
      <c r="AJ302">
        <f t="shared" si="156"/>
        <v>0</v>
      </c>
      <c r="AK302">
        <f t="shared" si="152"/>
        <v>0</v>
      </c>
      <c r="AL302">
        <f t="shared" si="153"/>
        <v>0</v>
      </c>
      <c r="AM302"/>
      <c r="AN302"/>
    </row>
    <row r="303" spans="2:40" x14ac:dyDescent="0.2">
      <c r="B303" s="280">
        <v>20655</v>
      </c>
      <c r="C303" s="270">
        <f t="shared" si="126"/>
        <v>16.900905180120333</v>
      </c>
      <c r="D303" s="271">
        <f t="shared" si="127"/>
        <v>1.5115933199557525</v>
      </c>
      <c r="E303" s="271">
        <f t="shared" si="128"/>
        <v>1.0005691192434583</v>
      </c>
      <c r="F303" s="272">
        <f t="shared" si="129"/>
        <v>3.3729792781718441E-2</v>
      </c>
      <c r="G303" s="271">
        <f t="shared" si="130"/>
        <v>1.0216120833722377</v>
      </c>
      <c r="H303" s="272">
        <f t="shared" si="131"/>
        <v>-0.20605773037583591</v>
      </c>
      <c r="I303" s="270">
        <f t="shared" si="132"/>
        <v>72687.249270135289</v>
      </c>
      <c r="J303" s="273">
        <f t="shared" si="133"/>
        <v>1.5707825692237947</v>
      </c>
      <c r="K303" s="281">
        <f t="shared" si="134"/>
        <v>10.94722154023796</v>
      </c>
      <c r="L303" s="282">
        <f t="shared" si="135"/>
        <v>1.4793214289437933</v>
      </c>
      <c r="M303" s="270">
        <f t="shared" si="136"/>
        <v>1.1303833950676423</v>
      </c>
      <c r="N303" s="273">
        <f t="shared" si="137"/>
        <v>0.485041502627233</v>
      </c>
      <c r="O303" s="270">
        <f t="shared" si="138"/>
        <v>5710.4844183856785</v>
      </c>
      <c r="P303" s="273">
        <f t="shared" si="139"/>
        <v>1.5706212103018209</v>
      </c>
      <c r="Q303" s="271">
        <f t="shared" si="140"/>
        <v>1.0197764471708399</v>
      </c>
      <c r="R303" s="272">
        <f t="shared" si="141"/>
        <v>0.19726089899377861</v>
      </c>
      <c r="S303" s="270">
        <f t="shared" si="142"/>
        <v>1.0000010453719179</v>
      </c>
      <c r="T303" s="273">
        <f t="shared" si="143"/>
        <v>1.4459398377381979E-3</v>
      </c>
      <c r="U303" s="274">
        <f t="shared" si="144"/>
        <v>1.0095592314514901</v>
      </c>
      <c r="V303" s="275">
        <f t="shared" si="145"/>
        <v>0.2010366419404466</v>
      </c>
      <c r="W303" s="276">
        <f t="shared" si="146"/>
        <v>-15.283513209940022</v>
      </c>
      <c r="X303" s="277">
        <f t="shared" si="155"/>
        <v>-141.03130051736213</v>
      </c>
      <c r="Y303" s="299">
        <f t="shared" si="154"/>
        <v>38.968699482637874</v>
      </c>
      <c r="AB303" s="278">
        <f t="shared" si="147"/>
        <v>-1.944576916669233</v>
      </c>
      <c r="AC303" s="279">
        <f t="shared" si="148"/>
        <v>-33.031168316722137</v>
      </c>
      <c r="AF303" s="278">
        <f t="shared" si="149"/>
        <v>48.46459631371097</v>
      </c>
      <c r="AG303" s="279">
        <f t="shared" si="150"/>
        <v>-108.00013220063997</v>
      </c>
      <c r="AI303">
        <f t="shared" si="151"/>
        <v>0</v>
      </c>
      <c r="AJ303">
        <f t="shared" si="156"/>
        <v>0</v>
      </c>
      <c r="AK303">
        <f t="shared" si="152"/>
        <v>0</v>
      </c>
      <c r="AL303">
        <f t="shared" si="153"/>
        <v>0</v>
      </c>
      <c r="AM303"/>
      <c r="AN303"/>
    </row>
    <row r="304" spans="2:40" x14ac:dyDescent="0.2">
      <c r="B304" s="280">
        <v>20774</v>
      </c>
      <c r="C304" s="270">
        <f t="shared" si="126"/>
        <v>16.997936735186677</v>
      </c>
      <c r="D304" s="271">
        <f t="shared" si="127"/>
        <v>1.5119316682696766</v>
      </c>
      <c r="E304" s="271">
        <f t="shared" si="128"/>
        <v>1.000575693994719</v>
      </c>
      <c r="F304" s="272">
        <f t="shared" si="129"/>
        <v>3.3923972173585205E-2</v>
      </c>
      <c r="G304" s="271">
        <f t="shared" si="130"/>
        <v>1.0218591573131159</v>
      </c>
      <c r="H304" s="272">
        <f t="shared" si="131"/>
        <v>-0.20721129525611215</v>
      </c>
      <c r="I304" s="270">
        <f t="shared" si="132"/>
        <v>73106.023545686665</v>
      </c>
      <c r="J304" s="273">
        <f t="shared" si="133"/>
        <v>1.5707826480314853</v>
      </c>
      <c r="K304" s="281">
        <f t="shared" si="134"/>
        <v>11.00976716605097</v>
      </c>
      <c r="L304" s="282">
        <f t="shared" si="135"/>
        <v>1.4798425325681848</v>
      </c>
      <c r="M304" s="270">
        <f t="shared" si="136"/>
        <v>1.1318022984230844</v>
      </c>
      <c r="N304" s="273">
        <f t="shared" si="137"/>
        <v>0.48741487485404489</v>
      </c>
      <c r="O304" s="270">
        <f t="shared" si="138"/>
        <v>5743.3843276090493</v>
      </c>
      <c r="P304" s="273">
        <f t="shared" si="139"/>
        <v>1.5706222134241015</v>
      </c>
      <c r="Q304" s="271">
        <f t="shared" si="140"/>
        <v>1.0200027392925215</v>
      </c>
      <c r="R304" s="272">
        <f t="shared" si="141"/>
        <v>0.19836788294324204</v>
      </c>
      <c r="S304" s="270">
        <f t="shared" si="142"/>
        <v>1.0000010574520481</v>
      </c>
      <c r="T304" s="273">
        <f t="shared" si="143"/>
        <v>1.4542703436100338E-3</v>
      </c>
      <c r="U304" s="274">
        <f t="shared" si="144"/>
        <v>1.009669839152552</v>
      </c>
      <c r="V304" s="275">
        <f t="shared" si="145"/>
        <v>0.20218841983117497</v>
      </c>
      <c r="W304" s="276">
        <f t="shared" si="146"/>
        <v>-15.343342228141619</v>
      </c>
      <c r="X304" s="277">
        <f t="shared" si="155"/>
        <v>-141.27777888803388</v>
      </c>
      <c r="Y304" s="299">
        <f t="shared" si="154"/>
        <v>38.722221111966121</v>
      </c>
      <c r="AB304" s="278">
        <f t="shared" si="147"/>
        <v>-1.9558869701932564</v>
      </c>
      <c r="AC304" s="279">
        <f t="shared" si="148"/>
        <v>-33.137300005513488</v>
      </c>
      <c r="AF304" s="278">
        <f t="shared" si="149"/>
        <v>48.416077349033387</v>
      </c>
      <c r="AG304" s="279">
        <f t="shared" si="150"/>
        <v>-108.14047888252037</v>
      </c>
      <c r="AI304">
        <f t="shared" si="151"/>
        <v>0</v>
      </c>
      <c r="AJ304">
        <f t="shared" si="156"/>
        <v>0</v>
      </c>
      <c r="AK304">
        <f t="shared" si="152"/>
        <v>0</v>
      </c>
      <c r="AL304">
        <f t="shared" si="153"/>
        <v>0</v>
      </c>
      <c r="AM304"/>
      <c r="AN304"/>
    </row>
    <row r="305" spans="2:40" x14ac:dyDescent="0.2">
      <c r="B305" s="280">
        <v>20893</v>
      </c>
      <c r="C305" s="270">
        <f t="shared" si="126"/>
        <v>17.094970214079414</v>
      </c>
      <c r="D305" s="271">
        <f t="shared" si="127"/>
        <v>1.5122661755953644</v>
      </c>
      <c r="E305" s="271">
        <f t="shared" si="128"/>
        <v>1.0005823064728265</v>
      </c>
      <c r="F305" s="272">
        <f t="shared" si="129"/>
        <v>3.4118149006253998E-2</v>
      </c>
      <c r="G305" s="271">
        <f t="shared" si="130"/>
        <v>1.0221075903957046</v>
      </c>
      <c r="H305" s="272">
        <f t="shared" si="131"/>
        <v>-0.20836430090000374</v>
      </c>
      <c r="I305" s="270">
        <f t="shared" si="132"/>
        <v>73524.797821238491</v>
      </c>
      <c r="J305" s="273">
        <f t="shared" si="133"/>
        <v>1.5707827259414477</v>
      </c>
      <c r="K305" s="281">
        <f t="shared" si="134"/>
        <v>11.072315747778124</v>
      </c>
      <c r="L305" s="282">
        <f t="shared" si="135"/>
        <v>1.4803577488016977</v>
      </c>
      <c r="M305" s="270">
        <f t="shared" si="136"/>
        <v>1.1332275611169742</v>
      </c>
      <c r="N305" s="273">
        <f t="shared" si="137"/>
        <v>0.48978229039786692</v>
      </c>
      <c r="O305" s="270">
        <f t="shared" si="138"/>
        <v>5776.2842368381334</v>
      </c>
      <c r="P305" s="273">
        <f t="shared" si="139"/>
        <v>1.57062320511944</v>
      </c>
      <c r="Q305" s="271">
        <f t="shared" si="140"/>
        <v>1.0202302807839212</v>
      </c>
      <c r="R305" s="272">
        <f t="shared" si="141"/>
        <v>0.1994743744678677</v>
      </c>
      <c r="S305" s="270">
        <f t="shared" si="142"/>
        <v>1.0000010696015755</v>
      </c>
      <c r="T305" s="273">
        <f t="shared" si="143"/>
        <v>1.4626008492800244E-3</v>
      </c>
      <c r="U305" s="274">
        <f t="shared" si="144"/>
        <v>1.0097810855299703</v>
      </c>
      <c r="V305" s="275">
        <f t="shared" si="145"/>
        <v>0.20334008689794347</v>
      </c>
      <c r="W305" s="276">
        <f t="shared" si="146"/>
        <v>-15.402911275113544</v>
      </c>
      <c r="X305" s="277">
        <f t="shared" si="155"/>
        <v>-141.52399491971042</v>
      </c>
      <c r="Y305" s="299">
        <f t="shared" si="154"/>
        <v>38.476005080289582</v>
      </c>
      <c r="AB305" s="278">
        <f t="shared" si="147"/>
        <v>-1.9672250994993978</v>
      </c>
      <c r="AC305" s="279">
        <f t="shared" si="148"/>
        <v>-33.243427672723278</v>
      </c>
      <c r="AF305" s="278">
        <f t="shared" si="149"/>
        <v>48.36784643136761</v>
      </c>
      <c r="AG305" s="279">
        <f t="shared" si="150"/>
        <v>-108.28056724698713</v>
      </c>
      <c r="AI305">
        <f t="shared" si="151"/>
        <v>0</v>
      </c>
      <c r="AJ305">
        <f t="shared" si="156"/>
        <v>0</v>
      </c>
      <c r="AK305">
        <f t="shared" si="152"/>
        <v>0</v>
      </c>
      <c r="AL305">
        <f t="shared" si="153"/>
        <v>0</v>
      </c>
      <c r="AM305"/>
      <c r="AN305"/>
    </row>
    <row r="306" spans="2:40" x14ac:dyDescent="0.2">
      <c r="B306" s="280">
        <v>21014.75</v>
      </c>
      <c r="C306" s="270">
        <f t="shared" si="126"/>
        <v>17.194248020342087</v>
      </c>
      <c r="D306" s="271">
        <f t="shared" si="127"/>
        <v>1.5126045057158715</v>
      </c>
      <c r="E306" s="271">
        <f t="shared" si="128"/>
        <v>1.0005891108042002</v>
      </c>
      <c r="F306" s="272">
        <f t="shared" si="129"/>
        <v>3.4316810454858439E-2</v>
      </c>
      <c r="G306" s="271">
        <f t="shared" si="130"/>
        <v>1.0223631701633225</v>
      </c>
      <c r="H306" s="272">
        <f t="shared" si="131"/>
        <v>-0.20954337009050641</v>
      </c>
      <c r="I306" s="270">
        <f t="shared" si="132"/>
        <v>73953.249653578721</v>
      </c>
      <c r="J306" s="273">
        <f t="shared" si="133"/>
        <v>1.5707828047386689</v>
      </c>
      <c r="K306" s="281">
        <f t="shared" si="134"/>
        <v>11.136312787146444</v>
      </c>
      <c r="L306" s="282">
        <f t="shared" si="135"/>
        <v>1.4808788814252924</v>
      </c>
      <c r="M306" s="270">
        <f t="shared" si="136"/>
        <v>1.1346923170373155</v>
      </c>
      <c r="N306" s="273">
        <f t="shared" si="137"/>
        <v>0.49219824615742236</v>
      </c>
      <c r="O306" s="270">
        <f t="shared" si="138"/>
        <v>5809.944438093029</v>
      </c>
      <c r="P306" s="273">
        <f t="shared" si="139"/>
        <v>1.5706242081084629</v>
      </c>
      <c r="Q306" s="271">
        <f t="shared" si="140"/>
        <v>1.0204643727267728</v>
      </c>
      <c r="R306" s="272">
        <f t="shared" si="141"/>
        <v>0.2006059240679888</v>
      </c>
      <c r="S306" s="270">
        <f t="shared" si="142"/>
        <v>1.0000010821036909</v>
      </c>
      <c r="T306" s="273">
        <f t="shared" si="143"/>
        <v>1.4711238664255647E-3</v>
      </c>
      <c r="U306" s="274">
        <f t="shared" si="144"/>
        <v>1.009895563770226</v>
      </c>
      <c r="V306" s="275">
        <f t="shared" si="145"/>
        <v>0.20451825277658983</v>
      </c>
      <c r="W306" s="276">
        <f t="shared" si="146"/>
        <v>-15.463591005077689</v>
      </c>
      <c r="X306" s="277">
        <f t="shared" si="155"/>
        <v>-141.7756268492856</v>
      </c>
      <c r="Y306" s="299">
        <f t="shared" si="154"/>
        <v>38.224373150714399</v>
      </c>
      <c r="AB306" s="278">
        <f t="shared" si="147"/>
        <v>-1.9788541177834822</v>
      </c>
      <c r="AC306" s="279">
        <f t="shared" si="148"/>
        <v>-33.351997556085784</v>
      </c>
      <c r="AF306" s="278">
        <f t="shared" si="149"/>
        <v>48.318795719687557</v>
      </c>
      <c r="AG306" s="279">
        <f t="shared" si="150"/>
        <v>-108.42362929319982</v>
      </c>
      <c r="AI306">
        <f t="shared" si="151"/>
        <v>0</v>
      </c>
      <c r="AJ306">
        <f t="shared" si="156"/>
        <v>0</v>
      </c>
      <c r="AK306">
        <f t="shared" si="152"/>
        <v>0</v>
      </c>
      <c r="AL306">
        <f t="shared" si="153"/>
        <v>0</v>
      </c>
      <c r="AM306"/>
      <c r="AN306"/>
    </row>
    <row r="307" spans="2:40" x14ac:dyDescent="0.2">
      <c r="B307" s="280">
        <v>21136.5</v>
      </c>
      <c r="C307" s="270">
        <f t="shared" si="126"/>
        <v>17.293527772185623</v>
      </c>
      <c r="D307" s="271">
        <f t="shared" si="127"/>
        <v>1.5129389512614111</v>
      </c>
      <c r="E307" s="271">
        <f t="shared" si="128"/>
        <v>1.0005959546246574</v>
      </c>
      <c r="F307" s="272">
        <f t="shared" si="129"/>
        <v>3.451546919371612E-2</v>
      </c>
      <c r="G307" s="271">
        <f t="shared" si="130"/>
        <v>1.0226201705128786</v>
      </c>
      <c r="H307" s="272">
        <f t="shared" si="131"/>
        <v>-0.21072184828180815</v>
      </c>
      <c r="I307" s="270">
        <f t="shared" si="132"/>
        <v>74381.701485919417</v>
      </c>
      <c r="J307" s="273">
        <f t="shared" si="133"/>
        <v>1.5707828826281183</v>
      </c>
      <c r="K307" s="281">
        <f t="shared" si="134"/>
        <v>11.200312816343427</v>
      </c>
      <c r="L307" s="282">
        <f t="shared" si="135"/>
        <v>1.481394058549681</v>
      </c>
      <c r="M307" s="270">
        <f t="shared" si="136"/>
        <v>1.1361636788782219</v>
      </c>
      <c r="N307" s="273">
        <f t="shared" si="137"/>
        <v>0.49460795849932954</v>
      </c>
      <c r="O307" s="270">
        <f t="shared" si="138"/>
        <v>5843.6046393537026</v>
      </c>
      <c r="P307" s="273">
        <f t="shared" si="139"/>
        <v>1.5706251995426959</v>
      </c>
      <c r="Q307" s="271">
        <f t="shared" si="140"/>
        <v>1.0206997706764946</v>
      </c>
      <c r="R307" s="272">
        <f t="shared" si="141"/>
        <v>0.20173695319054927</v>
      </c>
      <c r="S307" s="270">
        <f t="shared" si="142"/>
        <v>1.0000010946784483</v>
      </c>
      <c r="T307" s="273">
        <f t="shared" si="143"/>
        <v>1.4796468833573747E-3</v>
      </c>
      <c r="U307" s="274">
        <f t="shared" si="144"/>
        <v>1.0100107106632368</v>
      </c>
      <c r="V307" s="275">
        <f t="shared" si="145"/>
        <v>0.20569630133464273</v>
      </c>
      <c r="W307" s="276">
        <f t="shared" si="146"/>
        <v>-15.524004924237691</v>
      </c>
      <c r="X307" s="277">
        <f t="shared" si="155"/>
        <v>-142.02697923210914</v>
      </c>
      <c r="Y307" s="299">
        <f t="shared" si="154"/>
        <v>37.973020767890858</v>
      </c>
      <c r="AB307" s="278">
        <f t="shared" si="147"/>
        <v>-1.9905121490281676</v>
      </c>
      <c r="AC307" s="279">
        <f t="shared" si="148"/>
        <v>-33.460550890925212</v>
      </c>
      <c r="AF307" s="278">
        <f t="shared" si="149"/>
        <v>48.270039831772237</v>
      </c>
      <c r="AG307" s="279">
        <f t="shared" si="150"/>
        <v>-108.56642834118396</v>
      </c>
      <c r="AI307">
        <f t="shared" si="151"/>
        <v>0</v>
      </c>
      <c r="AJ307">
        <f t="shared" si="156"/>
        <v>0</v>
      </c>
      <c r="AK307">
        <f t="shared" si="152"/>
        <v>0</v>
      </c>
      <c r="AL307">
        <f t="shared" si="153"/>
        <v>0</v>
      </c>
      <c r="AM307"/>
      <c r="AN307"/>
    </row>
    <row r="308" spans="2:40" x14ac:dyDescent="0.2">
      <c r="B308" s="280">
        <v>21258.25</v>
      </c>
      <c r="C308" s="270">
        <f t="shared" si="126"/>
        <v>17.392809436293369</v>
      </c>
      <c r="D308" s="271">
        <f t="shared" si="127"/>
        <v>1.5132695786783295</v>
      </c>
      <c r="E308" s="271">
        <f t="shared" si="128"/>
        <v>1.0006028379333873</v>
      </c>
      <c r="F308" s="272">
        <f t="shared" si="129"/>
        <v>3.4714125207202545E-2</v>
      </c>
      <c r="G308" s="271">
        <f t="shared" si="130"/>
        <v>1.0228785903736006</v>
      </c>
      <c r="H308" s="272">
        <f t="shared" si="131"/>
        <v>-0.21189973264725032</v>
      </c>
      <c r="I308" s="270">
        <f t="shared" si="132"/>
        <v>74810.153318260564</v>
      </c>
      <c r="J308" s="273">
        <f t="shared" si="133"/>
        <v>1.5707829596253926</v>
      </c>
      <c r="K308" s="281">
        <f t="shared" si="134"/>
        <v>11.26431578440749</v>
      </c>
      <c r="L308" s="282">
        <f t="shared" si="135"/>
        <v>1.4819033814150944</v>
      </c>
      <c r="M308" s="270">
        <f t="shared" si="136"/>
        <v>1.1376416210085127</v>
      </c>
      <c r="N308" s="273">
        <f t="shared" si="137"/>
        <v>0.49701142371758134</v>
      </c>
      <c r="O308" s="270">
        <f t="shared" si="138"/>
        <v>5877.2648406200533</v>
      </c>
      <c r="P308" s="273">
        <f t="shared" si="139"/>
        <v>1.570626179620668</v>
      </c>
      <c r="Q308" s="271">
        <f t="shared" si="140"/>
        <v>1.0209364737297064</v>
      </c>
      <c r="R308" s="272">
        <f t="shared" si="141"/>
        <v>0.20286745930288885</v>
      </c>
      <c r="S308" s="270">
        <f t="shared" si="142"/>
        <v>1.0000011073258475</v>
      </c>
      <c r="T308" s="273">
        <f t="shared" si="143"/>
        <v>1.4881699000742158E-3</v>
      </c>
      <c r="U308" s="274">
        <f t="shared" si="144"/>
        <v>1.0101265262684633</v>
      </c>
      <c r="V308" s="275">
        <f t="shared" si="145"/>
        <v>0.20687423190730639</v>
      </c>
      <c r="W308" s="276">
        <f t="shared" si="146"/>
        <v>-15.584156135814013</v>
      </c>
      <c r="X308" s="277">
        <f t="shared" si="155"/>
        <v>-142.27804966404304</v>
      </c>
      <c r="Y308" s="299">
        <f t="shared" si="154"/>
        <v>37.721950335956961</v>
      </c>
      <c r="AB308" s="278">
        <f t="shared" si="147"/>
        <v>-2.002198998070611</v>
      </c>
      <c r="AC308" s="279">
        <f t="shared" si="148"/>
        <v>-33.569081665158677</v>
      </c>
      <c r="AF308" s="278">
        <f t="shared" si="149"/>
        <v>48.22157546923836</v>
      </c>
      <c r="AG308" s="279">
        <f t="shared" si="150"/>
        <v>-108.70896799888438</v>
      </c>
      <c r="AI308">
        <f t="shared" si="151"/>
        <v>0</v>
      </c>
      <c r="AJ308">
        <f t="shared" si="156"/>
        <v>0</v>
      </c>
      <c r="AK308">
        <f t="shared" si="152"/>
        <v>0</v>
      </c>
      <c r="AL308">
        <f t="shared" si="153"/>
        <v>0</v>
      </c>
      <c r="AM308"/>
      <c r="AN308"/>
    </row>
    <row r="309" spans="2:40" x14ac:dyDescent="0.2">
      <c r="B309" s="280">
        <v>21380</v>
      </c>
      <c r="C309" s="270">
        <f t="shared" si="126"/>
        <v>17.492092980104413</v>
      </c>
      <c r="D309" s="271">
        <f t="shared" si="127"/>
        <v>1.5135964529077812</v>
      </c>
      <c r="E309" s="271">
        <f t="shared" si="128"/>
        <v>1.0006097607295756</v>
      </c>
      <c r="F309" s="272">
        <f t="shared" si="129"/>
        <v>3.4912778479694526E-2</v>
      </c>
      <c r="G309" s="271">
        <f t="shared" si="130"/>
        <v>1.0231384286698868</v>
      </c>
      <c r="H309" s="272">
        <f t="shared" si="131"/>
        <v>-0.21307702036961332</v>
      </c>
      <c r="I309" s="270">
        <f t="shared" si="132"/>
        <v>75238.605150602147</v>
      </c>
      <c r="J309" s="273">
        <f t="shared" si="133"/>
        <v>1.5707830357457333</v>
      </c>
      <c r="K309" s="281">
        <f t="shared" si="134"/>
        <v>11.328321641526433</v>
      </c>
      <c r="L309" s="282">
        <f t="shared" si="135"/>
        <v>1.4824069489860128</v>
      </c>
      <c r="M309" s="270">
        <f t="shared" si="136"/>
        <v>1.1391261178156946</v>
      </c>
      <c r="N309" s="273">
        <f t="shared" si="137"/>
        <v>0.49940863841405791</v>
      </c>
      <c r="O309" s="270">
        <f t="shared" si="138"/>
        <v>5910.9250418919855</v>
      </c>
      <c r="P309" s="273">
        <f t="shared" si="139"/>
        <v>1.5706271485363867</v>
      </c>
      <c r="Q309" s="271">
        <f t="shared" si="140"/>
        <v>1.0211744809788588</v>
      </c>
      <c r="R309" s="272">
        <f t="shared" si="141"/>
        <v>0.20399743988003646</v>
      </c>
      <c r="S309" s="270">
        <f t="shared" si="142"/>
        <v>1.0000011200458887</v>
      </c>
      <c r="T309" s="273">
        <f t="shared" si="143"/>
        <v>1.4966929165748503E-3</v>
      </c>
      <c r="U309" s="274">
        <f t="shared" si="144"/>
        <v>1.0102430106456748</v>
      </c>
      <c r="V309" s="275">
        <f t="shared" si="145"/>
        <v>0.20805204383004472</v>
      </c>
      <c r="W309" s="276">
        <f t="shared" si="146"/>
        <v>-15.644047684286104</v>
      </c>
      <c r="X309" s="277">
        <f t="shared" si="155"/>
        <v>-142.52883580327486</v>
      </c>
      <c r="Y309" s="299">
        <f t="shared" si="154"/>
        <v>37.471164196725141</v>
      </c>
      <c r="AB309" s="278">
        <f t="shared" si="147"/>
        <v>-2.0139144664186563</v>
      </c>
      <c r="AC309" s="279">
        <f t="shared" si="148"/>
        <v>-33.677584014714512</v>
      </c>
      <c r="AF309" s="278">
        <f t="shared" si="149"/>
        <v>48.173399389114309</v>
      </c>
      <c r="AG309" s="279">
        <f t="shared" si="150"/>
        <v>-108.85125178856036</v>
      </c>
      <c r="AI309">
        <f t="shared" si="151"/>
        <v>0</v>
      </c>
      <c r="AJ309">
        <f t="shared" si="156"/>
        <v>0</v>
      </c>
      <c r="AK309">
        <f t="shared" si="152"/>
        <v>0</v>
      </c>
      <c r="AL309">
        <f t="shared" si="153"/>
        <v>0</v>
      </c>
      <c r="AM309"/>
      <c r="AN309"/>
    </row>
    <row r="310" spans="2:40" x14ac:dyDescent="0.2">
      <c r="B310" s="280">
        <v>21504.5</v>
      </c>
      <c r="C310" s="270">
        <f t="shared" si="126"/>
        <v>17.593620978738592</v>
      </c>
      <c r="D310" s="271">
        <f t="shared" si="127"/>
        <v>1.5139268951581526</v>
      </c>
      <c r="E310" s="271">
        <f t="shared" si="128"/>
        <v>1.0006168807273712</v>
      </c>
      <c r="F310" s="272">
        <f t="shared" si="129"/>
        <v>3.5115915936250963E-2</v>
      </c>
      <c r="G310" s="271">
        <f t="shared" si="130"/>
        <v>1.0234056017332087</v>
      </c>
      <c r="H310" s="272">
        <f t="shared" si="131"/>
        <v>-0.21428027987095796</v>
      </c>
      <c r="I310" s="270">
        <f t="shared" si="132"/>
        <v>75676.734539732177</v>
      </c>
      <c r="J310" s="273">
        <f t="shared" si="133"/>
        <v>1.5707831126940754</v>
      </c>
      <c r="K310" s="281">
        <f t="shared" si="134"/>
        <v>11.393776153102994</v>
      </c>
      <c r="L310" s="282">
        <f t="shared" si="135"/>
        <v>1.4829160398113843</v>
      </c>
      <c r="M310" s="270">
        <f t="shared" si="136"/>
        <v>1.1406508971136766</v>
      </c>
      <c r="N310" s="273">
        <f t="shared" si="137"/>
        <v>0.50185353253315568</v>
      </c>
      <c r="O310" s="270">
        <f t="shared" si="138"/>
        <v>5945.3455351901066</v>
      </c>
      <c r="P310" s="273">
        <f t="shared" si="139"/>
        <v>1.570628127991514</v>
      </c>
      <c r="Q310" s="271">
        <f t="shared" si="140"/>
        <v>1.0214192119277923</v>
      </c>
      <c r="R310" s="272">
        <f t="shared" si="141"/>
        <v>0.20515239753483991</v>
      </c>
      <c r="S310" s="270">
        <f t="shared" si="142"/>
        <v>1.0000011331283625</v>
      </c>
      <c r="T310" s="273">
        <f t="shared" si="143"/>
        <v>1.505408444516946E-3</v>
      </c>
      <c r="U310" s="274">
        <f t="shared" si="144"/>
        <v>1.0103628177506296</v>
      </c>
      <c r="V310" s="275">
        <f t="shared" si="145"/>
        <v>0.20925633591522652</v>
      </c>
      <c r="W310" s="276">
        <f t="shared" si="146"/>
        <v>-15.705026604354991</v>
      </c>
      <c r="X310" s="277">
        <f t="shared" si="155"/>
        <v>-142.78499014305353</v>
      </c>
      <c r="Y310" s="299">
        <f t="shared" si="154"/>
        <v>37.215009856946466</v>
      </c>
      <c r="AB310" s="278">
        <f t="shared" si="147"/>
        <v>-2.0259239413328753</v>
      </c>
      <c r="AC310" s="279">
        <f t="shared" si="148"/>
        <v>-33.788501782227769</v>
      </c>
      <c r="AF310" s="278">
        <f t="shared" si="149"/>
        <v>48.124429943959647</v>
      </c>
      <c r="AG310" s="279">
        <f t="shared" si="150"/>
        <v>-108.99648836082574</v>
      </c>
      <c r="AI310">
        <f t="shared" si="151"/>
        <v>0</v>
      </c>
      <c r="AJ310">
        <f t="shared" si="156"/>
        <v>0</v>
      </c>
      <c r="AK310">
        <f t="shared" si="152"/>
        <v>0</v>
      </c>
      <c r="AL310">
        <f t="shared" si="153"/>
        <v>0</v>
      </c>
      <c r="AM310"/>
      <c r="AN310"/>
    </row>
    <row r="311" spans="2:40" x14ac:dyDescent="0.2">
      <c r="B311" s="280">
        <v>21629</v>
      </c>
      <c r="C311" s="270">
        <f t="shared" si="126"/>
        <v>17.695150876411841</v>
      </c>
      <c r="D311" s="271">
        <f t="shared" si="127"/>
        <v>1.5142535454707731</v>
      </c>
      <c r="E311" s="271">
        <f t="shared" si="128"/>
        <v>1.0006240420148598</v>
      </c>
      <c r="F311" s="272">
        <f t="shared" si="129"/>
        <v>3.5319050493552648E-2</v>
      </c>
      <c r="G311" s="271">
        <f t="shared" si="130"/>
        <v>1.0236742557426788</v>
      </c>
      <c r="H311" s="272">
        <f t="shared" si="131"/>
        <v>-0.21548290954369873</v>
      </c>
      <c r="I311" s="270">
        <f t="shared" si="132"/>
        <v>76114.863928862658</v>
      </c>
      <c r="J311" s="273">
        <f t="shared" si="133"/>
        <v>1.5707831887565633</v>
      </c>
      <c r="K311" s="281">
        <f t="shared" si="134"/>
        <v>11.459233583909258</v>
      </c>
      <c r="L311" s="282">
        <f t="shared" si="135"/>
        <v>1.4834193147090176</v>
      </c>
      <c r="M311" s="270">
        <f t="shared" si="136"/>
        <v>1.1421824764326169</v>
      </c>
      <c r="N311" s="273">
        <f t="shared" si="137"/>
        <v>0.50429188436309047</v>
      </c>
      <c r="O311" s="270">
        <f t="shared" si="138"/>
        <v>5979.7660284938656</v>
      </c>
      <c r="P311" s="273">
        <f t="shared" si="139"/>
        <v>1.5706290961708393</v>
      </c>
      <c r="Q311" s="271">
        <f t="shared" si="140"/>
        <v>1.0216653047217701</v>
      </c>
      <c r="R311" s="272">
        <f t="shared" si="141"/>
        <v>0.2063068003299566</v>
      </c>
      <c r="S311" s="270">
        <f t="shared" si="142"/>
        <v>1.0000011462867966</v>
      </c>
      <c r="T311" s="273">
        <f t="shared" si="143"/>
        <v>1.5141239722303384E-3</v>
      </c>
      <c r="U311" s="274">
        <f t="shared" si="144"/>
        <v>1.010483324307631</v>
      </c>
      <c r="V311" s="275">
        <f t="shared" si="145"/>
        <v>0.21046050252534607</v>
      </c>
      <c r="W311" s="276">
        <f t="shared" si="146"/>
        <v>-15.765740255740042</v>
      </c>
      <c r="X311" s="277">
        <f t="shared" si="155"/>
        <v>-143.04084244300586</v>
      </c>
      <c r="Y311" s="299">
        <f t="shared" si="154"/>
        <v>36.959157556994143</v>
      </c>
      <c r="AB311" s="278">
        <f t="shared" si="147"/>
        <v>-2.0379629132780384</v>
      </c>
      <c r="AC311" s="279">
        <f t="shared" si="148"/>
        <v>-33.899377881541319</v>
      </c>
      <c r="AF311" s="278">
        <f t="shared" si="149"/>
        <v>48.075755264519756</v>
      </c>
      <c r="AG311" s="279">
        <f t="shared" si="150"/>
        <v>-109.14146456146453</v>
      </c>
      <c r="AI311">
        <f t="shared" si="151"/>
        <v>0</v>
      </c>
      <c r="AJ311">
        <f t="shared" si="156"/>
        <v>0</v>
      </c>
      <c r="AK311">
        <f t="shared" si="152"/>
        <v>0</v>
      </c>
      <c r="AL311">
        <f t="shared" si="153"/>
        <v>0</v>
      </c>
      <c r="AM311"/>
      <c r="AN311"/>
    </row>
    <row r="312" spans="2:40" x14ac:dyDescent="0.2">
      <c r="B312" s="280">
        <v>21753.5</v>
      </c>
      <c r="C312" s="270">
        <f t="shared" si="126"/>
        <v>17.796682640622169</v>
      </c>
      <c r="D312" s="271">
        <f t="shared" si="127"/>
        <v>1.5145764686754268</v>
      </c>
      <c r="E312" s="271">
        <f t="shared" si="128"/>
        <v>1.0006312445911552</v>
      </c>
      <c r="F312" s="272">
        <f t="shared" si="129"/>
        <v>3.5522182134897863E-2</v>
      </c>
      <c r="G312" s="271">
        <f t="shared" si="130"/>
        <v>1.0239443895326219</v>
      </c>
      <c r="H312" s="272">
        <f t="shared" si="131"/>
        <v>-0.21668490640618762</v>
      </c>
      <c r="I312" s="270">
        <f t="shared" si="132"/>
        <v>76552.993317993547</v>
      </c>
      <c r="J312" s="273">
        <f t="shared" si="133"/>
        <v>1.5707832639484072</v>
      </c>
      <c r="K312" s="281">
        <f t="shared" si="134"/>
        <v>11.524693884203696</v>
      </c>
      <c r="L312" s="282">
        <f t="shared" si="135"/>
        <v>1.4839168725252387</v>
      </c>
      <c r="M312" s="270">
        <f t="shared" si="136"/>
        <v>1.1437208284543856</v>
      </c>
      <c r="N312" s="273">
        <f t="shared" si="137"/>
        <v>0.50672369125015826</v>
      </c>
      <c r="O312" s="270">
        <f t="shared" si="138"/>
        <v>6014.1865218031662</v>
      </c>
      <c r="P312" s="273">
        <f t="shared" si="139"/>
        <v>1.5706300532679645</v>
      </c>
      <c r="Q312" s="271">
        <f t="shared" si="140"/>
        <v>1.0219127583769305</v>
      </c>
      <c r="R312" s="272">
        <f t="shared" si="141"/>
        <v>0.20746064559053951</v>
      </c>
      <c r="S312" s="270">
        <f t="shared" si="142"/>
        <v>1.0000011595211913</v>
      </c>
      <c r="T312" s="273">
        <f t="shared" si="143"/>
        <v>1.5228394997137038E-3</v>
      </c>
      <c r="U312" s="274">
        <f t="shared" si="144"/>
        <v>1.0106045303815903</v>
      </c>
      <c r="V312" s="275">
        <f t="shared" si="145"/>
        <v>0.21166454295066539</v>
      </c>
      <c r="W312" s="276">
        <f t="shared" si="146"/>
        <v>-15.826191712397996</v>
      </c>
      <c r="X312" s="277">
        <f t="shared" si="155"/>
        <v>-143.29639039240917</v>
      </c>
      <c r="Y312" s="299">
        <f t="shared" si="154"/>
        <v>36.703609607590835</v>
      </c>
      <c r="AB312" s="278">
        <f t="shared" si="147"/>
        <v>-2.0500311602910362</v>
      </c>
      <c r="AC312" s="279">
        <f t="shared" si="148"/>
        <v>-34.010206498003221</v>
      </c>
      <c r="AF312" s="278">
        <f t="shared" si="149"/>
        <v>48.027372054874803</v>
      </c>
      <c r="AG312" s="279">
        <f t="shared" si="150"/>
        <v>-109.28618389440591</v>
      </c>
      <c r="AI312">
        <f t="shared" si="151"/>
        <v>0</v>
      </c>
      <c r="AJ312">
        <f t="shared" si="156"/>
        <v>0</v>
      </c>
      <c r="AK312">
        <f t="shared" si="152"/>
        <v>0</v>
      </c>
      <c r="AL312">
        <f t="shared" si="153"/>
        <v>0</v>
      </c>
      <c r="AM312"/>
      <c r="AN312"/>
    </row>
    <row r="313" spans="2:40" x14ac:dyDescent="0.2">
      <c r="B313" s="280">
        <v>21878</v>
      </c>
      <c r="C313" s="270">
        <f t="shared" si="126"/>
        <v>17.898216239604483</v>
      </c>
      <c r="D313" s="271">
        <f t="shared" si="127"/>
        <v>1.5148957281339732</v>
      </c>
      <c r="E313" s="271">
        <f t="shared" si="128"/>
        <v>1.0006384884553654</v>
      </c>
      <c r="F313" s="272">
        <f t="shared" si="129"/>
        <v>3.5725310843586329E-2</v>
      </c>
      <c r="G313" s="271">
        <f t="shared" si="130"/>
        <v>1.0242160019321753</v>
      </c>
      <c r="H313" s="272">
        <f t="shared" si="131"/>
        <v>-0.21788626748722789</v>
      </c>
      <c r="I313" s="270">
        <f t="shared" si="132"/>
        <v>76991.122707124887</v>
      </c>
      <c r="J313" s="273">
        <f t="shared" si="133"/>
        <v>1.57078333828447</v>
      </c>
      <c r="K313" s="281">
        <f t="shared" si="134"/>
        <v>11.590157005366379</v>
      </c>
      <c r="L313" s="282">
        <f t="shared" si="135"/>
        <v>1.4844088098846424</v>
      </c>
      <c r="M313" s="270">
        <f t="shared" si="136"/>
        <v>1.1452659258871529</v>
      </c>
      <c r="N313" s="273">
        <f t="shared" si="137"/>
        <v>0.50914895086451728</v>
      </c>
      <c r="O313" s="270">
        <f t="shared" si="138"/>
        <v>6048.6070151179129</v>
      </c>
      <c r="P313" s="273">
        <f t="shared" si="139"/>
        <v>1.570630999472084</v>
      </c>
      <c r="Q313" s="271">
        <f t="shared" si="140"/>
        <v>1.0221615719049266</v>
      </c>
      <c r="R313" s="272">
        <f t="shared" si="141"/>
        <v>0.20861393065026285</v>
      </c>
      <c r="S313" s="270">
        <f t="shared" si="142"/>
        <v>1.0000011728315465</v>
      </c>
      <c r="T313" s="273">
        <f t="shared" si="143"/>
        <v>1.5315550269657178E-3</v>
      </c>
      <c r="U313" s="274">
        <f t="shared" si="144"/>
        <v>1.0107264360377537</v>
      </c>
      <c r="V313" s="275">
        <f t="shared" si="145"/>
        <v>0.21286845648173736</v>
      </c>
      <c r="W313" s="276">
        <f t="shared" si="146"/>
        <v>-15.886383990018722</v>
      </c>
      <c r="X313" s="277">
        <f t="shared" si="155"/>
        <v>-143.55163174288199</v>
      </c>
      <c r="Y313" s="299">
        <f t="shared" si="154"/>
        <v>36.448368257118005</v>
      </c>
      <c r="AB313" s="278">
        <f t="shared" si="147"/>
        <v>-2.062128457479365</v>
      </c>
      <c r="AC313" s="279">
        <f t="shared" si="148"/>
        <v>-34.120981962793557</v>
      </c>
      <c r="AF313" s="278">
        <f t="shared" si="149"/>
        <v>47.979277074442408</v>
      </c>
      <c r="AG313" s="279">
        <f t="shared" si="150"/>
        <v>-109.43064978008844</v>
      </c>
      <c r="AI313">
        <f t="shared" si="151"/>
        <v>0</v>
      </c>
      <c r="AJ313">
        <f t="shared" si="156"/>
        <v>0</v>
      </c>
      <c r="AK313">
        <f t="shared" si="152"/>
        <v>0</v>
      </c>
      <c r="AL313">
        <f t="shared" si="153"/>
        <v>0</v>
      </c>
      <c r="AM313"/>
      <c r="AN313"/>
    </row>
    <row r="314" spans="2:40" x14ac:dyDescent="0.2">
      <c r="B314" s="280">
        <v>22005.25</v>
      </c>
      <c r="C314" s="270">
        <f t="shared" si="126"/>
        <v>18.001994412297247</v>
      </c>
      <c r="D314" s="271">
        <f t="shared" si="127"/>
        <v>1.5152183179448275</v>
      </c>
      <c r="E314" s="271">
        <f t="shared" si="128"/>
        <v>1.0006459349896353</v>
      </c>
      <c r="F314" s="272">
        <f t="shared" si="129"/>
        <v>3.5932923283059054E-2</v>
      </c>
      <c r="G314" s="271">
        <f t="shared" si="130"/>
        <v>1.0244951405385379</v>
      </c>
      <c r="H314" s="272">
        <f t="shared" si="131"/>
        <v>-0.21911350457281153</v>
      </c>
      <c r="I314" s="270">
        <f t="shared" si="132"/>
        <v>77438.929653044703</v>
      </c>
      <c r="J314" s="273">
        <f t="shared" si="133"/>
        <v>1.5707834133932714</v>
      </c>
      <c r="K314" s="281">
        <f t="shared" si="134"/>
        <v>11.657068964632149</v>
      </c>
      <c r="L314" s="282">
        <f t="shared" si="135"/>
        <v>1.48490590360671</v>
      </c>
      <c r="M314" s="270">
        <f t="shared" si="136"/>
        <v>1.1468520941457814</v>
      </c>
      <c r="N314" s="273">
        <f t="shared" si="137"/>
        <v>0.51162101258299375</v>
      </c>
      <c r="O314" s="270">
        <f t="shared" si="138"/>
        <v>6083.7878004592003</v>
      </c>
      <c r="P314" s="273">
        <f t="shared" si="139"/>
        <v>1.5706319555121857</v>
      </c>
      <c r="Q314" s="271">
        <f t="shared" si="140"/>
        <v>1.0224172855411351</v>
      </c>
      <c r="R314" s="272">
        <f t="shared" si="141"/>
        <v>0.20979210821292466</v>
      </c>
      <c r="S314" s="270">
        <f t="shared" si="142"/>
        <v>1.0000011865144014</v>
      </c>
      <c r="T314" s="273">
        <f t="shared" si="143"/>
        <v>1.5404630656234096E-3</v>
      </c>
      <c r="U314" s="274">
        <f t="shared" si="144"/>
        <v>1.0108517573891986</v>
      </c>
      <c r="V314" s="275">
        <f t="shared" si="145"/>
        <v>0.21409883061261523</v>
      </c>
      <c r="W314" s="276">
        <f t="shared" si="146"/>
        <v>-15.947641066190014</v>
      </c>
      <c r="X314" s="277">
        <f t="shared" si="155"/>
        <v>-143.81219184567388</v>
      </c>
      <c r="Y314" s="299">
        <f t="shared" si="154"/>
        <v>36.18780815432612</v>
      </c>
      <c r="AB314" s="278">
        <f t="shared" si="147"/>
        <v>-2.0745227468069514</v>
      </c>
      <c r="AC314" s="279">
        <f t="shared" si="148"/>
        <v>-34.234143597078521</v>
      </c>
      <c r="AF314" s="278">
        <f t="shared" si="149"/>
        <v>47.930414287598701</v>
      </c>
      <c r="AG314" s="279">
        <f t="shared" si="150"/>
        <v>-109.57804824859538</v>
      </c>
      <c r="AI314">
        <f t="shared" si="151"/>
        <v>0</v>
      </c>
      <c r="AJ314">
        <f t="shared" si="156"/>
        <v>0</v>
      </c>
      <c r="AK314">
        <f t="shared" si="152"/>
        <v>0</v>
      </c>
      <c r="AL314">
        <f t="shared" si="153"/>
        <v>0</v>
      </c>
      <c r="AM314"/>
      <c r="AN314"/>
    </row>
    <row r="315" spans="2:40" x14ac:dyDescent="0.2">
      <c r="B315" s="280">
        <v>22132.5</v>
      </c>
      <c r="C315" s="270">
        <f t="shared" si="126"/>
        <v>18.105774436877418</v>
      </c>
      <c r="D315" s="271">
        <f t="shared" si="127"/>
        <v>1.5155372097000082</v>
      </c>
      <c r="E315" s="271">
        <f t="shared" si="128"/>
        <v>1.0006534246540288</v>
      </c>
      <c r="F315" s="272">
        <f t="shared" si="129"/>
        <v>3.6140532623616009E-2</v>
      </c>
      <c r="G315" s="271">
        <f t="shared" si="130"/>
        <v>1.0247758213062095</v>
      </c>
      <c r="H315" s="272">
        <f t="shared" si="131"/>
        <v>-0.22034007123718943</v>
      </c>
      <c r="I315" s="270">
        <f t="shared" si="132"/>
        <v>77886.736598964941</v>
      </c>
      <c r="J315" s="273">
        <f t="shared" si="133"/>
        <v>1.5707834876384024</v>
      </c>
      <c r="K315" s="281">
        <f t="shared" si="134"/>
        <v>11.723983771505084</v>
      </c>
      <c r="L315" s="282">
        <f t="shared" si="135"/>
        <v>1.4853973231098454</v>
      </c>
      <c r="M315" s="270">
        <f t="shared" si="136"/>
        <v>1.1484452515353052</v>
      </c>
      <c r="N315" s="273">
        <f t="shared" si="137"/>
        <v>0.51408623069690262</v>
      </c>
      <c r="O315" s="270">
        <f t="shared" si="138"/>
        <v>6118.9685858059838</v>
      </c>
      <c r="P315" s="273">
        <f t="shared" si="139"/>
        <v>1.5706329005588524</v>
      </c>
      <c r="Q315" s="271">
        <f t="shared" si="140"/>
        <v>1.0226744176863158</v>
      </c>
      <c r="R315" s="272">
        <f t="shared" si="141"/>
        <v>0.21096969494857284</v>
      </c>
      <c r="S315" s="270">
        <f t="shared" si="142"/>
        <v>1.0000012002766094</v>
      </c>
      <c r="T315" s="273">
        <f t="shared" si="143"/>
        <v>1.5493711040366202E-3</v>
      </c>
      <c r="U315" s="274">
        <f t="shared" si="144"/>
        <v>1.0109778097083049</v>
      </c>
      <c r="V315" s="275">
        <f t="shared" si="145"/>
        <v>0.2153290706838627</v>
      </c>
      <c r="W315" s="276">
        <f t="shared" si="146"/>
        <v>-16.008633577305847</v>
      </c>
      <c r="X315" s="277">
        <f t="shared" si="155"/>
        <v>-144.0724270993353</v>
      </c>
      <c r="Y315" s="299">
        <f t="shared" si="154"/>
        <v>35.9275729006647</v>
      </c>
      <c r="AB315" s="278">
        <f t="shared" si="147"/>
        <v>-2.0869469000932144</v>
      </c>
      <c r="AC315" s="279">
        <f t="shared" si="148"/>
        <v>-34.347238181017268</v>
      </c>
      <c r="AF315" s="278">
        <f t="shared" si="149"/>
        <v>47.881845929769121</v>
      </c>
      <c r="AG315" s="279">
        <f t="shared" si="150"/>
        <v>-109.725188918318</v>
      </c>
      <c r="AI315">
        <f t="shared" si="151"/>
        <v>0</v>
      </c>
      <c r="AJ315">
        <f t="shared" si="156"/>
        <v>0</v>
      </c>
      <c r="AK315">
        <f t="shared" si="152"/>
        <v>0</v>
      </c>
      <c r="AL315">
        <f t="shared" si="153"/>
        <v>0</v>
      </c>
      <c r="AM315"/>
      <c r="AN315"/>
    </row>
    <row r="316" spans="2:40" x14ac:dyDescent="0.2">
      <c r="B316" s="280">
        <v>22259.75</v>
      </c>
      <c r="C316" s="270">
        <f t="shared" si="126"/>
        <v>18.209556281682122</v>
      </c>
      <c r="D316" s="271">
        <f t="shared" si="127"/>
        <v>1.5158524665631563</v>
      </c>
      <c r="E316" s="271">
        <f t="shared" si="128"/>
        <v>1.0006609574475778</v>
      </c>
      <c r="F316" s="272">
        <f t="shared" si="129"/>
        <v>3.6348138847430364E-2</v>
      </c>
      <c r="G316" s="271">
        <f t="shared" si="130"/>
        <v>1.0250580429683693</v>
      </c>
      <c r="H316" s="272">
        <f t="shared" si="131"/>
        <v>-0.22156596434195147</v>
      </c>
      <c r="I316" s="270">
        <f t="shared" si="132"/>
        <v>78334.543544885615</v>
      </c>
      <c r="J316" s="273">
        <f t="shared" si="133"/>
        <v>1.5707835610346741</v>
      </c>
      <c r="K316" s="281">
        <f t="shared" si="134"/>
        <v>11.790901377503625</v>
      </c>
      <c r="L316" s="282">
        <f t="shared" si="135"/>
        <v>1.4858831647643553</v>
      </c>
      <c r="M316" s="270">
        <f t="shared" si="136"/>
        <v>1.1500453690096046</v>
      </c>
      <c r="N316" s="273">
        <f t="shared" si="137"/>
        <v>0.51654460374614719</v>
      </c>
      <c r="O316" s="270">
        <f t="shared" si="138"/>
        <v>6154.1493711581707</v>
      </c>
      <c r="P316" s="273">
        <f t="shared" si="139"/>
        <v>1.5706338348006192</v>
      </c>
      <c r="Q316" s="271">
        <f t="shared" si="140"/>
        <v>1.0229329672707679</v>
      </c>
      <c r="R316" s="272">
        <f t="shared" si="141"/>
        <v>0.21214668803804429</v>
      </c>
      <c r="S316" s="270">
        <f t="shared" si="142"/>
        <v>1.0000012141181709</v>
      </c>
      <c r="T316" s="273">
        <f t="shared" si="143"/>
        <v>1.5582791422039353E-3</v>
      </c>
      <c r="U316" s="274">
        <f t="shared" si="144"/>
        <v>1.0111045930658205</v>
      </c>
      <c r="V316" s="275">
        <f t="shared" si="145"/>
        <v>0.21655917593892837</v>
      </c>
      <c r="W316" s="276">
        <f t="shared" si="146"/>
        <v>-16.069364563612091</v>
      </c>
      <c r="X316" s="277">
        <f t="shared" si="155"/>
        <v>-144.3323352963121</v>
      </c>
      <c r="Y316" s="299">
        <f t="shared" si="154"/>
        <v>35.667664703687905</v>
      </c>
      <c r="AB316" s="278">
        <f t="shared" si="147"/>
        <v>-2.0994006687659827</v>
      </c>
      <c r="AC316" s="279">
        <f t="shared" si="148"/>
        <v>-34.460260110189225</v>
      </c>
      <c r="AF316" s="278">
        <f t="shared" si="149"/>
        <v>47.833568712135644</v>
      </c>
      <c r="AG316" s="279">
        <f t="shared" si="150"/>
        <v>-109.87207518612288</v>
      </c>
      <c r="AI316">
        <f t="shared" si="151"/>
        <v>0</v>
      </c>
      <c r="AJ316">
        <f t="shared" si="156"/>
        <v>0</v>
      </c>
      <c r="AK316">
        <f t="shared" si="152"/>
        <v>0</v>
      </c>
      <c r="AL316">
        <f t="shared" si="153"/>
        <v>0</v>
      </c>
      <c r="AM316"/>
      <c r="AN316"/>
    </row>
    <row r="317" spans="2:40" x14ac:dyDescent="0.2">
      <c r="B317" s="280">
        <v>22387</v>
      </c>
      <c r="C317" s="270">
        <f t="shared" si="126"/>
        <v>18.313339915765688</v>
      </c>
      <c r="D317" s="271">
        <f t="shared" si="127"/>
        <v>1.5161641502690211</v>
      </c>
      <c r="E317" s="271">
        <f t="shared" si="128"/>
        <v>1.0006685333693077</v>
      </c>
      <c r="F317" s="272">
        <f t="shared" si="129"/>
        <v>3.6555741936676905E-2</v>
      </c>
      <c r="G317" s="271">
        <f t="shared" si="130"/>
        <v>1.0253418042526403</v>
      </c>
      <c r="H317" s="272">
        <f t="shared" si="131"/>
        <v>-0.22279118076023116</v>
      </c>
      <c r="I317" s="270">
        <f t="shared" si="132"/>
        <v>78782.350490806697</v>
      </c>
      <c r="J317" s="273">
        <f t="shared" si="133"/>
        <v>1.5707836335965624</v>
      </c>
      <c r="K317" s="281">
        <f t="shared" si="134"/>
        <v>11.857821735238604</v>
      </c>
      <c r="L317" s="282">
        <f t="shared" si="135"/>
        <v>1.486363522775729</v>
      </c>
      <c r="M317" s="270">
        <f t="shared" si="136"/>
        <v>1.1516524175574439</v>
      </c>
      <c r="N317" s="273">
        <f t="shared" si="137"/>
        <v>0.5189961306096762</v>
      </c>
      <c r="O317" s="270">
        <f t="shared" si="138"/>
        <v>6189.3301565156671</v>
      </c>
      <c r="P317" s="273">
        <f t="shared" si="139"/>
        <v>1.5706347584217346</v>
      </c>
      <c r="Q317" s="271">
        <f t="shared" si="140"/>
        <v>1.0231929332199774</v>
      </c>
      <c r="R317" s="272">
        <f t="shared" si="141"/>
        <v>0.2133230846715965</v>
      </c>
      <c r="S317" s="270">
        <f t="shared" si="142"/>
        <v>1.0000012280390855</v>
      </c>
      <c r="T317" s="273">
        <f t="shared" si="143"/>
        <v>1.5671871801239414E-3</v>
      </c>
      <c r="U317" s="274">
        <f t="shared" si="144"/>
        <v>1.0112321075328574</v>
      </c>
      <c r="V317" s="275">
        <f t="shared" si="145"/>
        <v>0.21778914562158594</v>
      </c>
      <c r="W317" s="276">
        <f t="shared" si="146"/>
        <v>-16.129837007682987</v>
      </c>
      <c r="X317" s="277">
        <f t="shared" si="155"/>
        <v>-144.59191429130243</v>
      </c>
      <c r="Y317" s="299">
        <f t="shared" si="154"/>
        <v>35.40808570869757</v>
      </c>
      <c r="AB317" s="278">
        <f t="shared" si="147"/>
        <v>-2.1118838017377812</v>
      </c>
      <c r="AC317" s="279">
        <f t="shared" si="148"/>
        <v>-34.573203923615338</v>
      </c>
      <c r="AF317" s="278">
        <f t="shared" si="149"/>
        <v>47.785579401036557</v>
      </c>
      <c r="AG317" s="279">
        <f t="shared" si="150"/>
        <v>-110.01871036768711</v>
      </c>
      <c r="AI317">
        <f t="shared" si="151"/>
        <v>0</v>
      </c>
      <c r="AJ317">
        <f t="shared" si="156"/>
        <v>0</v>
      </c>
      <c r="AK317">
        <f t="shared" si="152"/>
        <v>0</v>
      </c>
      <c r="AL317">
        <f t="shared" si="153"/>
        <v>0</v>
      </c>
      <c r="AM317"/>
      <c r="AN317"/>
    </row>
    <row r="318" spans="2:40" x14ac:dyDescent="0.2">
      <c r="B318" s="280">
        <v>22517.5</v>
      </c>
      <c r="C318" s="270">
        <f t="shared" si="126"/>
        <v>18.419776039139499</v>
      </c>
      <c r="D318" s="271">
        <f t="shared" si="127"/>
        <v>1.5164801464527333</v>
      </c>
      <c r="E318" s="271">
        <f t="shared" si="128"/>
        <v>1.0006763475756426</v>
      </c>
      <c r="F318" s="272">
        <f t="shared" si="129"/>
        <v>3.6768643991577289E-2</v>
      </c>
      <c r="G318" s="271">
        <f t="shared" si="130"/>
        <v>1.0256344106473645</v>
      </c>
      <c r="H318" s="272">
        <f t="shared" si="131"/>
        <v>-0.22404698344838264</v>
      </c>
      <c r="I318" s="270">
        <f t="shared" si="132"/>
        <v>79241.594549295929</v>
      </c>
      <c r="J318" s="273">
        <f t="shared" si="133"/>
        <v>1.5707837071598967</v>
      </c>
      <c r="K318" s="281">
        <f t="shared" si="134"/>
        <v>11.926454066850642</v>
      </c>
      <c r="L318" s="282">
        <f t="shared" si="135"/>
        <v>1.4868505502106319</v>
      </c>
      <c r="M318" s="270">
        <f t="shared" si="136"/>
        <v>1.1533076790833401</v>
      </c>
      <c r="N318" s="273">
        <f t="shared" si="137"/>
        <v>0.52150315862403929</v>
      </c>
      <c r="O318" s="270">
        <f t="shared" si="138"/>
        <v>6225.409468813059</v>
      </c>
      <c r="P318" s="273">
        <f t="shared" si="139"/>
        <v>1.5706356947899964</v>
      </c>
      <c r="Q318" s="271">
        <f t="shared" si="140"/>
        <v>1.0234610087286782</v>
      </c>
      <c r="R318" s="272">
        <f t="shared" si="141"/>
        <v>0.21452890436462577</v>
      </c>
      <c r="S318" s="270">
        <f t="shared" si="142"/>
        <v>1.0000012423979632</v>
      </c>
      <c r="T318" s="273">
        <f t="shared" si="143"/>
        <v>1.5763227315242279E-3</v>
      </c>
      <c r="U318" s="274">
        <f t="shared" si="144"/>
        <v>1.0113636381864073</v>
      </c>
      <c r="V318" s="275">
        <f t="shared" si="145"/>
        <v>0.21905038746599381</v>
      </c>
      <c r="W318" s="276">
        <f t="shared" si="146"/>
        <v>-16.191588468048813</v>
      </c>
      <c r="X318" s="277">
        <f t="shared" si="155"/>
        <v>-144.85777890102366</v>
      </c>
      <c r="Y318" s="299">
        <f t="shared" si="154"/>
        <v>35.142221098976336</v>
      </c>
      <c r="AB318" s="278">
        <f t="shared" si="147"/>
        <v>-2.1247159906993311</v>
      </c>
      <c r="AC318" s="279">
        <f t="shared" si="148"/>
        <v>-34.688945646300944</v>
      </c>
      <c r="AF318" s="278">
        <f t="shared" si="149"/>
        <v>47.73666012963227</v>
      </c>
      <c r="AG318" s="279">
        <f t="shared" si="150"/>
        <v>-110.16883325472274</v>
      </c>
      <c r="AI318">
        <f t="shared" si="151"/>
        <v>0</v>
      </c>
      <c r="AJ318">
        <f t="shared" si="156"/>
        <v>0</v>
      </c>
      <c r="AK318">
        <f t="shared" si="152"/>
        <v>0</v>
      </c>
      <c r="AL318">
        <f t="shared" si="153"/>
        <v>0</v>
      </c>
      <c r="AM318"/>
      <c r="AN318"/>
    </row>
    <row r="319" spans="2:40" x14ac:dyDescent="0.2">
      <c r="B319" s="280">
        <v>22648</v>
      </c>
      <c r="C319" s="270">
        <f t="shared" si="126"/>
        <v>18.526213980659996</v>
      </c>
      <c r="D319" s="271">
        <f t="shared" si="127"/>
        <v>1.5167925117060035</v>
      </c>
      <c r="E319" s="271">
        <f t="shared" si="128"/>
        <v>1.0006842071392097</v>
      </c>
      <c r="F319" s="272">
        <f t="shared" si="129"/>
        <v>3.6981542711781418E-2</v>
      </c>
      <c r="G319" s="271">
        <f t="shared" si="130"/>
        <v>1.0259286335848543</v>
      </c>
      <c r="H319" s="272">
        <f t="shared" si="131"/>
        <v>-0.22530206781927911</v>
      </c>
      <c r="I319" s="270">
        <f t="shared" si="132"/>
        <v>79700.838607785598</v>
      </c>
      <c r="J319" s="273">
        <f t="shared" si="133"/>
        <v>1.5707837798754727</v>
      </c>
      <c r="K319" s="281">
        <f t="shared" si="134"/>
        <v>11.995089194993886</v>
      </c>
      <c r="L319" s="282">
        <f t="shared" si="135"/>
        <v>1.4873320042793905</v>
      </c>
      <c r="M319" s="270">
        <f t="shared" si="136"/>
        <v>1.1549701685626634</v>
      </c>
      <c r="N319" s="273">
        <f t="shared" si="137"/>
        <v>0.5240029849700889</v>
      </c>
      <c r="O319" s="270">
        <f t="shared" si="138"/>
        <v>6261.4887811158469</v>
      </c>
      <c r="P319" s="273">
        <f t="shared" si="139"/>
        <v>1.5706366203673667</v>
      </c>
      <c r="Q319" s="271">
        <f t="shared" si="140"/>
        <v>1.0237305715702238</v>
      </c>
      <c r="R319" s="272">
        <f t="shared" si="141"/>
        <v>0.21573409079022862</v>
      </c>
      <c r="S319" s="270">
        <f t="shared" si="142"/>
        <v>1.0000012568402994</v>
      </c>
      <c r="T319" s="273">
        <f t="shared" si="143"/>
        <v>1.5854582826613996E-3</v>
      </c>
      <c r="U319" s="274">
        <f t="shared" si="144"/>
        <v>1.0114959379245216</v>
      </c>
      <c r="V319" s="275">
        <f t="shared" si="145"/>
        <v>0.22031148511449347</v>
      </c>
      <c r="W319" s="276">
        <f t="shared" si="146"/>
        <v>-16.25307418477216</v>
      </c>
      <c r="X319" s="277">
        <f t="shared" si="155"/>
        <v>-145.1232929030399</v>
      </c>
      <c r="Y319" s="299">
        <f t="shared" si="154"/>
        <v>34.876707096960104</v>
      </c>
      <c r="AB319" s="278">
        <f t="shared" si="147"/>
        <v>-2.1375785207156777</v>
      </c>
      <c r="AC319" s="279">
        <f t="shared" si="148"/>
        <v>-34.804594025571554</v>
      </c>
      <c r="AF319" s="278">
        <f t="shared" si="149"/>
        <v>47.68803694292528</v>
      </c>
      <c r="AG319" s="279">
        <f t="shared" si="150"/>
        <v>-110.31869887746832</v>
      </c>
      <c r="AI319">
        <f t="shared" si="151"/>
        <v>0</v>
      </c>
      <c r="AJ319">
        <f t="shared" si="156"/>
        <v>0</v>
      </c>
      <c r="AK319">
        <f t="shared" si="152"/>
        <v>0</v>
      </c>
      <c r="AL319">
        <f t="shared" si="153"/>
        <v>0</v>
      </c>
      <c r="AM319"/>
      <c r="AN319"/>
    </row>
    <row r="320" spans="2:40" x14ac:dyDescent="0.2">
      <c r="B320" s="280">
        <v>22778.5</v>
      </c>
      <c r="C320" s="270">
        <f t="shared" si="126"/>
        <v>18.632653709169016</v>
      </c>
      <c r="D320" s="271">
        <f t="shared" si="127"/>
        <v>1.5171013081928233</v>
      </c>
      <c r="E320" s="271">
        <f t="shared" si="128"/>
        <v>1.0006921120589405</v>
      </c>
      <c r="F320" s="272">
        <f t="shared" si="129"/>
        <v>3.7194438078068465E-2</v>
      </c>
      <c r="G320" s="271">
        <f t="shared" si="130"/>
        <v>1.0262244716747004</v>
      </c>
      <c r="H320" s="272">
        <f t="shared" si="131"/>
        <v>-0.22655643053835156</v>
      </c>
      <c r="I320" s="270">
        <f t="shared" si="132"/>
        <v>80160.082666275674</v>
      </c>
      <c r="J320" s="273">
        <f t="shared" si="133"/>
        <v>1.5707838517578612</v>
      </c>
      <c r="K320" s="281">
        <f t="shared" si="134"/>
        <v>12.063727071936748</v>
      </c>
      <c r="L320" s="282">
        <f t="shared" si="135"/>
        <v>1.487807979887682</v>
      </c>
      <c r="M320" s="270">
        <f t="shared" si="136"/>
        <v>1.1566398548282462</v>
      </c>
      <c r="N320" s="273">
        <f t="shared" si="137"/>
        <v>0.52649560952557373</v>
      </c>
      <c r="O320" s="270">
        <f t="shared" si="138"/>
        <v>6297.5680934239372</v>
      </c>
      <c r="P320" s="273">
        <f t="shared" si="139"/>
        <v>1.5706375353393114</v>
      </c>
      <c r="Q320" s="271">
        <f t="shared" si="140"/>
        <v>1.0240016205700171</v>
      </c>
      <c r="R320" s="272">
        <f t="shared" si="141"/>
        <v>0.21693864094890103</v>
      </c>
      <c r="S320" s="270">
        <f t="shared" si="142"/>
        <v>1.000001271366094</v>
      </c>
      <c r="T320" s="273">
        <f t="shared" si="143"/>
        <v>1.5945938335339316E-3</v>
      </c>
      <c r="U320" s="274">
        <f t="shared" si="144"/>
        <v>1.0116290068250866</v>
      </c>
      <c r="V320" s="275">
        <f t="shared" si="145"/>
        <v>0.22157243775250129</v>
      </c>
      <c r="W320" s="276">
        <f t="shared" si="146"/>
        <v>-16.314297194867745</v>
      </c>
      <c r="X320" s="277">
        <f t="shared" si="155"/>
        <v>-145.38845417859329</v>
      </c>
      <c r="Y320" s="299">
        <f t="shared" si="154"/>
        <v>34.611545821406708</v>
      </c>
      <c r="AB320" s="278">
        <f t="shared" si="147"/>
        <v>-2.1504711137333805</v>
      </c>
      <c r="AC320" s="279">
        <f t="shared" si="148"/>
        <v>-34.920143617562715</v>
      </c>
      <c r="AF320" s="278">
        <f t="shared" si="149"/>
        <v>47.639706525847394</v>
      </c>
      <c r="AG320" s="279">
        <f t="shared" si="150"/>
        <v>-110.46831056103056</v>
      </c>
      <c r="AI320">
        <f t="shared" si="151"/>
        <v>0</v>
      </c>
      <c r="AJ320">
        <f t="shared" si="156"/>
        <v>0</v>
      </c>
      <c r="AK320">
        <f t="shared" si="152"/>
        <v>0</v>
      </c>
      <c r="AL320">
        <f t="shared" si="153"/>
        <v>0</v>
      </c>
      <c r="AM320"/>
      <c r="AN320"/>
    </row>
    <row r="321" spans="2:40" x14ac:dyDescent="0.2">
      <c r="B321" s="280">
        <v>22909</v>
      </c>
      <c r="C321" s="270">
        <f t="shared" si="126"/>
        <v>18.739095194215789</v>
      </c>
      <c r="D321" s="271">
        <f t="shared" si="127"/>
        <v>1.517406596667531</v>
      </c>
      <c r="E321" s="271">
        <f t="shared" si="128"/>
        <v>1.0007000623337603</v>
      </c>
      <c r="F321" s="272">
        <f t="shared" si="129"/>
        <v>3.7407330071219415E-2</v>
      </c>
      <c r="G321" s="271">
        <f t="shared" si="130"/>
        <v>1.0265219235204686</v>
      </c>
      <c r="H321" s="272">
        <f t="shared" si="131"/>
        <v>-0.22781006828394829</v>
      </c>
      <c r="I321" s="270">
        <f t="shared" si="132"/>
        <v>80619.326724766172</v>
      </c>
      <c r="J321" s="273">
        <f t="shared" si="133"/>
        <v>1.5707839228213005</v>
      </c>
      <c r="K321" s="281">
        <f t="shared" si="134"/>
        <v>12.132367651025906</v>
      </c>
      <c r="L321" s="282">
        <f t="shared" si="135"/>
        <v>1.4882785698034735</v>
      </c>
      <c r="M321" s="270">
        <f t="shared" si="136"/>
        <v>1.1583167067580942</v>
      </c>
      <c r="N321" s="273">
        <f t="shared" si="137"/>
        <v>0.52898103252691153</v>
      </c>
      <c r="O321" s="270">
        <f t="shared" si="138"/>
        <v>6333.6474057372388</v>
      </c>
      <c r="P321" s="273">
        <f t="shared" si="139"/>
        <v>1.5706384398870703</v>
      </c>
      <c r="Q321" s="271">
        <f t="shared" si="140"/>
        <v>1.0242741545482326</v>
      </c>
      <c r="R321" s="272">
        <f t="shared" si="141"/>
        <v>0.21814255185169068</v>
      </c>
      <c r="S321" s="270">
        <f t="shared" si="142"/>
        <v>1.0000012859753469</v>
      </c>
      <c r="T321" s="273">
        <f t="shared" si="143"/>
        <v>1.6037293841402993E-3</v>
      </c>
      <c r="U321" s="274">
        <f t="shared" si="144"/>
        <v>1.0117628449663865</v>
      </c>
      <c r="V321" s="275">
        <f t="shared" si="145"/>
        <v>0.22283324456580189</v>
      </c>
      <c r="W321" s="276">
        <f t="shared" si="146"/>
        <v>-16.375260477514971</v>
      </c>
      <c r="X321" s="277">
        <f t="shared" si="155"/>
        <v>-145.65326067193308</v>
      </c>
      <c r="Y321" s="299">
        <f t="shared" si="154"/>
        <v>34.346739328066917</v>
      </c>
      <c r="AB321" s="278">
        <f t="shared" si="147"/>
        <v>-2.1633934895794633</v>
      </c>
      <c r="AC321" s="279">
        <f t="shared" si="148"/>
        <v>-35.035589121422987</v>
      </c>
      <c r="AF321" s="278">
        <f t="shared" si="149"/>
        <v>47.591665619046253</v>
      </c>
      <c r="AG321" s="279">
        <f t="shared" si="150"/>
        <v>-110.61767155051008</v>
      </c>
      <c r="AI321">
        <f t="shared" si="151"/>
        <v>0</v>
      </c>
      <c r="AJ321">
        <f t="shared" si="156"/>
        <v>0</v>
      </c>
      <c r="AK321">
        <f t="shared" si="152"/>
        <v>0</v>
      </c>
      <c r="AL321">
        <f t="shared" si="153"/>
        <v>0</v>
      </c>
      <c r="AM321"/>
      <c r="AN321"/>
    </row>
    <row r="322" spans="2:40" x14ac:dyDescent="0.2">
      <c r="B322" s="280">
        <v>23042.25</v>
      </c>
      <c r="C322" s="270">
        <f t="shared" si="126"/>
        <v>18.847781480590157</v>
      </c>
      <c r="D322" s="271">
        <f t="shared" si="127"/>
        <v>1.5177147604455687</v>
      </c>
      <c r="E322" s="271">
        <f t="shared" si="128"/>
        <v>1.0007082269407803</v>
      </c>
      <c r="F322" s="272">
        <f t="shared" si="129"/>
        <v>3.7624704793635784E-2</v>
      </c>
      <c r="G322" s="271">
        <f t="shared" si="130"/>
        <v>1.0268273071750651</v>
      </c>
      <c r="H322" s="272">
        <f t="shared" si="131"/>
        <v>-0.22908937219498882</v>
      </c>
      <c r="I322" s="270">
        <f t="shared" si="132"/>
        <v>81088.248340045175</v>
      </c>
      <c r="J322" s="273">
        <f t="shared" si="133"/>
        <v>1.5707839945516864</v>
      </c>
      <c r="K322" s="281">
        <f t="shared" si="134"/>
        <v>12.202457419876726</v>
      </c>
      <c r="L322" s="282">
        <f t="shared" si="135"/>
        <v>1.4887536134622334</v>
      </c>
      <c r="M322" s="270">
        <f t="shared" si="136"/>
        <v>1.1600362561149544</v>
      </c>
      <c r="N322" s="273">
        <f t="shared" si="137"/>
        <v>0.53151140016996179</v>
      </c>
      <c r="O322" s="270">
        <f t="shared" si="138"/>
        <v>6370.4870100777562</v>
      </c>
      <c r="P322" s="273">
        <f t="shared" si="139"/>
        <v>1.5706393529242137</v>
      </c>
      <c r="Q322" s="271">
        <f t="shared" si="140"/>
        <v>1.0245539625953666</v>
      </c>
      <c r="R322" s="272">
        <f t="shared" si="141"/>
        <v>0.21937116982557853</v>
      </c>
      <c r="S322" s="270">
        <f t="shared" si="142"/>
        <v>1.0000013009785726</v>
      </c>
      <c r="T322" s="273">
        <f t="shared" si="143"/>
        <v>1.6130574460732623E-3</v>
      </c>
      <c r="U322" s="274">
        <f t="shared" si="144"/>
        <v>1.0119002972600302</v>
      </c>
      <c r="V322" s="275">
        <f t="shared" si="145"/>
        <v>0.2241204687929193</v>
      </c>
      <c r="W322" s="276">
        <f t="shared" si="146"/>
        <v>-16.437243468806649</v>
      </c>
      <c r="X322" s="277">
        <f t="shared" si="155"/>
        <v>-145.92327923164439</v>
      </c>
      <c r="Y322" s="299">
        <f t="shared" si="154"/>
        <v>34.076720768355614</v>
      </c>
      <c r="AB322" s="278">
        <f t="shared" si="147"/>
        <v>-2.1766186137039401</v>
      </c>
      <c r="AC322" s="279">
        <f t="shared" si="148"/>
        <v>-35.153354621103205</v>
      </c>
      <c r="AF322" s="278">
        <f t="shared" si="149"/>
        <v>47.542907751879049</v>
      </c>
      <c r="AG322" s="279">
        <f t="shared" si="150"/>
        <v>-110.76992461054117</v>
      </c>
      <c r="AI322">
        <f t="shared" si="151"/>
        <v>0</v>
      </c>
      <c r="AJ322">
        <f t="shared" si="156"/>
        <v>0</v>
      </c>
      <c r="AK322">
        <f t="shared" si="152"/>
        <v>0</v>
      </c>
      <c r="AL322">
        <f t="shared" si="153"/>
        <v>0</v>
      </c>
      <c r="AM322"/>
      <c r="AN322"/>
    </row>
    <row r="323" spans="2:40" x14ac:dyDescent="0.2">
      <c r="B323" s="280">
        <v>23175.5</v>
      </c>
      <c r="C323" s="270">
        <f t="shared" si="126"/>
        <v>18.956469536317968</v>
      </c>
      <c r="D323" s="271">
        <f t="shared" si="127"/>
        <v>1.5180193905012294</v>
      </c>
      <c r="E323" s="271">
        <f t="shared" si="128"/>
        <v>1.0007164388322625</v>
      </c>
      <c r="F323" s="272">
        <f t="shared" si="129"/>
        <v>3.7842075958763849E-2</v>
      </c>
      <c r="G323" s="271">
        <f t="shared" si="130"/>
        <v>1.0271343703533273</v>
      </c>
      <c r="H323" s="272">
        <f t="shared" si="131"/>
        <v>-0.23036791329828166</v>
      </c>
      <c r="I323" s="270">
        <f t="shared" si="132"/>
        <v>81557.169955324614</v>
      </c>
      <c r="J323" s="273">
        <f t="shared" si="133"/>
        <v>1.5707840654572292</v>
      </c>
      <c r="K323" s="281">
        <f t="shared" si="134"/>
        <v>12.27254991095962</v>
      </c>
      <c r="L323" s="282">
        <f t="shared" si="135"/>
        <v>1.4892232309708404</v>
      </c>
      <c r="M323" s="270">
        <f t="shared" si="136"/>
        <v>1.1617632108913418</v>
      </c>
      <c r="N323" s="273">
        <f t="shared" si="137"/>
        <v>0.53403426117053221</v>
      </c>
      <c r="O323" s="270">
        <f t="shared" si="138"/>
        <v>6407.3266144235222</v>
      </c>
      <c r="P323" s="273">
        <f t="shared" si="139"/>
        <v>1.5706402554621495</v>
      </c>
      <c r="Q323" s="271">
        <f t="shared" si="140"/>
        <v>1.0248353163630139</v>
      </c>
      <c r="R323" s="272">
        <f t="shared" si="141"/>
        <v>0.22059911505348709</v>
      </c>
      <c r="S323" s="270">
        <f t="shared" si="142"/>
        <v>1.0000013160688113</v>
      </c>
      <c r="T323" s="273">
        <f t="shared" si="143"/>
        <v>1.6223855077255119E-3</v>
      </c>
      <c r="U323" s="274">
        <f t="shared" si="144"/>
        <v>1.01203855172233</v>
      </c>
      <c r="V323" s="275">
        <f t="shared" si="145"/>
        <v>0.22540753927021401</v>
      </c>
      <c r="W323" s="276">
        <f t="shared" si="146"/>
        <v>-16.498961770172645</v>
      </c>
      <c r="X323" s="277">
        <f t="shared" si="155"/>
        <v>-146.19292376222498</v>
      </c>
      <c r="Y323" s="299">
        <f t="shared" si="154"/>
        <v>33.807076237775021</v>
      </c>
      <c r="AB323" s="278">
        <f t="shared" si="147"/>
        <v>-2.1898741926220273</v>
      </c>
      <c r="AC323" s="279">
        <f t="shared" si="148"/>
        <v>-35.271000870093751</v>
      </c>
      <c r="AF323" s="278">
        <f t="shared" si="149"/>
        <v>47.494445029431141</v>
      </c>
      <c r="AG323" s="279">
        <f t="shared" si="150"/>
        <v>-110.92192289213124</v>
      </c>
      <c r="AI323">
        <f t="shared" si="151"/>
        <v>0</v>
      </c>
      <c r="AJ323">
        <f t="shared" si="156"/>
        <v>0</v>
      </c>
      <c r="AK323">
        <f t="shared" si="152"/>
        <v>0</v>
      </c>
      <c r="AL323">
        <f t="shared" si="153"/>
        <v>0</v>
      </c>
      <c r="AM323"/>
      <c r="AN323"/>
    </row>
    <row r="324" spans="2:40" x14ac:dyDescent="0.2">
      <c r="B324" s="280">
        <v>23308.75</v>
      </c>
      <c r="C324" s="270">
        <f t="shared" si="126"/>
        <v>19.065159331138641</v>
      </c>
      <c r="D324" s="271">
        <f t="shared" si="127"/>
        <v>1.518320547214361</v>
      </c>
      <c r="E324" s="271">
        <f t="shared" si="128"/>
        <v>1.0007246980070428</v>
      </c>
      <c r="F324" s="272">
        <f t="shared" si="129"/>
        <v>3.8059443546149783E-2</v>
      </c>
      <c r="G324" s="271">
        <f t="shared" si="130"/>
        <v>1.0274431115494209</v>
      </c>
      <c r="H324" s="272">
        <f t="shared" si="131"/>
        <v>-0.23164568809965086</v>
      </c>
      <c r="I324" s="270">
        <f t="shared" si="132"/>
        <v>82026.091570604462</v>
      </c>
      <c r="J324" s="273">
        <f t="shared" si="133"/>
        <v>1.5707841355520753</v>
      </c>
      <c r="K324" s="281">
        <f t="shared" si="134"/>
        <v>12.34264507789684</v>
      </c>
      <c r="L324" s="282">
        <f t="shared" si="135"/>
        <v>1.4896875145673856</v>
      </c>
      <c r="M324" s="270">
        <f t="shared" si="136"/>
        <v>1.1634975381121342</v>
      </c>
      <c r="N324" s="273">
        <f t="shared" si="137"/>
        <v>0.53654961691086744</v>
      </c>
      <c r="O324" s="270">
        <f t="shared" si="138"/>
        <v>6444.1662187744469</v>
      </c>
      <c r="P324" s="273">
        <f t="shared" si="139"/>
        <v>1.5706411476809408</v>
      </c>
      <c r="Q324" s="271">
        <f t="shared" si="140"/>
        <v>1.0251182145784601</v>
      </c>
      <c r="R324" s="272">
        <f t="shared" si="141"/>
        <v>0.22182638438775912</v>
      </c>
      <c r="S324" s="270">
        <f t="shared" si="142"/>
        <v>1.0000013312460627</v>
      </c>
      <c r="T324" s="273">
        <f t="shared" si="143"/>
        <v>1.6317135690954246E-3</v>
      </c>
      <c r="U324" s="274">
        <f t="shared" si="144"/>
        <v>1.0121776084379053</v>
      </c>
      <c r="V324" s="275">
        <f t="shared" si="145"/>
        <v>0.22669445513210729</v>
      </c>
      <c r="W324" s="276">
        <f t="shared" si="146"/>
        <v>-16.560418375419829</v>
      </c>
      <c r="X324" s="277">
        <f t="shared" si="155"/>
        <v>-146.46219226971573</v>
      </c>
      <c r="Y324" s="299">
        <f t="shared" si="154"/>
        <v>33.537807730284271</v>
      </c>
      <c r="AB324" s="278">
        <f t="shared" si="147"/>
        <v>-2.2031599221992266</v>
      </c>
      <c r="AC324" s="279">
        <f t="shared" si="148"/>
        <v>-35.388522663548635</v>
      </c>
      <c r="AF324" s="278">
        <f t="shared" si="149"/>
        <v>47.446274153761159</v>
      </c>
      <c r="AG324" s="279">
        <f t="shared" si="150"/>
        <v>-111.07366960616712</v>
      </c>
      <c r="AI324">
        <f t="shared" si="151"/>
        <v>0</v>
      </c>
      <c r="AJ324">
        <f t="shared" si="156"/>
        <v>0</v>
      </c>
      <c r="AK324">
        <f t="shared" si="152"/>
        <v>0</v>
      </c>
      <c r="AL324">
        <f t="shared" si="153"/>
        <v>0</v>
      </c>
      <c r="AM324"/>
      <c r="AN324"/>
    </row>
    <row r="325" spans="2:40" x14ac:dyDescent="0.2">
      <c r="B325" s="280">
        <v>23442</v>
      </c>
      <c r="C325" s="270">
        <f t="shared" si="126"/>
        <v>19.173850835477261</v>
      </c>
      <c r="D325" s="271">
        <f t="shared" si="127"/>
        <v>1.5186182895982554</v>
      </c>
      <c r="E325" s="271">
        <f t="shared" si="128"/>
        <v>1.0007330044639502</v>
      </c>
      <c r="F325" s="272">
        <f t="shared" si="129"/>
        <v>3.8276807535341753E-2</v>
      </c>
      <c r="G325" s="271">
        <f t="shared" si="130"/>
        <v>1.0277535292510958</v>
      </c>
      <c r="H325" s="272">
        <f t="shared" si="131"/>
        <v>-0.23292269311911684</v>
      </c>
      <c r="I325" s="270">
        <f t="shared" si="132"/>
        <v>82495.013185884687</v>
      </c>
      <c r="J325" s="273">
        <f t="shared" si="133"/>
        <v>1.5707842048500493</v>
      </c>
      <c r="K325" s="281">
        <f t="shared" si="134"/>
        <v>12.412742875356477</v>
      </c>
      <c r="L325" s="282">
        <f t="shared" si="135"/>
        <v>1.490146554415714</v>
      </c>
      <c r="M325" s="270">
        <f t="shared" si="136"/>
        <v>1.1652392048581743</v>
      </c>
      <c r="N325" s="273">
        <f t="shared" si="137"/>
        <v>0.53905746914488484</v>
      </c>
      <c r="O325" s="270">
        <f t="shared" si="138"/>
        <v>6481.0058231304447</v>
      </c>
      <c r="P325" s="273">
        <f t="shared" si="139"/>
        <v>1.5706420297565575</v>
      </c>
      <c r="Q325" s="271">
        <f t="shared" si="140"/>
        <v>1.0254026559634124</v>
      </c>
      <c r="R325" s="272">
        <f t="shared" si="141"/>
        <v>0.22305297469234567</v>
      </c>
      <c r="S325" s="270">
        <f t="shared" si="142"/>
        <v>1.0000013465103268</v>
      </c>
      <c r="T325" s="273">
        <f t="shared" si="143"/>
        <v>1.6410416301813776E-3</v>
      </c>
      <c r="U325" s="274">
        <f t="shared" si="144"/>
        <v>1.0123174674918036</v>
      </c>
      <c r="V325" s="275">
        <f t="shared" si="145"/>
        <v>0.22798121551343006</v>
      </c>
      <c r="W325" s="276">
        <f t="shared" si="146"/>
        <v>-16.621616221380176</v>
      </c>
      <c r="X325" s="277">
        <f t="shared" si="155"/>
        <v>-146.73108282281865</v>
      </c>
      <c r="Y325" s="299">
        <f t="shared" si="154"/>
        <v>33.268917177181351</v>
      </c>
      <c r="AB325" s="278">
        <f t="shared" si="147"/>
        <v>-2.2164754966291653</v>
      </c>
      <c r="AC325" s="279">
        <f t="shared" si="148"/>
        <v>-35.505914936744169</v>
      </c>
      <c r="AF325" s="278">
        <f t="shared" si="149"/>
        <v>47.398391882230754</v>
      </c>
      <c r="AG325" s="279">
        <f t="shared" si="150"/>
        <v>-111.22516788607446</v>
      </c>
      <c r="AI325">
        <f t="shared" si="151"/>
        <v>0</v>
      </c>
      <c r="AJ325">
        <f t="shared" si="156"/>
        <v>0</v>
      </c>
      <c r="AK325">
        <f t="shared" si="152"/>
        <v>0</v>
      </c>
      <c r="AL325">
        <f t="shared" si="153"/>
        <v>0</v>
      </c>
      <c r="AM325"/>
      <c r="AN325"/>
    </row>
    <row r="326" spans="2:40" x14ac:dyDescent="0.2">
      <c r="B326" s="280">
        <v>23578.5</v>
      </c>
      <c r="C326" s="270">
        <f t="shared" si="126"/>
        <v>19.285195094472279</v>
      </c>
      <c r="D326" s="271">
        <f t="shared" si="127"/>
        <v>1.5189198140229692</v>
      </c>
      <c r="E326" s="271">
        <f t="shared" si="128"/>
        <v>1.0007415625421618</v>
      </c>
      <c r="F326" s="272">
        <f t="shared" si="129"/>
        <v>3.8499469332963866E-2</v>
      </c>
      <c r="G326" s="271">
        <f t="shared" si="130"/>
        <v>1.0280732548685576</v>
      </c>
      <c r="H326" s="272">
        <f t="shared" si="131"/>
        <v>-0.234230042806154</v>
      </c>
      <c r="I326" s="270">
        <f t="shared" si="132"/>
        <v>82975.37191373315</v>
      </c>
      <c r="J326" s="273">
        <f t="shared" si="133"/>
        <v>1.570784275026077</v>
      </c>
      <c r="K326" s="281">
        <f t="shared" si="134"/>
        <v>12.484553056419584</v>
      </c>
      <c r="L326" s="282">
        <f t="shared" si="135"/>
        <v>1.4906114453346218</v>
      </c>
      <c r="M326" s="270">
        <f t="shared" si="136"/>
        <v>1.1670309271582906</v>
      </c>
      <c r="N326" s="273">
        <f t="shared" si="137"/>
        <v>0.54161871046928944</v>
      </c>
      <c r="O326" s="270">
        <f t="shared" si="138"/>
        <v>6518.7439544271228</v>
      </c>
      <c r="P326" s="273">
        <f t="shared" si="139"/>
        <v>1.5706429230086898</v>
      </c>
      <c r="Q326" s="271">
        <f t="shared" si="140"/>
        <v>1.0256956336869969</v>
      </c>
      <c r="R326" s="272">
        <f t="shared" si="141"/>
        <v>0.22430877449351472</v>
      </c>
      <c r="S326" s="270">
        <f t="shared" si="142"/>
        <v>1.0000013622371124</v>
      </c>
      <c r="T326" s="273">
        <f t="shared" si="143"/>
        <v>1.6505972046562238E-3</v>
      </c>
      <c r="U326" s="274">
        <f t="shared" si="144"/>
        <v>1.0124615697623036</v>
      </c>
      <c r="V326" s="275">
        <f t="shared" si="145"/>
        <v>0.22929919817522809</v>
      </c>
      <c r="W326" s="276">
        <f t="shared" si="146"/>
        <v>-16.684041406122944</v>
      </c>
      <c r="X326" s="277">
        <f t="shared" si="155"/>
        <v>-147.00613783332543</v>
      </c>
      <c r="Y326" s="299">
        <f t="shared" si="154"/>
        <v>32.993862166674575</v>
      </c>
      <c r="AB326" s="278">
        <f t="shared" si="147"/>
        <v>-2.2301464655133465</v>
      </c>
      <c r="AC326" s="279">
        <f t="shared" si="148"/>
        <v>-35.626030988149907</v>
      </c>
      <c r="AF326" s="278">
        <f t="shared" si="149"/>
        <v>47.349637666372161</v>
      </c>
      <c r="AG326" s="279">
        <f t="shared" si="150"/>
        <v>-111.38010684517556</v>
      </c>
      <c r="AI326">
        <f t="shared" si="151"/>
        <v>0</v>
      </c>
      <c r="AJ326">
        <f t="shared" si="156"/>
        <v>0</v>
      </c>
      <c r="AK326">
        <f t="shared" si="152"/>
        <v>0</v>
      </c>
      <c r="AL326">
        <f t="shared" si="153"/>
        <v>0</v>
      </c>
      <c r="AM326"/>
      <c r="AN326"/>
    </row>
    <row r="327" spans="2:40" x14ac:dyDescent="0.2">
      <c r="B327" s="280">
        <v>23715</v>
      </c>
      <c r="C327" s="270">
        <f t="shared" si="126"/>
        <v>19.396541086688934</v>
      </c>
      <c r="D327" s="271">
        <f t="shared" si="127"/>
        <v>1.5192178766679982</v>
      </c>
      <c r="E327" s="271">
        <f t="shared" si="128"/>
        <v>1.0007501702345647</v>
      </c>
      <c r="F327" s="272">
        <f t="shared" si="129"/>
        <v>3.8722127311289704E-2</v>
      </c>
      <c r="G327" s="271">
        <f t="shared" si="130"/>
        <v>1.0283947365366617</v>
      </c>
      <c r="H327" s="272">
        <f t="shared" si="131"/>
        <v>-0.23553657735617087</v>
      </c>
      <c r="I327" s="270">
        <f t="shared" si="132"/>
        <v>83455.730641581991</v>
      </c>
      <c r="J327" s="273">
        <f t="shared" si="133"/>
        <v>1.5707843443942593</v>
      </c>
      <c r="K327" s="281">
        <f t="shared" si="134"/>
        <v>12.556365904826263</v>
      </c>
      <c r="L327" s="282">
        <f t="shared" si="135"/>
        <v>1.4910710187080407</v>
      </c>
      <c r="M327" s="270">
        <f t="shared" si="136"/>
        <v>1.1688302816309506</v>
      </c>
      <c r="N327" s="273">
        <f t="shared" si="137"/>
        <v>0.54417208270064144</v>
      </c>
      <c r="O327" s="270">
        <f t="shared" si="138"/>
        <v>6556.4820857289415</v>
      </c>
      <c r="P327" s="273">
        <f t="shared" si="139"/>
        <v>1.5706438059779704</v>
      </c>
      <c r="Q327" s="271">
        <f t="shared" si="140"/>
        <v>1.0259902280412945</v>
      </c>
      <c r="R327" s="272">
        <f t="shared" si="141"/>
        <v>0.22556385511309124</v>
      </c>
      <c r="S327" s="270">
        <f t="shared" si="142"/>
        <v>1.0000013780552071</v>
      </c>
      <c r="T327" s="273">
        <f t="shared" si="143"/>
        <v>1.6601527788296406E-3</v>
      </c>
      <c r="U327" s="274">
        <f t="shared" si="144"/>
        <v>1.0126065141689276</v>
      </c>
      <c r="V327" s="275">
        <f t="shared" si="145"/>
        <v>0.23061701584295552</v>
      </c>
      <c r="W327" s="276">
        <f t="shared" si="146"/>
        <v>-16.74620111674562</v>
      </c>
      <c r="X327" s="277">
        <f t="shared" si="155"/>
        <v>-147.28079232072864</v>
      </c>
      <c r="Y327" s="299">
        <f t="shared" si="154"/>
        <v>32.719207679271364</v>
      </c>
      <c r="AB327" s="278">
        <f t="shared" si="147"/>
        <v>-2.2438480984546283</v>
      </c>
      <c r="AC327" s="279">
        <f t="shared" si="148"/>
        <v>-35.746000800362843</v>
      </c>
      <c r="AF327" s="278">
        <f t="shared" si="149"/>
        <v>47.301179588690765</v>
      </c>
      <c r="AG327" s="279">
        <f t="shared" si="150"/>
        <v>-111.53479152036577</v>
      </c>
      <c r="AI327">
        <f t="shared" si="151"/>
        <v>0</v>
      </c>
      <c r="AJ327">
        <f t="shared" si="156"/>
        <v>0</v>
      </c>
      <c r="AK327">
        <f t="shared" si="152"/>
        <v>0</v>
      </c>
      <c r="AL327">
        <f t="shared" si="153"/>
        <v>0</v>
      </c>
      <c r="AM327"/>
      <c r="AN327"/>
    </row>
    <row r="328" spans="2:40" x14ac:dyDescent="0.2">
      <c r="B328" s="280">
        <v>23851.5</v>
      </c>
      <c r="C328" s="270">
        <f t="shared" si="126"/>
        <v>19.507888782448877</v>
      </c>
      <c r="D328" s="271">
        <f t="shared" si="127"/>
        <v>1.5195125367576641</v>
      </c>
      <c r="E328" s="271">
        <f t="shared" si="128"/>
        <v>1.0007588275398791</v>
      </c>
      <c r="F328" s="272">
        <f t="shared" si="129"/>
        <v>3.8944781448340841E-2</v>
      </c>
      <c r="G328" s="271">
        <f t="shared" si="130"/>
        <v>1.0287179726090732</v>
      </c>
      <c r="H328" s="272">
        <f t="shared" si="131"/>
        <v>-0.23684229307488092</v>
      </c>
      <c r="I328" s="270">
        <f t="shared" si="132"/>
        <v>83936.089369431254</v>
      </c>
      <c r="J328" s="273">
        <f t="shared" si="133"/>
        <v>1.5707844129684658</v>
      </c>
      <c r="K328" s="281">
        <f t="shared" si="134"/>
        <v>12.628181375071261</v>
      </c>
      <c r="L328" s="282">
        <f t="shared" si="135"/>
        <v>1.4915253650615485</v>
      </c>
      <c r="M328" s="270">
        <f t="shared" si="136"/>
        <v>1.1706372330825434</v>
      </c>
      <c r="N328" s="273">
        <f t="shared" si="137"/>
        <v>0.54671758890734978</v>
      </c>
      <c r="O328" s="270">
        <f t="shared" si="138"/>
        <v>6594.220217035815</v>
      </c>
      <c r="P328" s="273">
        <f t="shared" si="139"/>
        <v>1.5706446788409429</v>
      </c>
      <c r="Q328" s="271">
        <f t="shared" si="140"/>
        <v>1.0262864376341492</v>
      </c>
      <c r="R328" s="272">
        <f t="shared" si="141"/>
        <v>0.22681821321803061</v>
      </c>
      <c r="S328" s="270">
        <f t="shared" si="142"/>
        <v>1.0000013939646109</v>
      </c>
      <c r="T328" s="273">
        <f t="shared" si="143"/>
        <v>1.6697083526998838E-3</v>
      </c>
      <c r="U328" s="274">
        <f t="shared" si="144"/>
        <v>1.0127523008044943</v>
      </c>
      <c r="V328" s="275">
        <f t="shared" si="145"/>
        <v>0.23193466758793518</v>
      </c>
      <c r="W328" s="276">
        <f t="shared" si="146"/>
        <v>-16.808098333214399</v>
      </c>
      <c r="X328" s="277">
        <f t="shared" si="155"/>
        <v>-147.55504440458284</v>
      </c>
      <c r="Y328" s="299">
        <f t="shared" si="154"/>
        <v>32.444955595417156</v>
      </c>
      <c r="AB328" s="278">
        <f t="shared" si="147"/>
        <v>-2.2575800621937487</v>
      </c>
      <c r="AC328" s="279">
        <f t="shared" si="148"/>
        <v>-35.865819363251049</v>
      </c>
      <c r="AF328" s="278">
        <f t="shared" si="149"/>
        <v>47.253014335961112</v>
      </c>
      <c r="AG328" s="279">
        <f t="shared" si="150"/>
        <v>-111.68922504133178</v>
      </c>
      <c r="AI328">
        <f t="shared" si="151"/>
        <v>0</v>
      </c>
      <c r="AJ328">
        <f t="shared" si="156"/>
        <v>0</v>
      </c>
      <c r="AK328">
        <f t="shared" si="152"/>
        <v>0</v>
      </c>
      <c r="AL328">
        <f t="shared" si="153"/>
        <v>0</v>
      </c>
      <c r="AM328"/>
      <c r="AN328"/>
    </row>
    <row r="329" spans="2:40" x14ac:dyDescent="0.2">
      <c r="B329" s="280">
        <v>23988</v>
      </c>
      <c r="C329" s="270">
        <f t="shared" si="126"/>
        <v>19.619238152747069</v>
      </c>
      <c r="D329" s="271">
        <f t="shared" si="127"/>
        <v>1.5198038521741675</v>
      </c>
      <c r="E329" s="271">
        <f t="shared" si="128"/>
        <v>1.0007675344568172</v>
      </c>
      <c r="F329" s="272">
        <f t="shared" si="129"/>
        <v>3.9167431722141183E-2</v>
      </c>
      <c r="G329" s="271">
        <f t="shared" si="130"/>
        <v>1.0290429614325469</v>
      </c>
      <c r="H329" s="272">
        <f t="shared" si="131"/>
        <v>-0.23814718628379491</v>
      </c>
      <c r="I329" s="270">
        <f t="shared" si="132"/>
        <v>84416.448097280881</v>
      </c>
      <c r="J329" s="273">
        <f t="shared" si="133"/>
        <v>1.5707844807622506</v>
      </c>
      <c r="K329" s="281">
        <f t="shared" si="134"/>
        <v>12.699999422676965</v>
      </c>
      <c r="L329" s="282">
        <f t="shared" si="135"/>
        <v>1.4919745728817917</v>
      </c>
      <c r="M329" s="270">
        <f t="shared" si="136"/>
        <v>1.1724517463882842</v>
      </c>
      <c r="N329" s="273">
        <f t="shared" si="137"/>
        <v>0.54925523254669528</v>
      </c>
      <c r="O329" s="270">
        <f t="shared" si="138"/>
        <v>6631.9583483476536</v>
      </c>
      <c r="P329" s="273">
        <f t="shared" si="139"/>
        <v>1.5706455417701326</v>
      </c>
      <c r="Q329" s="271">
        <f t="shared" si="140"/>
        <v>1.026584261067383</v>
      </c>
      <c r="R329" s="272">
        <f t="shared" si="141"/>
        <v>0.22807184548821918</v>
      </c>
      <c r="S329" s="270">
        <f t="shared" si="142"/>
        <v>1.0000014099653236</v>
      </c>
      <c r="T329" s="273">
        <f t="shared" si="143"/>
        <v>1.6792639262652076E-3</v>
      </c>
      <c r="U329" s="274">
        <f t="shared" si="144"/>
        <v>1.0128989297622906</v>
      </c>
      <c r="V329" s="275">
        <f t="shared" si="145"/>
        <v>0.23325215248195205</v>
      </c>
      <c r="W329" s="276">
        <f t="shared" si="146"/>
        <v>-16.869735978654305</v>
      </c>
      <c r="X329" s="277">
        <f t="shared" si="155"/>
        <v>-147.82889226756114</v>
      </c>
      <c r="Y329" s="299">
        <f t="shared" si="154"/>
        <v>32.171107732438855</v>
      </c>
      <c r="AB329" s="278">
        <f t="shared" si="147"/>
        <v>-2.2713420222397489</v>
      </c>
      <c r="AC329" s="279">
        <f t="shared" si="148"/>
        <v>-35.985481805767314</v>
      </c>
      <c r="AF329" s="278">
        <f t="shared" si="149"/>
        <v>47.205138650567207</v>
      </c>
      <c r="AG329" s="279">
        <f t="shared" si="150"/>
        <v>-111.84341046179378</v>
      </c>
      <c r="AI329">
        <f t="shared" si="151"/>
        <v>0</v>
      </c>
      <c r="AJ329">
        <f t="shared" si="156"/>
        <v>0</v>
      </c>
      <c r="AK329">
        <f t="shared" si="152"/>
        <v>0</v>
      </c>
      <c r="AL329">
        <f t="shared" si="153"/>
        <v>0</v>
      </c>
      <c r="AM329"/>
      <c r="AN329"/>
    </row>
    <row r="330" spans="2:40" x14ac:dyDescent="0.2">
      <c r="B330" s="280">
        <v>24127.75</v>
      </c>
      <c r="C330" s="270">
        <f t="shared" si="126"/>
        <v>19.733240403745967</v>
      </c>
      <c r="D330" s="271">
        <f t="shared" si="127"/>
        <v>1.5200986976700006</v>
      </c>
      <c r="E330" s="271">
        <f t="shared" si="128"/>
        <v>1.0007765000774789</v>
      </c>
      <c r="F330" s="272">
        <f t="shared" si="129"/>
        <v>3.9395379167672197E-2</v>
      </c>
      <c r="G330" s="271">
        <f t="shared" si="130"/>
        <v>1.0293775021977078</v>
      </c>
      <c r="H330" s="272">
        <f t="shared" si="131"/>
        <v>-0.23948229243583594</v>
      </c>
      <c r="I330" s="270">
        <f t="shared" si="132"/>
        <v>84908.243937698775</v>
      </c>
      <c r="J330" s="273">
        <f t="shared" si="133"/>
        <v>1.5707845493754891</v>
      </c>
      <c r="K330" s="281">
        <f t="shared" si="134"/>
        <v>12.773530048541605</v>
      </c>
      <c r="L330" s="282">
        <f t="shared" si="135"/>
        <v>1.4924292429353851</v>
      </c>
      <c r="M330" s="270">
        <f t="shared" si="136"/>
        <v>1.1743172598516602</v>
      </c>
      <c r="N330" s="273">
        <f t="shared" si="137"/>
        <v>0.55184515468395223</v>
      </c>
      <c r="O330" s="270">
        <f t="shared" si="138"/>
        <v>6670.5950066005462</v>
      </c>
      <c r="P330" s="273">
        <f t="shared" si="139"/>
        <v>1.5706464151299317</v>
      </c>
      <c r="Q330" s="271">
        <f t="shared" si="140"/>
        <v>1.0268908460034163</v>
      </c>
      <c r="R330" s="272">
        <f t="shared" si="141"/>
        <v>0.22935457072932941</v>
      </c>
      <c r="S330" s="270">
        <f t="shared" si="142"/>
        <v>1.0000014264416019</v>
      </c>
      <c r="T330" s="273">
        <f t="shared" si="143"/>
        <v>1.6890470131691313E-3</v>
      </c>
      <c r="U330" s="274">
        <f t="shared" si="144"/>
        <v>1.0130499226275722</v>
      </c>
      <c r="V330" s="275">
        <f t="shared" si="145"/>
        <v>0.23460083223793002</v>
      </c>
      <c r="W330" s="276">
        <f t="shared" si="146"/>
        <v>-16.932575266223992</v>
      </c>
      <c r="X330" s="277">
        <f t="shared" si="155"/>
        <v>-148.10883971298668</v>
      </c>
      <c r="Y330" s="299">
        <f t="shared" si="154"/>
        <v>31.891160287013321</v>
      </c>
      <c r="AB330" s="278">
        <f t="shared" si="147"/>
        <v>-2.2854623736785</v>
      </c>
      <c r="AC330" s="279">
        <f t="shared" si="148"/>
        <v>-36.10782666960673</v>
      </c>
      <c r="AF330" s="278">
        <f t="shared" si="149"/>
        <v>47.156419714436268</v>
      </c>
      <c r="AG330" s="279">
        <f t="shared" si="150"/>
        <v>-112.00101304337993</v>
      </c>
      <c r="AI330">
        <f t="shared" si="151"/>
        <v>0</v>
      </c>
      <c r="AJ330">
        <f t="shared" si="156"/>
        <v>0</v>
      </c>
      <c r="AK330">
        <f t="shared" si="152"/>
        <v>0</v>
      </c>
      <c r="AL330">
        <f t="shared" si="153"/>
        <v>0</v>
      </c>
      <c r="AM330"/>
      <c r="AN330"/>
    </row>
    <row r="331" spans="2:40" x14ac:dyDescent="0.2">
      <c r="B331" s="280">
        <v>24267.5</v>
      </c>
      <c r="C331" s="270">
        <f t="shared" si="126"/>
        <v>19.847244350524207</v>
      </c>
      <c r="D331" s="271">
        <f t="shared" si="127"/>
        <v>1.520390155965013</v>
      </c>
      <c r="E331" s="271">
        <f t="shared" si="128"/>
        <v>1.0007855176975922</v>
      </c>
      <c r="F331" s="272">
        <f t="shared" si="129"/>
        <v>3.9623322517186838E-2</v>
      </c>
      <c r="G331" s="271">
        <f t="shared" si="130"/>
        <v>1.0297138766427907</v>
      </c>
      <c r="H331" s="272">
        <f t="shared" si="131"/>
        <v>-0.2408165286922907</v>
      </c>
      <c r="I331" s="270">
        <f t="shared" si="132"/>
        <v>85400.039778117076</v>
      </c>
      <c r="J331" s="273">
        <f t="shared" si="133"/>
        <v>1.570784617198477</v>
      </c>
      <c r="K331" s="281">
        <f t="shared" si="134"/>
        <v>12.847063284784904</v>
      </c>
      <c r="L331" s="282">
        <f t="shared" si="135"/>
        <v>1.492878708255639</v>
      </c>
      <c r="M331" s="270">
        <f t="shared" si="136"/>
        <v>1.1761906252615171</v>
      </c>
      <c r="N331" s="273">
        <f t="shared" si="137"/>
        <v>0.55442684394934105</v>
      </c>
      <c r="O331" s="270">
        <f t="shared" si="138"/>
        <v>6709.2316648584701</v>
      </c>
      <c r="P331" s="273">
        <f t="shared" si="139"/>
        <v>1.5706472784308432</v>
      </c>
      <c r="Q331" s="271">
        <f t="shared" si="140"/>
        <v>1.0271991195590444</v>
      </c>
      <c r="R331" s="272">
        <f t="shared" si="141"/>
        <v>0.23063652815928778</v>
      </c>
      <c r="S331" s="270">
        <f t="shared" si="142"/>
        <v>1.0000014430135893</v>
      </c>
      <c r="T331" s="273">
        <f t="shared" si="143"/>
        <v>1.6988300997497414E-3</v>
      </c>
      <c r="U331" s="274">
        <f t="shared" si="144"/>
        <v>1.0132017986025654</v>
      </c>
      <c r="V331" s="275">
        <f t="shared" si="145"/>
        <v>0.2359493351355208</v>
      </c>
      <c r="W331" s="276">
        <f t="shared" si="146"/>
        <v>-16.995148499393242</v>
      </c>
      <c r="X331" s="277">
        <f t="shared" si="155"/>
        <v>-148.38835980136494</v>
      </c>
      <c r="Y331" s="299">
        <f t="shared" si="154"/>
        <v>31.611640198635058</v>
      </c>
      <c r="AB331" s="278">
        <f t="shared" si="147"/>
        <v>-2.2996134539002631</v>
      </c>
      <c r="AC331" s="279">
        <f t="shared" si="148"/>
        <v>-36.229997988610656</v>
      </c>
      <c r="AF331" s="278">
        <f t="shared" si="149"/>
        <v>47.107997561488787</v>
      </c>
      <c r="AG331" s="279">
        <f t="shared" si="150"/>
        <v>-112.15836181275426</v>
      </c>
      <c r="AI331">
        <f t="shared" si="151"/>
        <v>0</v>
      </c>
      <c r="AJ331">
        <f t="shared" si="156"/>
        <v>0</v>
      </c>
      <c r="AK331">
        <f t="shared" si="152"/>
        <v>0</v>
      </c>
      <c r="AL331">
        <f t="shared" si="153"/>
        <v>0</v>
      </c>
      <c r="AM331"/>
      <c r="AN331"/>
    </row>
    <row r="332" spans="2:40" x14ac:dyDescent="0.2">
      <c r="B332" s="280">
        <v>24407.25</v>
      </c>
      <c r="C332" s="270">
        <f t="shared" si="126"/>
        <v>19.961249964026663</v>
      </c>
      <c r="D332" s="271">
        <f t="shared" si="127"/>
        <v>1.5206782850456899</v>
      </c>
      <c r="E332" s="271">
        <f t="shared" si="128"/>
        <v>1.0007945873157515</v>
      </c>
      <c r="F332" s="272">
        <f t="shared" si="129"/>
        <v>3.9851261747109103E-2</v>
      </c>
      <c r="G332" s="271">
        <f t="shared" si="130"/>
        <v>1.0300520829713722</v>
      </c>
      <c r="H332" s="272">
        <f t="shared" si="131"/>
        <v>-0.24214989115733765</v>
      </c>
      <c r="I332" s="270">
        <f t="shared" si="132"/>
        <v>85891.835618535741</v>
      </c>
      <c r="J332" s="273">
        <f t="shared" si="133"/>
        <v>1.570784684244789</v>
      </c>
      <c r="K332" s="281">
        <f t="shared" si="134"/>
        <v>12.920599086838585</v>
      </c>
      <c r="L332" s="282">
        <f t="shared" si="135"/>
        <v>1.4933230575254428</v>
      </c>
      <c r="M332" s="270">
        <f t="shared" si="136"/>
        <v>1.178071805159447</v>
      </c>
      <c r="N332" s="273">
        <f t="shared" si="137"/>
        <v>0.55700030528608613</v>
      </c>
      <c r="O332" s="270">
        <f t="shared" si="138"/>
        <v>6747.8683231213354</v>
      </c>
      <c r="P332" s="273">
        <f t="shared" si="139"/>
        <v>1.5706481318456511</v>
      </c>
      <c r="Q332" s="271">
        <f t="shared" si="140"/>
        <v>1.0275090802144071</v>
      </c>
      <c r="R332" s="272">
        <f t="shared" si="141"/>
        <v>0.2319177142574991</v>
      </c>
      <c r="S332" s="270">
        <f t="shared" si="142"/>
        <v>1.0000014596812852</v>
      </c>
      <c r="T332" s="273">
        <f t="shared" si="143"/>
        <v>1.7086131860051651E-3</v>
      </c>
      <c r="U332" s="274">
        <f t="shared" si="144"/>
        <v>1.0133545577888987</v>
      </c>
      <c r="V332" s="275">
        <f t="shared" si="145"/>
        <v>0.2372976601801402</v>
      </c>
      <c r="W332" s="276">
        <f t="shared" si="146"/>
        <v>-17.057458638862208</v>
      </c>
      <c r="X332" s="277">
        <f t="shared" si="155"/>
        <v>-148.66745077907632</v>
      </c>
      <c r="Y332" s="299">
        <f t="shared" si="154"/>
        <v>31.332549220923681</v>
      </c>
      <c r="AB332" s="278">
        <f t="shared" si="147"/>
        <v>-2.3137949008311525</v>
      </c>
      <c r="AC332" s="279">
        <f t="shared" si="148"/>
        <v>-36.351990965627479</v>
      </c>
      <c r="AF332" s="278">
        <f t="shared" si="149"/>
        <v>47.059868868950701</v>
      </c>
      <c r="AG332" s="279">
        <f t="shared" si="150"/>
        <v>-112.31545981344885</v>
      </c>
      <c r="AI332">
        <f t="shared" si="151"/>
        <v>0</v>
      </c>
      <c r="AJ332">
        <f t="shared" si="156"/>
        <v>0</v>
      </c>
      <c r="AK332">
        <f t="shared" si="152"/>
        <v>0</v>
      </c>
      <c r="AL332">
        <f t="shared" si="153"/>
        <v>0</v>
      </c>
      <c r="AM332"/>
      <c r="AN332"/>
    </row>
    <row r="333" spans="2:40" x14ac:dyDescent="0.2">
      <c r="B333" s="280">
        <v>24547</v>
      </c>
      <c r="C333" s="270">
        <f t="shared" ref="C333:C396" si="157">SQRT(1+(B333/PS_Pole1)^2)</f>
        <v>20.075257215857796</v>
      </c>
      <c r="D333" s="271">
        <f t="shared" ref="D333:D396" si="158">ATAN(B333/PS_Pole1)</f>
        <v>1.520963141583537</v>
      </c>
      <c r="E333" s="271">
        <f t="shared" ref="E333:E396" si="159">SQRT(1+(B333/PS_Zero1)^2)</f>
        <v>1.0008037089305433</v>
      </c>
      <c r="F333" s="272">
        <f t="shared" ref="F333:F396" si="160">ATAN(B333/PS_Zero1)</f>
        <v>4.0079196833865571E-2</v>
      </c>
      <c r="G333" s="271">
        <f t="shared" ref="G333:G396" si="161">IF(VIN_nom&gt;Vout, 1, SQRT(1+(B333/PS_RHPZ)^2))</f>
        <v>1.0303921193796111</v>
      </c>
      <c r="H333" s="272">
        <f t="shared" ref="H333:H396" si="162">IF(VIN_nom&gt;Vout, 0, -ATAN(B333/PS_RHPZ))</f>
        <v>-0.24348237595268407</v>
      </c>
      <c r="I333" s="270">
        <f t="shared" ref="I333:I396" si="163">SQRT(1+(B333/EA_Pole1)^2)</f>
        <v>86383.631458954784</v>
      </c>
      <c r="J333" s="273">
        <f t="shared" ref="J333:J396" si="164">ATAN(B333/EA_Pole1)</f>
        <v>1.5707847505276902</v>
      </c>
      <c r="K333" s="281">
        <f t="shared" ref="K333:K396" si="165">SQRT(1+(B333/EA_Zero1)^2)</f>
        <v>12.994137411141718</v>
      </c>
      <c r="L333" s="282">
        <f t="shared" ref="L333:L396" si="166">ATAN(B333/EA_Zero1)</f>
        <v>1.4937623774283242</v>
      </c>
      <c r="M333" s="270">
        <f t="shared" ref="M333:M396" si="167">SQRT(1+(B333/EA_Pole2)^2)</f>
        <v>1.1799607621701622</v>
      </c>
      <c r="N333" s="273">
        <f t="shared" ref="N333:N396" si="168">ATAN(B333/EA_Pole2)</f>
        <v>0.5595655440418813</v>
      </c>
      <c r="O333" s="270">
        <f t="shared" ref="O333:O396" si="169">SQRT(1+(B333/$V$5)^2)</f>
        <v>6786.5049813890591</v>
      </c>
      <c r="P333" s="273">
        <f t="shared" ref="P333:P396" si="170">ATAN(B333/$V$5)</f>
        <v>1.5706489755432052</v>
      </c>
      <c r="Q333" s="271">
        <f t="shared" ref="Q333:Q396" si="171">SQRT(1+(B333/$V$4)^2)</f>
        <v>1.0278207264431645</v>
      </c>
      <c r="R333" s="272">
        <f t="shared" ref="R333:R396" si="172">ATAN(B333/$V$4)</f>
        <v>0.233198125517732</v>
      </c>
      <c r="S333" s="270">
        <f t="shared" ref="S333:S396" si="173">SQRT(1+(B333/$V$7)^2)</f>
        <v>1.0000014764446903</v>
      </c>
      <c r="T333" s="273">
        <f t="shared" ref="T333:T396" si="174">ATAN(B333/$V$7)</f>
        <v>1.71839627193353E-3</v>
      </c>
      <c r="U333" s="274">
        <f t="shared" ref="U333:U396" si="175">SQRT((1-(B333^2/pterm2))^2+(B333/pterm1)^2)</f>
        <v>1.0135082002887115</v>
      </c>
      <c r="V333" s="275">
        <f t="shared" ref="V333:V396" si="176">IF((ATAN((B333/pterm1)/(1-B333^2/pterm2))&gt;0),ATAN((B333/pterm1)/(1-B333^2/pterm2)),PI()+ATAN((B333/pterm1)/(1-B333^2/pterm2)))</f>
        <v>0.23864580637772392</v>
      </c>
      <c r="W333" s="276">
        <f t="shared" ref="W333:W396" si="177">20*LOG10(((E333*K333*G333)/(C333*I333*U333*M333))*Adc)</f>
        <v>-17.119508588779691</v>
      </c>
      <c r="X333" s="277">
        <f t="shared" si="155"/>
        <v>-148.9461109559042</v>
      </c>
      <c r="Y333" s="299">
        <f t="shared" si="154"/>
        <v>31.053889044095797</v>
      </c>
      <c r="AB333" s="278">
        <f t="shared" ref="AB333:AB396" si="178">20*LOG10((K333/(I333*M333))*AEA)</f>
        <v>-2.3280063516296119</v>
      </c>
      <c r="AC333" s="279">
        <f t="shared" ref="AC333:AC396" si="179">(L333-(J333+N333))*radconv</f>
        <v>-36.47380094121722</v>
      </c>
      <c r="AF333" s="278">
        <f t="shared" ref="AF333:AF396" si="180">20*LOG10((E333*G333/(C333*U333))*Acs*Am)</f>
        <v>47.01203036983167</v>
      </c>
      <c r="AG333" s="279">
        <f t="shared" ref="AG333:AG396" si="181">(F333+H333-(D333+V333))*radconv</f>
        <v>-112.47231001468697</v>
      </c>
      <c r="AI333">
        <f t="shared" ref="AI333:AI396" si="182">SUM((W334&lt;0)*(W333&gt;0))*B333</f>
        <v>0</v>
      </c>
      <c r="AJ333">
        <f t="shared" si="156"/>
        <v>0</v>
      </c>
      <c r="AK333">
        <f t="shared" ref="AK333:AK396" si="183">SUM((AB334&lt;0)*(AB333&gt;0))*B333</f>
        <v>0</v>
      </c>
      <c r="AL333">
        <f t="shared" ref="AL333:AL396" si="184">IF(AK333&gt;0,AC333,0)</f>
        <v>0</v>
      </c>
      <c r="AM333"/>
      <c r="AN333"/>
    </row>
    <row r="334" spans="2:40" x14ac:dyDescent="0.2">
      <c r="B334" s="280">
        <v>24690</v>
      </c>
      <c r="C334" s="270">
        <f t="shared" si="157"/>
        <v>20.191917466100417</v>
      </c>
      <c r="D334" s="271">
        <f t="shared" si="158"/>
        <v>1.5212512928835833</v>
      </c>
      <c r="E334" s="271">
        <f t="shared" si="159"/>
        <v>1.0008130964989574</v>
      </c>
      <c r="F334" s="272">
        <f t="shared" si="160"/>
        <v>4.03124284231893E-2</v>
      </c>
      <c r="G334" s="271">
        <f t="shared" si="161"/>
        <v>1.0307419561363613</v>
      </c>
      <c r="H334" s="272">
        <f t="shared" si="162"/>
        <v>-0.24484493621578907</v>
      </c>
      <c r="I334" s="270">
        <f t="shared" si="163"/>
        <v>86886.864411942122</v>
      </c>
      <c r="J334" s="273">
        <f t="shared" si="164"/>
        <v>1.5707848175753294</v>
      </c>
      <c r="K334" s="281">
        <f t="shared" si="165"/>
        <v>13.069388495535573</v>
      </c>
      <c r="L334" s="282">
        <f t="shared" si="166"/>
        <v>1.4942067962906727</v>
      </c>
      <c r="M334" s="270">
        <f t="shared" si="167"/>
        <v>1.1819016600241761</v>
      </c>
      <c r="N334" s="273">
        <f t="shared" si="168"/>
        <v>0.56218193387119086</v>
      </c>
      <c r="O334" s="270">
        <f t="shared" si="169"/>
        <v>6826.0401665981863</v>
      </c>
      <c r="P334" s="273">
        <f t="shared" si="170"/>
        <v>1.5706498289749058</v>
      </c>
      <c r="Q334" s="271">
        <f t="shared" si="171"/>
        <v>1.0281413634879037</v>
      </c>
      <c r="R334" s="272">
        <f t="shared" si="172"/>
        <v>0.23450750806476378</v>
      </c>
      <c r="S334" s="270">
        <f t="shared" si="173"/>
        <v>1.0000014936970154</v>
      </c>
      <c r="T334" s="273">
        <f t="shared" si="174"/>
        <v>1.7284068711476263E-3</v>
      </c>
      <c r="U334" s="274">
        <f t="shared" si="175"/>
        <v>1.0136663303425995</v>
      </c>
      <c r="V334" s="275">
        <f t="shared" si="176"/>
        <v>0.24002511864177389</v>
      </c>
      <c r="W334" s="276">
        <f t="shared" si="177"/>
        <v>-17.182735196167936</v>
      </c>
      <c r="X334" s="277">
        <f t="shared" si="155"/>
        <v>-149.23080395848808</v>
      </c>
      <c r="Y334" s="299">
        <f t="shared" ref="Y334:Y397" si="185">IF(X334&gt;0,X334-180,X334+180)</f>
        <v>30.769196041511918</v>
      </c>
      <c r="AB334" s="278">
        <f t="shared" si="178"/>
        <v>-2.3425789807386765</v>
      </c>
      <c r="AC334" s="279">
        <f t="shared" si="179"/>
        <v>-36.598249552395799</v>
      </c>
      <c r="AF334" s="278">
        <f t="shared" si="180"/>
        <v>46.963376391552494</v>
      </c>
      <c r="AG334" s="279">
        <f t="shared" si="181"/>
        <v>-112.6325544060923</v>
      </c>
      <c r="AI334">
        <f t="shared" si="182"/>
        <v>0</v>
      </c>
      <c r="AJ334">
        <f t="shared" si="156"/>
        <v>0</v>
      </c>
      <c r="AK334">
        <f t="shared" si="183"/>
        <v>0</v>
      </c>
      <c r="AL334">
        <f t="shared" si="184"/>
        <v>0</v>
      </c>
      <c r="AM334"/>
      <c r="AN334"/>
    </row>
    <row r="335" spans="2:40" x14ac:dyDescent="0.2">
      <c r="B335" s="280">
        <v>24833</v>
      </c>
      <c r="C335" s="270">
        <f t="shared" si="157"/>
        <v>20.30857937363993</v>
      </c>
      <c r="D335" s="271">
        <f t="shared" si="158"/>
        <v>1.5215361336573892</v>
      </c>
      <c r="E335" s="271">
        <f t="shared" si="159"/>
        <v>1.0008225385075527</v>
      </c>
      <c r="F335" s="272">
        <f t="shared" si="160"/>
        <v>4.0545655624470114E-2</v>
      </c>
      <c r="G335" s="271">
        <f t="shared" si="161"/>
        <v>1.0310937052375682</v>
      </c>
      <c r="H335" s="272">
        <f t="shared" si="162"/>
        <v>-0.24620656935306898</v>
      </c>
      <c r="I335" s="270">
        <f t="shared" si="163"/>
        <v>87390.097364929825</v>
      </c>
      <c r="J335" s="273">
        <f t="shared" si="164"/>
        <v>1.5707848838507854</v>
      </c>
      <c r="K335" s="281">
        <f t="shared" si="165"/>
        <v>13.14464213168433</v>
      </c>
      <c r="L335" s="282">
        <f t="shared" si="166"/>
        <v>1.4946461266051294</v>
      </c>
      <c r="M335" s="270">
        <f t="shared" si="167"/>
        <v>1.1838506220196512</v>
      </c>
      <c r="N335" s="273">
        <f t="shared" si="168"/>
        <v>0.56478972682800044</v>
      </c>
      <c r="O335" s="270">
        <f t="shared" si="169"/>
        <v>6865.5753518122274</v>
      </c>
      <c r="P335" s="273">
        <f t="shared" si="170"/>
        <v>1.5706506725776908</v>
      </c>
      <c r="Q335" s="271">
        <f t="shared" si="171"/>
        <v>1.0284637621623063</v>
      </c>
      <c r="R335" s="272">
        <f t="shared" si="172"/>
        <v>0.23581607193421117</v>
      </c>
      <c r="S335" s="270">
        <f t="shared" si="173"/>
        <v>1.0000015110495528</v>
      </c>
      <c r="T335" s="273">
        <f t="shared" si="174"/>
        <v>1.7384174700153074E-3</v>
      </c>
      <c r="U335" s="274">
        <f t="shared" si="175"/>
        <v>1.0138253854900441</v>
      </c>
      <c r="V335" s="275">
        <f t="shared" si="176"/>
        <v>0.24140424153939449</v>
      </c>
      <c r="W335" s="276">
        <f t="shared" si="177"/>
        <v>-17.24569534835134</v>
      </c>
      <c r="X335" s="277">
        <f t="shared" ref="X335:X398" si="186">IF(((F335+L335+H335)-(D335+J335+V335+N335))*radconv&lt;-180,((F335+L335+H335)-(D335+J335+V335+N335))*radconv+360,((F335+L335+H335)-(D335+J335+V335+N335))*radconv)</f>
        <v>-149.51504250657669</v>
      </c>
      <c r="Y335" s="299">
        <f t="shared" si="185"/>
        <v>30.484957493423309</v>
      </c>
      <c r="AB335" s="278">
        <f t="shared" si="178"/>
        <v>-2.3571822549172379</v>
      </c>
      <c r="AC335" s="279">
        <f t="shared" si="179"/>
        <v>-36.722497107138317</v>
      </c>
      <c r="AF335" s="278">
        <f t="shared" si="180"/>
        <v>46.915019513547655</v>
      </c>
      <c r="AG335" s="279">
        <f t="shared" si="181"/>
        <v>-112.79254539943838</v>
      </c>
      <c r="AI335">
        <f t="shared" si="182"/>
        <v>0</v>
      </c>
      <c r="AJ335">
        <f t="shared" si="156"/>
        <v>0</v>
      </c>
      <c r="AK335">
        <f t="shared" si="183"/>
        <v>0</v>
      </c>
      <c r="AL335">
        <f t="shared" si="184"/>
        <v>0</v>
      </c>
      <c r="AM335"/>
      <c r="AN335"/>
    </row>
    <row r="336" spans="2:40" x14ac:dyDescent="0.2">
      <c r="B336" s="280">
        <v>24976</v>
      </c>
      <c r="C336" s="270">
        <f t="shared" si="157"/>
        <v>20.42524291007863</v>
      </c>
      <c r="D336" s="271">
        <f t="shared" si="158"/>
        <v>1.5218177205848604</v>
      </c>
      <c r="E336" s="271">
        <f t="shared" si="159"/>
        <v>1.0008320349547886</v>
      </c>
      <c r="F336" s="272">
        <f t="shared" si="160"/>
        <v>4.0778878412459807E-2</v>
      </c>
      <c r="G336" s="271">
        <f t="shared" si="161"/>
        <v>1.0314473647267617</v>
      </c>
      <c r="H336" s="272">
        <f t="shared" si="162"/>
        <v>-0.24756727126657746</v>
      </c>
      <c r="I336" s="270">
        <f t="shared" si="163"/>
        <v>87893.330317917935</v>
      </c>
      <c r="J336" s="273">
        <f t="shared" si="164"/>
        <v>1.5707849493673216</v>
      </c>
      <c r="K336" s="281">
        <f t="shared" si="165"/>
        <v>13.219898276010763</v>
      </c>
      <c r="L336" s="282">
        <f t="shared" si="166"/>
        <v>1.4950804551024777</v>
      </c>
      <c r="M336" s="270">
        <f t="shared" si="167"/>
        <v>1.1858076083945601</v>
      </c>
      <c r="N336" s="273">
        <f t="shared" si="168"/>
        <v>0.56738892991951151</v>
      </c>
      <c r="O336" s="270">
        <f t="shared" si="169"/>
        <v>6905.1105370310979</v>
      </c>
      <c r="P336" s="273">
        <f t="shared" si="170"/>
        <v>1.5706515065203865</v>
      </c>
      <c r="Q336" s="271">
        <f t="shared" si="171"/>
        <v>1.028787920810208</v>
      </c>
      <c r="R336" s="272">
        <f t="shared" si="172"/>
        <v>0.23712381341644262</v>
      </c>
      <c r="S336" s="270">
        <f t="shared" si="173"/>
        <v>1.0000015285023023</v>
      </c>
      <c r="T336" s="273">
        <f t="shared" si="174"/>
        <v>1.7484280685345673E-3</v>
      </c>
      <c r="U336" s="274">
        <f t="shared" si="175"/>
        <v>1.0139853658421254</v>
      </c>
      <c r="V336" s="275">
        <f t="shared" si="176"/>
        <v>0.24278317400725316</v>
      </c>
      <c r="W336" s="276">
        <f t="shared" si="177"/>
        <v>-17.308391981883013</v>
      </c>
      <c r="X336" s="277">
        <f t="shared" si="186"/>
        <v>-149.79882498635169</v>
      </c>
      <c r="Y336" s="299">
        <f t="shared" si="185"/>
        <v>30.20117501364831</v>
      </c>
      <c r="AB336" s="278">
        <f t="shared" si="178"/>
        <v>-2.3718157837760785</v>
      </c>
      <c r="AC336" s="279">
        <f t="shared" si="179"/>
        <v>-36.846539038379959</v>
      </c>
      <c r="AF336" s="278">
        <f t="shared" si="180"/>
        <v>46.86695640887482</v>
      </c>
      <c r="AG336" s="279">
        <f t="shared" si="181"/>
        <v>-112.95228594797175</v>
      </c>
      <c r="AI336">
        <f t="shared" si="182"/>
        <v>0</v>
      </c>
      <c r="AJ336">
        <f t="shared" si="156"/>
        <v>0</v>
      </c>
      <c r="AK336">
        <f t="shared" si="183"/>
        <v>0</v>
      </c>
      <c r="AL336">
        <f t="shared" si="184"/>
        <v>0</v>
      </c>
      <c r="AM336"/>
      <c r="AN336"/>
    </row>
    <row r="337" spans="2:40" x14ac:dyDescent="0.2">
      <c r="B337" s="280">
        <v>25119</v>
      </c>
      <c r="C337" s="270">
        <f t="shared" si="157"/>
        <v>20.541908047663515</v>
      </c>
      <c r="D337" s="271">
        <f t="shared" si="158"/>
        <v>1.5220961090603686</v>
      </c>
      <c r="E337" s="271">
        <f t="shared" si="159"/>
        <v>1.0008415858391151</v>
      </c>
      <c r="F337" s="272">
        <f t="shared" si="160"/>
        <v>4.1012096761913065E-2</v>
      </c>
      <c r="G337" s="271">
        <f t="shared" si="161"/>
        <v>1.0318029326395346</v>
      </c>
      <c r="H337" s="272">
        <f t="shared" si="162"/>
        <v>-0.24892703787776474</v>
      </c>
      <c r="I337" s="270">
        <f t="shared" si="163"/>
        <v>88396.563270906394</v>
      </c>
      <c r="J337" s="273">
        <f t="shared" si="164"/>
        <v>1.5707850141378994</v>
      </c>
      <c r="K337" s="281">
        <f t="shared" si="165"/>
        <v>13.295156885922868</v>
      </c>
      <c r="L337" s="282">
        <f t="shared" si="166"/>
        <v>1.4955098665573543</v>
      </c>
      <c r="M337" s="270">
        <f t="shared" si="167"/>
        <v>1.1877725794857519</v>
      </c>
      <c r="N337" s="273">
        <f t="shared" si="168"/>
        <v>0.56997955057109306</v>
      </c>
      <c r="O337" s="270">
        <f t="shared" si="169"/>
        <v>6944.6457222547169</v>
      </c>
      <c r="P337" s="273">
        <f t="shared" si="170"/>
        <v>1.5706523309679747</v>
      </c>
      <c r="Q337" s="271">
        <f t="shared" si="171"/>
        <v>1.029113837768497</v>
      </c>
      <c r="R337" s="272">
        <f t="shared" si="172"/>
        <v>0.23843072881773944</v>
      </c>
      <c r="S337" s="270">
        <f t="shared" si="173"/>
        <v>1.0000015460552643</v>
      </c>
      <c r="T337" s="273">
        <f t="shared" si="174"/>
        <v>1.7584386667033997E-3</v>
      </c>
      <c r="U337" s="274">
        <f t="shared" si="175"/>
        <v>1.0141462715104768</v>
      </c>
      <c r="V337" s="275">
        <f t="shared" si="176"/>
        <v>0.24416191498260076</v>
      </c>
      <c r="W337" s="276">
        <f t="shared" si="177"/>
        <v>-17.370827977200694</v>
      </c>
      <c r="X337" s="277">
        <f t="shared" si="186"/>
        <v>-150.08214984750452</v>
      </c>
      <c r="Y337" s="299">
        <f t="shared" si="185"/>
        <v>29.917850152495475</v>
      </c>
      <c r="AB337" s="278">
        <f t="shared" si="178"/>
        <v>-2.3864791766439168</v>
      </c>
      <c r="AC337" s="279">
        <f t="shared" si="179"/>
        <v>-36.970370915076742</v>
      </c>
      <c r="AF337" s="278">
        <f t="shared" si="180"/>
        <v>46.819183806424988</v>
      </c>
      <c r="AG337" s="279">
        <f t="shared" si="181"/>
        <v>-113.11177893242777</v>
      </c>
      <c r="AI337">
        <f t="shared" si="182"/>
        <v>0</v>
      </c>
      <c r="AJ337">
        <f t="shared" si="156"/>
        <v>0</v>
      </c>
      <c r="AK337">
        <f t="shared" si="183"/>
        <v>0</v>
      </c>
      <c r="AL337">
        <f t="shared" si="184"/>
        <v>0</v>
      </c>
      <c r="AM337"/>
      <c r="AN337"/>
    </row>
    <row r="338" spans="2:40" x14ac:dyDescent="0.2">
      <c r="B338" s="280">
        <v>25265.25</v>
      </c>
      <c r="C338" s="270">
        <f t="shared" si="157"/>
        <v>20.661226293525139</v>
      </c>
      <c r="D338" s="271">
        <f t="shared" si="158"/>
        <v>1.5223775726524762</v>
      </c>
      <c r="E338" s="271">
        <f t="shared" si="159"/>
        <v>1.0008514100943302</v>
      </c>
      <c r="F338" s="272">
        <f t="shared" si="160"/>
        <v>4.1250610911095581E-2</v>
      </c>
      <c r="G338" s="271">
        <f t="shared" si="161"/>
        <v>1.0321685535620462</v>
      </c>
      <c r="H338" s="272">
        <f t="shared" si="162"/>
        <v>-0.25031673661615789</v>
      </c>
      <c r="I338" s="270">
        <f t="shared" si="163"/>
        <v>88911.233336463163</v>
      </c>
      <c r="J338" s="273">
        <f t="shared" si="164"/>
        <v>1.5707850796221547</v>
      </c>
      <c r="K338" s="281">
        <f t="shared" si="165"/>
        <v>13.37212842567879</v>
      </c>
      <c r="L338" s="282">
        <f t="shared" si="166"/>
        <v>1.4959440377828996</v>
      </c>
      <c r="M338" s="270">
        <f t="shared" si="167"/>
        <v>1.1897904267647628</v>
      </c>
      <c r="N338" s="273">
        <f t="shared" si="168"/>
        <v>0.57262017989533809</v>
      </c>
      <c r="O338" s="270">
        <f t="shared" si="169"/>
        <v>6985.0794344200622</v>
      </c>
      <c r="P338" s="273">
        <f t="shared" si="170"/>
        <v>1.5706531644997783</v>
      </c>
      <c r="Q338" s="271">
        <f t="shared" si="171"/>
        <v>1.0294489788967667</v>
      </c>
      <c r="R338" s="272">
        <f t="shared" si="172"/>
        <v>0.23976648855284247</v>
      </c>
      <c r="S338" s="270">
        <f t="shared" si="173"/>
        <v>1.0000015641108115</v>
      </c>
      <c r="T338" s="273">
        <f t="shared" si="174"/>
        <v>1.768676778102423E-3</v>
      </c>
      <c r="U338" s="274">
        <f t="shared" si="175"/>
        <v>1.0143117913428759</v>
      </c>
      <c r="V338" s="275">
        <f t="shared" si="176"/>
        <v>0.24557179180302879</v>
      </c>
      <c r="W338" s="276">
        <f t="shared" si="177"/>
        <v>-17.434416326079496</v>
      </c>
      <c r="X338" s="277">
        <f t="shared" si="186"/>
        <v>-150.37143902196439</v>
      </c>
      <c r="Y338" s="299">
        <f t="shared" si="185"/>
        <v>29.628560978035608</v>
      </c>
      <c r="AB338" s="278">
        <f t="shared" si="178"/>
        <v>-2.4015063109405923</v>
      </c>
      <c r="AC338" s="279">
        <f t="shared" si="179"/>
        <v>-37.096795403776156</v>
      </c>
      <c r="AF338" s="278">
        <f t="shared" si="180"/>
        <v>46.770622591842859</v>
      </c>
      <c r="AG338" s="279">
        <f t="shared" si="181"/>
        <v>-113.27464361818825</v>
      </c>
      <c r="AI338">
        <f t="shared" si="182"/>
        <v>0</v>
      </c>
      <c r="AJ338">
        <f t="shared" si="156"/>
        <v>0</v>
      </c>
      <c r="AK338">
        <f t="shared" si="183"/>
        <v>0</v>
      </c>
      <c r="AL338">
        <f t="shared" si="184"/>
        <v>0</v>
      </c>
      <c r="AM338"/>
      <c r="AN338"/>
    </row>
    <row r="339" spans="2:40" x14ac:dyDescent="0.2">
      <c r="B339" s="280">
        <v>25411.5</v>
      </c>
      <c r="C339" s="270">
        <f t="shared" si="157"/>
        <v>20.780546157408619</v>
      </c>
      <c r="D339" s="271">
        <f t="shared" si="158"/>
        <v>1.5226558039935727</v>
      </c>
      <c r="E339" s="271">
        <f t="shared" si="159"/>
        <v>1.0008612912858608</v>
      </c>
      <c r="F339" s="272">
        <f t="shared" si="160"/>
        <v>4.1489120364294738E-2</v>
      </c>
      <c r="G339" s="271">
        <f t="shared" si="161"/>
        <v>1.0325361664591031</v>
      </c>
      <c r="H339" s="272">
        <f t="shared" si="162"/>
        <v>-0.25170544848861603</v>
      </c>
      <c r="I339" s="270">
        <f t="shared" si="163"/>
        <v>89425.903402020296</v>
      </c>
      <c r="J339" s="273">
        <f t="shared" si="164"/>
        <v>1.5707851443526515</v>
      </c>
      <c r="K339" s="281">
        <f t="shared" si="165"/>
        <v>13.449102457289966</v>
      </c>
      <c r="L339" s="282">
        <f t="shared" si="166"/>
        <v>1.4963732392536433</v>
      </c>
      <c r="M339" s="270">
        <f t="shared" si="167"/>
        <v>1.1918165422346485</v>
      </c>
      <c r="N339" s="273">
        <f t="shared" si="168"/>
        <v>0.57525184925725947</v>
      </c>
      <c r="O339" s="270">
        <f t="shared" si="169"/>
        <v>7025.513146590205</v>
      </c>
      <c r="P339" s="273">
        <f t="shared" si="170"/>
        <v>1.5706539884371837</v>
      </c>
      <c r="Q339" s="271">
        <f t="shared" si="171"/>
        <v>1.0297859556260933</v>
      </c>
      <c r="R339" s="272">
        <f t="shared" si="172"/>
        <v>0.24110137646744728</v>
      </c>
      <c r="S339" s="270">
        <f t="shared" si="173"/>
        <v>1.0000015822711776</v>
      </c>
      <c r="T339" s="273">
        <f t="shared" si="174"/>
        <v>1.7789148891306642E-3</v>
      </c>
      <c r="U339" s="274">
        <f t="shared" si="175"/>
        <v>1.0144782792672766</v>
      </c>
      <c r="V339" s="275">
        <f t="shared" si="176"/>
        <v>0.24698146608123919</v>
      </c>
      <c r="W339" s="276">
        <f t="shared" si="177"/>
        <v>-17.497737975343757</v>
      </c>
      <c r="X339" s="277">
        <f t="shared" si="186"/>
        <v>-150.66024645783818</v>
      </c>
      <c r="Y339" s="299">
        <f t="shared" si="185"/>
        <v>29.339753542161816</v>
      </c>
      <c r="AB339" s="278">
        <f t="shared" si="178"/>
        <v>-2.4165638552183766</v>
      </c>
      <c r="AC339" s="279">
        <f t="shared" si="179"/>
        <v>-37.222991227237983</v>
      </c>
      <c r="AF339" s="278">
        <f t="shared" si="180"/>
        <v>46.722358486856379</v>
      </c>
      <c r="AG339" s="279">
        <f t="shared" si="181"/>
        <v>-113.43725523060021</v>
      </c>
      <c r="AI339">
        <f t="shared" si="182"/>
        <v>0</v>
      </c>
      <c r="AJ339">
        <f t="shared" si="156"/>
        <v>0</v>
      </c>
      <c r="AK339">
        <f t="shared" si="183"/>
        <v>0</v>
      </c>
      <c r="AL339">
        <f t="shared" si="184"/>
        <v>0</v>
      </c>
      <c r="AM339"/>
      <c r="AN339"/>
    </row>
    <row r="340" spans="2:40" x14ac:dyDescent="0.2">
      <c r="B340" s="280">
        <v>25557.75</v>
      </c>
      <c r="C340" s="270">
        <f t="shared" si="157"/>
        <v>20.899867611601508</v>
      </c>
      <c r="D340" s="271">
        <f t="shared" si="158"/>
        <v>1.5229308584008776</v>
      </c>
      <c r="E340" s="271">
        <f t="shared" si="159"/>
        <v>1.0008712294120208</v>
      </c>
      <c r="F340" s="272">
        <f t="shared" si="160"/>
        <v>4.1727625094513991E-2</v>
      </c>
      <c r="G340" s="271">
        <f t="shared" si="161"/>
        <v>1.0329057692038639</v>
      </c>
      <c r="H340" s="272">
        <f t="shared" si="162"/>
        <v>-0.25309316919537228</v>
      </c>
      <c r="I340" s="270">
        <f t="shared" si="163"/>
        <v>89940.573467577808</v>
      </c>
      <c r="J340" s="273">
        <f t="shared" si="164"/>
        <v>1.5707852083423288</v>
      </c>
      <c r="K340" s="281">
        <f t="shared" si="165"/>
        <v>13.526078938214546</v>
      </c>
      <c r="L340" s="282">
        <f t="shared" si="166"/>
        <v>1.4967975556582349</v>
      </c>
      <c r="M340" s="270">
        <f t="shared" si="167"/>
        <v>1.1938508837989228</v>
      </c>
      <c r="N340" s="273">
        <f t="shared" si="168"/>
        <v>0.57787456791598968</v>
      </c>
      <c r="O340" s="270">
        <f t="shared" si="169"/>
        <v>7065.9468587650617</v>
      </c>
      <c r="P340" s="273">
        <f t="shared" si="170"/>
        <v>1.5706548029448979</v>
      </c>
      <c r="Q340" s="271">
        <f t="shared" si="171"/>
        <v>1.0301247661550788</v>
      </c>
      <c r="R340" s="272">
        <f t="shared" si="172"/>
        <v>0.24243538866213074</v>
      </c>
      <c r="S340" s="270">
        <f t="shared" si="173"/>
        <v>1.0000016005363632</v>
      </c>
      <c r="T340" s="273">
        <f t="shared" si="174"/>
        <v>1.7891529997859773E-3</v>
      </c>
      <c r="U340" s="274">
        <f t="shared" si="175"/>
        <v>1.0146457354048832</v>
      </c>
      <c r="V340" s="275">
        <f t="shared" si="176"/>
        <v>0.24839093668228002</v>
      </c>
      <c r="W340" s="276">
        <f t="shared" si="177"/>
        <v>-17.560795833063352</v>
      </c>
      <c r="X340" s="277">
        <f t="shared" si="186"/>
        <v>-150.94857069367785</v>
      </c>
      <c r="Y340" s="299">
        <f t="shared" si="185"/>
        <v>29.051429306322149</v>
      </c>
      <c r="AB340" s="278">
        <f t="shared" si="178"/>
        <v>-2.4316513914579012</v>
      </c>
      <c r="AC340" s="279">
        <f t="shared" si="179"/>
        <v>-37.348954064410613</v>
      </c>
      <c r="AF340" s="278">
        <f t="shared" si="180"/>
        <v>46.674388165376314</v>
      </c>
      <c r="AG340" s="279">
        <f t="shared" si="181"/>
        <v>-113.59961662926723</v>
      </c>
      <c r="AI340">
        <f t="shared" si="182"/>
        <v>0</v>
      </c>
      <c r="AJ340">
        <f t="shared" si="156"/>
        <v>0</v>
      </c>
      <c r="AK340">
        <f t="shared" si="183"/>
        <v>0</v>
      </c>
      <c r="AL340">
        <f t="shared" si="184"/>
        <v>0</v>
      </c>
      <c r="AM340"/>
      <c r="AN340"/>
    </row>
    <row r="341" spans="2:40" x14ac:dyDescent="0.2">
      <c r="B341" s="280">
        <v>25704</v>
      </c>
      <c r="C341" s="270">
        <f t="shared" si="157"/>
        <v>21.019190629020265</v>
      </c>
      <c r="D341" s="271">
        <f t="shared" si="158"/>
        <v>1.5232027899374458</v>
      </c>
      <c r="E341" s="271">
        <f t="shared" si="159"/>
        <v>1.0008812244711141</v>
      </c>
      <c r="F341" s="272">
        <f t="shared" si="160"/>
        <v>4.1966125074759976E-2</v>
      </c>
      <c r="G341" s="271">
        <f t="shared" si="161"/>
        <v>1.0332773596610265</v>
      </c>
      <c r="H341" s="272">
        <f t="shared" si="162"/>
        <v>-0.25447989445806507</v>
      </c>
      <c r="I341" s="270">
        <f t="shared" si="163"/>
        <v>90455.243533135697</v>
      </c>
      <c r="J341" s="273">
        <f t="shared" si="164"/>
        <v>1.5707852716038324</v>
      </c>
      <c r="K341" s="281">
        <f t="shared" si="165"/>
        <v>13.603057826872272</v>
      </c>
      <c r="L341" s="282">
        <f t="shared" si="166"/>
        <v>1.4972170697754603</v>
      </c>
      <c r="M341" s="270">
        <f t="shared" si="167"/>
        <v>1.1958934094772085</v>
      </c>
      <c r="N341" s="273">
        <f t="shared" si="168"/>
        <v>0.58048834556033446</v>
      </c>
      <c r="O341" s="270">
        <f t="shared" si="169"/>
        <v>7106.3805709445551</v>
      </c>
      <c r="P341" s="273">
        <f t="shared" si="170"/>
        <v>1.5706556081838798</v>
      </c>
      <c r="Q341" s="271">
        <f t="shared" si="171"/>
        <v>1.0304654086748981</v>
      </c>
      <c r="R341" s="272">
        <f t="shared" si="172"/>
        <v>0.24376852125505138</v>
      </c>
      <c r="S341" s="270">
        <f t="shared" si="173"/>
        <v>1.0000016189063674</v>
      </c>
      <c r="T341" s="273">
        <f t="shared" si="174"/>
        <v>1.7993911100662157E-3</v>
      </c>
      <c r="U341" s="274">
        <f t="shared" si="175"/>
        <v>1.0148141598774985</v>
      </c>
      <c r="V341" s="275">
        <f t="shared" si="176"/>
        <v>0.24980020247185325</v>
      </c>
      <c r="W341" s="276">
        <f t="shared" si="177"/>
        <v>-17.623592751764637</v>
      </c>
      <c r="X341" s="277">
        <f t="shared" si="186"/>
        <v>-151.23641033146944</v>
      </c>
      <c r="Y341" s="299">
        <f t="shared" si="185"/>
        <v>28.763589668530557</v>
      </c>
      <c r="AB341" s="278">
        <f t="shared" si="178"/>
        <v>-2.4467685018625724</v>
      </c>
      <c r="AC341" s="279">
        <f t="shared" si="179"/>
        <v>-37.474679728271198</v>
      </c>
      <c r="AF341" s="278">
        <f t="shared" si="180"/>
        <v>46.6267083570797</v>
      </c>
      <c r="AG341" s="279">
        <f t="shared" si="181"/>
        <v>-113.76173060319825</v>
      </c>
      <c r="AI341">
        <f t="shared" si="182"/>
        <v>0</v>
      </c>
      <c r="AJ341">
        <f t="shared" si="156"/>
        <v>0</v>
      </c>
      <c r="AK341">
        <f t="shared" si="183"/>
        <v>0</v>
      </c>
      <c r="AL341">
        <f t="shared" si="184"/>
        <v>0</v>
      </c>
      <c r="AM341"/>
      <c r="AN341"/>
    </row>
    <row r="342" spans="2:40" x14ac:dyDescent="0.2">
      <c r="B342" s="280">
        <v>25853.75</v>
      </c>
      <c r="C342" s="270">
        <f t="shared" si="157"/>
        <v>21.141370832162274</v>
      </c>
      <c r="D342" s="271">
        <f t="shared" si="158"/>
        <v>1.523478048554894</v>
      </c>
      <c r="E342" s="271">
        <f t="shared" si="159"/>
        <v>1.000891517719404</v>
      </c>
      <c r="F342" s="272">
        <f t="shared" si="160"/>
        <v>4.2210327796805773E-2</v>
      </c>
      <c r="G342" s="271">
        <f t="shared" si="161"/>
        <v>1.0336599002776046</v>
      </c>
      <c r="H342" s="272">
        <f t="shared" si="162"/>
        <v>-0.25589877039923564</v>
      </c>
      <c r="I342" s="270">
        <f t="shared" si="163"/>
        <v>90982.230489151727</v>
      </c>
      <c r="J342" s="273">
        <f t="shared" si="164"/>
        <v>1.5707853356376713</v>
      </c>
      <c r="K342" s="281">
        <f t="shared" si="165"/>
        <v>13.681881397751502</v>
      </c>
      <c r="L342" s="282">
        <f t="shared" si="166"/>
        <v>1.4976417320024074</v>
      </c>
      <c r="M342" s="270">
        <f t="shared" si="167"/>
        <v>1.1979932526358312</v>
      </c>
      <c r="N342" s="273">
        <f t="shared" si="168"/>
        <v>0.58315542117765429</v>
      </c>
      <c r="O342" s="270">
        <f t="shared" si="169"/>
        <v>7147.7819275228057</v>
      </c>
      <c r="P342" s="273">
        <f t="shared" si="170"/>
        <v>1.5706564232537139</v>
      </c>
      <c r="Q342" s="271">
        <f t="shared" si="171"/>
        <v>1.0308160997056313</v>
      </c>
      <c r="R342" s="272">
        <f t="shared" si="172"/>
        <v>0.24513264241087149</v>
      </c>
      <c r="S342" s="270">
        <f t="shared" si="173"/>
        <v>1.0000016378246079</v>
      </c>
      <c r="T342" s="273">
        <f t="shared" si="174"/>
        <v>1.8098742345605634E-3</v>
      </c>
      <c r="U342" s="274">
        <f t="shared" si="175"/>
        <v>1.0149876185221436</v>
      </c>
      <c r="V342" s="275">
        <f t="shared" si="176"/>
        <v>0.25124298087397179</v>
      </c>
      <c r="W342" s="276">
        <f t="shared" si="177"/>
        <v>-17.687625044335476</v>
      </c>
      <c r="X342" s="277">
        <f t="shared" si="186"/>
        <v>-151.53063491156146</v>
      </c>
      <c r="Y342" s="299">
        <f t="shared" si="185"/>
        <v>28.469365088438536</v>
      </c>
      <c r="AB342" s="278">
        <f t="shared" si="178"/>
        <v>-2.4622775975332338</v>
      </c>
      <c r="AC342" s="279">
        <f t="shared" si="179"/>
        <v>-37.603164220331905</v>
      </c>
      <c r="AF342" s="278">
        <f t="shared" si="180"/>
        <v>46.578185160179515</v>
      </c>
      <c r="AG342" s="279">
        <f t="shared" si="181"/>
        <v>-113.92747069122954</v>
      </c>
      <c r="AI342">
        <f t="shared" si="182"/>
        <v>0</v>
      </c>
      <c r="AJ342">
        <f t="shared" si="156"/>
        <v>0</v>
      </c>
      <c r="AK342">
        <f t="shared" si="183"/>
        <v>0</v>
      </c>
      <c r="AL342">
        <f t="shared" si="184"/>
        <v>0</v>
      </c>
      <c r="AM342"/>
      <c r="AN342"/>
    </row>
    <row r="343" spans="2:40" x14ac:dyDescent="0.2">
      <c r="B343" s="280">
        <v>26003.5</v>
      </c>
      <c r="C343" s="270">
        <f t="shared" si="157"/>
        <v>21.263552618720794</v>
      </c>
      <c r="D343" s="271">
        <f t="shared" si="158"/>
        <v>1.523750143884141</v>
      </c>
      <c r="E343" s="271">
        <f t="shared" si="159"/>
        <v>1.0009018706545993</v>
      </c>
      <c r="F343" s="272">
        <f t="shared" si="160"/>
        <v>4.2454525481540259E-2</v>
      </c>
      <c r="G343" s="271">
        <f t="shared" si="161"/>
        <v>1.034044520325393</v>
      </c>
      <c r="H343" s="272">
        <f t="shared" si="162"/>
        <v>-0.25731659367147569</v>
      </c>
      <c r="I343" s="270">
        <f t="shared" si="163"/>
        <v>91509.217445168135</v>
      </c>
      <c r="J343" s="273">
        <f t="shared" si="164"/>
        <v>1.5707853989339888</v>
      </c>
      <c r="K343" s="281">
        <f t="shared" si="165"/>
        <v>13.76070740772678</v>
      </c>
      <c r="L343" s="282">
        <f t="shared" si="166"/>
        <v>1.4980615290851393</v>
      </c>
      <c r="M343" s="270">
        <f t="shared" si="167"/>
        <v>1.200101587614288</v>
      </c>
      <c r="N343" s="273">
        <f t="shared" si="168"/>
        <v>0.58581314462354883</v>
      </c>
      <c r="O343" s="270">
        <f t="shared" si="169"/>
        <v>7189.1832841057503</v>
      </c>
      <c r="P343" s="273">
        <f t="shared" si="170"/>
        <v>1.5706572289358345</v>
      </c>
      <c r="Q343" s="271">
        <f t="shared" si="171"/>
        <v>1.0311687075995226</v>
      </c>
      <c r="R343" s="272">
        <f t="shared" si="172"/>
        <v>0.24649583318010274</v>
      </c>
      <c r="S343" s="270">
        <f t="shared" si="173"/>
        <v>1.0000016568527441</v>
      </c>
      <c r="T343" s="273">
        <f t="shared" si="174"/>
        <v>1.8203573586571154E-3</v>
      </c>
      <c r="U343" s="274">
        <f t="shared" si="175"/>
        <v>1.01516209266442</v>
      </c>
      <c r="V343" s="275">
        <f t="shared" si="176"/>
        <v>0.25268554213955907</v>
      </c>
      <c r="W343" s="276">
        <f t="shared" si="177"/>
        <v>-17.751389639452352</v>
      </c>
      <c r="X343" s="277">
        <f t="shared" si="186"/>
        <v>-151.8243486527345</v>
      </c>
      <c r="Y343" s="299">
        <f t="shared" si="185"/>
        <v>28.1756513472655</v>
      </c>
      <c r="AB343" s="278">
        <f t="shared" si="178"/>
        <v>-2.4778168145053816</v>
      </c>
      <c r="AC343" s="279">
        <f t="shared" si="179"/>
        <v>-37.731391582414027</v>
      </c>
      <c r="AF343" s="278">
        <f t="shared" si="180"/>
        <v>46.529959782034787</v>
      </c>
      <c r="AG343" s="279">
        <f t="shared" si="181"/>
        <v>-114.09295707032045</v>
      </c>
      <c r="AI343">
        <f t="shared" si="182"/>
        <v>0</v>
      </c>
      <c r="AJ343">
        <f t="shared" si="156"/>
        <v>0</v>
      </c>
      <c r="AK343">
        <f t="shared" si="183"/>
        <v>0</v>
      </c>
      <c r="AL343">
        <f t="shared" si="184"/>
        <v>0</v>
      </c>
      <c r="AM343"/>
      <c r="AN343"/>
    </row>
    <row r="344" spans="2:40" x14ac:dyDescent="0.2">
      <c r="B344" s="280">
        <v>26153.25</v>
      </c>
      <c r="C344" s="270">
        <f t="shared" si="157"/>
        <v>21.385735961556517</v>
      </c>
      <c r="D344" s="271">
        <f t="shared" si="158"/>
        <v>1.5240191301030879</v>
      </c>
      <c r="E344" s="271">
        <f t="shared" si="159"/>
        <v>1.000912283274848</v>
      </c>
      <c r="F344" s="272">
        <f t="shared" si="160"/>
        <v>4.2698718099995966E-2</v>
      </c>
      <c r="G344" s="271">
        <f t="shared" si="161"/>
        <v>1.034431217484882</v>
      </c>
      <c r="H344" s="272">
        <f t="shared" si="162"/>
        <v>-0.25873335975189843</v>
      </c>
      <c r="I344" s="270">
        <f t="shared" si="163"/>
        <v>92036.204401184921</v>
      </c>
      <c r="J344" s="273">
        <f t="shared" si="164"/>
        <v>1.570785461505454</v>
      </c>
      <c r="K344" s="281">
        <f t="shared" si="165"/>
        <v>13.839535815120941</v>
      </c>
      <c r="L344" s="282">
        <f t="shared" si="166"/>
        <v>1.4984765440083254</v>
      </c>
      <c r="M344" s="270">
        <f t="shared" si="167"/>
        <v>1.2022183697361684</v>
      </c>
      <c r="N344" s="273">
        <f t="shared" si="168"/>
        <v>0.58846152765395654</v>
      </c>
      <c r="O344" s="270">
        <f t="shared" si="169"/>
        <v>7230.5846406933088</v>
      </c>
      <c r="P344" s="273">
        <f t="shared" si="170"/>
        <v>1.5706580253914997</v>
      </c>
      <c r="Q344" s="271">
        <f t="shared" si="171"/>
        <v>1.0315232303908353</v>
      </c>
      <c r="R344" s="272">
        <f t="shared" si="172"/>
        <v>0.24785808945305618</v>
      </c>
      <c r="S344" s="270">
        <f t="shared" si="173"/>
        <v>1.0000016759907766</v>
      </c>
      <c r="T344" s="273">
        <f t="shared" si="174"/>
        <v>1.8308404823535671E-3</v>
      </c>
      <c r="U344" s="274">
        <f t="shared" si="175"/>
        <v>1.0153375824370263</v>
      </c>
      <c r="V344" s="275">
        <f t="shared" si="176"/>
        <v>0.2541278850530721</v>
      </c>
      <c r="W344" s="276">
        <f t="shared" si="177"/>
        <v>-17.814889427217373</v>
      </c>
      <c r="X344" s="277">
        <f t="shared" si="186"/>
        <v>-152.11755025164578</v>
      </c>
      <c r="Y344" s="299">
        <f t="shared" si="185"/>
        <v>27.882449748354219</v>
      </c>
      <c r="AB344" s="278">
        <f t="shared" si="178"/>
        <v>-2.4933857057627238</v>
      </c>
      <c r="AC344" s="279">
        <f t="shared" si="179"/>
        <v>-37.859357734137824</v>
      </c>
      <c r="AF344" s="278">
        <f t="shared" si="180"/>
        <v>46.482028885527107</v>
      </c>
      <c r="AG344" s="279">
        <f t="shared" si="181"/>
        <v>-114.25819251750794</v>
      </c>
      <c r="AI344">
        <f t="shared" si="182"/>
        <v>0</v>
      </c>
      <c r="AJ344">
        <f t="shared" si="156"/>
        <v>0</v>
      </c>
      <c r="AK344">
        <f t="shared" si="183"/>
        <v>0</v>
      </c>
      <c r="AL344">
        <f t="shared" si="184"/>
        <v>0</v>
      </c>
      <c r="AM344"/>
      <c r="AN344"/>
    </row>
    <row r="345" spans="2:40" x14ac:dyDescent="0.2">
      <c r="B345" s="280">
        <v>26303</v>
      </c>
      <c r="C345" s="270">
        <f t="shared" si="157"/>
        <v>21.5079208341465</v>
      </c>
      <c r="D345" s="271">
        <f t="shared" si="158"/>
        <v>1.5242850601603368</v>
      </c>
      <c r="E345" s="271">
        <f t="shared" si="159"/>
        <v>1.0009227555782871</v>
      </c>
      <c r="F345" s="272">
        <f t="shared" si="160"/>
        <v>4.2942905623209036E-2</v>
      </c>
      <c r="G345" s="271">
        <f t="shared" si="161"/>
        <v>1.0348199894275127</v>
      </c>
      <c r="H345" s="272">
        <f t="shared" si="162"/>
        <v>-0.26014906414133543</v>
      </c>
      <c r="I345" s="270">
        <f t="shared" si="163"/>
        <v>92563.191357202042</v>
      </c>
      <c r="J345" s="273">
        <f t="shared" si="164"/>
        <v>1.570785523364447</v>
      </c>
      <c r="K345" s="281">
        <f t="shared" si="165"/>
        <v>13.918366579199743</v>
      </c>
      <c r="L345" s="282">
        <f t="shared" si="166"/>
        <v>1.498886857883277</v>
      </c>
      <c r="M345" s="270">
        <f t="shared" si="167"/>
        <v>1.2043435544607886</v>
      </c>
      <c r="N345" s="273">
        <f t="shared" si="168"/>
        <v>0.59110058246643404</v>
      </c>
      <c r="O345" s="270">
        <f t="shared" si="169"/>
        <v>7271.985997285401</v>
      </c>
      <c r="P345" s="273">
        <f t="shared" si="170"/>
        <v>1.5706588127782959</v>
      </c>
      <c r="Q345" s="271">
        <f t="shared" si="171"/>
        <v>1.0318796661058658</v>
      </c>
      <c r="R345" s="272">
        <f t="shared" si="172"/>
        <v>0.24921940713954913</v>
      </c>
      <c r="S345" s="270">
        <f t="shared" si="173"/>
        <v>1.0000016952387052</v>
      </c>
      <c r="T345" s="273">
        <f t="shared" si="174"/>
        <v>1.8413236056476149E-3</v>
      </c>
      <c r="U345" s="274">
        <f t="shared" si="175"/>
        <v>1.0155140879733116</v>
      </c>
      <c r="V345" s="275">
        <f t="shared" si="176"/>
        <v>0.25557000839970345</v>
      </c>
      <c r="W345" s="276">
        <f t="shared" si="177"/>
        <v>-17.878127242522879</v>
      </c>
      <c r="X345" s="277">
        <f t="shared" si="186"/>
        <v>-152.41023846854159</v>
      </c>
      <c r="Y345" s="299">
        <f t="shared" si="185"/>
        <v>27.589761531458407</v>
      </c>
      <c r="AB345" s="278">
        <f t="shared" si="178"/>
        <v>-2.508983825038543</v>
      </c>
      <c r="AC345" s="279">
        <f t="shared" si="179"/>
        <v>-37.987058727745314</v>
      </c>
      <c r="AF345" s="278">
        <f t="shared" si="180"/>
        <v>46.434389189497423</v>
      </c>
      <c r="AG345" s="279">
        <f t="shared" si="181"/>
        <v>-114.42317974079627</v>
      </c>
      <c r="AI345">
        <f t="shared" si="182"/>
        <v>0</v>
      </c>
      <c r="AJ345">
        <f t="shared" si="156"/>
        <v>0</v>
      </c>
      <c r="AK345">
        <f t="shared" si="183"/>
        <v>0</v>
      </c>
      <c r="AL345">
        <f t="shared" si="184"/>
        <v>0</v>
      </c>
      <c r="AM345"/>
      <c r="AN345"/>
    </row>
    <row r="346" spans="2:40" x14ac:dyDescent="0.2">
      <c r="B346" s="280">
        <v>26456</v>
      </c>
      <c r="C346" s="270">
        <f t="shared" si="157"/>
        <v>21.632759018190232</v>
      </c>
      <c r="D346" s="271">
        <f t="shared" si="158"/>
        <v>1.5245536591130731</v>
      </c>
      <c r="E346" s="271">
        <f t="shared" si="159"/>
        <v>1.0009335167986715</v>
      </c>
      <c r="F346" s="272">
        <f t="shared" si="160"/>
        <v>4.3192387416254897E-2</v>
      </c>
      <c r="G346" s="271">
        <f t="shared" si="161"/>
        <v>1.0352193392077407</v>
      </c>
      <c r="H346" s="272">
        <f t="shared" si="162"/>
        <v>-0.26159439217484393</v>
      </c>
      <c r="I346" s="270">
        <f t="shared" si="163"/>
        <v>93101.615425787517</v>
      </c>
      <c r="J346" s="273">
        <f t="shared" si="164"/>
        <v>1.5707855858427076</v>
      </c>
      <c r="K346" s="281">
        <f t="shared" si="165"/>
        <v>13.998910587129673</v>
      </c>
      <c r="L346" s="282">
        <f t="shared" si="166"/>
        <v>1.4993013040120335</v>
      </c>
      <c r="M346" s="270">
        <f t="shared" si="167"/>
        <v>1.206523493657466</v>
      </c>
      <c r="N346" s="273">
        <f t="shared" si="168"/>
        <v>0.59378729131265262</v>
      </c>
      <c r="O346" s="270">
        <f t="shared" si="169"/>
        <v>7314.2858808198207</v>
      </c>
      <c r="P346" s="273">
        <f t="shared" si="170"/>
        <v>1.5706596080475836</v>
      </c>
      <c r="Q346" s="271">
        <f t="shared" si="171"/>
        <v>1.032245811074088</v>
      </c>
      <c r="R346" s="272">
        <f t="shared" si="172"/>
        <v>0.25060929568644413</v>
      </c>
      <c r="S346" s="270">
        <f t="shared" si="173"/>
        <v>1.0000017150178679</v>
      </c>
      <c r="T346" s="273">
        <f t="shared" si="174"/>
        <v>1.8520342420509167E-3</v>
      </c>
      <c r="U346" s="274">
        <f t="shared" si="175"/>
        <v>1.0156954733903938</v>
      </c>
      <c r="V346" s="275">
        <f t="shared" si="176"/>
        <v>0.25704320188642388</v>
      </c>
      <c r="W346" s="276">
        <f t="shared" si="177"/>
        <v>-17.942469828144748</v>
      </c>
      <c r="X346" s="277">
        <f t="shared" si="186"/>
        <v>-152.70874741003149</v>
      </c>
      <c r="Y346" s="299">
        <f t="shared" si="185"/>
        <v>27.291252589968508</v>
      </c>
      <c r="AB346" s="278">
        <f t="shared" si="178"/>
        <v>-2.5249501908396694</v>
      </c>
      <c r="AC346" s="279">
        <f t="shared" si="179"/>
        <v>-38.117253371141459</v>
      </c>
      <c r="AF346" s="278">
        <f t="shared" si="180"/>
        <v>46.386012969676678</v>
      </c>
      <c r="AG346" s="279">
        <f t="shared" si="181"/>
        <v>-114.59149403889003</v>
      </c>
      <c r="AI346">
        <f t="shared" si="182"/>
        <v>0</v>
      </c>
      <c r="AJ346">
        <f t="shared" ref="AJ346:AJ409" si="187">IF(AI346&gt;0,Y346,0)</f>
        <v>0</v>
      </c>
      <c r="AK346">
        <f t="shared" si="183"/>
        <v>0</v>
      </c>
      <c r="AL346">
        <f t="shared" si="184"/>
        <v>0</v>
      </c>
      <c r="AM346"/>
      <c r="AN346"/>
    </row>
    <row r="347" spans="2:40" x14ac:dyDescent="0.2">
      <c r="B347" s="280">
        <v>26609</v>
      </c>
      <c r="C347" s="270">
        <f t="shared" si="157"/>
        <v>21.757598745028247</v>
      </c>
      <c r="D347" s="271">
        <f t="shared" si="158"/>
        <v>1.5248191757759042</v>
      </c>
      <c r="E347" s="271">
        <f t="shared" si="159"/>
        <v>1.0009443403169822</v>
      </c>
      <c r="F347" s="272">
        <f t="shared" si="160"/>
        <v>4.344186382938181E-2</v>
      </c>
      <c r="G347" s="271">
        <f t="shared" si="161"/>
        <v>1.0356208498628967</v>
      </c>
      <c r="H347" s="272">
        <f t="shared" si="162"/>
        <v>-0.26303860251470668</v>
      </c>
      <c r="I347" s="270">
        <f t="shared" si="163"/>
        <v>93640.039494373355</v>
      </c>
      <c r="J347" s="273">
        <f t="shared" si="164"/>
        <v>1.5707856476024762</v>
      </c>
      <c r="K347" s="281">
        <f t="shared" si="165"/>
        <v>14.079456972079464</v>
      </c>
      <c r="L347" s="282">
        <f t="shared" si="166"/>
        <v>1.4997110082467244</v>
      </c>
      <c r="M347" s="270">
        <f t="shared" si="167"/>
        <v>1.2087121105776919</v>
      </c>
      <c r="N347" s="273">
        <f t="shared" si="168"/>
        <v>0.59646428976848986</v>
      </c>
      <c r="O347" s="270">
        <f t="shared" si="169"/>
        <v>7356.5857643588142</v>
      </c>
      <c r="P347" s="273">
        <f t="shared" si="170"/>
        <v>1.5706603941713793</v>
      </c>
      <c r="Q347" s="271">
        <f t="shared" si="171"/>
        <v>1.0326139487082515</v>
      </c>
      <c r="R347" s="272">
        <f t="shared" si="172"/>
        <v>0.2519981958953092</v>
      </c>
      <c r="S347" s="270">
        <f t="shared" si="173"/>
        <v>1.0000017349117485</v>
      </c>
      <c r="T347" s="273">
        <f t="shared" si="174"/>
        <v>1.8627448780292957E-3</v>
      </c>
      <c r="U347" s="274">
        <f t="shared" si="175"/>
        <v>1.0158779194229917</v>
      </c>
      <c r="V347" s="275">
        <f t="shared" si="176"/>
        <v>0.25851616361102303</v>
      </c>
      <c r="W347" s="276">
        <f t="shared" si="177"/>
        <v>-18.006544759193513</v>
      </c>
      <c r="X347" s="277">
        <f t="shared" si="186"/>
        <v>-153.00671802440917</v>
      </c>
      <c r="Y347" s="299">
        <f t="shared" si="185"/>
        <v>26.993281975590833</v>
      </c>
      <c r="AB347" s="278">
        <f t="shared" si="178"/>
        <v>-2.5409461281610879</v>
      </c>
      <c r="AC347" s="279">
        <f t="shared" si="179"/>
        <v>-38.247163299501644</v>
      </c>
      <c r="AF347" s="278">
        <f t="shared" si="180"/>
        <v>46.33793397594934</v>
      </c>
      <c r="AG347" s="279">
        <f t="shared" si="181"/>
        <v>-114.75955472490755</v>
      </c>
      <c r="AI347">
        <f t="shared" si="182"/>
        <v>0</v>
      </c>
      <c r="AJ347">
        <f t="shared" si="187"/>
        <v>0</v>
      </c>
      <c r="AK347">
        <f t="shared" si="183"/>
        <v>0</v>
      </c>
      <c r="AL347">
        <f t="shared" si="184"/>
        <v>0</v>
      </c>
      <c r="AM347"/>
      <c r="AN347"/>
    </row>
    <row r="348" spans="2:40" x14ac:dyDescent="0.2">
      <c r="B348" s="280">
        <v>26762</v>
      </c>
      <c r="C348" s="270">
        <f t="shared" si="157"/>
        <v>21.882439988255545</v>
      </c>
      <c r="D348" s="271">
        <f t="shared" si="158"/>
        <v>1.5250816628652732</v>
      </c>
      <c r="E348" s="271">
        <f t="shared" si="159"/>
        <v>1.0009552261311985</v>
      </c>
      <c r="F348" s="272">
        <f t="shared" si="160"/>
        <v>4.3691334831710733E-2</v>
      </c>
      <c r="G348" s="271">
        <f t="shared" si="161"/>
        <v>1.0360245188806441</v>
      </c>
      <c r="H348" s="272">
        <f t="shared" si="162"/>
        <v>-0.26448169043941866</v>
      </c>
      <c r="I348" s="270">
        <f t="shared" si="163"/>
        <v>94178.463562959529</v>
      </c>
      <c r="J348" s="273">
        <f t="shared" si="164"/>
        <v>1.5707857086560761</v>
      </c>
      <c r="K348" s="281">
        <f t="shared" si="165"/>
        <v>14.1600056934855</v>
      </c>
      <c r="L348" s="282">
        <f t="shared" si="166"/>
        <v>1.5001160513709382</v>
      </c>
      <c r="M348" s="270">
        <f t="shared" si="167"/>
        <v>1.2109093581686989</v>
      </c>
      <c r="N348" s="273">
        <f t="shared" si="168"/>
        <v>0.59913159222161683</v>
      </c>
      <c r="O348" s="270">
        <f t="shared" si="169"/>
        <v>7398.8856479023025</v>
      </c>
      <c r="P348" s="273">
        <f t="shared" si="170"/>
        <v>1.570661171306539</v>
      </c>
      <c r="Q348" s="271">
        <f t="shared" si="171"/>
        <v>1.0329840768779015</v>
      </c>
      <c r="R348" s="272">
        <f t="shared" si="172"/>
        <v>0.25338610346720081</v>
      </c>
      <c r="S348" s="270">
        <f t="shared" si="173"/>
        <v>1.0000017549203473</v>
      </c>
      <c r="T348" s="273">
        <f t="shared" si="174"/>
        <v>1.8734555135802946E-3</v>
      </c>
      <c r="U348" s="274">
        <f t="shared" si="175"/>
        <v>1.0160614262154175</v>
      </c>
      <c r="V348" s="275">
        <f t="shared" si="176"/>
        <v>0.25998889228027883</v>
      </c>
      <c r="W348" s="276">
        <f t="shared" si="177"/>
        <v>-18.070354889387691</v>
      </c>
      <c r="X348" s="277">
        <f t="shared" si="186"/>
        <v>-153.30414918575536</v>
      </c>
      <c r="Y348" s="299">
        <f t="shared" si="185"/>
        <v>26.695850814244636</v>
      </c>
      <c r="AB348" s="278">
        <f t="shared" si="178"/>
        <v>-2.5569711641952035</v>
      </c>
      <c r="AC348" s="279">
        <f t="shared" si="179"/>
        <v>-38.376784709326053</v>
      </c>
      <c r="AF348" s="278">
        <f t="shared" si="180"/>
        <v>46.290148881789264</v>
      </c>
      <c r="AG348" s="279">
        <f t="shared" si="181"/>
        <v>-114.92736447642929</v>
      </c>
      <c r="AI348">
        <f t="shared" si="182"/>
        <v>0</v>
      </c>
      <c r="AJ348">
        <f t="shared" si="187"/>
        <v>0</v>
      </c>
      <c r="AK348">
        <f t="shared" si="183"/>
        <v>0</v>
      </c>
      <c r="AL348">
        <f t="shared" si="184"/>
        <v>0</v>
      </c>
      <c r="AM348"/>
      <c r="AN348"/>
    </row>
    <row r="349" spans="2:40" x14ac:dyDescent="0.2">
      <c r="B349" s="280">
        <v>26915</v>
      </c>
      <c r="C349" s="270">
        <f t="shared" si="157"/>
        <v>22.007282722065934</v>
      </c>
      <c r="D349" s="271">
        <f t="shared" si="158"/>
        <v>1.5253411719031174</v>
      </c>
      <c r="E349" s="271">
        <f t="shared" si="159"/>
        <v>1.0009661742392875</v>
      </c>
      <c r="F349" s="272">
        <f t="shared" si="160"/>
        <v>4.3940800392366669E-2</v>
      </c>
      <c r="G349" s="271">
        <f t="shared" si="161"/>
        <v>1.0364303437390647</v>
      </c>
      <c r="H349" s="272">
        <f t="shared" si="162"/>
        <v>-0.2659236512535102</v>
      </c>
      <c r="I349" s="270">
        <f t="shared" si="163"/>
        <v>94716.88763154608</v>
      </c>
      <c r="J349" s="273">
        <f t="shared" si="164"/>
        <v>1.57078576901555</v>
      </c>
      <c r="K349" s="281">
        <f t="shared" si="165"/>
        <v>14.240556711700755</v>
      </c>
      <c r="L349" s="282">
        <f t="shared" si="166"/>
        <v>1.5005165123466677</v>
      </c>
      <c r="M349" s="270">
        <f t="shared" si="167"/>
        <v>1.2131151895337364</v>
      </c>
      <c r="N349" s="273">
        <f t="shared" si="168"/>
        <v>0.60178921350752879</v>
      </c>
      <c r="O349" s="270">
        <f t="shared" si="169"/>
        <v>7441.1855314502072</v>
      </c>
      <c r="P349" s="273">
        <f t="shared" si="170"/>
        <v>1.5706619396063521</v>
      </c>
      <c r="Q349" s="271">
        <f t="shared" si="171"/>
        <v>1.0333561934441244</v>
      </c>
      <c r="R349" s="272">
        <f t="shared" si="172"/>
        <v>0.25477301412461473</v>
      </c>
      <c r="S349" s="270">
        <f t="shared" si="173"/>
        <v>1.0000017750436636</v>
      </c>
      <c r="T349" s="273">
        <f t="shared" si="174"/>
        <v>1.8841661487014559E-3</v>
      </c>
      <c r="U349" s="274">
        <f t="shared" si="175"/>
        <v>1.0162459939126844</v>
      </c>
      <c r="V349" s="275">
        <f t="shared" si="176"/>
        <v>0.26146138660179058</v>
      </c>
      <c r="W349" s="276">
        <f t="shared" si="177"/>
        <v>-18.133903018069141</v>
      </c>
      <c r="X349" s="277">
        <f t="shared" si="186"/>
        <v>-153.60103983126115</v>
      </c>
      <c r="Y349" s="299">
        <f t="shared" si="185"/>
        <v>26.398960168738853</v>
      </c>
      <c r="AB349" s="278">
        <f t="shared" si="178"/>
        <v>-2.5730248274234819</v>
      </c>
      <c r="AC349" s="279">
        <f t="shared" si="179"/>
        <v>-38.506113927127068</v>
      </c>
      <c r="AF349" s="278">
        <f t="shared" si="180"/>
        <v>46.242654416336102</v>
      </c>
      <c r="AG349" s="279">
        <f t="shared" si="181"/>
        <v>-115.09492590413409</v>
      </c>
      <c r="AI349">
        <f t="shared" si="182"/>
        <v>0</v>
      </c>
      <c r="AJ349">
        <f t="shared" si="187"/>
        <v>0</v>
      </c>
      <c r="AK349">
        <f t="shared" si="183"/>
        <v>0</v>
      </c>
      <c r="AL349">
        <f t="shared" si="184"/>
        <v>0</v>
      </c>
      <c r="AM349"/>
      <c r="AN349"/>
    </row>
    <row r="350" spans="2:40" x14ac:dyDescent="0.2">
      <c r="B350" s="280">
        <v>27071.75</v>
      </c>
      <c r="C350" s="270">
        <f t="shared" si="157"/>
        <v>22.135186846265501</v>
      </c>
      <c r="D350" s="271">
        <f t="shared" si="158"/>
        <v>1.5256040056704925</v>
      </c>
      <c r="E350" s="271">
        <f t="shared" si="159"/>
        <v>1.000977455284022</v>
      </c>
      <c r="F350" s="272">
        <f t="shared" si="160"/>
        <v>4.419637462935376E-2</v>
      </c>
      <c r="G350" s="271">
        <f t="shared" si="161"/>
        <v>1.0368483483854889</v>
      </c>
      <c r="H350" s="272">
        <f t="shared" si="162"/>
        <v>-0.26739978047550583</v>
      </c>
      <c r="I350" s="270">
        <f t="shared" si="163"/>
        <v>95268.508368480674</v>
      </c>
      <c r="J350" s="273">
        <f t="shared" si="164"/>
        <v>1.5707858301468736</v>
      </c>
      <c r="K350" s="281">
        <f t="shared" si="165"/>
        <v>14.32308436100333</v>
      </c>
      <c r="L350" s="282">
        <f t="shared" si="166"/>
        <v>1.5009221172516536</v>
      </c>
      <c r="M350" s="270">
        <f t="shared" si="167"/>
        <v>1.2153839384590543</v>
      </c>
      <c r="N350" s="273">
        <f t="shared" si="168"/>
        <v>0.60450194854307271</v>
      </c>
      <c r="O350" s="270">
        <f t="shared" si="169"/>
        <v>7484.5221768542797</v>
      </c>
      <c r="P350" s="273">
        <f t="shared" si="170"/>
        <v>1.5706627177308381</v>
      </c>
      <c r="Q350" s="271">
        <f t="shared" si="171"/>
        <v>1.0337394903659005</v>
      </c>
      <c r="R350" s="272">
        <f t="shared" si="172"/>
        <v>0.2561928793754219</v>
      </c>
      <c r="S350" s="270">
        <f t="shared" si="173"/>
        <v>1.0000017957791685</v>
      </c>
      <c r="T350" s="273">
        <f t="shared" si="174"/>
        <v>1.8951392989409736E-3</v>
      </c>
      <c r="U350" s="274">
        <f t="shared" si="175"/>
        <v>1.0164361857077269</v>
      </c>
      <c r="V350" s="275">
        <f t="shared" si="176"/>
        <v>0.26296972708615318</v>
      </c>
      <c r="W350" s="276">
        <f t="shared" si="177"/>
        <v>-18.198739857357005</v>
      </c>
      <c r="X350" s="277">
        <f t="shared" si="186"/>
        <v>-153.90464561180787</v>
      </c>
      <c r="Y350" s="299">
        <f t="shared" si="185"/>
        <v>26.095354388192135</v>
      </c>
      <c r="AB350" s="278">
        <f t="shared" si="178"/>
        <v>-2.5895011595309998</v>
      </c>
      <c r="AC350" s="279">
        <f t="shared" si="179"/>
        <v>-38.638306248962337</v>
      </c>
      <c r="AF350" s="278">
        <f t="shared" si="180"/>
        <v>46.194293909155746</v>
      </c>
      <c r="AG350" s="279">
        <f t="shared" si="181"/>
        <v>-115.26633936284554</v>
      </c>
      <c r="AI350">
        <f t="shared" si="182"/>
        <v>0</v>
      </c>
      <c r="AJ350">
        <f t="shared" si="187"/>
        <v>0</v>
      </c>
      <c r="AK350">
        <f t="shared" si="183"/>
        <v>0</v>
      </c>
      <c r="AL350">
        <f t="shared" si="184"/>
        <v>0</v>
      </c>
      <c r="AM350"/>
      <c r="AN350"/>
    </row>
    <row r="351" spans="2:40" x14ac:dyDescent="0.2">
      <c r="B351" s="280">
        <v>27228.5</v>
      </c>
      <c r="C351" s="270">
        <f t="shared" si="157"/>
        <v>22.263092482028782</v>
      </c>
      <c r="D351" s="271">
        <f t="shared" si="158"/>
        <v>1.5258638193972096</v>
      </c>
      <c r="E351" s="271">
        <f t="shared" si="159"/>
        <v>1.0009888017093167</v>
      </c>
      <c r="F351" s="272">
        <f t="shared" si="160"/>
        <v>4.4451943089054924E-2</v>
      </c>
      <c r="G351" s="271">
        <f t="shared" si="161"/>
        <v>1.0372686104566167</v>
      </c>
      <c r="H351" s="272">
        <f t="shared" si="162"/>
        <v>-0.26887471676552338</v>
      </c>
      <c r="I351" s="270">
        <f t="shared" si="163"/>
        <v>95820.129105415632</v>
      </c>
      <c r="J351" s="273">
        <f t="shared" si="164"/>
        <v>1.5707858905743515</v>
      </c>
      <c r="K351" s="281">
        <f t="shared" si="165"/>
        <v>14.405614339674198</v>
      </c>
      <c r="L351" s="282">
        <f t="shared" si="166"/>
        <v>1.5013230747889161</v>
      </c>
      <c r="M351" s="270">
        <f t="shared" si="167"/>
        <v>1.2176615979443799</v>
      </c>
      <c r="N351" s="273">
        <f t="shared" si="168"/>
        <v>0.60720455495873871</v>
      </c>
      <c r="O351" s="270">
        <f t="shared" si="169"/>
        <v>7527.8588222628323</v>
      </c>
      <c r="P351" s="273">
        <f t="shared" si="170"/>
        <v>1.5706634868962546</v>
      </c>
      <c r="Q351" s="271">
        <f t="shared" si="171"/>
        <v>1.034124869777064</v>
      </c>
      <c r="R351" s="272">
        <f t="shared" si="172"/>
        <v>0.25761168922414102</v>
      </c>
      <c r="S351" s="270">
        <f t="shared" si="173"/>
        <v>1.0000018166350837</v>
      </c>
      <c r="T351" s="273">
        <f t="shared" si="174"/>
        <v>1.9061124487241032E-3</v>
      </c>
      <c r="U351" s="274">
        <f t="shared" si="175"/>
        <v>1.01662749136046</v>
      </c>
      <c r="V351" s="275">
        <f t="shared" si="176"/>
        <v>0.26447781885071164</v>
      </c>
      <c r="W351" s="276">
        <f t="shared" si="177"/>
        <v>-18.263307473882683</v>
      </c>
      <c r="X351" s="277">
        <f t="shared" si="186"/>
        <v>-154.20768199428011</v>
      </c>
      <c r="Y351" s="299">
        <f t="shared" si="185"/>
        <v>25.792318005719892</v>
      </c>
      <c r="AB351" s="278">
        <f t="shared" si="178"/>
        <v>-2.6060065419658374</v>
      </c>
      <c r="AC351" s="279">
        <f t="shared" si="179"/>
        <v>-38.770184477855338</v>
      </c>
      <c r="AF351" s="278">
        <f t="shared" si="180"/>
        <v>46.146231675064911</v>
      </c>
      <c r="AG351" s="279">
        <f t="shared" si="181"/>
        <v>-115.4374975164248</v>
      </c>
      <c r="AI351">
        <f t="shared" si="182"/>
        <v>0</v>
      </c>
      <c r="AJ351">
        <f t="shared" si="187"/>
        <v>0</v>
      </c>
      <c r="AK351">
        <f t="shared" si="183"/>
        <v>0</v>
      </c>
      <c r="AL351">
        <f t="shared" si="184"/>
        <v>0</v>
      </c>
      <c r="AM351"/>
      <c r="AN351"/>
    </row>
    <row r="352" spans="2:40" x14ac:dyDescent="0.2">
      <c r="B352" s="280">
        <v>27385.25</v>
      </c>
      <c r="C352" s="270">
        <f t="shared" si="157"/>
        <v>22.390999603451945</v>
      </c>
      <c r="D352" s="271">
        <f t="shared" si="158"/>
        <v>1.526120664803243</v>
      </c>
      <c r="E352" s="271">
        <f t="shared" si="159"/>
        <v>1.0010002135129479</v>
      </c>
      <c r="F352" s="272">
        <f t="shared" si="160"/>
        <v>4.4707505738282159E-2</v>
      </c>
      <c r="G352" s="271">
        <f t="shared" si="161"/>
        <v>1.0376911272096951</v>
      </c>
      <c r="H352" s="272">
        <f t="shared" si="162"/>
        <v>-0.27034845515961609</v>
      </c>
      <c r="I352" s="270">
        <f t="shared" si="163"/>
        <v>96371.749842350924</v>
      </c>
      <c r="J352" s="273">
        <f t="shared" si="164"/>
        <v>1.5707859503100694</v>
      </c>
      <c r="K352" s="281">
        <f t="shared" si="165"/>
        <v>14.488146607906463</v>
      </c>
      <c r="L352" s="282">
        <f t="shared" si="166"/>
        <v>1.5017194642501304</v>
      </c>
      <c r="M352" s="270">
        <f t="shared" si="167"/>
        <v>1.2199481180813088</v>
      </c>
      <c r="N352" s="273">
        <f t="shared" si="168"/>
        <v>0.60989705011572848</v>
      </c>
      <c r="O352" s="270">
        <f t="shared" si="169"/>
        <v>7571.1954676757859</v>
      </c>
      <c r="P352" s="273">
        <f t="shared" si="170"/>
        <v>1.5706642472564436</v>
      </c>
      <c r="Q352" s="271">
        <f t="shared" si="171"/>
        <v>1.0345123293502907</v>
      </c>
      <c r="R352" s="272">
        <f t="shared" si="172"/>
        <v>0.25902943914127075</v>
      </c>
      <c r="S352" s="270">
        <f t="shared" si="173"/>
        <v>1.0000018376114093</v>
      </c>
      <c r="T352" s="273">
        <f t="shared" si="174"/>
        <v>1.9170855980482021E-3</v>
      </c>
      <c r="U352" s="274">
        <f t="shared" si="175"/>
        <v>1.0168199110290956</v>
      </c>
      <c r="V352" s="275">
        <f t="shared" si="176"/>
        <v>0.26598566050840106</v>
      </c>
      <c r="W352" s="276">
        <f t="shared" si="177"/>
        <v>-18.327608709110287</v>
      </c>
      <c r="X352" s="277">
        <f t="shared" si="186"/>
        <v>-154.5101480323672</v>
      </c>
      <c r="Y352" s="299">
        <f t="shared" si="185"/>
        <v>25.489851967632802</v>
      </c>
      <c r="AB352" s="278">
        <f t="shared" si="178"/>
        <v>-2.6225404725733914</v>
      </c>
      <c r="AC352" s="279">
        <f t="shared" si="179"/>
        <v>-38.901745066143732</v>
      </c>
      <c r="AF352" s="278">
        <f t="shared" si="180"/>
        <v>46.098464370444873</v>
      </c>
      <c r="AG352" s="279">
        <f t="shared" si="181"/>
        <v>-115.60840296622345</v>
      </c>
      <c r="AI352">
        <f t="shared" si="182"/>
        <v>0</v>
      </c>
      <c r="AJ352">
        <f t="shared" si="187"/>
        <v>0</v>
      </c>
      <c r="AK352">
        <f t="shared" si="183"/>
        <v>0</v>
      </c>
      <c r="AL352">
        <f t="shared" si="184"/>
        <v>0</v>
      </c>
      <c r="AM352"/>
      <c r="AN352"/>
    </row>
    <row r="353" spans="2:40" x14ac:dyDescent="0.2">
      <c r="B353" s="280">
        <v>27542</v>
      </c>
      <c r="C353" s="270">
        <f t="shared" si="157"/>
        <v>22.518908185219402</v>
      </c>
      <c r="D353" s="271">
        <f t="shared" si="158"/>
        <v>1.5263745924350649</v>
      </c>
      <c r="E353" s="271">
        <f t="shared" si="159"/>
        <v>1.0010116906926798</v>
      </c>
      <c r="F353" s="272">
        <f t="shared" si="160"/>
        <v>4.4963062543852024E-2</v>
      </c>
      <c r="G353" s="271">
        <f t="shared" si="161"/>
        <v>1.0381158958917347</v>
      </c>
      <c r="H353" s="272">
        <f t="shared" si="162"/>
        <v>-0.27182099072271049</v>
      </c>
      <c r="I353" s="270">
        <f t="shared" si="163"/>
        <v>96923.370579286551</v>
      </c>
      <c r="J353" s="273">
        <f t="shared" si="164"/>
        <v>1.5707860093658386</v>
      </c>
      <c r="K353" s="281">
        <f t="shared" si="165"/>
        <v>14.570681126794042</v>
      </c>
      <c r="L353" s="282">
        <f t="shared" si="166"/>
        <v>1.5021113631362228</v>
      </c>
      <c r="M353" s="270">
        <f t="shared" si="167"/>
        <v>1.2222434491414718</v>
      </c>
      <c r="N353" s="273">
        <f t="shared" si="168"/>
        <v>0.6125794518319958</v>
      </c>
      <c r="O353" s="270">
        <f t="shared" si="169"/>
        <v>7614.5321130930688</v>
      </c>
      <c r="P353" s="273">
        <f t="shared" si="170"/>
        <v>1.5706649989617452</v>
      </c>
      <c r="Q353" s="271">
        <f t="shared" si="171"/>
        <v>1.0349018667491889</v>
      </c>
      <c r="R353" s="272">
        <f t="shared" si="172"/>
        <v>0.26044612462111855</v>
      </c>
      <c r="S353" s="270">
        <f t="shared" si="173"/>
        <v>1.0000018587081447</v>
      </c>
      <c r="T353" s="273">
        <f t="shared" si="174"/>
        <v>1.928058746910628E-3</v>
      </c>
      <c r="U353" s="274">
        <f t="shared" si="175"/>
        <v>1.0170134448726089</v>
      </c>
      <c r="V353" s="275">
        <f t="shared" si="176"/>
        <v>0.26749325067308277</v>
      </c>
      <c r="W353" s="276">
        <f t="shared" si="177"/>
        <v>-18.391646350384367</v>
      </c>
      <c r="X353" s="277">
        <f t="shared" si="186"/>
        <v>-154.81204284298539</v>
      </c>
      <c r="Y353" s="299">
        <f t="shared" si="185"/>
        <v>25.187957157014608</v>
      </c>
      <c r="AB353" s="278">
        <f t="shared" si="178"/>
        <v>-2.6391024510627767</v>
      </c>
      <c r="AC353" s="279">
        <f t="shared" si="179"/>
        <v>-39.032984594921857</v>
      </c>
      <c r="AF353" s="278">
        <f t="shared" si="180"/>
        <v>46.050988707660167</v>
      </c>
      <c r="AG353" s="279">
        <f t="shared" si="181"/>
        <v>-115.77905824806351</v>
      </c>
      <c r="AI353">
        <f t="shared" si="182"/>
        <v>0</v>
      </c>
      <c r="AJ353">
        <f t="shared" si="187"/>
        <v>0</v>
      </c>
      <c r="AK353">
        <f t="shared" si="183"/>
        <v>0</v>
      </c>
      <c r="AL353">
        <f t="shared" si="184"/>
        <v>0</v>
      </c>
      <c r="AM353"/>
      <c r="AN353"/>
    </row>
    <row r="354" spans="2:40" x14ac:dyDescent="0.2">
      <c r="B354" s="280">
        <v>27702.5</v>
      </c>
      <c r="C354" s="270">
        <f t="shared" si="157"/>
        <v>22.649878268231703</v>
      </c>
      <c r="D354" s="271">
        <f t="shared" si="158"/>
        <v>1.5266316231710231</v>
      </c>
      <c r="E354" s="271">
        <f t="shared" si="159"/>
        <v>1.0010235101845824</v>
      </c>
      <c r="F354" s="272">
        <f t="shared" si="160"/>
        <v>4.522472705891481E-2</v>
      </c>
      <c r="G354" s="271">
        <f t="shared" si="161"/>
        <v>1.0385531570022113</v>
      </c>
      <c r="H354" s="272">
        <f t="shared" si="162"/>
        <v>-0.27332750294634867</v>
      </c>
      <c r="I354" s="270">
        <f t="shared" si="163"/>
        <v>97488.187984570279</v>
      </c>
      <c r="J354" s="273">
        <f t="shared" si="164"/>
        <v>1.5707860691419369</v>
      </c>
      <c r="K354" s="281">
        <f t="shared" si="165"/>
        <v>14.655192448052286</v>
      </c>
      <c r="L354" s="282">
        <f t="shared" si="166"/>
        <v>1.5025080637046375</v>
      </c>
      <c r="M354" s="270">
        <f t="shared" si="167"/>
        <v>1.2246027703071869</v>
      </c>
      <c r="N354" s="273">
        <f t="shared" si="168"/>
        <v>0.61531558638418415</v>
      </c>
      <c r="O354" s="270">
        <f t="shared" si="169"/>
        <v>7658.9055203668468</v>
      </c>
      <c r="P354" s="273">
        <f t="shared" si="170"/>
        <v>1.5706657598359255</v>
      </c>
      <c r="Q354" s="271">
        <f t="shared" si="171"/>
        <v>1.0353028737583447</v>
      </c>
      <c r="R354" s="272">
        <f t="shared" si="172"/>
        <v>0.26189559447785765</v>
      </c>
      <c r="S354" s="270">
        <f t="shared" si="173"/>
        <v>1.0000018804343527</v>
      </c>
      <c r="T354" s="273">
        <f t="shared" si="174"/>
        <v>1.9392944108149459E-3</v>
      </c>
      <c r="U354" s="274">
        <f t="shared" si="175"/>
        <v>1.0172127633552823</v>
      </c>
      <c r="V354" s="275">
        <f t="shared" si="176"/>
        <v>0.26903664555151907</v>
      </c>
      <c r="W354" s="276">
        <f t="shared" si="177"/>
        <v>-18.456945719917591</v>
      </c>
      <c r="X354" s="277">
        <f t="shared" si="186"/>
        <v>-155.12056727049318</v>
      </c>
      <c r="Y354" s="299">
        <f t="shared" si="185"/>
        <v>24.879432729506817</v>
      </c>
      <c r="AB354" s="278">
        <f t="shared" si="178"/>
        <v>-2.6560891910867253</v>
      </c>
      <c r="AC354" s="279">
        <f t="shared" si="179"/>
        <v>-39.167027713559726</v>
      </c>
      <c r="AF354" s="278">
        <f t="shared" si="180"/>
        <v>46.002676078150898</v>
      </c>
      <c r="AG354" s="279">
        <f t="shared" si="181"/>
        <v>-115.95353955693346</v>
      </c>
      <c r="AI354">
        <f t="shared" si="182"/>
        <v>0</v>
      </c>
      <c r="AJ354">
        <f t="shared" si="187"/>
        <v>0</v>
      </c>
      <c r="AK354">
        <f t="shared" si="183"/>
        <v>0</v>
      </c>
      <c r="AL354">
        <f t="shared" si="184"/>
        <v>0</v>
      </c>
      <c r="AM354"/>
      <c r="AN354"/>
    </row>
    <row r="355" spans="2:40" x14ac:dyDescent="0.2">
      <c r="B355" s="280">
        <v>27863</v>
      </c>
      <c r="C355" s="270">
        <f t="shared" si="157"/>
        <v>22.780849830398068</v>
      </c>
      <c r="D355" s="271">
        <f t="shared" si="158"/>
        <v>1.5268856984836412</v>
      </c>
      <c r="E355" s="271">
        <f t="shared" si="159"/>
        <v>1.0010353982132603</v>
      </c>
      <c r="F355" s="272">
        <f t="shared" si="160"/>
        <v>4.5486385376976933E-2</v>
      </c>
      <c r="G355" s="271">
        <f t="shared" si="161"/>
        <v>1.0389927732041302</v>
      </c>
      <c r="H355" s="272">
        <f t="shared" si="162"/>
        <v>-0.27483274371996147</v>
      </c>
      <c r="I355" s="270">
        <f t="shared" si="163"/>
        <v>98053.005389854341</v>
      </c>
      <c r="J355" s="273">
        <f t="shared" si="164"/>
        <v>1.5707861282293754</v>
      </c>
      <c r="K355" s="281">
        <f t="shared" si="165"/>
        <v>14.739706049170804</v>
      </c>
      <c r="L355" s="282">
        <f t="shared" si="166"/>
        <v>1.5029002151805524</v>
      </c>
      <c r="M355" s="270">
        <f t="shared" si="167"/>
        <v>1.2269712240810668</v>
      </c>
      <c r="N355" s="273">
        <f t="shared" si="168"/>
        <v>0.61804117801555403</v>
      </c>
      <c r="O355" s="270">
        <f t="shared" si="169"/>
        <v>7703.2789276450067</v>
      </c>
      <c r="P355" s="273">
        <f t="shared" si="170"/>
        <v>1.5706665119443373</v>
      </c>
      <c r="Q355" s="271">
        <f t="shared" si="171"/>
        <v>1.0357060542133825</v>
      </c>
      <c r="R355" s="272">
        <f t="shared" si="172"/>
        <v>0.26334393887404828</v>
      </c>
      <c r="S355" s="270">
        <f t="shared" si="173"/>
        <v>1.0000019022868007</v>
      </c>
      <c r="T355" s="273">
        <f t="shared" si="174"/>
        <v>1.9505300742296296E-3</v>
      </c>
      <c r="U355" s="274">
        <f t="shared" si="175"/>
        <v>1.0174132503000815</v>
      </c>
      <c r="V355" s="275">
        <f t="shared" si="176"/>
        <v>0.27057977382157611</v>
      </c>
      <c r="W355" s="276">
        <f t="shared" si="177"/>
        <v>-18.521974478967142</v>
      </c>
      <c r="X355" s="277">
        <f t="shared" si="186"/>
        <v>-155.42849113500063</v>
      </c>
      <c r="Y355" s="299">
        <f t="shared" si="185"/>
        <v>24.571508864999373</v>
      </c>
      <c r="AB355" s="278">
        <f t="shared" si="178"/>
        <v>-2.6731042818835959</v>
      </c>
      <c r="AC355" s="279">
        <f t="shared" si="179"/>
        <v>-39.300727371674476</v>
      </c>
      <c r="AF355" s="278">
        <f t="shared" si="180"/>
        <v>45.954662409898212</v>
      </c>
      <c r="AG355" s="279">
        <f t="shared" si="181"/>
        <v>-116.12776376332612</v>
      </c>
      <c r="AI355">
        <f t="shared" si="182"/>
        <v>0</v>
      </c>
      <c r="AJ355">
        <f t="shared" si="187"/>
        <v>0</v>
      </c>
      <c r="AK355">
        <f t="shared" si="183"/>
        <v>0</v>
      </c>
      <c r="AL355">
        <f t="shared" si="184"/>
        <v>0</v>
      </c>
      <c r="AM355"/>
      <c r="AN355"/>
    </row>
    <row r="356" spans="2:40" x14ac:dyDescent="0.2">
      <c r="B356" s="280">
        <v>28023.5</v>
      </c>
      <c r="C356" s="270">
        <f t="shared" si="157"/>
        <v>22.911822846352507</v>
      </c>
      <c r="D356" s="271">
        <f t="shared" si="158"/>
        <v>1.5271368690229277</v>
      </c>
      <c r="E356" s="271">
        <f t="shared" si="159"/>
        <v>1.0010473547762717</v>
      </c>
      <c r="F356" s="272">
        <f t="shared" si="160"/>
        <v>4.5748037462430911E-2</v>
      </c>
      <c r="G356" s="271">
        <f t="shared" si="161"/>
        <v>1.0394347415093197</v>
      </c>
      <c r="H356" s="272">
        <f t="shared" si="162"/>
        <v>-0.27633670784012659</v>
      </c>
      <c r="I356" s="270">
        <f t="shared" si="163"/>
        <v>98617.822795138753</v>
      </c>
      <c r="J356" s="273">
        <f t="shared" si="164"/>
        <v>1.5707861866399868</v>
      </c>
      <c r="K356" s="281">
        <f t="shared" si="165"/>
        <v>14.824221891156814</v>
      </c>
      <c r="L356" s="282">
        <f t="shared" si="166"/>
        <v>1.5032878952481592</v>
      </c>
      <c r="M356" s="270">
        <f t="shared" si="167"/>
        <v>1.229348757678677</v>
      </c>
      <c r="N356" s="273">
        <f t="shared" si="168"/>
        <v>0.62075624728276269</v>
      </c>
      <c r="O356" s="270">
        <f t="shared" si="169"/>
        <v>7747.6523349274748</v>
      </c>
      <c r="P356" s="273">
        <f t="shared" si="170"/>
        <v>1.5706672554375942</v>
      </c>
      <c r="Q356" s="271">
        <f t="shared" si="171"/>
        <v>1.0361114055770533</v>
      </c>
      <c r="R356" s="272">
        <f t="shared" si="172"/>
        <v>0.26479115305070811</v>
      </c>
      <c r="S356" s="270">
        <f t="shared" si="173"/>
        <v>1.0000019242654894</v>
      </c>
      <c r="T356" s="273">
        <f t="shared" si="174"/>
        <v>1.9617657371518429E-3</v>
      </c>
      <c r="U356" s="274">
        <f t="shared" si="175"/>
        <v>1.0176149058801325</v>
      </c>
      <c r="V356" s="275">
        <f t="shared" si="176"/>
        <v>0.27212263399828779</v>
      </c>
      <c r="W356" s="276">
        <f t="shared" si="177"/>
        <v>-18.586735452140196</v>
      </c>
      <c r="X356" s="277">
        <f t="shared" si="186"/>
        <v>-155.73581368487442</v>
      </c>
      <c r="Y356" s="299">
        <f t="shared" si="185"/>
        <v>24.264186315125585</v>
      </c>
      <c r="AB356" s="278">
        <f t="shared" si="178"/>
        <v>-2.6901471930993903</v>
      </c>
      <c r="AC356" s="279">
        <f t="shared" si="179"/>
        <v>-39.434080296777509</v>
      </c>
      <c r="AF356" s="278">
        <f t="shared" si="180"/>
        <v>45.90694434794095</v>
      </c>
      <c r="AG356" s="279">
        <f t="shared" si="181"/>
        <v>-116.30173338809691</v>
      </c>
      <c r="AI356">
        <f t="shared" si="182"/>
        <v>0</v>
      </c>
      <c r="AJ356">
        <f t="shared" si="187"/>
        <v>0</v>
      </c>
      <c r="AK356">
        <f t="shared" si="183"/>
        <v>0</v>
      </c>
      <c r="AL356">
        <f t="shared" si="184"/>
        <v>0</v>
      </c>
      <c r="AM356"/>
      <c r="AN356"/>
    </row>
    <row r="357" spans="2:40" x14ac:dyDescent="0.2">
      <c r="B357" s="280">
        <v>28184</v>
      </c>
      <c r="C357" s="270">
        <f t="shared" si="157"/>
        <v>23.042797291305433</v>
      </c>
      <c r="D357" s="271">
        <f t="shared" si="158"/>
        <v>1.5273851842888049</v>
      </c>
      <c r="E357" s="271">
        <f t="shared" si="159"/>
        <v>1.0010593798711607</v>
      </c>
      <c r="F357" s="272">
        <f t="shared" si="160"/>
        <v>4.6009683279674363E-2</v>
      </c>
      <c r="G357" s="271">
        <f t="shared" si="161"/>
        <v>1.0398790589187143</v>
      </c>
      <c r="H357" s="272">
        <f t="shared" si="162"/>
        <v>-0.27783939013534559</v>
      </c>
      <c r="I357" s="270">
        <f t="shared" si="163"/>
        <v>99182.640200423499</v>
      </c>
      <c r="J357" s="273">
        <f t="shared" si="164"/>
        <v>1.5707862443853338</v>
      </c>
      <c r="K357" s="281">
        <f t="shared" si="165"/>
        <v>14.908739935900696</v>
      </c>
      <c r="L357" s="282">
        <f t="shared" si="166"/>
        <v>1.5036711798355211</v>
      </c>
      <c r="M357" s="270">
        <f t="shared" si="167"/>
        <v>1.2317353185215489</v>
      </c>
      <c r="N357" s="273">
        <f t="shared" si="168"/>
        <v>0.62346081520458785</v>
      </c>
      <c r="O357" s="270">
        <f t="shared" si="169"/>
        <v>7792.0257422141767</v>
      </c>
      <c r="P357" s="273">
        <f t="shared" si="170"/>
        <v>1.5706679904628786</v>
      </c>
      <c r="Q357" s="271">
        <f t="shared" si="171"/>
        <v>1.0365189253024261</v>
      </c>
      <c r="R357" s="272">
        <f t="shared" si="172"/>
        <v>0.26623723227521656</v>
      </c>
      <c r="S357" s="270">
        <f t="shared" si="173"/>
        <v>1.0000019463704184</v>
      </c>
      <c r="T357" s="273">
        <f t="shared" si="174"/>
        <v>1.973001399578748E-3</v>
      </c>
      <c r="U357" s="274">
        <f t="shared" si="175"/>
        <v>1.0178177302693892</v>
      </c>
      <c r="V357" s="275">
        <f t="shared" si="176"/>
        <v>0.27366522459773091</v>
      </c>
      <c r="W357" s="276">
        <f t="shared" si="177"/>
        <v>-18.651231410337367</v>
      </c>
      <c r="X357" s="277">
        <f t="shared" si="186"/>
        <v>-156.04253423155575</v>
      </c>
      <c r="Y357" s="299">
        <f t="shared" si="185"/>
        <v>23.957465768444251</v>
      </c>
      <c r="AB357" s="278">
        <f t="shared" si="178"/>
        <v>-2.7072173968407656</v>
      </c>
      <c r="AC357" s="279">
        <f t="shared" si="179"/>
        <v>-39.567083343460986</v>
      </c>
      <c r="AF357" s="278">
        <f t="shared" si="180"/>
        <v>45.859518593485156</v>
      </c>
      <c r="AG357" s="279">
        <f t="shared" si="181"/>
        <v>-116.47545088809476</v>
      </c>
      <c r="AI357">
        <f t="shared" si="182"/>
        <v>0</v>
      </c>
      <c r="AJ357">
        <f t="shared" si="187"/>
        <v>0</v>
      </c>
      <c r="AK357">
        <f t="shared" si="183"/>
        <v>0</v>
      </c>
      <c r="AL357">
        <f t="shared" si="184"/>
        <v>0</v>
      </c>
      <c r="AM357"/>
      <c r="AN357"/>
    </row>
    <row r="358" spans="2:40" x14ac:dyDescent="0.2">
      <c r="B358" s="280">
        <v>28348</v>
      </c>
      <c r="C358" s="270">
        <f t="shared" si="157"/>
        <v>23.17662932767718</v>
      </c>
      <c r="D358" s="271">
        <f t="shared" si="158"/>
        <v>1.5276360155136841</v>
      </c>
      <c r="E358" s="271">
        <f t="shared" si="159"/>
        <v>1.0010717379828331</v>
      </c>
      <c r="F358" s="272">
        <f t="shared" si="160"/>
        <v>4.6277028257171733E-2</v>
      </c>
      <c r="G358" s="271">
        <f t="shared" si="161"/>
        <v>1.0403354888637093</v>
      </c>
      <c r="H358" s="272">
        <f t="shared" si="162"/>
        <v>-0.27937351179750169</v>
      </c>
      <c r="I358" s="270">
        <f t="shared" si="163"/>
        <v>99759.774496166501</v>
      </c>
      <c r="J358" s="273">
        <f t="shared" si="164"/>
        <v>1.5707863027144988</v>
      </c>
      <c r="K358" s="281">
        <f t="shared" si="165"/>
        <v>14.995103289852246</v>
      </c>
      <c r="L358" s="282">
        <f t="shared" si="166"/>
        <v>1.5040583595654857</v>
      </c>
      <c r="M358" s="270">
        <f t="shared" si="167"/>
        <v>1.2341831929345015</v>
      </c>
      <c r="N358" s="273">
        <f t="shared" si="168"/>
        <v>0.62621353624103038</v>
      </c>
      <c r="O358" s="270">
        <f t="shared" si="169"/>
        <v>7837.3667939008374</v>
      </c>
      <c r="P358" s="273">
        <f t="shared" si="170"/>
        <v>1.5706687329194267</v>
      </c>
      <c r="Q358" s="271">
        <f t="shared" si="171"/>
        <v>1.0369375688957496</v>
      </c>
      <c r="R358" s="272">
        <f t="shared" si="172"/>
        <v>0.26771366869457047</v>
      </c>
      <c r="S358" s="270">
        <f t="shared" si="173"/>
        <v>1.0000019690877859</v>
      </c>
      <c r="T358" s="273">
        <f t="shared" si="174"/>
        <v>1.984482075936521E-3</v>
      </c>
      <c r="U358" s="274">
        <f t="shared" si="175"/>
        <v>1.0180261851214465</v>
      </c>
      <c r="V358" s="275">
        <f t="shared" si="176"/>
        <v>0.27524117424233979</v>
      </c>
      <c r="W358" s="276">
        <f t="shared" si="177"/>
        <v>-18.716862903991501</v>
      </c>
      <c r="X358" s="277">
        <f t="shared" si="186"/>
        <v>-156.35532089822919</v>
      </c>
      <c r="Y358" s="299">
        <f t="shared" si="185"/>
        <v>23.644679101770805</v>
      </c>
      <c r="AB358" s="278">
        <f t="shared" si="178"/>
        <v>-2.7246874931974192</v>
      </c>
      <c r="AC358" s="279">
        <f t="shared" si="179"/>
        <v>-39.702622218600993</v>
      </c>
      <c r="AF358" s="278">
        <f t="shared" si="180"/>
        <v>45.811357196187679</v>
      </c>
      <c r="AG358" s="279">
        <f t="shared" si="181"/>
        <v>-116.6526986796282</v>
      </c>
      <c r="AI358">
        <f t="shared" si="182"/>
        <v>0</v>
      </c>
      <c r="AJ358">
        <f t="shared" si="187"/>
        <v>0</v>
      </c>
      <c r="AK358">
        <f t="shared" si="183"/>
        <v>0</v>
      </c>
      <c r="AL358">
        <f t="shared" si="184"/>
        <v>0</v>
      </c>
      <c r="AM358"/>
      <c r="AN358"/>
    </row>
    <row r="359" spans="2:40" x14ac:dyDescent="0.2">
      <c r="B359" s="280">
        <v>28512</v>
      </c>
      <c r="C359" s="270">
        <f t="shared" si="157"/>
        <v>23.310462805492964</v>
      </c>
      <c r="D359" s="271">
        <f t="shared" si="158"/>
        <v>1.5278839665353374</v>
      </c>
      <c r="E359" s="271">
        <f t="shared" si="159"/>
        <v>1.0010841676426738</v>
      </c>
      <c r="F359" s="272">
        <f t="shared" si="160"/>
        <v>4.6544366614959601E-2</v>
      </c>
      <c r="G359" s="271">
        <f t="shared" si="161"/>
        <v>1.0407943651178775</v>
      </c>
      <c r="H359" s="272">
        <f t="shared" si="162"/>
        <v>-0.28090628430538217</v>
      </c>
      <c r="I359" s="270">
        <f t="shared" si="163"/>
        <v>100336.90879190984</v>
      </c>
      <c r="J359" s="273">
        <f t="shared" si="164"/>
        <v>1.5707863603726493</v>
      </c>
      <c r="K359" s="281">
        <f t="shared" si="165"/>
        <v>15.081468865946832</v>
      </c>
      <c r="L359" s="282">
        <f t="shared" si="166"/>
        <v>1.5044411049035238</v>
      </c>
      <c r="M359" s="270">
        <f t="shared" si="167"/>
        <v>1.2366403822724683</v>
      </c>
      <c r="N359" s="273">
        <f t="shared" si="168"/>
        <v>0.62895533873860943</v>
      </c>
      <c r="O359" s="270">
        <f t="shared" si="169"/>
        <v>7882.707845591769</v>
      </c>
      <c r="P359" s="273">
        <f t="shared" si="170"/>
        <v>1.570669466834808</v>
      </c>
      <c r="Q359" s="271">
        <f t="shared" si="171"/>
        <v>1.0373584710451635</v>
      </c>
      <c r="R359" s="272">
        <f t="shared" si="172"/>
        <v>0.2691889102166497</v>
      </c>
      <c r="S359" s="270">
        <f t="shared" si="173"/>
        <v>1.0000019919369598</v>
      </c>
      <c r="T359" s="273">
        <f t="shared" si="174"/>
        <v>1.9959627517711601E-3</v>
      </c>
      <c r="U359" s="274">
        <f t="shared" si="175"/>
        <v>1.0182358606844595</v>
      </c>
      <c r="V359" s="275">
        <f t="shared" si="176"/>
        <v>0.27681683929509471</v>
      </c>
      <c r="W359" s="276">
        <f t="shared" si="177"/>
        <v>-18.782223381853903</v>
      </c>
      <c r="X359" s="277">
        <f t="shared" si="186"/>
        <v>-156.66747776123751</v>
      </c>
      <c r="Y359" s="299">
        <f t="shared" si="185"/>
        <v>23.332522238762493</v>
      </c>
      <c r="AB359" s="278">
        <f t="shared" si="178"/>
        <v>-2.7421849792780026</v>
      </c>
      <c r="AC359" s="279">
        <f t="shared" si="179"/>
        <v>-39.837789541041495</v>
      </c>
      <c r="AF359" s="278">
        <f t="shared" si="180"/>
        <v>45.763494204405859</v>
      </c>
      <c r="AG359" s="279">
        <f t="shared" si="181"/>
        <v>-116.82968822019603</v>
      </c>
      <c r="AI359">
        <f t="shared" si="182"/>
        <v>0</v>
      </c>
      <c r="AJ359">
        <f t="shared" si="187"/>
        <v>0</v>
      </c>
      <c r="AK359">
        <f t="shared" si="183"/>
        <v>0</v>
      </c>
      <c r="AL359">
        <f t="shared" si="184"/>
        <v>0</v>
      </c>
      <c r="AM359"/>
      <c r="AN359"/>
    </row>
    <row r="360" spans="2:40" x14ac:dyDescent="0.2">
      <c r="B360" s="280">
        <v>28676</v>
      </c>
      <c r="C360" s="270">
        <f t="shared" si="157"/>
        <v>23.444297700067029</v>
      </c>
      <c r="D360" s="271">
        <f t="shared" si="158"/>
        <v>1.5281290866490838</v>
      </c>
      <c r="E360" s="271">
        <f t="shared" si="159"/>
        <v>1.0010966688480176</v>
      </c>
      <c r="F360" s="272">
        <f t="shared" si="160"/>
        <v>4.6811698315072023E-2</v>
      </c>
      <c r="G360" s="271">
        <f t="shared" si="161"/>
        <v>1.0412556844469896</v>
      </c>
      <c r="H360" s="272">
        <f t="shared" si="162"/>
        <v>-0.28243770224529618</v>
      </c>
      <c r="I360" s="270">
        <f t="shared" si="163"/>
        <v>100914.0430876535</v>
      </c>
      <c r="J360" s="273">
        <f t="shared" si="164"/>
        <v>1.570786417371298</v>
      </c>
      <c r="K360" s="281">
        <f t="shared" si="165"/>
        <v>15.167836626225846</v>
      </c>
      <c r="L360" s="282">
        <f t="shared" si="166"/>
        <v>1.5048194914866504</v>
      </c>
      <c r="M360" s="270">
        <f t="shared" si="167"/>
        <v>1.2391068311200486</v>
      </c>
      <c r="N360" s="273">
        <f t="shared" si="168"/>
        <v>0.63168624655240357</v>
      </c>
      <c r="O360" s="270">
        <f t="shared" si="169"/>
        <v>7928.048897286898</v>
      </c>
      <c r="P360" s="273">
        <f t="shared" si="170"/>
        <v>1.5706701923555653</v>
      </c>
      <c r="Q360" s="271">
        <f t="shared" si="171"/>
        <v>1.0377816290026012</v>
      </c>
      <c r="R360" s="272">
        <f t="shared" si="172"/>
        <v>0.27066295187800282</v>
      </c>
      <c r="S360" s="270">
        <f t="shared" si="173"/>
        <v>1.0000020149179396</v>
      </c>
      <c r="T360" s="273">
        <f t="shared" si="174"/>
        <v>2.0074434270796393E-3</v>
      </c>
      <c r="U360" s="274">
        <f t="shared" si="175"/>
        <v>1.0184467571466667</v>
      </c>
      <c r="V360" s="275">
        <f t="shared" si="176"/>
        <v>0.27839221817627513</v>
      </c>
      <c r="W360" s="276">
        <f t="shared" si="177"/>
        <v>-18.847315634994871</v>
      </c>
      <c r="X360" s="277">
        <f t="shared" si="186"/>
        <v>-156.97900428025</v>
      </c>
      <c r="Y360" s="299">
        <f t="shared" si="185"/>
        <v>23.020995719750005</v>
      </c>
      <c r="AB360" s="278">
        <f t="shared" si="178"/>
        <v>-2.759709300436298</v>
      </c>
      <c r="AC360" s="279">
        <f t="shared" si="179"/>
        <v>-39.972582344555683</v>
      </c>
      <c r="AF360" s="278">
        <f t="shared" si="180"/>
        <v>45.715926272423182</v>
      </c>
      <c r="AG360" s="279">
        <f t="shared" si="181"/>
        <v>-117.00642193569432</v>
      </c>
      <c r="AI360">
        <f t="shared" si="182"/>
        <v>0</v>
      </c>
      <c r="AJ360">
        <f t="shared" si="187"/>
        <v>0</v>
      </c>
      <c r="AK360">
        <f t="shared" si="183"/>
        <v>0</v>
      </c>
      <c r="AL360">
        <f t="shared" si="184"/>
        <v>0</v>
      </c>
      <c r="AM360"/>
      <c r="AN360"/>
    </row>
    <row r="361" spans="2:40" x14ac:dyDescent="0.2">
      <c r="B361" s="280">
        <v>28840</v>
      </c>
      <c r="C361" s="270">
        <f t="shared" si="157"/>
        <v>23.57813398727383</v>
      </c>
      <c r="D361" s="271">
        <f t="shared" si="158"/>
        <v>1.5283714240323625</v>
      </c>
      <c r="E361" s="271">
        <f t="shared" si="159"/>
        <v>1.0011092415961844</v>
      </c>
      <c r="F361" s="272">
        <f t="shared" si="160"/>
        <v>4.7079023319548732E-2</v>
      </c>
      <c r="G361" s="271">
        <f t="shared" si="161"/>
        <v>1.0417194436053414</v>
      </c>
      <c r="H361" s="272">
        <f t="shared" si="162"/>
        <v>-0.28396776023853149</v>
      </c>
      <c r="I361" s="270">
        <f t="shared" si="163"/>
        <v>101491.17738339749</v>
      </c>
      <c r="J361" s="273">
        <f t="shared" si="164"/>
        <v>1.5707864737216957</v>
      </c>
      <c r="K361" s="281">
        <f t="shared" si="165"/>
        <v>15.2542065335894</v>
      </c>
      <c r="L361" s="282">
        <f t="shared" si="166"/>
        <v>1.5051935932438989</v>
      </c>
      <c r="M361" s="270">
        <f t="shared" si="167"/>
        <v>1.2415824842941836</v>
      </c>
      <c r="N361" s="273">
        <f t="shared" si="168"/>
        <v>0.63440628399830024</v>
      </c>
      <c r="O361" s="270">
        <f t="shared" si="169"/>
        <v>7973.3899489861524</v>
      </c>
      <c r="P361" s="273">
        <f t="shared" si="170"/>
        <v>1.5706709096249074</v>
      </c>
      <c r="Q361" s="271">
        <f t="shared" si="171"/>
        <v>1.0382070400097596</v>
      </c>
      <c r="R361" s="272">
        <f t="shared" si="172"/>
        <v>0.2721357887441051</v>
      </c>
      <c r="S361" s="270">
        <f t="shared" si="173"/>
        <v>1.0000020380307257</v>
      </c>
      <c r="T361" s="273">
        <f t="shared" si="174"/>
        <v>2.0189241018589324E-3</v>
      </c>
      <c r="U361" s="274">
        <f t="shared" si="175"/>
        <v>1.0186588746971967</v>
      </c>
      <c r="V361" s="275">
        <f t="shared" si="176"/>
        <v>0.27996730930732433</v>
      </c>
      <c r="W361" s="276">
        <f t="shared" si="177"/>
        <v>-18.912142401654027</v>
      </c>
      <c r="X361" s="277">
        <f t="shared" si="186"/>
        <v>-157.28989997720413</v>
      </c>
      <c r="Y361" s="299">
        <f t="shared" si="185"/>
        <v>22.710100022795871</v>
      </c>
      <c r="AB361" s="278">
        <f t="shared" si="178"/>
        <v>-2.7772599050830937</v>
      </c>
      <c r="AC361" s="279">
        <f t="shared" si="179"/>
        <v>-40.106997787164303</v>
      </c>
      <c r="AF361" s="278">
        <f t="shared" si="180"/>
        <v>45.668650110410823</v>
      </c>
      <c r="AG361" s="279">
        <f t="shared" si="181"/>
        <v>-117.18290219003985</v>
      </c>
      <c r="AI361">
        <f t="shared" si="182"/>
        <v>0</v>
      </c>
      <c r="AJ361">
        <f t="shared" si="187"/>
        <v>0</v>
      </c>
      <c r="AK361">
        <f t="shared" si="183"/>
        <v>0</v>
      </c>
      <c r="AL361">
        <f t="shared" si="184"/>
        <v>0</v>
      </c>
      <c r="AM361"/>
      <c r="AN361"/>
    </row>
    <row r="362" spans="2:40" x14ac:dyDescent="0.2">
      <c r="B362" s="280">
        <v>29008</v>
      </c>
      <c r="C362" s="270">
        <f t="shared" si="157"/>
        <v>23.715235993519325</v>
      </c>
      <c r="D362" s="271">
        <f t="shared" si="158"/>
        <v>1.5286168359362535</v>
      </c>
      <c r="E362" s="271">
        <f t="shared" si="159"/>
        <v>1.0011221951754508</v>
      </c>
      <c r="F362" s="272">
        <f t="shared" si="160"/>
        <v>4.7352861463822005E-2</v>
      </c>
      <c r="G362" s="271">
        <f t="shared" si="161"/>
        <v>1.0421970403749334</v>
      </c>
      <c r="H362" s="272">
        <f t="shared" si="162"/>
        <v>-0.2855337210284678</v>
      </c>
      <c r="I362" s="270">
        <f t="shared" si="163"/>
        <v>102082.38812537947</v>
      </c>
      <c r="J362" s="273">
        <f t="shared" si="164"/>
        <v>1.5707865307858262</v>
      </c>
      <c r="K362" s="281">
        <f t="shared" si="165"/>
        <v>15.342685212431062</v>
      </c>
      <c r="L362" s="282">
        <f t="shared" si="166"/>
        <v>1.5055724521052483</v>
      </c>
      <c r="M362" s="270">
        <f t="shared" si="167"/>
        <v>1.2441280056237063</v>
      </c>
      <c r="N362" s="273">
        <f t="shared" si="168"/>
        <v>0.63718141841447606</v>
      </c>
      <c r="O362" s="270">
        <f t="shared" si="169"/>
        <v>8019.8368799993486</v>
      </c>
      <c r="P362" s="273">
        <f t="shared" si="170"/>
        <v>1.5706716359791664</v>
      </c>
      <c r="Q362" s="271">
        <f t="shared" si="171"/>
        <v>1.0386451601496938</v>
      </c>
      <c r="R362" s="272">
        <f t="shared" si="172"/>
        <v>0.2736432941014646</v>
      </c>
      <c r="S362" s="270">
        <f t="shared" si="173"/>
        <v>1.0000020618439061</v>
      </c>
      <c r="T362" s="273">
        <f t="shared" si="174"/>
        <v>2.0306847925443882E-3</v>
      </c>
      <c r="U362" s="274">
        <f t="shared" si="175"/>
        <v>1.0188774321706378</v>
      </c>
      <c r="V362" s="275">
        <f t="shared" si="176"/>
        <v>0.28158051728321082</v>
      </c>
      <c r="W362" s="276">
        <f t="shared" si="177"/>
        <v>-18.978277838765361</v>
      </c>
      <c r="X362" s="277">
        <f t="shared" si="186"/>
        <v>-157.60772397162012</v>
      </c>
      <c r="Y362" s="299">
        <f t="shared" si="185"/>
        <v>22.392276028379882</v>
      </c>
      <c r="AB362" s="278">
        <f t="shared" si="178"/>
        <v>-2.7952652528742683</v>
      </c>
      <c r="AC362" s="279">
        <f t="shared" si="179"/>
        <v>-40.244297532540074</v>
      </c>
      <c r="AF362" s="278">
        <f t="shared" si="180"/>
        <v>45.620520021090663</v>
      </c>
      <c r="AG362" s="279">
        <f t="shared" si="181"/>
        <v>-117.36342643908002</v>
      </c>
      <c r="AI362">
        <f t="shared" si="182"/>
        <v>0</v>
      </c>
      <c r="AJ362">
        <f t="shared" si="187"/>
        <v>0</v>
      </c>
      <c r="AK362">
        <f t="shared" si="183"/>
        <v>0</v>
      </c>
      <c r="AL362">
        <f t="shared" si="184"/>
        <v>0</v>
      </c>
      <c r="AM362"/>
      <c r="AN362"/>
    </row>
    <row r="363" spans="2:40" x14ac:dyDescent="0.2">
      <c r="B363" s="280">
        <v>29176</v>
      </c>
      <c r="C363" s="270">
        <f t="shared" si="157"/>
        <v>23.852339411642784</v>
      </c>
      <c r="D363" s="271">
        <f t="shared" si="158"/>
        <v>1.5288594265958457</v>
      </c>
      <c r="E363" s="271">
        <f t="shared" si="159"/>
        <v>1.0011352238242508</v>
      </c>
      <c r="F363" s="272">
        <f t="shared" si="160"/>
        <v>4.7626692501237848E-2</v>
      </c>
      <c r="G363" s="271">
        <f t="shared" si="161"/>
        <v>1.0426771905097718</v>
      </c>
      <c r="H363" s="272">
        <f t="shared" si="162"/>
        <v>-0.2870982434102976</v>
      </c>
      <c r="I363" s="270">
        <f t="shared" si="163"/>
        <v>102673.59886736177</v>
      </c>
      <c r="J363" s="273">
        <f t="shared" si="164"/>
        <v>1.5707865871927882</v>
      </c>
      <c r="K363" s="281">
        <f t="shared" si="165"/>
        <v>15.431166068216321</v>
      </c>
      <c r="L363" s="282">
        <f t="shared" si="166"/>
        <v>1.5059469663376401</v>
      </c>
      <c r="M363" s="270">
        <f t="shared" si="167"/>
        <v>1.2466830692740114</v>
      </c>
      <c r="N363" s="273">
        <f t="shared" si="168"/>
        <v>0.63994519882626733</v>
      </c>
      <c r="O363" s="270">
        <f t="shared" si="169"/>
        <v>8066.2838110167286</v>
      </c>
      <c r="P363" s="273">
        <f t="shared" si="170"/>
        <v>1.570672353968501</v>
      </c>
      <c r="Q363" s="271">
        <f t="shared" si="171"/>
        <v>1.0390856386923517</v>
      </c>
      <c r="R363" s="272">
        <f t="shared" si="172"/>
        <v>0.27514952478696481</v>
      </c>
      <c r="S363" s="270">
        <f t="shared" si="173"/>
        <v>1.0000020857954002</v>
      </c>
      <c r="T363" s="273">
        <f t="shared" si="174"/>
        <v>2.0424454826681007E-3</v>
      </c>
      <c r="U363" s="274">
        <f t="shared" si="175"/>
        <v>1.019097271428709</v>
      </c>
      <c r="V363" s="275">
        <f t="shared" si="176"/>
        <v>0.28319341995157149</v>
      </c>
      <c r="W363" s="276">
        <f t="shared" si="177"/>
        <v>-19.04414033366956</v>
      </c>
      <c r="X363" s="277">
        <f t="shared" si="186"/>
        <v>-157.92488517500922</v>
      </c>
      <c r="Y363" s="299">
        <f t="shared" si="185"/>
        <v>22.075114824990777</v>
      </c>
      <c r="AB363" s="278">
        <f t="shared" si="178"/>
        <v>-2.8132970203306513</v>
      </c>
      <c r="AC363" s="279">
        <f t="shared" si="179"/>
        <v>-40.381195632633862</v>
      </c>
      <c r="AF363" s="278">
        <f t="shared" si="180"/>
        <v>45.572689293642853</v>
      </c>
      <c r="AG363" s="279">
        <f t="shared" si="181"/>
        <v>-117.54368954237538</v>
      </c>
      <c r="AI363">
        <f t="shared" si="182"/>
        <v>0</v>
      </c>
      <c r="AJ363">
        <f t="shared" si="187"/>
        <v>0</v>
      </c>
      <c r="AK363">
        <f t="shared" si="183"/>
        <v>0</v>
      </c>
      <c r="AL363">
        <f t="shared" si="184"/>
        <v>0</v>
      </c>
      <c r="AM363"/>
      <c r="AN363"/>
    </row>
    <row r="364" spans="2:40" x14ac:dyDescent="0.2">
      <c r="B364" s="280">
        <v>29344</v>
      </c>
      <c r="C364" s="270">
        <f t="shared" si="157"/>
        <v>23.989444217436905</v>
      </c>
      <c r="D364" s="271">
        <f t="shared" si="158"/>
        <v>1.5290992443543825</v>
      </c>
      <c r="E364" s="271">
        <f t="shared" si="159"/>
        <v>1.0011483275396538</v>
      </c>
      <c r="F364" s="272">
        <f t="shared" si="160"/>
        <v>4.7900516391008945E-2</v>
      </c>
      <c r="G364" s="271">
        <f t="shared" si="161"/>
        <v>1.0431598904840345</v>
      </c>
      <c r="H364" s="272">
        <f t="shared" si="162"/>
        <v>-0.2886613217165</v>
      </c>
      <c r="I364" s="270">
        <f t="shared" si="163"/>
        <v>103264.8096093444</v>
      </c>
      <c r="J364" s="273">
        <f t="shared" si="164"/>
        <v>1.5707866429538688</v>
      </c>
      <c r="K364" s="281">
        <f t="shared" si="165"/>
        <v>15.519649063711499</v>
      </c>
      <c r="L364" s="282">
        <f t="shared" si="166"/>
        <v>1.5063172101458946</v>
      </c>
      <c r="M364" s="270">
        <f t="shared" si="167"/>
        <v>1.2492476166948894</v>
      </c>
      <c r="N364" s="273">
        <f t="shared" si="168"/>
        <v>0.64269765280732427</v>
      </c>
      <c r="O364" s="270">
        <f t="shared" si="169"/>
        <v>8112.7307420382185</v>
      </c>
      <c r="P364" s="273">
        <f t="shared" si="170"/>
        <v>1.5706730637365838</v>
      </c>
      <c r="Q364" s="271">
        <f t="shared" si="171"/>
        <v>1.0395284726397618</v>
      </c>
      <c r="R364" s="272">
        <f t="shared" si="172"/>
        <v>0.27665447559084816</v>
      </c>
      <c r="S364" s="270">
        <f t="shared" si="173"/>
        <v>1.0000021098852088</v>
      </c>
      <c r="T364" s="273">
        <f t="shared" si="174"/>
        <v>2.0542061722268151E-3</v>
      </c>
      <c r="U364" s="274">
        <f t="shared" si="175"/>
        <v>1.0193183926775973</v>
      </c>
      <c r="V364" s="275">
        <f t="shared" si="176"/>
        <v>0.28480601561935076</v>
      </c>
      <c r="W364" s="276">
        <f t="shared" si="177"/>
        <v>-19.109732666095947</v>
      </c>
      <c r="X364" s="277">
        <f t="shared" si="186"/>
        <v>-158.24138326671988</v>
      </c>
      <c r="Y364" s="299">
        <f t="shared" si="185"/>
        <v>21.758616733280121</v>
      </c>
      <c r="AB364" s="278">
        <f t="shared" si="178"/>
        <v>-2.8313546250140114</v>
      </c>
      <c r="AC364" s="279">
        <f t="shared" si="179"/>
        <v>-40.517689416323151</v>
      </c>
      <c r="AF364" s="278">
        <f t="shared" si="180"/>
        <v>45.525154565899825</v>
      </c>
      <c r="AG364" s="279">
        <f t="shared" si="181"/>
        <v>-117.72369385039677</v>
      </c>
      <c r="AI364">
        <f t="shared" si="182"/>
        <v>0</v>
      </c>
      <c r="AJ364">
        <f t="shared" si="187"/>
        <v>0</v>
      </c>
      <c r="AK364">
        <f t="shared" si="183"/>
        <v>0</v>
      </c>
      <c r="AL364">
        <f t="shared" si="184"/>
        <v>0</v>
      </c>
      <c r="AM364"/>
      <c r="AN364"/>
    </row>
    <row r="365" spans="2:40" x14ac:dyDescent="0.2">
      <c r="B365" s="280">
        <v>29512</v>
      </c>
      <c r="C365" s="270">
        <f t="shared" si="157"/>
        <v>24.126550387244393</v>
      </c>
      <c r="D365" s="271">
        <f t="shared" si="158"/>
        <v>1.5293363364575017</v>
      </c>
      <c r="E365" s="271">
        <f t="shared" si="159"/>
        <v>1.0011615063187123</v>
      </c>
      <c r="F365" s="272">
        <f t="shared" si="160"/>
        <v>4.8174333092354416E-2</v>
      </c>
      <c r="G365" s="271">
        <f t="shared" si="161"/>
        <v>1.0436451367597157</v>
      </c>
      <c r="H365" s="272">
        <f t="shared" si="162"/>
        <v>-0.29022295031823669</v>
      </c>
      <c r="I365" s="270">
        <f t="shared" si="163"/>
        <v>103856.02035132734</v>
      </c>
      <c r="J365" s="273">
        <f t="shared" si="164"/>
        <v>1.5707866980800986</v>
      </c>
      <c r="K365" s="281">
        <f t="shared" si="165"/>
        <v>15.608134162526362</v>
      </c>
      <c r="L365" s="282">
        <f t="shared" si="166"/>
        <v>1.5066832560568577</v>
      </c>
      <c r="M365" s="270">
        <f t="shared" si="167"/>
        <v>1.2518215895994913</v>
      </c>
      <c r="N365" s="273">
        <f t="shared" si="168"/>
        <v>0.64543880839223466</v>
      </c>
      <c r="O365" s="270">
        <f t="shared" si="169"/>
        <v>8159.1776730637484</v>
      </c>
      <c r="P365" s="273">
        <f t="shared" si="170"/>
        <v>1.5706737654238156</v>
      </c>
      <c r="Q365" s="271">
        <f t="shared" si="171"/>
        <v>1.0399736589830402</v>
      </c>
      <c r="R365" s="272">
        <f t="shared" si="172"/>
        <v>0.27815814133539718</v>
      </c>
      <c r="S365" s="270">
        <f t="shared" si="173"/>
        <v>1.0000021341133312</v>
      </c>
      <c r="T365" s="273">
        <f t="shared" si="174"/>
        <v>2.0659668612172783E-3</v>
      </c>
      <c r="U365" s="274">
        <f t="shared" si="175"/>
        <v>1.0195407961244531</v>
      </c>
      <c r="V365" s="275">
        <f t="shared" si="176"/>
        <v>0.28641830259480588</v>
      </c>
      <c r="W365" s="276">
        <f t="shared" si="177"/>
        <v>-19.175057563305231</v>
      </c>
      <c r="X365" s="277">
        <f t="shared" si="186"/>
        <v>-158.55721798803933</v>
      </c>
      <c r="Y365" s="299">
        <f t="shared" si="185"/>
        <v>21.442782011960674</v>
      </c>
      <c r="AB365" s="278">
        <f t="shared" si="178"/>
        <v>-2.8494374881909694</v>
      </c>
      <c r="AC365" s="279">
        <f t="shared" si="179"/>
        <v>-40.65377633502132</v>
      </c>
      <c r="AF365" s="278">
        <f t="shared" si="180"/>
        <v>45.477912531867503</v>
      </c>
      <c r="AG365" s="279">
        <f t="shared" si="181"/>
        <v>-117.90344165301802</v>
      </c>
      <c r="AI365">
        <f t="shared" si="182"/>
        <v>0</v>
      </c>
      <c r="AJ365">
        <f t="shared" si="187"/>
        <v>0</v>
      </c>
      <c r="AK365">
        <f t="shared" si="183"/>
        <v>0</v>
      </c>
      <c r="AL365">
        <f t="shared" si="184"/>
        <v>0</v>
      </c>
      <c r="AM365"/>
      <c r="AN365"/>
    </row>
    <row r="366" spans="2:40" x14ac:dyDescent="0.2">
      <c r="B366" s="280">
        <v>29684</v>
      </c>
      <c r="C366" s="270">
        <f t="shared" si="157"/>
        <v>24.266922378639038</v>
      </c>
      <c r="D366" s="271">
        <f t="shared" si="158"/>
        <v>1.5295762980524044</v>
      </c>
      <c r="E366" s="271">
        <f t="shared" si="159"/>
        <v>1.0011750766409058</v>
      </c>
      <c r="F366" s="272">
        <f t="shared" si="160"/>
        <v>4.8454661749199879E-2</v>
      </c>
      <c r="G366" s="271">
        <f t="shared" si="161"/>
        <v>1.0441445707735142</v>
      </c>
      <c r="H366" s="272">
        <f t="shared" si="162"/>
        <v>-0.29182025282573598</v>
      </c>
      <c r="I366" s="270">
        <f t="shared" si="163"/>
        <v>104461.3075395483</v>
      </c>
      <c r="J366" s="273">
        <f t="shared" si="164"/>
        <v>1.5707867538724092</v>
      </c>
      <c r="K366" s="281">
        <f t="shared" si="165"/>
        <v>15.69872819130417</v>
      </c>
      <c r="L366" s="282">
        <f t="shared" si="166"/>
        <v>1.5070537423556576</v>
      </c>
      <c r="M366" s="270">
        <f t="shared" si="167"/>
        <v>1.2544665517671629</v>
      </c>
      <c r="N366" s="273">
        <f t="shared" si="168"/>
        <v>0.64823355421989459</v>
      </c>
      <c r="O366" s="270">
        <f t="shared" si="169"/>
        <v>8206.7304834035258</v>
      </c>
      <c r="P366" s="273">
        <f t="shared" si="170"/>
        <v>1.570674475589414</v>
      </c>
      <c r="Q366" s="271">
        <f t="shared" si="171"/>
        <v>1.0404318789246423</v>
      </c>
      <c r="R366" s="272">
        <f t="shared" si="172"/>
        <v>0.27969627195376123</v>
      </c>
      <c r="S366" s="270">
        <f t="shared" si="173"/>
        <v>1.0000021590616068</v>
      </c>
      <c r="T366" s="273">
        <f t="shared" si="174"/>
        <v>2.0780075660201728E-3</v>
      </c>
      <c r="U366" s="274">
        <f t="shared" si="175"/>
        <v>1.0197698234629795</v>
      </c>
      <c r="V366" s="275">
        <f t="shared" si="176"/>
        <v>0.28806865578567814</v>
      </c>
      <c r="W366" s="276">
        <f t="shared" si="177"/>
        <v>-19.241663547089235</v>
      </c>
      <c r="X366" s="277">
        <f t="shared" si="186"/>
        <v>-158.87988512669895</v>
      </c>
      <c r="Y366" s="299">
        <f t="shared" si="185"/>
        <v>21.120114873301048</v>
      </c>
      <c r="AB366" s="278">
        <f t="shared" si="178"/>
        <v>-2.8679764631160296</v>
      </c>
      <c r="AC366" s="279">
        <f t="shared" si="179"/>
        <v>-40.792679371133303</v>
      </c>
      <c r="AF366" s="278">
        <f t="shared" si="180"/>
        <v>45.429845523008552</v>
      </c>
      <c r="AG366" s="279">
        <f t="shared" si="181"/>
        <v>-118.08720575556565</v>
      </c>
      <c r="AI366">
        <f t="shared" si="182"/>
        <v>0</v>
      </c>
      <c r="AJ366">
        <f t="shared" si="187"/>
        <v>0</v>
      </c>
      <c r="AK366">
        <f t="shared" si="183"/>
        <v>0</v>
      </c>
      <c r="AL366">
        <f t="shared" si="184"/>
        <v>0</v>
      </c>
      <c r="AM366"/>
      <c r="AN366"/>
    </row>
    <row r="367" spans="2:40" x14ac:dyDescent="0.2">
      <c r="B367" s="280">
        <v>29856</v>
      </c>
      <c r="C367" s="270">
        <f t="shared" si="157"/>
        <v>24.407295751288352</v>
      </c>
      <c r="D367" s="271">
        <f t="shared" si="158"/>
        <v>1.529813499484638</v>
      </c>
      <c r="E367" s="271">
        <f t="shared" si="159"/>
        <v>1.0011887256374612</v>
      </c>
      <c r="F367" s="272">
        <f t="shared" si="160"/>
        <v>4.8734982784749713E-2</v>
      </c>
      <c r="G367" s="271">
        <f t="shared" si="161"/>
        <v>1.0446466662407556</v>
      </c>
      <c r="H367" s="272">
        <f t="shared" si="162"/>
        <v>-0.29341602395716176</v>
      </c>
      <c r="I367" s="270">
        <f t="shared" si="163"/>
        <v>105066.59472776958</v>
      </c>
      <c r="J367" s="273">
        <f t="shared" si="164"/>
        <v>1.5707868090218822</v>
      </c>
      <c r="K367" s="281">
        <f t="shared" si="165"/>
        <v>15.78932435016358</v>
      </c>
      <c r="L367" s="282">
        <f t="shared" si="166"/>
        <v>1.5074199771435299</v>
      </c>
      <c r="M367" s="270">
        <f t="shared" si="167"/>
        <v>1.2571212708018167</v>
      </c>
      <c r="N367" s="273">
        <f t="shared" si="168"/>
        <v>0.65101651812914274</v>
      </c>
      <c r="O367" s="270">
        <f t="shared" si="169"/>
        <v>8254.2832937473941</v>
      </c>
      <c r="P367" s="273">
        <f t="shared" si="170"/>
        <v>1.5706751775725039</v>
      </c>
      <c r="Q367" s="271">
        <f t="shared" si="171"/>
        <v>1.0408925581970436</v>
      </c>
      <c r="R367" s="272">
        <f t="shared" si="172"/>
        <v>0.28123304471043414</v>
      </c>
      <c r="S367" s="270">
        <f t="shared" si="173"/>
        <v>1.0000021841548614</v>
      </c>
      <c r="T367" s="273">
        <f t="shared" si="174"/>
        <v>2.0900482702205332E-3</v>
      </c>
      <c r="U367" s="274">
        <f t="shared" si="175"/>
        <v>1.020000195225905</v>
      </c>
      <c r="V367" s="275">
        <f t="shared" si="176"/>
        <v>0.28971868182510219</v>
      </c>
      <c r="W367" s="276">
        <f t="shared" si="177"/>
        <v>-19.30799483168531</v>
      </c>
      <c r="X367" s="277">
        <f t="shared" si="186"/>
        <v>-159.20185657317307</v>
      </c>
      <c r="Y367" s="299">
        <f t="shared" si="185"/>
        <v>20.798143426826925</v>
      </c>
      <c r="AB367" s="278">
        <f t="shared" si="178"/>
        <v>-2.8865406981666992</v>
      </c>
      <c r="AC367" s="279">
        <f t="shared" si="179"/>
        <v>-40.931150909846551</v>
      </c>
      <c r="AF367" s="278">
        <f t="shared" si="180"/>
        <v>45.382078473463146</v>
      </c>
      <c r="AG367" s="279">
        <f t="shared" si="181"/>
        <v>-118.27070566332655</v>
      </c>
      <c r="AI367">
        <f t="shared" si="182"/>
        <v>0</v>
      </c>
      <c r="AJ367">
        <f t="shared" si="187"/>
        <v>0</v>
      </c>
      <c r="AK367">
        <f t="shared" si="183"/>
        <v>0</v>
      </c>
      <c r="AL367">
        <f t="shared" si="184"/>
        <v>0</v>
      </c>
      <c r="AM367"/>
      <c r="AN367"/>
    </row>
    <row r="368" spans="2:40" x14ac:dyDescent="0.2">
      <c r="B368" s="280">
        <v>30028</v>
      </c>
      <c r="C368" s="270">
        <f t="shared" si="157"/>
        <v>24.547670481496638</v>
      </c>
      <c r="D368" s="271">
        <f t="shared" si="158"/>
        <v>1.5300479880788702</v>
      </c>
      <c r="E368" s="271">
        <f t="shared" si="159"/>
        <v>1.0012024533051607</v>
      </c>
      <c r="F368" s="272">
        <f t="shared" si="160"/>
        <v>4.9015296155261318E-2</v>
      </c>
      <c r="G368" s="271">
        <f t="shared" si="161"/>
        <v>1.0451514193257172</v>
      </c>
      <c r="H368" s="272">
        <f t="shared" si="162"/>
        <v>-0.2950102577982146</v>
      </c>
      <c r="I368" s="270">
        <f t="shared" si="163"/>
        <v>105671.88191599119</v>
      </c>
      <c r="J368" s="273">
        <f t="shared" si="164"/>
        <v>1.5707868635395643</v>
      </c>
      <c r="K368" s="281">
        <f t="shared" si="165"/>
        <v>15.87992260264776</v>
      </c>
      <c r="L368" s="282">
        <f t="shared" si="166"/>
        <v>1.5077820330886347</v>
      </c>
      <c r="M368" s="270">
        <f t="shared" si="167"/>
        <v>1.2597856850221525</v>
      </c>
      <c r="N368" s="273">
        <f t="shared" si="168"/>
        <v>0.65378773163193116</v>
      </c>
      <c r="O368" s="270">
        <f t="shared" si="169"/>
        <v>8301.8361040952823</v>
      </c>
      <c r="P368" s="273">
        <f t="shared" si="170"/>
        <v>1.5706758715136939</v>
      </c>
      <c r="Q368" s="271">
        <f t="shared" si="171"/>
        <v>1.0413556935363366</v>
      </c>
      <c r="R368" s="272">
        <f t="shared" si="172"/>
        <v>0.28276845415363744</v>
      </c>
      <c r="S368" s="270">
        <f t="shared" si="173"/>
        <v>1.0000022093930947</v>
      </c>
      <c r="T368" s="273">
        <f t="shared" si="174"/>
        <v>2.1020889738148679E-3</v>
      </c>
      <c r="U368" s="274">
        <f t="shared" si="175"/>
        <v>1.0202319116386496</v>
      </c>
      <c r="V368" s="275">
        <f t="shared" si="176"/>
        <v>0.29136837890192391</v>
      </c>
      <c r="W368" s="276">
        <f t="shared" si="177"/>
        <v>-19.374054181534973</v>
      </c>
      <c r="X368" s="277">
        <f t="shared" si="186"/>
        <v>-159.52313224139175</v>
      </c>
      <c r="Y368" s="299">
        <f t="shared" si="185"/>
        <v>20.47686775860825</v>
      </c>
      <c r="AB368" s="278">
        <f t="shared" si="178"/>
        <v>-2.9051295848149383</v>
      </c>
      <c r="AC368" s="279">
        <f t="shared" si="179"/>
        <v>-41.06918859371698</v>
      </c>
      <c r="AF368" s="278">
        <f t="shared" si="180"/>
        <v>45.334608010261725</v>
      </c>
      <c r="AG368" s="279">
        <f t="shared" si="181"/>
        <v>-118.45394364767481</v>
      </c>
      <c r="AI368">
        <f t="shared" si="182"/>
        <v>0</v>
      </c>
      <c r="AJ368">
        <f t="shared" si="187"/>
        <v>0</v>
      </c>
      <c r="AK368">
        <f t="shared" si="183"/>
        <v>0</v>
      </c>
      <c r="AL368">
        <f t="shared" si="184"/>
        <v>0</v>
      </c>
      <c r="AM368"/>
      <c r="AN368"/>
    </row>
    <row r="369" spans="2:40" x14ac:dyDescent="0.2">
      <c r="B369" s="280">
        <v>30200</v>
      </c>
      <c r="C369" s="270">
        <f t="shared" si="157"/>
        <v>24.688046546106897</v>
      </c>
      <c r="D369" s="271">
        <f t="shared" si="158"/>
        <v>1.5302798100846275</v>
      </c>
      <c r="E369" s="271">
        <f t="shared" si="159"/>
        <v>1.0012162596407685</v>
      </c>
      <c r="F369" s="272">
        <f t="shared" si="160"/>
        <v>4.9295601816999324E-2</v>
      </c>
      <c r="G369" s="271">
        <f t="shared" si="161"/>
        <v>1.0456588261797994</v>
      </c>
      <c r="H369" s="272">
        <f t="shared" si="162"/>
        <v>-0.29660294847724167</v>
      </c>
      <c r="I369" s="270">
        <f t="shared" si="163"/>
        <v>106277.1691042131</v>
      </c>
      <c r="J369" s="273">
        <f t="shared" si="164"/>
        <v>1.5707869174362503</v>
      </c>
      <c r="K369" s="281">
        <f t="shared" si="165"/>
        <v>15.970522913126306</v>
      </c>
      <c r="L369" s="282">
        <f t="shared" si="166"/>
        <v>1.5081399812145939</v>
      </c>
      <c r="M369" s="270">
        <f t="shared" si="167"/>
        <v>1.2624597330432659</v>
      </c>
      <c r="N369" s="273">
        <f t="shared" si="168"/>
        <v>0.65654722669658516</v>
      </c>
      <c r="O369" s="270">
        <f t="shared" si="169"/>
        <v>8349.3889144471232</v>
      </c>
      <c r="P369" s="273">
        <f t="shared" si="170"/>
        <v>1.570676557550388</v>
      </c>
      <c r="Q369" s="271">
        <f t="shared" si="171"/>
        <v>1.0418212816670325</v>
      </c>
      <c r="R369" s="272">
        <f t="shared" si="172"/>
        <v>0.28430249486697312</v>
      </c>
      <c r="S369" s="270">
        <f t="shared" si="173"/>
        <v>1.0000022347763071</v>
      </c>
      <c r="T369" s="273">
        <f t="shared" si="174"/>
        <v>2.1141296767996872E-3</v>
      </c>
      <c r="U369" s="274">
        <f t="shared" si="175"/>
        <v>1.0204649729276756</v>
      </c>
      <c r="V369" s="275">
        <f t="shared" si="176"/>
        <v>0.29301774520646595</v>
      </c>
      <c r="W369" s="276">
        <f t="shared" si="177"/>
        <v>-19.439844309121664</v>
      </c>
      <c r="X369" s="277">
        <f t="shared" si="186"/>
        <v>-159.84371210657054</v>
      </c>
      <c r="Y369" s="299">
        <f t="shared" si="185"/>
        <v>20.156287893429464</v>
      </c>
      <c r="AB369" s="278">
        <f t="shared" si="178"/>
        <v>-2.9237425189021544</v>
      </c>
      <c r="AC369" s="279">
        <f t="shared" si="179"/>
        <v>-41.206790185659372</v>
      </c>
      <c r="AF369" s="278">
        <f t="shared" si="180"/>
        <v>45.287430816762253</v>
      </c>
      <c r="AG369" s="279">
        <f t="shared" si="181"/>
        <v>-118.63692192091118</v>
      </c>
      <c r="AI369">
        <f t="shared" si="182"/>
        <v>0</v>
      </c>
      <c r="AJ369">
        <f t="shared" si="187"/>
        <v>0</v>
      </c>
      <c r="AK369">
        <f t="shared" si="183"/>
        <v>0</v>
      </c>
      <c r="AL369">
        <f t="shared" si="184"/>
        <v>0</v>
      </c>
      <c r="AM369"/>
      <c r="AN369"/>
    </row>
    <row r="370" spans="2:40" x14ac:dyDescent="0.2">
      <c r="B370" s="280">
        <v>30375.75</v>
      </c>
      <c r="C370" s="270">
        <f t="shared" si="157"/>
        <v>24.831484490194267</v>
      </c>
      <c r="D370" s="271">
        <f t="shared" si="158"/>
        <v>1.5305139789476183</v>
      </c>
      <c r="E370" s="271">
        <f t="shared" si="159"/>
        <v>1.0012304482425347</v>
      </c>
      <c r="F370" s="272">
        <f t="shared" si="160"/>
        <v>4.9582010785830508E-2</v>
      </c>
      <c r="G370" s="271">
        <f t="shared" si="161"/>
        <v>1.0461800328530644</v>
      </c>
      <c r="H370" s="272">
        <f t="shared" si="162"/>
        <v>-0.298228763456928</v>
      </c>
      <c r="I370" s="270">
        <f t="shared" si="163"/>
        <v>106895.65296078319</v>
      </c>
      <c r="J370" s="273">
        <f t="shared" si="164"/>
        <v>1.5707869718775327</v>
      </c>
      <c r="K370" s="281">
        <f t="shared" si="165"/>
        <v>16.06310061062727</v>
      </c>
      <c r="L370" s="282">
        <f t="shared" si="166"/>
        <v>1.5085015625312057</v>
      </c>
      <c r="M370" s="270">
        <f t="shared" si="167"/>
        <v>1.2652019691232095</v>
      </c>
      <c r="N370" s="273">
        <f t="shared" si="168"/>
        <v>0.6593548144398983</v>
      </c>
      <c r="O370" s="270">
        <f t="shared" si="169"/>
        <v>8397.9784866565788</v>
      </c>
      <c r="P370" s="273">
        <f t="shared" si="170"/>
        <v>1.5706772505191058</v>
      </c>
      <c r="Q370" s="271">
        <f t="shared" si="171"/>
        <v>1.0422995508709514</v>
      </c>
      <c r="R370" s="272">
        <f t="shared" si="172"/>
        <v>0.2858685618195535</v>
      </c>
      <c r="S370" s="270">
        <f t="shared" si="173"/>
        <v>1.0000022608626868</v>
      </c>
      <c r="T370" s="273">
        <f t="shared" si="174"/>
        <v>2.1264328944779827E-3</v>
      </c>
      <c r="U370" s="274">
        <f t="shared" si="175"/>
        <v>1.0207045049095802</v>
      </c>
      <c r="V370" s="275">
        <f t="shared" si="176"/>
        <v>0.2947027279825597</v>
      </c>
      <c r="W370" s="276">
        <f t="shared" si="177"/>
        <v>-19.506793492977931</v>
      </c>
      <c r="X370" s="277">
        <f t="shared" si="186"/>
        <v>-160.17056267137974</v>
      </c>
      <c r="Y370" s="299">
        <f t="shared" si="185"/>
        <v>19.829437328620259</v>
      </c>
      <c r="AB370" s="278">
        <f t="shared" si="178"/>
        <v>-2.9427854738704684</v>
      </c>
      <c r="AC370" s="279">
        <f t="shared" si="179"/>
        <v>-41.346939149826945</v>
      </c>
      <c r="AF370" s="278">
        <f t="shared" si="180"/>
        <v>45.2395245878743</v>
      </c>
      <c r="AG370" s="279">
        <f t="shared" si="181"/>
        <v>-118.82362352155279</v>
      </c>
      <c r="AI370">
        <f t="shared" si="182"/>
        <v>0</v>
      </c>
      <c r="AJ370">
        <f t="shared" si="187"/>
        <v>0</v>
      </c>
      <c r="AK370">
        <f t="shared" si="183"/>
        <v>0</v>
      </c>
      <c r="AL370">
        <f t="shared" si="184"/>
        <v>0</v>
      </c>
      <c r="AM370"/>
      <c r="AN370"/>
    </row>
    <row r="371" spans="2:40" x14ac:dyDescent="0.2">
      <c r="B371" s="280">
        <v>30551.5</v>
      </c>
      <c r="C371" s="270">
        <f t="shared" si="157"/>
        <v>24.974923780276935</v>
      </c>
      <c r="D371" s="271">
        <f t="shared" si="158"/>
        <v>1.5307454580039237</v>
      </c>
      <c r="E371" s="271">
        <f t="shared" si="159"/>
        <v>1.0012447189730005</v>
      </c>
      <c r="F371" s="272">
        <f t="shared" si="160"/>
        <v>4.9868411613786578E-2</v>
      </c>
      <c r="G371" s="271">
        <f t="shared" si="161"/>
        <v>1.0467040021089071</v>
      </c>
      <c r="H371" s="272">
        <f t="shared" si="162"/>
        <v>-0.29985295499371789</v>
      </c>
      <c r="I371" s="270">
        <f t="shared" si="163"/>
        <v>107514.13681735359</v>
      </c>
      <c r="J371" s="273">
        <f t="shared" si="164"/>
        <v>1.5707870256924592</v>
      </c>
      <c r="K371" s="281">
        <f t="shared" si="165"/>
        <v>16.155680384166008</v>
      </c>
      <c r="L371" s="282">
        <f t="shared" si="166"/>
        <v>1.5088589998264306</v>
      </c>
      <c r="M371" s="270">
        <f t="shared" si="167"/>
        <v>1.2679541350360626</v>
      </c>
      <c r="N371" s="273">
        <f t="shared" si="168"/>
        <v>0.6621502360838748</v>
      </c>
      <c r="O371" s="270">
        <f t="shared" si="169"/>
        <v>8446.5680588700179</v>
      </c>
      <c r="P371" s="273">
        <f t="shared" si="170"/>
        <v>1.570677935515105</v>
      </c>
      <c r="Q371" s="271">
        <f t="shared" si="171"/>
        <v>1.0427803740344508</v>
      </c>
      <c r="R371" s="272">
        <f t="shared" si="172"/>
        <v>0.28743318838820964</v>
      </c>
      <c r="S371" s="270">
        <f t="shared" si="173"/>
        <v>1.0000022871004364</v>
      </c>
      <c r="T371" s="273">
        <f t="shared" si="174"/>
        <v>2.1387361115125245E-3</v>
      </c>
      <c r="U371" s="274">
        <f t="shared" si="175"/>
        <v>1.0209454415312615</v>
      </c>
      <c r="V371" s="275">
        <f t="shared" si="176"/>
        <v>0.2963873615905977</v>
      </c>
      <c r="W371" s="276">
        <f t="shared" si="177"/>
        <v>-19.573467152858044</v>
      </c>
      <c r="X371" s="277">
        <f t="shared" si="186"/>
        <v>-160.49668689867676</v>
      </c>
      <c r="Y371" s="299">
        <f t="shared" si="185"/>
        <v>19.503313101323243</v>
      </c>
      <c r="AB371" s="278">
        <f t="shared" si="178"/>
        <v>-2.961852275178503</v>
      </c>
      <c r="AC371" s="279">
        <f t="shared" si="179"/>
        <v>-41.486628446897541</v>
      </c>
      <c r="AF371" s="278">
        <f t="shared" si="180"/>
        <v>45.191917729302219</v>
      </c>
      <c r="AG371" s="279">
        <f t="shared" si="181"/>
        <v>-119.01005845177922</v>
      </c>
      <c r="AI371">
        <f t="shared" si="182"/>
        <v>0</v>
      </c>
      <c r="AJ371">
        <f t="shared" si="187"/>
        <v>0</v>
      </c>
      <c r="AK371">
        <f t="shared" si="183"/>
        <v>0</v>
      </c>
      <c r="AL371">
        <f t="shared" si="184"/>
        <v>0</v>
      </c>
      <c r="AM371"/>
      <c r="AN371"/>
    </row>
    <row r="372" spans="2:40" x14ac:dyDescent="0.2">
      <c r="B372" s="280">
        <v>30727.25</v>
      </c>
      <c r="C372" s="270">
        <f t="shared" si="157"/>
        <v>25.118364393295849</v>
      </c>
      <c r="D372" s="271">
        <f t="shared" si="158"/>
        <v>1.53097429330965</v>
      </c>
      <c r="E372" s="271">
        <f t="shared" si="159"/>
        <v>1.001259071828654</v>
      </c>
      <c r="F372" s="272">
        <f t="shared" si="160"/>
        <v>5.0154804254232313E-2</v>
      </c>
      <c r="G372" s="271">
        <f t="shared" si="161"/>
        <v>1.0472307298006533</v>
      </c>
      <c r="H372" s="272">
        <f t="shared" si="162"/>
        <v>-0.30147551696164598</v>
      </c>
      <c r="I372" s="270">
        <f t="shared" si="163"/>
        <v>108132.62067392428</v>
      </c>
      <c r="J372" s="273">
        <f t="shared" si="164"/>
        <v>1.5707870788917775</v>
      </c>
      <c r="K372" s="281">
        <f t="shared" si="165"/>
        <v>16.248262198255802</v>
      </c>
      <c r="L372" s="282">
        <f t="shared" si="166"/>
        <v>1.5092123638454478</v>
      </c>
      <c r="M372" s="270">
        <f t="shared" si="167"/>
        <v>1.2707161662625857</v>
      </c>
      <c r="N372" s="273">
        <f t="shared" si="168"/>
        <v>0.66493352713068699</v>
      </c>
      <c r="O372" s="270">
        <f t="shared" si="169"/>
        <v>8495.1576310873788</v>
      </c>
      <c r="P372" s="273">
        <f t="shared" si="170"/>
        <v>1.5706786126751904</v>
      </c>
      <c r="Q372" s="271">
        <f t="shared" si="171"/>
        <v>1.0432637476262967</v>
      </c>
      <c r="R372" s="272">
        <f t="shared" si="172"/>
        <v>0.28899636890921615</v>
      </c>
      <c r="S372" s="270">
        <f t="shared" si="173"/>
        <v>1.0000023134895553</v>
      </c>
      <c r="T372" s="273">
        <f t="shared" si="174"/>
        <v>2.1510393278995877E-3</v>
      </c>
      <c r="U372" s="274">
        <f t="shared" si="175"/>
        <v>1.0211877830376679</v>
      </c>
      <c r="V372" s="275">
        <f t="shared" si="176"/>
        <v>0.29807164410477333</v>
      </c>
      <c r="W372" s="276">
        <f t="shared" si="177"/>
        <v>-19.639868022980348</v>
      </c>
      <c r="X372" s="277">
        <f t="shared" si="186"/>
        <v>-160.82208494996183</v>
      </c>
      <c r="Y372" s="299">
        <f t="shared" si="185"/>
        <v>19.177915050038166</v>
      </c>
      <c r="AB372" s="278">
        <f t="shared" si="178"/>
        <v>-2.9809422928195595</v>
      </c>
      <c r="AC372" s="279">
        <f t="shared" si="179"/>
        <v>-41.625856058211355</v>
      </c>
      <c r="AF372" s="278">
        <f t="shared" si="180"/>
        <v>45.144606876820966</v>
      </c>
      <c r="AG372" s="279">
        <f t="shared" si="181"/>
        <v>-119.19622889175045</v>
      </c>
      <c r="AI372">
        <f t="shared" si="182"/>
        <v>0</v>
      </c>
      <c r="AJ372">
        <f t="shared" si="187"/>
        <v>0</v>
      </c>
      <c r="AK372">
        <f t="shared" si="183"/>
        <v>0</v>
      </c>
      <c r="AL372">
        <f t="shared" si="184"/>
        <v>0</v>
      </c>
      <c r="AM372"/>
      <c r="AN372"/>
    </row>
    <row r="373" spans="2:40" x14ac:dyDescent="0.2">
      <c r="B373" s="280">
        <v>30903</v>
      </c>
      <c r="C373" s="270">
        <f t="shared" si="157"/>
        <v>25.261806306715467</v>
      </c>
      <c r="D373" s="271">
        <f t="shared" si="158"/>
        <v>1.5312005298759601</v>
      </c>
      <c r="E373" s="271">
        <f t="shared" si="159"/>
        <v>1.0012735068059637</v>
      </c>
      <c r="F373" s="272">
        <f t="shared" si="160"/>
        <v>5.0441188660540565E-2</v>
      </c>
      <c r="G373" s="271">
        <f t="shared" si="161"/>
        <v>1.0477602117681584</v>
      </c>
      <c r="H373" s="272">
        <f t="shared" si="162"/>
        <v>-0.30309644328135454</v>
      </c>
      <c r="I373" s="270">
        <f t="shared" si="163"/>
        <v>108751.10453049529</v>
      </c>
      <c r="J373" s="273">
        <f t="shared" si="164"/>
        <v>1.5707871314859907</v>
      </c>
      <c r="K373" s="281">
        <f t="shared" si="165"/>
        <v>16.340846018213398</v>
      </c>
      <c r="L373" s="282">
        <f t="shared" si="166"/>
        <v>1.5095617237342482</v>
      </c>
      <c r="M373" s="270">
        <f t="shared" si="167"/>
        <v>1.2734879986130012</v>
      </c>
      <c r="N373" s="273">
        <f t="shared" si="168"/>
        <v>0.66770472352684007</v>
      </c>
      <c r="O373" s="270">
        <f t="shared" si="169"/>
        <v>8543.7472033085887</v>
      </c>
      <c r="P373" s="273">
        <f t="shared" si="170"/>
        <v>1.5706792821330535</v>
      </c>
      <c r="Q373" s="271">
        <f t="shared" si="171"/>
        <v>1.0437496681030827</v>
      </c>
      <c r="R373" s="272">
        <f t="shared" si="172"/>
        <v>0.29055809775757935</v>
      </c>
      <c r="S373" s="270">
        <f t="shared" si="173"/>
        <v>1.0000023400300437</v>
      </c>
      <c r="T373" s="273">
        <f t="shared" si="174"/>
        <v>2.1633425436354482E-3</v>
      </c>
      <c r="U373" s="274">
        <f t="shared" si="175"/>
        <v>1.0214315296748653</v>
      </c>
      <c r="V373" s="275">
        <f t="shared" si="176"/>
        <v>0.29975557360092858</v>
      </c>
      <c r="W373" s="276">
        <f t="shared" si="177"/>
        <v>-19.705998786538267</v>
      </c>
      <c r="X373" s="277">
        <f t="shared" si="186"/>
        <v>-161.14675704669983</v>
      </c>
      <c r="Y373" s="299">
        <f t="shared" si="185"/>
        <v>18.853242953300168</v>
      </c>
      <c r="AB373" s="278">
        <f t="shared" si="178"/>
        <v>-3.0000549018038729</v>
      </c>
      <c r="AC373" s="279">
        <f t="shared" si="179"/>
        <v>-41.764620082179832</v>
      </c>
      <c r="AF373" s="278">
        <f t="shared" si="180"/>
        <v>45.097588722247366</v>
      </c>
      <c r="AG373" s="279">
        <f t="shared" si="181"/>
        <v>-119.38213696451997</v>
      </c>
      <c r="AI373">
        <f t="shared" si="182"/>
        <v>0</v>
      </c>
      <c r="AJ373">
        <f t="shared" si="187"/>
        <v>0</v>
      </c>
      <c r="AK373">
        <f t="shared" si="183"/>
        <v>0</v>
      </c>
      <c r="AL373">
        <f t="shared" si="184"/>
        <v>0</v>
      </c>
      <c r="AM373"/>
      <c r="AN373"/>
    </row>
    <row r="374" spans="2:40" x14ac:dyDescent="0.2">
      <c r="B374" s="280">
        <v>31083</v>
      </c>
      <c r="C374" s="270">
        <f t="shared" si="157"/>
        <v>25.408718268441106</v>
      </c>
      <c r="D374" s="271">
        <f t="shared" si="158"/>
        <v>1.5314295895143981</v>
      </c>
      <c r="E374" s="271">
        <f t="shared" si="159"/>
        <v>1.0012883759717677</v>
      </c>
      <c r="F374" s="272">
        <f t="shared" si="160"/>
        <v>5.0734489852624333E-2</v>
      </c>
      <c r="G374" s="271">
        <f t="shared" si="161"/>
        <v>1.0483053483354761</v>
      </c>
      <c r="H374" s="272">
        <f t="shared" si="162"/>
        <v>-0.30475486520588968</v>
      </c>
      <c r="I374" s="270">
        <f t="shared" si="163"/>
        <v>109384.54461119421</v>
      </c>
      <c r="J374" s="273">
        <f t="shared" si="164"/>
        <v>1.5707871847355357</v>
      </c>
      <c r="K374" s="281">
        <f t="shared" si="165"/>
        <v>16.435670751009781</v>
      </c>
      <c r="L374" s="282">
        <f t="shared" si="166"/>
        <v>1.5099154519458338</v>
      </c>
      <c r="M374" s="270">
        <f t="shared" si="167"/>
        <v>1.276336952407692</v>
      </c>
      <c r="N374" s="273">
        <f t="shared" si="168"/>
        <v>0.67053043432410253</v>
      </c>
      <c r="O374" s="270">
        <f t="shared" si="169"/>
        <v>8593.5117723015173</v>
      </c>
      <c r="P374" s="273">
        <f t="shared" si="170"/>
        <v>1.5706799599324597</v>
      </c>
      <c r="Q374" s="271">
        <f t="shared" si="171"/>
        <v>1.0442499754439751</v>
      </c>
      <c r="R374" s="272">
        <f t="shared" si="172"/>
        <v>0.29215608186221442</v>
      </c>
      <c r="S374" s="270">
        <f t="shared" si="173"/>
        <v>1.0000023673692404</v>
      </c>
      <c r="T374" s="273">
        <f t="shared" si="174"/>
        <v>2.1759432760003823E-3</v>
      </c>
      <c r="U374" s="274">
        <f t="shared" si="175"/>
        <v>1.021682627380361</v>
      </c>
      <c r="V374" s="275">
        <f t="shared" si="176"/>
        <v>0.30147985607435779</v>
      </c>
      <c r="W374" s="276">
        <f t="shared" si="177"/>
        <v>-19.773451497627303</v>
      </c>
      <c r="X374" s="277">
        <f t="shared" si="186"/>
        <v>-161.47852818231354</v>
      </c>
      <c r="Y374" s="299">
        <f t="shared" si="185"/>
        <v>18.521471817686461</v>
      </c>
      <c r="AB374" s="278">
        <f t="shared" si="178"/>
        <v>-3.0196524630387414</v>
      </c>
      <c r="AC374" s="279">
        <f t="shared" si="179"/>
        <v>-41.906257302343128</v>
      </c>
      <c r="AF374" s="278">
        <f t="shared" si="180"/>
        <v>45.049733572393194</v>
      </c>
      <c r="AG374" s="279">
        <f t="shared" si="181"/>
        <v>-119.57227087997043</v>
      </c>
      <c r="AI374">
        <f t="shared" si="182"/>
        <v>0</v>
      </c>
      <c r="AJ374">
        <f t="shared" si="187"/>
        <v>0</v>
      </c>
      <c r="AK374">
        <f t="shared" si="183"/>
        <v>0</v>
      </c>
      <c r="AL374">
        <f t="shared" si="184"/>
        <v>0</v>
      </c>
      <c r="AM374"/>
      <c r="AN374"/>
    </row>
    <row r="375" spans="2:40" x14ac:dyDescent="0.2">
      <c r="B375" s="280">
        <v>31263</v>
      </c>
      <c r="C375" s="270">
        <f t="shared" si="157"/>
        <v>25.555631547991588</v>
      </c>
      <c r="D375" s="271">
        <f t="shared" si="158"/>
        <v>1.5316560155452665</v>
      </c>
      <c r="E375" s="271">
        <f t="shared" si="159"/>
        <v>1.0013033312714319</v>
      </c>
      <c r="F375" s="272">
        <f t="shared" si="160"/>
        <v>5.1027782308542692E-2</v>
      </c>
      <c r="G375" s="271">
        <f t="shared" si="161"/>
        <v>1.0488533651216265</v>
      </c>
      <c r="H375" s="272">
        <f t="shared" si="162"/>
        <v>-0.30641155866083319</v>
      </c>
      <c r="I375" s="270">
        <f t="shared" si="163"/>
        <v>110017.98469189343</v>
      </c>
      <c r="J375" s="273">
        <f t="shared" si="164"/>
        <v>1.5707872373719007</v>
      </c>
      <c r="K375" s="281">
        <f t="shared" si="165"/>
        <v>16.530497516703576</v>
      </c>
      <c r="L375" s="282">
        <f t="shared" si="166"/>
        <v>1.5102651218955268</v>
      </c>
      <c r="M375" s="270">
        <f t="shared" si="167"/>
        <v>1.2791960518539853</v>
      </c>
      <c r="N375" s="273">
        <f t="shared" si="168"/>
        <v>0.6733435361469291</v>
      </c>
      <c r="O375" s="270">
        <f t="shared" si="169"/>
        <v>8643.2763412983495</v>
      </c>
      <c r="P375" s="273">
        <f t="shared" si="170"/>
        <v>1.5706806299268636</v>
      </c>
      <c r="Q375" s="271">
        <f t="shared" si="171"/>
        <v>1.0447529467748702</v>
      </c>
      <c r="R375" s="272">
        <f t="shared" si="172"/>
        <v>0.29375253141771257</v>
      </c>
      <c r="S375" s="270">
        <f t="shared" si="173"/>
        <v>1.0000023948672163</v>
      </c>
      <c r="T375" s="273">
        <f t="shared" si="174"/>
        <v>2.1885440076743292E-3</v>
      </c>
      <c r="U375" s="274">
        <f t="shared" si="175"/>
        <v>1.0219351995223318</v>
      </c>
      <c r="V375" s="275">
        <f t="shared" si="176"/>
        <v>0.30320376416976125</v>
      </c>
      <c r="W375" s="276">
        <f t="shared" si="177"/>
        <v>-19.840626419446949</v>
      </c>
      <c r="X375" s="277">
        <f t="shared" si="186"/>
        <v>-161.80953848470747</v>
      </c>
      <c r="Y375" s="299">
        <f t="shared" si="185"/>
        <v>18.190461515292526</v>
      </c>
      <c r="AB375" s="278">
        <f t="shared" si="178"/>
        <v>-3.0392724107732594</v>
      </c>
      <c r="AC375" s="279">
        <f t="shared" si="179"/>
        <v>-42.047404567633244</v>
      </c>
      <c r="AF375" s="278">
        <f t="shared" si="180"/>
        <v>45.002178598308078</v>
      </c>
      <c r="AG375" s="279">
        <f t="shared" si="181"/>
        <v>-119.76213391707421</v>
      </c>
      <c r="AI375">
        <f t="shared" si="182"/>
        <v>0</v>
      </c>
      <c r="AJ375">
        <f t="shared" si="187"/>
        <v>0</v>
      </c>
      <c r="AK375">
        <f t="shared" si="183"/>
        <v>0</v>
      </c>
      <c r="AL375">
        <f t="shared" si="184"/>
        <v>0</v>
      </c>
      <c r="AM375"/>
      <c r="AN375"/>
    </row>
    <row r="376" spans="2:40" x14ac:dyDescent="0.2">
      <c r="B376" s="280">
        <v>31443</v>
      </c>
      <c r="C376" s="270">
        <f t="shared" si="157"/>
        <v>25.702546122769235</v>
      </c>
      <c r="D376" s="271">
        <f t="shared" si="158"/>
        <v>1.5318798531058873</v>
      </c>
      <c r="E376" s="271">
        <f t="shared" si="159"/>
        <v>1.0013183727010966</v>
      </c>
      <c r="F376" s="272">
        <f t="shared" si="160"/>
        <v>5.1321065978229913E-2</v>
      </c>
      <c r="G376" s="271">
        <f t="shared" si="161"/>
        <v>1.0494042576143114</v>
      </c>
      <c r="H376" s="272">
        <f t="shared" si="162"/>
        <v>-0.30806651726720952</v>
      </c>
      <c r="I376" s="270">
        <f t="shared" si="163"/>
        <v>110651.42477259296</v>
      </c>
      <c r="J376" s="273">
        <f t="shared" si="164"/>
        <v>1.570787289405617</v>
      </c>
      <c r="K376" s="281">
        <f t="shared" si="165"/>
        <v>16.625326280509352</v>
      </c>
      <c r="L376" s="282">
        <f t="shared" si="166"/>
        <v>1.510610802940521</v>
      </c>
      <c r="M376" s="270">
        <f t="shared" si="167"/>
        <v>1.2820652290752423</v>
      </c>
      <c r="N376" s="273">
        <f t="shared" si="168"/>
        <v>0.67614406897763868</v>
      </c>
      <c r="O376" s="270">
        <f t="shared" si="169"/>
        <v>8693.0409102990179</v>
      </c>
      <c r="P376" s="273">
        <f t="shared" si="170"/>
        <v>1.5706812922503082</v>
      </c>
      <c r="Q376" s="271">
        <f t="shared" si="171"/>
        <v>1.0452585782500858</v>
      </c>
      <c r="R376" s="272">
        <f t="shared" si="172"/>
        <v>0.29534744050762551</v>
      </c>
      <c r="S376" s="270">
        <f t="shared" si="173"/>
        <v>1.0000024225239708</v>
      </c>
      <c r="T376" s="273">
        <f t="shared" si="174"/>
        <v>2.2011447386532878E-3</v>
      </c>
      <c r="U376" s="274">
        <f t="shared" si="175"/>
        <v>1.0221892463687483</v>
      </c>
      <c r="V376" s="275">
        <f t="shared" si="176"/>
        <v>0.3049272958254301</v>
      </c>
      <c r="W376" s="276">
        <f t="shared" si="177"/>
        <v>-19.907526276635192</v>
      </c>
      <c r="X376" s="277">
        <f t="shared" si="186"/>
        <v>-162.13978837685954</v>
      </c>
      <c r="Y376" s="299">
        <f t="shared" si="185"/>
        <v>17.860211623140458</v>
      </c>
      <c r="AB376" s="278">
        <f t="shared" si="178"/>
        <v>-3.0589140902664198</v>
      </c>
      <c r="AC376" s="279">
        <f t="shared" si="179"/>
        <v>-42.188060195597224</v>
      </c>
      <c r="AF376" s="278">
        <f t="shared" si="180"/>
        <v>44.954920420612993</v>
      </c>
      <c r="AG376" s="279">
        <f t="shared" si="181"/>
        <v>-119.95172818126231</v>
      </c>
      <c r="AI376">
        <f t="shared" si="182"/>
        <v>0</v>
      </c>
      <c r="AJ376">
        <f t="shared" si="187"/>
        <v>0</v>
      </c>
      <c r="AK376">
        <f t="shared" si="183"/>
        <v>0</v>
      </c>
      <c r="AL376">
        <f t="shared" si="184"/>
        <v>0</v>
      </c>
      <c r="AM376"/>
      <c r="AN376"/>
    </row>
    <row r="377" spans="2:40" x14ac:dyDescent="0.2">
      <c r="B377" s="280">
        <v>31623</v>
      </c>
      <c r="C377" s="270">
        <f t="shared" si="157"/>
        <v>25.849461970689912</v>
      </c>
      <c r="D377" s="271">
        <f t="shared" si="158"/>
        <v>1.5321011463084779</v>
      </c>
      <c r="E377" s="271">
        <f t="shared" si="159"/>
        <v>1.0013335002568808</v>
      </c>
      <c r="F377" s="272">
        <f t="shared" si="160"/>
        <v>5.1614340811629307E-2</v>
      </c>
      <c r="G377" s="271">
        <f t="shared" si="161"/>
        <v>1.0499580212870496</v>
      </c>
      <c r="H377" s="272">
        <f t="shared" si="162"/>
        <v>-0.30971973469740782</v>
      </c>
      <c r="I377" s="270">
        <f t="shared" si="163"/>
        <v>111284.86485329281</v>
      </c>
      <c r="J377" s="273">
        <f t="shared" si="164"/>
        <v>1.5707873408469752</v>
      </c>
      <c r="K377" s="281">
        <f t="shared" si="165"/>
        <v>16.720157008430093</v>
      </c>
      <c r="L377" s="282">
        <f t="shared" si="166"/>
        <v>1.5109525628683975</v>
      </c>
      <c r="M377" s="270">
        <f t="shared" si="167"/>
        <v>1.2849444165628896</v>
      </c>
      <c r="N377" s="273">
        <f t="shared" si="168"/>
        <v>0.67893207323070115</v>
      </c>
      <c r="O377" s="270">
        <f t="shared" si="169"/>
        <v>8742.8054793034571</v>
      </c>
      <c r="P377" s="273">
        <f t="shared" si="170"/>
        <v>1.5706819470337836</v>
      </c>
      <c r="Q377" s="271">
        <f t="shared" si="171"/>
        <v>1.0457668660110586</v>
      </c>
      <c r="R377" s="272">
        <f t="shared" si="172"/>
        <v>0.29694080325826538</v>
      </c>
      <c r="S377" s="270">
        <f t="shared" si="173"/>
        <v>1.000002450339504</v>
      </c>
      <c r="T377" s="273">
        <f t="shared" si="174"/>
        <v>2.2137454689332568E-3</v>
      </c>
      <c r="U377" s="274">
        <f t="shared" si="175"/>
        <v>1.0224447681887909</v>
      </c>
      <c r="V377" s="275">
        <f t="shared" si="176"/>
        <v>0.30665044898151261</v>
      </c>
      <c r="W377" s="276">
        <f t="shared" si="177"/>
        <v>-19.974153743278308</v>
      </c>
      <c r="X377" s="277">
        <f t="shared" si="186"/>
        <v>-162.46927834074143</v>
      </c>
      <c r="Y377" s="299">
        <f t="shared" si="185"/>
        <v>17.530721659258575</v>
      </c>
      <c r="AB377" s="278">
        <f t="shared" si="178"/>
        <v>-3.0785768525051909</v>
      </c>
      <c r="AC377" s="279">
        <f t="shared" si="179"/>
        <v>-42.328222618460934</v>
      </c>
      <c r="AF377" s="278">
        <f t="shared" si="180"/>
        <v>44.90795571620864</v>
      </c>
      <c r="AG377" s="279">
        <f t="shared" si="181"/>
        <v>-120.14105572228051</v>
      </c>
      <c r="AI377">
        <f t="shared" si="182"/>
        <v>0</v>
      </c>
      <c r="AJ377">
        <f t="shared" si="187"/>
        <v>0</v>
      </c>
      <c r="AK377">
        <f t="shared" si="183"/>
        <v>0</v>
      </c>
      <c r="AL377">
        <f t="shared" si="184"/>
        <v>0</v>
      </c>
      <c r="AM377"/>
      <c r="AN377"/>
    </row>
    <row r="378" spans="2:40" x14ac:dyDescent="0.2">
      <c r="B378" s="280">
        <v>31807</v>
      </c>
      <c r="C378" s="270">
        <f t="shared" si="157"/>
        <v>25.999643908654143</v>
      </c>
      <c r="D378" s="271">
        <f t="shared" si="158"/>
        <v>1.5323247722279472</v>
      </c>
      <c r="E378" s="271">
        <f t="shared" si="159"/>
        <v>1.0013490529947622</v>
      </c>
      <c r="F378" s="272">
        <f t="shared" si="160"/>
        <v>5.1914123678424823E-2</v>
      </c>
      <c r="G378" s="271">
        <f t="shared" si="161"/>
        <v>1.0505270536863522</v>
      </c>
      <c r="H378" s="272">
        <f t="shared" si="162"/>
        <v>-0.31140788411267328</v>
      </c>
      <c r="I378" s="270">
        <f t="shared" si="163"/>
        <v>111932.3813802307</v>
      </c>
      <c r="J378" s="273">
        <f t="shared" si="164"/>
        <v>1.5707873928296965</v>
      </c>
      <c r="K378" s="281">
        <f t="shared" si="165"/>
        <v>16.817097081333838</v>
      </c>
      <c r="L378" s="282">
        <f t="shared" si="166"/>
        <v>1.5112979336579897</v>
      </c>
      <c r="M378" s="270">
        <f t="shared" si="167"/>
        <v>1.2878978625025268</v>
      </c>
      <c r="N378" s="273">
        <f t="shared" si="168"/>
        <v>0.68176912636236786</v>
      </c>
      <c r="O378" s="270">
        <f t="shared" si="169"/>
        <v>8793.6759276229313</v>
      </c>
      <c r="P378" s="273">
        <f t="shared" si="170"/>
        <v>1.5706826087081276</v>
      </c>
      <c r="Q378" s="271">
        <f t="shared" si="171"/>
        <v>1.0462891905090685</v>
      </c>
      <c r="R378" s="272">
        <f t="shared" si="172"/>
        <v>0.29856796973320815</v>
      </c>
      <c r="S378" s="270">
        <f t="shared" si="173"/>
        <v>1.000002478937271</v>
      </c>
      <c r="T378" s="273">
        <f t="shared" si="174"/>
        <v>2.2266262147150415E-3</v>
      </c>
      <c r="U378" s="274">
        <f t="shared" si="175"/>
        <v>1.0227074930566473</v>
      </c>
      <c r="V378" s="275">
        <f t="shared" si="176"/>
        <v>0.30841150107742121</v>
      </c>
      <c r="W378" s="276">
        <f t="shared" si="177"/>
        <v>-20.041983015608306</v>
      </c>
      <c r="X378" s="277">
        <f t="shared" si="186"/>
        <v>-162.80530541883817</v>
      </c>
      <c r="Y378" s="299">
        <f t="shared" si="185"/>
        <v>17.194694581161826</v>
      </c>
      <c r="AB378" s="278">
        <f t="shared" si="178"/>
        <v>-3.0986976859904249</v>
      </c>
      <c r="AC378" s="279">
        <f t="shared" si="179"/>
        <v>-42.47098847893961</v>
      </c>
      <c r="AF378" s="278">
        <f t="shared" si="180"/>
        <v>44.860247277363882</v>
      </c>
      <c r="AG378" s="279">
        <f t="shared" si="181"/>
        <v>-120.33431693989853</v>
      </c>
      <c r="AI378">
        <f t="shared" si="182"/>
        <v>0</v>
      </c>
      <c r="AJ378">
        <f t="shared" si="187"/>
        <v>0</v>
      </c>
      <c r="AK378">
        <f t="shared" si="183"/>
        <v>0</v>
      </c>
      <c r="AL378">
        <f t="shared" si="184"/>
        <v>0</v>
      </c>
      <c r="AM378"/>
      <c r="AN378"/>
    </row>
    <row r="379" spans="2:40" x14ac:dyDescent="0.2">
      <c r="B379" s="280">
        <v>31991</v>
      </c>
      <c r="C379" s="270">
        <f t="shared" si="157"/>
        <v>26.149827131888383</v>
      </c>
      <c r="D379" s="271">
        <f t="shared" si="158"/>
        <v>1.5325458295095393</v>
      </c>
      <c r="E379" s="271">
        <f t="shared" si="159"/>
        <v>1.00136469572085</v>
      </c>
      <c r="F379" s="272">
        <f t="shared" si="160"/>
        <v>5.2213897206099487E-2</v>
      </c>
      <c r="G379" s="271">
        <f t="shared" si="161"/>
        <v>1.0510990766820276</v>
      </c>
      <c r="H379" s="272">
        <f t="shared" si="162"/>
        <v>-0.31309420089972367</v>
      </c>
      <c r="I379" s="270">
        <f t="shared" si="163"/>
        <v>112579.8979071689</v>
      </c>
      <c r="J379" s="273">
        <f t="shared" si="164"/>
        <v>1.5707874442144485</v>
      </c>
      <c r="K379" s="281">
        <f t="shared" si="165"/>
        <v>16.914039137203634</v>
      </c>
      <c r="L379" s="282">
        <f t="shared" si="166"/>
        <v>1.5116393455335713</v>
      </c>
      <c r="M379" s="270">
        <f t="shared" si="167"/>
        <v>1.2908616270820488</v>
      </c>
      <c r="N379" s="273">
        <f t="shared" si="168"/>
        <v>0.68459317462580316</v>
      </c>
      <c r="O379" s="270">
        <f t="shared" si="169"/>
        <v>8844.5463759462164</v>
      </c>
      <c r="P379" s="273">
        <f t="shared" si="170"/>
        <v>1.5706832627710763</v>
      </c>
      <c r="Q379" s="271">
        <f t="shared" si="171"/>
        <v>1.0468142824675752</v>
      </c>
      <c r="R379" s="272">
        <f t="shared" si="172"/>
        <v>0.30019350810422285</v>
      </c>
      <c r="S379" s="270">
        <f t="shared" si="173"/>
        <v>1.0000025077009518</v>
      </c>
      <c r="T379" s="273">
        <f t="shared" si="174"/>
        <v>2.2395069597579698E-3</v>
      </c>
      <c r="U379" s="274">
        <f t="shared" si="175"/>
        <v>1.0229717597535439</v>
      </c>
      <c r="V379" s="275">
        <f t="shared" si="176"/>
        <v>0.31017215331794579</v>
      </c>
      <c r="W379" s="276">
        <f t="shared" si="177"/>
        <v>-20.109533151198416</v>
      </c>
      <c r="X379" s="277">
        <f t="shared" si="186"/>
        <v>-163.14053961876988</v>
      </c>
      <c r="Y379" s="299">
        <f t="shared" si="185"/>
        <v>16.859460381230122</v>
      </c>
      <c r="AB379" s="278">
        <f t="shared" si="178"/>
        <v>-3.1188391967023597</v>
      </c>
      <c r="AC379" s="279">
        <f t="shared" si="179"/>
        <v>-42.613236010158658</v>
      </c>
      <c r="AF379" s="278">
        <f t="shared" si="180"/>
        <v>44.812838652485702</v>
      </c>
      <c r="AG379" s="279">
        <f t="shared" si="181"/>
        <v>-120.52730360861126</v>
      </c>
      <c r="AI379">
        <f t="shared" si="182"/>
        <v>0</v>
      </c>
      <c r="AJ379">
        <f t="shared" si="187"/>
        <v>0</v>
      </c>
      <c r="AK379">
        <f t="shared" si="183"/>
        <v>0</v>
      </c>
      <c r="AL379">
        <f t="shared" si="184"/>
        <v>0</v>
      </c>
      <c r="AM379"/>
      <c r="AN379"/>
    </row>
    <row r="380" spans="2:40" x14ac:dyDescent="0.2">
      <c r="B380" s="280">
        <v>32175</v>
      </c>
      <c r="C380" s="270">
        <f t="shared" si="157"/>
        <v>26.300011618374469</v>
      </c>
      <c r="D380" s="271">
        <f t="shared" si="158"/>
        <v>1.5327643621355755</v>
      </c>
      <c r="E380" s="271">
        <f t="shared" si="159"/>
        <v>1.0013804284309269</v>
      </c>
      <c r="F380" s="272">
        <f t="shared" si="160"/>
        <v>5.2513661341214449E-2</v>
      </c>
      <c r="G380" s="271">
        <f t="shared" si="161"/>
        <v>1.0516740853941706</v>
      </c>
      <c r="H380" s="272">
        <f t="shared" si="162"/>
        <v>-0.31477867846616242</v>
      </c>
      <c r="I380" s="270">
        <f t="shared" si="163"/>
        <v>113227.4144341074</v>
      </c>
      <c r="J380" s="273">
        <f t="shared" si="164"/>
        <v>1.5707874950114897</v>
      </c>
      <c r="K380" s="281">
        <f t="shared" si="165"/>
        <v>17.010983142137952</v>
      </c>
      <c r="L380" s="282">
        <f t="shared" si="166"/>
        <v>1.5119768660993065</v>
      </c>
      <c r="M380" s="270">
        <f t="shared" si="167"/>
        <v>1.2938356393913242</v>
      </c>
      <c r="N380" s="273">
        <f t="shared" si="168"/>
        <v>0.68740426250055198</v>
      </c>
      <c r="O380" s="270">
        <f t="shared" si="169"/>
        <v>8895.4168242732394</v>
      </c>
      <c r="P380" s="273">
        <f t="shared" si="170"/>
        <v>1.5706839093532117</v>
      </c>
      <c r="Q380" s="271">
        <f t="shared" si="171"/>
        <v>1.0473421377241248</v>
      </c>
      <c r="R380" s="272">
        <f t="shared" si="172"/>
        <v>0.30181741223601011</v>
      </c>
      <c r="S380" s="270">
        <f t="shared" si="173"/>
        <v>1.0000025366305467</v>
      </c>
      <c r="T380" s="273">
        <f t="shared" si="174"/>
        <v>2.2523877040577667E-3</v>
      </c>
      <c r="U380" s="274">
        <f t="shared" si="175"/>
        <v>1.0232375685708928</v>
      </c>
      <c r="V380" s="275">
        <f t="shared" si="176"/>
        <v>0.31193240350892815</v>
      </c>
      <c r="W380" s="276">
        <f t="shared" si="177"/>
        <v>-20.176806850994424</v>
      </c>
      <c r="X380" s="277">
        <f t="shared" si="186"/>
        <v>-163.4749816358121</v>
      </c>
      <c r="Y380" s="299">
        <f t="shared" si="185"/>
        <v>16.5250183641879</v>
      </c>
      <c r="AB380" s="278">
        <f t="shared" si="178"/>
        <v>-3.1390007102050825</v>
      </c>
      <c r="AC380" s="279">
        <f t="shared" si="179"/>
        <v>-42.754963887762742</v>
      </c>
      <c r="AF380" s="278">
        <f t="shared" si="180"/>
        <v>44.765726466192419</v>
      </c>
      <c r="AG380" s="279">
        <f t="shared" si="181"/>
        <v>-120.72001774804934</v>
      </c>
      <c r="AI380">
        <f t="shared" si="182"/>
        <v>0</v>
      </c>
      <c r="AJ380">
        <f t="shared" si="187"/>
        <v>0</v>
      </c>
      <c r="AK380">
        <f t="shared" si="183"/>
        <v>0</v>
      </c>
      <c r="AL380">
        <f t="shared" si="184"/>
        <v>0</v>
      </c>
      <c r="AM380"/>
      <c r="AN380"/>
    </row>
    <row r="381" spans="2:40" x14ac:dyDescent="0.2">
      <c r="B381" s="280">
        <v>32359</v>
      </c>
      <c r="C381" s="270">
        <f t="shared" si="157"/>
        <v>26.450197346594127</v>
      </c>
      <c r="D381" s="271">
        <f t="shared" si="158"/>
        <v>1.5329804130904179</v>
      </c>
      <c r="E381" s="271">
        <f t="shared" si="159"/>
        <v>1.0013962511207515</v>
      </c>
      <c r="F381" s="272">
        <f t="shared" si="160"/>
        <v>5.281341603034094E-2</v>
      </c>
      <c r="G381" s="271">
        <f t="shared" si="161"/>
        <v>1.0522520749280999</v>
      </c>
      <c r="H381" s="272">
        <f t="shared" si="162"/>
        <v>-0.31646131027571467</v>
      </c>
      <c r="I381" s="270">
        <f t="shared" si="163"/>
        <v>113874.93096104616</v>
      </c>
      <c r="J381" s="273">
        <f t="shared" si="164"/>
        <v>1.5707875452308457</v>
      </c>
      <c r="K381" s="281">
        <f t="shared" si="165"/>
        <v>17.107929063003013</v>
      </c>
      <c r="L381" s="282">
        <f t="shared" si="166"/>
        <v>1.5123105614305759</v>
      </c>
      <c r="M381" s="270">
        <f t="shared" si="167"/>
        <v>1.2968198289266339</v>
      </c>
      <c r="N381" s="273">
        <f t="shared" si="168"/>
        <v>0.69020243487817334</v>
      </c>
      <c r="O381" s="270">
        <f t="shared" si="169"/>
        <v>8946.2872726039386</v>
      </c>
      <c r="P381" s="273">
        <f t="shared" si="170"/>
        <v>1.5706845485821463</v>
      </c>
      <c r="Q381" s="271">
        <f t="shared" si="171"/>
        <v>1.0478727521027671</v>
      </c>
      <c r="R381" s="272">
        <f t="shared" si="172"/>
        <v>0.30343967604007704</v>
      </c>
      <c r="S381" s="270">
        <f t="shared" si="173"/>
        <v>1.0000025657260556</v>
      </c>
      <c r="T381" s="273">
        <f t="shared" si="174"/>
        <v>2.2652684476101598E-3</v>
      </c>
      <c r="U381" s="274">
        <f t="shared" si="175"/>
        <v>1.0235049198014026</v>
      </c>
      <c r="V381" s="275">
        <f t="shared" si="176"/>
        <v>0.313692249458287</v>
      </c>
      <c r="W381" s="276">
        <f t="shared" si="177"/>
        <v>-20.243806766266111</v>
      </c>
      <c r="X381" s="277">
        <f t="shared" si="186"/>
        <v>-163.80863222258137</v>
      </c>
      <c r="Y381" s="299">
        <f t="shared" si="185"/>
        <v>16.191367777418634</v>
      </c>
      <c r="AB381" s="278">
        <f t="shared" si="178"/>
        <v>-3.1591815584740472</v>
      </c>
      <c r="AC381" s="279">
        <f t="shared" si="179"/>
        <v>-42.896170898582739</v>
      </c>
      <c r="AF381" s="278">
        <f t="shared" si="180"/>
        <v>44.718907399189696</v>
      </c>
      <c r="AG381" s="279">
        <f t="shared" si="181"/>
        <v>-120.91246132399866</v>
      </c>
      <c r="AI381">
        <f t="shared" si="182"/>
        <v>0</v>
      </c>
      <c r="AJ381">
        <f t="shared" si="187"/>
        <v>0</v>
      </c>
      <c r="AK381">
        <f t="shared" si="183"/>
        <v>0</v>
      </c>
      <c r="AL381">
        <f t="shared" si="184"/>
        <v>0</v>
      </c>
      <c r="AM381"/>
      <c r="AN381"/>
    </row>
    <row r="382" spans="2:40" x14ac:dyDescent="0.2">
      <c r="B382" s="280">
        <v>32547.5</v>
      </c>
      <c r="C382" s="270">
        <f t="shared" si="157"/>
        <v>26.604057361013439</v>
      </c>
      <c r="D382" s="271">
        <f t="shared" si="158"/>
        <v>1.5331992183647134</v>
      </c>
      <c r="E382" s="271">
        <f t="shared" si="159"/>
        <v>1.0014125540816194</v>
      </c>
      <c r="F382" s="272">
        <f t="shared" si="160"/>
        <v>5.3120491825355283E-2</v>
      </c>
      <c r="G382" s="271">
        <f t="shared" si="161"/>
        <v>1.0528472860072255</v>
      </c>
      <c r="H382" s="272">
        <f t="shared" si="162"/>
        <v>-0.31818317261239049</v>
      </c>
      <c r="I382" s="270">
        <f t="shared" si="163"/>
        <v>114538.28349000278</v>
      </c>
      <c r="J382" s="273">
        <f t="shared" si="164"/>
        <v>1.5707875960895854</v>
      </c>
      <c r="K382" s="281">
        <f t="shared" si="165"/>
        <v>17.207247896823873</v>
      </c>
      <c r="L382" s="282">
        <f t="shared" si="166"/>
        <v>1.5126485185976544</v>
      </c>
      <c r="M382" s="270">
        <f t="shared" si="167"/>
        <v>1.2998874816983397</v>
      </c>
      <c r="N382" s="273">
        <f t="shared" si="168"/>
        <v>0.6930556950068284</v>
      </c>
      <c r="O382" s="270">
        <f t="shared" si="169"/>
        <v>8998.4018351638661</v>
      </c>
      <c r="P382" s="273">
        <f t="shared" si="170"/>
        <v>1.5706851959496224</v>
      </c>
      <c r="Q382" s="271">
        <f t="shared" si="171"/>
        <v>1.0484192002487902</v>
      </c>
      <c r="R382" s="272">
        <f t="shared" si="172"/>
        <v>0.30509990746490856</v>
      </c>
      <c r="S382" s="270">
        <f t="shared" si="173"/>
        <v>1.0000025957051897</v>
      </c>
      <c r="T382" s="273">
        <f t="shared" si="174"/>
        <v>2.2784642085677438E-3</v>
      </c>
      <c r="U382" s="274">
        <f t="shared" si="175"/>
        <v>1.0237804092779874</v>
      </c>
      <c r="V382" s="275">
        <f t="shared" si="176"/>
        <v>0.31549471363684523</v>
      </c>
      <c r="W382" s="276">
        <f t="shared" si="177"/>
        <v>-20.312164077144587</v>
      </c>
      <c r="X382" s="277">
        <f t="shared" si="186"/>
        <v>-164.14962288712397</v>
      </c>
      <c r="Y382" s="299">
        <f t="shared" si="185"/>
        <v>15.850377112876032</v>
      </c>
      <c r="AB382" s="278">
        <f t="shared" si="178"/>
        <v>-3.17987531833412</v>
      </c>
      <c r="AC382" s="279">
        <f t="shared" si="179"/>
        <v>-43.040290056468947</v>
      </c>
      <c r="AF382" s="278">
        <f t="shared" si="180"/>
        <v>44.671243848171294</v>
      </c>
      <c r="AG382" s="279">
        <f t="shared" si="181"/>
        <v>-121.10933283065499</v>
      </c>
      <c r="AI382">
        <f t="shared" si="182"/>
        <v>0</v>
      </c>
      <c r="AJ382">
        <f t="shared" si="187"/>
        <v>0</v>
      </c>
      <c r="AK382">
        <f t="shared" si="183"/>
        <v>0</v>
      </c>
      <c r="AL382">
        <f t="shared" si="184"/>
        <v>0</v>
      </c>
      <c r="AM382"/>
      <c r="AN382"/>
    </row>
    <row r="383" spans="2:40" x14ac:dyDescent="0.2">
      <c r="B383" s="280">
        <v>32736</v>
      </c>
      <c r="C383" s="270">
        <f t="shared" si="157"/>
        <v>26.757918634474255</v>
      </c>
      <c r="D383" s="271">
        <f t="shared" si="158"/>
        <v>1.5334155073356006</v>
      </c>
      <c r="E383" s="271">
        <f t="shared" si="159"/>
        <v>1.0014289514681491</v>
      </c>
      <c r="F383" s="272">
        <f t="shared" si="160"/>
        <v>5.3427557593212459E-2</v>
      </c>
      <c r="G383" s="271">
        <f t="shared" si="161"/>
        <v>1.0534456150456488</v>
      </c>
      <c r="H383" s="272">
        <f t="shared" si="162"/>
        <v>-0.31990308409961188</v>
      </c>
      <c r="I383" s="270">
        <f t="shared" si="163"/>
        <v>115201.63601895966</v>
      </c>
      <c r="J383" s="273">
        <f t="shared" si="164"/>
        <v>1.5707876463626165</v>
      </c>
      <c r="K383" s="281">
        <f t="shared" si="165"/>
        <v>17.306568673414024</v>
      </c>
      <c r="L383" s="282">
        <f t="shared" si="166"/>
        <v>1.5129825967934716</v>
      </c>
      <c r="M383" s="270">
        <f t="shared" si="167"/>
        <v>1.3029656670951788</v>
      </c>
      <c r="N383" s="273">
        <f t="shared" si="168"/>
        <v>0.6958954968205816</v>
      </c>
      <c r="O383" s="270">
        <f t="shared" si="169"/>
        <v>9050.5163977275188</v>
      </c>
      <c r="P383" s="273">
        <f t="shared" si="170"/>
        <v>1.570685835861773</v>
      </c>
      <c r="Q383" s="271">
        <f t="shared" si="171"/>
        <v>1.0489685352088591</v>
      </c>
      <c r="R383" s="272">
        <f t="shared" si="172"/>
        <v>0.30675840456201198</v>
      </c>
      <c r="S383" s="270">
        <f t="shared" si="173"/>
        <v>1.0000026258584522</v>
      </c>
      <c r="T383" s="273">
        <f t="shared" si="174"/>
        <v>2.2916599687318366E-3</v>
      </c>
      <c r="U383" s="274">
        <f t="shared" si="175"/>
        <v>1.0240575181604672</v>
      </c>
      <c r="V383" s="275">
        <f t="shared" si="176"/>
        <v>0.31729674890854925</v>
      </c>
      <c r="W383" s="276">
        <f t="shared" si="177"/>
        <v>-20.380239526946788</v>
      </c>
      <c r="X383" s="277">
        <f t="shared" si="186"/>
        <v>-164.48978471310252</v>
      </c>
      <c r="Y383" s="299">
        <f t="shared" si="185"/>
        <v>15.510215286897477</v>
      </c>
      <c r="AB383" s="278">
        <f t="shared" si="178"/>
        <v>-3.2005879716513523</v>
      </c>
      <c r="AC383" s="279">
        <f t="shared" si="179"/>
        <v>-43.18386032483545</v>
      </c>
      <c r="AF383" s="278">
        <f t="shared" si="180"/>
        <v>44.623881051686325</v>
      </c>
      <c r="AG383" s="279">
        <f t="shared" si="181"/>
        <v>-121.3059243882671</v>
      </c>
      <c r="AI383">
        <f t="shared" si="182"/>
        <v>0</v>
      </c>
      <c r="AJ383">
        <f t="shared" si="187"/>
        <v>0</v>
      </c>
      <c r="AK383">
        <f t="shared" si="183"/>
        <v>0</v>
      </c>
      <c r="AL383">
        <f t="shared" si="184"/>
        <v>0</v>
      </c>
      <c r="AM383"/>
      <c r="AN383"/>
    </row>
    <row r="384" spans="2:40" x14ac:dyDescent="0.2">
      <c r="B384" s="280">
        <v>32924.5</v>
      </c>
      <c r="C384" s="270">
        <f t="shared" si="157"/>
        <v>26.911781145381816</v>
      </c>
      <c r="D384" s="271">
        <f t="shared" si="158"/>
        <v>1.5336293231419915</v>
      </c>
      <c r="E384" s="271">
        <f t="shared" si="159"/>
        <v>1.0014454432757023</v>
      </c>
      <c r="F384" s="272">
        <f t="shared" si="160"/>
        <v>5.3734613276500351E-2</v>
      </c>
      <c r="G384" s="271">
        <f t="shared" si="161"/>
        <v>1.0540470567336477</v>
      </c>
      <c r="H384" s="272">
        <f t="shared" si="162"/>
        <v>-0.32162103789294061</v>
      </c>
      <c r="I384" s="270">
        <f t="shared" si="163"/>
        <v>115864.98854791686</v>
      </c>
      <c r="J384" s="273">
        <f t="shared" si="164"/>
        <v>1.5707876960599996</v>
      </c>
      <c r="K384" s="281">
        <f t="shared" si="165"/>
        <v>17.405891359516207</v>
      </c>
      <c r="L384" s="282">
        <f t="shared" si="166"/>
        <v>1.5133128623461622</v>
      </c>
      <c r="M384" s="270">
        <f t="shared" si="167"/>
        <v>1.3060543106454272</v>
      </c>
      <c r="N384" s="273">
        <f t="shared" si="168"/>
        <v>0.6987218898360712</v>
      </c>
      <c r="O384" s="270">
        <f t="shared" si="169"/>
        <v>9102.6309602948386</v>
      </c>
      <c r="P384" s="273">
        <f t="shared" si="170"/>
        <v>1.5706864684466484</v>
      </c>
      <c r="Q384" s="271">
        <f t="shared" si="171"/>
        <v>1.0495207524499681</v>
      </c>
      <c r="R384" s="272">
        <f t="shared" si="172"/>
        <v>0.30841516093812815</v>
      </c>
      <c r="S384" s="270">
        <f t="shared" si="173"/>
        <v>1.0000026561858431</v>
      </c>
      <c r="T384" s="273">
        <f t="shared" si="174"/>
        <v>2.3048557280978431E-3</v>
      </c>
      <c r="U384" s="274">
        <f t="shared" si="175"/>
        <v>1.024336246767751</v>
      </c>
      <c r="V384" s="275">
        <f t="shared" si="176"/>
        <v>0.31909835292338284</v>
      </c>
      <c r="W384" s="276">
        <f t="shared" si="177"/>
        <v>-20.448035812411945</v>
      </c>
      <c r="X384" s="277">
        <f t="shared" si="186"/>
        <v>-164.8291186860294</v>
      </c>
      <c r="Y384" s="299">
        <f t="shared" si="185"/>
        <v>15.170881313970597</v>
      </c>
      <c r="AB384" s="278">
        <f t="shared" si="178"/>
        <v>-3.2213188212875563</v>
      </c>
      <c r="AC384" s="279">
        <f t="shared" si="179"/>
        <v>-43.326880741030813</v>
      </c>
      <c r="AF384" s="278">
        <f t="shared" si="180"/>
        <v>44.57681561585737</v>
      </c>
      <c r="AG384" s="279">
        <f t="shared" si="181"/>
        <v>-121.50223794499861</v>
      </c>
      <c r="AI384">
        <f t="shared" si="182"/>
        <v>0</v>
      </c>
      <c r="AJ384">
        <f t="shared" si="187"/>
        <v>0</v>
      </c>
      <c r="AK384">
        <f t="shared" si="183"/>
        <v>0</v>
      </c>
      <c r="AL384">
        <f t="shared" si="184"/>
        <v>0</v>
      </c>
      <c r="AM384"/>
      <c r="AN384"/>
    </row>
    <row r="385" spans="2:40" x14ac:dyDescent="0.2">
      <c r="B385" s="280">
        <v>33113</v>
      </c>
      <c r="C385" s="270">
        <f t="shared" si="157"/>
        <v>27.065644872632252</v>
      </c>
      <c r="D385" s="271">
        <f t="shared" si="158"/>
        <v>1.5338407079427643</v>
      </c>
      <c r="E385" s="271">
        <f t="shared" si="159"/>
        <v>1.0014620294996139</v>
      </c>
      <c r="F385" s="272">
        <f t="shared" si="160"/>
        <v>5.4041658817818229E-2</v>
      </c>
      <c r="G385" s="271">
        <f t="shared" si="161"/>
        <v>1.054651605746022</v>
      </c>
      <c r="H385" s="272">
        <f t="shared" si="162"/>
        <v>-0.32333702720973329</v>
      </c>
      <c r="I385" s="270">
        <f t="shared" si="163"/>
        <v>116528.34107687431</v>
      </c>
      <c r="J385" s="273">
        <f t="shared" si="164"/>
        <v>1.5707877451915651</v>
      </c>
      <c r="K385" s="281">
        <f t="shared" si="165"/>
        <v>17.505215922627336</v>
      </c>
      <c r="L385" s="282">
        <f t="shared" si="166"/>
        <v>1.5136393800818486</v>
      </c>
      <c r="M385" s="270">
        <f t="shared" si="167"/>
        <v>1.309153338328328</v>
      </c>
      <c r="N385" s="273">
        <f t="shared" si="168"/>
        <v>0.70153492396037231</v>
      </c>
      <c r="O385" s="270">
        <f t="shared" si="169"/>
        <v>9154.7455228657564</v>
      </c>
      <c r="P385" s="273">
        <f t="shared" si="170"/>
        <v>1.5706870938293827</v>
      </c>
      <c r="Q385" s="271">
        <f t="shared" si="171"/>
        <v>1.0500758474248877</v>
      </c>
      <c r="R385" s="272">
        <f t="shared" si="172"/>
        <v>0.31007017025163486</v>
      </c>
      <c r="S385" s="270">
        <f t="shared" si="173"/>
        <v>1.0000026866873626</v>
      </c>
      <c r="T385" s="273">
        <f t="shared" si="174"/>
        <v>2.3180514866611682E-3</v>
      </c>
      <c r="U385" s="274">
        <f t="shared" si="175"/>
        <v>1.0246165954201483</v>
      </c>
      <c r="V385" s="275">
        <f t="shared" si="176"/>
        <v>0.32089952333367239</v>
      </c>
      <c r="W385" s="276">
        <f t="shared" si="177"/>
        <v>-20.515555581059346</v>
      </c>
      <c r="X385" s="277">
        <f t="shared" si="186"/>
        <v>-165.1676258473554</v>
      </c>
      <c r="Y385" s="299">
        <f t="shared" si="185"/>
        <v>14.832374152644604</v>
      </c>
      <c r="AB385" s="278">
        <f t="shared" si="178"/>
        <v>-3.242067177270294</v>
      </c>
      <c r="AC385" s="279">
        <f t="shared" si="179"/>
        <v>-43.469350450819903</v>
      </c>
      <c r="AF385" s="278">
        <f t="shared" si="180"/>
        <v>44.530044203192709</v>
      </c>
      <c r="AG385" s="279">
        <f t="shared" si="181"/>
        <v>-121.69827539653546</v>
      </c>
      <c r="AI385">
        <f t="shared" si="182"/>
        <v>0</v>
      </c>
      <c r="AJ385">
        <f t="shared" si="187"/>
        <v>0</v>
      </c>
      <c r="AK385">
        <f t="shared" si="183"/>
        <v>0</v>
      </c>
      <c r="AL385">
        <f t="shared" si="184"/>
        <v>0</v>
      </c>
      <c r="AM385"/>
      <c r="AN385"/>
    </row>
    <row r="386" spans="2:40" x14ac:dyDescent="0.2">
      <c r="B386" s="280">
        <v>33305.75</v>
      </c>
      <c r="C386" s="270">
        <f t="shared" si="157"/>
        <v>27.222978912262306</v>
      </c>
      <c r="D386" s="271">
        <f t="shared" si="158"/>
        <v>1.5340543877999708</v>
      </c>
      <c r="E386" s="271">
        <f t="shared" si="159"/>
        <v>1.0014790873120767</v>
      </c>
      <c r="F386" s="272">
        <f t="shared" si="160"/>
        <v>5.4355616589256715E-2</v>
      </c>
      <c r="G386" s="271">
        <f t="shared" si="161"/>
        <v>1.0552729928124742</v>
      </c>
      <c r="H386" s="272">
        <f t="shared" si="162"/>
        <v>-0.32508966752537755</v>
      </c>
      <c r="I386" s="270">
        <f t="shared" si="163"/>
        <v>117206.64982995976</v>
      </c>
      <c r="J386" s="273">
        <f t="shared" si="164"/>
        <v>1.5707877948557833</v>
      </c>
      <c r="K386" s="281">
        <f t="shared" si="165"/>
        <v>17.606781806835482</v>
      </c>
      <c r="L386" s="282">
        <f t="shared" si="166"/>
        <v>1.5139694501134284</v>
      </c>
      <c r="M386" s="270">
        <f t="shared" si="167"/>
        <v>1.3123328993025714</v>
      </c>
      <c r="N386" s="273">
        <f t="shared" si="168"/>
        <v>0.70439762023993946</v>
      </c>
      <c r="O386" s="270">
        <f t="shared" si="169"/>
        <v>9208.035082209175</v>
      </c>
      <c r="P386" s="273">
        <f t="shared" si="170"/>
        <v>1.5706877259921155</v>
      </c>
      <c r="Q386" s="271">
        <f t="shared" si="171"/>
        <v>1.0506464288406436</v>
      </c>
      <c r="R386" s="272">
        <f t="shared" si="172"/>
        <v>0.31176068095419007</v>
      </c>
      <c r="S386" s="270">
        <f t="shared" si="173"/>
        <v>1.000002718056644</v>
      </c>
      <c r="T386" s="273">
        <f t="shared" si="174"/>
        <v>2.3315447614925605E-3</v>
      </c>
      <c r="U386" s="274">
        <f t="shared" si="175"/>
        <v>1.0249049405121358</v>
      </c>
      <c r="V386" s="275">
        <f t="shared" si="176"/>
        <v>0.32274085286435755</v>
      </c>
      <c r="W386" s="276">
        <f t="shared" si="177"/>
        <v>-20.584314448002239</v>
      </c>
      <c r="X386" s="277">
        <f t="shared" si="186"/>
        <v>-165.5129112906273</v>
      </c>
      <c r="Y386" s="299">
        <f t="shared" si="185"/>
        <v>14.487088709372699</v>
      </c>
      <c r="AB386" s="278">
        <f t="shared" si="178"/>
        <v>-3.2633007259168383</v>
      </c>
      <c r="AC386" s="279">
        <f t="shared" si="179"/>
        <v>-43.614462091463729</v>
      </c>
      <c r="AF386" s="278">
        <f t="shared" si="180"/>
        <v>44.482518884896358</v>
      </c>
      <c r="AG386" s="279">
        <f t="shared" si="181"/>
        <v>-121.89844919916357</v>
      </c>
      <c r="AI386">
        <f t="shared" si="182"/>
        <v>0</v>
      </c>
      <c r="AJ386">
        <f t="shared" si="187"/>
        <v>0</v>
      </c>
      <c r="AK386">
        <f t="shared" si="183"/>
        <v>0</v>
      </c>
      <c r="AL386">
        <f t="shared" si="184"/>
        <v>0</v>
      </c>
      <c r="AM386"/>
      <c r="AN386"/>
    </row>
    <row r="387" spans="2:40" x14ac:dyDescent="0.2">
      <c r="B387" s="280">
        <v>33498.5</v>
      </c>
      <c r="C387" s="270">
        <f t="shared" si="157"/>
        <v>27.380314180583643</v>
      </c>
      <c r="D387" s="271">
        <f t="shared" si="158"/>
        <v>1.534265611933209</v>
      </c>
      <c r="E387" s="271">
        <f t="shared" si="159"/>
        <v>1.0014962438364459</v>
      </c>
      <c r="F387" s="272">
        <f t="shared" si="160"/>
        <v>5.4669563634886328E-2</v>
      </c>
      <c r="G387" s="271">
        <f t="shared" si="161"/>
        <v>1.0558976175906767</v>
      </c>
      <c r="H387" s="272">
        <f t="shared" si="162"/>
        <v>-0.32684023963593406</v>
      </c>
      <c r="I387" s="270">
        <f t="shared" si="163"/>
        <v>117884.95858304547</v>
      </c>
      <c r="J387" s="273">
        <f t="shared" si="164"/>
        <v>1.570787843948467</v>
      </c>
      <c r="K387" s="281">
        <f t="shared" si="165"/>
        <v>17.708349587232426</v>
      </c>
      <c r="L387" s="282">
        <f t="shared" si="166"/>
        <v>1.5142957338894256</v>
      </c>
      <c r="M387" s="270">
        <f t="shared" si="167"/>
        <v>1.3155231628461961</v>
      </c>
      <c r="N387" s="273">
        <f t="shared" si="168"/>
        <v>0.70724645517299878</v>
      </c>
      <c r="O387" s="270">
        <f t="shared" si="169"/>
        <v>9261.3246415562317</v>
      </c>
      <c r="P387" s="273">
        <f t="shared" si="170"/>
        <v>1.5706883508799334</v>
      </c>
      <c r="Q387" s="271">
        <f t="shared" si="171"/>
        <v>1.0512200095570698</v>
      </c>
      <c r="R387" s="272">
        <f t="shared" si="172"/>
        <v>0.31344935168019239</v>
      </c>
      <c r="S387" s="270">
        <f t="shared" si="173"/>
        <v>1.0000027496079942</v>
      </c>
      <c r="T387" s="273">
        <f t="shared" si="174"/>
        <v>2.3450380354749496E-3</v>
      </c>
      <c r="U387" s="274">
        <f t="shared" si="175"/>
        <v>1.0251949802070424</v>
      </c>
      <c r="V387" s="275">
        <f t="shared" si="176"/>
        <v>0.32458172406037028</v>
      </c>
      <c r="W387" s="276">
        <f t="shared" si="177"/>
        <v>-20.652789635527448</v>
      </c>
      <c r="X387" s="277">
        <f t="shared" si="186"/>
        <v>-165.85733459282395</v>
      </c>
      <c r="Y387" s="299">
        <f t="shared" si="185"/>
        <v>14.142665407176054</v>
      </c>
      <c r="AB387" s="278">
        <f t="shared" si="178"/>
        <v>-3.2845511430770125</v>
      </c>
      <c r="AC387" s="279">
        <f t="shared" si="179"/>
        <v>-43.758996439172812</v>
      </c>
      <c r="AF387" s="278">
        <f t="shared" si="180"/>
        <v>44.435294114531317</v>
      </c>
      <c r="AG387" s="279">
        <f t="shared" si="181"/>
        <v>-122.09833815365118</v>
      </c>
      <c r="AI387">
        <f t="shared" si="182"/>
        <v>0</v>
      </c>
      <c r="AJ387">
        <f t="shared" si="187"/>
        <v>0</v>
      </c>
      <c r="AK387">
        <f t="shared" si="183"/>
        <v>0</v>
      </c>
      <c r="AL387">
        <f t="shared" si="184"/>
        <v>0</v>
      </c>
      <c r="AM387"/>
      <c r="AN387"/>
    </row>
    <row r="388" spans="2:40" x14ac:dyDescent="0.2">
      <c r="B388" s="280">
        <v>33691.25</v>
      </c>
      <c r="C388" s="270">
        <f t="shared" si="157"/>
        <v>27.537650656536023</v>
      </c>
      <c r="D388" s="271">
        <f t="shared" si="158"/>
        <v>1.5344744224158333</v>
      </c>
      <c r="E388" s="271">
        <f t="shared" si="159"/>
        <v>1.0015134990676489</v>
      </c>
      <c r="F388" s="272">
        <f t="shared" si="160"/>
        <v>5.4983499893372929E-2</v>
      </c>
      <c r="G388" s="271">
        <f t="shared" si="161"/>
        <v>1.05652547433816</v>
      </c>
      <c r="H388" s="272">
        <f t="shared" si="162"/>
        <v>-0.32858873648989068</v>
      </c>
      <c r="I388" s="270">
        <f t="shared" si="163"/>
        <v>118563.2673361315</v>
      </c>
      <c r="J388" s="273">
        <f t="shared" si="164"/>
        <v>1.5707878924794254</v>
      </c>
      <c r="K388" s="281">
        <f t="shared" si="165"/>
        <v>17.809919231376973</v>
      </c>
      <c r="L388" s="282">
        <f t="shared" si="166"/>
        <v>1.514618296118605</v>
      </c>
      <c r="M388" s="270">
        <f t="shared" si="167"/>
        <v>1.318724051284083</v>
      </c>
      <c r="N388" s="273">
        <f t="shared" si="168"/>
        <v>0.710081483285815</v>
      </c>
      <c r="O388" s="270">
        <f t="shared" si="169"/>
        <v>9314.6142009068644</v>
      </c>
      <c r="P388" s="273">
        <f t="shared" si="170"/>
        <v>1.5706889686176977</v>
      </c>
      <c r="Q388" s="271">
        <f t="shared" si="171"/>
        <v>1.0517965846673025</v>
      </c>
      <c r="R388" s="272">
        <f t="shared" si="172"/>
        <v>0.31513617581689568</v>
      </c>
      <c r="S388" s="270">
        <f t="shared" si="173"/>
        <v>1.0000027813414134</v>
      </c>
      <c r="T388" s="273">
        <f t="shared" si="174"/>
        <v>2.3585313086034224E-3</v>
      </c>
      <c r="U388" s="274">
        <f t="shared" si="175"/>
        <v>1.025486714851835</v>
      </c>
      <c r="V388" s="275">
        <f t="shared" si="176"/>
        <v>0.32642213441932483</v>
      </c>
      <c r="W388" s="276">
        <f t="shared" si="177"/>
        <v>-20.720983822891927</v>
      </c>
      <c r="X388" s="277">
        <f t="shared" si="186"/>
        <v>-166.20089703783501</v>
      </c>
      <c r="Y388" s="299">
        <f t="shared" si="185"/>
        <v>13.799102962164994</v>
      </c>
      <c r="AB388" s="278">
        <f t="shared" si="178"/>
        <v>-3.3058177143805327</v>
      </c>
      <c r="AC388" s="279">
        <f t="shared" si="179"/>
        <v>-43.9029529110949</v>
      </c>
      <c r="AF388" s="278">
        <f t="shared" si="180"/>
        <v>44.388366498470361</v>
      </c>
      <c r="AG388" s="279">
        <f t="shared" si="181"/>
        <v>-122.29794412674008</v>
      </c>
      <c r="AI388">
        <f t="shared" si="182"/>
        <v>0</v>
      </c>
      <c r="AJ388">
        <f t="shared" si="187"/>
        <v>0</v>
      </c>
      <c r="AK388">
        <f t="shared" si="183"/>
        <v>0</v>
      </c>
      <c r="AL388">
        <f t="shared" si="184"/>
        <v>0</v>
      </c>
      <c r="AM388"/>
      <c r="AN388"/>
    </row>
    <row r="389" spans="2:40" x14ac:dyDescent="0.2">
      <c r="B389" s="280">
        <v>33884</v>
      </c>
      <c r="C389" s="270">
        <f t="shared" si="157"/>
        <v>27.694988319537632</v>
      </c>
      <c r="D389" s="271">
        <f t="shared" si="158"/>
        <v>1.5346808603659619</v>
      </c>
      <c r="E389" s="271">
        <f t="shared" si="159"/>
        <v>1.001530853000584</v>
      </c>
      <c r="F389" s="272">
        <f t="shared" si="160"/>
        <v>5.529742530339507E-2</v>
      </c>
      <c r="G389" s="271">
        <f t="shared" si="161"/>
        <v>1.0571565572964194</v>
      </c>
      <c r="H389" s="272">
        <f t="shared" si="162"/>
        <v>-0.33033515110320011</v>
      </c>
      <c r="I389" s="270">
        <f t="shared" si="163"/>
        <v>119241.57608921779</v>
      </c>
      <c r="J389" s="273">
        <f t="shared" si="164"/>
        <v>1.5707879404582445</v>
      </c>
      <c r="K389" s="281">
        <f t="shared" si="165"/>
        <v>17.911490707563186</v>
      </c>
      <c r="L389" s="282">
        <f t="shared" si="166"/>
        <v>1.5149372000450829</v>
      </c>
      <c r="M389" s="270">
        <f t="shared" si="167"/>
        <v>1.3219354874359903</v>
      </c>
      <c r="N389" s="273">
        <f t="shared" si="168"/>
        <v>0.71290275946519432</v>
      </c>
      <c r="O389" s="270">
        <f t="shared" si="169"/>
        <v>9367.9037602610097</v>
      </c>
      <c r="P389" s="273">
        <f t="shared" si="170"/>
        <v>1.5706895793274278</v>
      </c>
      <c r="Q389" s="271">
        <f t="shared" si="171"/>
        <v>1.052376149249642</v>
      </c>
      <c r="R389" s="272">
        <f t="shared" si="172"/>
        <v>0.31682114680804185</v>
      </c>
      <c r="S389" s="270">
        <f t="shared" si="173"/>
        <v>1.0000028132569014</v>
      </c>
      <c r="T389" s="273">
        <f t="shared" si="174"/>
        <v>2.3720245808730657E-3</v>
      </c>
      <c r="U389" s="274">
        <f t="shared" si="175"/>
        <v>1.0257801447949821</v>
      </c>
      <c r="V389" s="275">
        <f t="shared" si="176"/>
        <v>0.32826208144145785</v>
      </c>
      <c r="W389" s="276">
        <f t="shared" si="177"/>
        <v>-20.788899640969284</v>
      </c>
      <c r="X389" s="277">
        <f t="shared" si="186"/>
        <v>-166.5435999633967</v>
      </c>
      <c r="Y389" s="299">
        <f t="shared" si="185"/>
        <v>13.456400036603299</v>
      </c>
      <c r="AB389" s="278">
        <f t="shared" si="178"/>
        <v>-3.3270997333372128</v>
      </c>
      <c r="AC389" s="279">
        <f t="shared" si="179"/>
        <v>-44.046331028940635</v>
      </c>
      <c r="AF389" s="278">
        <f t="shared" si="180"/>
        <v>44.341732699349691</v>
      </c>
      <c r="AG389" s="279">
        <f t="shared" si="181"/>
        <v>-122.4972689344561</v>
      </c>
      <c r="AI389">
        <f t="shared" si="182"/>
        <v>0</v>
      </c>
      <c r="AJ389">
        <f t="shared" si="187"/>
        <v>0</v>
      </c>
      <c r="AK389">
        <f t="shared" si="183"/>
        <v>0</v>
      </c>
      <c r="AL389">
        <f t="shared" si="184"/>
        <v>0</v>
      </c>
      <c r="AM389"/>
      <c r="AN389"/>
    </row>
    <row r="390" spans="2:40" x14ac:dyDescent="0.2">
      <c r="B390" s="280">
        <v>34081.5</v>
      </c>
      <c r="C390" s="270">
        <f t="shared" si="157"/>
        <v>27.856204515227585</v>
      </c>
      <c r="D390" s="271">
        <f t="shared" si="158"/>
        <v>1.5348899667033467</v>
      </c>
      <c r="E390" s="271">
        <f t="shared" si="159"/>
        <v>1.0015487369668921</v>
      </c>
      <c r="F390" s="272">
        <f t="shared" si="160"/>
        <v>5.5619075560978865E-2</v>
      </c>
      <c r="G390" s="271">
        <f t="shared" si="161"/>
        <v>1.0578065326425987</v>
      </c>
      <c r="H390" s="272">
        <f t="shared" si="162"/>
        <v>-0.33212243609552516</v>
      </c>
      <c r="I390" s="270">
        <f t="shared" si="163"/>
        <v>119936.60062221179</v>
      </c>
      <c r="J390" s="273">
        <f t="shared" si="164"/>
        <v>1.5707879890565013</v>
      </c>
      <c r="K390" s="281">
        <f t="shared" si="165"/>
        <v>18.015567110090217</v>
      </c>
      <c r="L390" s="282">
        <f t="shared" si="166"/>
        <v>1.5152602328229492</v>
      </c>
      <c r="M390" s="270">
        <f t="shared" si="167"/>
        <v>1.3252369246573177</v>
      </c>
      <c r="N390" s="273">
        <f t="shared" si="168"/>
        <v>0.71577935457062447</v>
      </c>
      <c r="O390" s="270">
        <f t="shared" si="169"/>
        <v>9422.5065513019163</v>
      </c>
      <c r="P390" s="273">
        <f t="shared" si="170"/>
        <v>1.5706901979218169</v>
      </c>
      <c r="Q390" s="271">
        <f t="shared" si="171"/>
        <v>1.0529730919508049</v>
      </c>
      <c r="R390" s="272">
        <f t="shared" si="172"/>
        <v>0.31854571207235144</v>
      </c>
      <c r="S390" s="270">
        <f t="shared" si="173"/>
        <v>1.0000028461477475</v>
      </c>
      <c r="T390" s="273">
        <f t="shared" si="174"/>
        <v>2.3858503712780215E-3</v>
      </c>
      <c r="U390" s="274">
        <f t="shared" si="175"/>
        <v>1.0260825646720144</v>
      </c>
      <c r="V390" s="275">
        <f t="shared" si="176"/>
        <v>0.33014688765131051</v>
      </c>
      <c r="W390" s="276">
        <f t="shared" si="177"/>
        <v>-20.858203088350322</v>
      </c>
      <c r="X390" s="277">
        <f t="shared" si="186"/>
        <v>-166.89385812819944</v>
      </c>
      <c r="Y390" s="299">
        <f t="shared" si="185"/>
        <v>13.10614187180056</v>
      </c>
      <c r="AB390" s="278">
        <f t="shared" si="178"/>
        <v>-3.348921504724748</v>
      </c>
      <c r="AC390" s="279">
        <f t="shared" si="179"/>
        <v>-44.192642157508651</v>
      </c>
      <c r="AF390" s="278">
        <f t="shared" si="180"/>
        <v>44.294251023356182</v>
      </c>
      <c r="AG390" s="279">
        <f t="shared" si="181"/>
        <v>-122.70121597069073</v>
      </c>
      <c r="AI390">
        <f t="shared" si="182"/>
        <v>0</v>
      </c>
      <c r="AJ390">
        <f t="shared" si="187"/>
        <v>0</v>
      </c>
      <c r="AK390">
        <f t="shared" si="183"/>
        <v>0</v>
      </c>
      <c r="AL390">
        <f t="shared" si="184"/>
        <v>0</v>
      </c>
      <c r="AM390"/>
      <c r="AN390"/>
    </row>
    <row r="391" spans="2:40" x14ac:dyDescent="0.2">
      <c r="B391" s="280">
        <v>34279</v>
      </c>
      <c r="C391" s="270">
        <f t="shared" si="157"/>
        <v>28.017421914925496</v>
      </c>
      <c r="D391" s="271">
        <f t="shared" si="158"/>
        <v>1.5350966665770194</v>
      </c>
      <c r="E391" s="271">
        <f t="shared" si="159"/>
        <v>1.0015667245486124</v>
      </c>
      <c r="F391" s="272">
        <f t="shared" si="160"/>
        <v>5.5940714298518338E-2</v>
      </c>
      <c r="G391" s="271">
        <f t="shared" si="161"/>
        <v>1.0584598828766199</v>
      </c>
      <c r="H391" s="272">
        <f t="shared" si="162"/>
        <v>-0.33390752032732723</v>
      </c>
      <c r="I391" s="270">
        <f t="shared" si="163"/>
        <v>120631.62515520607</v>
      </c>
      <c r="J391" s="273">
        <f t="shared" si="164"/>
        <v>1.570788037094756</v>
      </c>
      <c r="K391" s="281">
        <f t="shared" si="165"/>
        <v>18.119645370948707</v>
      </c>
      <c r="L391" s="282">
        <f t="shared" si="166"/>
        <v>1.5155795546682855</v>
      </c>
      <c r="M391" s="270">
        <f t="shared" si="167"/>
        <v>1.3285492733943349</v>
      </c>
      <c r="N391" s="273">
        <f t="shared" si="168"/>
        <v>0.71864162936684028</v>
      </c>
      <c r="O391" s="270">
        <f t="shared" si="169"/>
        <v>9477.1093423463844</v>
      </c>
      <c r="P391" s="273">
        <f t="shared" si="170"/>
        <v>1.5706908093880869</v>
      </c>
      <c r="Q391" s="271">
        <f t="shared" si="171"/>
        <v>1.0535731627717624</v>
      </c>
      <c r="R391" s="272">
        <f t="shared" si="172"/>
        <v>0.32026831797583344</v>
      </c>
      <c r="S391" s="270">
        <f t="shared" si="173"/>
        <v>1.0000028792297466</v>
      </c>
      <c r="T391" s="273">
        <f t="shared" si="174"/>
        <v>2.3996761607708536E-3</v>
      </c>
      <c r="U391" s="274">
        <f t="shared" si="175"/>
        <v>1.0263867651780281</v>
      </c>
      <c r="V391" s="275">
        <f t="shared" si="176"/>
        <v>0.33203120210150566</v>
      </c>
      <c r="W391" s="276">
        <f t="shared" si="177"/>
        <v>-20.927219719543459</v>
      </c>
      <c r="X391" s="277">
        <f t="shared" si="186"/>
        <v>-167.24321689820209</v>
      </c>
      <c r="Y391" s="299">
        <f t="shared" si="185"/>
        <v>12.756783101797907</v>
      </c>
      <c r="AB391" s="278">
        <f t="shared" si="178"/>
        <v>-3.3707580181212808</v>
      </c>
      <c r="AC391" s="279">
        <f t="shared" si="179"/>
        <v>-44.338345381483641</v>
      </c>
      <c r="AF391" s="278">
        <f t="shared" si="180"/>
        <v>44.247070905559582</v>
      </c>
      <c r="AG391" s="279">
        <f t="shared" si="181"/>
        <v>-122.90487151671844</v>
      </c>
      <c r="AI391">
        <f t="shared" si="182"/>
        <v>0</v>
      </c>
      <c r="AJ391">
        <f t="shared" si="187"/>
        <v>0</v>
      </c>
      <c r="AK391">
        <f t="shared" si="183"/>
        <v>0</v>
      </c>
      <c r="AL391">
        <f t="shared" si="184"/>
        <v>0</v>
      </c>
      <c r="AM391"/>
      <c r="AN391"/>
    </row>
    <row r="392" spans="2:40" x14ac:dyDescent="0.2">
      <c r="B392" s="280">
        <v>34476.5</v>
      </c>
      <c r="C392" s="270">
        <f t="shared" si="157"/>
        <v>28.178640497966018</v>
      </c>
      <c r="D392" s="271">
        <f t="shared" si="158"/>
        <v>1.5353010012734993</v>
      </c>
      <c r="E392" s="271">
        <f t="shared" si="159"/>
        <v>1.0015848157401621</v>
      </c>
      <c r="F392" s="272">
        <f t="shared" si="160"/>
        <v>5.6262341450087953E-2</v>
      </c>
      <c r="G392" s="271">
        <f t="shared" si="161"/>
        <v>1.0591166017527582</v>
      </c>
      <c r="H392" s="272">
        <f t="shared" si="162"/>
        <v>-0.33569039650556221</v>
      </c>
      <c r="I392" s="270">
        <f t="shared" si="163"/>
        <v>121326.64968820065</v>
      </c>
      <c r="J392" s="273">
        <f t="shared" si="164"/>
        <v>1.5707880845826325</v>
      </c>
      <c r="K392" s="281">
        <f t="shared" si="165"/>
        <v>18.223725458299079</v>
      </c>
      <c r="L392" s="282">
        <f t="shared" si="166"/>
        <v>1.515895229097497</v>
      </c>
      <c r="M392" s="270">
        <f t="shared" si="167"/>
        <v>1.3318724522366698</v>
      </c>
      <c r="N392" s="273">
        <f t="shared" si="168"/>
        <v>0.72148964397260151</v>
      </c>
      <c r="O392" s="270">
        <f t="shared" si="169"/>
        <v>9531.712133394356</v>
      </c>
      <c r="P392" s="273">
        <f t="shared" si="170"/>
        <v>1.5706914138487396</v>
      </c>
      <c r="Q392" s="271">
        <f t="shared" si="171"/>
        <v>1.0541763563706374</v>
      </c>
      <c r="R392" s="272">
        <f t="shared" si="172"/>
        <v>0.3219889576500149</v>
      </c>
      <c r="S392" s="270">
        <f t="shared" si="173"/>
        <v>1.0000029125028986</v>
      </c>
      <c r="T392" s="273">
        <f t="shared" si="174"/>
        <v>2.4135019493462754E-3</v>
      </c>
      <c r="U392" s="274">
        <f t="shared" si="175"/>
        <v>1.0266927466927451</v>
      </c>
      <c r="V392" s="275">
        <f t="shared" si="176"/>
        <v>0.33391502211155183</v>
      </c>
      <c r="W392" s="276">
        <f t="shared" si="177"/>
        <v>-20.995952214879786</v>
      </c>
      <c r="X392" s="277">
        <f t="shared" si="186"/>
        <v>-167.59167787716456</v>
      </c>
      <c r="Y392" s="299">
        <f t="shared" si="185"/>
        <v>12.408322122835443</v>
      </c>
      <c r="AB392" s="278">
        <f t="shared" si="178"/>
        <v>-3.3926085392486831</v>
      </c>
      <c r="AC392" s="279">
        <f t="shared" si="179"/>
        <v>-44.48344050674627</v>
      </c>
      <c r="AF392" s="278">
        <f t="shared" si="180"/>
        <v>44.200188931350652</v>
      </c>
      <c r="AG392" s="279">
        <f t="shared" si="181"/>
        <v>-123.10823737041832</v>
      </c>
      <c r="AI392">
        <f t="shared" si="182"/>
        <v>0</v>
      </c>
      <c r="AJ392">
        <f t="shared" si="187"/>
        <v>0</v>
      </c>
      <c r="AK392">
        <f t="shared" si="183"/>
        <v>0</v>
      </c>
      <c r="AL392">
        <f t="shared" si="184"/>
        <v>0</v>
      </c>
      <c r="AM392"/>
      <c r="AN392"/>
    </row>
    <row r="393" spans="2:40" x14ac:dyDescent="0.2">
      <c r="B393" s="280">
        <v>34674</v>
      </c>
      <c r="C393" s="270">
        <f t="shared" si="157"/>
        <v>28.339860244153922</v>
      </c>
      <c r="D393" s="271">
        <f t="shared" si="158"/>
        <v>1.5355030111406232</v>
      </c>
      <c r="E393" s="271">
        <f t="shared" si="159"/>
        <v>1.0016030105359273</v>
      </c>
      <c r="F393" s="272">
        <f t="shared" si="160"/>
        <v>5.6583956949776512E-2</v>
      </c>
      <c r="G393" s="271">
        <f t="shared" si="161"/>
        <v>1.0597766830086068</v>
      </c>
      <c r="H393" s="272">
        <f t="shared" si="162"/>
        <v>-0.3374710574113654</v>
      </c>
      <c r="I393" s="270">
        <f t="shared" si="163"/>
        <v>122021.67422119547</v>
      </c>
      <c r="J393" s="273">
        <f t="shared" si="164"/>
        <v>1.5707881315295358</v>
      </c>
      <c r="K393" s="281">
        <f t="shared" si="165"/>
        <v>18.327807341024446</v>
      </c>
      <c r="L393" s="282">
        <f t="shared" si="166"/>
        <v>1.5162073181871196</v>
      </c>
      <c r="M393" s="270">
        <f t="shared" si="167"/>
        <v>1.3352063803195742</v>
      </c>
      <c r="N393" s="273">
        <f t="shared" si="168"/>
        <v>0.72432345883447802</v>
      </c>
      <c r="O393" s="270">
        <f t="shared" si="169"/>
        <v>9586.3149244457709</v>
      </c>
      <c r="P393" s="273">
        <f t="shared" si="170"/>
        <v>1.5706920114234848</v>
      </c>
      <c r="Q393" s="271">
        <f t="shared" si="171"/>
        <v>1.0547826673900054</v>
      </c>
      <c r="R393" s="272">
        <f t="shared" si="172"/>
        <v>0.32370762428866323</v>
      </c>
      <c r="S393" s="270">
        <f t="shared" si="173"/>
        <v>1.0000029459672037</v>
      </c>
      <c r="T393" s="273">
        <f t="shared" si="174"/>
        <v>2.4273277369990026E-3</v>
      </c>
      <c r="U393" s="274">
        <f t="shared" si="175"/>
        <v>1.0270005095975072</v>
      </c>
      <c r="V393" s="275">
        <f t="shared" si="176"/>
        <v>0.3357983450039177</v>
      </c>
      <c r="W393" s="276">
        <f t="shared" si="177"/>
        <v>-21.064403206757913</v>
      </c>
      <c r="X393" s="277">
        <f t="shared" si="186"/>
        <v>-167.93924272075094</v>
      </c>
      <c r="Y393" s="299">
        <f t="shared" si="185"/>
        <v>12.06075727924906</v>
      </c>
      <c r="AB393" s="278">
        <f t="shared" si="178"/>
        <v>-3.4144723424990464</v>
      </c>
      <c r="AC393" s="279">
        <f t="shared" si="179"/>
        <v>-44.627927440445205</v>
      </c>
      <c r="AF393" s="278">
        <f t="shared" si="180"/>
        <v>44.153601742722898</v>
      </c>
      <c r="AG393" s="279">
        <f t="shared" si="181"/>
        <v>-123.31131528030575</v>
      </c>
      <c r="AI393">
        <f t="shared" si="182"/>
        <v>0</v>
      </c>
      <c r="AJ393">
        <f t="shared" si="187"/>
        <v>0</v>
      </c>
      <c r="AK393">
        <f t="shared" si="183"/>
        <v>0</v>
      </c>
      <c r="AL393">
        <f t="shared" si="184"/>
        <v>0</v>
      </c>
      <c r="AM393"/>
      <c r="AN393"/>
    </row>
    <row r="394" spans="2:40" x14ac:dyDescent="0.2">
      <c r="B394" s="280">
        <v>34875.75</v>
      </c>
      <c r="C394" s="270">
        <f t="shared" si="157"/>
        <v>28.504550456456759</v>
      </c>
      <c r="D394" s="271">
        <f t="shared" si="158"/>
        <v>1.5357070086507341</v>
      </c>
      <c r="E394" s="271">
        <f t="shared" si="159"/>
        <v>1.0016217038317903</v>
      </c>
      <c r="F394" s="272">
        <f t="shared" si="160"/>
        <v>5.6912481190120857E-2</v>
      </c>
      <c r="G394" s="271">
        <f t="shared" si="161"/>
        <v>1.0604544337058115</v>
      </c>
      <c r="H394" s="272">
        <f t="shared" si="162"/>
        <v>-0.33928774161616909</v>
      </c>
      <c r="I394" s="270">
        <f t="shared" si="163"/>
        <v>122731.65497831833</v>
      </c>
      <c r="J394" s="273">
        <f t="shared" si="164"/>
        <v>1.5707881789376859</v>
      </c>
      <c r="K394" s="281">
        <f t="shared" si="165"/>
        <v>18.434130782584585</v>
      </c>
      <c r="L394" s="282">
        <f t="shared" si="166"/>
        <v>1.5165224843104315</v>
      </c>
      <c r="M394" s="270">
        <f t="shared" si="167"/>
        <v>1.3386230663348553</v>
      </c>
      <c r="N394" s="273">
        <f t="shared" si="168"/>
        <v>0.72720365632919592</v>
      </c>
      <c r="O394" s="270">
        <f t="shared" si="169"/>
        <v>9642.0927122701396</v>
      </c>
      <c r="P394" s="273">
        <f t="shared" si="170"/>
        <v>1.5706926148693185</v>
      </c>
      <c r="Q394" s="271">
        <f t="shared" si="171"/>
        <v>1.0554052387890862</v>
      </c>
      <c r="R394" s="272">
        <f t="shared" si="172"/>
        <v>0.32546123070115046</v>
      </c>
      <c r="S394" s="270">
        <f t="shared" si="173"/>
        <v>1.000002980348994</v>
      </c>
      <c r="T394" s="273">
        <f t="shared" si="174"/>
        <v>2.44145104064303E-3</v>
      </c>
      <c r="U394" s="274">
        <f t="shared" si="175"/>
        <v>1.0273167349496288</v>
      </c>
      <c r="V394" s="275">
        <f t="shared" si="176"/>
        <v>0.3377216790374864</v>
      </c>
      <c r="W394" s="276">
        <f t="shared" si="177"/>
        <v>-21.134039228208991</v>
      </c>
      <c r="X394" s="277">
        <f t="shared" si="186"/>
        <v>-168.29336331321986</v>
      </c>
      <c r="Y394" s="299">
        <f t="shared" si="185"/>
        <v>11.706636686780143</v>
      </c>
      <c r="AB394" s="278">
        <f t="shared" si="178"/>
        <v>-3.4368196010590752</v>
      </c>
      <c r="AC394" s="279">
        <f t="shared" si="179"/>
        <v>-44.774895628632336</v>
      </c>
      <c r="AF394" s="278">
        <f t="shared" si="180"/>
        <v>44.106312979831841</v>
      </c>
      <c r="AG394" s="279">
        <f t="shared" si="181"/>
        <v>-123.51846768458749</v>
      </c>
      <c r="AI394">
        <f t="shared" si="182"/>
        <v>0</v>
      </c>
      <c r="AJ394">
        <f t="shared" si="187"/>
        <v>0</v>
      </c>
      <c r="AK394">
        <f t="shared" si="183"/>
        <v>0</v>
      </c>
      <c r="AL394">
        <f t="shared" si="184"/>
        <v>0</v>
      </c>
      <c r="AM394"/>
      <c r="AN394"/>
    </row>
    <row r="395" spans="2:40" x14ac:dyDescent="0.2">
      <c r="B395" s="280">
        <v>35077.5</v>
      </c>
      <c r="C395" s="270">
        <f t="shared" si="157"/>
        <v>28.669241841347567</v>
      </c>
      <c r="D395" s="271">
        <f t="shared" si="158"/>
        <v>1.5359086624285974</v>
      </c>
      <c r="E395" s="271">
        <f t="shared" si="159"/>
        <v>1.0016405052268158</v>
      </c>
      <c r="F395" s="272">
        <f t="shared" si="160"/>
        <v>5.7240993132724433E-2</v>
      </c>
      <c r="G395" s="271">
        <f t="shared" si="161"/>
        <v>1.0611356797873144</v>
      </c>
      <c r="H395" s="272">
        <f t="shared" si="162"/>
        <v>-0.34110209919042006</v>
      </c>
      <c r="I395" s="270">
        <f t="shared" si="163"/>
        <v>123441.63573544144</v>
      </c>
      <c r="J395" s="273">
        <f t="shared" si="164"/>
        <v>1.570788225800495</v>
      </c>
      <c r="K395" s="281">
        <f t="shared" si="165"/>
        <v>18.540456034200012</v>
      </c>
      <c r="L395" s="282">
        <f t="shared" si="166"/>
        <v>1.5168340356539174</v>
      </c>
      <c r="M395" s="270">
        <f t="shared" si="167"/>
        <v>1.3420508003528375</v>
      </c>
      <c r="N395" s="273">
        <f t="shared" si="168"/>
        <v>0.73006916486018603</v>
      </c>
      <c r="O395" s="270">
        <f t="shared" si="169"/>
        <v>9697.8705000979789</v>
      </c>
      <c r="P395" s="273">
        <f t="shared" si="170"/>
        <v>1.5706932113736543</v>
      </c>
      <c r="Q395" s="271">
        <f t="shared" si="171"/>
        <v>1.0560310518696994</v>
      </c>
      <c r="R395" s="272">
        <f t="shared" si="172"/>
        <v>0.32721276409006028</v>
      </c>
      <c r="S395" s="270">
        <f t="shared" si="173"/>
        <v>1.0000030149302526</v>
      </c>
      <c r="T395" s="273">
        <f t="shared" si="174"/>
        <v>2.455574343313074E-3</v>
      </c>
      <c r="U395" s="274">
        <f t="shared" si="175"/>
        <v>1.0276348199936685</v>
      </c>
      <c r="V395" s="275">
        <f t="shared" si="176"/>
        <v>0.33964448868961994</v>
      </c>
      <c r="W395" s="276">
        <f t="shared" si="177"/>
        <v>-21.203386905865742</v>
      </c>
      <c r="X395" s="277">
        <f t="shared" si="186"/>
        <v>-168.6465524381322</v>
      </c>
      <c r="Y395" s="299">
        <f t="shared" si="185"/>
        <v>11.353447561867796</v>
      </c>
      <c r="AB395" s="278">
        <f t="shared" si="178"/>
        <v>-3.4591792164920383</v>
      </c>
      <c r="AC395" s="279">
        <f t="shared" si="179"/>
        <v>-44.921229281574611</v>
      </c>
      <c r="AF395" s="278">
        <f t="shared" si="180"/>
        <v>44.059324917608066</v>
      </c>
      <c r="AG395" s="279">
        <f t="shared" si="181"/>
        <v>-123.72532315655755</v>
      </c>
      <c r="AI395">
        <f t="shared" si="182"/>
        <v>0</v>
      </c>
      <c r="AJ395">
        <f t="shared" si="187"/>
        <v>0</v>
      </c>
      <c r="AK395">
        <f t="shared" si="183"/>
        <v>0</v>
      </c>
      <c r="AL395">
        <f t="shared" si="184"/>
        <v>0</v>
      </c>
      <c r="AM395"/>
      <c r="AN395"/>
    </row>
    <row r="396" spans="2:40" x14ac:dyDescent="0.2">
      <c r="B396" s="280">
        <v>35279.25</v>
      </c>
      <c r="C396" s="270">
        <f t="shared" si="157"/>
        <v>28.833934378733854</v>
      </c>
      <c r="D396" s="271">
        <f t="shared" si="158"/>
        <v>1.5361080126181847</v>
      </c>
      <c r="E396" s="271">
        <f t="shared" si="159"/>
        <v>1.0016594147149163</v>
      </c>
      <c r="F396" s="272">
        <f t="shared" si="160"/>
        <v>5.7569492707375644E-2</v>
      </c>
      <c r="G396" s="271">
        <f t="shared" si="161"/>
        <v>1.0618204145253762</v>
      </c>
      <c r="H396" s="272">
        <f t="shared" si="162"/>
        <v>-0.34291412267848609</v>
      </c>
      <c r="I396" s="270">
        <f t="shared" si="163"/>
        <v>124151.61649256482</v>
      </c>
      <c r="J396" s="273">
        <f t="shared" si="164"/>
        <v>1.5707882721273194</v>
      </c>
      <c r="K396" s="281">
        <f t="shared" si="165"/>
        <v>18.646783064907538</v>
      </c>
      <c r="L396" s="282">
        <f t="shared" si="166"/>
        <v>1.5171420339927844</v>
      </c>
      <c r="M396" s="270">
        <f t="shared" si="167"/>
        <v>1.3454894979367111</v>
      </c>
      <c r="N396" s="273">
        <f t="shared" si="168"/>
        <v>0.73292004981231873</v>
      </c>
      <c r="O396" s="270">
        <f t="shared" si="169"/>
        <v>9753.6482879292307</v>
      </c>
      <c r="P396" s="273">
        <f t="shared" si="170"/>
        <v>1.5706938010555802</v>
      </c>
      <c r="Q396" s="271">
        <f t="shared" si="171"/>
        <v>1.0566601008721306</v>
      </c>
      <c r="R396" s="272">
        <f t="shared" si="172"/>
        <v>0.32896221740130022</v>
      </c>
      <c r="S396" s="270">
        <f t="shared" si="173"/>
        <v>1.0000030497109795</v>
      </c>
      <c r="T396" s="273">
        <f t="shared" si="174"/>
        <v>2.4696976450035014E-3</v>
      </c>
      <c r="U396" s="274">
        <f t="shared" si="175"/>
        <v>1.0279547651412941</v>
      </c>
      <c r="V396" s="275">
        <f t="shared" si="176"/>
        <v>0.34156677111586953</v>
      </c>
      <c r="W396" s="276">
        <f t="shared" si="177"/>
        <v>-21.27244889887659</v>
      </c>
      <c r="X396" s="277">
        <f t="shared" si="186"/>
        <v>-168.99881201679429</v>
      </c>
      <c r="Y396" s="299">
        <f t="shared" si="185"/>
        <v>11.00118798320571</v>
      </c>
      <c r="AB396" s="278">
        <f t="shared" si="178"/>
        <v>-3.4815504432538531</v>
      </c>
      <c r="AC396" s="279">
        <f t="shared" si="179"/>
        <v>-45.066928606626547</v>
      </c>
      <c r="AF396" s="278">
        <f t="shared" si="180"/>
        <v>44.012634151359023</v>
      </c>
      <c r="AG396" s="279">
        <f t="shared" si="181"/>
        <v>-123.93188341016771</v>
      </c>
      <c r="AI396">
        <f t="shared" si="182"/>
        <v>0</v>
      </c>
      <c r="AJ396">
        <f t="shared" si="187"/>
        <v>0</v>
      </c>
      <c r="AK396">
        <f t="shared" si="183"/>
        <v>0</v>
      </c>
      <c r="AL396">
        <f t="shared" si="184"/>
        <v>0</v>
      </c>
      <c r="AM396"/>
      <c r="AN396"/>
    </row>
    <row r="397" spans="2:40" x14ac:dyDescent="0.2">
      <c r="B397" s="280">
        <v>35481</v>
      </c>
      <c r="C397" s="270">
        <f t="shared" ref="C397:C460" si="188">SQRT(1+(B397/PS_Pole1)^2)</f>
        <v>28.998628048979448</v>
      </c>
      <c r="D397" s="271">
        <f t="shared" ref="D397:D460" si="189">ATAN(B397/PS_Pole1)</f>
        <v>1.5363050984522419</v>
      </c>
      <c r="E397" s="271">
        <f t="shared" ref="E397:E460" si="190">SQRT(1+(B397/PS_Zero1)^2)</f>
        <v>1.0016784322899701</v>
      </c>
      <c r="F397" s="272">
        <f t="shared" ref="F397:F460" si="191">ATAN(B397/PS_Zero1)</f>
        <v>5.7897979843878886E-2</v>
      </c>
      <c r="G397" s="271">
        <f t="shared" ref="G397:G460" si="192">IF(VIN_nom&gt;Vout, 1, SQRT(1+(B397/PS_RHPZ)^2))</f>
        <v>1.0625086311751926</v>
      </c>
      <c r="H397" s="272">
        <f t="shared" ref="H397:H460" si="193">IF(VIN_nom&gt;Vout, 0, -ATAN(B397/PS_RHPZ))</f>
        <v>-0.34472380470521485</v>
      </c>
      <c r="I397" s="270">
        <f t="shared" ref="I397:I460" si="194">SQRT(1+(B397/EA_Pole1)^2)</f>
        <v>124861.59724968848</v>
      </c>
      <c r="J397" s="273">
        <f t="shared" ref="J397:J460" si="195">ATAN(B397/EA_Pole1)</f>
        <v>1.5707883179273021</v>
      </c>
      <c r="K397" s="281">
        <f t="shared" ref="K397:K460" si="196">SQRT(1+(B397/EA_Zero1)^2)</f>
        <v>18.753111844445705</v>
      </c>
      <c r="L397" s="282">
        <f t="shared" ref="L397:L460" si="197">ATAN(B397/EA_Zero1)</f>
        <v>1.517446539703927</v>
      </c>
      <c r="M397" s="270">
        <f t="shared" ref="M397:M460" si="198">SQRT(1+(B397/EA_Pole2)^2)</f>
        <v>1.348939075241949</v>
      </c>
      <c r="N397" s="273">
        <f t="shared" ref="N397:N460" si="199">ATAN(B397/EA_Pole2)</f>
        <v>0.73575637685565987</v>
      </c>
      <c r="O397" s="270">
        <f t="shared" ref="O397:O460" si="200">SQRT(1+(B397/$V$5)^2)</f>
        <v>9809.4260757638367</v>
      </c>
      <c r="P397" s="273">
        <f t="shared" ref="P397:P460" si="201">ATAN(B397/$V$5)</f>
        <v>1.5706943840314762</v>
      </c>
      <c r="Q397" s="271">
        <f t="shared" ref="Q397:Q460" si="202">SQRT(1+(B397/$V$4)^2)</f>
        <v>1.0572923800206264</v>
      </c>
      <c r="R397" s="272">
        <f t="shared" ref="R397:R460" si="203">ATAN(B397/$V$4)</f>
        <v>0.3307095836484516</v>
      </c>
      <c r="S397" s="270">
        <f t="shared" ref="S397:S460" si="204">SQRT(1+(B397/$V$7)^2)</f>
        <v>1.0000030846911745</v>
      </c>
      <c r="T397" s="273">
        <f t="shared" ref="T397:T460" si="205">ATAN(B397/$V$7)</f>
        <v>2.4838209457086766E-3</v>
      </c>
      <c r="U397" s="274">
        <f t="shared" ref="U397:U460" si="206">SQRT((1-(B397^2/pterm2))^2+(B397/pterm1)^2)</f>
        <v>1.028276570805897</v>
      </c>
      <c r="V397" s="275">
        <f t="shared" ref="V397:V460" si="207">IF((ATAN((B397/pterm1)/(1-B397^2/pterm2))&gt;0),ATAN((B397/pterm1)/(1-B397^2/pterm2)),PI()+ATAN((B397/pterm1)/(1-B397^2/pterm2)))</f>
        <v>0.3434885234750869</v>
      </c>
      <c r="W397" s="276">
        <f t="shared" ref="W397:W460" si="208">20*LOG10(((E397*K397*G397)/(C397*I397*U397*M397))*Adc)</f>
        <v>-21.341227819494499</v>
      </c>
      <c r="X397" s="277">
        <f t="shared" si="186"/>
        <v>-169.3501440195482</v>
      </c>
      <c r="Y397" s="299">
        <f t="shared" si="185"/>
        <v>10.649855980451804</v>
      </c>
      <c r="AB397" s="278">
        <f t="shared" ref="AB397:AB460" si="209">20*LOG10((K397/(I397*M397))*AEA)</f>
        <v>-3.503932545160092</v>
      </c>
      <c r="AC397" s="279">
        <f t="shared" ref="AC397:AC460" si="210">(L397-(J397+N397))*radconv</f>
        <v>-45.211993907588436</v>
      </c>
      <c r="AF397" s="278">
        <f t="shared" ref="AF397:AF460" si="211">20*LOG10((E397*G397/(C397*U397))*Acs*Am)</f>
        <v>43.96623733264736</v>
      </c>
      <c r="AG397" s="279">
        <f t="shared" ref="AG397:AG460" si="212">(F397+H397-(D397+V397))*radconv</f>
        <v>-124.13815011195972</v>
      </c>
      <c r="AI397">
        <f t="shared" ref="AI397:AI460" si="213">SUM((W398&lt;0)*(W397&gt;0))*B397</f>
        <v>0</v>
      </c>
      <c r="AJ397">
        <f t="shared" si="187"/>
        <v>0</v>
      </c>
      <c r="AK397">
        <f t="shared" ref="AK397:AK460" si="214">SUM((AB398&lt;0)*(AB397&gt;0))*B397</f>
        <v>0</v>
      </c>
      <c r="AL397">
        <f t="shared" ref="AL397:AL460" si="215">IF(AK397&gt;0,AC397,0)</f>
        <v>0</v>
      </c>
      <c r="AM397"/>
      <c r="AN397"/>
    </row>
    <row r="398" spans="2:40" x14ac:dyDescent="0.2">
      <c r="B398" s="280">
        <v>35687.75</v>
      </c>
      <c r="C398" s="270">
        <f t="shared" si="188"/>
        <v>29.167404501987541</v>
      </c>
      <c r="D398" s="271">
        <f t="shared" si="189"/>
        <v>1.5365047595734771</v>
      </c>
      <c r="E398" s="271">
        <f t="shared" si="190"/>
        <v>1.0016980333122005</v>
      </c>
      <c r="F398" s="272">
        <f t="shared" si="191"/>
        <v>5.823459494776087E-2</v>
      </c>
      <c r="G398" s="271">
        <f t="shared" si="192"/>
        <v>1.0632175093467919</v>
      </c>
      <c r="H398" s="272">
        <f t="shared" si="193"/>
        <v>-0.34657589949470846</v>
      </c>
      <c r="I398" s="270">
        <f t="shared" si="194"/>
        <v>125589.17356460975</v>
      </c>
      <c r="J398" s="273">
        <f t="shared" si="195"/>
        <v>1.5707883643251102</v>
      </c>
      <c r="K398" s="281">
        <f t="shared" si="196"/>
        <v>18.862077569248964</v>
      </c>
      <c r="L398" s="282">
        <f t="shared" si="197"/>
        <v>1.5177550302144323</v>
      </c>
      <c r="M398" s="270">
        <f t="shared" si="198"/>
        <v>1.3524853443601907</v>
      </c>
      <c r="N398" s="273">
        <f t="shared" si="199"/>
        <v>0.73864796242089714</v>
      </c>
      <c r="O398" s="270">
        <f t="shared" si="200"/>
        <v>9866.586212742739</v>
      </c>
      <c r="P398" s="273">
        <f t="shared" si="201"/>
        <v>1.5706949746169345</v>
      </c>
      <c r="Q398" s="271">
        <f t="shared" si="202"/>
        <v>1.0579436741959378</v>
      </c>
      <c r="R398" s="272">
        <f t="shared" si="203"/>
        <v>0.332498082602947</v>
      </c>
      <c r="S398" s="270">
        <f t="shared" si="204"/>
        <v>1.0000031207452338</v>
      </c>
      <c r="T398" s="273">
        <f t="shared" si="205"/>
        <v>2.498294265229772E-3</v>
      </c>
      <c r="U398" s="274">
        <f t="shared" si="206"/>
        <v>1.0286082825145164</v>
      </c>
      <c r="V398" s="275">
        <f t="shared" si="207"/>
        <v>0.34545735000299688</v>
      </c>
      <c r="W398" s="276">
        <f t="shared" si="208"/>
        <v>-21.411420300283346</v>
      </c>
      <c r="X398" s="277">
        <f t="shared" si="186"/>
        <v>-169.70922290280964</v>
      </c>
      <c r="Y398" s="299">
        <f t="shared" ref="Y398:Y461" si="216">IF(X398&gt;0,X398-180,X398+180)</f>
        <v>10.290777097190357</v>
      </c>
      <c r="AB398" s="278">
        <f t="shared" si="209"/>
        <v>-3.5268798684957976</v>
      </c>
      <c r="AC398" s="279">
        <f t="shared" si="210"/>
        <v>-45.359997010704276</v>
      </c>
      <c r="AF398" s="278">
        <f t="shared" si="211"/>
        <v>43.918992175194205</v>
      </c>
      <c r="AG398" s="279">
        <f t="shared" si="212"/>
        <v>-124.34922589210535</v>
      </c>
      <c r="AI398">
        <f t="shared" si="213"/>
        <v>0</v>
      </c>
      <c r="AJ398">
        <f t="shared" si="187"/>
        <v>0</v>
      </c>
      <c r="AK398">
        <f t="shared" si="214"/>
        <v>0</v>
      </c>
      <c r="AL398">
        <f t="shared" si="215"/>
        <v>0</v>
      </c>
      <c r="AM398"/>
      <c r="AN398"/>
    </row>
    <row r="399" spans="2:40" x14ac:dyDescent="0.2">
      <c r="B399" s="280">
        <v>35894.5</v>
      </c>
      <c r="C399" s="270">
        <f t="shared" si="188"/>
        <v>29.336182104362472</v>
      </c>
      <c r="D399" s="271">
        <f t="shared" si="189"/>
        <v>1.5367021233125302</v>
      </c>
      <c r="E399" s="271">
        <f t="shared" si="190"/>
        <v>1.0017177478321133</v>
      </c>
      <c r="F399" s="272">
        <f t="shared" si="191"/>
        <v>5.8571196840131096E-2</v>
      </c>
      <c r="G399" s="271">
        <f t="shared" si="192"/>
        <v>1.0639300297583838</v>
      </c>
      <c r="H399" s="272">
        <f t="shared" si="193"/>
        <v>-0.34842551990351905</v>
      </c>
      <c r="I399" s="270">
        <f t="shared" si="194"/>
        <v>126316.74987953131</v>
      </c>
      <c r="J399" s="273">
        <f t="shared" si="195"/>
        <v>1.5707884101884215</v>
      </c>
      <c r="K399" s="281">
        <f t="shared" si="196"/>
        <v>18.971045068467433</v>
      </c>
      <c r="L399" s="282">
        <f t="shared" si="197"/>
        <v>1.5180599768857139</v>
      </c>
      <c r="M399" s="270">
        <f t="shared" si="198"/>
        <v>1.356042862767602</v>
      </c>
      <c r="N399" s="273">
        <f t="shared" si="199"/>
        <v>0.74152440003850462</v>
      </c>
      <c r="O399" s="270">
        <f t="shared" si="200"/>
        <v>9923.7463497250483</v>
      </c>
      <c r="P399" s="273">
        <f t="shared" si="201"/>
        <v>1.5706955583989248</v>
      </c>
      <c r="Q399" s="271">
        <f t="shared" si="202"/>
        <v>1.0585983482754822</v>
      </c>
      <c r="R399" s="272">
        <f t="shared" si="203"/>
        <v>0.33428437512537285</v>
      </c>
      <c r="S399" s="270">
        <f t="shared" si="204"/>
        <v>1.0000031570087704</v>
      </c>
      <c r="T399" s="273">
        <f t="shared" si="205"/>
        <v>2.5127675837041956E-3</v>
      </c>
      <c r="U399" s="274">
        <f t="shared" si="206"/>
        <v>1.0289419489863187</v>
      </c>
      <c r="V399" s="275">
        <f t="shared" si="207"/>
        <v>0.34742561383417597</v>
      </c>
      <c r="W399" s="276">
        <f t="shared" si="208"/>
        <v>-21.481320912913638</v>
      </c>
      <c r="X399" s="277">
        <f t="shared" ref="X399:X462" si="217">IF(((F399+L399+H399)-(D399+J399+V399+N399))*radconv&lt;-180,((F399+L399+H399)-(D399+J399+V399+N399))*radconv+360,((F399+L399+H399)-(D399+J399+V399+N399))*radconv)</f>
        <v>-170.067332003953</v>
      </c>
      <c r="Y399" s="299">
        <f t="shared" si="216"/>
        <v>9.9326679960470017</v>
      </c>
      <c r="AB399" s="278">
        <f t="shared" si="209"/>
        <v>-3.5498370772933474</v>
      </c>
      <c r="AC399" s="279">
        <f t="shared" si="210"/>
        <v>-45.507335216759003</v>
      </c>
      <c r="AF399" s="278">
        <f t="shared" si="211"/>
        <v>43.872048771361477</v>
      </c>
      <c r="AG399" s="279">
        <f t="shared" si="212"/>
        <v>-124.55999678719402</v>
      </c>
      <c r="AI399">
        <f t="shared" si="213"/>
        <v>0</v>
      </c>
      <c r="AJ399">
        <f t="shared" si="187"/>
        <v>0</v>
      </c>
      <c r="AK399">
        <f t="shared" si="214"/>
        <v>0</v>
      </c>
      <c r="AL399">
        <f t="shared" si="215"/>
        <v>0</v>
      </c>
      <c r="AM399"/>
      <c r="AN399"/>
    </row>
    <row r="400" spans="2:40" x14ac:dyDescent="0.2">
      <c r="B400" s="280">
        <v>36101.25</v>
      </c>
      <c r="C400" s="270">
        <f t="shared" si="188"/>
        <v>29.504960836380025</v>
      </c>
      <c r="D400" s="271">
        <f t="shared" si="189"/>
        <v>1.5368972290793894</v>
      </c>
      <c r="E400" s="271">
        <f t="shared" si="190"/>
        <v>1.0017375758430076</v>
      </c>
      <c r="F400" s="272">
        <f t="shared" si="191"/>
        <v>5.8907785445497296E-2</v>
      </c>
      <c r="G400" s="271">
        <f t="shared" si="192"/>
        <v>1.0646461850971995</v>
      </c>
      <c r="H400" s="272">
        <f t="shared" si="193"/>
        <v>-0.35027265825691073</v>
      </c>
      <c r="I400" s="270">
        <f t="shared" si="194"/>
        <v>127044.32619445313</v>
      </c>
      <c r="J400" s="273">
        <f t="shared" si="195"/>
        <v>1.5707884555264191</v>
      </c>
      <c r="K400" s="281">
        <f t="shared" si="196"/>
        <v>19.080014311699614</v>
      </c>
      <c r="L400" s="282">
        <f t="shared" si="197"/>
        <v>1.5183614403789905</v>
      </c>
      <c r="M400" s="270">
        <f t="shared" si="198"/>
        <v>1.3596115421605364</v>
      </c>
      <c r="N400" s="273">
        <f t="shared" si="199"/>
        <v>0.74438576120311273</v>
      </c>
      <c r="O400" s="270">
        <f t="shared" si="200"/>
        <v>9980.906486710699</v>
      </c>
      <c r="P400" s="273">
        <f t="shared" si="201"/>
        <v>1.5706961354943365</v>
      </c>
      <c r="Q400" s="271">
        <f t="shared" si="202"/>
        <v>1.0592563959924042</v>
      </c>
      <c r="R400" s="272">
        <f t="shared" si="203"/>
        <v>0.3360684539178394</v>
      </c>
      <c r="S400" s="270">
        <f t="shared" si="204"/>
        <v>1.0000031934817848</v>
      </c>
      <c r="T400" s="273">
        <f t="shared" si="205"/>
        <v>2.5272409011258827E-3</v>
      </c>
      <c r="U400" s="274">
        <f t="shared" si="206"/>
        <v>1.0292775706717636</v>
      </c>
      <c r="V400" s="275">
        <f t="shared" si="207"/>
        <v>0.34939331192187639</v>
      </c>
      <c r="W400" s="276">
        <f t="shared" si="208"/>
        <v>-21.550932323415289</v>
      </c>
      <c r="X400" s="277">
        <f t="shared" si="217"/>
        <v>-170.42447359226892</v>
      </c>
      <c r="Y400" s="299">
        <f t="shared" si="216"/>
        <v>9.5755264077310756</v>
      </c>
      <c r="AB400" s="278">
        <f t="shared" si="209"/>
        <v>-3.5728034096513634</v>
      </c>
      <c r="AC400" s="279">
        <f t="shared" si="210"/>
        <v>-45.654009146987605</v>
      </c>
      <c r="AF400" s="278">
        <f t="shared" si="211"/>
        <v>43.825403693217837</v>
      </c>
      <c r="AG400" s="279">
        <f t="shared" si="212"/>
        <v>-124.77046444528132</v>
      </c>
      <c r="AI400">
        <f t="shared" si="213"/>
        <v>0</v>
      </c>
      <c r="AJ400">
        <f t="shared" si="187"/>
        <v>0</v>
      </c>
      <c r="AK400">
        <f t="shared" si="214"/>
        <v>0</v>
      </c>
      <c r="AL400">
        <f t="shared" si="215"/>
        <v>0</v>
      </c>
      <c r="AM400"/>
      <c r="AN400"/>
    </row>
    <row r="401" spans="2:40" x14ac:dyDescent="0.2">
      <c r="B401" s="280">
        <v>36308</v>
      </c>
      <c r="C401" s="270">
        <f t="shared" si="188"/>
        <v>29.673740678764606</v>
      </c>
      <c r="D401" s="271">
        <f t="shared" si="189"/>
        <v>1.5370901153881071</v>
      </c>
      <c r="E401" s="271">
        <f t="shared" si="190"/>
        <v>1.0017575173381441</v>
      </c>
      <c r="F401" s="272">
        <f t="shared" si="191"/>
        <v>5.9244360688385206E-2</v>
      </c>
      <c r="G401" s="271">
        <f t="shared" si="192"/>
        <v>1.0653659680328782</v>
      </c>
      <c r="H401" s="272">
        <f t="shared" si="193"/>
        <v>-0.35211730696847982</v>
      </c>
      <c r="I401" s="270">
        <f t="shared" si="194"/>
        <v>127771.90250937518</v>
      </c>
      <c r="J401" s="273">
        <f t="shared" si="195"/>
        <v>1.5707885003480773</v>
      </c>
      <c r="K401" s="281">
        <f t="shared" si="196"/>
        <v>19.188985269234124</v>
      </c>
      <c r="L401" s="282">
        <f t="shared" si="197"/>
        <v>1.5186594799801079</v>
      </c>
      <c r="M401" s="270">
        <f t="shared" si="198"/>
        <v>1.3631912948844345</v>
      </c>
      <c r="N401" s="273">
        <f t="shared" si="199"/>
        <v>0.74723211764937514</v>
      </c>
      <c r="O401" s="270">
        <f t="shared" si="200"/>
        <v>10038.066623699637</v>
      </c>
      <c r="P401" s="273">
        <f t="shared" si="201"/>
        <v>1.5706967060173962</v>
      </c>
      <c r="Q401" s="271">
        <f t="shared" si="202"/>
        <v>1.0599178110631569</v>
      </c>
      <c r="R401" s="272">
        <f t="shared" si="203"/>
        <v>0.3378503117569025</v>
      </c>
      <c r="S401" s="270">
        <f t="shared" si="204"/>
        <v>1.0000032301642767</v>
      </c>
      <c r="T401" s="273">
        <f t="shared" si="205"/>
        <v>2.5417142174887705E-3</v>
      </c>
      <c r="U401" s="274">
        <f t="shared" si="206"/>
        <v>1.0296151480231657</v>
      </c>
      <c r="V401" s="275">
        <f t="shared" si="207"/>
        <v>0.35136044122307702</v>
      </c>
      <c r="W401" s="276">
        <f t="shared" si="208"/>
        <v>-21.620257151358857</v>
      </c>
      <c r="X401" s="277">
        <f t="shared" si="217"/>
        <v>-170.78064998353142</v>
      </c>
      <c r="Y401" s="299">
        <f t="shared" si="216"/>
        <v>9.2193500164685815</v>
      </c>
      <c r="AB401" s="278">
        <f t="shared" si="209"/>
        <v>-3.5957781138392457</v>
      </c>
      <c r="AC401" s="279">
        <f t="shared" si="210"/>
        <v>-45.800019515168344</v>
      </c>
      <c r="AF401" s="278">
        <f t="shared" si="211"/>
        <v>43.77905356946215</v>
      </c>
      <c r="AG401" s="279">
        <f t="shared" si="212"/>
        <v>-124.9806304683631</v>
      </c>
      <c r="AI401">
        <f t="shared" si="213"/>
        <v>0</v>
      </c>
      <c r="AJ401">
        <f t="shared" si="187"/>
        <v>0</v>
      </c>
      <c r="AK401">
        <f t="shared" si="214"/>
        <v>0</v>
      </c>
      <c r="AL401">
        <f t="shared" si="215"/>
        <v>0</v>
      </c>
      <c r="AM401"/>
      <c r="AN401"/>
    </row>
    <row r="402" spans="2:40" x14ac:dyDescent="0.2">
      <c r="B402" s="280">
        <v>36519.5</v>
      </c>
      <c r="C402" s="270">
        <f t="shared" si="188"/>
        <v>29.846399300984576</v>
      </c>
      <c r="D402" s="271">
        <f t="shared" si="189"/>
        <v>1.5372851758971235</v>
      </c>
      <c r="E402" s="271">
        <f t="shared" si="190"/>
        <v>1.001778034399305</v>
      </c>
      <c r="F402" s="272">
        <f t="shared" si="191"/>
        <v>5.9588654710033218E-2</v>
      </c>
      <c r="G402" s="271">
        <f t="shared" si="192"/>
        <v>1.0661060336056774</v>
      </c>
      <c r="H402" s="272">
        <f t="shared" si="193"/>
        <v>-0.35400175184511617</v>
      </c>
      <c r="I402" s="270">
        <f t="shared" si="194"/>
        <v>128516.19460420504</v>
      </c>
      <c r="J402" s="273">
        <f t="shared" si="195"/>
        <v>1.5707885456743687</v>
      </c>
      <c r="K402" s="281">
        <f t="shared" si="196"/>
        <v>19.300461535251301</v>
      </c>
      <c r="L402" s="282">
        <f t="shared" si="197"/>
        <v>1.518960884547196</v>
      </c>
      <c r="M402" s="270">
        <f t="shared" si="198"/>
        <v>1.3668646581681212</v>
      </c>
      <c r="N402" s="273">
        <f t="shared" si="199"/>
        <v>0.75012841727384127</v>
      </c>
      <c r="O402" s="270">
        <f t="shared" si="200"/>
        <v>10096.539992376063</v>
      </c>
      <c r="P402" s="273">
        <f t="shared" si="201"/>
        <v>1.5706972829638031</v>
      </c>
      <c r="Q402" s="271">
        <f t="shared" si="202"/>
        <v>1.0605978996044316</v>
      </c>
      <c r="R402" s="272">
        <f t="shared" si="203"/>
        <v>0.33967080154820428</v>
      </c>
      <c r="S402" s="270">
        <f t="shared" si="204"/>
        <v>1.0000032679062862</v>
      </c>
      <c r="T402" s="273">
        <f t="shared" si="205"/>
        <v>2.5565200515053864E-3</v>
      </c>
      <c r="U402" s="274">
        <f t="shared" si="206"/>
        <v>1.029962505133166</v>
      </c>
      <c r="V402" s="275">
        <f t="shared" si="207"/>
        <v>0.35337217283996158</v>
      </c>
      <c r="W402" s="276">
        <f t="shared" si="208"/>
        <v>-21.690880839475884</v>
      </c>
      <c r="X402" s="277">
        <f t="shared" si="217"/>
        <v>-171.14401313448488</v>
      </c>
      <c r="Y402" s="299">
        <f t="shared" si="216"/>
        <v>8.8559868655151206</v>
      </c>
      <c r="AB402" s="278">
        <f t="shared" si="209"/>
        <v>-3.6192885422001759</v>
      </c>
      <c r="AC402" s="279">
        <f t="shared" si="210"/>
        <v>-45.948698647240661</v>
      </c>
      <c r="AF402" s="278">
        <f t="shared" si="211"/>
        <v>43.731940309706054</v>
      </c>
      <c r="AG402" s="279">
        <f t="shared" si="212"/>
        <v>-125.19531448724423</v>
      </c>
      <c r="AI402">
        <f t="shared" si="213"/>
        <v>0</v>
      </c>
      <c r="AJ402">
        <f t="shared" si="187"/>
        <v>0</v>
      </c>
      <c r="AK402">
        <f t="shared" si="214"/>
        <v>0</v>
      </c>
      <c r="AL402">
        <f t="shared" si="215"/>
        <v>0</v>
      </c>
      <c r="AM402"/>
      <c r="AN402"/>
    </row>
    <row r="403" spans="2:40" x14ac:dyDescent="0.2">
      <c r="B403" s="280">
        <v>36731</v>
      </c>
      <c r="C403" s="270">
        <f t="shared" si="188"/>
        <v>30.019059045755018</v>
      </c>
      <c r="D403" s="271">
        <f t="shared" si="189"/>
        <v>1.5374779925657458</v>
      </c>
      <c r="E403" s="271">
        <f t="shared" si="190"/>
        <v>1.0017986702047323</v>
      </c>
      <c r="F403" s="272">
        <f t="shared" si="191"/>
        <v>5.9932934588433774E-2</v>
      </c>
      <c r="G403" s="271">
        <f t="shared" si="192"/>
        <v>1.0668498798019403</v>
      </c>
      <c r="H403" s="272">
        <f t="shared" si="193"/>
        <v>-0.35588357559080741</v>
      </c>
      <c r="I403" s="270">
        <f t="shared" si="194"/>
        <v>129260.48669903517</v>
      </c>
      <c r="J403" s="273">
        <f t="shared" si="195"/>
        <v>1.5707885904786754</v>
      </c>
      <c r="K403" s="281">
        <f t="shared" si="196"/>
        <v>19.411939534475533</v>
      </c>
      <c r="L403" s="282">
        <f t="shared" si="197"/>
        <v>1.519258827356345</v>
      </c>
      <c r="M403" s="270">
        <f t="shared" si="198"/>
        <v>1.3705494259477691</v>
      </c>
      <c r="N403" s="273">
        <f t="shared" si="199"/>
        <v>0.75300916735960155</v>
      </c>
      <c r="O403" s="270">
        <f t="shared" si="200"/>
        <v>10155.013361055811</v>
      </c>
      <c r="P403" s="273">
        <f t="shared" si="201"/>
        <v>1.5706978532660039</v>
      </c>
      <c r="Q403" s="271">
        <f t="shared" si="202"/>
        <v>1.0612814986495576</v>
      </c>
      <c r="R403" s="272">
        <f t="shared" si="203"/>
        <v>0.34148895210899088</v>
      </c>
      <c r="S403" s="270">
        <f t="shared" si="204"/>
        <v>1.0000033058675093</v>
      </c>
      <c r="T403" s="273">
        <f t="shared" si="205"/>
        <v>2.5713258844011553E-3</v>
      </c>
      <c r="U403" s="274">
        <f t="shared" si="206"/>
        <v>1.0303119097661428</v>
      </c>
      <c r="V403" s="275">
        <f t="shared" si="207"/>
        <v>0.35538330280480029</v>
      </c>
      <c r="W403" s="276">
        <f t="shared" si="208"/>
        <v>-21.761210027537178</v>
      </c>
      <c r="X403" s="277">
        <f t="shared" si="217"/>
        <v>-171.50637127260941</v>
      </c>
      <c r="Y403" s="299">
        <f t="shared" si="216"/>
        <v>8.4936287273905862</v>
      </c>
      <c r="AB403" s="278">
        <f t="shared" si="209"/>
        <v>-3.6428061724598901</v>
      </c>
      <c r="AC403" s="279">
        <f t="shared" si="210"/>
        <v>-46.096685170583839</v>
      </c>
      <c r="AF403" s="278">
        <f t="shared" si="211"/>
        <v>43.685128751904472</v>
      </c>
      <c r="AG403" s="279">
        <f t="shared" si="212"/>
        <v>-125.40968610202559</v>
      </c>
      <c r="AI403">
        <f t="shared" si="213"/>
        <v>0</v>
      </c>
      <c r="AJ403">
        <f t="shared" si="187"/>
        <v>0</v>
      </c>
      <c r="AK403">
        <f t="shared" si="214"/>
        <v>0</v>
      </c>
      <c r="AL403">
        <f t="shared" si="215"/>
        <v>0</v>
      </c>
      <c r="AM403"/>
      <c r="AN403"/>
    </row>
    <row r="404" spans="2:40" x14ac:dyDescent="0.2">
      <c r="B404" s="280">
        <v>36942.5</v>
      </c>
      <c r="C404" s="270">
        <f t="shared" si="188"/>
        <v>30.191719893817098</v>
      </c>
      <c r="D404" s="271">
        <f t="shared" si="189"/>
        <v>1.5376686038758338</v>
      </c>
      <c r="E404" s="271">
        <f t="shared" si="190"/>
        <v>1.0018194247470884</v>
      </c>
      <c r="F404" s="272">
        <f t="shared" si="191"/>
        <v>6.0277200242849334E-2</v>
      </c>
      <c r="G404" s="271">
        <f t="shared" si="192"/>
        <v>1.0675974987192443</v>
      </c>
      <c r="H404" s="272">
        <f t="shared" si="193"/>
        <v>-0.35776277037026749</v>
      </c>
      <c r="I404" s="270">
        <f t="shared" si="194"/>
        <v>130004.77879386554</v>
      </c>
      <c r="J404" s="273">
        <f t="shared" si="195"/>
        <v>1.5707886347699627</v>
      </c>
      <c r="K404" s="281">
        <f t="shared" si="196"/>
        <v>19.523419237217176</v>
      </c>
      <c r="L404" s="282">
        <f t="shared" si="197"/>
        <v>1.5195533676546342</v>
      </c>
      <c r="M404" s="270">
        <f t="shared" si="198"/>
        <v>1.3742455064866739</v>
      </c>
      <c r="N404" s="273">
        <f t="shared" si="199"/>
        <v>0.75587444536437598</v>
      </c>
      <c r="O404" s="270">
        <f t="shared" si="200"/>
        <v>10213.486729738825</v>
      </c>
      <c r="P404" s="273">
        <f t="shared" si="201"/>
        <v>1.5706984170381153</v>
      </c>
      <c r="Q404" s="271">
        <f t="shared" si="202"/>
        <v>1.0619686014193026</v>
      </c>
      <c r="R404" s="272">
        <f t="shared" si="203"/>
        <v>0.34330475594783977</v>
      </c>
      <c r="S404" s="270">
        <f t="shared" si="204"/>
        <v>1.0000033440479454</v>
      </c>
      <c r="T404" s="273">
        <f t="shared" si="205"/>
        <v>2.5861317161695878E-3</v>
      </c>
      <c r="U404" s="274">
        <f t="shared" si="206"/>
        <v>1.0306633624122572</v>
      </c>
      <c r="V404" s="275">
        <f t="shared" si="207"/>
        <v>0.35739382787223117</v>
      </c>
      <c r="W404" s="276">
        <f t="shared" si="208"/>
        <v>-21.831247376805834</v>
      </c>
      <c r="X404" s="277">
        <f t="shared" si="217"/>
        <v>-171.86772701641135</v>
      </c>
      <c r="Y404" s="299">
        <f t="shared" si="216"/>
        <v>8.1322729835886491</v>
      </c>
      <c r="AB404" s="278">
        <f t="shared" si="209"/>
        <v>-3.6663302325967622</v>
      </c>
      <c r="AC404" s="279">
        <f t="shared" si="210"/>
        <v>-46.243980129104415</v>
      </c>
      <c r="AF404" s="278">
        <f t="shared" si="211"/>
        <v>43.638615462772691</v>
      </c>
      <c r="AG404" s="279">
        <f t="shared" si="212"/>
        <v>-125.62374688730689</v>
      </c>
      <c r="AI404">
        <f t="shared" si="213"/>
        <v>0</v>
      </c>
      <c r="AJ404">
        <f t="shared" si="187"/>
        <v>0</v>
      </c>
      <c r="AK404">
        <f t="shared" si="214"/>
        <v>0</v>
      </c>
      <c r="AL404">
        <f t="shared" si="215"/>
        <v>0</v>
      </c>
      <c r="AM404"/>
      <c r="AN404"/>
    </row>
    <row r="405" spans="2:40" x14ac:dyDescent="0.2">
      <c r="B405" s="280">
        <v>37154</v>
      </c>
      <c r="C405" s="270">
        <f t="shared" si="188"/>
        <v>30.364381826349874</v>
      </c>
      <c r="D405" s="271">
        <f t="shared" si="189"/>
        <v>1.5378570474346147</v>
      </c>
      <c r="E405" s="271">
        <f t="shared" si="190"/>
        <v>1.0018402980189933</v>
      </c>
      <c r="F405" s="272">
        <f t="shared" si="191"/>
        <v>6.0621451592562527E-2</v>
      </c>
      <c r="G405" s="271">
        <f t="shared" si="192"/>
        <v>1.0683488824372613</v>
      </c>
      <c r="H405" s="272">
        <f t="shared" si="193"/>
        <v>-0.35963932844435725</v>
      </c>
      <c r="I405" s="270">
        <f t="shared" si="194"/>
        <v>130749.07088869617</v>
      </c>
      <c r="J405" s="273">
        <f t="shared" si="195"/>
        <v>1.5707886785569916</v>
      </c>
      <c r="K405" s="281">
        <f t="shared" si="196"/>
        <v>19.634900614460406</v>
      </c>
      <c r="L405" s="282">
        <f t="shared" si="197"/>
        <v>1.5198445633459829</v>
      </c>
      <c r="M405" s="270">
        <f t="shared" si="198"/>
        <v>1.3779528087522521</v>
      </c>
      <c r="N405" s="273">
        <f t="shared" si="199"/>
        <v>0.75872432893230179</v>
      </c>
      <c r="O405" s="270">
        <f t="shared" si="200"/>
        <v>10271.960098425048</v>
      </c>
      <c r="P405" s="273">
        <f t="shared" si="201"/>
        <v>1.5706989743916555</v>
      </c>
      <c r="Q405" s="271">
        <f t="shared" si="202"/>
        <v>1.0626592011172677</v>
      </c>
      <c r="R405" s="272">
        <f t="shared" si="203"/>
        <v>0.34511820565455381</v>
      </c>
      <c r="S405" s="270">
        <f t="shared" si="204"/>
        <v>1.0000033824475953</v>
      </c>
      <c r="T405" s="273">
        <f t="shared" si="205"/>
        <v>2.6009375468041924E-3</v>
      </c>
      <c r="U405" s="274">
        <f t="shared" si="206"/>
        <v>1.0310168635636494</v>
      </c>
      <c r="V405" s="275">
        <f t="shared" si="207"/>
        <v>0.35940374480107073</v>
      </c>
      <c r="W405" s="276">
        <f t="shared" si="208"/>
        <v>-21.900995502851526</v>
      </c>
      <c r="X405" s="277">
        <f t="shared" si="217"/>
        <v>-172.2280830276577</v>
      </c>
      <c r="Y405" s="299">
        <f t="shared" si="216"/>
        <v>7.7719169723422965</v>
      </c>
      <c r="AB405" s="278">
        <f t="shared" si="209"/>
        <v>-3.6898599615016008</v>
      </c>
      <c r="AC405" s="279">
        <f t="shared" si="210"/>
        <v>-46.390584654335512</v>
      </c>
      <c r="AF405" s="278">
        <f t="shared" si="211"/>
        <v>43.592397065631836</v>
      </c>
      <c r="AG405" s="279">
        <f t="shared" si="212"/>
        <v>-125.83749837332215</v>
      </c>
      <c r="AI405">
        <f t="shared" si="213"/>
        <v>0</v>
      </c>
      <c r="AJ405">
        <f t="shared" si="187"/>
        <v>0</v>
      </c>
      <c r="AK405">
        <f t="shared" si="214"/>
        <v>0</v>
      </c>
      <c r="AL405">
        <f t="shared" si="215"/>
        <v>0</v>
      </c>
      <c r="AM405"/>
      <c r="AN405"/>
    </row>
    <row r="406" spans="2:40" x14ac:dyDescent="0.2">
      <c r="B406" s="280">
        <v>37370.25</v>
      </c>
      <c r="C406" s="270">
        <f t="shared" si="188"/>
        <v>30.540922611258598</v>
      </c>
      <c r="D406" s="271">
        <f t="shared" si="189"/>
        <v>1.5380475201367489</v>
      </c>
      <c r="E406" s="271">
        <f t="shared" si="190"/>
        <v>1.0018617628274809</v>
      </c>
      <c r="F406" s="272">
        <f t="shared" si="191"/>
        <v>6.0973419481300722E-2</v>
      </c>
      <c r="G406" s="271">
        <f t="shared" si="192"/>
        <v>1.0691210255130437</v>
      </c>
      <c r="H406" s="272">
        <f t="shared" si="193"/>
        <v>-0.36155529728305158</v>
      </c>
      <c r="I406" s="270">
        <f t="shared" si="194"/>
        <v>131510.07876343458</v>
      </c>
      <c r="J406" s="273">
        <f t="shared" si="195"/>
        <v>1.5707887228149628</v>
      </c>
      <c r="K406" s="281">
        <f t="shared" si="196"/>
        <v>19.74888741237293</v>
      </c>
      <c r="L406" s="282">
        <f t="shared" si="197"/>
        <v>1.5201388997200875</v>
      </c>
      <c r="M406" s="270">
        <f t="shared" si="198"/>
        <v>1.3817548804456732</v>
      </c>
      <c r="N406" s="273">
        <f t="shared" si="199"/>
        <v>0.76162238110783664</v>
      </c>
      <c r="O406" s="270">
        <f t="shared" si="200"/>
        <v>10331.746698798974</v>
      </c>
      <c r="P406" s="273">
        <f t="shared" si="201"/>
        <v>1.5706995377396948</v>
      </c>
      <c r="Q406" s="271">
        <f t="shared" si="202"/>
        <v>1.0633689192546076</v>
      </c>
      <c r="R406" s="272">
        <f t="shared" si="203"/>
        <v>0.34696994128938291</v>
      </c>
      <c r="S406" s="270">
        <f t="shared" si="204"/>
        <v>1.0000034219363021</v>
      </c>
      <c r="T406" s="273">
        <f t="shared" si="205"/>
        <v>2.6160758949146392E-3</v>
      </c>
      <c r="U406" s="274">
        <f t="shared" si="206"/>
        <v>1.0313804224127396</v>
      </c>
      <c r="V406" s="275">
        <f t="shared" si="207"/>
        <v>0.36145816955744492</v>
      </c>
      <c r="W406" s="276">
        <f t="shared" si="208"/>
        <v>-21.972013714667256</v>
      </c>
      <c r="X406" s="277">
        <f t="shared" si="217"/>
        <v>-172.59550129332524</v>
      </c>
      <c r="Y406" s="299">
        <f t="shared" si="216"/>
        <v>7.4044987066747581</v>
      </c>
      <c r="AB406" s="278">
        <f t="shared" si="209"/>
        <v>-3.7139232155519926</v>
      </c>
      <c r="AC406" s="279">
        <f t="shared" si="210"/>
        <v>-46.539769116603978</v>
      </c>
      <c r="AF406" s="278">
        <f t="shared" si="211"/>
        <v>43.545442107866499</v>
      </c>
      <c r="AG406" s="279">
        <f t="shared" si="212"/>
        <v>-126.05573217672125</v>
      </c>
      <c r="AI406">
        <f t="shared" si="213"/>
        <v>0</v>
      </c>
      <c r="AJ406">
        <f t="shared" si="187"/>
        <v>0</v>
      </c>
      <c r="AK406">
        <f t="shared" si="214"/>
        <v>0</v>
      </c>
      <c r="AL406">
        <f t="shared" si="215"/>
        <v>0</v>
      </c>
      <c r="AM406"/>
      <c r="AN406"/>
    </row>
    <row r="407" spans="2:40" x14ac:dyDescent="0.2">
      <c r="B407" s="280">
        <v>37586.5</v>
      </c>
      <c r="C407" s="270">
        <f t="shared" si="188"/>
        <v>30.717464491451274</v>
      </c>
      <c r="D407" s="271">
        <f t="shared" si="189"/>
        <v>1.5382358034456109</v>
      </c>
      <c r="E407" s="271">
        <f t="shared" si="190"/>
        <v>1.001883351742674</v>
      </c>
      <c r="F407" s="272">
        <f t="shared" si="191"/>
        <v>6.1325372244995846E-2</v>
      </c>
      <c r="G407" s="271">
        <f t="shared" si="192"/>
        <v>1.0698970875910567</v>
      </c>
      <c r="H407" s="272">
        <f t="shared" si="193"/>
        <v>-0.36346849359671818</v>
      </c>
      <c r="I407" s="270">
        <f t="shared" si="194"/>
        <v>132271.08663817326</v>
      </c>
      <c r="J407" s="273">
        <f t="shared" si="195"/>
        <v>1.5707887665636668</v>
      </c>
      <c r="K407" s="281">
        <f t="shared" si="196"/>
        <v>19.862875901571631</v>
      </c>
      <c r="L407" s="282">
        <f t="shared" si="197"/>
        <v>1.5204298578612701</v>
      </c>
      <c r="M407" s="270">
        <f t="shared" si="198"/>
        <v>1.3855684933468064</v>
      </c>
      <c r="N407" s="273">
        <f t="shared" si="199"/>
        <v>0.76450450428910421</v>
      </c>
      <c r="O407" s="270">
        <f t="shared" si="200"/>
        <v>10391.533299176142</v>
      </c>
      <c r="P407" s="273">
        <f t="shared" si="201"/>
        <v>1.5707000946054062</v>
      </c>
      <c r="Q407" s="271">
        <f t="shared" si="202"/>
        <v>1.0640822787329065</v>
      </c>
      <c r="R407" s="272">
        <f t="shared" si="203"/>
        <v>0.34881920045543646</v>
      </c>
      <c r="S407" s="270">
        <f t="shared" si="204"/>
        <v>1.0000034616541791</v>
      </c>
      <c r="T407" s="273">
        <f t="shared" si="205"/>
        <v>2.6312142418260334E-3</v>
      </c>
      <c r="U407" s="274">
        <f t="shared" si="206"/>
        <v>1.0317461238604138</v>
      </c>
      <c r="V407" s="275">
        <f t="shared" si="207"/>
        <v>0.36351195171314049</v>
      </c>
      <c r="W407" s="276">
        <f t="shared" si="208"/>
        <v>-22.042734955388653</v>
      </c>
      <c r="X407" s="277">
        <f t="shared" si="217"/>
        <v>-172.96188017547664</v>
      </c>
      <c r="Y407" s="299">
        <f t="shared" si="216"/>
        <v>7.0381198245233634</v>
      </c>
      <c r="AB407" s="278">
        <f t="shared" si="209"/>
        <v>-3.7379908212557718</v>
      </c>
      <c r="AC407" s="279">
        <f t="shared" si="210"/>
        <v>-46.688234444038777</v>
      </c>
      <c r="AF407" s="278">
        <f t="shared" si="211"/>
        <v>43.498788472848879</v>
      </c>
      <c r="AG407" s="279">
        <f t="shared" si="212"/>
        <v>-126.27364573143785</v>
      </c>
      <c r="AI407">
        <f t="shared" si="213"/>
        <v>0</v>
      </c>
      <c r="AJ407">
        <f t="shared" si="187"/>
        <v>0</v>
      </c>
      <c r="AK407">
        <f t="shared" si="214"/>
        <v>0</v>
      </c>
      <c r="AL407">
        <f t="shared" si="215"/>
        <v>0</v>
      </c>
      <c r="AM407"/>
      <c r="AN407"/>
    </row>
    <row r="408" spans="2:40" x14ac:dyDescent="0.2">
      <c r="B408" s="280">
        <v>37802.75</v>
      </c>
      <c r="C408" s="270">
        <f t="shared" si="188"/>
        <v>30.8940074481511</v>
      </c>
      <c r="D408" s="271">
        <f t="shared" si="189"/>
        <v>1.5384219348814183</v>
      </c>
      <c r="E408" s="271">
        <f t="shared" si="190"/>
        <v>1.0019050647565495</v>
      </c>
      <c r="F408" s="272">
        <f t="shared" si="191"/>
        <v>6.1677309797435159E-2</v>
      </c>
      <c r="G408" s="271">
        <f t="shared" si="192"/>
        <v>1.0706770601494344</v>
      </c>
      <c r="H408" s="272">
        <f t="shared" si="193"/>
        <v>-0.36537890942365786</v>
      </c>
      <c r="I408" s="270">
        <f t="shared" si="194"/>
        <v>133032.09451291221</v>
      </c>
      <c r="J408" s="273">
        <f t="shared" si="195"/>
        <v>1.5707888098118432</v>
      </c>
      <c r="K408" s="281">
        <f t="shared" si="196"/>
        <v>19.976866053104938</v>
      </c>
      <c r="L408" s="282">
        <f t="shared" si="197"/>
        <v>1.5207174955495248</v>
      </c>
      <c r="M408" s="270">
        <f t="shared" si="198"/>
        <v>1.3893935524205976</v>
      </c>
      <c r="N408" s="273">
        <f t="shared" si="199"/>
        <v>0.76737078195706021</v>
      </c>
      <c r="O408" s="270">
        <f t="shared" si="200"/>
        <v>10451.319899556496</v>
      </c>
      <c r="P408" s="273">
        <f t="shared" si="201"/>
        <v>1.5707006451000354</v>
      </c>
      <c r="Q408" s="271">
        <f t="shared" si="202"/>
        <v>1.0647992722336441</v>
      </c>
      <c r="R408" s="272">
        <f t="shared" si="203"/>
        <v>0.35066597549472994</v>
      </c>
      <c r="S408" s="270">
        <f t="shared" si="204"/>
        <v>1.0000035016012265</v>
      </c>
      <c r="T408" s="273">
        <f t="shared" si="205"/>
        <v>2.6463525875314361E-3</v>
      </c>
      <c r="U408" s="274">
        <f t="shared" si="206"/>
        <v>1.0321139684390543</v>
      </c>
      <c r="V408" s="275">
        <f t="shared" si="207"/>
        <v>0.36556508781736718</v>
      </c>
      <c r="W408" s="276">
        <f t="shared" si="208"/>
        <v>-22.11316188036928</v>
      </c>
      <c r="X408" s="277">
        <f t="shared" si="217"/>
        <v>-173.3272226479715</v>
      </c>
      <c r="Y408" s="299">
        <f t="shared" si="216"/>
        <v>6.6727773520285041</v>
      </c>
      <c r="AB408" s="278">
        <f t="shared" si="209"/>
        <v>-3.7620620000146054</v>
      </c>
      <c r="AC408" s="279">
        <f t="shared" si="210"/>
        <v>-46.835982109697333</v>
      </c>
      <c r="AF408" s="278">
        <f t="shared" si="211"/>
        <v>43.45243272662708</v>
      </c>
      <c r="AG408" s="279">
        <f t="shared" si="212"/>
        <v>-126.49124053827414</v>
      </c>
      <c r="AI408">
        <f t="shared" si="213"/>
        <v>0</v>
      </c>
      <c r="AJ408">
        <f t="shared" si="187"/>
        <v>0</v>
      </c>
      <c r="AK408">
        <f t="shared" si="214"/>
        <v>0</v>
      </c>
      <c r="AL408">
        <f t="shared" si="215"/>
        <v>0</v>
      </c>
      <c r="AM408"/>
      <c r="AN408"/>
    </row>
    <row r="409" spans="2:40" x14ac:dyDescent="0.2">
      <c r="B409" s="280">
        <v>38019</v>
      </c>
      <c r="C409" s="270">
        <f t="shared" si="188"/>
        <v>31.070551463007938</v>
      </c>
      <c r="D409" s="271">
        <f t="shared" si="189"/>
        <v>1.5386059511122285</v>
      </c>
      <c r="E409" s="271">
        <f t="shared" si="190"/>
        <v>1.0019269018610397</v>
      </c>
      <c r="F409" s="272">
        <f t="shared" si="191"/>
        <v>6.2029232052428447E-2</v>
      </c>
      <c r="G409" s="271">
        <f t="shared" si="192"/>
        <v>1.0714609346482458</v>
      </c>
      <c r="H409" s="272">
        <f t="shared" si="193"/>
        <v>-0.36728653690647867</v>
      </c>
      <c r="I409" s="270">
        <f t="shared" si="194"/>
        <v>133793.10238765136</v>
      </c>
      <c r="J409" s="273">
        <f t="shared" si="195"/>
        <v>1.5707888525680331</v>
      </c>
      <c r="K409" s="281">
        <f t="shared" si="196"/>
        <v>20.090857838677938</v>
      </c>
      <c r="L409" s="282">
        <f t="shared" si="197"/>
        <v>1.5210018692557405</v>
      </c>
      <c r="M409" s="270">
        <f t="shared" si="198"/>
        <v>1.3932299633919745</v>
      </c>
      <c r="N409" s="273">
        <f t="shared" si="199"/>
        <v>0.7702212977187165</v>
      </c>
      <c r="O409" s="270">
        <f t="shared" si="200"/>
        <v>10511.10649993998</v>
      </c>
      <c r="P409" s="273">
        <f t="shared" si="201"/>
        <v>1.570701189332298</v>
      </c>
      <c r="Q409" s="271">
        <f t="shared" si="202"/>
        <v>1.0655198924207661</v>
      </c>
      <c r="R409" s="272">
        <f t="shared" si="203"/>
        <v>0.35251025883761683</v>
      </c>
      <c r="S409" s="270">
        <f t="shared" si="204"/>
        <v>1.0000035417774442</v>
      </c>
      <c r="T409" s="273">
        <f t="shared" si="205"/>
        <v>2.6614909320239097E-3</v>
      </c>
      <c r="U409" s="274">
        <f t="shared" si="206"/>
        <v>1.0324839566831494</v>
      </c>
      <c r="V409" s="275">
        <f t="shared" si="207"/>
        <v>0.36761757442401066</v>
      </c>
      <c r="W409" s="276">
        <f t="shared" si="208"/>
        <v>-22.183297100112938</v>
      </c>
      <c r="X409" s="277">
        <f t="shared" si="217"/>
        <v>-173.69153172430458</v>
      </c>
      <c r="Y409" s="299">
        <f t="shared" si="216"/>
        <v>6.308468275695418</v>
      </c>
      <c r="AB409" s="278">
        <f t="shared" si="209"/>
        <v>-3.7861359848537983</v>
      </c>
      <c r="AC409" s="279">
        <f t="shared" si="210"/>
        <v>-46.983013668854333</v>
      </c>
      <c r="AF409" s="278">
        <f t="shared" si="211"/>
        <v>43.406371491722624</v>
      </c>
      <c r="AG409" s="279">
        <f t="shared" si="212"/>
        <v>-126.70851805545023</v>
      </c>
      <c r="AI409">
        <f t="shared" si="213"/>
        <v>0</v>
      </c>
      <c r="AJ409">
        <f t="shared" si="187"/>
        <v>0</v>
      </c>
      <c r="AK409">
        <f t="shared" si="214"/>
        <v>0</v>
      </c>
      <c r="AL409">
        <f t="shared" si="215"/>
        <v>0</v>
      </c>
      <c r="AM409"/>
      <c r="AN409"/>
    </row>
    <row r="410" spans="2:40" x14ac:dyDescent="0.2">
      <c r="B410" s="280">
        <v>38240.5</v>
      </c>
      <c r="C410" s="270">
        <f t="shared" si="188"/>
        <v>31.251382595792816</v>
      </c>
      <c r="D410" s="271">
        <f t="shared" si="189"/>
        <v>1.5387922793842734</v>
      </c>
      <c r="E410" s="271">
        <f t="shared" si="190"/>
        <v>1.0019493977524985</v>
      </c>
      <c r="F410" s="272">
        <f t="shared" si="191"/>
        <v>6.2389682135628219E-2</v>
      </c>
      <c r="G410" s="271">
        <f t="shared" si="192"/>
        <v>1.0722678758666484</v>
      </c>
      <c r="H410" s="272">
        <f t="shared" si="193"/>
        <v>-0.36923757792380563</v>
      </c>
      <c r="I410" s="270">
        <f t="shared" si="194"/>
        <v>134572.58559807812</v>
      </c>
      <c r="J410" s="273">
        <f t="shared" si="195"/>
        <v>1.5707888958609098</v>
      </c>
      <c r="K410" s="281">
        <f t="shared" si="196"/>
        <v>20.207618720009904</v>
      </c>
      <c r="L410" s="282">
        <f t="shared" si="197"/>
        <v>1.521289820706796</v>
      </c>
      <c r="M410" s="270">
        <f t="shared" si="198"/>
        <v>1.3971711835694463</v>
      </c>
      <c r="N410" s="273">
        <f t="shared" si="199"/>
        <v>0.77312476370419358</v>
      </c>
      <c r="O410" s="270">
        <f t="shared" si="200"/>
        <v>10572.34456692556</v>
      </c>
      <c r="P410" s="273">
        <f t="shared" si="201"/>
        <v>1.5707017403959043</v>
      </c>
      <c r="Q410" s="271">
        <f t="shared" si="202"/>
        <v>1.0662617595734598</v>
      </c>
      <c r="R410" s="272">
        <f t="shared" si="203"/>
        <v>0.35439672570233555</v>
      </c>
      <c r="S410" s="270">
        <f t="shared" si="204"/>
        <v>1.0000035831666214</v>
      </c>
      <c r="T410" s="273">
        <f t="shared" si="205"/>
        <v>2.6769967957538049E-3</v>
      </c>
      <c r="U410" s="274">
        <f t="shared" si="206"/>
        <v>1.0328651502228969</v>
      </c>
      <c r="V410" s="275">
        <f t="shared" si="207"/>
        <v>0.36971921324746315</v>
      </c>
      <c r="W410" s="276">
        <f t="shared" si="208"/>
        <v>-22.254835292953366</v>
      </c>
      <c r="X410" s="277">
        <f t="shared" si="217"/>
        <v>-174.06361715457524</v>
      </c>
      <c r="Y410" s="299">
        <f t="shared" si="216"/>
        <v>5.9363828454247596</v>
      </c>
      <c r="AB410" s="278">
        <f t="shared" si="209"/>
        <v>-3.8107965444784684</v>
      </c>
      <c r="AC410" s="279">
        <f t="shared" si="210"/>
        <v>-47.132874093430956</v>
      </c>
      <c r="AF410" s="278">
        <f t="shared" si="211"/>
        <v>43.359493858506859</v>
      </c>
      <c r="AG410" s="279">
        <f t="shared" si="212"/>
        <v>-126.93074306114428</v>
      </c>
      <c r="AI410">
        <f t="shared" si="213"/>
        <v>0</v>
      </c>
      <c r="AJ410">
        <f t="shared" ref="AJ410:AJ473" si="218">IF(AI410&gt;0,Y410,0)</f>
        <v>0</v>
      </c>
      <c r="AK410">
        <f t="shared" si="214"/>
        <v>0</v>
      </c>
      <c r="AL410">
        <f t="shared" si="215"/>
        <v>0</v>
      </c>
      <c r="AM410"/>
      <c r="AN410"/>
    </row>
    <row r="411" spans="2:40" x14ac:dyDescent="0.2">
      <c r="B411" s="280">
        <v>38462</v>
      </c>
      <c r="C411" s="270">
        <f t="shared" si="188"/>
        <v>31.432214801086172</v>
      </c>
      <c r="D411" s="271">
        <f t="shared" si="189"/>
        <v>1.5389764637378567</v>
      </c>
      <c r="E411" s="271">
        <f t="shared" si="190"/>
        <v>1.0019720238156387</v>
      </c>
      <c r="F411" s="272">
        <f t="shared" si="191"/>
        <v>6.2750115986625291E-2</v>
      </c>
      <c r="G411" s="271">
        <f t="shared" si="192"/>
        <v>1.0730788925904295</v>
      </c>
      <c r="H411" s="272">
        <f t="shared" si="193"/>
        <v>-0.37118567721305673</v>
      </c>
      <c r="I411" s="270">
        <f t="shared" si="194"/>
        <v>135352.06880850508</v>
      </c>
      <c r="J411" s="273">
        <f t="shared" si="195"/>
        <v>1.5707889386551452</v>
      </c>
      <c r="K411" s="281">
        <f t="shared" si="196"/>
        <v>20.324381257626012</v>
      </c>
      <c r="L411" s="282">
        <f t="shared" si="197"/>
        <v>1.5215744636483173</v>
      </c>
      <c r="M411" s="270">
        <f t="shared" si="198"/>
        <v>1.4011241157401548</v>
      </c>
      <c r="N411" s="273">
        <f t="shared" si="199"/>
        <v>0.77601187106274105</v>
      </c>
      <c r="O411" s="270">
        <f t="shared" si="200"/>
        <v>10633.582633914315</v>
      </c>
      <c r="P411" s="273">
        <f t="shared" si="201"/>
        <v>1.5707022851124364</v>
      </c>
      <c r="Q411" s="271">
        <f t="shared" si="202"/>
        <v>1.0670074160084702</v>
      </c>
      <c r="R411" s="272">
        <f t="shared" si="203"/>
        <v>0.35628056262537028</v>
      </c>
      <c r="S411" s="270">
        <f t="shared" si="204"/>
        <v>1.0000036247962314</v>
      </c>
      <c r="T411" s="273">
        <f t="shared" si="205"/>
        <v>2.692502658196426E-3</v>
      </c>
      <c r="U411" s="274">
        <f t="shared" si="206"/>
        <v>1.0332485939188845</v>
      </c>
      <c r="V411" s="275">
        <f t="shared" si="207"/>
        <v>0.37182016335066037</v>
      </c>
      <c r="W411" s="276">
        <f t="shared" si="208"/>
        <v>-22.326072849840074</v>
      </c>
      <c r="X411" s="277">
        <f t="shared" si="217"/>
        <v>-174.43462492281705</v>
      </c>
      <c r="Y411" s="299">
        <f t="shared" si="216"/>
        <v>5.5653750771829493</v>
      </c>
      <c r="AB411" s="278">
        <f t="shared" si="209"/>
        <v>-3.8354584562333152</v>
      </c>
      <c r="AC411" s="279">
        <f t="shared" si="210"/>
        <v>-47.281986772788606</v>
      </c>
      <c r="AF411" s="278">
        <f t="shared" si="211"/>
        <v>43.312918213374999</v>
      </c>
      <c r="AG411" s="279">
        <f t="shared" si="212"/>
        <v>-127.15263815002847</v>
      </c>
      <c r="AI411">
        <f t="shared" si="213"/>
        <v>0</v>
      </c>
      <c r="AJ411">
        <f t="shared" si="218"/>
        <v>0</v>
      </c>
      <c r="AK411">
        <f t="shared" si="214"/>
        <v>0</v>
      </c>
      <c r="AL411">
        <f t="shared" si="215"/>
        <v>0</v>
      </c>
      <c r="AM411"/>
      <c r="AN411"/>
    </row>
    <row r="412" spans="2:40" x14ac:dyDescent="0.2">
      <c r="B412" s="280">
        <v>38683.5</v>
      </c>
      <c r="C412" s="270">
        <f t="shared" si="188"/>
        <v>31.613048060483191</v>
      </c>
      <c r="D412" s="271">
        <f t="shared" si="189"/>
        <v>1.5391585409513613</v>
      </c>
      <c r="E412" s="271">
        <f t="shared" si="190"/>
        <v>1.0019947800416416</v>
      </c>
      <c r="F412" s="272">
        <f t="shared" si="191"/>
        <v>6.3110533512872685E-2</v>
      </c>
      <c r="G412" s="271">
        <f t="shared" si="192"/>
        <v>1.0738939755859873</v>
      </c>
      <c r="H412" s="272">
        <f t="shared" si="193"/>
        <v>-0.37313082666947728</v>
      </c>
      <c r="I412" s="270">
        <f t="shared" si="194"/>
        <v>136131.55201893233</v>
      </c>
      <c r="J412" s="273">
        <f t="shared" si="195"/>
        <v>1.5707889809593047</v>
      </c>
      <c r="K412" s="281">
        <f t="shared" si="196"/>
        <v>20.441145423143517</v>
      </c>
      <c r="L412" s="282">
        <f t="shared" si="197"/>
        <v>1.5218558547305079</v>
      </c>
      <c r="M412" s="270">
        <f t="shared" si="198"/>
        <v>1.4050886610561459</v>
      </c>
      <c r="N412" s="273">
        <f t="shared" si="199"/>
        <v>0.7788827099315323</v>
      </c>
      <c r="O412" s="270">
        <f t="shared" si="200"/>
        <v>10694.820700906188</v>
      </c>
      <c r="P412" s="273">
        <f t="shared" si="201"/>
        <v>1.5707028235909231</v>
      </c>
      <c r="Q412" s="271">
        <f t="shared" si="202"/>
        <v>1.0677568537871842</v>
      </c>
      <c r="R412" s="272">
        <f t="shared" si="203"/>
        <v>0.35816176175966302</v>
      </c>
      <c r="S412" s="270">
        <f t="shared" si="204"/>
        <v>1.0000036666662742</v>
      </c>
      <c r="T412" s="273">
        <f t="shared" si="205"/>
        <v>2.708008519344318E-3</v>
      </c>
      <c r="U412" s="274">
        <f t="shared" si="206"/>
        <v>1.0336342883522522</v>
      </c>
      <c r="V412" s="275">
        <f t="shared" si="207"/>
        <v>0.3739204210457942</v>
      </c>
      <c r="W412" s="276">
        <f t="shared" si="208"/>
        <v>-22.397012437358029</v>
      </c>
      <c r="X412" s="277">
        <f t="shared" si="217"/>
        <v>-174.80455838506745</v>
      </c>
      <c r="Y412" s="299">
        <f t="shared" si="216"/>
        <v>5.1954416149325482</v>
      </c>
      <c r="AB412" s="278">
        <f t="shared" si="209"/>
        <v>-3.8601209332852342</v>
      </c>
      <c r="AC412" s="279">
        <f t="shared" si="210"/>
        <v>-47.430353626080091</v>
      </c>
      <c r="AF412" s="278">
        <f t="shared" si="211"/>
        <v>43.266641102908963</v>
      </c>
      <c r="AG412" s="279">
        <f t="shared" si="212"/>
        <v>-127.37420475898739</v>
      </c>
      <c r="AI412">
        <f t="shared" si="213"/>
        <v>0</v>
      </c>
      <c r="AJ412">
        <f t="shared" si="218"/>
        <v>0</v>
      </c>
      <c r="AK412">
        <f t="shared" si="214"/>
        <v>0</v>
      </c>
      <c r="AL412">
        <f t="shared" si="215"/>
        <v>0</v>
      </c>
      <c r="AM412"/>
      <c r="AN412"/>
    </row>
    <row r="413" spans="2:40" x14ac:dyDescent="0.2">
      <c r="B413" s="280">
        <v>38905</v>
      </c>
      <c r="C413" s="270">
        <f t="shared" si="188"/>
        <v>31.793882355997674</v>
      </c>
      <c r="D413" s="271">
        <f t="shared" si="189"/>
        <v>1.5393385469669987</v>
      </c>
      <c r="E413" s="271">
        <f t="shared" si="190"/>
        <v>1.0020176664216396</v>
      </c>
      <c r="F413" s="272">
        <f t="shared" si="191"/>
        <v>6.3470934621848787E-2</v>
      </c>
      <c r="G413" s="271">
        <f t="shared" si="192"/>
        <v>1.0747131156015073</v>
      </c>
      <c r="H413" s="272">
        <f t="shared" si="193"/>
        <v>-0.37507301830212553</v>
      </c>
      <c r="I413" s="270">
        <f t="shared" si="194"/>
        <v>136911.03522935978</v>
      </c>
      <c r="J413" s="273">
        <f t="shared" si="195"/>
        <v>1.5707890227817589</v>
      </c>
      <c r="K413" s="281">
        <f t="shared" si="196"/>
        <v>20.557911188824118</v>
      </c>
      <c r="L413" s="282">
        <f t="shared" si="197"/>
        <v>1.5221340493186013</v>
      </c>
      <c r="M413" s="270">
        <f t="shared" si="198"/>
        <v>1.4090647214931658</v>
      </c>
      <c r="N413" s="273">
        <f t="shared" si="199"/>
        <v>0.7817373705074544</v>
      </c>
      <c r="O413" s="270">
        <f t="shared" si="200"/>
        <v>10756.058767901128</v>
      </c>
      <c r="P413" s="273">
        <f t="shared" si="201"/>
        <v>1.5707033559379109</v>
      </c>
      <c r="Q413" s="271">
        <f t="shared" si="202"/>
        <v>1.0685100649530597</v>
      </c>
      <c r="R413" s="272">
        <f t="shared" si="203"/>
        <v>0.36004031535479436</v>
      </c>
      <c r="S413" s="270">
        <f t="shared" si="204"/>
        <v>1.0000037087767493</v>
      </c>
      <c r="T413" s="273">
        <f t="shared" si="205"/>
        <v>2.7235143791900242E-3</v>
      </c>
      <c r="U413" s="274">
        <f t="shared" si="206"/>
        <v>1.0340222341063909</v>
      </c>
      <c r="V413" s="275">
        <f t="shared" si="207"/>
        <v>0.37601998265032555</v>
      </c>
      <c r="W413" s="276">
        <f t="shared" si="208"/>
        <v>-22.467656677754224</v>
      </c>
      <c r="X413" s="277">
        <f t="shared" si="217"/>
        <v>-175.17342093330973</v>
      </c>
      <c r="Y413" s="299">
        <f t="shared" si="216"/>
        <v>4.8265790666902717</v>
      </c>
      <c r="AB413" s="278">
        <f t="shared" si="209"/>
        <v>-3.8847832012096091</v>
      </c>
      <c r="AC413" s="279">
        <f t="shared" si="210"/>
        <v>-47.577976649491802</v>
      </c>
      <c r="AF413" s="278">
        <f t="shared" si="211"/>
        <v>43.220659130437149</v>
      </c>
      <c r="AG413" s="279">
        <f t="shared" si="212"/>
        <v>-127.59544428381791</v>
      </c>
      <c r="AI413">
        <f t="shared" si="213"/>
        <v>0</v>
      </c>
      <c r="AJ413">
        <f t="shared" si="218"/>
        <v>0</v>
      </c>
      <c r="AK413">
        <f t="shared" si="214"/>
        <v>0</v>
      </c>
      <c r="AL413">
        <f t="shared" si="215"/>
        <v>0</v>
      </c>
      <c r="AM413"/>
      <c r="AN413"/>
    </row>
    <row r="414" spans="2:40" x14ac:dyDescent="0.2">
      <c r="B414" s="280">
        <v>39131.5</v>
      </c>
      <c r="C414" s="270">
        <f t="shared" si="188"/>
        <v>31.978799742936474</v>
      </c>
      <c r="D414" s="271">
        <f t="shared" si="189"/>
        <v>1.5395205110642121</v>
      </c>
      <c r="E414" s="271">
        <f t="shared" si="190"/>
        <v>1.0020412040090942</v>
      </c>
      <c r="F414" s="272">
        <f t="shared" si="191"/>
        <v>6.383945412232403E-2</v>
      </c>
      <c r="G414" s="271">
        <f t="shared" si="192"/>
        <v>1.0755549321287083</v>
      </c>
      <c r="H414" s="272">
        <f t="shared" si="193"/>
        <v>-0.37705598479617641</v>
      </c>
      <c r="I414" s="270">
        <f t="shared" si="194"/>
        <v>137708.11399758497</v>
      </c>
      <c r="J414" s="273">
        <f t="shared" si="195"/>
        <v>1.5707890650586709</v>
      </c>
      <c r="K414" s="281">
        <f t="shared" si="196"/>
        <v>20.677314377077778</v>
      </c>
      <c r="L414" s="282">
        <f t="shared" si="197"/>
        <v>1.5224152745288542</v>
      </c>
      <c r="M414" s="270">
        <f t="shared" si="198"/>
        <v>1.4131423416730653</v>
      </c>
      <c r="N414" s="273">
        <f t="shared" si="199"/>
        <v>0.78463983418021588</v>
      </c>
      <c r="O414" s="270">
        <f t="shared" si="200"/>
        <v>10818.679184041279</v>
      </c>
      <c r="P414" s="273">
        <f t="shared" si="201"/>
        <v>1.5707038940695692</v>
      </c>
      <c r="Q414" s="271">
        <f t="shared" si="202"/>
        <v>1.0692841724356084</v>
      </c>
      <c r="R414" s="272">
        <f t="shared" si="203"/>
        <v>0.36195853045763859</v>
      </c>
      <c r="S414" s="270">
        <f t="shared" si="204"/>
        <v>1.0000037520864344</v>
      </c>
      <c r="T414" s="273">
        <f t="shared" si="205"/>
        <v>2.7393702570909632E-3</v>
      </c>
      <c r="U414" s="274">
        <f t="shared" si="206"/>
        <v>1.0344212658353853</v>
      </c>
      <c r="V414" s="275">
        <f t="shared" si="207"/>
        <v>0.37816621475312173</v>
      </c>
      <c r="W414" s="276">
        <f t="shared" si="208"/>
        <v>-22.539592860311473</v>
      </c>
      <c r="X414" s="277">
        <f t="shared" si="217"/>
        <v>-175.54950607171588</v>
      </c>
      <c r="Y414" s="299">
        <f t="shared" si="216"/>
        <v>4.4504939282841178</v>
      </c>
      <c r="AB414" s="278">
        <f t="shared" si="209"/>
        <v>-3.9100011692316312</v>
      </c>
      <c r="AC414" s="279">
        <f t="shared" si="210"/>
        <v>-47.728164972779531</v>
      </c>
      <c r="AF414" s="278">
        <f t="shared" si="211"/>
        <v>43.173940915901916</v>
      </c>
      <c r="AG414" s="279">
        <f t="shared" si="212"/>
        <v>-127.82134109893634</v>
      </c>
      <c r="AI414">
        <f t="shared" si="213"/>
        <v>0</v>
      </c>
      <c r="AJ414">
        <f t="shared" si="218"/>
        <v>0</v>
      </c>
      <c r="AK414">
        <f t="shared" si="214"/>
        <v>0</v>
      </c>
      <c r="AL414">
        <f t="shared" si="215"/>
        <v>0</v>
      </c>
      <c r="AM414"/>
      <c r="AN414"/>
    </row>
    <row r="415" spans="2:40" x14ac:dyDescent="0.2">
      <c r="B415" s="280">
        <v>39358</v>
      </c>
      <c r="C415" s="270">
        <f t="shared" si="188"/>
        <v>32.163718176547967</v>
      </c>
      <c r="D415" s="271">
        <f t="shared" si="189"/>
        <v>1.5397003828398361</v>
      </c>
      <c r="E415" s="271">
        <f t="shared" si="190"/>
        <v>1.0020648776739767</v>
      </c>
      <c r="F415" s="272">
        <f t="shared" si="191"/>
        <v>6.4207956260382629E-2</v>
      </c>
      <c r="G415" s="271">
        <f t="shared" si="192"/>
        <v>1.0764009712810179</v>
      </c>
      <c r="H415" s="272">
        <f t="shared" si="193"/>
        <v>-0.3790358418860878</v>
      </c>
      <c r="I415" s="270">
        <f t="shared" si="194"/>
        <v>138505.19276581038</v>
      </c>
      <c r="J415" s="273">
        <f t="shared" si="195"/>
        <v>1.5707891068489868</v>
      </c>
      <c r="K415" s="281">
        <f t="shared" si="196"/>
        <v>20.796719181872735</v>
      </c>
      <c r="L415" s="282">
        <f t="shared" si="197"/>
        <v>1.5226932704398501</v>
      </c>
      <c r="M415" s="270">
        <f t="shared" si="198"/>
        <v>1.4172317980192342</v>
      </c>
      <c r="N415" s="273">
        <f t="shared" si="199"/>
        <v>0.78752557178956728</v>
      </c>
      <c r="O415" s="270">
        <f t="shared" si="200"/>
        <v>10881.299600184529</v>
      </c>
      <c r="P415" s="273">
        <f t="shared" si="201"/>
        <v>1.5707044260074767</v>
      </c>
      <c r="Q415" s="271">
        <f t="shared" si="202"/>
        <v>1.0700622087008287</v>
      </c>
      <c r="R415" s="272">
        <f t="shared" si="203"/>
        <v>0.36387396315288223</v>
      </c>
      <c r="S415" s="270">
        <f t="shared" si="204"/>
        <v>1.0000037956475294</v>
      </c>
      <c r="T415" s="273">
        <f t="shared" si="205"/>
        <v>2.7552261336144944E-3</v>
      </c>
      <c r="U415" s="274">
        <f t="shared" si="206"/>
        <v>1.0348226529130446</v>
      </c>
      <c r="V415" s="275">
        <f t="shared" si="207"/>
        <v>0.38031171121313667</v>
      </c>
      <c r="W415" s="276">
        <f t="shared" si="208"/>
        <v>-22.611225620228762</v>
      </c>
      <c r="X415" s="277">
        <f t="shared" si="217"/>
        <v>-175.92447868325519</v>
      </c>
      <c r="Y415" s="299">
        <f t="shared" si="216"/>
        <v>4.0755213167448119</v>
      </c>
      <c r="AB415" s="278">
        <f t="shared" si="209"/>
        <v>-3.9352173199982237</v>
      </c>
      <c r="AC415" s="279">
        <f t="shared" si="210"/>
        <v>-47.877579960564312</v>
      </c>
      <c r="AF415" s="278">
        <f t="shared" si="211"/>
        <v>43.127524306751219</v>
      </c>
      <c r="AG415" s="279">
        <f t="shared" si="212"/>
        <v>-128.04689872269091</v>
      </c>
      <c r="AI415">
        <f t="shared" si="213"/>
        <v>0</v>
      </c>
      <c r="AJ415">
        <f t="shared" si="218"/>
        <v>0</v>
      </c>
      <c r="AK415">
        <f t="shared" si="214"/>
        <v>0</v>
      </c>
      <c r="AL415">
        <f t="shared" si="215"/>
        <v>0</v>
      </c>
      <c r="AM415"/>
      <c r="AN415"/>
    </row>
    <row r="416" spans="2:40" x14ac:dyDescent="0.2">
      <c r="B416" s="280">
        <v>39584.5</v>
      </c>
      <c r="C416" s="270">
        <f t="shared" si="188"/>
        <v>32.348637638882487</v>
      </c>
      <c r="D416" s="271">
        <f t="shared" si="189"/>
        <v>1.5398781981641041</v>
      </c>
      <c r="E416" s="271">
        <f t="shared" si="190"/>
        <v>1.0020886874066421</v>
      </c>
      <c r="F416" s="272">
        <f t="shared" si="191"/>
        <v>6.4576440937178028E-2</v>
      </c>
      <c r="G416" s="271">
        <f t="shared" si="192"/>
        <v>1.0772512231094857</v>
      </c>
      <c r="H416" s="272">
        <f t="shared" si="193"/>
        <v>-0.38101258139485317</v>
      </c>
      <c r="I416" s="270">
        <f t="shared" si="194"/>
        <v>139302.27153403603</v>
      </c>
      <c r="J416" s="273">
        <f t="shared" si="195"/>
        <v>1.5707891481610596</v>
      </c>
      <c r="K416" s="281">
        <f t="shared" si="196"/>
        <v>20.916125575523726</v>
      </c>
      <c r="L416" s="282">
        <f t="shared" si="197"/>
        <v>1.5229680923147129</v>
      </c>
      <c r="M416" s="270">
        <f t="shared" si="198"/>
        <v>1.4213329883666961</v>
      </c>
      <c r="N416" s="273">
        <f t="shared" si="199"/>
        <v>0.79039467985296019</v>
      </c>
      <c r="O416" s="270">
        <f t="shared" si="200"/>
        <v>10943.920016330823</v>
      </c>
      <c r="P416" s="273">
        <f t="shared" si="201"/>
        <v>1.5707049518579546</v>
      </c>
      <c r="Q416" s="271">
        <f t="shared" si="202"/>
        <v>1.0708441651851905</v>
      </c>
      <c r="R416" s="272">
        <f t="shared" si="203"/>
        <v>0.36578660546567776</v>
      </c>
      <c r="S416" s="270">
        <f t="shared" si="204"/>
        <v>1.0000038394600341</v>
      </c>
      <c r="T416" s="273">
        <f t="shared" si="205"/>
        <v>2.7710820087526455E-3</v>
      </c>
      <c r="U416" s="274">
        <f t="shared" si="206"/>
        <v>1.0352263959703576</v>
      </c>
      <c r="V416" s="275">
        <f t="shared" si="207"/>
        <v>0.38245646811007145</v>
      </c>
      <c r="W416" s="276">
        <f t="shared" si="208"/>
        <v>-22.682557625041696</v>
      </c>
      <c r="X416" s="277">
        <f t="shared" si="217"/>
        <v>-176.29834249985714</v>
      </c>
      <c r="Y416" s="299">
        <f t="shared" si="216"/>
        <v>3.7016575001428578</v>
      </c>
      <c r="AB416" s="278">
        <f t="shared" si="209"/>
        <v>-3.9604308650152626</v>
      </c>
      <c r="AC416" s="279">
        <f t="shared" si="210"/>
        <v>-48.026223977023569</v>
      </c>
      <c r="AF416" s="278">
        <f t="shared" si="211"/>
        <v>43.081405846955327</v>
      </c>
      <c r="AG416" s="279">
        <f t="shared" si="212"/>
        <v>-128.27211852283355</v>
      </c>
      <c r="AI416">
        <f t="shared" si="213"/>
        <v>0</v>
      </c>
      <c r="AJ416">
        <f t="shared" si="218"/>
        <v>0</v>
      </c>
      <c r="AK416">
        <f t="shared" si="214"/>
        <v>0</v>
      </c>
      <c r="AL416">
        <f t="shared" si="215"/>
        <v>0</v>
      </c>
      <c r="AM416"/>
      <c r="AN416"/>
    </row>
    <row r="417" spans="2:40" x14ac:dyDescent="0.2">
      <c r="B417" s="280">
        <v>39811</v>
      </c>
      <c r="C417" s="270">
        <f t="shared" si="188"/>
        <v>32.533558112398374</v>
      </c>
      <c r="D417" s="271">
        <f t="shared" si="189"/>
        <v>1.5400539920922316</v>
      </c>
      <c r="E417" s="271">
        <f t="shared" si="190"/>
        <v>1.0021126331973922</v>
      </c>
      <c r="F417" s="272">
        <f t="shared" si="191"/>
        <v>6.4944908053892039E-2</v>
      </c>
      <c r="G417" s="271">
        <f t="shared" si="192"/>
        <v>1.0781056776470865</v>
      </c>
      <c r="H417" s="272">
        <f t="shared" si="193"/>
        <v>-0.3829861952686523</v>
      </c>
      <c r="I417" s="270">
        <f t="shared" si="194"/>
        <v>140099.35030226191</v>
      </c>
      <c r="J417" s="273">
        <f t="shared" si="195"/>
        <v>1.5707891890030521</v>
      </c>
      <c r="K417" s="281">
        <f t="shared" si="196"/>
        <v>21.035533530973741</v>
      </c>
      <c r="L417" s="282">
        <f t="shared" si="197"/>
        <v>1.5232397941637064</v>
      </c>
      <c r="M417" s="270">
        <f t="shared" si="198"/>
        <v>1.4254458114347768</v>
      </c>
      <c r="N417" s="273">
        <f t="shared" si="199"/>
        <v>0.79324725487381809</v>
      </c>
      <c r="O417" s="270">
        <f t="shared" si="200"/>
        <v>11006.540432480107</v>
      </c>
      <c r="P417" s="273">
        <f t="shared" si="201"/>
        <v>1.5707054717249034</v>
      </c>
      <c r="Q417" s="271">
        <f t="shared" si="202"/>
        <v>1.0716300333070736</v>
      </c>
      <c r="R417" s="272">
        <f t="shared" si="203"/>
        <v>0.36769644952605751</v>
      </c>
      <c r="S417" s="270">
        <f t="shared" si="204"/>
        <v>1.0000038835239484</v>
      </c>
      <c r="T417" s="273">
        <f t="shared" si="205"/>
        <v>2.7869378824974455E-3</v>
      </c>
      <c r="U417" s="274">
        <f t="shared" si="206"/>
        <v>1.0356324956406981</v>
      </c>
      <c r="V417" s="275">
        <f t="shared" si="207"/>
        <v>0.38460048152952481</v>
      </c>
      <c r="W417" s="276">
        <f t="shared" si="208"/>
        <v>-22.753591498737407</v>
      </c>
      <c r="X417" s="277">
        <f t="shared" si="217"/>
        <v>-176.67110128511723</v>
      </c>
      <c r="Y417" s="299">
        <f t="shared" si="216"/>
        <v>3.3288987148827687</v>
      </c>
      <c r="AB417" s="278">
        <f t="shared" si="209"/>
        <v>-3.9856410288861133</v>
      </c>
      <c r="AC417" s="279">
        <f t="shared" si="210"/>
        <v>-48.174099457303733</v>
      </c>
      <c r="AF417" s="278">
        <f t="shared" si="211"/>
        <v>43.035582137130469</v>
      </c>
      <c r="AG417" s="279">
        <f t="shared" si="212"/>
        <v>-128.49700182781348</v>
      </c>
      <c r="AI417">
        <f t="shared" si="213"/>
        <v>0</v>
      </c>
      <c r="AJ417">
        <f t="shared" si="218"/>
        <v>0</v>
      </c>
      <c r="AK417">
        <f t="shared" si="214"/>
        <v>0</v>
      </c>
      <c r="AL417">
        <f t="shared" si="215"/>
        <v>0</v>
      </c>
      <c r="AM417"/>
      <c r="AN417"/>
    </row>
    <row r="418" spans="2:40" x14ac:dyDescent="0.2">
      <c r="B418" s="280">
        <v>40042.75</v>
      </c>
      <c r="C418" s="270">
        <f t="shared" si="188"/>
        <v>32.722765850784661</v>
      </c>
      <c r="D418" s="271">
        <f t="shared" si="189"/>
        <v>1.5402318042275895</v>
      </c>
      <c r="E418" s="271">
        <f t="shared" si="190"/>
        <v>1.002137274837984</v>
      </c>
      <c r="F418" s="272">
        <f t="shared" si="191"/>
        <v>6.5321897520767128E-2</v>
      </c>
      <c r="G418" s="271">
        <f t="shared" si="192"/>
        <v>1.0789842769666738</v>
      </c>
      <c r="H418" s="272">
        <f t="shared" si="193"/>
        <v>-0.38500231174052135</v>
      </c>
      <c r="I418" s="270">
        <f t="shared" si="194"/>
        <v>140914.90440617542</v>
      </c>
      <c r="J418" s="273">
        <f t="shared" si="195"/>
        <v>1.5707892303134832</v>
      </c>
      <c r="K418" s="281">
        <f t="shared" si="196"/>
        <v>21.157710809429034</v>
      </c>
      <c r="L418" s="282">
        <f t="shared" si="197"/>
        <v>1.5235146194533196</v>
      </c>
      <c r="M418" s="270">
        <f t="shared" si="198"/>
        <v>1.4296659004171557</v>
      </c>
      <c r="N418" s="273">
        <f t="shared" si="199"/>
        <v>0.79614893749708271</v>
      </c>
      <c r="O418" s="270">
        <f t="shared" si="200"/>
        <v>11070.612315231923</v>
      </c>
      <c r="P418" s="273">
        <f t="shared" si="201"/>
        <v>1.5707059975544819</v>
      </c>
      <c r="Q418" s="271">
        <f t="shared" si="202"/>
        <v>1.0724381566346677</v>
      </c>
      <c r="R418" s="272">
        <f t="shared" si="203"/>
        <v>0.36964765710193886</v>
      </c>
      <c r="S418" s="270">
        <f t="shared" si="204"/>
        <v>1.0000039288694302</v>
      </c>
      <c r="T418" s="273">
        <f t="shared" si="205"/>
        <v>2.8031612750441214E-3</v>
      </c>
      <c r="U418" s="274">
        <f t="shared" si="206"/>
        <v>1.0360504480617212</v>
      </c>
      <c r="V418" s="275">
        <f t="shared" si="207"/>
        <v>0.3867934170210503</v>
      </c>
      <c r="W418" s="276">
        <f t="shared" si="208"/>
        <v>-22.825965968689637</v>
      </c>
      <c r="X418" s="277">
        <f t="shared" si="217"/>
        <v>-177.05136038341493</v>
      </c>
      <c r="Y418" s="299">
        <f t="shared" si="216"/>
        <v>2.9486396165850692</v>
      </c>
      <c r="AB418" s="278">
        <f t="shared" si="209"/>
        <v>-4.0114312395379077</v>
      </c>
      <c r="AC418" s="279">
        <f t="shared" si="210"/>
        <v>-48.324609662818297</v>
      </c>
      <c r="AF418" s="278">
        <f t="shared" si="211"/>
        <v>42.988997877830016</v>
      </c>
      <c r="AG418" s="279">
        <f t="shared" si="212"/>
        <v>-128.72675072059661</v>
      </c>
      <c r="AI418">
        <f t="shared" si="213"/>
        <v>0</v>
      </c>
      <c r="AJ418">
        <f t="shared" si="218"/>
        <v>0</v>
      </c>
      <c r="AK418">
        <f t="shared" si="214"/>
        <v>0</v>
      </c>
      <c r="AL418">
        <f t="shared" si="215"/>
        <v>0</v>
      </c>
      <c r="AM418"/>
      <c r="AN418"/>
    </row>
    <row r="419" spans="2:40" x14ac:dyDescent="0.2">
      <c r="B419" s="280">
        <v>40274.5</v>
      </c>
      <c r="C419" s="270">
        <f t="shared" si="188"/>
        <v>32.911974611876062</v>
      </c>
      <c r="D419" s="271">
        <f t="shared" si="189"/>
        <v>1.540407571908085</v>
      </c>
      <c r="E419" s="271">
        <f t="shared" si="190"/>
        <v>1.0021620588963698</v>
      </c>
      <c r="F419" s="272">
        <f t="shared" si="191"/>
        <v>6.5698868394872101E-2</v>
      </c>
      <c r="G419" s="271">
        <f t="shared" si="192"/>
        <v>1.0798672549142245</v>
      </c>
      <c r="H419" s="272">
        <f t="shared" si="193"/>
        <v>-0.38701513933616155</v>
      </c>
      <c r="I419" s="270">
        <f t="shared" si="194"/>
        <v>141730.45851008914</v>
      </c>
      <c r="J419" s="273">
        <f t="shared" si="195"/>
        <v>1.5707892711484921</v>
      </c>
      <c r="K419" s="281">
        <f t="shared" si="196"/>
        <v>21.279889667553849</v>
      </c>
      <c r="L419" s="282">
        <f t="shared" si="197"/>
        <v>1.5237862889348572</v>
      </c>
      <c r="M419" s="270">
        <f t="shared" si="198"/>
        <v>1.4338979559327523</v>
      </c>
      <c r="N419" s="273">
        <f t="shared" si="199"/>
        <v>0.79903351603777062</v>
      </c>
      <c r="O419" s="270">
        <f t="shared" si="200"/>
        <v>11134.684197986766</v>
      </c>
      <c r="P419" s="273">
        <f t="shared" si="201"/>
        <v>1.570706517332539</v>
      </c>
      <c r="Q419" s="271">
        <f t="shared" si="202"/>
        <v>1.0732503568028176</v>
      </c>
      <c r="R419" s="272">
        <f t="shared" si="203"/>
        <v>0.37159591886796006</v>
      </c>
      <c r="S419" s="270">
        <f t="shared" si="204"/>
        <v>1.0000039744781113</v>
      </c>
      <c r="T419" s="273">
        <f t="shared" si="205"/>
        <v>2.819384666115218E-3</v>
      </c>
      <c r="U419" s="274">
        <f t="shared" si="206"/>
        <v>1.0364708689579301</v>
      </c>
      <c r="V419" s="275">
        <f t="shared" si="207"/>
        <v>0.38898556589794631</v>
      </c>
      <c r="W419" s="276">
        <f t="shared" si="208"/>
        <v>-22.898033749746084</v>
      </c>
      <c r="X419" s="277">
        <f t="shared" si="217"/>
        <v>-177.43047069543914</v>
      </c>
      <c r="Y419" s="299">
        <f t="shared" si="216"/>
        <v>2.5695293045608594</v>
      </c>
      <c r="AB419" s="278">
        <f t="shared" si="209"/>
        <v>-4.0372163096050091</v>
      </c>
      <c r="AC419" s="279">
        <f t="shared" si="210"/>
        <v>-48.474320663832799</v>
      </c>
      <c r="AF419" s="278">
        <f t="shared" si="211"/>
        <v>42.942715166840692</v>
      </c>
      <c r="AG419" s="279">
        <f t="shared" si="212"/>
        <v>-128.95615003160634</v>
      </c>
      <c r="AI419">
        <f t="shared" si="213"/>
        <v>0</v>
      </c>
      <c r="AJ419">
        <f t="shared" si="218"/>
        <v>0</v>
      </c>
      <c r="AK419">
        <f t="shared" si="214"/>
        <v>0</v>
      </c>
      <c r="AL419">
        <f t="shared" si="215"/>
        <v>0</v>
      </c>
      <c r="AM419"/>
      <c r="AN419"/>
    </row>
    <row r="420" spans="2:40" x14ac:dyDescent="0.2">
      <c r="B420" s="280">
        <v>40506.25</v>
      </c>
      <c r="C420" s="270">
        <f t="shared" si="188"/>
        <v>33.101184378135009</v>
      </c>
      <c r="D420" s="271">
        <f t="shared" si="189"/>
        <v>1.5405813301817048</v>
      </c>
      <c r="E420" s="271">
        <f t="shared" si="190"/>
        <v>1.0021869853619838</v>
      </c>
      <c r="F420" s="272">
        <f t="shared" si="191"/>
        <v>6.6075820570449917E-2</v>
      </c>
      <c r="G420" s="271">
        <f t="shared" si="192"/>
        <v>1.0807546007577045</v>
      </c>
      <c r="H420" s="272">
        <f t="shared" si="193"/>
        <v>-0.38902466982681805</v>
      </c>
      <c r="I420" s="270">
        <f t="shared" si="194"/>
        <v>142546.01261400312</v>
      </c>
      <c r="J420" s="273">
        <f t="shared" si="195"/>
        <v>1.570789311516239</v>
      </c>
      <c r="K420" s="281">
        <f t="shared" si="196"/>
        <v>21.402070078294415</v>
      </c>
      <c r="L420" s="282">
        <f t="shared" si="197"/>
        <v>1.5240548566156227</v>
      </c>
      <c r="M420" s="270">
        <f t="shared" si="198"/>
        <v>1.4381418723389332</v>
      </c>
      <c r="N420" s="273">
        <f t="shared" si="199"/>
        <v>0.80190109370086593</v>
      </c>
      <c r="O420" s="270">
        <f t="shared" si="200"/>
        <v>11198.756080744581</v>
      </c>
      <c r="P420" s="273">
        <f t="shared" si="201"/>
        <v>1.5707070311629425</v>
      </c>
      <c r="Q420" s="271">
        <f t="shared" si="202"/>
        <v>1.0740666245629056</v>
      </c>
      <c r="R420" s="272">
        <f t="shared" si="203"/>
        <v>0.37354122673360463</v>
      </c>
      <c r="S420" s="270">
        <f t="shared" si="204"/>
        <v>1.000004020349992</v>
      </c>
      <c r="T420" s="273">
        <f t="shared" si="205"/>
        <v>2.8356080557021958E-3</v>
      </c>
      <c r="U420" s="274">
        <f t="shared" si="206"/>
        <v>1.0368937590154017</v>
      </c>
      <c r="V420" s="275">
        <f t="shared" si="207"/>
        <v>0.3911769239866566</v>
      </c>
      <c r="W420" s="276">
        <f t="shared" si="208"/>
        <v>-22.969797518416073</v>
      </c>
      <c r="X420" s="277">
        <f t="shared" si="217"/>
        <v>-177.80843634403797</v>
      </c>
      <c r="Y420" s="299">
        <f t="shared" si="216"/>
        <v>2.1915636559620282</v>
      </c>
      <c r="AB420" s="278">
        <f t="shared" si="209"/>
        <v>-4.0629954502712939</v>
      </c>
      <c r="AC420" s="279">
        <f t="shared" si="210"/>
        <v>-48.623235279634173</v>
      </c>
      <c r="AF420" s="278">
        <f t="shared" si="211"/>
        <v>42.896730538836977</v>
      </c>
      <c r="AG420" s="279">
        <f t="shared" si="212"/>
        <v>-129.1852010644038</v>
      </c>
      <c r="AI420">
        <f t="shared" si="213"/>
        <v>0</v>
      </c>
      <c r="AJ420">
        <f t="shared" si="218"/>
        <v>0</v>
      </c>
      <c r="AK420">
        <f t="shared" si="214"/>
        <v>0</v>
      </c>
      <c r="AL420">
        <f t="shared" si="215"/>
        <v>0</v>
      </c>
      <c r="AM420"/>
      <c r="AN420"/>
    </row>
    <row r="421" spans="2:40" x14ac:dyDescent="0.2">
      <c r="B421" s="280">
        <v>40738</v>
      </c>
      <c r="C421" s="270">
        <f t="shared" si="188"/>
        <v>33.29039513242256</v>
      </c>
      <c r="D421" s="271">
        <f t="shared" si="189"/>
        <v>1.5407531133001262</v>
      </c>
      <c r="E421" s="271">
        <f t="shared" si="190"/>
        <v>1.0022120542242001</v>
      </c>
      <c r="F421" s="272">
        <f t="shared" si="191"/>
        <v>6.6452753941775258E-2</v>
      </c>
      <c r="G421" s="271">
        <f t="shared" si="192"/>
        <v>1.0816463037472932</v>
      </c>
      <c r="H421" s="272">
        <f t="shared" si="193"/>
        <v>-0.39103089511718636</v>
      </c>
      <c r="I421" s="270">
        <f t="shared" si="194"/>
        <v>143361.56671791727</v>
      </c>
      <c r="J421" s="273">
        <f t="shared" si="195"/>
        <v>1.5707893514246987</v>
      </c>
      <c r="K421" s="281">
        <f t="shared" si="196"/>
        <v>21.524252015210898</v>
      </c>
      <c r="L421" s="282">
        <f t="shared" si="197"/>
        <v>1.5243203752784489</v>
      </c>
      <c r="M421" s="270">
        <f t="shared" si="198"/>
        <v>1.442397544942039</v>
      </c>
      <c r="N421" s="273">
        <f t="shared" si="199"/>
        <v>0.80475177359684302</v>
      </c>
      <c r="O421" s="270">
        <f t="shared" si="200"/>
        <v>11262.827963505319</v>
      </c>
      <c r="P421" s="273">
        <f t="shared" si="201"/>
        <v>1.5707075391471981</v>
      </c>
      <c r="Q421" s="271">
        <f t="shared" si="202"/>
        <v>1.0748869506481593</v>
      </c>
      <c r="R421" s="272">
        <f t="shared" si="203"/>
        <v>0.37548357272229549</v>
      </c>
      <c r="S421" s="270">
        <f t="shared" si="204"/>
        <v>1.0000040664850722</v>
      </c>
      <c r="T421" s="273">
        <f t="shared" si="205"/>
        <v>2.8518314437965156E-3</v>
      </c>
      <c r="U421" s="274">
        <f t="shared" si="206"/>
        <v>1.0373191189227438</v>
      </c>
      <c r="V421" s="275">
        <f t="shared" si="207"/>
        <v>0.39336748712024089</v>
      </c>
      <c r="W421" s="276">
        <f t="shared" si="208"/>
        <v>-23.041259908318843</v>
      </c>
      <c r="X421" s="277">
        <f t="shared" si="217"/>
        <v>-178.18526147918911</v>
      </c>
      <c r="Y421" s="299">
        <f t="shared" si="216"/>
        <v>1.8147385208108915</v>
      </c>
      <c r="AB421" s="278">
        <f t="shared" si="209"/>
        <v>-4.0887678865172443</v>
      </c>
      <c r="AC421" s="279">
        <f t="shared" si="210"/>
        <v>-48.771356394240868</v>
      </c>
      <c r="AF421" s="278">
        <f t="shared" si="211"/>
        <v>42.851040585180158</v>
      </c>
      <c r="AG421" s="279">
        <f t="shared" si="212"/>
        <v>-129.4139050849482</v>
      </c>
      <c r="AI421">
        <f t="shared" si="213"/>
        <v>0</v>
      </c>
      <c r="AJ421">
        <f t="shared" si="218"/>
        <v>0</v>
      </c>
      <c r="AK421">
        <f t="shared" si="214"/>
        <v>0</v>
      </c>
      <c r="AL421">
        <f t="shared" si="215"/>
        <v>0</v>
      </c>
      <c r="AM421"/>
      <c r="AN421"/>
    </row>
    <row r="422" spans="2:40" x14ac:dyDescent="0.2">
      <c r="B422" s="280">
        <v>40975.25</v>
      </c>
      <c r="C422" s="270">
        <f t="shared" si="188"/>
        <v>33.484097331314985</v>
      </c>
      <c r="D422" s="271">
        <f t="shared" si="189"/>
        <v>1.5409269621806096</v>
      </c>
      <c r="E422" s="271">
        <f t="shared" si="190"/>
        <v>1.0022378655271271</v>
      </c>
      <c r="F422" s="272">
        <f t="shared" si="191"/>
        <v>6.6838613283846965E-2</v>
      </c>
      <c r="G422" s="271">
        <f t="shared" si="192"/>
        <v>1.0825636712917748</v>
      </c>
      <c r="H422" s="272">
        <f t="shared" si="193"/>
        <v>-0.39308130098542149</v>
      </c>
      <c r="I422" s="270">
        <f t="shared" si="194"/>
        <v>144196.47593540896</v>
      </c>
      <c r="J422" s="273">
        <f t="shared" si="195"/>
        <v>1.5707893918126543</v>
      </c>
      <c r="K422" s="281">
        <f t="shared" si="196"/>
        <v>21.649335185277611</v>
      </c>
      <c r="L422" s="282">
        <f t="shared" si="197"/>
        <v>1.524589090796975</v>
      </c>
      <c r="M422" s="270">
        <f t="shared" si="198"/>
        <v>1.4467662848649632</v>
      </c>
      <c r="N422" s="273">
        <f t="shared" si="199"/>
        <v>0.80765271064072297</v>
      </c>
      <c r="O422" s="270">
        <f t="shared" si="200"/>
        <v>11328.420430325921</v>
      </c>
      <c r="P422" s="273">
        <f t="shared" si="201"/>
        <v>1.5707080532348316</v>
      </c>
      <c r="Q422" s="271">
        <f t="shared" si="202"/>
        <v>1.0757309393432402</v>
      </c>
      <c r="R422" s="272">
        <f t="shared" si="203"/>
        <v>0.37746893902072659</v>
      </c>
      <c r="S422" s="270">
        <f t="shared" si="204"/>
        <v>1.0000041139876947</v>
      </c>
      <c r="T422" s="273">
        <f t="shared" si="205"/>
        <v>2.8684398514123746E-3</v>
      </c>
      <c r="U422" s="274">
        <f t="shared" si="206"/>
        <v>1.0377571328619366</v>
      </c>
      <c r="V422" s="275">
        <f t="shared" si="207"/>
        <v>0.39560920990642867</v>
      </c>
      <c r="W422" s="276">
        <f t="shared" si="208"/>
        <v>-23.114108790772608</v>
      </c>
      <c r="X422" s="277">
        <f t="shared" si="217"/>
        <v>-178.56985252975869</v>
      </c>
      <c r="Y422" s="299">
        <f t="shared" si="216"/>
        <v>1.4301474702413088</v>
      </c>
      <c r="AB422" s="278">
        <f t="shared" si="209"/>
        <v>-4.1151442265236451</v>
      </c>
      <c r="AC422" s="279">
        <f t="shared" si="210"/>
        <v>-48.922173892446523</v>
      </c>
      <c r="AF422" s="278">
        <f t="shared" si="211"/>
        <v>42.804568042732797</v>
      </c>
      <c r="AG422" s="279">
        <f t="shared" si="212"/>
        <v>-129.64767863731217</v>
      </c>
      <c r="AI422">
        <f t="shared" si="213"/>
        <v>0</v>
      </c>
      <c r="AJ422">
        <f t="shared" si="218"/>
        <v>0</v>
      </c>
      <c r="AK422">
        <f t="shared" si="214"/>
        <v>0</v>
      </c>
      <c r="AL422">
        <f t="shared" si="215"/>
        <v>0</v>
      </c>
      <c r="AM422"/>
      <c r="AN422"/>
    </row>
    <row r="423" spans="2:40" x14ac:dyDescent="0.2">
      <c r="B423" s="280">
        <v>41212.5</v>
      </c>
      <c r="C423" s="270">
        <f t="shared" si="188"/>
        <v>33.677800530570423</v>
      </c>
      <c r="D423" s="271">
        <f t="shared" si="189"/>
        <v>1.5410988112275421</v>
      </c>
      <c r="E423" s="271">
        <f t="shared" si="190"/>
        <v>1.0022638260429773</v>
      </c>
      <c r="F423" s="272">
        <f t="shared" si="191"/>
        <v>6.7224452694399237E-2</v>
      </c>
      <c r="G423" s="271">
        <f t="shared" si="192"/>
        <v>1.0834855823935989</v>
      </c>
      <c r="H423" s="272">
        <f t="shared" si="193"/>
        <v>-0.39512822616774579</v>
      </c>
      <c r="I423" s="270">
        <f t="shared" si="194"/>
        <v>145031.38515290085</v>
      </c>
      <c r="J423" s="273">
        <f t="shared" si="195"/>
        <v>1.5707894317356035</v>
      </c>
      <c r="K423" s="281">
        <f t="shared" si="196"/>
        <v>21.774419900639852</v>
      </c>
      <c r="L423" s="282">
        <f t="shared" si="197"/>
        <v>1.5248547190233965</v>
      </c>
      <c r="M423" s="270">
        <f t="shared" si="198"/>
        <v>1.4511471265892948</v>
      </c>
      <c r="N423" s="273">
        <f t="shared" si="199"/>
        <v>0.81053615665587719</v>
      </c>
      <c r="O423" s="270">
        <f t="shared" si="200"/>
        <v>11394.012897149485</v>
      </c>
      <c r="P423" s="273">
        <f t="shared" si="201"/>
        <v>1.5707085614035186</v>
      </c>
      <c r="Q423" s="271">
        <f t="shared" si="202"/>
        <v>1.0765791615667748</v>
      </c>
      <c r="R423" s="272">
        <f t="shared" si="203"/>
        <v>0.37945118463555966</v>
      </c>
      <c r="S423" s="270">
        <f t="shared" si="204"/>
        <v>1.0000041617661575</v>
      </c>
      <c r="T423" s="273">
        <f t="shared" si="205"/>
        <v>2.8850482574457738E-3</v>
      </c>
      <c r="U423" s="274">
        <f t="shared" si="206"/>
        <v>1.0381977367418909</v>
      </c>
      <c r="V423" s="275">
        <f t="shared" si="207"/>
        <v>0.39785009074087474</v>
      </c>
      <c r="W423" s="276">
        <f t="shared" si="208"/>
        <v>-23.186647272607903</v>
      </c>
      <c r="X423" s="277">
        <f t="shared" si="217"/>
        <v>-178.95325717144374</v>
      </c>
      <c r="Y423" s="299">
        <f t="shared" si="216"/>
        <v>1.0467428285562619</v>
      </c>
      <c r="AB423" s="278">
        <f t="shared" si="209"/>
        <v>-4.1415119400192815</v>
      </c>
      <c r="AC423" s="279">
        <f t="shared" si="210"/>
        <v>-49.072166090691688</v>
      </c>
      <c r="AF423" s="278">
        <f t="shared" si="211"/>
        <v>42.758397274393133</v>
      </c>
      <c r="AG423" s="279">
        <f t="shared" si="212"/>
        <v>-129.88109108075201</v>
      </c>
      <c r="AI423">
        <f t="shared" si="213"/>
        <v>0</v>
      </c>
      <c r="AJ423">
        <f t="shared" si="218"/>
        <v>0</v>
      </c>
      <c r="AK423">
        <f t="shared" si="214"/>
        <v>0</v>
      </c>
      <c r="AL423">
        <f t="shared" si="215"/>
        <v>0</v>
      </c>
      <c r="AM423"/>
      <c r="AN423"/>
    </row>
    <row r="424" spans="2:40" x14ac:dyDescent="0.2">
      <c r="B424" s="280">
        <v>41449.75</v>
      </c>
      <c r="C424" s="270">
        <f t="shared" si="188"/>
        <v>33.871504713026354</v>
      </c>
      <c r="D424" s="271">
        <f t="shared" si="189"/>
        <v>1.5412686947405978</v>
      </c>
      <c r="E424" s="271">
        <f t="shared" si="190"/>
        <v>1.0022899357601562</v>
      </c>
      <c r="F424" s="272">
        <f t="shared" si="191"/>
        <v>6.7610272060103907E-2</v>
      </c>
      <c r="G424" s="271">
        <f t="shared" si="192"/>
        <v>1.0844120254646719</v>
      </c>
      <c r="H424" s="272">
        <f t="shared" si="193"/>
        <v>-0.3971716624105488</v>
      </c>
      <c r="I424" s="270">
        <f t="shared" si="194"/>
        <v>145866.29437039298</v>
      </c>
      <c r="J424" s="273">
        <f t="shared" si="195"/>
        <v>1.5707894712015307</v>
      </c>
      <c r="K424" s="281">
        <f t="shared" si="196"/>
        <v>21.899506134818548</v>
      </c>
      <c r="L424" s="282">
        <f t="shared" si="197"/>
        <v>1.5251173128221576</v>
      </c>
      <c r="M424" s="270">
        <f t="shared" si="198"/>
        <v>1.4555399608440915</v>
      </c>
      <c r="N424" s="273">
        <f t="shared" si="199"/>
        <v>0.81340222184247213</v>
      </c>
      <c r="O424" s="270">
        <f t="shared" si="200"/>
        <v>11459.605363975958</v>
      </c>
      <c r="P424" s="273">
        <f t="shared" si="201"/>
        <v>1.5707090637548959</v>
      </c>
      <c r="Q424" s="271">
        <f t="shared" si="202"/>
        <v>1.0774316073200598</v>
      </c>
      <c r="R424" s="272">
        <f t="shared" si="203"/>
        <v>0.38143030137796924</v>
      </c>
      <c r="S424" s="270">
        <f t="shared" si="204"/>
        <v>1.0000042098204605</v>
      </c>
      <c r="T424" s="273">
        <f t="shared" si="205"/>
        <v>2.9016566618875494E-3</v>
      </c>
      <c r="U424" s="274">
        <f t="shared" si="206"/>
        <v>1.0386409313095133</v>
      </c>
      <c r="V424" s="275">
        <f t="shared" si="207"/>
        <v>0.40009012517466686</v>
      </c>
      <c r="W424" s="276">
        <f t="shared" si="208"/>
        <v>-23.258878046983039</v>
      </c>
      <c r="X424" s="277">
        <f t="shared" si="217"/>
        <v>-179.33547993371533</v>
      </c>
      <c r="Y424" s="299">
        <f t="shared" si="216"/>
        <v>0.6645200662846662</v>
      </c>
      <c r="AB424" s="278">
        <f t="shared" si="209"/>
        <v>-4.167870239461978</v>
      </c>
      <c r="AC424" s="279">
        <f t="shared" si="210"/>
        <v>-49.22133627452871</v>
      </c>
      <c r="AF424" s="278">
        <f t="shared" si="211"/>
        <v>42.712524799460702</v>
      </c>
      <c r="AG424" s="279">
        <f t="shared" si="212"/>
        <v>-130.11414365918665</v>
      </c>
      <c r="AI424">
        <f t="shared" si="213"/>
        <v>0</v>
      </c>
      <c r="AJ424">
        <f t="shared" si="218"/>
        <v>0</v>
      </c>
      <c r="AK424">
        <f t="shared" si="214"/>
        <v>0</v>
      </c>
      <c r="AL424">
        <f t="shared" si="215"/>
        <v>0</v>
      </c>
      <c r="AM424"/>
      <c r="AN424"/>
    </row>
    <row r="425" spans="2:40" x14ac:dyDescent="0.2">
      <c r="B425" s="280">
        <v>41687</v>
      </c>
      <c r="C425" s="270">
        <f t="shared" si="188"/>
        <v>34.065209861910532</v>
      </c>
      <c r="D425" s="271">
        <f t="shared" si="189"/>
        <v>1.5414366462397575</v>
      </c>
      <c r="E425" s="271">
        <f t="shared" si="190"/>
        <v>1.0023161946670043</v>
      </c>
      <c r="F425" s="272">
        <f t="shared" si="191"/>
        <v>6.7996071267668448E-2</v>
      </c>
      <c r="G425" s="271">
        <f t="shared" si="192"/>
        <v>1.0853429888995987</v>
      </c>
      <c r="H425" s="272">
        <f t="shared" si="193"/>
        <v>-0.39921160160487951</v>
      </c>
      <c r="I425" s="270">
        <f t="shared" si="194"/>
        <v>146701.20358788536</v>
      </c>
      <c r="J425" s="273">
        <f t="shared" si="195"/>
        <v>1.5707895102182392</v>
      </c>
      <c r="K425" s="281">
        <f t="shared" si="196"/>
        <v>22.024593861935863</v>
      </c>
      <c r="L425" s="282">
        <f t="shared" si="197"/>
        <v>1.5253769238584329</v>
      </c>
      <c r="M425" s="270">
        <f t="shared" si="198"/>
        <v>1.4599446793762172</v>
      </c>
      <c r="N425" s="273">
        <f t="shared" si="199"/>
        <v>0.81625101621836915</v>
      </c>
      <c r="O425" s="270">
        <f t="shared" si="200"/>
        <v>11525.197830805288</v>
      </c>
      <c r="P425" s="273">
        <f t="shared" si="201"/>
        <v>1.5707095603882861</v>
      </c>
      <c r="Q425" s="271">
        <f t="shared" si="202"/>
        <v>1.0782882665863032</v>
      </c>
      <c r="R425" s="272">
        <f t="shared" si="203"/>
        <v>0.38340628118300385</v>
      </c>
      <c r="S425" s="270">
        <f t="shared" si="204"/>
        <v>1.0000042581506039</v>
      </c>
      <c r="T425" s="273">
        <f t="shared" si="205"/>
        <v>2.9182650647285404E-3</v>
      </c>
      <c r="U425" s="274">
        <f t="shared" si="206"/>
        <v>1.0390867173143943</v>
      </c>
      <c r="V425" s="275">
        <f t="shared" si="207"/>
        <v>0.4023293087663305</v>
      </c>
      <c r="W425" s="276">
        <f t="shared" si="208"/>
        <v>-23.330803764703603</v>
      </c>
      <c r="X425" s="277">
        <f t="shared" si="217"/>
        <v>-179.71652536834151</v>
      </c>
      <c r="Y425" s="299">
        <f t="shared" si="216"/>
        <v>0.28347463165849263</v>
      </c>
      <c r="AB425" s="278">
        <f t="shared" si="209"/>
        <v>-4.194218351812359</v>
      </c>
      <c r="AC425" s="279">
        <f t="shared" si="210"/>
        <v>-49.369687787767333</v>
      </c>
      <c r="AF425" s="278">
        <f t="shared" si="211"/>
        <v>42.666947194090511</v>
      </c>
      <c r="AG425" s="279">
        <f t="shared" si="212"/>
        <v>-130.3468375805742</v>
      </c>
      <c r="AI425">
        <f t="shared" si="213"/>
        <v>0</v>
      </c>
      <c r="AJ425">
        <f t="shared" si="218"/>
        <v>0</v>
      </c>
      <c r="AK425">
        <f t="shared" si="214"/>
        <v>0</v>
      </c>
      <c r="AL425">
        <f t="shared" si="215"/>
        <v>0</v>
      </c>
      <c r="AM425"/>
      <c r="AN425"/>
    </row>
    <row r="426" spans="2:40" x14ac:dyDescent="0.2">
      <c r="B426" s="280">
        <v>41929.75</v>
      </c>
      <c r="C426" s="270">
        <f t="shared" si="188"/>
        <v>34.263406524314227</v>
      </c>
      <c r="D426" s="271">
        <f t="shared" si="189"/>
        <v>1.5416065256925879</v>
      </c>
      <c r="E426" s="271">
        <f t="shared" si="190"/>
        <v>1.002343216721</v>
      </c>
      <c r="F426" s="272">
        <f t="shared" si="191"/>
        <v>6.8390793204448977E-2</v>
      </c>
      <c r="G426" s="271">
        <f t="shared" si="192"/>
        <v>1.0863002008501998</v>
      </c>
      <c r="H426" s="272">
        <f t="shared" si="193"/>
        <v>-0.40129520337646257</v>
      </c>
      <c r="I426" s="270">
        <f t="shared" si="194"/>
        <v>147555.46791895523</v>
      </c>
      <c r="J426" s="273">
        <f t="shared" si="195"/>
        <v>1.5707895496824378</v>
      </c>
      <c r="K426" s="281">
        <f t="shared" si="196"/>
        <v>22.152582928789254</v>
      </c>
      <c r="L426" s="282">
        <f t="shared" si="197"/>
        <v>1.5256395186563232</v>
      </c>
      <c r="M426" s="270">
        <f t="shared" si="198"/>
        <v>1.4644636982788442</v>
      </c>
      <c r="N426" s="273">
        <f t="shared" si="199"/>
        <v>0.81914809071745265</v>
      </c>
      <c r="O426" s="270">
        <f t="shared" si="200"/>
        <v>11592.310881694688</v>
      </c>
      <c r="P426" s="273">
        <f t="shared" si="201"/>
        <v>1.5707100627176609</v>
      </c>
      <c r="Q426" s="271">
        <f t="shared" si="202"/>
        <v>1.0791691358793412</v>
      </c>
      <c r="R426" s="272">
        <f t="shared" si="203"/>
        <v>0.38542481359415143</v>
      </c>
      <c r="S426" s="270">
        <f t="shared" si="204"/>
        <v>1.0000043078866572</v>
      </c>
      <c r="T426" s="273">
        <f t="shared" si="205"/>
        <v>2.9352584868330232E-3</v>
      </c>
      <c r="U426" s="274">
        <f t="shared" si="206"/>
        <v>1.0395455206943554</v>
      </c>
      <c r="V426" s="275">
        <f t="shared" si="207"/>
        <v>0.40461951649514066</v>
      </c>
      <c r="W426" s="276">
        <f t="shared" si="208"/>
        <v>-23.404083860918764</v>
      </c>
      <c r="X426" s="277">
        <f t="shared" si="217"/>
        <v>179.89480950305401</v>
      </c>
      <c r="Y426" s="299">
        <f t="shared" si="216"/>
        <v>-0.10519049694599403</v>
      </c>
      <c r="AB426" s="278">
        <f t="shared" si="209"/>
        <v>-4.2211659385900253</v>
      </c>
      <c r="AC426" s="279">
        <f t="shared" si="210"/>
        <v>-49.520634616990598</v>
      </c>
      <c r="AF426" s="278">
        <f t="shared" si="211"/>
        <v>42.62061468465302</v>
      </c>
      <c r="AG426" s="279">
        <f t="shared" si="212"/>
        <v>-130.58455587995539</v>
      </c>
      <c r="AI426">
        <f t="shared" si="213"/>
        <v>0</v>
      </c>
      <c r="AJ426">
        <f t="shared" si="218"/>
        <v>0</v>
      </c>
      <c r="AK426">
        <f t="shared" si="214"/>
        <v>0</v>
      </c>
      <c r="AL426">
        <f t="shared" si="215"/>
        <v>0</v>
      </c>
      <c r="AM426"/>
      <c r="AN426"/>
    </row>
    <row r="427" spans="2:40" x14ac:dyDescent="0.2">
      <c r="B427" s="280">
        <v>42172.5</v>
      </c>
      <c r="C427" s="270">
        <f t="shared" si="188"/>
        <v>34.461604164152796</v>
      </c>
      <c r="D427" s="271">
        <f t="shared" si="189"/>
        <v>1.541774451108471</v>
      </c>
      <c r="E427" s="271">
        <f t="shared" si="190"/>
        <v>1.0023703949370546</v>
      </c>
      <c r="F427" s="272">
        <f t="shared" si="191"/>
        <v>6.878549379778523E-2</v>
      </c>
      <c r="G427" s="271">
        <f t="shared" si="192"/>
        <v>1.0872621205446691</v>
      </c>
      <c r="H427" s="272">
        <f t="shared" si="193"/>
        <v>-0.40337512736713949</v>
      </c>
      <c r="I427" s="270">
        <f t="shared" si="194"/>
        <v>148409.73225002529</v>
      </c>
      <c r="J427" s="273">
        <f t="shared" si="195"/>
        <v>1.5707895886923151</v>
      </c>
      <c r="K427" s="281">
        <f t="shared" si="196"/>
        <v>22.280573505646874</v>
      </c>
      <c r="L427" s="282">
        <f t="shared" si="197"/>
        <v>1.5258990965244963</v>
      </c>
      <c r="M427" s="270">
        <f t="shared" si="198"/>
        <v>1.4689949328022296</v>
      </c>
      <c r="N427" s="273">
        <f t="shared" si="199"/>
        <v>0.82202731673353457</v>
      </c>
      <c r="O427" s="270">
        <f t="shared" si="200"/>
        <v>11659.423932586978</v>
      </c>
      <c r="P427" s="273">
        <f t="shared" si="201"/>
        <v>1.5707105592640986</v>
      </c>
      <c r="Q427" s="271">
        <f t="shared" si="202"/>
        <v>1.0800543950352743</v>
      </c>
      <c r="R427" s="272">
        <f t="shared" si="203"/>
        <v>0.38744004525270465</v>
      </c>
      <c r="S427" s="270">
        <f t="shared" si="204"/>
        <v>1.0000043579114881</v>
      </c>
      <c r="T427" s="273">
        <f t="shared" si="205"/>
        <v>2.9522519072422339E-3</v>
      </c>
      <c r="U427" s="274">
        <f t="shared" si="206"/>
        <v>1.0400070386513838</v>
      </c>
      <c r="V427" s="275">
        <f t="shared" si="207"/>
        <v>0.40690882409227147</v>
      </c>
      <c r="W427" s="276">
        <f t="shared" si="208"/>
        <v>-23.477050076256173</v>
      </c>
      <c r="X427" s="277">
        <f t="shared" si="217"/>
        <v>179.50736721613805</v>
      </c>
      <c r="Y427" s="299">
        <f t="shared" si="216"/>
        <v>-0.49263278386194997</v>
      </c>
      <c r="AB427" s="278">
        <f t="shared" si="209"/>
        <v>-4.2481012688980488</v>
      </c>
      <c r="AC427" s="279">
        <f t="shared" si="210"/>
        <v>-49.670731634776381</v>
      </c>
      <c r="AF427" s="278">
        <f t="shared" si="211"/>
        <v>42.574583799623639</v>
      </c>
      <c r="AG427" s="279">
        <f t="shared" si="212"/>
        <v>-130.82190114908559</v>
      </c>
      <c r="AI427">
        <f t="shared" si="213"/>
        <v>0</v>
      </c>
      <c r="AJ427">
        <f t="shared" si="218"/>
        <v>0</v>
      </c>
      <c r="AK427">
        <f t="shared" si="214"/>
        <v>0</v>
      </c>
      <c r="AL427">
        <f t="shared" si="215"/>
        <v>0</v>
      </c>
      <c r="AM427"/>
      <c r="AN427"/>
    </row>
    <row r="428" spans="2:40" x14ac:dyDescent="0.2">
      <c r="B428" s="280">
        <v>42415.25</v>
      </c>
      <c r="C428" s="270">
        <f t="shared" si="188"/>
        <v>34.659802764658231</v>
      </c>
      <c r="D428" s="271">
        <f t="shared" si="189"/>
        <v>1.5419404559997458</v>
      </c>
      <c r="E428" s="271">
        <f t="shared" si="190"/>
        <v>1.002397729302466</v>
      </c>
      <c r="F428" s="272">
        <f t="shared" si="191"/>
        <v>6.9180172926438618E-2</v>
      </c>
      <c r="G428" s="271">
        <f t="shared" si="192"/>
        <v>1.0882287354990361</v>
      </c>
      <c r="H428" s="272">
        <f t="shared" si="193"/>
        <v>-0.40545136535769427</v>
      </c>
      <c r="I428" s="270">
        <f t="shared" si="194"/>
        <v>149263.99658109559</v>
      </c>
      <c r="J428" s="273">
        <f t="shared" si="195"/>
        <v>1.5707896272556714</v>
      </c>
      <c r="K428" s="281">
        <f t="shared" si="196"/>
        <v>22.408565566634735</v>
      </c>
      <c r="L428" s="282">
        <f t="shared" si="197"/>
        <v>1.5261557091234874</v>
      </c>
      <c r="M428" s="270">
        <f t="shared" si="198"/>
        <v>1.4735382702546815</v>
      </c>
      <c r="N428" s="273">
        <f t="shared" si="199"/>
        <v>0.82488881140474479</v>
      </c>
      <c r="O428" s="270">
        <f t="shared" si="200"/>
        <v>11726.536983482112</v>
      </c>
      <c r="P428" s="273">
        <f t="shared" si="201"/>
        <v>1.5707110501268897</v>
      </c>
      <c r="Q428" s="271">
        <f t="shared" si="202"/>
        <v>1.0809440332686238</v>
      </c>
      <c r="R428" s="272">
        <f t="shared" si="203"/>
        <v>0.38945196792010794</v>
      </c>
      <c r="S428" s="270">
        <f t="shared" si="204"/>
        <v>1.0000044082250965</v>
      </c>
      <c r="T428" s="273">
        <f t="shared" si="205"/>
        <v>2.9692453259463599E-3</v>
      </c>
      <c r="U428" s="274">
        <f t="shared" si="206"/>
        <v>1.040471271996982</v>
      </c>
      <c r="V428" s="275">
        <f t="shared" si="207"/>
        <v>0.40919722682460152</v>
      </c>
      <c r="W428" s="276">
        <f t="shared" si="208"/>
        <v>-23.549705119598819</v>
      </c>
      <c r="X428" s="277">
        <f t="shared" si="217"/>
        <v>179.12114283392592</v>
      </c>
      <c r="Y428" s="299">
        <f t="shared" si="216"/>
        <v>-0.87885716607408426</v>
      </c>
      <c r="AB428" s="278">
        <f t="shared" si="209"/>
        <v>-4.2750235607239757</v>
      </c>
      <c r="AC428" s="279">
        <f t="shared" si="210"/>
        <v>-49.819982593161384</v>
      </c>
      <c r="AF428" s="278">
        <f t="shared" si="211"/>
        <v>42.528851048106915</v>
      </c>
      <c r="AG428" s="279">
        <f t="shared" si="212"/>
        <v>-131.05887457291266</v>
      </c>
      <c r="AI428">
        <f t="shared" si="213"/>
        <v>0</v>
      </c>
      <c r="AJ428">
        <f t="shared" si="218"/>
        <v>0</v>
      </c>
      <c r="AK428">
        <f t="shared" si="214"/>
        <v>0</v>
      </c>
      <c r="AL428">
        <f t="shared" si="215"/>
        <v>0</v>
      </c>
      <c r="AM428"/>
      <c r="AN428"/>
    </row>
    <row r="429" spans="2:40" x14ac:dyDescent="0.2">
      <c r="B429" s="280">
        <v>42658</v>
      </c>
      <c r="C429" s="270">
        <f t="shared" si="188"/>
        <v>34.858002309443812</v>
      </c>
      <c r="D429" s="271">
        <f t="shared" si="189"/>
        <v>1.5421045731169873</v>
      </c>
      <c r="E429" s="271">
        <f t="shared" si="190"/>
        <v>1.0024252198044603</v>
      </c>
      <c r="F429" s="272">
        <f t="shared" si="191"/>
        <v>6.957483046921048E-2</v>
      </c>
      <c r="G429" s="271">
        <f t="shared" si="192"/>
        <v>1.0892000332128198</v>
      </c>
      <c r="H429" s="272">
        <f t="shared" si="193"/>
        <v>-0.40752390928513177</v>
      </c>
      <c r="I429" s="270">
        <f t="shared" si="194"/>
        <v>150118.26091216612</v>
      </c>
      <c r="J429" s="273">
        <f t="shared" si="195"/>
        <v>1.5707896653801299</v>
      </c>
      <c r="K429" s="281">
        <f t="shared" si="196"/>
        <v>22.536559086466337</v>
      </c>
      <c r="L429" s="282">
        <f t="shared" si="197"/>
        <v>1.5264094069418164</v>
      </c>
      <c r="M429" s="270">
        <f t="shared" si="198"/>
        <v>1.4780935990309083</v>
      </c>
      <c r="N429" s="273">
        <f t="shared" si="199"/>
        <v>0.82773269159243879</v>
      </c>
      <c r="O429" s="270">
        <f t="shared" si="200"/>
        <v>11793.65003438004</v>
      </c>
      <c r="P429" s="273">
        <f t="shared" si="201"/>
        <v>1.5707115354030643</v>
      </c>
      <c r="Q429" s="271">
        <f t="shared" si="202"/>
        <v>1.0818380397761236</v>
      </c>
      <c r="R429" s="272">
        <f t="shared" si="203"/>
        <v>0.39146057349199154</v>
      </c>
      <c r="S429" s="270">
        <f t="shared" si="204"/>
        <v>1.0000044588274826</v>
      </c>
      <c r="T429" s="273">
        <f t="shared" si="205"/>
        <v>2.986238742935585E-3</v>
      </c>
      <c r="U429" s="274">
        <f t="shared" si="206"/>
        <v>1.0409382215454845</v>
      </c>
      <c r="V429" s="275">
        <f t="shared" si="207"/>
        <v>0.41148471996735153</v>
      </c>
      <c r="W429" s="276">
        <f t="shared" si="208"/>
        <v>-23.622051658071573</v>
      </c>
      <c r="X429" s="277">
        <f t="shared" si="217"/>
        <v>178.7361314023693</v>
      </c>
      <c r="Y429" s="299">
        <f t="shared" si="216"/>
        <v>-1.2638685976307045</v>
      </c>
      <c r="AB429" s="278">
        <f t="shared" si="209"/>
        <v>-4.3019320472054101</v>
      </c>
      <c r="AC429" s="279">
        <f t="shared" si="210"/>
        <v>-49.968391295465764</v>
      </c>
      <c r="AF429" s="278">
        <f t="shared" si="211"/>
        <v>42.483412996115597</v>
      </c>
      <c r="AG429" s="279">
        <f t="shared" si="212"/>
        <v>-131.29547730216493</v>
      </c>
      <c r="AI429">
        <f t="shared" si="213"/>
        <v>0</v>
      </c>
      <c r="AJ429">
        <f t="shared" si="218"/>
        <v>0</v>
      </c>
      <c r="AK429">
        <f t="shared" si="214"/>
        <v>0</v>
      </c>
      <c r="AL429">
        <f t="shared" si="215"/>
        <v>0</v>
      </c>
      <c r="AM429"/>
      <c r="AN429"/>
    </row>
    <row r="430" spans="2:40" x14ac:dyDescent="0.2">
      <c r="B430" s="280">
        <v>42906.5</v>
      </c>
      <c r="C430" s="270">
        <f t="shared" si="188"/>
        <v>35.060897552506717</v>
      </c>
      <c r="D430" s="271">
        <f t="shared" si="189"/>
        <v>1.5422706557003873</v>
      </c>
      <c r="E430" s="271">
        <f t="shared" si="190"/>
        <v>1.0024535231863618</v>
      </c>
      <c r="F430" s="272">
        <f t="shared" si="191"/>
        <v>6.9978813748522148E-2</v>
      </c>
      <c r="G430" s="271">
        <f t="shared" si="192"/>
        <v>1.0901991753647819</v>
      </c>
      <c r="H430" s="272">
        <f t="shared" si="193"/>
        <v>-0.4096417107910531</v>
      </c>
      <c r="I430" s="270">
        <f t="shared" si="194"/>
        <v>150992.76013470406</v>
      </c>
      <c r="J430" s="273">
        <f t="shared" si="195"/>
        <v>1.570789703960801</v>
      </c>
      <c r="K430" s="281">
        <f t="shared" si="196"/>
        <v>22.667585863939262</v>
      </c>
      <c r="L430" s="282">
        <f t="shared" si="197"/>
        <v>1.5266661464321243</v>
      </c>
      <c r="M430" s="270">
        <f t="shared" si="198"/>
        <v>1.4827691348808694</v>
      </c>
      <c r="N430" s="273">
        <f t="shared" si="199"/>
        <v>0.83062581096288057</v>
      </c>
      <c r="O430" s="270">
        <f t="shared" si="200"/>
        <v>11862.352786795384</v>
      </c>
      <c r="P430" s="273">
        <f t="shared" si="201"/>
        <v>1.5707120264862515</v>
      </c>
      <c r="Q430" s="271">
        <f t="shared" si="202"/>
        <v>1.0827577359542855</v>
      </c>
      <c r="R430" s="272">
        <f t="shared" si="203"/>
        <v>0.39351331254062216</v>
      </c>
      <c r="S430" s="270">
        <f t="shared" si="204"/>
        <v>1.0000045109276019</v>
      </c>
      <c r="T430" s="273">
        <f t="shared" si="205"/>
        <v>3.0036346798589029E-3</v>
      </c>
      <c r="U430" s="274">
        <f t="shared" si="206"/>
        <v>1.0414190460166346</v>
      </c>
      <c r="V430" s="275">
        <f t="shared" si="207"/>
        <v>0.4138254496921529</v>
      </c>
      <c r="W430" s="276">
        <f t="shared" si="208"/>
        <v>-23.695795052290531</v>
      </c>
      <c r="X430" s="277">
        <f t="shared" si="217"/>
        <v>178.34325143500604</v>
      </c>
      <c r="Y430" s="299">
        <f t="shared" si="216"/>
        <v>-1.6567485649939613</v>
      </c>
      <c r="AB430" s="278">
        <f t="shared" si="209"/>
        <v>-4.3294628282597873</v>
      </c>
      <c r="AC430" s="279">
        <f t="shared" si="210"/>
        <v>-50.119446946300265</v>
      </c>
      <c r="AF430" s="278">
        <f t="shared" si="211"/>
        <v>42.437200382951019</v>
      </c>
      <c r="AG430" s="279">
        <f t="shared" si="212"/>
        <v>-131.53730161869365</v>
      </c>
      <c r="AI430">
        <f t="shared" si="213"/>
        <v>0</v>
      </c>
      <c r="AJ430">
        <f t="shared" si="218"/>
        <v>0</v>
      </c>
      <c r="AK430">
        <f t="shared" si="214"/>
        <v>0</v>
      </c>
      <c r="AL430">
        <f t="shared" si="215"/>
        <v>0</v>
      </c>
      <c r="AM430"/>
      <c r="AN430"/>
    </row>
    <row r="431" spans="2:40" x14ac:dyDescent="0.2">
      <c r="B431" s="280">
        <v>43155</v>
      </c>
      <c r="C431" s="270">
        <f t="shared" si="188"/>
        <v>35.263793751540547</v>
      </c>
      <c r="D431" s="271">
        <f t="shared" si="189"/>
        <v>1.5424348271198294</v>
      </c>
      <c r="E431" s="271">
        <f t="shared" si="190"/>
        <v>1.0024819901619204</v>
      </c>
      <c r="F431" s="272">
        <f t="shared" si="191"/>
        <v>7.0382774150339111E-2</v>
      </c>
      <c r="G431" s="271">
        <f t="shared" si="192"/>
        <v>1.091203198183766</v>
      </c>
      <c r="H431" s="272">
        <f t="shared" si="193"/>
        <v>-0.41175562455899484</v>
      </c>
      <c r="I431" s="270">
        <f t="shared" si="194"/>
        <v>151867.2593572422</v>
      </c>
      <c r="J431" s="273">
        <f t="shared" si="195"/>
        <v>1.5707897420971531</v>
      </c>
      <c r="K431" s="281">
        <f t="shared" si="196"/>
        <v>22.798614118375781</v>
      </c>
      <c r="L431" s="282">
        <f t="shared" si="197"/>
        <v>1.5269199348712661</v>
      </c>
      <c r="M431" s="270">
        <f t="shared" si="198"/>
        <v>1.4874570036321411</v>
      </c>
      <c r="N431" s="273">
        <f t="shared" si="199"/>
        <v>0.83350071836347861</v>
      </c>
      <c r="O431" s="270">
        <f t="shared" si="200"/>
        <v>11931.055539213557</v>
      </c>
      <c r="P431" s="273">
        <f t="shared" si="201"/>
        <v>1.5707125119138172</v>
      </c>
      <c r="Q431" s="271">
        <f t="shared" si="202"/>
        <v>1.0836819868341232</v>
      </c>
      <c r="R431" s="272">
        <f t="shared" si="203"/>
        <v>0.39556255873112789</v>
      </c>
      <c r="S431" s="270">
        <f t="shared" si="204"/>
        <v>1.0000045633303416</v>
      </c>
      <c r="T431" s="273">
        <f t="shared" si="205"/>
        <v>3.0210306149643044E-3</v>
      </c>
      <c r="U431" s="274">
        <f t="shared" si="206"/>
        <v>1.0419027186275627</v>
      </c>
      <c r="V431" s="275">
        <f t="shared" si="207"/>
        <v>0.41616521623346492</v>
      </c>
      <c r="W431" s="276">
        <f t="shared" si="208"/>
        <v>-23.769220680206114</v>
      </c>
      <c r="X431" s="277">
        <f t="shared" si="217"/>
        <v>177.95163200750397</v>
      </c>
      <c r="Y431" s="299">
        <f t="shared" si="216"/>
        <v>-2.0483679924960256</v>
      </c>
      <c r="AB431" s="278">
        <f t="shared" si="209"/>
        <v>-4.3569775637517836</v>
      </c>
      <c r="AC431" s="279">
        <f t="shared" si="210"/>
        <v>-50.269628185445455</v>
      </c>
      <c r="AF431" s="278">
        <f t="shared" si="211"/>
        <v>42.391289490527427</v>
      </c>
      <c r="AG431" s="279">
        <f t="shared" si="212"/>
        <v>-131.77873980705061</v>
      </c>
      <c r="AI431">
        <f t="shared" si="213"/>
        <v>0</v>
      </c>
      <c r="AJ431">
        <f t="shared" si="218"/>
        <v>0</v>
      </c>
      <c r="AK431">
        <f t="shared" si="214"/>
        <v>0</v>
      </c>
      <c r="AL431">
        <f t="shared" si="215"/>
        <v>0</v>
      </c>
      <c r="AM431"/>
      <c r="AN431"/>
    </row>
    <row r="432" spans="2:40" x14ac:dyDescent="0.2">
      <c r="B432" s="280">
        <v>43403.5</v>
      </c>
      <c r="C432" s="270">
        <f t="shared" si="188"/>
        <v>35.466690890138665</v>
      </c>
      <c r="D432" s="271">
        <f t="shared" si="189"/>
        <v>1.5425971201664335</v>
      </c>
      <c r="E432" s="271">
        <f t="shared" si="190"/>
        <v>1.0025106207172005</v>
      </c>
      <c r="F432" s="272">
        <f t="shared" si="191"/>
        <v>7.0786711544776115E-2</v>
      </c>
      <c r="G432" s="271">
        <f t="shared" si="192"/>
        <v>1.0922120882100208</v>
      </c>
      <c r="H432" s="272">
        <f t="shared" si="193"/>
        <v>-0.4138656424439448</v>
      </c>
      <c r="I432" s="270">
        <f t="shared" si="194"/>
        <v>152741.75857978058</v>
      </c>
      <c r="J432" s="273">
        <f t="shared" si="195"/>
        <v>1.5707897797968176</v>
      </c>
      <c r="K432" s="281">
        <f t="shared" si="196"/>
        <v>22.929643824456189</v>
      </c>
      <c r="L432" s="282">
        <f t="shared" si="197"/>
        <v>1.5271708228169387</v>
      </c>
      <c r="M432" s="270">
        <f t="shared" si="198"/>
        <v>1.4921570890469205</v>
      </c>
      <c r="N432" s="273">
        <f t="shared" si="199"/>
        <v>0.83635753814263003</v>
      </c>
      <c r="O432" s="270">
        <f t="shared" si="200"/>
        <v>11999.758291634509</v>
      </c>
      <c r="P432" s="273">
        <f t="shared" si="201"/>
        <v>1.5707129917829028</v>
      </c>
      <c r="Q432" s="271">
        <f t="shared" si="202"/>
        <v>1.084610780771772</v>
      </c>
      <c r="R432" s="272">
        <f t="shared" si="203"/>
        <v>0.39760830380362666</v>
      </c>
      <c r="S432" s="270">
        <f t="shared" si="204"/>
        <v>1.000004616035701</v>
      </c>
      <c r="T432" s="273">
        <f t="shared" si="205"/>
        <v>3.0384265482412604E-3</v>
      </c>
      <c r="U432" s="274">
        <f t="shared" si="206"/>
        <v>1.0423892402608945</v>
      </c>
      <c r="V432" s="275">
        <f t="shared" si="207"/>
        <v>0.41850401455022829</v>
      </c>
      <c r="W432" s="276">
        <f t="shared" si="208"/>
        <v>-23.842331273972807</v>
      </c>
      <c r="X432" s="277">
        <f t="shared" si="217"/>
        <v>177.5612677608016</v>
      </c>
      <c r="Y432" s="299">
        <f t="shared" si="216"/>
        <v>-2.4387322391984014</v>
      </c>
      <c r="AB432" s="278">
        <f t="shared" si="209"/>
        <v>-4.3844754791113596</v>
      </c>
      <c r="AC432" s="279">
        <f t="shared" si="210"/>
        <v>-50.41893924123422</v>
      </c>
      <c r="AF432" s="278">
        <f t="shared" si="211"/>
        <v>42.34567681212031</v>
      </c>
      <c r="AG432" s="279">
        <f t="shared" si="212"/>
        <v>-132.0197929979642</v>
      </c>
      <c r="AI432">
        <f t="shared" si="213"/>
        <v>0</v>
      </c>
      <c r="AJ432">
        <f t="shared" si="218"/>
        <v>0</v>
      </c>
      <c r="AK432">
        <f t="shared" si="214"/>
        <v>0</v>
      </c>
      <c r="AL432">
        <f t="shared" si="215"/>
        <v>0</v>
      </c>
      <c r="AM432"/>
      <c r="AN432"/>
    </row>
    <row r="433" spans="2:40" x14ac:dyDescent="0.2">
      <c r="B433" s="280">
        <v>43652</v>
      </c>
      <c r="C433" s="270">
        <f t="shared" si="188"/>
        <v>35.669588952267681</v>
      </c>
      <c r="D433" s="271">
        <f t="shared" si="189"/>
        <v>1.5427575668856215</v>
      </c>
      <c r="E433" s="271">
        <f t="shared" si="190"/>
        <v>1.0025394148381872</v>
      </c>
      <c r="F433" s="272">
        <f t="shared" si="191"/>
        <v>7.1190625801992757E-2</v>
      </c>
      <c r="G433" s="271">
        <f t="shared" si="192"/>
        <v>1.0932258319683519</v>
      </c>
      <c r="H433" s="272">
        <f t="shared" si="193"/>
        <v>-0.4159717564696449</v>
      </c>
      <c r="I433" s="270">
        <f t="shared" si="194"/>
        <v>153616.25780231913</v>
      </c>
      <c r="J433" s="273">
        <f t="shared" si="195"/>
        <v>1.5707898170672525</v>
      </c>
      <c r="K433" s="281">
        <f t="shared" si="196"/>
        <v>23.06067495743596</v>
      </c>
      <c r="L433" s="282">
        <f t="shared" si="197"/>
        <v>1.5274188596792395</v>
      </c>
      <c r="M433" s="270">
        <f t="shared" si="198"/>
        <v>1.4968692760463014</v>
      </c>
      <c r="N433" s="273">
        <f t="shared" si="199"/>
        <v>0.83919639426998327</v>
      </c>
      <c r="O433" s="270">
        <f t="shared" si="200"/>
        <v>12068.461044058193</v>
      </c>
      <c r="P433" s="273">
        <f t="shared" si="201"/>
        <v>1.570713466188437</v>
      </c>
      <c r="Q433" s="271">
        <f t="shared" si="202"/>
        <v>1.0855441061060811</v>
      </c>
      <c r="R433" s="272">
        <f t="shared" si="203"/>
        <v>0.39965053964365471</v>
      </c>
      <c r="S433" s="270">
        <f t="shared" si="204"/>
        <v>1.0000046690436801</v>
      </c>
      <c r="T433" s="273">
        <f t="shared" si="205"/>
        <v>3.0558224796792422E-3</v>
      </c>
      <c r="U433" s="274">
        <f t="shared" si="206"/>
        <v>1.0428786118022431</v>
      </c>
      <c r="V433" s="275">
        <f t="shared" si="207"/>
        <v>0.42084183961075822</v>
      </c>
      <c r="W433" s="276">
        <f t="shared" si="208"/>
        <v>-23.915129524459168</v>
      </c>
      <c r="X433" s="277">
        <f t="shared" si="217"/>
        <v>177.17215332431755</v>
      </c>
      <c r="Y433" s="299">
        <f t="shared" si="216"/>
        <v>-2.8278466756824514</v>
      </c>
      <c r="AB433" s="278">
        <f t="shared" si="209"/>
        <v>-4.411955815562755</v>
      </c>
      <c r="AC433" s="279">
        <f t="shared" si="210"/>
        <v>-50.567384386041539</v>
      </c>
      <c r="AF433" s="278">
        <f t="shared" si="211"/>
        <v>42.300358898085342</v>
      </c>
      <c r="AG433" s="279">
        <f t="shared" si="212"/>
        <v>-132.26046228964091</v>
      </c>
      <c r="AI433">
        <f t="shared" si="213"/>
        <v>0</v>
      </c>
      <c r="AJ433">
        <f t="shared" si="218"/>
        <v>0</v>
      </c>
      <c r="AK433">
        <f t="shared" si="214"/>
        <v>0</v>
      </c>
      <c r="AL433">
        <f t="shared" si="215"/>
        <v>0</v>
      </c>
      <c r="AM433"/>
      <c r="AN433"/>
    </row>
    <row r="434" spans="2:40" x14ac:dyDescent="0.2">
      <c r="B434" s="280">
        <v>43906</v>
      </c>
      <c r="C434" s="270">
        <f t="shared" si="188"/>
        <v>35.876978654078307</v>
      </c>
      <c r="D434" s="271">
        <f t="shared" si="189"/>
        <v>1.5429196892662327</v>
      </c>
      <c r="E434" s="271">
        <f t="shared" si="190"/>
        <v>1.0025690152749489</v>
      </c>
      <c r="F434" s="272">
        <f t="shared" si="191"/>
        <v>7.1603455765231139E-2</v>
      </c>
      <c r="G434" s="271">
        <f t="shared" si="192"/>
        <v>1.0942670147281133</v>
      </c>
      <c r="H434" s="272">
        <f t="shared" si="193"/>
        <v>-0.41812044214071542</v>
      </c>
      <c r="I434" s="270">
        <f t="shared" si="194"/>
        <v>154510.11213843524</v>
      </c>
      <c r="J434" s="273">
        <f t="shared" si="195"/>
        <v>1.5707898547265888</v>
      </c>
      <c r="K434" s="281">
        <f t="shared" si="196"/>
        <v>23.194607625298993</v>
      </c>
      <c r="L434" s="282">
        <f t="shared" si="197"/>
        <v>1.5276694901276193</v>
      </c>
      <c r="M434" s="270">
        <f t="shared" si="198"/>
        <v>1.501698144633322</v>
      </c>
      <c r="N434" s="273">
        <f t="shared" si="199"/>
        <v>0.84207964643902256</v>
      </c>
      <c r="O434" s="270">
        <f t="shared" si="200"/>
        <v>12138.68438054232</v>
      </c>
      <c r="P434" s="273">
        <f t="shared" si="201"/>
        <v>1.5707139455441959</v>
      </c>
      <c r="Q434" s="271">
        <f t="shared" si="202"/>
        <v>1.086502759328041</v>
      </c>
      <c r="R434" s="272">
        <f t="shared" si="203"/>
        <v>0.40173434098279931</v>
      </c>
      <c r="S434" s="270">
        <f t="shared" si="204"/>
        <v>1.000004723537615</v>
      </c>
      <c r="T434" s="273">
        <f t="shared" si="205"/>
        <v>3.0736034298211152E-3</v>
      </c>
      <c r="U434" s="274">
        <f t="shared" si="206"/>
        <v>1.0433817606502436</v>
      </c>
      <c r="V434" s="275">
        <f t="shared" si="207"/>
        <v>0.42323039624386666</v>
      </c>
      <c r="W434" s="276">
        <f t="shared" si="208"/>
        <v>-23.989218973775909</v>
      </c>
      <c r="X434" s="277">
        <f t="shared" si="217"/>
        <v>176.77571270466703</v>
      </c>
      <c r="Y434" s="299">
        <f t="shared" si="216"/>
        <v>-3.2242872953329709</v>
      </c>
      <c r="AB434" s="278">
        <f t="shared" si="209"/>
        <v>-4.4400254282693918</v>
      </c>
      <c r="AC434" s="279">
        <f t="shared" si="210"/>
        <v>-50.718224657410829</v>
      </c>
      <c r="AF434" s="278">
        <f t="shared" si="211"/>
        <v>42.254339061475235</v>
      </c>
      <c r="AG434" s="279">
        <f t="shared" si="212"/>
        <v>-132.5060626379221</v>
      </c>
      <c r="AI434">
        <f t="shared" si="213"/>
        <v>0</v>
      </c>
      <c r="AJ434">
        <f t="shared" si="218"/>
        <v>0</v>
      </c>
      <c r="AK434">
        <f t="shared" si="214"/>
        <v>0</v>
      </c>
      <c r="AL434">
        <f t="shared" si="215"/>
        <v>0</v>
      </c>
      <c r="AM434"/>
      <c r="AN434"/>
    </row>
    <row r="435" spans="2:40" x14ac:dyDescent="0.2">
      <c r="B435" s="280">
        <v>44160</v>
      </c>
      <c r="C435" s="270">
        <f t="shared" si="188"/>
        <v>36.084369288028192</v>
      </c>
      <c r="D435" s="271">
        <f t="shared" si="189"/>
        <v>1.5430799480926964</v>
      </c>
      <c r="E435" s="271">
        <f t="shared" si="190"/>
        <v>1.0025987865680166</v>
      </c>
      <c r="F435" s="272">
        <f t="shared" si="191"/>
        <v>7.2016261281571362E-2</v>
      </c>
      <c r="G435" s="271">
        <f t="shared" si="192"/>
        <v>1.0953132399362877</v>
      </c>
      <c r="H435" s="272">
        <f t="shared" si="193"/>
        <v>-0.42026503291882777</v>
      </c>
      <c r="I435" s="270">
        <f t="shared" si="194"/>
        <v>155403.96647455159</v>
      </c>
      <c r="J435" s="273">
        <f t="shared" si="195"/>
        <v>1.5707898919527064</v>
      </c>
      <c r="K435" s="281">
        <f t="shared" si="196"/>
        <v>23.328541733416138</v>
      </c>
      <c r="L435" s="282">
        <f t="shared" si="197"/>
        <v>1.5279172427462437</v>
      </c>
      <c r="M435" s="270">
        <f t="shared" si="198"/>
        <v>1.5065394169634028</v>
      </c>
      <c r="N435" s="273">
        <f t="shared" si="199"/>
        <v>0.84494439160387813</v>
      </c>
      <c r="O435" s="270">
        <f t="shared" si="200"/>
        <v>12208.907717029202</v>
      </c>
      <c r="P435" s="273">
        <f t="shared" si="201"/>
        <v>1.5707144193856266</v>
      </c>
      <c r="Q435" s="271">
        <f t="shared" si="202"/>
        <v>1.087466122062783</v>
      </c>
      <c r="R435" s="272">
        <f t="shared" si="203"/>
        <v>0.40381445935184956</v>
      </c>
      <c r="S435" s="270">
        <f t="shared" si="204"/>
        <v>1.0000047783477135</v>
      </c>
      <c r="T435" s="273">
        <f t="shared" si="205"/>
        <v>3.0913843780194677E-3</v>
      </c>
      <c r="U435" s="274">
        <f t="shared" si="206"/>
        <v>1.0438878888355818</v>
      </c>
      <c r="V435" s="275">
        <f t="shared" si="207"/>
        <v>0.42561792546230165</v>
      </c>
      <c r="W435" s="276">
        <f t="shared" si="208"/>
        <v>-24.062987658123298</v>
      </c>
      <c r="X435" s="277">
        <f t="shared" si="217"/>
        <v>176.38056645526231</v>
      </c>
      <c r="Y435" s="299">
        <f t="shared" si="216"/>
        <v>-3.6194335447376886</v>
      </c>
      <c r="AB435" s="278">
        <f t="shared" si="209"/>
        <v>-4.4680751218687744</v>
      </c>
      <c r="AC435" s="279">
        <f t="shared" si="210"/>
        <v>-50.868169418226493</v>
      </c>
      <c r="AF435" s="278">
        <f t="shared" si="211"/>
        <v>42.208620070727243</v>
      </c>
      <c r="AG435" s="279">
        <f t="shared" si="212"/>
        <v>-132.75126412651119</v>
      </c>
      <c r="AI435">
        <f t="shared" si="213"/>
        <v>0</v>
      </c>
      <c r="AJ435">
        <f t="shared" si="218"/>
        <v>0</v>
      </c>
      <c r="AK435">
        <f t="shared" si="214"/>
        <v>0</v>
      </c>
      <c r="AL435">
        <f t="shared" si="215"/>
        <v>0</v>
      </c>
      <c r="AM435"/>
      <c r="AN435"/>
    </row>
    <row r="436" spans="2:40" x14ac:dyDescent="0.2">
      <c r="B436" s="280">
        <v>44414</v>
      </c>
      <c r="C436" s="270">
        <f t="shared" si="188"/>
        <v>36.291760838137101</v>
      </c>
      <c r="D436" s="271">
        <f t="shared" si="189"/>
        <v>1.5432383753049019</v>
      </c>
      <c r="E436" s="271">
        <f t="shared" si="190"/>
        <v>1.0026287287021702</v>
      </c>
      <c r="F436" s="272">
        <f t="shared" si="191"/>
        <v>7.2429042212506387E-2</v>
      </c>
      <c r="G436" s="271">
        <f t="shared" si="192"/>
        <v>1.0963644931573386</v>
      </c>
      <c r="H436" s="272">
        <f t="shared" si="193"/>
        <v>-0.42240552082804839</v>
      </c>
      <c r="I436" s="270">
        <f t="shared" si="194"/>
        <v>156297.82081066814</v>
      </c>
      <c r="J436" s="273">
        <f t="shared" si="195"/>
        <v>1.5707899287530376</v>
      </c>
      <c r="K436" s="281">
        <f t="shared" si="196"/>
        <v>23.4624772571226</v>
      </c>
      <c r="L436" s="282">
        <f t="shared" si="197"/>
        <v>1.5281621667886975</v>
      </c>
      <c r="M436" s="270">
        <f t="shared" si="198"/>
        <v>1.5113929738420715</v>
      </c>
      <c r="N436" s="273">
        <f t="shared" si="199"/>
        <v>0.84779076081302429</v>
      </c>
      <c r="O436" s="270">
        <f t="shared" si="200"/>
        <v>12279.131053518795</v>
      </c>
      <c r="P436" s="273">
        <f t="shared" si="201"/>
        <v>1.5707148878073374</v>
      </c>
      <c r="Q436" s="271">
        <f t="shared" si="202"/>
        <v>1.0884341818052721</v>
      </c>
      <c r="R436" s="272">
        <f t="shared" si="203"/>
        <v>0.40589088655314753</v>
      </c>
      <c r="S436" s="270">
        <f t="shared" si="204"/>
        <v>1.0000048334739755</v>
      </c>
      <c r="T436" s="273">
        <f t="shared" si="205"/>
        <v>3.1091653242630566E-3</v>
      </c>
      <c r="U436" s="274">
        <f t="shared" si="206"/>
        <v>1.0443969973134586</v>
      </c>
      <c r="V436" s="275">
        <f t="shared" si="207"/>
        <v>0.42800442192355059</v>
      </c>
      <c r="W436" s="276">
        <f t="shared" si="208"/>
        <v>-24.136438324074504</v>
      </c>
      <c r="X436" s="277">
        <f t="shared" si="217"/>
        <v>175.98670881430959</v>
      </c>
      <c r="Y436" s="299">
        <f t="shared" si="216"/>
        <v>-4.0132911856904059</v>
      </c>
      <c r="AB436" s="278">
        <f t="shared" si="209"/>
        <v>-4.4961041358490759</v>
      </c>
      <c r="AC436" s="279">
        <f t="shared" si="210"/>
        <v>-51.017223355416341</v>
      </c>
      <c r="AF436" s="278">
        <f t="shared" si="211"/>
        <v>42.163198418756323</v>
      </c>
      <c r="AG436" s="279">
        <f t="shared" si="212"/>
        <v>-132.99606783027411</v>
      </c>
      <c r="AI436">
        <f t="shared" si="213"/>
        <v>0</v>
      </c>
      <c r="AJ436">
        <f t="shared" si="218"/>
        <v>0</v>
      </c>
      <c r="AK436">
        <f t="shared" si="214"/>
        <v>0</v>
      </c>
      <c r="AL436">
        <f t="shared" si="215"/>
        <v>0</v>
      </c>
      <c r="AM436"/>
      <c r="AN436"/>
    </row>
    <row r="437" spans="2:40" x14ac:dyDescent="0.2">
      <c r="B437" s="280">
        <v>44668</v>
      </c>
      <c r="C437" s="270">
        <f t="shared" si="188"/>
        <v>36.49915328878793</v>
      </c>
      <c r="D437" s="271">
        <f t="shared" si="189"/>
        <v>1.5433950021171656</v>
      </c>
      <c r="E437" s="271">
        <f t="shared" si="190"/>
        <v>1.0026588416621047</v>
      </c>
      <c r="F437" s="272">
        <f t="shared" si="191"/>
        <v>7.284179841957919E-2</v>
      </c>
      <c r="G437" s="271">
        <f t="shared" si="192"/>
        <v>1.0974207599418</v>
      </c>
      <c r="H437" s="272">
        <f t="shared" si="193"/>
        <v>-0.42454189807331527</v>
      </c>
      <c r="I437" s="270">
        <f t="shared" si="194"/>
        <v>157191.67514678487</v>
      </c>
      <c r="J437" s="273">
        <f t="shared" si="195"/>
        <v>1.5707899651348465</v>
      </c>
      <c r="K437" s="281">
        <f t="shared" si="196"/>
        <v>23.59641417231331</v>
      </c>
      <c r="L437" s="282">
        <f t="shared" si="197"/>
        <v>1.5284043103916571</v>
      </c>
      <c r="M437" s="270">
        <f t="shared" si="198"/>
        <v>1.5162586973005021</v>
      </c>
      <c r="N437" s="273">
        <f t="shared" si="199"/>
        <v>0.85061888463018642</v>
      </c>
      <c r="O437" s="270">
        <f t="shared" si="200"/>
        <v>12349.354390011053</v>
      </c>
      <c r="P437" s="273">
        <f t="shared" si="201"/>
        <v>1.5707153509017842</v>
      </c>
      <c r="Q437" s="271">
        <f t="shared" si="202"/>
        <v>1.0894069260340604</v>
      </c>
      <c r="R437" s="272">
        <f t="shared" si="203"/>
        <v>0.40796361454541863</v>
      </c>
      <c r="S437" s="270">
        <f t="shared" si="204"/>
        <v>1.000004888916401</v>
      </c>
      <c r="T437" s="273">
        <f t="shared" si="205"/>
        <v>3.1269462685406396E-3</v>
      </c>
      <c r="U437" s="274">
        <f t="shared" si="206"/>
        <v>1.0449090870421991</v>
      </c>
      <c r="V437" s="275">
        <f t="shared" si="207"/>
        <v>0.43038988029557024</v>
      </c>
      <c r="W437" s="276">
        <f t="shared" si="208"/>
        <v>-24.209573677589155</v>
      </c>
      <c r="X437" s="277">
        <f t="shared" si="217"/>
        <v>175.59413401441665</v>
      </c>
      <c r="Y437" s="299">
        <f t="shared" si="216"/>
        <v>-4.4058659855833469</v>
      </c>
      <c r="AB437" s="278">
        <f t="shared" si="209"/>
        <v>-4.5241117260013457</v>
      </c>
      <c r="AC437" s="279">
        <f t="shared" si="210"/>
        <v>-51.165391192118584</v>
      </c>
      <c r="AF437" s="278">
        <f t="shared" si="211"/>
        <v>42.118070655393957</v>
      </c>
      <c r="AG437" s="279">
        <f t="shared" si="212"/>
        <v>-133.24047479346478</v>
      </c>
      <c r="AI437">
        <f t="shared" si="213"/>
        <v>0</v>
      </c>
      <c r="AJ437">
        <f t="shared" si="218"/>
        <v>0</v>
      </c>
      <c r="AK437">
        <f t="shared" si="214"/>
        <v>0</v>
      </c>
      <c r="AL437">
        <f t="shared" si="215"/>
        <v>0</v>
      </c>
      <c r="AM437"/>
      <c r="AN437"/>
    </row>
    <row r="438" spans="2:40" x14ac:dyDescent="0.2">
      <c r="B438" s="280">
        <v>44928.25</v>
      </c>
      <c r="C438" s="270">
        <f t="shared" si="188"/>
        <v>36.71164981822708</v>
      </c>
      <c r="D438" s="271">
        <f t="shared" si="189"/>
        <v>1.5435536474385423</v>
      </c>
      <c r="E438" s="271">
        <f t="shared" si="190"/>
        <v>1.0026898727570279</v>
      </c>
      <c r="F438" s="272">
        <f t="shared" si="191"/>
        <v>7.3264685240759672E-2</v>
      </c>
      <c r="G438" s="271">
        <f t="shared" si="192"/>
        <v>1.0985082025478858</v>
      </c>
      <c r="H438" s="272">
        <f t="shared" si="193"/>
        <v>-0.42672657206351022</v>
      </c>
      <c r="I438" s="270">
        <f t="shared" si="194"/>
        <v>158107.52393014877</v>
      </c>
      <c r="J438" s="273">
        <f t="shared" si="195"/>
        <v>1.5707900019852028</v>
      </c>
      <c r="K438" s="281">
        <f t="shared" si="196"/>
        <v>23.733648197944341</v>
      </c>
      <c r="L438" s="282">
        <f t="shared" si="197"/>
        <v>1.5286495775424087</v>
      </c>
      <c r="M438" s="270">
        <f t="shared" si="198"/>
        <v>1.5212566454476149</v>
      </c>
      <c r="N438" s="273">
        <f t="shared" si="199"/>
        <v>0.85349780977119716</v>
      </c>
      <c r="O438" s="270">
        <f t="shared" si="200"/>
        <v>12421.30566293546</v>
      </c>
      <c r="P438" s="273">
        <f t="shared" si="201"/>
        <v>1.5707158199602518</v>
      </c>
      <c r="Q438" s="271">
        <f t="shared" si="202"/>
        <v>1.0904084515941188</v>
      </c>
      <c r="R438" s="272">
        <f t="shared" si="203"/>
        <v>0.41008349959314866</v>
      </c>
      <c r="S438" s="270">
        <f t="shared" si="204"/>
        <v>1.0000049460509881</v>
      </c>
      <c r="T438" s="273">
        <f t="shared" si="205"/>
        <v>3.1451647340024762E-3</v>
      </c>
      <c r="U438" s="274">
        <f t="shared" si="206"/>
        <v>1.0454368705991355</v>
      </c>
      <c r="V438" s="275">
        <f t="shared" si="207"/>
        <v>0.43283295368651165</v>
      </c>
      <c r="W438" s="276">
        <f t="shared" si="208"/>
        <v>-24.284184363628313</v>
      </c>
      <c r="X438" s="277">
        <f t="shared" si="217"/>
        <v>175.19322394464314</v>
      </c>
      <c r="Y438" s="299">
        <f t="shared" si="216"/>
        <v>-4.8067760553568633</v>
      </c>
      <c r="AB438" s="278">
        <f t="shared" si="209"/>
        <v>-4.5527854969125539</v>
      </c>
      <c r="AC438" s="279">
        <f t="shared" si="210"/>
        <v>-51.316290791011227</v>
      </c>
      <c r="AF438" s="278">
        <f t="shared" si="211"/>
        <v>42.072133740266004</v>
      </c>
      <c r="AG438" s="279">
        <f t="shared" si="212"/>
        <v>-133.49048526434564</v>
      </c>
      <c r="AI438">
        <f t="shared" si="213"/>
        <v>0</v>
      </c>
      <c r="AJ438">
        <f t="shared" si="218"/>
        <v>0</v>
      </c>
      <c r="AK438">
        <f t="shared" si="214"/>
        <v>0</v>
      </c>
      <c r="AL438">
        <f t="shared" si="215"/>
        <v>0</v>
      </c>
      <c r="AM438"/>
      <c r="AN438"/>
    </row>
    <row r="439" spans="2:40" x14ac:dyDescent="0.2">
      <c r="B439" s="280">
        <v>45188.5</v>
      </c>
      <c r="C439" s="270">
        <f t="shared" si="188"/>
        <v>36.924147261002624</v>
      </c>
      <c r="D439" s="271">
        <f t="shared" si="189"/>
        <v>1.5437104667649844</v>
      </c>
      <c r="E439" s="271">
        <f t="shared" si="190"/>
        <v>1.0027210831551359</v>
      </c>
      <c r="F439" s="272">
        <f t="shared" si="191"/>
        <v>7.3687545812259003E-2</v>
      </c>
      <c r="G439" s="271">
        <f t="shared" si="192"/>
        <v>1.0996008777298494</v>
      </c>
      <c r="H439" s="272">
        <f t="shared" si="193"/>
        <v>-0.42890691461465458</v>
      </c>
      <c r="I439" s="270">
        <f t="shared" si="194"/>
        <v>159023.37271351294</v>
      </c>
      <c r="J439" s="273">
        <f t="shared" si="195"/>
        <v>1.5707900384111015</v>
      </c>
      <c r="K439" s="281">
        <f t="shared" si="196"/>
        <v>23.870883634880109</v>
      </c>
      <c r="L439" s="282">
        <f t="shared" si="197"/>
        <v>1.5288920245904187</v>
      </c>
      <c r="M439" s="270">
        <f t="shared" si="198"/>
        <v>1.5262671194523798</v>
      </c>
      <c r="N439" s="273">
        <f t="shared" si="199"/>
        <v>0.85635785644944695</v>
      </c>
      <c r="O439" s="270">
        <f t="shared" si="200"/>
        <v>12493.25693586257</v>
      </c>
      <c r="P439" s="273">
        <f t="shared" si="201"/>
        <v>1.5707162836159081</v>
      </c>
      <c r="Q439" s="271">
        <f t="shared" si="202"/>
        <v>1.0914148683484057</v>
      </c>
      <c r="R439" s="272">
        <f t="shared" si="203"/>
        <v>0.41219948455359662</v>
      </c>
      <c r="S439" s="270">
        <f t="shared" si="204"/>
        <v>1.0000050035174892</v>
      </c>
      <c r="T439" s="273">
        <f t="shared" si="205"/>
        <v>3.1633831973764677E-3</v>
      </c>
      <c r="U439" s="274">
        <f t="shared" si="206"/>
        <v>1.0459677859738858</v>
      </c>
      <c r="V439" s="275">
        <f t="shared" si="207"/>
        <v>0.43527492597349149</v>
      </c>
      <c r="W439" s="276">
        <f t="shared" si="208"/>
        <v>-24.358469654106241</v>
      </c>
      <c r="X439" s="277">
        <f t="shared" si="217"/>
        <v>174.7936483550381</v>
      </c>
      <c r="Y439" s="299">
        <f t="shared" si="216"/>
        <v>-5.2063516449618987</v>
      </c>
      <c r="AB439" s="278">
        <f t="shared" si="209"/>
        <v>-4.5814352463685895</v>
      </c>
      <c r="AC439" s="279">
        <f t="shared" si="210"/>
        <v>-51.466270289329231</v>
      </c>
      <c r="AF439" s="278">
        <f t="shared" si="211"/>
        <v>42.026498199244109</v>
      </c>
      <c r="AG439" s="279">
        <f t="shared" si="212"/>
        <v>-133.74008135563267</v>
      </c>
      <c r="AI439">
        <f t="shared" si="213"/>
        <v>0</v>
      </c>
      <c r="AJ439">
        <f t="shared" si="218"/>
        <v>0</v>
      </c>
      <c r="AK439">
        <f t="shared" si="214"/>
        <v>0</v>
      </c>
      <c r="AL439">
        <f t="shared" si="215"/>
        <v>0</v>
      </c>
      <c r="AM439"/>
      <c r="AN439"/>
    </row>
    <row r="440" spans="2:40" x14ac:dyDescent="0.2">
      <c r="B440" s="280">
        <v>45448.75</v>
      </c>
      <c r="C440" s="270">
        <f t="shared" si="188"/>
        <v>37.136645601436094</v>
      </c>
      <c r="D440" s="271">
        <f t="shared" si="189"/>
        <v>1.543865491434103</v>
      </c>
      <c r="E440" s="271">
        <f t="shared" si="190"/>
        <v>1.0027524728396868</v>
      </c>
      <c r="F440" s="272">
        <f t="shared" si="191"/>
        <v>7.4110379985311031E-2</v>
      </c>
      <c r="G440" s="271">
        <f t="shared" si="192"/>
        <v>1.100698769904392</v>
      </c>
      <c r="H440" s="272">
        <f t="shared" si="193"/>
        <v>-0.43108291792703973</v>
      </c>
      <c r="I440" s="270">
        <f t="shared" si="194"/>
        <v>159939.22149687729</v>
      </c>
      <c r="J440" s="273">
        <f t="shared" si="195"/>
        <v>1.5707900744198342</v>
      </c>
      <c r="K440" s="281">
        <f t="shared" si="196"/>
        <v>24.008120458918668</v>
      </c>
      <c r="L440" s="282">
        <f t="shared" si="197"/>
        <v>1.5291316998683173</v>
      </c>
      <c r="M440" s="270">
        <f t="shared" si="198"/>
        <v>1.5312899963586977</v>
      </c>
      <c r="N440" s="273">
        <f t="shared" si="199"/>
        <v>0.85919916341837388</v>
      </c>
      <c r="O440" s="270">
        <f t="shared" si="200"/>
        <v>12565.208208792332</v>
      </c>
      <c r="P440" s="273">
        <f t="shared" si="201"/>
        <v>1.5707167419615664</v>
      </c>
      <c r="Q440" s="271">
        <f t="shared" si="202"/>
        <v>1.0924261627786258</v>
      </c>
      <c r="R440" s="272">
        <f t="shared" si="203"/>
        <v>0.41431156128388602</v>
      </c>
      <c r="S440" s="270">
        <f t="shared" si="204"/>
        <v>1.0000050613159044</v>
      </c>
      <c r="T440" s="273">
        <f t="shared" si="205"/>
        <v>3.18160165865052E-3</v>
      </c>
      <c r="U440" s="274">
        <f t="shared" si="206"/>
        <v>1.0465018342072447</v>
      </c>
      <c r="V440" s="275">
        <f t="shared" si="207"/>
        <v>0.43771579145569017</v>
      </c>
      <c r="W440" s="276">
        <f t="shared" si="208"/>
        <v>-24.432432333673674</v>
      </c>
      <c r="X440" s="277">
        <f t="shared" si="217"/>
        <v>174.39540103393986</v>
      </c>
      <c r="Y440" s="299">
        <f t="shared" si="216"/>
        <v>-5.6045989660601379</v>
      </c>
      <c r="AB440" s="278">
        <f t="shared" si="209"/>
        <v>-4.6100602255705967</v>
      </c>
      <c r="AC440" s="279">
        <f t="shared" si="210"/>
        <v>-51.615334868221055</v>
      </c>
      <c r="AF440" s="278">
        <f t="shared" si="211"/>
        <v>41.98116049887868</v>
      </c>
      <c r="AG440" s="279">
        <f t="shared" si="212"/>
        <v>-133.98926409783911</v>
      </c>
      <c r="AI440">
        <f t="shared" si="213"/>
        <v>0</v>
      </c>
      <c r="AJ440">
        <f t="shared" si="218"/>
        <v>0</v>
      </c>
      <c r="AK440">
        <f t="shared" si="214"/>
        <v>0</v>
      </c>
      <c r="AL440">
        <f t="shared" si="215"/>
        <v>0</v>
      </c>
      <c r="AM440"/>
      <c r="AN440"/>
    </row>
    <row r="441" spans="2:40" x14ac:dyDescent="0.2">
      <c r="B441" s="280">
        <v>45709</v>
      </c>
      <c r="C441" s="270">
        <f t="shared" si="188"/>
        <v>37.349144824205808</v>
      </c>
      <c r="D441" s="271">
        <f t="shared" si="189"/>
        <v>1.544018752070673</v>
      </c>
      <c r="E441" s="271">
        <f t="shared" si="190"/>
        <v>1.0027840417938441</v>
      </c>
      <c r="F441" s="272">
        <f t="shared" si="191"/>
        <v>7.4533187611205934E-2</v>
      </c>
      <c r="G441" s="271">
        <f t="shared" si="192"/>
        <v>1.1018018634760731</v>
      </c>
      <c r="H441" s="272">
        <f t="shared" si="193"/>
        <v>-0.43325457439634035</v>
      </c>
      <c r="I441" s="270">
        <f t="shared" si="194"/>
        <v>160855.07028024184</v>
      </c>
      <c r="J441" s="273">
        <f t="shared" si="195"/>
        <v>1.570790110018526</v>
      </c>
      <c r="K441" s="281">
        <f t="shared" si="196"/>
        <v>24.14535864640807</v>
      </c>
      <c r="L441" s="282">
        <f t="shared" si="197"/>
        <v>1.5293686506111672</v>
      </c>
      <c r="M441" s="270">
        <f t="shared" si="198"/>
        <v>1.5363251545160599</v>
      </c>
      <c r="N441" s="273">
        <f t="shared" si="199"/>
        <v>0.86202186882942988</v>
      </c>
      <c r="O441" s="270">
        <f t="shared" si="200"/>
        <v>12637.159481724706</v>
      </c>
      <c r="P441" s="273">
        <f t="shared" si="201"/>
        <v>1.5707171950879264</v>
      </c>
      <c r="Q441" s="271">
        <f t="shared" si="202"/>
        <v>1.0934423213510984</v>
      </c>
      <c r="R441" s="272">
        <f t="shared" si="203"/>
        <v>0.41641972181066406</v>
      </c>
      <c r="S441" s="270">
        <f t="shared" si="204"/>
        <v>1.0000051194462336</v>
      </c>
      <c r="T441" s="273">
        <f t="shared" si="205"/>
        <v>3.19982011781254E-3</v>
      </c>
      <c r="U441" s="274">
        <f t="shared" si="206"/>
        <v>1.0470390163432928</v>
      </c>
      <c r="V441" s="275">
        <f t="shared" si="207"/>
        <v>0.44015554444409261</v>
      </c>
      <c r="W441" s="276">
        <f t="shared" si="208"/>
        <v>-24.506075146594153</v>
      </c>
      <c r="X441" s="277">
        <f t="shared" si="217"/>
        <v>173.99847577027626</v>
      </c>
      <c r="Y441" s="299">
        <f t="shared" si="216"/>
        <v>-6.0015242297237421</v>
      </c>
      <c r="AB441" s="278">
        <f t="shared" si="209"/>
        <v>-4.638659702646172</v>
      </c>
      <c r="AC441" s="279">
        <f t="shared" si="210"/>
        <v>-51.76348973722029</v>
      </c>
      <c r="AF441" s="278">
        <f t="shared" si="211"/>
        <v>41.936117163033785</v>
      </c>
      <c r="AG441" s="279">
        <f t="shared" si="212"/>
        <v>-134.2380344925034</v>
      </c>
      <c r="AI441">
        <f t="shared" si="213"/>
        <v>0</v>
      </c>
      <c r="AJ441">
        <f t="shared" si="218"/>
        <v>0</v>
      </c>
      <c r="AK441">
        <f t="shared" si="214"/>
        <v>0</v>
      </c>
      <c r="AL441">
        <f t="shared" si="215"/>
        <v>0</v>
      </c>
      <c r="AM441"/>
      <c r="AN441"/>
    </row>
    <row r="442" spans="2:40" x14ac:dyDescent="0.2">
      <c r="B442" s="280">
        <v>45975.25</v>
      </c>
      <c r="C442" s="270">
        <f t="shared" si="188"/>
        <v>37.566544061973204</v>
      </c>
      <c r="D442" s="271">
        <f t="shared" si="189"/>
        <v>1.5441737517974414</v>
      </c>
      <c r="E442" s="271">
        <f t="shared" si="190"/>
        <v>1.0028165240616256</v>
      </c>
      <c r="F442" s="272">
        <f t="shared" si="191"/>
        <v>7.4965715336061348E-2</v>
      </c>
      <c r="G442" s="271">
        <f t="shared" si="192"/>
        <v>1.1029357549798797</v>
      </c>
      <c r="H442" s="272">
        <f t="shared" si="193"/>
        <v>-0.43547179182620582</v>
      </c>
      <c r="I442" s="270">
        <f t="shared" si="194"/>
        <v>161792.0337329637</v>
      </c>
      <c r="J442" s="273">
        <f t="shared" si="195"/>
        <v>1.5707901460208689</v>
      </c>
      <c r="K442" s="281">
        <f t="shared" si="196"/>
        <v>24.28576221355307</v>
      </c>
      <c r="L442" s="282">
        <f t="shared" si="197"/>
        <v>1.5296082928542241</v>
      </c>
      <c r="M442" s="270">
        <f t="shared" si="198"/>
        <v>1.5414889807380598</v>
      </c>
      <c r="N442" s="273">
        <f t="shared" si="199"/>
        <v>0.864890544656298</v>
      </c>
      <c r="O442" s="270">
        <f t="shared" si="200"/>
        <v>12710.769573632238</v>
      </c>
      <c r="P442" s="273">
        <f t="shared" si="201"/>
        <v>1.5707176533522511</v>
      </c>
      <c r="Q442" s="271">
        <f t="shared" si="202"/>
        <v>1.0944869267295498</v>
      </c>
      <c r="R442" s="272">
        <f t="shared" si="203"/>
        <v>0.41857242464942107</v>
      </c>
      <c r="S442" s="270">
        <f t="shared" si="204"/>
        <v>1.0000051792602238</v>
      </c>
      <c r="T442" s="273">
        <f t="shared" si="205"/>
        <v>3.2184585968895616E-3</v>
      </c>
      <c r="U442" s="274">
        <f t="shared" si="206"/>
        <v>1.04759182728667</v>
      </c>
      <c r="V442" s="275">
        <f t="shared" si="207"/>
        <v>0.44265038815808955</v>
      </c>
      <c r="W442" s="276">
        <f t="shared" si="208"/>
        <v>-24.581087583631529</v>
      </c>
      <c r="X442" s="277">
        <f t="shared" si="217"/>
        <v>173.59376114557963</v>
      </c>
      <c r="Y442" s="299">
        <f t="shared" si="216"/>
        <v>-6.4062388544203657</v>
      </c>
      <c r="AB442" s="278">
        <f t="shared" si="209"/>
        <v>-4.6678913971199867</v>
      </c>
      <c r="AC442" s="279">
        <f t="shared" si="210"/>
        <v>-51.914124328553129</v>
      </c>
      <c r="AF442" s="278">
        <f t="shared" si="211"/>
        <v>41.890336420470213</v>
      </c>
      <c r="AG442" s="279">
        <f t="shared" si="212"/>
        <v>-134.49211452586724</v>
      </c>
      <c r="AI442">
        <f t="shared" si="213"/>
        <v>0</v>
      </c>
      <c r="AJ442">
        <f t="shared" si="218"/>
        <v>0</v>
      </c>
      <c r="AK442">
        <f t="shared" si="214"/>
        <v>0</v>
      </c>
      <c r="AL442">
        <f t="shared" si="215"/>
        <v>0</v>
      </c>
      <c r="AM442"/>
      <c r="AN442"/>
    </row>
    <row r="443" spans="2:40" x14ac:dyDescent="0.2">
      <c r="B443" s="280">
        <v>46241.5</v>
      </c>
      <c r="C443" s="270">
        <f t="shared" si="188"/>
        <v>37.783944191887727</v>
      </c>
      <c r="D443" s="271">
        <f t="shared" si="189"/>
        <v>1.544326967862256</v>
      </c>
      <c r="E443" s="271">
        <f t="shared" si="190"/>
        <v>1.002849193924382</v>
      </c>
      <c r="F443" s="272">
        <f t="shared" si="191"/>
        <v>7.5398214960874677E-2</v>
      </c>
      <c r="G443" s="271">
        <f t="shared" si="192"/>
        <v>1.10407505742189</v>
      </c>
      <c r="H443" s="272">
        <f t="shared" si="193"/>
        <v>-0.43768444419191366</v>
      </c>
      <c r="I443" s="270">
        <f t="shared" si="194"/>
        <v>162728.99718568579</v>
      </c>
      <c r="J443" s="273">
        <f t="shared" si="195"/>
        <v>1.5707901816086218</v>
      </c>
      <c r="K443" s="281">
        <f t="shared" si="196"/>
        <v>24.426167159356993</v>
      </c>
      <c r="L443" s="282">
        <f t="shared" si="197"/>
        <v>1.5298451801180513</v>
      </c>
      <c r="M443" s="270">
        <f t="shared" si="198"/>
        <v>1.5466654075712944</v>
      </c>
      <c r="N443" s="273">
        <f t="shared" si="199"/>
        <v>0.86774004185901621</v>
      </c>
      <c r="O443" s="270">
        <f t="shared" si="200"/>
        <v>12784.379665542408</v>
      </c>
      <c r="P443" s="273">
        <f t="shared" si="201"/>
        <v>1.5707181063393734</v>
      </c>
      <c r="Q443" s="271">
        <f t="shared" si="202"/>
        <v>1.0955365944160764</v>
      </c>
      <c r="R443" s="272">
        <f t="shared" si="203"/>
        <v>0.42072101228605774</v>
      </c>
      <c r="S443" s="270">
        <f t="shared" si="204"/>
        <v>1.0000052394216086</v>
      </c>
      <c r="T443" s="273">
        <f t="shared" si="205"/>
        <v>3.2370970737304371E-3</v>
      </c>
      <c r="U443" s="274">
        <f t="shared" si="206"/>
        <v>1.0481479205223005</v>
      </c>
      <c r="V443" s="275">
        <f t="shared" si="207"/>
        <v>0.44514405548255814</v>
      </c>
      <c r="W443" s="276">
        <f t="shared" si="208"/>
        <v>-24.655770920752964</v>
      </c>
      <c r="X443" s="277">
        <f t="shared" si="217"/>
        <v>173.19041709752807</v>
      </c>
      <c r="Y443" s="299">
        <f t="shared" si="216"/>
        <v>-6.8095829024719308</v>
      </c>
      <c r="AB443" s="278">
        <f t="shared" si="209"/>
        <v>-4.6970949034715161</v>
      </c>
      <c r="AC443" s="279">
        <f t="shared" si="210"/>
        <v>-52.06381789059359</v>
      </c>
      <c r="AF443" s="278">
        <f t="shared" si="211"/>
        <v>41.844856589700314</v>
      </c>
      <c r="AG443" s="279">
        <f t="shared" si="212"/>
        <v>-134.74576501187835</v>
      </c>
      <c r="AI443">
        <f t="shared" si="213"/>
        <v>0</v>
      </c>
      <c r="AJ443">
        <f t="shared" si="218"/>
        <v>0</v>
      </c>
      <c r="AK443">
        <f t="shared" si="214"/>
        <v>0</v>
      </c>
      <c r="AL443">
        <f t="shared" si="215"/>
        <v>0</v>
      </c>
      <c r="AM443"/>
      <c r="AN443"/>
    </row>
    <row r="444" spans="2:40" x14ac:dyDescent="0.2">
      <c r="B444" s="280">
        <v>46507.75</v>
      </c>
      <c r="C444" s="270">
        <f t="shared" si="188"/>
        <v>38.001345198637857</v>
      </c>
      <c r="D444" s="271">
        <f t="shared" si="189"/>
        <v>1.5444784308701904</v>
      </c>
      <c r="E444" s="271">
        <f t="shared" si="190"/>
        <v>1.0028820513637804</v>
      </c>
      <c r="F444" s="272">
        <f t="shared" si="191"/>
        <v>7.5830686326596786E-2</v>
      </c>
      <c r="G444" s="271">
        <f t="shared" si="192"/>
        <v>1.1052197540687034</v>
      </c>
      <c r="H444" s="272">
        <f t="shared" si="193"/>
        <v>-0.43989252397900952</v>
      </c>
      <c r="I444" s="270">
        <f t="shared" si="194"/>
        <v>163665.96063840805</v>
      </c>
      <c r="J444" s="273">
        <f t="shared" si="195"/>
        <v>1.5707902167889056</v>
      </c>
      <c r="K444" s="281">
        <f t="shared" si="196"/>
        <v>24.566573460181559</v>
      </c>
      <c r="L444" s="282">
        <f t="shared" si="197"/>
        <v>1.5300793596127551</v>
      </c>
      <c r="M444" s="270">
        <f t="shared" si="198"/>
        <v>1.5518543089224712</v>
      </c>
      <c r="N444" s="273">
        <f t="shared" si="199"/>
        <v>0.87057050631320987</v>
      </c>
      <c r="O444" s="270">
        <f t="shared" si="200"/>
        <v>12857.989757455174</v>
      </c>
      <c r="P444" s="273">
        <f t="shared" si="201"/>
        <v>1.5707185541399271</v>
      </c>
      <c r="Q444" s="271">
        <f t="shared" si="202"/>
        <v>1.0965913098736089</v>
      </c>
      <c r="R444" s="272">
        <f t="shared" si="203"/>
        <v>0.4228654767288455</v>
      </c>
      <c r="S444" s="270">
        <f t="shared" si="204"/>
        <v>1.0000052999303879</v>
      </c>
      <c r="T444" s="273">
        <f t="shared" si="205"/>
        <v>3.2557355483222158E-3</v>
      </c>
      <c r="U444" s="274">
        <f t="shared" si="206"/>
        <v>1.0487072971785745</v>
      </c>
      <c r="V444" s="275">
        <f t="shared" si="207"/>
        <v>0.44763654036466016</v>
      </c>
      <c r="W444" s="276">
        <f t="shared" si="208"/>
        <v>-24.73012797170999</v>
      </c>
      <c r="X444" s="277">
        <f t="shared" si="217"/>
        <v>172.78843698729003</v>
      </c>
      <c r="Y444" s="299">
        <f t="shared" si="216"/>
        <v>-7.2115630127099735</v>
      </c>
      <c r="AB444" s="278">
        <f t="shared" si="209"/>
        <v>-4.7262694913343646</v>
      </c>
      <c r="AC444" s="279">
        <f t="shared" si="210"/>
        <v>-52.212576076867421</v>
      </c>
      <c r="AF444" s="278">
        <f t="shared" si="211"/>
        <v>41.799674126606135</v>
      </c>
      <c r="AG444" s="279">
        <f t="shared" si="212"/>
        <v>-134.99898693584254</v>
      </c>
      <c r="AI444">
        <f t="shared" si="213"/>
        <v>0</v>
      </c>
      <c r="AJ444">
        <f t="shared" si="218"/>
        <v>0</v>
      </c>
      <c r="AK444">
        <f t="shared" si="214"/>
        <v>0</v>
      </c>
      <c r="AL444">
        <f t="shared" si="215"/>
        <v>0</v>
      </c>
      <c r="AM444"/>
      <c r="AN444"/>
    </row>
    <row r="445" spans="2:40" x14ac:dyDescent="0.2">
      <c r="B445" s="280">
        <v>46774</v>
      </c>
      <c r="C445" s="270">
        <f t="shared" si="188"/>
        <v>38.218747067260388</v>
      </c>
      <c r="D445" s="271">
        <f t="shared" si="189"/>
        <v>1.5446281707302745</v>
      </c>
      <c r="E445" s="271">
        <f t="shared" si="190"/>
        <v>1.0029150963613844</v>
      </c>
      <c r="F445" s="272">
        <f t="shared" si="191"/>
        <v>7.6263129274241628E-2</v>
      </c>
      <c r="G445" s="271">
        <f t="shared" si="192"/>
        <v>1.1063698281771079</v>
      </c>
      <c r="H445" s="272">
        <f t="shared" si="193"/>
        <v>-0.44209602388241648</v>
      </c>
      <c r="I445" s="270">
        <f t="shared" si="194"/>
        <v>164602.92409113055</v>
      </c>
      <c r="J445" s="273">
        <f t="shared" si="195"/>
        <v>1.5707902515686785</v>
      </c>
      <c r="K445" s="281">
        <f t="shared" si="196"/>
        <v>24.706981092925588</v>
      </c>
      <c r="L445" s="282">
        <f t="shared" si="197"/>
        <v>1.5303108774764806</v>
      </c>
      <c r="M445" s="270">
        <f t="shared" si="198"/>
        <v>1.5570555600772735</v>
      </c>
      <c r="N445" s="273">
        <f t="shared" si="199"/>
        <v>0.87338208317222166</v>
      </c>
      <c r="O445" s="270">
        <f t="shared" si="200"/>
        <v>12931.599849370485</v>
      </c>
      <c r="P445" s="273">
        <f t="shared" si="201"/>
        <v>1.570718996842482</v>
      </c>
      <c r="Q445" s="271">
        <f t="shared" si="202"/>
        <v>1.0976510585511785</v>
      </c>
      <c r="R445" s="272">
        <f t="shared" si="203"/>
        <v>0.42500581016838884</v>
      </c>
      <c r="S445" s="270">
        <f t="shared" si="204"/>
        <v>1.0000053607865618</v>
      </c>
      <c r="T445" s="273">
        <f t="shared" si="205"/>
        <v>3.2743740206519489E-3</v>
      </c>
      <c r="U445" s="274">
        <f t="shared" si="206"/>
        <v>1.0492699583873049</v>
      </c>
      <c r="V445" s="275">
        <f t="shared" si="207"/>
        <v>0.45012783676478457</v>
      </c>
      <c r="W445" s="276">
        <f t="shared" si="208"/>
        <v>-24.804161510282675</v>
      </c>
      <c r="X445" s="277">
        <f t="shared" si="217"/>
        <v>172.38781418313775</v>
      </c>
      <c r="Y445" s="299">
        <f t="shared" si="216"/>
        <v>-7.6121858168622509</v>
      </c>
      <c r="AB445" s="278">
        <f t="shared" si="209"/>
        <v>-4.7554144477435321</v>
      </c>
      <c r="AC445" s="279">
        <f t="shared" si="210"/>
        <v>-52.36040456092627</v>
      </c>
      <c r="AF445" s="278">
        <f t="shared" si="211"/>
        <v>41.754785544442612</v>
      </c>
      <c r="AG445" s="279">
        <f t="shared" si="212"/>
        <v>-135.25178125593595</v>
      </c>
      <c r="AI445">
        <f t="shared" si="213"/>
        <v>0</v>
      </c>
      <c r="AJ445">
        <f t="shared" si="218"/>
        <v>0</v>
      </c>
      <c r="AK445">
        <f t="shared" si="214"/>
        <v>0</v>
      </c>
      <c r="AL445">
        <f t="shared" si="215"/>
        <v>0</v>
      </c>
      <c r="AM445"/>
      <c r="AN445"/>
    </row>
    <row r="446" spans="2:40" x14ac:dyDescent="0.2">
      <c r="B446" s="280">
        <v>47046.25</v>
      </c>
      <c r="C446" s="270">
        <f t="shared" si="188"/>
        <v>38.44104900891282</v>
      </c>
      <c r="D446" s="271">
        <f t="shared" si="189"/>
        <v>1.5447795336285131</v>
      </c>
      <c r="E446" s="271">
        <f t="shared" si="190"/>
        <v>1.0029490799615017</v>
      </c>
      <c r="F446" s="272">
        <f t="shared" si="191"/>
        <v>7.6705287863599508E-2</v>
      </c>
      <c r="G446" s="271">
        <f t="shared" si="192"/>
        <v>1.10755136259604</v>
      </c>
      <c r="H446" s="272">
        <f t="shared" si="193"/>
        <v>-0.44434443686958597</v>
      </c>
      <c r="I446" s="270">
        <f t="shared" si="194"/>
        <v>165561.00221321036</v>
      </c>
      <c r="J446" s="273">
        <f t="shared" si="195"/>
        <v>1.5707902867251542</v>
      </c>
      <c r="K446" s="281">
        <f t="shared" si="196"/>
        <v>24.850554195096791</v>
      </c>
      <c r="L446" s="282">
        <f t="shared" si="197"/>
        <v>1.5305449073433124</v>
      </c>
      <c r="M446" s="270">
        <f t="shared" si="198"/>
        <v>1.5623866644239817</v>
      </c>
      <c r="N446" s="273">
        <f t="shared" si="199"/>
        <v>0.87623763911761043</v>
      </c>
      <c r="O446" s="270">
        <f t="shared" si="200"/>
        <v>13006.86876026113</v>
      </c>
      <c r="P446" s="273">
        <f t="shared" si="201"/>
        <v>1.5707194443399863</v>
      </c>
      <c r="Q446" s="271">
        <f t="shared" si="202"/>
        <v>1.098739878350822</v>
      </c>
      <c r="R446" s="272">
        <f t="shared" si="203"/>
        <v>0.42719009683653208</v>
      </c>
      <c r="S446" s="270">
        <f t="shared" si="204"/>
        <v>1.000005423373368</v>
      </c>
      <c r="T446" s="273">
        <f t="shared" si="205"/>
        <v>3.2934325125407644E-3</v>
      </c>
      <c r="U446" s="274">
        <f t="shared" si="206"/>
        <v>1.0498486968815257</v>
      </c>
      <c r="V446" s="275">
        <f t="shared" si="207"/>
        <v>0.45267403981954535</v>
      </c>
      <c r="W446" s="276">
        <f t="shared" si="208"/>
        <v>-24.87953172908318</v>
      </c>
      <c r="X446" s="277">
        <f t="shared" si="217"/>
        <v>171.97955989084863</v>
      </c>
      <c r="Y446" s="299">
        <f t="shared" si="216"/>
        <v>-8.020440109151366</v>
      </c>
      <c r="AB446" s="278">
        <f t="shared" si="209"/>
        <v>-4.7851848264475132</v>
      </c>
      <c r="AC446" s="279">
        <f t="shared" si="210"/>
        <v>-52.510608955428758</v>
      </c>
      <c r="AF446" s="278">
        <f t="shared" si="211"/>
        <v>41.709185704346091</v>
      </c>
      <c r="AG446" s="279">
        <f t="shared" si="212"/>
        <v>-135.50983115372256</v>
      </c>
      <c r="AI446">
        <f t="shared" si="213"/>
        <v>0</v>
      </c>
      <c r="AJ446">
        <f t="shared" si="218"/>
        <v>0</v>
      </c>
      <c r="AK446">
        <f t="shared" si="214"/>
        <v>0</v>
      </c>
      <c r="AL446">
        <f t="shared" si="215"/>
        <v>0</v>
      </c>
      <c r="AM446"/>
      <c r="AN446"/>
    </row>
    <row r="447" spans="2:40" x14ac:dyDescent="0.2">
      <c r="B447" s="280">
        <v>47318.5</v>
      </c>
      <c r="C447" s="270">
        <f t="shared" si="188"/>
        <v>38.663351821149988</v>
      </c>
      <c r="D447" s="271">
        <f t="shared" si="189"/>
        <v>1.5449291559465519</v>
      </c>
      <c r="E447" s="271">
        <f t="shared" si="190"/>
        <v>1.0029832596290849</v>
      </c>
      <c r="F447" s="272">
        <f t="shared" si="191"/>
        <v>7.7147416403626087E-2</v>
      </c>
      <c r="G447" s="271">
        <f t="shared" si="192"/>
        <v>1.108738484137026</v>
      </c>
      <c r="H447" s="272">
        <f t="shared" si="193"/>
        <v>-0.44658804644653355</v>
      </c>
      <c r="I447" s="270">
        <f t="shared" si="194"/>
        <v>166519.08033529035</v>
      </c>
      <c r="J447" s="273">
        <f t="shared" si="195"/>
        <v>1.5707903214770795</v>
      </c>
      <c r="K447" s="281">
        <f t="shared" si="196"/>
        <v>24.994128642695618</v>
      </c>
      <c r="L447" s="282">
        <f t="shared" si="197"/>
        <v>1.5307762485345353</v>
      </c>
      <c r="M447" s="270">
        <f t="shared" si="198"/>
        <v>1.5677304220778581</v>
      </c>
      <c r="N447" s="273">
        <f t="shared" si="199"/>
        <v>0.87907375119227216</v>
      </c>
      <c r="O447" s="270">
        <f t="shared" si="200"/>
        <v>13082.137671154349</v>
      </c>
      <c r="P447" s="273">
        <f t="shared" si="201"/>
        <v>1.5707198866880798</v>
      </c>
      <c r="Q447" s="271">
        <f t="shared" si="202"/>
        <v>1.0998339299633701</v>
      </c>
      <c r="R447" s="272">
        <f t="shared" si="203"/>
        <v>0.42937004828246189</v>
      </c>
      <c r="S447" s="270">
        <f t="shared" si="204"/>
        <v>1.0000054863234022</v>
      </c>
      <c r="T447" s="273">
        <f t="shared" si="205"/>
        <v>3.3124910020370492E-3</v>
      </c>
      <c r="U447" s="274">
        <f t="shared" si="206"/>
        <v>1.0504308720366162</v>
      </c>
      <c r="V447" s="275">
        <f t="shared" si="207"/>
        <v>0.45521898749395473</v>
      </c>
      <c r="W447" s="276">
        <f t="shared" si="208"/>
        <v>-24.954569432445112</v>
      </c>
      <c r="X447" s="277">
        <f t="shared" si="217"/>
        <v>171.57271077303213</v>
      </c>
      <c r="Y447" s="299">
        <f t="shared" si="216"/>
        <v>-8.4272892269678721</v>
      </c>
      <c r="AB447" s="278">
        <f t="shared" si="209"/>
        <v>-4.8149227698950288</v>
      </c>
      <c r="AC447" s="279">
        <f t="shared" si="210"/>
        <v>-52.659853324787022</v>
      </c>
      <c r="AF447" s="278">
        <f t="shared" si="211"/>
        <v>41.663885944431684</v>
      </c>
      <c r="AG447" s="279">
        <f t="shared" si="212"/>
        <v>-135.76743590218089</v>
      </c>
      <c r="AI447">
        <f t="shared" si="213"/>
        <v>0</v>
      </c>
      <c r="AJ447">
        <f t="shared" si="218"/>
        <v>0</v>
      </c>
      <c r="AK447">
        <f t="shared" si="214"/>
        <v>0</v>
      </c>
      <c r="AL447">
        <f t="shared" si="215"/>
        <v>0</v>
      </c>
      <c r="AM447"/>
      <c r="AN447"/>
    </row>
    <row r="448" spans="2:40" x14ac:dyDescent="0.2">
      <c r="B448" s="280">
        <v>47590.75</v>
      </c>
      <c r="C448" s="270">
        <f t="shared" si="188"/>
        <v>38.885655489040921</v>
      </c>
      <c r="D448" s="271">
        <f t="shared" si="189"/>
        <v>1.5450770675295697</v>
      </c>
      <c r="E448" s="271">
        <f t="shared" si="190"/>
        <v>1.0030176353440898</v>
      </c>
      <c r="F448" s="272">
        <f t="shared" si="191"/>
        <v>7.758951472454971E-2</v>
      </c>
      <c r="G448" s="271">
        <f t="shared" si="192"/>
        <v>1.1099311748730281</v>
      </c>
      <c r="H448" s="272">
        <f t="shared" si="193"/>
        <v>-0.44882684547426221</v>
      </c>
      <c r="I448" s="270">
        <f t="shared" si="194"/>
        <v>167477.15845737056</v>
      </c>
      <c r="J448" s="273">
        <f t="shared" si="195"/>
        <v>1.570790355831398</v>
      </c>
      <c r="K448" s="281">
        <f t="shared" si="196"/>
        <v>25.137704412668768</v>
      </c>
      <c r="L448" s="282">
        <f t="shared" si="197"/>
        <v>1.5310049470948535</v>
      </c>
      <c r="M448" s="270">
        <f t="shared" si="198"/>
        <v>1.5730867040894867</v>
      </c>
      <c r="N448" s="273">
        <f t="shared" si="199"/>
        <v>0.88189057215465616</v>
      </c>
      <c r="O448" s="270">
        <f t="shared" si="200"/>
        <v>13157.406582050096</v>
      </c>
      <c r="P448" s="273">
        <f t="shared" si="201"/>
        <v>1.5707203239751368</v>
      </c>
      <c r="Q448" s="271">
        <f t="shared" si="202"/>
        <v>1.1009331977914911</v>
      </c>
      <c r="R448" s="272">
        <f t="shared" si="203"/>
        <v>0.43154565674241668</v>
      </c>
      <c r="S448" s="270">
        <f t="shared" si="204"/>
        <v>1.0000055496366647</v>
      </c>
      <c r="T448" s="273">
        <f t="shared" si="205"/>
        <v>3.3315494891269599E-3</v>
      </c>
      <c r="U448" s="274">
        <f t="shared" si="206"/>
        <v>1.0510164850734587</v>
      </c>
      <c r="V448" s="275">
        <f t="shared" si="207"/>
        <v>0.45776267337420845</v>
      </c>
      <c r="W448" s="276">
        <f t="shared" si="208"/>
        <v>-25.029277462611532</v>
      </c>
      <c r="X448" s="277">
        <f t="shared" si="217"/>
        <v>171.16725977183134</v>
      </c>
      <c r="Y448" s="299">
        <f t="shared" si="216"/>
        <v>-8.8327402281686602</v>
      </c>
      <c r="AB448" s="278">
        <f t="shared" si="209"/>
        <v>-4.8446275704246258</v>
      </c>
      <c r="AC448" s="279">
        <f t="shared" si="210"/>
        <v>-52.808143783646116</v>
      </c>
      <c r="AF448" s="278">
        <f t="shared" si="211"/>
        <v>41.61888271479485</v>
      </c>
      <c r="AG448" s="279">
        <f t="shared" si="212"/>
        <v>-136.02459644452253</v>
      </c>
      <c r="AI448">
        <f t="shared" si="213"/>
        <v>0</v>
      </c>
      <c r="AJ448">
        <f t="shared" si="218"/>
        <v>0</v>
      </c>
      <c r="AK448">
        <f t="shared" si="214"/>
        <v>0</v>
      </c>
      <c r="AL448">
        <f t="shared" si="215"/>
        <v>0</v>
      </c>
      <c r="AM448"/>
      <c r="AN448"/>
    </row>
    <row r="449" spans="2:40" x14ac:dyDescent="0.2">
      <c r="B449" s="280">
        <v>47863</v>
      </c>
      <c r="C449" s="270">
        <f t="shared" si="188"/>
        <v>39.107959997994101</v>
      </c>
      <c r="D449" s="271">
        <f t="shared" si="189"/>
        <v>1.5452232975444431</v>
      </c>
      <c r="E449" s="271">
        <f t="shared" si="190"/>
        <v>1.0030522070863603</v>
      </c>
      <c r="F449" s="272">
        <f t="shared" si="191"/>
        <v>7.8031582656669193E-2</v>
      </c>
      <c r="G449" s="271">
        <f t="shared" si="192"/>
        <v>1.1111294168700581</v>
      </c>
      <c r="H449" s="272">
        <f t="shared" si="193"/>
        <v>-0.45106082703724626</v>
      </c>
      <c r="I449" s="270">
        <f t="shared" si="194"/>
        <v>168435.23657945098</v>
      </c>
      <c r="J449" s="273">
        <f t="shared" si="195"/>
        <v>1.570790389794894</v>
      </c>
      <c r="K449" s="281">
        <f t="shared" si="196"/>
        <v>25.281281482486424</v>
      </c>
      <c r="L449" s="282">
        <f t="shared" si="197"/>
        <v>1.5312310480241051</v>
      </c>
      <c r="M449" s="270">
        <f t="shared" si="198"/>
        <v>1.5784553829595596</v>
      </c>
      <c r="N449" s="273">
        <f t="shared" si="199"/>
        <v>0.88468825391675154</v>
      </c>
      <c r="O449" s="270">
        <f t="shared" si="200"/>
        <v>13232.675492948332</v>
      </c>
      <c r="P449" s="273">
        <f t="shared" si="201"/>
        <v>1.5707207562875201</v>
      </c>
      <c r="Q449" s="271">
        <f t="shared" si="202"/>
        <v>1.1020376662258695</v>
      </c>
      <c r="R449" s="272">
        <f t="shared" si="203"/>
        <v>0.43371691464798934</v>
      </c>
      <c r="S449" s="270">
        <f t="shared" si="204"/>
        <v>1.0000056133131545</v>
      </c>
      <c r="T449" s="273">
        <f t="shared" si="205"/>
        <v>3.3506079737966525E-3</v>
      </c>
      <c r="U449" s="274">
        <f t="shared" si="206"/>
        <v>1.0516055372164816</v>
      </c>
      <c r="V449" s="275">
        <f t="shared" si="207"/>
        <v>0.46030509106129042</v>
      </c>
      <c r="W449" s="276">
        <f t="shared" si="208"/>
        <v>-25.10365862228301</v>
      </c>
      <c r="X449" s="277">
        <f t="shared" si="217"/>
        <v>170.76319984324755</v>
      </c>
      <c r="Y449" s="299">
        <f t="shared" si="216"/>
        <v>-9.2368001567524516</v>
      </c>
      <c r="AB449" s="278">
        <f t="shared" si="209"/>
        <v>-4.874298538162205</v>
      </c>
      <c r="AC449" s="279">
        <f t="shared" si="210"/>
        <v>-52.955486458009773</v>
      </c>
      <c r="AF449" s="278">
        <f t="shared" si="211"/>
        <v>41.574172522860955</v>
      </c>
      <c r="AG449" s="279">
        <f t="shared" si="212"/>
        <v>-136.28131369874262</v>
      </c>
      <c r="AI449">
        <f t="shared" si="213"/>
        <v>0</v>
      </c>
      <c r="AJ449">
        <f t="shared" si="218"/>
        <v>0</v>
      </c>
      <c r="AK449">
        <f t="shared" si="214"/>
        <v>0</v>
      </c>
      <c r="AL449">
        <f t="shared" si="215"/>
        <v>0</v>
      </c>
      <c r="AM449"/>
      <c r="AN449"/>
    </row>
    <row r="450" spans="2:40" x14ac:dyDescent="0.2">
      <c r="B450" s="280">
        <v>48141.75</v>
      </c>
      <c r="C450" s="270">
        <f t="shared" si="188"/>
        <v>39.335572909146137</v>
      </c>
      <c r="D450" s="271">
        <f t="shared" si="189"/>
        <v>1.5453713063166925</v>
      </c>
      <c r="E450" s="271">
        <f t="shared" si="190"/>
        <v>1.0030878073151737</v>
      </c>
      <c r="F450" s="272">
        <f t="shared" si="191"/>
        <v>7.8484173348488978E-2</v>
      </c>
      <c r="G450" s="271">
        <f t="shared" si="192"/>
        <v>1.1123619999454366</v>
      </c>
      <c r="H450" s="272">
        <f t="shared" si="193"/>
        <v>-0.45334314681352222</v>
      </c>
      <c r="I450" s="270">
        <f t="shared" si="194"/>
        <v>169416.18892666849</v>
      </c>
      <c r="J450" s="273">
        <f t="shared" si="195"/>
        <v>1.5707904241712669</v>
      </c>
      <c r="K450" s="281">
        <f t="shared" si="196"/>
        <v>25.428287795097734</v>
      </c>
      <c r="L450" s="282">
        <f t="shared" si="197"/>
        <v>1.5314599016681263</v>
      </c>
      <c r="M450" s="270">
        <f t="shared" si="198"/>
        <v>1.5839649523653074</v>
      </c>
      <c r="N450" s="273">
        <f t="shared" si="199"/>
        <v>0.887533058316889</v>
      </c>
      <c r="O450" s="270">
        <f t="shared" si="200"/>
        <v>13309.741457736478</v>
      </c>
      <c r="P450" s="273">
        <f t="shared" si="201"/>
        <v>1.5707211938553038</v>
      </c>
      <c r="Q450" s="271">
        <f t="shared" si="202"/>
        <v>1.1031738759937522</v>
      </c>
      <c r="R450" s="272">
        <f t="shared" si="203"/>
        <v>0.43593549628609485</v>
      </c>
      <c r="S450" s="270">
        <f t="shared" si="204"/>
        <v>1.0000056788862679</v>
      </c>
      <c r="T450" s="273">
        <f t="shared" si="205"/>
        <v>3.3701214794534043E-3</v>
      </c>
      <c r="U450" s="274">
        <f t="shared" si="206"/>
        <v>1.0522122175793744</v>
      </c>
      <c r="V450" s="275">
        <f t="shared" si="207"/>
        <v>0.46290688862332779</v>
      </c>
      <c r="W450" s="276">
        <f t="shared" si="208"/>
        <v>-25.179479857372229</v>
      </c>
      <c r="X450" s="277">
        <f t="shared" si="217"/>
        <v>170.35092688426232</v>
      </c>
      <c r="Y450" s="299">
        <f t="shared" si="216"/>
        <v>-9.6490731157376786</v>
      </c>
      <c r="AB450" s="278">
        <f t="shared" si="209"/>
        <v>-4.9046421474820052</v>
      </c>
      <c r="AC450" s="279">
        <f t="shared" si="210"/>
        <v>-53.105371365370388</v>
      </c>
      <c r="AF450" s="278">
        <f t="shared" si="211"/>
        <v>41.528694897091533</v>
      </c>
      <c r="AG450" s="279">
        <f t="shared" si="212"/>
        <v>-136.54370175036729</v>
      </c>
      <c r="AI450">
        <f t="shared" si="213"/>
        <v>0</v>
      </c>
      <c r="AJ450">
        <f t="shared" si="218"/>
        <v>0</v>
      </c>
      <c r="AK450">
        <f t="shared" si="214"/>
        <v>0</v>
      </c>
      <c r="AL450">
        <f t="shared" si="215"/>
        <v>0</v>
      </c>
      <c r="AM450"/>
      <c r="AN450"/>
    </row>
    <row r="451" spans="2:40" x14ac:dyDescent="0.2">
      <c r="B451" s="280">
        <v>48420.5</v>
      </c>
      <c r="C451" s="270">
        <f t="shared" si="188"/>
        <v>39.563186672091625</v>
      </c>
      <c r="D451" s="271">
        <f t="shared" si="189"/>
        <v>1.5455176120526781</v>
      </c>
      <c r="E451" s="271">
        <f t="shared" si="190"/>
        <v>1.0031236130002139</v>
      </c>
      <c r="F451" s="272">
        <f t="shared" si="191"/>
        <v>7.89367318232881E-2</v>
      </c>
      <c r="G451" s="271">
        <f t="shared" si="192"/>
        <v>1.113600364451873</v>
      </c>
      <c r="H451" s="272">
        <f t="shared" si="193"/>
        <v>-0.45562040238321966</v>
      </c>
      <c r="I451" s="270">
        <f t="shared" si="194"/>
        <v>170397.14127388623</v>
      </c>
      <c r="J451" s="273">
        <f t="shared" si="195"/>
        <v>1.5707904581518399</v>
      </c>
      <c r="K451" s="281">
        <f t="shared" si="196"/>
        <v>25.575295424179807</v>
      </c>
      <c r="L451" s="282">
        <f t="shared" si="197"/>
        <v>1.5316861244075191</v>
      </c>
      <c r="M451" s="270">
        <f t="shared" si="198"/>
        <v>1.5894872517327741</v>
      </c>
      <c r="N451" s="273">
        <f t="shared" si="199"/>
        <v>0.89035811824120514</v>
      </c>
      <c r="O451" s="270">
        <f t="shared" si="200"/>
        <v>13386.807422527143</v>
      </c>
      <c r="P451" s="273">
        <f t="shared" si="201"/>
        <v>1.5707216263850552</v>
      </c>
      <c r="Q451" s="271">
        <f t="shared" si="202"/>
        <v>1.104315504509622</v>
      </c>
      <c r="R451" s="272">
        <f t="shared" si="203"/>
        <v>0.43814950171528538</v>
      </c>
      <c r="S451" s="270">
        <f t="shared" si="204"/>
        <v>1.00000574484016</v>
      </c>
      <c r="T451" s="273">
        <f t="shared" si="205"/>
        <v>3.389634982543618E-3</v>
      </c>
      <c r="U451" s="274">
        <f t="shared" si="206"/>
        <v>1.0528225058359288</v>
      </c>
      <c r="V451" s="275">
        <f t="shared" si="207"/>
        <v>0.46550734318404191</v>
      </c>
      <c r="W451" s="276">
        <f t="shared" si="208"/>
        <v>-25.254964251010598</v>
      </c>
      <c r="X451" s="277">
        <f t="shared" si="217"/>
        <v>169.94009732021871</v>
      </c>
      <c r="Y451" s="299">
        <f t="shared" si="216"/>
        <v>-10.059902679781288</v>
      </c>
      <c r="AB451" s="278">
        <f t="shared" si="209"/>
        <v>-4.9349488813351723</v>
      </c>
      <c r="AC451" s="279">
        <f t="shared" si="210"/>
        <v>-53.254275714651556</v>
      </c>
      <c r="AF451" s="278">
        <f t="shared" si="211"/>
        <v>41.483517237306337</v>
      </c>
      <c r="AG451" s="279">
        <f t="shared" si="212"/>
        <v>-136.80562696512973</v>
      </c>
      <c r="AI451">
        <f t="shared" si="213"/>
        <v>0</v>
      </c>
      <c r="AJ451">
        <f t="shared" si="218"/>
        <v>0</v>
      </c>
      <c r="AK451">
        <f t="shared" si="214"/>
        <v>0</v>
      </c>
      <c r="AL451">
        <f t="shared" si="215"/>
        <v>0</v>
      </c>
      <c r="AM451"/>
      <c r="AN451"/>
    </row>
    <row r="452" spans="2:40" x14ac:dyDescent="0.2">
      <c r="B452" s="280">
        <v>48699.25</v>
      </c>
      <c r="C452" s="270">
        <f t="shared" si="188"/>
        <v>39.790801272213116</v>
      </c>
      <c r="D452" s="271">
        <f t="shared" si="189"/>
        <v>1.5456622439716245</v>
      </c>
      <c r="E452" s="271">
        <f t="shared" si="190"/>
        <v>1.0031596241194813</v>
      </c>
      <c r="F452" s="272">
        <f t="shared" si="191"/>
        <v>7.9389257899150065E-2</v>
      </c>
      <c r="G452" s="271">
        <f t="shared" si="192"/>
        <v>1.1148444911234001</v>
      </c>
      <c r="H452" s="272">
        <f t="shared" si="193"/>
        <v>-0.45789258704244784</v>
      </c>
      <c r="I452" s="270">
        <f t="shared" si="194"/>
        <v>171378.09362110411</v>
      </c>
      <c r="J452" s="273">
        <f t="shared" si="195"/>
        <v>1.5707904917434097</v>
      </c>
      <c r="K452" s="281">
        <f t="shared" si="196"/>
        <v>25.722304347161025</v>
      </c>
      <c r="L452" s="282">
        <f t="shared" si="197"/>
        <v>1.5319097613276145</v>
      </c>
      <c r="M452" s="270">
        <f t="shared" si="198"/>
        <v>1.5950221488406164</v>
      </c>
      <c r="N452" s="273">
        <f t="shared" si="199"/>
        <v>0.89316359390777311</v>
      </c>
      <c r="O452" s="270">
        <f t="shared" si="200"/>
        <v>13463.873387320284</v>
      </c>
      <c r="P452" s="273">
        <f t="shared" si="201"/>
        <v>1.5707220539632862</v>
      </c>
      <c r="Q452" s="271">
        <f t="shared" si="202"/>
        <v>1.1054625349854008</v>
      </c>
      <c r="R452" s="272">
        <f t="shared" si="203"/>
        <v>0.44035892344170313</v>
      </c>
      <c r="S452" s="270">
        <f t="shared" si="204"/>
        <v>1.0000058111748311</v>
      </c>
      <c r="T452" s="273">
        <f t="shared" si="205"/>
        <v>3.4091484830524339E-3</v>
      </c>
      <c r="U452" s="274">
        <f t="shared" si="206"/>
        <v>1.0534364033116115</v>
      </c>
      <c r="V452" s="275">
        <f t="shared" si="207"/>
        <v>0.46810644792378447</v>
      </c>
      <c r="W452" s="276">
        <f t="shared" si="208"/>
        <v>-25.33011468881508</v>
      </c>
      <c r="X452" s="277">
        <f t="shared" si="217"/>
        <v>169.53070364438742</v>
      </c>
      <c r="Y452" s="299">
        <f t="shared" si="216"/>
        <v>-10.469296355612585</v>
      </c>
      <c r="AB452" s="278">
        <f t="shared" si="209"/>
        <v>-4.9652180552089051</v>
      </c>
      <c r="AC452" s="279">
        <f t="shared" si="210"/>
        <v>-53.402206102862962</v>
      </c>
      <c r="AF452" s="278">
        <f t="shared" si="211"/>
        <v>41.438635973375582</v>
      </c>
      <c r="AG452" s="279">
        <f t="shared" si="212"/>
        <v>-137.06709025274958</v>
      </c>
      <c r="AI452">
        <f t="shared" si="213"/>
        <v>0</v>
      </c>
      <c r="AJ452">
        <f t="shared" si="218"/>
        <v>0</v>
      </c>
      <c r="AK452">
        <f t="shared" si="214"/>
        <v>0</v>
      </c>
      <c r="AL452">
        <f t="shared" si="215"/>
        <v>0</v>
      </c>
      <c r="AM452"/>
      <c r="AN452"/>
    </row>
    <row r="453" spans="2:40" x14ac:dyDescent="0.2">
      <c r="B453" s="280">
        <v>48978</v>
      </c>
      <c r="C453" s="270">
        <f t="shared" si="188"/>
        <v>40.01841669522566</v>
      </c>
      <c r="D453" s="271">
        <f t="shared" si="189"/>
        <v>1.5458052306282721</v>
      </c>
      <c r="E453" s="271">
        <f t="shared" si="190"/>
        <v>1.0031958406508525</v>
      </c>
      <c r="F453" s="272">
        <f t="shared" si="191"/>
        <v>7.9841751394237437E-2</v>
      </c>
      <c r="G453" s="271">
        <f t="shared" si="192"/>
        <v>1.1160943606905098</v>
      </c>
      <c r="H453" s="272">
        <f t="shared" si="193"/>
        <v>-0.46015969432657866</v>
      </c>
      <c r="I453" s="270">
        <f t="shared" si="194"/>
        <v>172359.04596832223</v>
      </c>
      <c r="J453" s="273">
        <f t="shared" si="195"/>
        <v>1.570790524952618</v>
      </c>
      <c r="K453" s="281">
        <f t="shared" si="196"/>
        <v>25.869314541982671</v>
      </c>
      <c r="L453" s="282">
        <f t="shared" si="197"/>
        <v>1.5321308564899481</v>
      </c>
      <c r="M453" s="270">
        <f t="shared" si="198"/>
        <v>1.6005695129968656</v>
      </c>
      <c r="N453" s="273">
        <f t="shared" si="199"/>
        <v>0.89594964455419746</v>
      </c>
      <c r="O453" s="270">
        <f t="shared" si="200"/>
        <v>13540.939352115862</v>
      </c>
      <c r="P453" s="273">
        <f t="shared" si="201"/>
        <v>1.5707224766745389</v>
      </c>
      <c r="Q453" s="271">
        <f t="shared" si="202"/>
        <v>1.1066149506233418</v>
      </c>
      <c r="R453" s="272">
        <f t="shared" si="203"/>
        <v>0.44256375418149041</v>
      </c>
      <c r="S453" s="270">
        <f t="shared" si="204"/>
        <v>1.0000058778902809</v>
      </c>
      <c r="T453" s="273">
        <f t="shared" si="205"/>
        <v>3.4286619809649915E-3</v>
      </c>
      <c r="U453" s="274">
        <f t="shared" si="206"/>
        <v>1.054053911335564</v>
      </c>
      <c r="V453" s="275">
        <f t="shared" si="207"/>
        <v>0.47070419603952424</v>
      </c>
      <c r="W453" s="276">
        <f t="shared" si="208"/>
        <v>-25.404934017011431</v>
      </c>
      <c r="X453" s="277">
        <f t="shared" si="217"/>
        <v>169.12273837098169</v>
      </c>
      <c r="Y453" s="299">
        <f t="shared" si="216"/>
        <v>-10.877261629018307</v>
      </c>
      <c r="AB453" s="278">
        <f t="shared" si="209"/>
        <v>-4.9954490028002114</v>
      </c>
      <c r="AC453" s="279">
        <f t="shared" si="210"/>
        <v>-53.549169129487773</v>
      </c>
      <c r="AF453" s="278">
        <f t="shared" si="211"/>
        <v>41.394047592770548</v>
      </c>
      <c r="AG453" s="279">
        <f t="shared" si="212"/>
        <v>-137.32809249953056</v>
      </c>
      <c r="AI453">
        <f t="shared" si="213"/>
        <v>0</v>
      </c>
      <c r="AJ453">
        <f t="shared" si="218"/>
        <v>0</v>
      </c>
      <c r="AK453">
        <f t="shared" si="214"/>
        <v>0</v>
      </c>
      <c r="AL453">
        <f t="shared" si="215"/>
        <v>0</v>
      </c>
      <c r="AM453"/>
      <c r="AN453"/>
    </row>
    <row r="454" spans="2:40" x14ac:dyDescent="0.2">
      <c r="B454" s="280">
        <v>49263.25</v>
      </c>
      <c r="C454" s="270">
        <f t="shared" si="188"/>
        <v>40.251340579785087</v>
      </c>
      <c r="D454" s="271">
        <f t="shared" si="189"/>
        <v>1.5459498773595801</v>
      </c>
      <c r="E454" s="271">
        <f t="shared" si="190"/>
        <v>1.0032331143228275</v>
      </c>
      <c r="F454" s="272">
        <f t="shared" si="191"/>
        <v>8.0304762388291651E-2</v>
      </c>
      <c r="G454" s="271">
        <f t="shared" si="192"/>
        <v>1.1173793004212473</v>
      </c>
      <c r="H454" s="272">
        <f t="shared" si="193"/>
        <v>-0.46247440404771739</v>
      </c>
      <c r="I454" s="270">
        <f t="shared" si="194"/>
        <v>173362.87254067743</v>
      </c>
      <c r="J454" s="273">
        <f t="shared" si="195"/>
        <v>1.5707905585471436</v>
      </c>
      <c r="K454" s="281">
        <f t="shared" si="196"/>
        <v>26.019754071402932</v>
      </c>
      <c r="L454" s="282">
        <f t="shared" si="197"/>
        <v>1.5323545208065426</v>
      </c>
      <c r="M454" s="270">
        <f t="shared" si="198"/>
        <v>1.6062590044723051</v>
      </c>
      <c r="N454" s="273">
        <f t="shared" si="199"/>
        <v>0.89878071675439497</v>
      </c>
      <c r="O454" s="270">
        <f t="shared" si="200"/>
        <v>13619.802370801521</v>
      </c>
      <c r="P454" s="273">
        <f t="shared" si="201"/>
        <v>1.5707229042903939</v>
      </c>
      <c r="Q454" s="271">
        <f t="shared" si="202"/>
        <v>1.1077997961854777</v>
      </c>
      <c r="R454" s="272">
        <f t="shared" si="203"/>
        <v>0.44481523781823162</v>
      </c>
      <c r="S454" s="270">
        <f t="shared" si="204"/>
        <v>1.0000059465556286</v>
      </c>
      <c r="T454" s="273">
        <f t="shared" si="205"/>
        <v>3.4486304994439799E-3</v>
      </c>
      <c r="U454" s="274">
        <f t="shared" si="206"/>
        <v>1.0546895578583648</v>
      </c>
      <c r="V454" s="275">
        <f t="shared" si="207"/>
        <v>0.4733611079233519</v>
      </c>
      <c r="W454" s="276">
        <f t="shared" si="208"/>
        <v>-25.481158159229643</v>
      </c>
      <c r="X454" s="277">
        <f t="shared" si="217"/>
        <v>168.70673097226006</v>
      </c>
      <c r="Y454" s="299">
        <f t="shared" si="216"/>
        <v>-11.293269027739939</v>
      </c>
      <c r="AB454" s="278">
        <f t="shared" si="209"/>
        <v>-5.026344637158342</v>
      </c>
      <c r="AC454" s="279">
        <f t="shared" si="210"/>
        <v>-53.698564521511905</v>
      </c>
      <c r="AF454" s="278">
        <f t="shared" si="211"/>
        <v>41.348719084910456</v>
      </c>
      <c r="AG454" s="279">
        <f t="shared" si="212"/>
        <v>-137.59470450622803</v>
      </c>
      <c r="AI454">
        <f t="shared" si="213"/>
        <v>0</v>
      </c>
      <c r="AJ454">
        <f t="shared" si="218"/>
        <v>0</v>
      </c>
      <c r="AK454">
        <f t="shared" si="214"/>
        <v>0</v>
      </c>
      <c r="AL454">
        <f t="shared" si="215"/>
        <v>0</v>
      </c>
      <c r="AM454"/>
      <c r="AN454"/>
    </row>
    <row r="455" spans="2:40" x14ac:dyDescent="0.2">
      <c r="B455" s="280">
        <v>49548.5</v>
      </c>
      <c r="C455" s="270">
        <f t="shared" si="188"/>
        <v>40.484265296819601</v>
      </c>
      <c r="D455" s="271">
        <f t="shared" si="189"/>
        <v>1.5460928596546568</v>
      </c>
      <c r="E455" s="271">
        <f t="shared" si="190"/>
        <v>1.0032706030510876</v>
      </c>
      <c r="F455" s="272">
        <f t="shared" si="191"/>
        <v>8.0767738879375661E-2</v>
      </c>
      <c r="G455" s="271">
        <f t="shared" si="192"/>
        <v>1.1186702131655066</v>
      </c>
      <c r="H455" s="272">
        <f t="shared" si="193"/>
        <v>-0.46478378390371289</v>
      </c>
      <c r="I455" s="270">
        <f t="shared" si="194"/>
        <v>174366.69911303284</v>
      </c>
      <c r="J455" s="273">
        <f t="shared" si="195"/>
        <v>1.5707905917548626</v>
      </c>
      <c r="K455" s="281">
        <f t="shared" si="196"/>
        <v>26.170194887515095</v>
      </c>
      <c r="L455" s="282">
        <f t="shared" si="197"/>
        <v>1.532575613640645</v>
      </c>
      <c r="M455" s="270">
        <f t="shared" si="198"/>
        <v>1.6119612791256359</v>
      </c>
      <c r="N455" s="273">
        <f t="shared" si="199"/>
        <v>0.90159178165164533</v>
      </c>
      <c r="O455" s="270">
        <f t="shared" si="200"/>
        <v>13698.665389489643</v>
      </c>
      <c r="P455" s="273">
        <f t="shared" si="201"/>
        <v>1.5707233269826919</v>
      </c>
      <c r="Q455" s="271">
        <f t="shared" si="202"/>
        <v>1.1089902453665188</v>
      </c>
      <c r="R455" s="272">
        <f t="shared" si="203"/>
        <v>0.4470618990985305</v>
      </c>
      <c r="S455" s="270">
        <f t="shared" si="204"/>
        <v>1.0000060156197204</v>
      </c>
      <c r="T455" s="273">
        <f t="shared" si="205"/>
        <v>3.4685990151727322E-3</v>
      </c>
      <c r="U455" s="274">
        <f t="shared" si="206"/>
        <v>1.0553289881046777</v>
      </c>
      <c r="V455" s="275">
        <f t="shared" si="207"/>
        <v>0.47601658481651732</v>
      </c>
      <c r="W455" s="276">
        <f t="shared" si="208"/>
        <v>-25.557041478136707</v>
      </c>
      <c r="X455" s="277">
        <f t="shared" si="217"/>
        <v>168.29220358060871</v>
      </c>
      <c r="Y455" s="299">
        <f t="shared" si="216"/>
        <v>-11.707796419391286</v>
      </c>
      <c r="AB455" s="278">
        <f t="shared" si="209"/>
        <v>-5.0571988869326869</v>
      </c>
      <c r="AC455" s="279">
        <f t="shared" si="210"/>
        <v>-53.846960892449218</v>
      </c>
      <c r="AF455" s="278">
        <f t="shared" si="211"/>
        <v>41.303690015777747</v>
      </c>
      <c r="AG455" s="279">
        <f t="shared" si="212"/>
        <v>-137.86083552694208</v>
      </c>
      <c r="AI455">
        <f t="shared" si="213"/>
        <v>0</v>
      </c>
      <c r="AJ455">
        <f t="shared" si="218"/>
        <v>0</v>
      </c>
      <c r="AK455">
        <f t="shared" si="214"/>
        <v>0</v>
      </c>
      <c r="AL455">
        <f t="shared" si="215"/>
        <v>0</v>
      </c>
      <c r="AM455"/>
      <c r="AN455"/>
    </row>
    <row r="456" spans="2:40" x14ac:dyDescent="0.2">
      <c r="B456" s="280">
        <v>49833.75</v>
      </c>
      <c r="C456" s="270">
        <f t="shared" si="188"/>
        <v>40.717190832042533</v>
      </c>
      <c r="D456" s="271">
        <f t="shared" si="189"/>
        <v>1.5462342060721761</v>
      </c>
      <c r="E456" s="271">
        <f t="shared" si="190"/>
        <v>1.0033083068115263</v>
      </c>
      <c r="F456" s="272">
        <f t="shared" si="191"/>
        <v>8.1230680672892797E-2</v>
      </c>
      <c r="G456" s="271">
        <f t="shared" si="192"/>
        <v>1.1199670782691824</v>
      </c>
      <c r="H456" s="272">
        <f t="shared" si="193"/>
        <v>-0.46708782773444746</v>
      </c>
      <c r="I456" s="270">
        <f t="shared" si="194"/>
        <v>175370.52568538842</v>
      </c>
      <c r="J456" s="273">
        <f t="shared" si="195"/>
        <v>1.5707906245824177</v>
      </c>
      <c r="K456" s="281">
        <f t="shared" si="196"/>
        <v>26.320636968256121</v>
      </c>
      <c r="L456" s="282">
        <f t="shared" si="197"/>
        <v>1.532794179064277</v>
      </c>
      <c r="M456" s="270">
        <f t="shared" si="198"/>
        <v>1.6176762017755626</v>
      </c>
      <c r="N456" s="273">
        <f t="shared" si="199"/>
        <v>0.90438300662903159</v>
      </c>
      <c r="O456" s="270">
        <f t="shared" si="200"/>
        <v>13777.528408180186</v>
      </c>
      <c r="P456" s="273">
        <f t="shared" si="201"/>
        <v>1.5707237448359812</v>
      </c>
      <c r="Q456" s="271">
        <f t="shared" si="202"/>
        <v>1.1101862801402373</v>
      </c>
      <c r="R456" s="272">
        <f t="shared" si="203"/>
        <v>0.44930373089193604</v>
      </c>
      <c r="S456" s="270">
        <f t="shared" si="204"/>
        <v>1.0000060850825558</v>
      </c>
      <c r="T456" s="273">
        <f t="shared" si="205"/>
        <v>3.4885675281353242E-3</v>
      </c>
      <c r="U456" s="274">
        <f t="shared" si="206"/>
        <v>1.0559722035103933</v>
      </c>
      <c r="V456" s="275">
        <f t="shared" si="207"/>
        <v>0.47867061948354589</v>
      </c>
      <c r="W456" s="276">
        <f t="shared" si="208"/>
        <v>-25.632586901678636</v>
      </c>
      <c r="X456" s="277">
        <f t="shared" si="217"/>
        <v>167.87914825051345</v>
      </c>
      <c r="Y456" s="299">
        <f t="shared" si="216"/>
        <v>-12.120851749486548</v>
      </c>
      <c r="AB456" s="278">
        <f t="shared" si="209"/>
        <v>-5.0880110951901889</v>
      </c>
      <c r="AC456" s="279">
        <f t="shared" si="210"/>
        <v>-53.99436530788369</v>
      </c>
      <c r="AF456" s="278">
        <f t="shared" si="211"/>
        <v>41.258956800493316</v>
      </c>
      <c r="AG456" s="279">
        <f t="shared" si="212"/>
        <v>-138.12648644160288</v>
      </c>
      <c r="AI456">
        <f t="shared" si="213"/>
        <v>0</v>
      </c>
      <c r="AJ456">
        <f t="shared" si="218"/>
        <v>0</v>
      </c>
      <c r="AK456">
        <f t="shared" si="214"/>
        <v>0</v>
      </c>
      <c r="AL456">
        <f t="shared" si="215"/>
        <v>0</v>
      </c>
      <c r="AM456"/>
      <c r="AN456"/>
    </row>
    <row r="457" spans="2:40" x14ac:dyDescent="0.2">
      <c r="B457" s="280">
        <v>50119</v>
      </c>
      <c r="C457" s="270">
        <f t="shared" si="188"/>
        <v>40.950117171492259</v>
      </c>
      <c r="D457" s="271">
        <f t="shared" si="189"/>
        <v>1.5463739445213047</v>
      </c>
      <c r="E457" s="271">
        <f t="shared" si="190"/>
        <v>1.0033462255799019</v>
      </c>
      <c r="F457" s="272">
        <f t="shared" si="191"/>
        <v>8.1693587574335078E-2</v>
      </c>
      <c r="G457" s="271">
        <f t="shared" si="192"/>
        <v>1.1212698750787087</v>
      </c>
      <c r="H457" s="272">
        <f t="shared" si="193"/>
        <v>-0.4693865296348505</v>
      </c>
      <c r="I457" s="270">
        <f t="shared" si="194"/>
        <v>176374.35225774423</v>
      </c>
      <c r="J457" s="273">
        <f t="shared" si="195"/>
        <v>1.5707906570362997</v>
      </c>
      <c r="K457" s="281">
        <f t="shared" si="196"/>
        <v>26.471080292064364</v>
      </c>
      <c r="L457" s="282">
        <f t="shared" si="197"/>
        <v>1.5330102601485389</v>
      </c>
      <c r="M457" s="270">
        <f t="shared" si="198"/>
        <v>1.623403638846582</v>
      </c>
      <c r="N457" s="273">
        <f t="shared" si="199"/>
        <v>0.90715455795190747</v>
      </c>
      <c r="O457" s="270">
        <f t="shared" si="200"/>
        <v>13856.391426873106</v>
      </c>
      <c r="P457" s="273">
        <f t="shared" si="201"/>
        <v>1.5707241579328848</v>
      </c>
      <c r="Q457" s="271">
        <f t="shared" si="202"/>
        <v>1.1113878824736052</v>
      </c>
      <c r="R457" s="272">
        <f t="shared" si="203"/>
        <v>0.45154072629279479</v>
      </c>
      <c r="S457" s="270">
        <f t="shared" si="204"/>
        <v>1.0000061549441353</v>
      </c>
      <c r="T457" s="273">
        <f t="shared" si="205"/>
        <v>3.5085360383158319E-3</v>
      </c>
      <c r="U457" s="274">
        <f t="shared" si="206"/>
        <v>1.0566192055151837</v>
      </c>
      <c r="V457" s="275">
        <f t="shared" si="207"/>
        <v>0.48132320470759127</v>
      </c>
      <c r="W457" s="276">
        <f t="shared" si="208"/>
        <v>-25.707797318573768</v>
      </c>
      <c r="X457" s="277">
        <f t="shared" si="217"/>
        <v>167.46755706470009</v>
      </c>
      <c r="Y457" s="299">
        <f t="shared" si="216"/>
        <v>-12.532442935299912</v>
      </c>
      <c r="AB457" s="278">
        <f t="shared" si="209"/>
        <v>-5.1187806235303448</v>
      </c>
      <c r="AC457" s="279">
        <f t="shared" si="210"/>
        <v>-54.140784826698045</v>
      </c>
      <c r="AF457" s="278">
        <f t="shared" si="211"/>
        <v>41.214515911938335</v>
      </c>
      <c r="AG457" s="279">
        <f t="shared" si="212"/>
        <v>-138.39165810860189</v>
      </c>
      <c r="AI457">
        <f t="shared" si="213"/>
        <v>0</v>
      </c>
      <c r="AJ457">
        <f t="shared" si="218"/>
        <v>0</v>
      </c>
      <c r="AK457">
        <f t="shared" si="214"/>
        <v>0</v>
      </c>
      <c r="AL457">
        <f t="shared" si="215"/>
        <v>0</v>
      </c>
      <c r="AM457"/>
      <c r="AN457"/>
    </row>
    <row r="458" spans="2:40" x14ac:dyDescent="0.2">
      <c r="B458" s="280">
        <v>50410.75</v>
      </c>
      <c r="C458" s="270">
        <f t="shared" si="188"/>
        <v>41.188352027879041</v>
      </c>
      <c r="D458" s="271">
        <f t="shared" si="189"/>
        <v>1.5465152322755664</v>
      </c>
      <c r="E458" s="271">
        <f t="shared" si="190"/>
        <v>1.0033852307917881</v>
      </c>
      <c r="F458" s="272">
        <f t="shared" si="191"/>
        <v>8.216700645232318E-2</v>
      </c>
      <c r="G458" s="271">
        <f t="shared" si="192"/>
        <v>1.1226084732261621</v>
      </c>
      <c r="H458" s="272">
        <f t="shared" si="193"/>
        <v>-0.47173208032515923</v>
      </c>
      <c r="I458" s="270">
        <f t="shared" si="194"/>
        <v>177401.05305523713</v>
      </c>
      <c r="J458" s="273">
        <f t="shared" si="195"/>
        <v>1.5707906898497783</v>
      </c>
      <c r="K458" s="281">
        <f t="shared" si="196"/>
        <v>26.624953036159013</v>
      </c>
      <c r="L458" s="282">
        <f t="shared" si="197"/>
        <v>1.5332287390517141</v>
      </c>
      <c r="M458" s="270">
        <f t="shared" si="198"/>
        <v>1.6292743950506903</v>
      </c>
      <c r="N458" s="273">
        <f t="shared" si="199"/>
        <v>0.90996908559354905</v>
      </c>
      <c r="O458" s="270">
        <f t="shared" si="200"/>
        <v>13937.051499456275</v>
      </c>
      <c r="P458" s="273">
        <f t="shared" si="201"/>
        <v>1.5707245756070003</v>
      </c>
      <c r="Q458" s="271">
        <f t="shared" si="202"/>
        <v>1.1126226062595159</v>
      </c>
      <c r="R458" s="272">
        <f t="shared" si="203"/>
        <v>0.45382368625023495</v>
      </c>
      <c r="S458" s="270">
        <f t="shared" si="204"/>
        <v>1.0000062268101293</v>
      </c>
      <c r="T458" s="273">
        <f t="shared" si="205"/>
        <v>3.5289595686208552E-3</v>
      </c>
      <c r="U458" s="274">
        <f t="shared" si="206"/>
        <v>1.057284869288015</v>
      </c>
      <c r="V458" s="275">
        <f t="shared" si="207"/>
        <v>0.48403472760334665</v>
      </c>
      <c r="W458" s="276">
        <f t="shared" si="208"/>
        <v>-25.784377983833707</v>
      </c>
      <c r="X458" s="277">
        <f t="shared" si="217"/>
        <v>167.04809328696771</v>
      </c>
      <c r="Y458" s="299">
        <f t="shared" si="216"/>
        <v>-12.951906713032287</v>
      </c>
      <c r="AB458" s="278">
        <f t="shared" si="209"/>
        <v>-5.1502065018343579</v>
      </c>
      <c r="AC458" s="279">
        <f t="shared" si="210"/>
        <v>-54.289529342896252</v>
      </c>
      <c r="AF458" s="278">
        <f t="shared" si="211"/>
        <v>41.169361124982409</v>
      </c>
      <c r="AG458" s="279">
        <f t="shared" si="212"/>
        <v>-138.662377370136</v>
      </c>
      <c r="AI458">
        <f t="shared" si="213"/>
        <v>0</v>
      </c>
      <c r="AJ458">
        <f t="shared" si="218"/>
        <v>0</v>
      </c>
      <c r="AK458">
        <f t="shared" si="214"/>
        <v>0</v>
      </c>
      <c r="AL458">
        <f t="shared" si="215"/>
        <v>0</v>
      </c>
      <c r="AM458"/>
      <c r="AN458"/>
    </row>
    <row r="459" spans="2:40" x14ac:dyDescent="0.2">
      <c r="B459" s="280">
        <v>50702.5</v>
      </c>
      <c r="C459" s="270">
        <f t="shared" si="188"/>
        <v>41.426587697020445</v>
      </c>
      <c r="D459" s="271">
        <f t="shared" si="189"/>
        <v>1.5466548949997516</v>
      </c>
      <c r="E459" s="271">
        <f t="shared" si="190"/>
        <v>1.0034244608703118</v>
      </c>
      <c r="F459" s="272">
        <f t="shared" si="191"/>
        <v>8.2640388418647653E-2</v>
      </c>
      <c r="G459" s="271">
        <f t="shared" si="192"/>
        <v>1.1239532327943624</v>
      </c>
      <c r="H459" s="272">
        <f t="shared" si="193"/>
        <v>-0.47407203117122204</v>
      </c>
      <c r="I459" s="270">
        <f t="shared" si="194"/>
        <v>178427.75385273027</v>
      </c>
      <c r="J459" s="273">
        <f t="shared" si="195"/>
        <v>1.5707907222856294</v>
      </c>
      <c r="K459" s="281">
        <f t="shared" si="196"/>
        <v>26.778827036538122</v>
      </c>
      <c r="L459" s="282">
        <f t="shared" si="197"/>
        <v>1.533444707158873</v>
      </c>
      <c r="M459" s="270">
        <f t="shared" si="198"/>
        <v>1.6351579649233137</v>
      </c>
      <c r="N459" s="273">
        <f t="shared" si="199"/>
        <v>0.91276338096235954</v>
      </c>
      <c r="O459" s="270">
        <f t="shared" si="200"/>
        <v>14017.711572041848</v>
      </c>
      <c r="P459" s="273">
        <f t="shared" si="201"/>
        <v>1.5707249884743935</v>
      </c>
      <c r="Q459" s="271">
        <f t="shared" si="202"/>
        <v>1.1138631160562471</v>
      </c>
      <c r="R459" s="272">
        <f t="shared" si="203"/>
        <v>0.45610157299099552</v>
      </c>
      <c r="S459" s="270">
        <f t="shared" si="204"/>
        <v>1.0000062990932463</v>
      </c>
      <c r="T459" s="273">
        <f t="shared" si="205"/>
        <v>3.5493830959818628E-3</v>
      </c>
      <c r="U459" s="274">
        <f t="shared" si="206"/>
        <v>1.0579544972550092</v>
      </c>
      <c r="V459" s="275">
        <f t="shared" si="207"/>
        <v>0.48674471903556937</v>
      </c>
      <c r="W459" s="276">
        <f t="shared" si="208"/>
        <v>-25.860614191785029</v>
      </c>
      <c r="X459" s="277">
        <f t="shared" si="217"/>
        <v>166.63014448302064</v>
      </c>
      <c r="Y459" s="299">
        <f t="shared" si="216"/>
        <v>-13.369855516979356</v>
      </c>
      <c r="AB459" s="278">
        <f t="shared" si="209"/>
        <v>-5.1815864399267859</v>
      </c>
      <c r="AC459" s="279">
        <f t="shared" si="210"/>
        <v>-54.437258471629796</v>
      </c>
      <c r="AF459" s="278">
        <f t="shared" si="211"/>
        <v>41.124504855123519</v>
      </c>
      <c r="AG459" s="279">
        <f t="shared" si="212"/>
        <v>-138.93259704534955</v>
      </c>
      <c r="AI459">
        <f t="shared" si="213"/>
        <v>0</v>
      </c>
      <c r="AJ459">
        <f t="shared" si="218"/>
        <v>0</v>
      </c>
      <c r="AK459">
        <f t="shared" si="214"/>
        <v>0</v>
      </c>
      <c r="AL459">
        <f t="shared" si="215"/>
        <v>0</v>
      </c>
      <c r="AM459"/>
      <c r="AN459"/>
    </row>
    <row r="460" spans="2:40" x14ac:dyDescent="0.2">
      <c r="B460" s="280">
        <v>50994.25</v>
      </c>
      <c r="C460" s="270">
        <f t="shared" si="188"/>
        <v>41.664824164974704</v>
      </c>
      <c r="D460" s="271">
        <f t="shared" si="189"/>
        <v>1.5467929605637805</v>
      </c>
      <c r="E460" s="271">
        <f t="shared" si="190"/>
        <v>1.0034639157890994</v>
      </c>
      <c r="F460" s="272">
        <f t="shared" si="191"/>
        <v>8.3113733265489362E-2</v>
      </c>
      <c r="G460" s="271">
        <f t="shared" si="192"/>
        <v>1.1253041316942693</v>
      </c>
      <c r="H460" s="272">
        <f t="shared" si="193"/>
        <v>-0.47640637667059987</v>
      </c>
      <c r="I460" s="270">
        <f t="shared" si="194"/>
        <v>179454.45465022355</v>
      </c>
      <c r="J460" s="273">
        <f t="shared" si="195"/>
        <v>1.5707907543503343</v>
      </c>
      <c r="K460" s="281">
        <f t="shared" si="196"/>
        <v>26.932702271669182</v>
      </c>
      <c r="L460" s="282">
        <f t="shared" si="197"/>
        <v>1.533658207484663</v>
      </c>
      <c r="M460" s="270">
        <f t="shared" si="198"/>
        <v>1.6410542106443053</v>
      </c>
      <c r="N460" s="273">
        <f t="shared" si="199"/>
        <v>0.91553761826806868</v>
      </c>
      <c r="O460" s="270">
        <f t="shared" si="200"/>
        <v>14098.371644629782</v>
      </c>
      <c r="P460" s="273">
        <f t="shared" si="201"/>
        <v>1.5707253966175652</v>
      </c>
      <c r="Q460" s="271">
        <f t="shared" si="202"/>
        <v>1.1151093925537572</v>
      </c>
      <c r="R460" s="272">
        <f t="shared" si="203"/>
        <v>0.45837437984692214</v>
      </c>
      <c r="S460" s="270">
        <f t="shared" si="204"/>
        <v>1.0000063717934864</v>
      </c>
      <c r="T460" s="273">
        <f t="shared" si="205"/>
        <v>3.569806620381818E-3</v>
      </c>
      <c r="U460" s="274">
        <f t="shared" si="206"/>
        <v>1.0586280909683761</v>
      </c>
      <c r="V460" s="275">
        <f t="shared" si="207"/>
        <v>0.4894531713438765</v>
      </c>
      <c r="W460" s="276">
        <f t="shared" si="208"/>
        <v>-25.93650891169532</v>
      </c>
      <c r="X460" s="277">
        <f t="shared" si="217"/>
        <v>166.21370228100113</v>
      </c>
      <c r="Y460" s="299">
        <f t="shared" si="216"/>
        <v>-13.786297718998867</v>
      </c>
      <c r="AB460" s="278">
        <f t="shared" si="209"/>
        <v>-5.2129198126392655</v>
      </c>
      <c r="AC460" s="279">
        <f t="shared" si="210"/>
        <v>-54.5839797301945</v>
      </c>
      <c r="AF460" s="278">
        <f t="shared" si="211"/>
        <v>41.079943507925698</v>
      </c>
      <c r="AG460" s="279">
        <f t="shared" si="212"/>
        <v>-139.2023179888044</v>
      </c>
      <c r="AI460">
        <f t="shared" si="213"/>
        <v>0</v>
      </c>
      <c r="AJ460">
        <f t="shared" si="218"/>
        <v>0</v>
      </c>
      <c r="AK460">
        <f t="shared" si="214"/>
        <v>0</v>
      </c>
      <c r="AL460">
        <f t="shared" si="215"/>
        <v>0</v>
      </c>
      <c r="AM460"/>
      <c r="AN460"/>
    </row>
    <row r="461" spans="2:40" x14ac:dyDescent="0.2">
      <c r="B461" s="280">
        <v>51286</v>
      </c>
      <c r="C461" s="270">
        <f t="shared" ref="C461:C524" si="219">SQRT(1+(B461/PS_Pole1)^2)</f>
        <v>41.903061418117062</v>
      </c>
      <c r="D461" s="271">
        <f t="shared" ref="D461:D524" si="220">ATAN(B461/PS_Pole1)</f>
        <v>1.5469294562040079</v>
      </c>
      <c r="E461" s="271">
        <f t="shared" ref="E461:E524" si="221">SQRT(1+(B461/PS_Zero1)^2)</f>
        <v>1.0035035955216314</v>
      </c>
      <c r="F461" s="272">
        <f t="shared" ref="F461:F524" si="222">ATAN(B461/PS_Zero1)</f>
        <v>8.3587040785128283E-2</v>
      </c>
      <c r="G461" s="271">
        <f t="shared" ref="G461:G524" si="223">IF(VIN_nom&gt;Vout, 1, SQRT(1+(B461/PS_RHPZ)^2))</f>
        <v>1.1266611478421811</v>
      </c>
      <c r="H461" s="272">
        <f t="shared" ref="H461:H524" si="224">IF(VIN_nom&gt;Vout, 0, -ATAN(B461/PS_RHPZ))</f>
        <v>-0.47873511159153787</v>
      </c>
      <c r="I461" s="270">
        <f t="shared" ref="I461:I524" si="225">SQRT(1+(B461/EA_Pole1)^2)</f>
        <v>180481.155447717</v>
      </c>
      <c r="J461" s="273">
        <f t="shared" ref="J461:J524" si="226">ATAN(B461/EA_Pole1)</f>
        <v>1.570790786050227</v>
      </c>
      <c r="K461" s="281">
        <f t="shared" ref="K461:K524" si="227">SQRT(1+(B461/EA_Zero1)^2)</f>
        <v>27.086578720508818</v>
      </c>
      <c r="L461" s="282">
        <f t="shared" ref="L461:L524" si="228">ATAN(B461/EA_Zero1)</f>
        <v>1.5338692820671926</v>
      </c>
      <c r="M461" s="270">
        <f t="shared" ref="M461:M524" si="229">SQRT(1+(B461/EA_Pole2)^2)</f>
        <v>1.6469629960723304</v>
      </c>
      <c r="N461" s="273">
        <f t="shared" ref="N461:N524" si="230">ATAN(B461/EA_Pole2)</f>
        <v>0.91829197046342337</v>
      </c>
      <c r="O461" s="270">
        <f t="shared" ref="O461:O524" si="231">SQRT(1+(B461/$V$5)^2)</f>
        <v>14179.031717220041</v>
      </c>
      <c r="P461" s="273">
        <f t="shared" ref="P461:P524" si="232">ATAN(B461/$V$5)</f>
        <v>1.5707258001171394</v>
      </c>
      <c r="Q461" s="271">
        <f t="shared" ref="Q461:Q524" si="233">SQRT(1+(B461/$V$4)^2)</f>
        <v>1.1163614164386668</v>
      </c>
      <c r="R461" s="272">
        <f t="shared" ref="R461:R524" si="234">ATAN(B461/$V$4)</f>
        <v>0.46064210038949355</v>
      </c>
      <c r="S461" s="270">
        <f t="shared" ref="S461:S524" si="235">SQRT(1+(B461/$V$7)^2)</f>
        <v>1.0000064449108494</v>
      </c>
      <c r="T461" s="273">
        <f t="shared" ref="T461:T524" si="236">ATAN(B461/$V$7)</f>
        <v>3.5902301418036828E-3</v>
      </c>
      <c r="U461" s="274">
        <f t="shared" ref="U461:U524" si="237">SQRT((1-(B461^2/pterm2))^2+(B461/pterm1)^2)</f>
        <v>1.0593056519841844</v>
      </c>
      <c r="V461" s="275">
        <f t="shared" ref="V461:V524" si="238">IF((ATAN((B461/pterm1)/(1-B461^2/pterm2))&gt;0),ATAN((B461/pterm1)/(1-B461^2/pterm2)),PI()+ATAN((B461/pterm1)/(1-B461^2/pterm2)))</f>
        <v>0.49216007688871977</v>
      </c>
      <c r="W461" s="276">
        <f t="shared" ref="W461:W524" si="239">20*LOG10(((E461*K461*G461)/(C461*I461*U461*M461))*Adc)</f>
        <v>-26.012065073768422</v>
      </c>
      <c r="X461" s="277">
        <f t="shared" si="217"/>
        <v>165.79875834473168</v>
      </c>
      <c r="Y461" s="299">
        <f t="shared" si="216"/>
        <v>-14.201241655268319</v>
      </c>
      <c r="AB461" s="278">
        <f t="shared" ref="AB461:AB524" si="240">20*LOG10((K461/(I461*M461))*AEA)</f>
        <v>-5.2442060135558943</v>
      </c>
      <c r="AC461" s="279">
        <f t="shared" ref="AC461:AC524" si="241">(L461-(J461+N461))*radconv</f>
        <v>-54.729700619809556</v>
      </c>
      <c r="AF461" s="278">
        <f t="shared" ref="AF461:AF524" si="242">20*LOG10((E461*G461/(C461*U461))*Acs*Am)</f>
        <v>41.035673546769232</v>
      </c>
      <c r="AG461" s="279">
        <f t="shared" ref="AG461:AG524" si="243">(F461+H461-(D461+V461))*radconv</f>
        <v>-139.47154103545878</v>
      </c>
      <c r="AI461">
        <f t="shared" ref="AI461:AI524" si="244">SUM((W462&lt;0)*(W461&gt;0))*B461</f>
        <v>0</v>
      </c>
      <c r="AJ461">
        <f t="shared" si="218"/>
        <v>0</v>
      </c>
      <c r="AK461">
        <f t="shared" ref="AK461:AK524" si="245">SUM((AB462&lt;0)*(AB461&gt;0))*B461</f>
        <v>0</v>
      </c>
      <c r="AL461">
        <f t="shared" ref="AL461:AL524" si="246">IF(AK461&gt;0,AC461,0)</f>
        <v>0</v>
      </c>
      <c r="AM461"/>
      <c r="AN461"/>
    </row>
    <row r="462" spans="2:40" x14ac:dyDescent="0.2">
      <c r="B462" s="280">
        <v>51584.75</v>
      </c>
      <c r="C462" s="270">
        <f t="shared" si="219"/>
        <v>42.14701553193909</v>
      </c>
      <c r="D462" s="271">
        <f t="shared" si="220"/>
        <v>1.5470676277303856</v>
      </c>
      <c r="E462" s="271">
        <f t="shared" si="221"/>
        <v>1.003544460237312</v>
      </c>
      <c r="F462" s="272">
        <f t="shared" si="222"/>
        <v>8.4071665542413521E-2</v>
      </c>
      <c r="G462" s="271">
        <f t="shared" si="223"/>
        <v>1.12805703918081</v>
      </c>
      <c r="H462" s="272">
        <f t="shared" si="224"/>
        <v>-0.48111390088743139</v>
      </c>
      <c r="I462" s="270">
        <f t="shared" si="225"/>
        <v>181532.4900261274</v>
      </c>
      <c r="J462" s="273">
        <f t="shared" si="226"/>
        <v>1.570790818139119</v>
      </c>
      <c r="K462" s="281">
        <f t="shared" si="227"/>
        <v>27.244148385526369</v>
      </c>
      <c r="L462" s="282">
        <f t="shared" si="228"/>
        <v>1.5340829501639155</v>
      </c>
      <c r="M462" s="270">
        <f t="shared" si="229"/>
        <v>1.6530264059966999</v>
      </c>
      <c r="N462" s="273">
        <f t="shared" si="230"/>
        <v>0.92109198106902423</v>
      </c>
      <c r="O462" s="270">
        <f t="shared" si="231"/>
        <v>14261.627078615173</v>
      </c>
      <c r="P462" s="273">
        <f t="shared" si="232"/>
        <v>1.5707262085681819</v>
      </c>
      <c r="Q462" s="271">
        <f t="shared" si="233"/>
        <v>1.117649416025986</v>
      </c>
      <c r="R462" s="272">
        <f t="shared" si="234"/>
        <v>0.46295895338215848</v>
      </c>
      <c r="S462" s="270">
        <f t="shared" si="235"/>
        <v>1.000006520214783</v>
      </c>
      <c r="T462" s="273">
        <f t="shared" si="236"/>
        <v>3.6111436846287459E-3</v>
      </c>
      <c r="U462" s="274">
        <f t="shared" si="237"/>
        <v>1.0600035826754266</v>
      </c>
      <c r="V462" s="275">
        <f t="shared" si="238"/>
        <v>0.49493031877605137</v>
      </c>
      <c r="W462" s="276">
        <f t="shared" si="239"/>
        <v>-26.089086246577811</v>
      </c>
      <c r="X462" s="277">
        <f t="shared" si="217"/>
        <v>165.37540254858919</v>
      </c>
      <c r="Y462" s="299">
        <f t="shared" ref="Y462:Y525" si="247">IF(X462&gt;0,X462-180,X462+180)</f>
        <v>-14.624597451410807</v>
      </c>
      <c r="AB462" s="278">
        <f t="shared" si="240"/>
        <v>-5.2761933716192821</v>
      </c>
      <c r="AC462" s="279">
        <f t="shared" si="241"/>
        <v>-54.877888968501601</v>
      </c>
      <c r="AF462" s="278">
        <f t="shared" si="242"/>
        <v>40.990639732023233</v>
      </c>
      <c r="AG462" s="279">
        <f t="shared" si="243"/>
        <v>-139.74670848290918</v>
      </c>
      <c r="AI462">
        <f t="shared" si="244"/>
        <v>0</v>
      </c>
      <c r="AJ462">
        <f t="shared" si="218"/>
        <v>0</v>
      </c>
      <c r="AK462">
        <f t="shared" si="245"/>
        <v>0</v>
      </c>
      <c r="AL462">
        <f t="shared" si="246"/>
        <v>0</v>
      </c>
      <c r="AM462"/>
      <c r="AN462"/>
    </row>
    <row r="463" spans="2:40" x14ac:dyDescent="0.2">
      <c r="B463" s="280">
        <v>51883.5</v>
      </c>
      <c r="C463" s="270">
        <f t="shared" si="219"/>
        <v>42.390970441144184</v>
      </c>
      <c r="D463" s="271">
        <f t="shared" si="220"/>
        <v>1.547204208938491</v>
      </c>
      <c r="E463" s="271">
        <f t="shared" si="221"/>
        <v>1.0035855606273776</v>
      </c>
      <c r="F463" s="272">
        <f t="shared" si="222"/>
        <v>8.455625071929411E-2</v>
      </c>
      <c r="G463" s="271">
        <f t="shared" si="223"/>
        <v>1.1294592979873312</v>
      </c>
      <c r="H463" s="272">
        <f t="shared" si="224"/>
        <v>-0.48348679690135005</v>
      </c>
      <c r="I463" s="270">
        <f t="shared" si="225"/>
        <v>182583.82460453798</v>
      </c>
      <c r="J463" s="273">
        <f t="shared" si="226"/>
        <v>1.5707908498584693</v>
      </c>
      <c r="K463" s="281">
        <f t="shared" si="227"/>
        <v>27.401719280045093</v>
      </c>
      <c r="L463" s="282">
        <f t="shared" si="228"/>
        <v>1.5342941609153937</v>
      </c>
      <c r="M463" s="270">
        <f t="shared" si="229"/>
        <v>1.6591026809604623</v>
      </c>
      <c r="N463" s="273">
        <f t="shared" si="230"/>
        <v>0.92387150389247374</v>
      </c>
      <c r="O463" s="270">
        <f t="shared" si="231"/>
        <v>14344.222440012654</v>
      </c>
      <c r="P463" s="273">
        <f t="shared" si="232"/>
        <v>1.5707266123154264</v>
      </c>
      <c r="Q463" s="271">
        <f t="shared" si="233"/>
        <v>1.1189434011103085</v>
      </c>
      <c r="R463" s="272">
        <f t="shared" si="234"/>
        <v>0.46527046017985579</v>
      </c>
      <c r="S463" s="270">
        <f t="shared" si="235"/>
        <v>1.0000065959560955</v>
      </c>
      <c r="T463" s="273">
        <f t="shared" si="236"/>
        <v>3.6320572242949383E-3</v>
      </c>
      <c r="U463" s="274">
        <f t="shared" si="237"/>
        <v>1.0607056766436054</v>
      </c>
      <c r="V463" s="275">
        <f t="shared" si="238"/>
        <v>0.49769892264020643</v>
      </c>
      <c r="W463" s="276">
        <f t="shared" si="239"/>
        <v>-26.165758517549719</v>
      </c>
      <c r="X463" s="277">
        <f t="shared" ref="X463:X526" si="248">IF(((F463+L463+H463)-(D463+J463+V463+N463))*radconv&lt;-180,((F463+L463+H463)-(D463+J463+V463+N463))*radconv+360,((F463+L463+H463)-(D463+J463+V463+N463))*radconv)</f>
        <v>164.95360020429186</v>
      </c>
      <c r="Y463" s="299">
        <f t="shared" si="247"/>
        <v>-15.04639979570814</v>
      </c>
      <c r="AB463" s="278">
        <f t="shared" si="240"/>
        <v>-5.3081300387952091</v>
      </c>
      <c r="AC463" s="279">
        <f t="shared" si="241"/>
        <v>-55.025044228082969</v>
      </c>
      <c r="AF463" s="278">
        <f t="shared" si="242"/>
        <v>40.945904128227248</v>
      </c>
      <c r="AG463" s="279">
        <f t="shared" si="243"/>
        <v>-140.02135556762519</v>
      </c>
      <c r="AI463">
        <f t="shared" si="244"/>
        <v>0</v>
      </c>
      <c r="AJ463">
        <f t="shared" si="218"/>
        <v>0</v>
      </c>
      <c r="AK463">
        <f t="shared" si="245"/>
        <v>0</v>
      </c>
      <c r="AL463">
        <f t="shared" si="246"/>
        <v>0</v>
      </c>
      <c r="AM463"/>
      <c r="AN463"/>
    </row>
    <row r="464" spans="2:40" x14ac:dyDescent="0.2">
      <c r="B464" s="280">
        <v>52182.25</v>
      </c>
      <c r="C464" s="270">
        <f t="shared" si="219"/>
        <v>42.63492613207891</v>
      </c>
      <c r="D464" s="271">
        <f t="shared" si="220"/>
        <v>1.5473392271224362</v>
      </c>
      <c r="E464" s="271">
        <f t="shared" si="221"/>
        <v>1.0036268966628741</v>
      </c>
      <c r="F464" s="272">
        <f t="shared" si="222"/>
        <v>8.5040796093063475E-2</v>
      </c>
      <c r="G464" s="271">
        <f t="shared" si="223"/>
        <v>1.1308679005750579</v>
      </c>
      <c r="H464" s="272">
        <f t="shared" si="224"/>
        <v>-0.48585379488397212</v>
      </c>
      <c r="I464" s="270">
        <f t="shared" si="225"/>
        <v>183635.1591829487</v>
      </c>
      <c r="J464" s="273">
        <f t="shared" si="226"/>
        <v>1.5707908812146252</v>
      </c>
      <c r="K464" s="281">
        <f t="shared" si="227"/>
        <v>27.559291382975889</v>
      </c>
      <c r="L464" s="282">
        <f t="shared" si="228"/>
        <v>1.5345029564527302</v>
      </c>
      <c r="M464" s="270">
        <f t="shared" si="229"/>
        <v>1.6651916801302573</v>
      </c>
      <c r="N464" s="273">
        <f t="shared" si="230"/>
        <v>0.92663072049914463</v>
      </c>
      <c r="O464" s="270">
        <f t="shared" si="231"/>
        <v>14426.817801412446</v>
      </c>
      <c r="P464" s="273">
        <f t="shared" si="232"/>
        <v>1.5707270114396625</v>
      </c>
      <c r="Q464" s="271">
        <f t="shared" si="233"/>
        <v>1.1202433509502201</v>
      </c>
      <c r="R464" s="272">
        <f t="shared" si="234"/>
        <v>0.46757661465044775</v>
      </c>
      <c r="S464" s="270">
        <f t="shared" si="235"/>
        <v>1.0000066721347871</v>
      </c>
      <c r="T464" s="273">
        <f t="shared" si="236"/>
        <v>3.6529707607839668E-3</v>
      </c>
      <c r="U464" s="274">
        <f t="shared" si="237"/>
        <v>1.0614119355716156</v>
      </c>
      <c r="V464" s="275">
        <f t="shared" si="238"/>
        <v>0.50046588034710526</v>
      </c>
      <c r="W464" s="276">
        <f t="shared" si="239"/>
        <v>-26.242084911320745</v>
      </c>
      <c r="X464" s="277">
        <f t="shared" si="248"/>
        <v>164.53334248404764</v>
      </c>
      <c r="Y464" s="299">
        <f t="shared" si="247"/>
        <v>-15.466657515952363</v>
      </c>
      <c r="AB464" s="278">
        <f t="shared" si="240"/>
        <v>-5.3400154226586043</v>
      </c>
      <c r="AC464" s="279">
        <f t="shared" si="241"/>
        <v>-55.171174387912451</v>
      </c>
      <c r="AF464" s="278">
        <f t="shared" si="242"/>
        <v>40.901463118319619</v>
      </c>
      <c r="AG464" s="279">
        <f t="shared" si="243"/>
        <v>-140.29548312803996</v>
      </c>
      <c r="AI464">
        <f t="shared" si="244"/>
        <v>0</v>
      </c>
      <c r="AJ464">
        <f t="shared" si="218"/>
        <v>0</v>
      </c>
      <c r="AK464">
        <f t="shared" si="245"/>
        <v>0</v>
      </c>
      <c r="AL464">
        <f t="shared" si="246"/>
        <v>0</v>
      </c>
      <c r="AM464"/>
      <c r="AN464"/>
    </row>
    <row r="465" spans="2:40" x14ac:dyDescent="0.2">
      <c r="B465" s="280">
        <v>52481</v>
      </c>
      <c r="C465" s="270">
        <f t="shared" si="219"/>
        <v>42.878882591400512</v>
      </c>
      <c r="D465" s="271">
        <f t="shared" si="220"/>
        <v>1.5474727089554117</v>
      </c>
      <c r="E465" s="271">
        <f t="shared" si="221"/>
        <v>1.0036684683146864</v>
      </c>
      <c r="F465" s="272">
        <f t="shared" si="222"/>
        <v>8.5525301441126411E-2</v>
      </c>
      <c r="G465" s="271">
        <f t="shared" si="223"/>
        <v>1.1322828232682804</v>
      </c>
      <c r="H465" s="272">
        <f t="shared" si="224"/>
        <v>-0.48821489037391169</v>
      </c>
      <c r="I465" s="270">
        <f t="shared" si="225"/>
        <v>184686.49376135966</v>
      </c>
      <c r="J465" s="273">
        <f t="shared" si="226"/>
        <v>1.5707909122137886</v>
      </c>
      <c r="K465" s="281">
        <f t="shared" si="227"/>
        <v>27.716864673709065</v>
      </c>
      <c r="L465" s="282">
        <f t="shared" si="228"/>
        <v>1.534709377949802</v>
      </c>
      <c r="M465" s="270">
        <f t="shared" si="229"/>
        <v>1.6712932644323288</v>
      </c>
      <c r="N465" s="273">
        <f t="shared" si="230"/>
        <v>0.92936981104804561</v>
      </c>
      <c r="O465" s="270">
        <f t="shared" si="231"/>
        <v>14509.413162814513</v>
      </c>
      <c r="P465" s="273">
        <f t="shared" si="232"/>
        <v>1.5707274060198404</v>
      </c>
      <c r="Q465" s="271">
        <f t="shared" si="233"/>
        <v>1.1215492448050806</v>
      </c>
      <c r="R465" s="272">
        <f t="shared" si="234"/>
        <v>0.46987741091788404</v>
      </c>
      <c r="S465" s="270">
        <f t="shared" si="235"/>
        <v>1.0000067487508575</v>
      </c>
      <c r="T465" s="273">
        <f t="shared" si="236"/>
        <v>3.6738842940775385E-3</v>
      </c>
      <c r="U465" s="274">
        <f t="shared" si="237"/>
        <v>1.0621223611462833</v>
      </c>
      <c r="V465" s="275">
        <f t="shared" si="238"/>
        <v>0.50323118378607479</v>
      </c>
      <c r="W465" s="276">
        <f t="shared" si="239"/>
        <v>-26.318068413359278</v>
      </c>
      <c r="X465" s="277">
        <f t="shared" si="248"/>
        <v>164.11462060355063</v>
      </c>
      <c r="Y465" s="299">
        <f t="shared" si="247"/>
        <v>-15.885379396449366</v>
      </c>
      <c r="AB465" s="278">
        <f t="shared" si="240"/>
        <v>-5.3718489497777835</v>
      </c>
      <c r="AC465" s="279">
        <f t="shared" si="241"/>
        <v>-55.316287411606901</v>
      </c>
      <c r="AF465" s="278">
        <f t="shared" si="242"/>
        <v>40.857313143400269</v>
      </c>
      <c r="AG465" s="279">
        <f t="shared" si="243"/>
        <v>-140.56909198484246</v>
      </c>
      <c r="AI465">
        <f t="shared" si="244"/>
        <v>0</v>
      </c>
      <c r="AJ465">
        <f t="shared" si="218"/>
        <v>0</v>
      </c>
      <c r="AK465">
        <f t="shared" si="245"/>
        <v>0</v>
      </c>
      <c r="AL465">
        <f t="shared" si="246"/>
        <v>0</v>
      </c>
      <c r="AM465"/>
      <c r="AN465"/>
    </row>
    <row r="466" spans="2:40" x14ac:dyDescent="0.2">
      <c r="B466" s="280">
        <v>52786.5</v>
      </c>
      <c r="C466" s="270">
        <f t="shared" si="219"/>
        <v>43.128351818707721</v>
      </c>
      <c r="D466" s="271">
        <f t="shared" si="220"/>
        <v>1.5476076450435838</v>
      </c>
      <c r="E466" s="271">
        <f t="shared" si="221"/>
        <v>1.0037112228735878</v>
      </c>
      <c r="F466" s="272">
        <f t="shared" si="222"/>
        <v>8.6020712147693787E-2</v>
      </c>
      <c r="G466" s="271">
        <f t="shared" si="223"/>
        <v>1.133736226185122</v>
      </c>
      <c r="H466" s="272">
        <f t="shared" si="224"/>
        <v>-0.49062322439994649</v>
      </c>
      <c r="I466" s="270">
        <f t="shared" si="225"/>
        <v>185761.5823427976</v>
      </c>
      <c r="J466" s="273">
        <f t="shared" si="226"/>
        <v>1.5707909435504852</v>
      </c>
      <c r="K466" s="281">
        <f t="shared" si="227"/>
        <v>27.877999405165095</v>
      </c>
      <c r="L466" s="282">
        <f t="shared" si="228"/>
        <v>1.534918050184146</v>
      </c>
      <c r="M466" s="270">
        <f t="shared" si="229"/>
        <v>1.6775455805835005</v>
      </c>
      <c r="N466" s="273">
        <f t="shared" si="230"/>
        <v>0.9321501619430026</v>
      </c>
      <c r="O466" s="270">
        <f t="shared" si="231"/>
        <v>14593.874695564375</v>
      </c>
      <c r="P466" s="273">
        <f t="shared" si="232"/>
        <v>1.5707278048963849</v>
      </c>
      <c r="Q466" s="271">
        <f t="shared" si="233"/>
        <v>1.122890769585063</v>
      </c>
      <c r="R466" s="272">
        <f t="shared" si="234"/>
        <v>0.47222464468053732</v>
      </c>
      <c r="S466" s="270">
        <f t="shared" si="235"/>
        <v>1.0000068275503162</v>
      </c>
      <c r="T466" s="273">
        <f t="shared" si="236"/>
        <v>3.6952703473938607E-3</v>
      </c>
      <c r="U466" s="274">
        <f t="shared" si="237"/>
        <v>1.0628531488619395</v>
      </c>
      <c r="V466" s="275">
        <f t="shared" si="238"/>
        <v>0.50605724770287319</v>
      </c>
      <c r="W466" s="276">
        <f t="shared" si="239"/>
        <v>-26.395417167725927</v>
      </c>
      <c r="X466" s="277">
        <f t="shared" si="248"/>
        <v>163.68801723841253</v>
      </c>
      <c r="Y466" s="299">
        <f t="shared" si="247"/>
        <v>-16.311982761587473</v>
      </c>
      <c r="AB466" s="278">
        <f t="shared" si="240"/>
        <v>-5.4043475226754651</v>
      </c>
      <c r="AC466" s="279">
        <f t="shared" si="241"/>
        <v>-55.463635540584335</v>
      </c>
      <c r="AF466" s="278">
        <f t="shared" si="242"/>
        <v>40.812462961931296</v>
      </c>
      <c r="AG466" s="279">
        <f t="shared" si="243"/>
        <v>-140.84834722100314</v>
      </c>
      <c r="AI466">
        <f t="shared" si="244"/>
        <v>0</v>
      </c>
      <c r="AJ466">
        <f t="shared" si="218"/>
        <v>0</v>
      </c>
      <c r="AK466">
        <f t="shared" si="245"/>
        <v>0</v>
      </c>
      <c r="AL466">
        <f t="shared" si="246"/>
        <v>0</v>
      </c>
      <c r="AM466"/>
      <c r="AN466"/>
    </row>
    <row r="467" spans="2:40" x14ac:dyDescent="0.2">
      <c r="B467" s="280">
        <v>53092</v>
      </c>
      <c r="C467" s="270">
        <f t="shared" si="219"/>
        <v>43.37782182225277</v>
      </c>
      <c r="D467" s="271">
        <f t="shared" si="220"/>
        <v>1.547741029073455</v>
      </c>
      <c r="E467" s="271">
        <f t="shared" si="221"/>
        <v>1.0037542237540884</v>
      </c>
      <c r="F467" s="272">
        <f t="shared" si="222"/>
        <v>8.6516080528993386E-2</v>
      </c>
      <c r="G467" s="271">
        <f t="shared" si="223"/>
        <v>1.1351961879943722</v>
      </c>
      <c r="H467" s="272">
        <f t="shared" si="224"/>
        <v>-0.49302537767151156</v>
      </c>
      <c r="I467" s="270">
        <f t="shared" si="225"/>
        <v>186836.67092423575</v>
      </c>
      <c r="J467" s="273">
        <f t="shared" si="226"/>
        <v>1.5707909745265487</v>
      </c>
      <c r="K467" s="281">
        <f t="shared" si="227"/>
        <v>28.039135336591237</v>
      </c>
      <c r="L467" s="282">
        <f t="shared" si="228"/>
        <v>1.5351243240228389</v>
      </c>
      <c r="M467" s="270">
        <f t="shared" si="229"/>
        <v>1.6838107683872463</v>
      </c>
      <c r="N467" s="273">
        <f t="shared" si="230"/>
        <v>0.93490984356641205</v>
      </c>
      <c r="O467" s="270">
        <f t="shared" si="231"/>
        <v>14678.33622831653</v>
      </c>
      <c r="P467" s="273">
        <f t="shared" si="232"/>
        <v>1.5707281991825284</v>
      </c>
      <c r="Q467" s="271">
        <f t="shared" si="233"/>
        <v>1.124238466154442</v>
      </c>
      <c r="R467" s="272">
        <f t="shared" si="234"/>
        <v>0.4745662637601073</v>
      </c>
      <c r="S467" s="270">
        <f t="shared" si="235"/>
        <v>1.0000069068071411</v>
      </c>
      <c r="T467" s="273">
        <f t="shared" si="236"/>
        <v>3.7166563973300057E-3</v>
      </c>
      <c r="U467" s="274">
        <f t="shared" si="237"/>
        <v>1.0635882972148296</v>
      </c>
      <c r="V467" s="275">
        <f t="shared" si="238"/>
        <v>0.50888156467489454</v>
      </c>
      <c r="W467" s="276">
        <f t="shared" si="239"/>
        <v>-26.472413553344701</v>
      </c>
      <c r="X467" s="277">
        <f t="shared" si="248"/>
        <v>163.26300146305312</v>
      </c>
      <c r="Y467" s="299">
        <f t="shared" si="247"/>
        <v>-16.736998536946885</v>
      </c>
      <c r="AB467" s="278">
        <f t="shared" si="240"/>
        <v>-5.4367907153099981</v>
      </c>
      <c r="AC467" s="279">
        <f t="shared" si="241"/>
        <v>-55.609936804822141</v>
      </c>
      <c r="AF467" s="278">
        <f t="shared" si="242"/>
        <v>40.767909768947064</v>
      </c>
      <c r="AG467" s="279">
        <f t="shared" si="243"/>
        <v>-141.1270617321247</v>
      </c>
      <c r="AI467">
        <f t="shared" si="244"/>
        <v>0</v>
      </c>
      <c r="AJ467">
        <f t="shared" si="218"/>
        <v>0</v>
      </c>
      <c r="AK467">
        <f t="shared" si="245"/>
        <v>0</v>
      </c>
      <c r="AL467">
        <f t="shared" si="246"/>
        <v>0</v>
      </c>
      <c r="AM467"/>
      <c r="AN467"/>
    </row>
    <row r="468" spans="2:40" x14ac:dyDescent="0.2">
      <c r="B468" s="280">
        <v>53397.5</v>
      </c>
      <c r="C468" s="270">
        <f t="shared" si="219"/>
        <v>43.627292588719598</v>
      </c>
      <c r="D468" s="271">
        <f t="shared" si="220"/>
        <v>1.5478728876653032</v>
      </c>
      <c r="E468" s="271">
        <f t="shared" si="221"/>
        <v>1.0037974709245323</v>
      </c>
      <c r="F468" s="272">
        <f t="shared" si="222"/>
        <v>8.7011406347363596E-2</v>
      </c>
      <c r="G468" s="271">
        <f t="shared" si="223"/>
        <v>1.1366626834227482</v>
      </c>
      <c r="H468" s="272">
        <f t="shared" si="224"/>
        <v>-0.49542134633580537</v>
      </c>
      <c r="I468" s="270">
        <f t="shared" si="225"/>
        <v>187911.7595056741</v>
      </c>
      <c r="J468" s="273">
        <f t="shared" si="226"/>
        <v>1.5707910051481693</v>
      </c>
      <c r="K468" s="281">
        <f t="shared" si="227"/>
        <v>28.200272447417657</v>
      </c>
      <c r="L468" s="282">
        <f t="shared" si="228"/>
        <v>1.5353282405616659</v>
      </c>
      <c r="M468" s="270">
        <f t="shared" si="229"/>
        <v>1.6900886846972598</v>
      </c>
      <c r="N468" s="273">
        <f t="shared" si="230"/>
        <v>0.93764904398008675</v>
      </c>
      <c r="O468" s="270">
        <f t="shared" si="231"/>
        <v>14762.797761070942</v>
      </c>
      <c r="P468" s="273">
        <f t="shared" si="232"/>
        <v>1.5707285889570592</v>
      </c>
      <c r="Q468" s="271">
        <f t="shared" si="233"/>
        <v>1.1255923123443579</v>
      </c>
      <c r="R468" s="272">
        <f t="shared" si="234"/>
        <v>0.47690226269149355</v>
      </c>
      <c r="S468" s="270">
        <f t="shared" si="235"/>
        <v>1.0000069865213321</v>
      </c>
      <c r="T468" s="273">
        <f t="shared" si="236"/>
        <v>3.7380424438664128E-3</v>
      </c>
      <c r="U468" s="274">
        <f t="shared" si="237"/>
        <v>1.064327808020946</v>
      </c>
      <c r="V468" s="275">
        <f t="shared" si="238"/>
        <v>0.51170412610594318</v>
      </c>
      <c r="W468" s="276">
        <f t="shared" si="239"/>
        <v>-26.549060641193172</v>
      </c>
      <c r="X468" s="277">
        <f t="shared" si="248"/>
        <v>162.83956403101308</v>
      </c>
      <c r="Y468" s="299">
        <f t="shared" si="247"/>
        <v>-17.160435968986917</v>
      </c>
      <c r="AB468" s="278">
        <f t="shared" si="240"/>
        <v>-5.4691779735509876</v>
      </c>
      <c r="AC468" s="279">
        <f t="shared" si="241"/>
        <v>-55.755199625208114</v>
      </c>
      <c r="AF468" s="278">
        <f t="shared" si="242"/>
        <v>40.72364993933958</v>
      </c>
      <c r="AG468" s="279">
        <f t="shared" si="243"/>
        <v>-141.40523634377877</v>
      </c>
      <c r="AI468">
        <f t="shared" si="244"/>
        <v>0</v>
      </c>
      <c r="AJ468">
        <f t="shared" si="218"/>
        <v>0</v>
      </c>
      <c r="AK468">
        <f t="shared" si="245"/>
        <v>0</v>
      </c>
      <c r="AL468">
        <f t="shared" si="246"/>
        <v>0</v>
      </c>
      <c r="AM468"/>
      <c r="AN468"/>
    </row>
    <row r="469" spans="2:40" x14ac:dyDescent="0.2">
      <c r="B469" s="280">
        <v>53703</v>
      </c>
      <c r="C469" s="270">
        <f t="shared" si="219"/>
        <v>43.876764105094949</v>
      </c>
      <c r="D469" s="271">
        <f t="shared" si="220"/>
        <v>1.548003246834198</v>
      </c>
      <c r="E469" s="271">
        <f t="shared" si="221"/>
        <v>1.0038409643530875</v>
      </c>
      <c r="F469" s="272">
        <f t="shared" si="222"/>
        <v>8.750668936526719E-2</v>
      </c>
      <c r="G469" s="271">
        <f t="shared" si="223"/>
        <v>1.1381356872144153</v>
      </c>
      <c r="H469" s="272">
        <f t="shared" si="224"/>
        <v>-0.49781112684386797</v>
      </c>
      <c r="I469" s="270">
        <f t="shared" si="225"/>
        <v>188986.84808711259</v>
      </c>
      <c r="J469" s="273">
        <f t="shared" si="226"/>
        <v>1.5707910354213956</v>
      </c>
      <c r="K469" s="281">
        <f t="shared" si="227"/>
        <v>28.361410717541855</v>
      </c>
      <c r="L469" s="282">
        <f t="shared" si="228"/>
        <v>1.5355298399632469</v>
      </c>
      <c r="M469" s="270">
        <f t="shared" si="229"/>
        <v>1.6963791881975652</v>
      </c>
      <c r="N469" s="273">
        <f t="shared" si="230"/>
        <v>0.94036794969424242</v>
      </c>
      <c r="O469" s="270">
        <f t="shared" si="231"/>
        <v>14847.259293827572</v>
      </c>
      <c r="P469" s="273">
        <f t="shared" si="232"/>
        <v>1.5707289742969732</v>
      </c>
      <c r="Q469" s="271">
        <f t="shared" si="233"/>
        <v>1.1269522859915646</v>
      </c>
      <c r="R469" s="272">
        <f t="shared" si="234"/>
        <v>0.47923263628114338</v>
      </c>
      <c r="S469" s="270">
        <f t="shared" si="235"/>
        <v>1.0000070666928893</v>
      </c>
      <c r="T469" s="273">
        <f t="shared" si="236"/>
        <v>3.7594284869835195E-3</v>
      </c>
      <c r="U469" s="274">
        <f t="shared" si="237"/>
        <v>1.0650716831002276</v>
      </c>
      <c r="V469" s="275">
        <f t="shared" si="238"/>
        <v>0.51452492342596856</v>
      </c>
      <c r="W469" s="276">
        <f t="shared" si="239"/>
        <v>-26.625361463101726</v>
      </c>
      <c r="X469" s="277">
        <f t="shared" si="248"/>
        <v>162.41769574705083</v>
      </c>
      <c r="Y469" s="299">
        <f t="shared" si="247"/>
        <v>-17.582304252949172</v>
      </c>
      <c r="AB469" s="278">
        <f t="shared" si="240"/>
        <v>-5.5015087623284495</v>
      </c>
      <c r="AC469" s="279">
        <f t="shared" si="241"/>
        <v>-55.899432387188391</v>
      </c>
      <c r="AF469" s="278">
        <f t="shared" si="242"/>
        <v>40.679679906208477</v>
      </c>
      <c r="AG469" s="279">
        <f t="shared" si="243"/>
        <v>-141.6828718657608</v>
      </c>
      <c r="AI469">
        <f t="shared" si="244"/>
        <v>0</v>
      </c>
      <c r="AJ469">
        <f t="shared" si="218"/>
        <v>0</v>
      </c>
      <c r="AK469">
        <f t="shared" si="245"/>
        <v>0</v>
      </c>
      <c r="AL469">
        <f t="shared" si="246"/>
        <v>0</v>
      </c>
      <c r="AM469"/>
      <c r="AN469"/>
    </row>
    <row r="470" spans="2:40" x14ac:dyDescent="0.2">
      <c r="B470" s="280">
        <v>54015.75</v>
      </c>
      <c r="C470" s="270">
        <f t="shared" si="219"/>
        <v>44.132156740141873</v>
      </c>
      <c r="D470" s="271">
        <f t="shared" si="220"/>
        <v>1.5481351729564634</v>
      </c>
      <c r="E470" s="271">
        <f t="shared" si="221"/>
        <v>1.0038857450099317</v>
      </c>
      <c r="F470" s="272">
        <f t="shared" si="222"/>
        <v>8.8013681651499309E-2</v>
      </c>
      <c r="G470" s="271">
        <f t="shared" si="223"/>
        <v>1.139650363252027</v>
      </c>
      <c r="H470" s="272">
        <f t="shared" si="224"/>
        <v>-0.50025120706714998</v>
      </c>
      <c r="I470" s="270">
        <f t="shared" si="225"/>
        <v>190087.45022735791</v>
      </c>
      <c r="J470" s="273">
        <f t="shared" si="226"/>
        <v>1.5707910660583313</v>
      </c>
      <c r="K470" s="281">
        <f t="shared" si="227"/>
        <v>28.526374235013584</v>
      </c>
      <c r="L470" s="282">
        <f t="shared" si="228"/>
        <v>1.5357338643453462</v>
      </c>
      <c r="M470" s="270">
        <f t="shared" si="229"/>
        <v>1.7028318684918513</v>
      </c>
      <c r="N470" s="273">
        <f t="shared" si="230"/>
        <v>0.94313054960397225</v>
      </c>
      <c r="O470" s="270">
        <f t="shared" si="231"/>
        <v>14933.725232846642</v>
      </c>
      <c r="P470" s="273">
        <f t="shared" si="232"/>
        <v>1.5707293642664482</v>
      </c>
      <c r="Q470" s="271">
        <f t="shared" si="233"/>
        <v>1.1283508581437207</v>
      </c>
      <c r="R470" s="272">
        <f t="shared" si="234"/>
        <v>0.4816124810229076</v>
      </c>
      <c r="S470" s="270">
        <f t="shared" si="235"/>
        <v>1.0000071492408205</v>
      </c>
      <c r="T470" s="273">
        <f t="shared" si="236"/>
        <v>3.7813220512930468E-3</v>
      </c>
      <c r="U470" s="274">
        <f t="shared" si="237"/>
        <v>1.0658377342791039</v>
      </c>
      <c r="V470" s="275">
        <f t="shared" si="238"/>
        <v>0.51741082641891167</v>
      </c>
      <c r="W470" s="276">
        <f t="shared" si="239"/>
        <v>-26.703117460277998</v>
      </c>
      <c r="X470" s="277">
        <f t="shared" si="248"/>
        <v>161.98743176057124</v>
      </c>
      <c r="Y470" s="299">
        <f t="shared" si="247"/>
        <v>-18.012568239428759</v>
      </c>
      <c r="AB470" s="278">
        <f t="shared" si="240"/>
        <v>-5.5345477774495535</v>
      </c>
      <c r="AC470" s="279">
        <f t="shared" si="241"/>
        <v>-56.046029721854197</v>
      </c>
      <c r="AF470" s="278">
        <f t="shared" si="242"/>
        <v>40.634962924153314</v>
      </c>
      <c r="AG470" s="279">
        <f t="shared" si="243"/>
        <v>-141.96653851757458</v>
      </c>
      <c r="AI470">
        <f t="shared" si="244"/>
        <v>0</v>
      </c>
      <c r="AJ470">
        <f t="shared" si="218"/>
        <v>0</v>
      </c>
      <c r="AK470">
        <f t="shared" si="245"/>
        <v>0</v>
      </c>
      <c r="AL470">
        <f t="shared" si="246"/>
        <v>0</v>
      </c>
      <c r="AM470"/>
      <c r="AN470"/>
    </row>
    <row r="471" spans="2:40" x14ac:dyDescent="0.2">
      <c r="B471" s="280">
        <v>54328.5</v>
      </c>
      <c r="C471" s="270">
        <f t="shared" si="219"/>
        <v>44.387550134448176</v>
      </c>
      <c r="D471" s="271">
        <f t="shared" si="220"/>
        <v>1.5482655809498762</v>
      </c>
      <c r="E471" s="271">
        <f t="shared" si="221"/>
        <v>1.0039307836836924</v>
      </c>
      <c r="F471" s="272">
        <f t="shared" si="222"/>
        <v>8.8520628578317814E-2</v>
      </c>
      <c r="G471" s="271">
        <f t="shared" si="223"/>
        <v>1.1411718067219894</v>
      </c>
      <c r="H471" s="272">
        <f t="shared" si="224"/>
        <v>-0.50268479537592203</v>
      </c>
      <c r="I471" s="270">
        <f t="shared" si="225"/>
        <v>191188.05236760338</v>
      </c>
      <c r="J471" s="273">
        <f t="shared" si="226"/>
        <v>1.5707910963425351</v>
      </c>
      <c r="K471" s="281">
        <f t="shared" si="227"/>
        <v>28.691338926268109</v>
      </c>
      <c r="L471" s="282">
        <f t="shared" si="228"/>
        <v>1.5359355426048049</v>
      </c>
      <c r="M471" s="270">
        <f t="shared" si="229"/>
        <v>1.7092974465496649</v>
      </c>
      <c r="N471" s="273">
        <f t="shared" si="230"/>
        <v>0.94587227071979008</v>
      </c>
      <c r="O471" s="270">
        <f t="shared" si="231"/>
        <v>15020.191171867957</v>
      </c>
      <c r="P471" s="273">
        <f t="shared" si="232"/>
        <v>1.5707297497460897</v>
      </c>
      <c r="Q471" s="271">
        <f t="shared" si="233"/>
        <v>1.1297558050491616</v>
      </c>
      <c r="R471" s="272">
        <f t="shared" si="234"/>
        <v>0.48398642010558435</v>
      </c>
      <c r="S471" s="270">
        <f t="shared" si="235"/>
        <v>1.0000072322680835</v>
      </c>
      <c r="T471" s="273">
        <f t="shared" si="236"/>
        <v>3.8032156119775697E-3</v>
      </c>
      <c r="U471" s="274">
        <f t="shared" si="237"/>
        <v>1.0666083632035561</v>
      </c>
      <c r="V471" s="275">
        <f t="shared" si="238"/>
        <v>0.5202948624851077</v>
      </c>
      <c r="W471" s="276">
        <f t="shared" si="239"/>
        <v>-26.780516869860143</v>
      </c>
      <c r="X471" s="277">
        <f t="shared" si="248"/>
        <v>161.55879294794744</v>
      </c>
      <c r="Y471" s="299">
        <f t="shared" si="247"/>
        <v>-18.441207052052562</v>
      </c>
      <c r="AB471" s="278">
        <f t="shared" si="240"/>
        <v>-5.5675265356593329</v>
      </c>
      <c r="AC471" s="279">
        <f t="shared" si="241"/>
        <v>-56.191565192462996</v>
      </c>
      <c r="AF471" s="278">
        <f t="shared" si="242"/>
        <v>40.590542272780951</v>
      </c>
      <c r="AG471" s="279">
        <f t="shared" si="243"/>
        <v>-142.24964185958962</v>
      </c>
      <c r="AI471">
        <f t="shared" si="244"/>
        <v>0</v>
      </c>
      <c r="AJ471">
        <f t="shared" si="218"/>
        <v>0</v>
      </c>
      <c r="AK471">
        <f t="shared" si="245"/>
        <v>0</v>
      </c>
      <c r="AL471">
        <f t="shared" si="246"/>
        <v>0</v>
      </c>
      <c r="AM471"/>
      <c r="AN471"/>
    </row>
    <row r="472" spans="2:40" x14ac:dyDescent="0.2">
      <c r="B472" s="280">
        <v>54641.25</v>
      </c>
      <c r="C472" s="270">
        <f t="shared" si="219"/>
        <v>44.642944274983137</v>
      </c>
      <c r="D472" s="271">
        <f t="shared" si="220"/>
        <v>1.5483944968647776</v>
      </c>
      <c r="E472" s="271">
        <f t="shared" si="221"/>
        <v>1.0039760803396449</v>
      </c>
      <c r="F472" s="272">
        <f t="shared" si="222"/>
        <v>8.9027529891278975E-2</v>
      </c>
      <c r="G472" s="271">
        <f t="shared" si="223"/>
        <v>1.1426999905928883</v>
      </c>
      <c r="H472" s="272">
        <f t="shared" si="224"/>
        <v>-0.5051118889335815</v>
      </c>
      <c r="I472" s="270">
        <f t="shared" si="225"/>
        <v>192288.65450784907</v>
      </c>
      <c r="J472" s="273">
        <f t="shared" si="226"/>
        <v>1.5707911262800636</v>
      </c>
      <c r="K472" s="281">
        <f t="shared" si="227"/>
        <v>28.856304771174706</v>
      </c>
      <c r="L472" s="282">
        <f t="shared" si="228"/>
        <v>1.5361349149620462</v>
      </c>
      <c r="M472" s="270">
        <f t="shared" si="229"/>
        <v>1.7157757765626303</v>
      </c>
      <c r="N472" s="273">
        <f t="shared" si="230"/>
        <v>0.94859330808748465</v>
      </c>
      <c r="O472" s="270">
        <f t="shared" si="231"/>
        <v>15106.657110891476</v>
      </c>
      <c r="P472" s="273">
        <f t="shared" si="232"/>
        <v>1.5707301308129935</v>
      </c>
      <c r="Q472" s="271">
        <f t="shared" si="233"/>
        <v>1.1311671029549246</v>
      </c>
      <c r="R472" s="272">
        <f t="shared" si="234"/>
        <v>0.48635444882707884</v>
      </c>
      <c r="S472" s="270">
        <f t="shared" si="235"/>
        <v>1.0000073157746776</v>
      </c>
      <c r="T472" s="273">
        <f t="shared" si="236"/>
        <v>3.8251091690160994E-3</v>
      </c>
      <c r="U472" s="274">
        <f t="shared" si="237"/>
        <v>1.0673835718384661</v>
      </c>
      <c r="V472" s="275">
        <f t="shared" si="238"/>
        <v>0.5231770225158251</v>
      </c>
      <c r="W472" s="276">
        <f t="shared" si="239"/>
        <v>-26.857562822681018</v>
      </c>
      <c r="X472" s="277">
        <f t="shared" si="248"/>
        <v>161.13176961525627</v>
      </c>
      <c r="Y472" s="299">
        <f t="shared" si="247"/>
        <v>-18.868230384743725</v>
      </c>
      <c r="AB472" s="278">
        <f t="shared" si="240"/>
        <v>-5.6004445222645654</v>
      </c>
      <c r="AC472" s="279">
        <f t="shared" si="241"/>
        <v>-56.3360476702018</v>
      </c>
      <c r="AF472" s="278">
        <f t="shared" si="242"/>
        <v>40.54641430656531</v>
      </c>
      <c r="AG472" s="279">
        <f t="shared" si="243"/>
        <v>-142.5321827145419</v>
      </c>
      <c r="AI472">
        <f t="shared" si="244"/>
        <v>0</v>
      </c>
      <c r="AJ472">
        <f t="shared" si="218"/>
        <v>0</v>
      </c>
      <c r="AK472">
        <f t="shared" si="245"/>
        <v>0</v>
      </c>
      <c r="AL472">
        <f t="shared" si="246"/>
        <v>0</v>
      </c>
      <c r="AM472"/>
      <c r="AN472"/>
    </row>
    <row r="473" spans="2:40" x14ac:dyDescent="0.2">
      <c r="B473" s="280">
        <v>54954</v>
      </c>
      <c r="C473" s="270">
        <f t="shared" si="219"/>
        <v>44.8983391490125</v>
      </c>
      <c r="D473" s="271">
        <f t="shared" si="220"/>
        <v>1.548521946158981</v>
      </c>
      <c r="E473" s="271">
        <f t="shared" si="221"/>
        <v>1.0040216349428726</v>
      </c>
      <c r="F473" s="272">
        <f t="shared" si="222"/>
        <v>8.9534385336078631E-2</v>
      </c>
      <c r="G473" s="271">
        <f t="shared" si="223"/>
        <v>1.1442348878582798</v>
      </c>
      <c r="H473" s="272">
        <f t="shared" si="224"/>
        <v>-0.50753248522471728</v>
      </c>
      <c r="I473" s="270">
        <f t="shared" si="225"/>
        <v>193389.25664809489</v>
      </c>
      <c r="J473" s="273">
        <f t="shared" si="226"/>
        <v>1.5707911558768357</v>
      </c>
      <c r="K473" s="281">
        <f t="shared" si="227"/>
        <v>29.021271750060237</v>
      </c>
      <c r="L473" s="282">
        <f t="shared" si="228"/>
        <v>1.5363320207237285</v>
      </c>
      <c r="M473" s="270">
        <f t="shared" si="229"/>
        <v>1.7222667146307875</v>
      </c>
      <c r="N473" s="273">
        <f t="shared" si="230"/>
        <v>0.95129385504629238</v>
      </c>
      <c r="O473" s="270">
        <f t="shared" si="231"/>
        <v>15193.123049917163</v>
      </c>
      <c r="P473" s="273">
        <f t="shared" si="232"/>
        <v>1.5707305075424995</v>
      </c>
      <c r="Q473" s="271">
        <f t="shared" si="233"/>
        <v>1.1325847281193338</v>
      </c>
      <c r="R473" s="272">
        <f t="shared" si="234"/>
        <v>0.48871656277381997</v>
      </c>
      <c r="S473" s="270">
        <f t="shared" si="235"/>
        <v>1.0000073997606032</v>
      </c>
      <c r="T473" s="273">
        <f t="shared" si="236"/>
        <v>3.8470027223876497E-3</v>
      </c>
      <c r="U473" s="274">
        <f t="shared" si="237"/>
        <v>1.0681633621526578</v>
      </c>
      <c r="V473" s="275">
        <f t="shared" si="238"/>
        <v>0.52605729743165708</v>
      </c>
      <c r="W473" s="276">
        <f t="shared" si="239"/>
        <v>-26.934258410180391</v>
      </c>
      <c r="X473" s="277">
        <f t="shared" si="248"/>
        <v>160.70635212788051</v>
      </c>
      <c r="Y473" s="299">
        <f t="shared" si="247"/>
        <v>-19.293647872119493</v>
      </c>
      <c r="AB473" s="278">
        <f t="shared" si="240"/>
        <v>-5.6333012417116759</v>
      </c>
      <c r="AC473" s="279">
        <f t="shared" si="241"/>
        <v>-56.479485980826382</v>
      </c>
      <c r="AF473" s="278">
        <f t="shared" si="242"/>
        <v>40.502575438513034</v>
      </c>
      <c r="AG473" s="279">
        <f t="shared" si="243"/>
        <v>-142.81416189129311</v>
      </c>
      <c r="AI473">
        <f t="shared" si="244"/>
        <v>0</v>
      </c>
      <c r="AJ473">
        <f t="shared" si="218"/>
        <v>0</v>
      </c>
      <c r="AK473">
        <f t="shared" si="245"/>
        <v>0</v>
      </c>
      <c r="AL473">
        <f t="shared" si="246"/>
        <v>0</v>
      </c>
      <c r="AM473"/>
      <c r="AN473"/>
    </row>
    <row r="474" spans="2:40" x14ac:dyDescent="0.2">
      <c r="B474" s="280">
        <v>55274</v>
      </c>
      <c r="C474" s="270">
        <f t="shared" si="219"/>
        <v>45.15965519399608</v>
      </c>
      <c r="D474" s="271">
        <f t="shared" si="220"/>
        <v>1.5486508578504028</v>
      </c>
      <c r="E474" s="271">
        <f t="shared" si="221"/>
        <v>1.0040685125174291</v>
      </c>
      <c r="F474" s="272">
        <f t="shared" si="222"/>
        <v>9.005294268695653E-2</v>
      </c>
      <c r="G474" s="271">
        <f t="shared" si="223"/>
        <v>1.14581228677192</v>
      </c>
      <c r="H474" s="272">
        <f t="shared" si="224"/>
        <v>-0.51000246723296694</v>
      </c>
      <c r="I474" s="270">
        <f t="shared" si="225"/>
        <v>194515.37234714761</v>
      </c>
      <c r="J474" s="273">
        <f t="shared" si="226"/>
        <v>1.5707911858130403</v>
      </c>
      <c r="K474" s="281">
        <f t="shared" si="227"/>
        <v>29.19006405717737</v>
      </c>
      <c r="L474" s="282">
        <f t="shared" si="228"/>
        <v>1.5365313897316137</v>
      </c>
      <c r="M474" s="270">
        <f t="shared" si="229"/>
        <v>1.7289210238213455</v>
      </c>
      <c r="N474" s="273">
        <f t="shared" si="230"/>
        <v>0.9540359960730973</v>
      </c>
      <c r="O474" s="270">
        <f t="shared" si="231"/>
        <v>15281.593395205447</v>
      </c>
      <c r="P474" s="273">
        <f t="shared" si="232"/>
        <v>1.5707308885925539</v>
      </c>
      <c r="Q474" s="271">
        <f t="shared" si="233"/>
        <v>1.1340417401184484</v>
      </c>
      <c r="R474" s="272">
        <f t="shared" si="234"/>
        <v>0.49112730762125179</v>
      </c>
      <c r="S474" s="270">
        <f t="shared" si="235"/>
        <v>1.0000074861895718</v>
      </c>
      <c r="T474" s="273">
        <f t="shared" si="236"/>
        <v>3.8694037963605201E-3</v>
      </c>
      <c r="U474" s="274">
        <f t="shared" si="237"/>
        <v>1.068965973423712</v>
      </c>
      <c r="V474" s="275">
        <f t="shared" si="238"/>
        <v>0.52900238070016325</v>
      </c>
      <c r="W474" s="276">
        <f t="shared" si="239"/>
        <v>-27.012372454595962</v>
      </c>
      <c r="X474" s="277">
        <f t="shared" si="248"/>
        <v>160.27272497336077</v>
      </c>
      <c r="Y474" s="299">
        <f t="shared" si="247"/>
        <v>-19.727275026639234</v>
      </c>
      <c r="AB474" s="278">
        <f t="shared" si="240"/>
        <v>-5.6668557164435658</v>
      </c>
      <c r="AC474" s="279">
        <f t="shared" si="241"/>
        <v>-56.625177800992624</v>
      </c>
      <c r="AF474" s="278">
        <f t="shared" si="242"/>
        <v>40.458015868829364</v>
      </c>
      <c r="AG474" s="279">
        <f t="shared" si="243"/>
        <v>-143.10209722564665</v>
      </c>
      <c r="AI474">
        <f t="shared" si="244"/>
        <v>0</v>
      </c>
      <c r="AJ474">
        <f t="shared" ref="AJ474:AJ537" si="249">IF(AI474&gt;0,Y474,0)</f>
        <v>0</v>
      </c>
      <c r="AK474">
        <f t="shared" si="245"/>
        <v>0</v>
      </c>
      <c r="AL474">
        <f t="shared" si="246"/>
        <v>0</v>
      </c>
      <c r="AM474"/>
      <c r="AN474"/>
    </row>
    <row r="475" spans="2:40" x14ac:dyDescent="0.2">
      <c r="B475" s="280">
        <v>55594</v>
      </c>
      <c r="C475" s="270">
        <f t="shared" si="219"/>
        <v>45.420971980817669</v>
      </c>
      <c r="D475" s="271">
        <f t="shared" si="220"/>
        <v>1.5487782862296062</v>
      </c>
      <c r="E475" s="271">
        <f t="shared" si="221"/>
        <v>1.0041156600624894</v>
      </c>
      <c r="F475" s="272">
        <f t="shared" si="222"/>
        <v>9.0571451480259593E-2</v>
      </c>
      <c r="G475" s="271">
        <f t="shared" si="223"/>
        <v>1.1473966568248153</v>
      </c>
      <c r="H475" s="272">
        <f t="shared" si="224"/>
        <v>-0.51246564293911423</v>
      </c>
      <c r="I475" s="270">
        <f t="shared" si="225"/>
        <v>195641.48804620042</v>
      </c>
      <c r="J475" s="273">
        <f t="shared" si="226"/>
        <v>1.5707912154046184</v>
      </c>
      <c r="K475" s="281">
        <f t="shared" si="227"/>
        <v>29.358857511200014</v>
      </c>
      <c r="L475" s="282">
        <f t="shared" si="228"/>
        <v>1.5367284662749805</v>
      </c>
      <c r="M475" s="270">
        <f t="shared" si="229"/>
        <v>1.7355882336080999</v>
      </c>
      <c r="N475" s="273">
        <f t="shared" si="230"/>
        <v>0.95675708972614859</v>
      </c>
      <c r="O475" s="270">
        <f t="shared" si="231"/>
        <v>15370.063740495925</v>
      </c>
      <c r="P475" s="273">
        <f t="shared" si="232"/>
        <v>1.5707312652559473</v>
      </c>
      <c r="Q475" s="271">
        <f t="shared" si="233"/>
        <v>1.1355053258815315</v>
      </c>
      <c r="R475" s="272">
        <f t="shared" si="234"/>
        <v>0.49353185185523574</v>
      </c>
      <c r="S475" s="270">
        <f t="shared" si="235"/>
        <v>1.0000075731203524</v>
      </c>
      <c r="T475" s="273">
        <f t="shared" si="236"/>
        <v>3.8918048664499756E-3</v>
      </c>
      <c r="U475" s="274">
        <f t="shared" si="237"/>
        <v>1.0697733854384555</v>
      </c>
      <c r="V475" s="275">
        <f t="shared" si="238"/>
        <v>0.53194547130520309</v>
      </c>
      <c r="W475" s="276">
        <f t="shared" si="239"/>
        <v>-27.090126126624909</v>
      </c>
      <c r="X475" s="277">
        <f t="shared" si="248"/>
        <v>159.84075876470783</v>
      </c>
      <c r="Y475" s="299">
        <f t="shared" si="247"/>
        <v>-20.159241235292171</v>
      </c>
      <c r="AB475" s="278">
        <f t="shared" si="240"/>
        <v>-5.7003450604478481</v>
      </c>
      <c r="AC475" s="279">
        <f t="shared" si="241"/>
        <v>-56.769795024268916</v>
      </c>
      <c r="AF475" s="278">
        <f t="shared" si="242"/>
        <v>40.413751540804697</v>
      </c>
      <c r="AG475" s="279">
        <f t="shared" si="243"/>
        <v>-143.38944621102328</v>
      </c>
      <c r="AI475">
        <f t="shared" si="244"/>
        <v>0</v>
      </c>
      <c r="AJ475">
        <f t="shared" si="249"/>
        <v>0</v>
      </c>
      <c r="AK475">
        <f t="shared" si="245"/>
        <v>0</v>
      </c>
      <c r="AL475">
        <f t="shared" si="246"/>
        <v>0</v>
      </c>
      <c r="AM475"/>
      <c r="AN475"/>
    </row>
    <row r="476" spans="2:40" x14ac:dyDescent="0.2">
      <c r="B476" s="280">
        <v>55914</v>
      </c>
      <c r="C476" s="270">
        <f t="shared" si="219"/>
        <v>45.682289496746655</v>
      </c>
      <c r="D476" s="271">
        <f t="shared" si="220"/>
        <v>1.5489042567474984</v>
      </c>
      <c r="E476" s="271">
        <f t="shared" si="221"/>
        <v>1.004163077540027</v>
      </c>
      <c r="F476" s="272">
        <f t="shared" si="222"/>
        <v>9.1089911444043589E-2</v>
      </c>
      <c r="G476" s="271">
        <f t="shared" si="223"/>
        <v>1.148987969178898</v>
      </c>
      <c r="H476" s="272">
        <f t="shared" si="224"/>
        <v>-0.51492201067188015</v>
      </c>
      <c r="I476" s="270">
        <f t="shared" si="225"/>
        <v>196767.60374525344</v>
      </c>
      <c r="J476" s="273">
        <f t="shared" si="226"/>
        <v>1.570791244657487</v>
      </c>
      <c r="K476" s="281">
        <f t="shared" si="227"/>
        <v>29.527652092459469</v>
      </c>
      <c r="L476" s="282">
        <f t="shared" si="228"/>
        <v>1.5369232896529512</v>
      </c>
      <c r="M476" s="270">
        <f t="shared" si="229"/>
        <v>1.7422681958893214</v>
      </c>
      <c r="N476" s="273">
        <f t="shared" si="230"/>
        <v>0.95945733756803375</v>
      </c>
      <c r="O476" s="270">
        <f t="shared" si="231"/>
        <v>15458.534085788555</v>
      </c>
      <c r="P476" s="273">
        <f t="shared" si="232"/>
        <v>1.5707316376079952</v>
      </c>
      <c r="Q476" s="271">
        <f t="shared" si="233"/>
        <v>1.1369754600221058</v>
      </c>
      <c r="R476" s="272">
        <f t="shared" si="234"/>
        <v>0.49593019166962621</v>
      </c>
      <c r="S476" s="270">
        <f t="shared" si="235"/>
        <v>1.0000076605529447</v>
      </c>
      <c r="T476" s="273">
        <f t="shared" si="236"/>
        <v>3.9142059326335342E-3</v>
      </c>
      <c r="U476" s="274">
        <f t="shared" si="237"/>
        <v>1.0705856003180023</v>
      </c>
      <c r="V476" s="275">
        <f t="shared" si="238"/>
        <v>0.53488655961752363</v>
      </c>
      <c r="W476" s="276">
        <f t="shared" si="239"/>
        <v>-27.167522615031285</v>
      </c>
      <c r="X476" s="277">
        <f t="shared" si="248"/>
        <v>159.410443378233</v>
      </c>
      <c r="Y476" s="299">
        <f t="shared" si="247"/>
        <v>-20.589556621767002</v>
      </c>
      <c r="AB476" s="278">
        <f t="shared" si="240"/>
        <v>-5.7337688023041746</v>
      </c>
      <c r="AC476" s="279">
        <f t="shared" si="241"/>
        <v>-56.913346948005923</v>
      </c>
      <c r="AF476" s="278">
        <f t="shared" si="242"/>
        <v>40.36977879425465</v>
      </c>
      <c r="AG476" s="279">
        <f t="shared" si="243"/>
        <v>-143.67620967376109</v>
      </c>
      <c r="AI476">
        <f t="shared" si="244"/>
        <v>0</v>
      </c>
      <c r="AJ476">
        <f t="shared" si="249"/>
        <v>0</v>
      </c>
      <c r="AK476">
        <f t="shared" si="245"/>
        <v>0</v>
      </c>
      <c r="AL476">
        <f t="shared" si="246"/>
        <v>0</v>
      </c>
      <c r="AM476"/>
      <c r="AN476"/>
    </row>
    <row r="477" spans="2:40" x14ac:dyDescent="0.2">
      <c r="B477" s="280">
        <v>56234</v>
      </c>
      <c r="C477" s="270">
        <f t="shared" si="219"/>
        <v>45.943607729342006</v>
      </c>
      <c r="D477" s="271">
        <f t="shared" si="220"/>
        <v>1.5490287942761347</v>
      </c>
      <c r="E477" s="271">
        <f t="shared" si="221"/>
        <v>1.0042107649118039</v>
      </c>
      <c r="F477" s="272">
        <f t="shared" si="222"/>
        <v>9.1608322306520495E-2</v>
      </c>
      <c r="G477" s="271">
        <f t="shared" si="223"/>
        <v>1.1505861950296261</v>
      </c>
      <c r="H477" s="272">
        <f t="shared" si="224"/>
        <v>-0.51737156909782966</v>
      </c>
      <c r="I477" s="270">
        <f t="shared" si="225"/>
        <v>197893.71944430663</v>
      </c>
      <c r="J477" s="273">
        <f t="shared" si="226"/>
        <v>1.5707912735774281</v>
      </c>
      <c r="K477" s="281">
        <f t="shared" si="227"/>
        <v>29.696447781734104</v>
      </c>
      <c r="L477" s="282">
        <f t="shared" si="228"/>
        <v>1.5371158982718307</v>
      </c>
      <c r="M477" s="270">
        <f t="shared" si="229"/>
        <v>1.7489607645447878</v>
      </c>
      <c r="N477" s="273">
        <f t="shared" si="230"/>
        <v>0.96213693930093114</v>
      </c>
      <c r="O477" s="270">
        <f t="shared" si="231"/>
        <v>15547.004431083307</v>
      </c>
      <c r="P477" s="273">
        <f t="shared" si="232"/>
        <v>1.5707320057222989</v>
      </c>
      <c r="Q477" s="271">
        <f t="shared" si="233"/>
        <v>1.1384521171715329</v>
      </c>
      <c r="R477" s="272">
        <f t="shared" si="234"/>
        <v>0.49832232356339623</v>
      </c>
      <c r="S477" s="270">
        <f t="shared" si="235"/>
        <v>1.0000077484873484</v>
      </c>
      <c r="T477" s="273">
        <f t="shared" si="236"/>
        <v>3.9366069948887162E-3</v>
      </c>
      <c r="U477" s="274">
        <f t="shared" si="237"/>
        <v>1.0714026201873528</v>
      </c>
      <c r="V477" s="275">
        <f t="shared" si="238"/>
        <v>0.5378256360406829</v>
      </c>
      <c r="W477" s="276">
        <f t="shared" si="239"/>
        <v>-27.244565068929788</v>
      </c>
      <c r="X477" s="277">
        <f t="shared" si="248"/>
        <v>158.98176875763187</v>
      </c>
      <c r="Y477" s="299">
        <f t="shared" si="247"/>
        <v>-21.018231242368131</v>
      </c>
      <c r="AB477" s="278">
        <f t="shared" si="240"/>
        <v>-5.7671264896951477</v>
      </c>
      <c r="AC477" s="279">
        <f t="shared" si="241"/>
        <v>-57.055842814107841</v>
      </c>
      <c r="AF477" s="278">
        <f t="shared" si="242"/>
        <v>40.326094027747118</v>
      </c>
      <c r="AG477" s="279">
        <f t="shared" si="243"/>
        <v>-143.96238842826028</v>
      </c>
      <c r="AI477">
        <f t="shared" si="244"/>
        <v>0</v>
      </c>
      <c r="AJ477">
        <f t="shared" si="249"/>
        <v>0</v>
      </c>
      <c r="AK477">
        <f t="shared" si="245"/>
        <v>0</v>
      </c>
      <c r="AL477">
        <f t="shared" si="246"/>
        <v>0</v>
      </c>
      <c r="AM477"/>
      <c r="AN477"/>
    </row>
    <row r="478" spans="2:40" x14ac:dyDescent="0.2">
      <c r="B478" s="280">
        <v>56561.5</v>
      </c>
      <c r="C478" s="270">
        <f t="shared" si="219"/>
        <v>46.2110513373852</v>
      </c>
      <c r="D478" s="271">
        <f t="shared" si="220"/>
        <v>1.549154792255893</v>
      </c>
      <c r="E478" s="271">
        <f t="shared" si="221"/>
        <v>1.0042598493730723</v>
      </c>
      <c r="F478" s="272">
        <f t="shared" si="222"/>
        <v>9.2138832299124257E-2</v>
      </c>
      <c r="G478" s="271">
        <f t="shared" si="223"/>
        <v>1.1522290077254909</v>
      </c>
      <c r="H478" s="272">
        <f t="shared" si="224"/>
        <v>-0.51987148744199752</v>
      </c>
      <c r="I478" s="270">
        <f t="shared" si="225"/>
        <v>199046.22848005654</v>
      </c>
      <c r="J478" s="273">
        <f t="shared" si="226"/>
        <v>1.5707913028363538</v>
      </c>
      <c r="K478" s="281">
        <f t="shared" si="227"/>
        <v>29.869200747647028</v>
      </c>
      <c r="L478" s="282">
        <f t="shared" si="228"/>
        <v>1.5373107670923951</v>
      </c>
      <c r="M478" s="270">
        <f t="shared" si="229"/>
        <v>1.7558230928794814</v>
      </c>
      <c r="N478" s="273">
        <f t="shared" si="230"/>
        <v>0.96485817302507992</v>
      </c>
      <c r="O478" s="270">
        <f t="shared" si="231"/>
        <v>15637.548300098058</v>
      </c>
      <c r="P478" s="273">
        <f t="shared" si="232"/>
        <v>1.5707323781514462</v>
      </c>
      <c r="Q478" s="271">
        <f t="shared" si="233"/>
        <v>1.1399701111453313</v>
      </c>
      <c r="R478" s="272">
        <f t="shared" si="234"/>
        <v>0.50076408983942489</v>
      </c>
      <c r="S478" s="270">
        <f t="shared" si="235"/>
        <v>1.0000078390023055</v>
      </c>
      <c r="T478" s="273">
        <f t="shared" si="236"/>
        <v>3.9595330779494814E-3</v>
      </c>
      <c r="U478" s="274">
        <f t="shared" si="237"/>
        <v>1.0722437664162894</v>
      </c>
      <c r="V478" s="275">
        <f t="shared" si="238"/>
        <v>0.54083150391582357</v>
      </c>
      <c r="W478" s="276">
        <f t="shared" si="239"/>
        <v>-27.323049872480055</v>
      </c>
      <c r="X478" s="277">
        <f t="shared" si="248"/>
        <v>158.54473555256428</v>
      </c>
      <c r="Y478" s="299">
        <f t="shared" si="247"/>
        <v>-21.455264447435724</v>
      </c>
      <c r="AB478" s="278">
        <f t="shared" si="240"/>
        <v>-5.8011971506214692</v>
      </c>
      <c r="AC478" s="279">
        <f t="shared" si="241"/>
        <v>-57.20059453700614</v>
      </c>
      <c r="AF478" s="278">
        <f t="shared" si="242"/>
        <v>40.281679885123168</v>
      </c>
      <c r="AG478" s="279">
        <f t="shared" si="243"/>
        <v>-144.25466991042961</v>
      </c>
      <c r="AI478">
        <f t="shared" si="244"/>
        <v>0</v>
      </c>
      <c r="AJ478">
        <f t="shared" si="249"/>
        <v>0</v>
      </c>
      <c r="AK478">
        <f t="shared" si="245"/>
        <v>0</v>
      </c>
      <c r="AL478">
        <f t="shared" si="246"/>
        <v>0</v>
      </c>
      <c r="AM478"/>
      <c r="AN478"/>
    </row>
    <row r="479" spans="2:40" x14ac:dyDescent="0.2">
      <c r="B479" s="280">
        <v>56889</v>
      </c>
      <c r="C479" s="270">
        <f t="shared" si="219"/>
        <v>46.478495670608773</v>
      </c>
      <c r="D479" s="271">
        <f t="shared" si="220"/>
        <v>1.5492793402145313</v>
      </c>
      <c r="E479" s="271">
        <f t="shared" si="221"/>
        <v>1.0043092164464147</v>
      </c>
      <c r="F479" s="272">
        <f t="shared" si="222"/>
        <v>9.2669290286302858E-2</v>
      </c>
      <c r="G479" s="271">
        <f t="shared" si="223"/>
        <v>1.1538790008515667</v>
      </c>
      <c r="H479" s="272">
        <f t="shared" si="224"/>
        <v>-0.52236427179486544</v>
      </c>
      <c r="I479" s="270">
        <f t="shared" si="225"/>
        <v>200198.7375158066</v>
      </c>
      <c r="J479" s="273">
        <f t="shared" si="226"/>
        <v>1.5707913317584024</v>
      </c>
      <c r="K479" s="281">
        <f t="shared" si="227"/>
        <v>30.041954834763949</v>
      </c>
      <c r="L479" s="282">
        <f t="shared" si="228"/>
        <v>1.5375033947621048</v>
      </c>
      <c r="M479" s="270">
        <f t="shared" si="229"/>
        <v>1.7626983219904166</v>
      </c>
      <c r="N479" s="273">
        <f t="shared" si="230"/>
        <v>0.96755819881174898</v>
      </c>
      <c r="O479" s="270">
        <f t="shared" si="231"/>
        <v>15728.092169114958</v>
      </c>
      <c r="P479" s="273">
        <f t="shared" si="232"/>
        <v>1.5707327462925749</v>
      </c>
      <c r="Q479" s="271">
        <f t="shared" si="233"/>
        <v>1.1414948837739698</v>
      </c>
      <c r="R479" s="272">
        <f t="shared" si="234"/>
        <v>0.50319934733500415</v>
      </c>
      <c r="S479" s="270">
        <f t="shared" si="235"/>
        <v>1.0000079300428724</v>
      </c>
      <c r="T479" s="273">
        <f t="shared" si="236"/>
        <v>3.9824591568479225E-3</v>
      </c>
      <c r="U479" s="274">
        <f t="shared" si="237"/>
        <v>1.0730899500240965</v>
      </c>
      <c r="V479" s="275">
        <f t="shared" si="238"/>
        <v>0.54383524425663887</v>
      </c>
      <c r="W479" s="276">
        <f t="shared" si="239"/>
        <v>-27.401170402203398</v>
      </c>
      <c r="X479" s="277">
        <f t="shared" si="248"/>
        <v>158.10939983035203</v>
      </c>
      <c r="Y479" s="299">
        <f t="shared" si="247"/>
        <v>-21.890600169647968</v>
      </c>
      <c r="AB479" s="278">
        <f t="shared" si="240"/>
        <v>-5.8351977251995892</v>
      </c>
      <c r="AC479" s="279">
        <f t="shared" si="241"/>
        <v>-57.344259523778291</v>
      </c>
      <c r="AF479" s="278">
        <f t="shared" si="242"/>
        <v>40.237559929977955</v>
      </c>
      <c r="AG479" s="279">
        <f t="shared" si="243"/>
        <v>-144.54634064586966</v>
      </c>
      <c r="AI479">
        <f t="shared" si="244"/>
        <v>0</v>
      </c>
      <c r="AJ479">
        <f t="shared" si="249"/>
        <v>0</v>
      </c>
      <c r="AK479">
        <f t="shared" si="245"/>
        <v>0</v>
      </c>
      <c r="AL479">
        <f t="shared" si="246"/>
        <v>0</v>
      </c>
      <c r="AM479"/>
      <c r="AN479"/>
    </row>
    <row r="480" spans="2:40" x14ac:dyDescent="0.2">
      <c r="B480" s="280">
        <v>57216.5</v>
      </c>
      <c r="C480" s="270">
        <f t="shared" si="219"/>
        <v>46.745940716565954</v>
      </c>
      <c r="D480" s="271">
        <f t="shared" si="220"/>
        <v>1.5494024630359364</v>
      </c>
      <c r="E480" s="271">
        <f t="shared" si="221"/>
        <v>1.0043588660901575</v>
      </c>
      <c r="F480" s="272">
        <f t="shared" si="222"/>
        <v>9.3199695977220512E-2</v>
      </c>
      <c r="G480" s="271">
        <f t="shared" si="223"/>
        <v>1.1555361436489882</v>
      </c>
      <c r="H480" s="272">
        <f t="shared" si="224"/>
        <v>-0.52484992180258039</v>
      </c>
      <c r="I480" s="270">
        <f t="shared" si="225"/>
        <v>201351.24655155683</v>
      </c>
      <c r="J480" s="273">
        <f t="shared" si="226"/>
        <v>1.5707913603493586</v>
      </c>
      <c r="K480" s="281">
        <f t="shared" si="227"/>
        <v>30.214710023853247</v>
      </c>
      <c r="L480" s="282">
        <f t="shared" si="228"/>
        <v>1.5376938197084555</v>
      </c>
      <c r="M480" s="270">
        <f t="shared" si="229"/>
        <v>1.7695863015106037</v>
      </c>
      <c r="N480" s="273">
        <f t="shared" si="230"/>
        <v>0.97023722471418983</v>
      </c>
      <c r="O480" s="270">
        <f t="shared" si="231"/>
        <v>15818.63603813396</v>
      </c>
      <c r="P480" s="273">
        <f t="shared" si="232"/>
        <v>1.5707331102193174</v>
      </c>
      <c r="Q480" s="271">
        <f t="shared" si="233"/>
        <v>1.1430264079297094</v>
      </c>
      <c r="R480" s="272">
        <f t="shared" si="234"/>
        <v>0.5056280932712216</v>
      </c>
      <c r="S480" s="270">
        <f t="shared" si="235"/>
        <v>1.0000080216090481</v>
      </c>
      <c r="T480" s="273">
        <f t="shared" si="236"/>
        <v>4.0053852315599407E-3</v>
      </c>
      <c r="U480" s="274">
        <f t="shared" si="237"/>
        <v>1.0739411733006365</v>
      </c>
      <c r="V480" s="275">
        <f t="shared" si="238"/>
        <v>0.54683684688384893</v>
      </c>
      <c r="W480" s="276">
        <f t="shared" si="239"/>
        <v>-27.478929910121757</v>
      </c>
      <c r="X480" s="277">
        <f t="shared" si="248"/>
        <v>157.67575103292256</v>
      </c>
      <c r="Y480" s="299">
        <f t="shared" si="247"/>
        <v>-22.324248967077438</v>
      </c>
      <c r="AB480" s="278">
        <f t="shared" si="240"/>
        <v>-5.8691277877794734</v>
      </c>
      <c r="AC480" s="279">
        <f t="shared" si="241"/>
        <v>-57.486847493595597</v>
      </c>
      <c r="AF480" s="278">
        <f t="shared" si="242"/>
        <v>40.193730484639474</v>
      </c>
      <c r="AG480" s="279">
        <f t="shared" si="243"/>
        <v>-144.83740147348189</v>
      </c>
      <c r="AI480">
        <f t="shared" si="244"/>
        <v>0</v>
      </c>
      <c r="AJ480">
        <f t="shared" si="249"/>
        <v>0</v>
      </c>
      <c r="AK480">
        <f t="shared" si="245"/>
        <v>0</v>
      </c>
      <c r="AL480">
        <f t="shared" si="246"/>
        <v>0</v>
      </c>
      <c r="AM480"/>
      <c r="AN480"/>
    </row>
    <row r="481" spans="2:40" x14ac:dyDescent="0.2">
      <c r="B481" s="280">
        <v>57544</v>
      </c>
      <c r="C481" s="270">
        <f t="shared" si="219"/>
        <v>47.013386463093163</v>
      </c>
      <c r="D481" s="271">
        <f t="shared" si="220"/>
        <v>1.5495241850379411</v>
      </c>
      <c r="E481" s="271">
        <f t="shared" si="221"/>
        <v>1.004408798262397</v>
      </c>
      <c r="F481" s="272">
        <f t="shared" si="222"/>
        <v>9.3730049081216418E-2</v>
      </c>
      <c r="G481" s="271">
        <f t="shared" si="223"/>
        <v>1.1572004054021778</v>
      </c>
      <c r="H481" s="272">
        <f t="shared" si="224"/>
        <v>-0.52732843746594316</v>
      </c>
      <c r="I481" s="270">
        <f t="shared" si="225"/>
        <v>202503.75558730727</v>
      </c>
      <c r="J481" s="273">
        <f t="shared" si="226"/>
        <v>1.5707913886148757</v>
      </c>
      <c r="K481" s="281">
        <f t="shared" si="227"/>
        <v>30.387466296120518</v>
      </c>
      <c r="L481" s="282">
        <f t="shared" si="228"/>
        <v>1.537882079485732</v>
      </c>
      <c r="M481" s="270">
        <f t="shared" si="229"/>
        <v>1.776486883128414</v>
      </c>
      <c r="N481" s="273">
        <f t="shared" si="230"/>
        <v>0.97289545676774503</v>
      </c>
      <c r="O481" s="270">
        <f t="shared" si="231"/>
        <v>15909.179907155036</v>
      </c>
      <c r="P481" s="273">
        <f t="shared" si="232"/>
        <v>1.5707334700036293</v>
      </c>
      <c r="Q481" s="271">
        <f t="shared" si="233"/>
        <v>1.1445646565102106</v>
      </c>
      <c r="R481" s="272">
        <f t="shared" si="234"/>
        <v>0.50805032519128734</v>
      </c>
      <c r="S481" s="270">
        <f t="shared" si="235"/>
        <v>1.000008113700833</v>
      </c>
      <c r="T481" s="273">
        <f t="shared" si="236"/>
        <v>4.0283113020614355E-3</v>
      </c>
      <c r="U481" s="274">
        <f t="shared" si="237"/>
        <v>1.0747974385395473</v>
      </c>
      <c r="V481" s="275">
        <f t="shared" si="238"/>
        <v>0.54983630165490838</v>
      </c>
      <c r="W481" s="276">
        <f t="shared" si="239"/>
        <v>-27.556331608213664</v>
      </c>
      <c r="X481" s="277">
        <f t="shared" si="248"/>
        <v>157.2437786778147</v>
      </c>
      <c r="Y481" s="299">
        <f t="shared" si="247"/>
        <v>-22.756221322185297</v>
      </c>
      <c r="AB481" s="278">
        <f t="shared" si="240"/>
        <v>-5.9029869317203314</v>
      </c>
      <c r="AC481" s="279">
        <f t="shared" si="241"/>
        <v>-57.62836810003553</v>
      </c>
      <c r="AF481" s="278">
        <f t="shared" si="242"/>
        <v>40.150187930488428</v>
      </c>
      <c r="AG481" s="279">
        <f t="shared" si="243"/>
        <v>-145.12785322214984</v>
      </c>
      <c r="AI481">
        <f t="shared" si="244"/>
        <v>0</v>
      </c>
      <c r="AJ481">
        <f t="shared" si="249"/>
        <v>0</v>
      </c>
      <c r="AK481">
        <f t="shared" si="245"/>
        <v>0</v>
      </c>
      <c r="AL481">
        <f t="shared" si="246"/>
        <v>0</v>
      </c>
      <c r="AM481"/>
      <c r="AN481"/>
    </row>
    <row r="482" spans="2:40" x14ac:dyDescent="0.2">
      <c r="B482" s="280">
        <v>57879</v>
      </c>
      <c r="C482" s="270">
        <f t="shared" si="219"/>
        <v>47.28695763379983</v>
      </c>
      <c r="D482" s="271">
        <f t="shared" si="220"/>
        <v>1.5496472700352006</v>
      </c>
      <c r="E482" s="271">
        <f t="shared" si="221"/>
        <v>1.0044601661833301</v>
      </c>
      <c r="F482" s="272">
        <f t="shared" si="222"/>
        <v>9.4272492966178748E-2</v>
      </c>
      <c r="G482" s="271">
        <f t="shared" si="223"/>
        <v>1.1589101134124644</v>
      </c>
      <c r="H482" s="272">
        <f t="shared" si="224"/>
        <v>-0.52985633211037708</v>
      </c>
      <c r="I482" s="270">
        <f t="shared" si="225"/>
        <v>203682.65795975438</v>
      </c>
      <c r="J482" s="273">
        <f t="shared" si="226"/>
        <v>1.5707914171967501</v>
      </c>
      <c r="K482" s="281">
        <f t="shared" si="227"/>
        <v>30.564179920420163</v>
      </c>
      <c r="L482" s="282">
        <f t="shared" si="228"/>
        <v>1.5380724487039314</v>
      </c>
      <c r="M482" s="270">
        <f t="shared" si="229"/>
        <v>1.783558379139325</v>
      </c>
      <c r="N482" s="273">
        <f t="shared" si="230"/>
        <v>0.97559326345679609</v>
      </c>
      <c r="O482" s="270">
        <f t="shared" si="231"/>
        <v>16001.797299896258</v>
      </c>
      <c r="P482" s="273">
        <f t="shared" si="232"/>
        <v>1.5707338338147701</v>
      </c>
      <c r="Q482" s="271">
        <f t="shared" si="233"/>
        <v>1.1461450611108255</v>
      </c>
      <c r="R482" s="272">
        <f t="shared" si="234"/>
        <v>0.51052128635629312</v>
      </c>
      <c r="S482" s="270">
        <f t="shared" si="235"/>
        <v>1.0000082084453918</v>
      </c>
      <c r="T482" s="273">
        <f t="shared" si="236"/>
        <v>4.0517623926968477E-3</v>
      </c>
      <c r="U482" s="274">
        <f t="shared" si="237"/>
        <v>1.0756785317827084</v>
      </c>
      <c r="V482" s="275">
        <f t="shared" si="238"/>
        <v>0.552902213494192</v>
      </c>
      <c r="W482" s="276">
        <f t="shared" si="239"/>
        <v>-27.635138976832412</v>
      </c>
      <c r="X482" s="277">
        <f t="shared" si="248"/>
        <v>156.80363744715785</v>
      </c>
      <c r="Y482" s="299">
        <f t="shared" si="247"/>
        <v>-23.196362552842146</v>
      </c>
      <c r="AB482" s="278">
        <f t="shared" si="240"/>
        <v>-5.9375476980417883</v>
      </c>
      <c r="AC482" s="279">
        <f t="shared" si="241"/>
        <v>-57.772035322129049</v>
      </c>
      <c r="AF482" s="278">
        <f t="shared" si="242"/>
        <v>40.105941328191136</v>
      </c>
      <c r="AG482" s="279">
        <f t="shared" si="243"/>
        <v>-145.42432723071312</v>
      </c>
      <c r="AI482">
        <f t="shared" si="244"/>
        <v>0</v>
      </c>
      <c r="AJ482">
        <f t="shared" si="249"/>
        <v>0</v>
      </c>
      <c r="AK482">
        <f t="shared" si="245"/>
        <v>0</v>
      </c>
      <c r="AL482">
        <f t="shared" si="246"/>
        <v>0</v>
      </c>
      <c r="AM482"/>
      <c r="AN482"/>
    </row>
    <row r="483" spans="2:40" x14ac:dyDescent="0.2">
      <c r="B483" s="280">
        <v>58214</v>
      </c>
      <c r="C483" s="270">
        <f t="shared" si="219"/>
        <v>47.560529512658483</v>
      </c>
      <c r="D483" s="271">
        <f t="shared" si="220"/>
        <v>1.5497689390452585</v>
      </c>
      <c r="E483" s="271">
        <f t="shared" si="221"/>
        <v>1.0045118296317359</v>
      </c>
      <c r="F483" s="272">
        <f t="shared" si="222"/>
        <v>9.4814881213427224E-2</v>
      </c>
      <c r="G483" s="271">
        <f t="shared" si="223"/>
        <v>1.1606272053034892</v>
      </c>
      <c r="H483" s="272">
        <f t="shared" si="224"/>
        <v>-0.5323767630253301</v>
      </c>
      <c r="I483" s="270">
        <f t="shared" si="225"/>
        <v>204861.56033220171</v>
      </c>
      <c r="J483" s="273">
        <f t="shared" si="226"/>
        <v>1.5707914454496683</v>
      </c>
      <c r="K483" s="281">
        <f t="shared" si="227"/>
        <v>30.740894639644356</v>
      </c>
      <c r="L483" s="282">
        <f t="shared" si="228"/>
        <v>1.5382606292454826</v>
      </c>
      <c r="M483" s="270">
        <f t="shared" si="229"/>
        <v>1.7906427535925631</v>
      </c>
      <c r="N483" s="273">
        <f t="shared" si="230"/>
        <v>0.9782697426680429</v>
      </c>
      <c r="O483" s="270">
        <f t="shared" si="231"/>
        <v>16094.414692639573</v>
      </c>
      <c r="P483" s="273">
        <f t="shared" si="232"/>
        <v>1.5707341934387142</v>
      </c>
      <c r="Q483" s="271">
        <f t="shared" si="233"/>
        <v>1.147732444373992</v>
      </c>
      <c r="R483" s="272">
        <f t="shared" si="234"/>
        <v>0.51298542755494403</v>
      </c>
      <c r="S483" s="270">
        <f t="shared" si="235"/>
        <v>1.0000083037399088</v>
      </c>
      <c r="T483" s="273">
        <f t="shared" si="236"/>
        <v>4.0752134788756729E-3</v>
      </c>
      <c r="U483" s="274">
        <f t="shared" si="237"/>
        <v>1.0765649054283608</v>
      </c>
      <c r="V483" s="275">
        <f t="shared" si="238"/>
        <v>0.55596585662640918</v>
      </c>
      <c r="W483" s="276">
        <f t="shared" si="239"/>
        <v>-27.713578633414006</v>
      </c>
      <c r="X483" s="277">
        <f t="shared" si="248"/>
        <v>156.36522837770292</v>
      </c>
      <c r="Y483" s="299">
        <f t="shared" si="247"/>
        <v>-23.63477162229708</v>
      </c>
      <c r="AB483" s="278">
        <f t="shared" si="240"/>
        <v>-5.9720334585324704</v>
      </c>
      <c r="AC483" s="279">
        <f t="shared" si="241"/>
        <v>-57.914605952843601</v>
      </c>
      <c r="AF483" s="278">
        <f t="shared" si="242"/>
        <v>40.061987432100217</v>
      </c>
      <c r="AG483" s="279">
        <f t="shared" si="243"/>
        <v>-145.72016566945348</v>
      </c>
      <c r="AI483">
        <f t="shared" si="244"/>
        <v>0</v>
      </c>
      <c r="AJ483">
        <f t="shared" si="249"/>
        <v>0</v>
      </c>
      <c r="AK483">
        <f t="shared" si="245"/>
        <v>0</v>
      </c>
      <c r="AL483">
        <f t="shared" si="246"/>
        <v>0</v>
      </c>
      <c r="AM483"/>
      <c r="AN483"/>
    </row>
    <row r="484" spans="2:40" x14ac:dyDescent="0.2">
      <c r="B484" s="280">
        <v>58549</v>
      </c>
      <c r="C484" s="270">
        <f t="shared" si="219"/>
        <v>47.83410208751895</v>
      </c>
      <c r="D484" s="271">
        <f t="shared" si="220"/>
        <v>1.5498892163594036</v>
      </c>
      <c r="E484" s="271">
        <f t="shared" si="221"/>
        <v>1.0045637885620189</v>
      </c>
      <c r="F484" s="272">
        <f t="shared" si="222"/>
        <v>9.5357213512445735E-2</v>
      </c>
      <c r="G484" s="271">
        <f t="shared" si="223"/>
        <v>1.1623516483515879</v>
      </c>
      <c r="H484" s="272">
        <f t="shared" si="224"/>
        <v>-0.53488973133690143</v>
      </c>
      <c r="I484" s="270">
        <f t="shared" si="225"/>
        <v>206040.46270464917</v>
      </c>
      <c r="J484" s="273">
        <f t="shared" si="226"/>
        <v>1.5707914733792767</v>
      </c>
      <c r="K484" s="281">
        <f t="shared" si="227"/>
        <v>30.917610435018435</v>
      </c>
      <c r="L484" s="282">
        <f t="shared" si="228"/>
        <v>1.5384466586264014</v>
      </c>
      <c r="M484" s="270">
        <f t="shared" si="229"/>
        <v>1.7977398542374496</v>
      </c>
      <c r="N484" s="273">
        <f t="shared" si="230"/>
        <v>0.98092510841687186</v>
      </c>
      <c r="O484" s="270">
        <f t="shared" si="231"/>
        <v>16187.032085384944</v>
      </c>
      <c r="P484" s="273">
        <f t="shared" si="232"/>
        <v>1.5707345489473357</v>
      </c>
      <c r="Q484" s="271">
        <f t="shared" si="233"/>
        <v>1.1493267773841429</v>
      </c>
      <c r="R484" s="272">
        <f t="shared" si="234"/>
        <v>0.5154427471828209</v>
      </c>
      <c r="S484" s="270">
        <f t="shared" si="235"/>
        <v>1.0000083995843838</v>
      </c>
      <c r="T484" s="273">
        <f t="shared" si="236"/>
        <v>4.0986645605721192E-3</v>
      </c>
      <c r="U484" s="274">
        <f t="shared" si="237"/>
        <v>1.0774565619428182</v>
      </c>
      <c r="V484" s="275">
        <f t="shared" si="238"/>
        <v>0.55902722031661978</v>
      </c>
      <c r="W484" s="276">
        <f t="shared" si="239"/>
        <v>-27.791653890804593</v>
      </c>
      <c r="X484" s="277">
        <f t="shared" si="248"/>
        <v>155.92854049742368</v>
      </c>
      <c r="Y484" s="299">
        <f t="shared" si="247"/>
        <v>-24.071459502576317</v>
      </c>
      <c r="AB484" s="278">
        <f t="shared" si="240"/>
        <v>-6.0064438366737782</v>
      </c>
      <c r="AC484" s="279">
        <f t="shared" si="241"/>
        <v>-58.056090105171691</v>
      </c>
      <c r="AF484" s="278">
        <f t="shared" si="242"/>
        <v>40.018322552850947</v>
      </c>
      <c r="AG484" s="279">
        <f t="shared" si="243"/>
        <v>-146.01536939740458</v>
      </c>
      <c r="AI484">
        <f t="shared" si="244"/>
        <v>0</v>
      </c>
      <c r="AJ484">
        <f t="shared" si="249"/>
        <v>0</v>
      </c>
      <c r="AK484">
        <f t="shared" si="245"/>
        <v>0</v>
      </c>
      <c r="AL484">
        <f t="shared" si="246"/>
        <v>0</v>
      </c>
      <c r="AM484"/>
      <c r="AN484"/>
    </row>
    <row r="485" spans="2:40" x14ac:dyDescent="0.2">
      <c r="B485" s="280">
        <v>58884</v>
      </c>
      <c r="C485" s="270">
        <f t="shared" si="219"/>
        <v>48.107675346507449</v>
      </c>
      <c r="D485" s="271">
        <f t="shared" si="220"/>
        <v>1.5500081257165401</v>
      </c>
      <c r="E485" s="271">
        <f t="shared" si="221"/>
        <v>1.0046160429283317</v>
      </c>
      <c r="F485" s="272">
        <f t="shared" si="222"/>
        <v>9.5899489552913858E-2</v>
      </c>
      <c r="G485" s="271">
        <f t="shared" si="223"/>
        <v>1.1640834098873194</v>
      </c>
      <c r="H485" s="272">
        <f t="shared" si="224"/>
        <v>-0.53739523854154092</v>
      </c>
      <c r="I485" s="270">
        <f t="shared" si="225"/>
        <v>207219.36507709677</v>
      </c>
      <c r="J485" s="273">
        <f t="shared" si="226"/>
        <v>1.5707915009910938</v>
      </c>
      <c r="K485" s="281">
        <f t="shared" si="227"/>
        <v>31.094327288194421</v>
      </c>
      <c r="L485" s="282">
        <f t="shared" si="228"/>
        <v>1.538630573510456</v>
      </c>
      <c r="M485" s="270">
        <f t="shared" si="229"/>
        <v>1.8048495309466901</v>
      </c>
      <c r="N485" s="273">
        <f t="shared" si="230"/>
        <v>0.98355957254650161</v>
      </c>
      <c r="O485" s="270">
        <f t="shared" si="231"/>
        <v>16279.649478132342</v>
      </c>
      <c r="P485" s="273">
        <f t="shared" si="232"/>
        <v>1.5707349004108722</v>
      </c>
      <c r="Q485" s="271">
        <f t="shared" si="233"/>
        <v>1.1509280312596868</v>
      </c>
      <c r="R485" s="272">
        <f t="shared" si="234"/>
        <v>0.51789324397390579</v>
      </c>
      <c r="S485" s="270">
        <f t="shared" si="235"/>
        <v>1.0000084959788165</v>
      </c>
      <c r="T485" s="273">
        <f t="shared" si="236"/>
        <v>4.1221156377603922E-3</v>
      </c>
      <c r="U485" s="274">
        <f t="shared" si="237"/>
        <v>1.0783535037959877</v>
      </c>
      <c r="V485" s="275">
        <f t="shared" si="238"/>
        <v>0.56208629387090792</v>
      </c>
      <c r="W485" s="276">
        <f t="shared" si="239"/>
        <v>-27.869368021396657</v>
      </c>
      <c r="X485" s="277">
        <f t="shared" si="248"/>
        <v>155.49356291801777</v>
      </c>
      <c r="Y485" s="299">
        <f t="shared" si="247"/>
        <v>-24.506437081982227</v>
      </c>
      <c r="AB485" s="278">
        <f t="shared" si="240"/>
        <v>-6.0407784747461211</v>
      </c>
      <c r="AC485" s="279">
        <f t="shared" si="241"/>
        <v>-58.196497816472693</v>
      </c>
      <c r="AF485" s="278">
        <f t="shared" si="242"/>
        <v>39.974943060331228</v>
      </c>
      <c r="AG485" s="279">
        <f t="shared" si="243"/>
        <v>-146.30993926550954</v>
      </c>
      <c r="AI485">
        <f t="shared" si="244"/>
        <v>0</v>
      </c>
      <c r="AJ485">
        <f t="shared" si="249"/>
        <v>0</v>
      </c>
      <c r="AK485">
        <f t="shared" si="245"/>
        <v>0</v>
      </c>
      <c r="AL485">
        <f t="shared" si="246"/>
        <v>0</v>
      </c>
      <c r="AM485"/>
      <c r="AN485"/>
    </row>
    <row r="486" spans="2:40" x14ac:dyDescent="0.2">
      <c r="B486" s="280">
        <v>59227</v>
      </c>
      <c r="C486" s="270">
        <f t="shared" si="219"/>
        <v>48.38778239495872</v>
      </c>
      <c r="D486" s="271">
        <f t="shared" si="220"/>
        <v>1.5501284815795597</v>
      </c>
      <c r="E486" s="271">
        <f t="shared" si="221"/>
        <v>1.0046698512150185</v>
      </c>
      <c r="F486" s="272">
        <f t="shared" si="222"/>
        <v>9.6454656855273976E-2</v>
      </c>
      <c r="G486" s="271">
        <f t="shared" si="223"/>
        <v>1.1658640755918916</v>
      </c>
      <c r="H486" s="272">
        <f t="shared" si="224"/>
        <v>-0.53995285020325023</v>
      </c>
      <c r="I486" s="270">
        <f t="shared" si="225"/>
        <v>208426.42034202092</v>
      </c>
      <c r="J486" s="273">
        <f t="shared" si="226"/>
        <v>1.5707915289386634</v>
      </c>
      <c r="K486" s="281">
        <f t="shared" si="227"/>
        <v>31.275265322595565</v>
      </c>
      <c r="L486" s="282">
        <f t="shared" si="228"/>
        <v>1.5388167269687425</v>
      </c>
      <c r="M486" s="270">
        <f t="shared" si="229"/>
        <v>1.8121418665285141</v>
      </c>
      <c r="N486" s="273">
        <f t="shared" si="230"/>
        <v>0.98623551192718106</v>
      </c>
      <c r="O486" s="270">
        <f t="shared" si="231"/>
        <v>16374.47862951457</v>
      </c>
      <c r="P486" s="273">
        <f t="shared" si="232"/>
        <v>1.5707352561481147</v>
      </c>
      <c r="Q486" s="271">
        <f t="shared" si="233"/>
        <v>1.1525746646588533</v>
      </c>
      <c r="R486" s="272">
        <f t="shared" si="234"/>
        <v>0.52039518993848621</v>
      </c>
      <c r="S486" s="270">
        <f t="shared" si="235"/>
        <v>1.0000085952450202</v>
      </c>
      <c r="T486" s="273">
        <f t="shared" si="236"/>
        <v>4.146126735974684E-3</v>
      </c>
      <c r="U486" s="274">
        <f t="shared" si="237"/>
        <v>1.0792773439105339</v>
      </c>
      <c r="V486" s="275">
        <f t="shared" si="238"/>
        <v>0.56521603597941206</v>
      </c>
      <c r="W486" s="276">
        <f t="shared" si="239"/>
        <v>-27.948567222034018</v>
      </c>
      <c r="X486" s="277">
        <f t="shared" si="248"/>
        <v>155.04995858422294</v>
      </c>
      <c r="Y486" s="299">
        <f t="shared" si="247"/>
        <v>-24.950041415777065</v>
      </c>
      <c r="AB486" s="278">
        <f t="shared" si="240"/>
        <v>-6.0758542153861939</v>
      </c>
      <c r="AC486" s="279">
        <f t="shared" si="241"/>
        <v>-58.33915364299471</v>
      </c>
      <c r="AF486" s="278">
        <f t="shared" si="242"/>
        <v>39.930819600333933</v>
      </c>
      <c r="AG486" s="279">
        <f t="shared" si="243"/>
        <v>-146.61088777278235</v>
      </c>
      <c r="AI486">
        <f t="shared" si="244"/>
        <v>0</v>
      </c>
      <c r="AJ486">
        <f t="shared" si="249"/>
        <v>0</v>
      </c>
      <c r="AK486">
        <f t="shared" si="245"/>
        <v>0</v>
      </c>
      <c r="AL486">
        <f t="shared" si="246"/>
        <v>0</v>
      </c>
      <c r="AM486"/>
      <c r="AN486"/>
    </row>
    <row r="487" spans="2:40" x14ac:dyDescent="0.2">
      <c r="B487" s="280">
        <v>59570</v>
      </c>
      <c r="C487" s="270">
        <f t="shared" si="219"/>
        <v>48.667890136264553</v>
      </c>
      <c r="D487" s="271">
        <f t="shared" si="220"/>
        <v>1.5502474520294327</v>
      </c>
      <c r="E487" s="271">
        <f t="shared" si="221"/>
        <v>1.0047239691185148</v>
      </c>
      <c r="F487" s="272">
        <f t="shared" si="222"/>
        <v>9.700976452225181E-2</v>
      </c>
      <c r="G487" s="271">
        <f t="shared" si="223"/>
        <v>1.167652344364009</v>
      </c>
      <c r="H487" s="272">
        <f t="shared" si="224"/>
        <v>-0.54250264449680752</v>
      </c>
      <c r="I487" s="270">
        <f t="shared" si="225"/>
        <v>209633.47560694526</v>
      </c>
      <c r="J487" s="273">
        <f t="shared" si="226"/>
        <v>1.5707915565643926</v>
      </c>
      <c r="K487" s="281">
        <f t="shared" si="227"/>
        <v>31.456204428313903</v>
      </c>
      <c r="L487" s="282">
        <f t="shared" si="228"/>
        <v>1.5390007388882421</v>
      </c>
      <c r="M487" s="270">
        <f t="shared" si="229"/>
        <v>1.8194470741564559</v>
      </c>
      <c r="N487" s="273">
        <f t="shared" si="230"/>
        <v>0.98888998202007028</v>
      </c>
      <c r="O487" s="270">
        <f t="shared" si="231"/>
        <v>16469.307780898849</v>
      </c>
      <c r="P487" s="273">
        <f t="shared" si="232"/>
        <v>1.5707356077887358</v>
      </c>
      <c r="Q487" s="271">
        <f t="shared" si="233"/>
        <v>1.1542284922566493</v>
      </c>
      <c r="R487" s="272">
        <f t="shared" si="234"/>
        <v>0.52288998169375356</v>
      </c>
      <c r="S487" s="270">
        <f t="shared" si="235"/>
        <v>1.0000086950877616</v>
      </c>
      <c r="T487" s="273">
        <f t="shared" si="236"/>
        <v>4.170137829408194E-3</v>
      </c>
      <c r="U487" s="274">
        <f t="shared" si="237"/>
        <v>1.0802067300633706</v>
      </c>
      <c r="V487" s="275">
        <f t="shared" si="238"/>
        <v>0.56834335470972597</v>
      </c>
      <c r="W487" s="276">
        <f t="shared" si="239"/>
        <v>-28.027394658539166</v>
      </c>
      <c r="X487" s="277">
        <f t="shared" si="248"/>
        <v>154.60812438032855</v>
      </c>
      <c r="Y487" s="299">
        <f t="shared" si="247"/>
        <v>-25.391875619671453</v>
      </c>
      <c r="AB487" s="278">
        <f t="shared" si="240"/>
        <v>-6.1108498546685901</v>
      </c>
      <c r="AC487" s="279">
        <f t="shared" si="241"/>
        <v>-58.480702052631202</v>
      </c>
      <c r="AF487" s="278">
        <f t="shared" si="242"/>
        <v>39.88698780311119</v>
      </c>
      <c r="AG487" s="279">
        <f t="shared" si="243"/>
        <v>-146.91117356704024</v>
      </c>
      <c r="AI487">
        <f t="shared" si="244"/>
        <v>0</v>
      </c>
      <c r="AJ487">
        <f t="shared" si="249"/>
        <v>0</v>
      </c>
      <c r="AK487">
        <f t="shared" si="245"/>
        <v>0</v>
      </c>
      <c r="AL487">
        <f t="shared" si="246"/>
        <v>0</v>
      </c>
      <c r="AM487"/>
      <c r="AN487"/>
    </row>
    <row r="488" spans="2:40" x14ac:dyDescent="0.2">
      <c r="B488" s="280">
        <v>59913</v>
      </c>
      <c r="C488" s="270">
        <f t="shared" si="219"/>
        <v>48.947998558530223</v>
      </c>
      <c r="D488" s="271">
        <f t="shared" si="220"/>
        <v>1.5503650608471391</v>
      </c>
      <c r="E488" s="271">
        <f t="shared" si="221"/>
        <v>1.004778396588792</v>
      </c>
      <c r="F488" s="272">
        <f t="shared" si="222"/>
        <v>9.7564812221404285E-2</v>
      </c>
      <c r="G488" s="271">
        <f t="shared" si="223"/>
        <v>1.1694481813248419</v>
      </c>
      <c r="H488" s="272">
        <f t="shared" si="224"/>
        <v>-0.54504462420549871</v>
      </c>
      <c r="I488" s="270">
        <f t="shared" si="225"/>
        <v>210840.53087186971</v>
      </c>
      <c r="J488" s="273">
        <f t="shared" si="226"/>
        <v>1.5707915838738089</v>
      </c>
      <c r="K488" s="281">
        <f t="shared" si="227"/>
        <v>31.637144586968201</v>
      </c>
      <c r="L488" s="282">
        <f t="shared" si="228"/>
        <v>1.5391826460002542</v>
      </c>
      <c r="M488" s="270">
        <f t="shared" si="229"/>
        <v>1.8267649994051267</v>
      </c>
      <c r="N488" s="273">
        <f t="shared" si="230"/>
        <v>0.9915232032062985</v>
      </c>
      <c r="O488" s="270">
        <f t="shared" si="231"/>
        <v>16564.136932285135</v>
      </c>
      <c r="P488" s="273">
        <f t="shared" si="232"/>
        <v>1.5707359554030942</v>
      </c>
      <c r="Q488" s="271">
        <f t="shared" si="233"/>
        <v>1.1558894831730531</v>
      </c>
      <c r="R488" s="272">
        <f t="shared" si="234"/>
        <v>0.52537761895968327</v>
      </c>
      <c r="S488" s="270">
        <f t="shared" si="235"/>
        <v>1.0000087955070402</v>
      </c>
      <c r="T488" s="273">
        <f t="shared" si="236"/>
        <v>4.1941489180332345E-3</v>
      </c>
      <c r="U488" s="274">
        <f t="shared" si="237"/>
        <v>1.08114166491643</v>
      </c>
      <c r="V488" s="275">
        <f t="shared" si="238"/>
        <v>0.57146823871835861</v>
      </c>
      <c r="W488" s="276">
        <f t="shared" si="239"/>
        <v>-28.105853716640542</v>
      </c>
      <c r="X488" s="277">
        <f t="shared" si="248"/>
        <v>154.16804889252398</v>
      </c>
      <c r="Y488" s="299">
        <f t="shared" si="247"/>
        <v>-25.831951107476016</v>
      </c>
      <c r="AB488" s="278">
        <f t="shared" si="240"/>
        <v>-6.1457650667567467</v>
      </c>
      <c r="AC488" s="279">
        <f t="shared" si="241"/>
        <v>-58.621153568059114</v>
      </c>
      <c r="AF488" s="278">
        <f t="shared" si="242"/>
        <v>39.843443957097968</v>
      </c>
      <c r="AG488" s="279">
        <f t="shared" si="243"/>
        <v>-147.21079753941694</v>
      </c>
      <c r="AI488">
        <f t="shared" si="244"/>
        <v>0</v>
      </c>
      <c r="AJ488">
        <f t="shared" si="249"/>
        <v>0</v>
      </c>
      <c r="AK488">
        <f t="shared" si="245"/>
        <v>0</v>
      </c>
      <c r="AL488">
        <f t="shared" si="246"/>
        <v>0</v>
      </c>
      <c r="AM488"/>
      <c r="AN488"/>
    </row>
    <row r="489" spans="2:40" x14ac:dyDescent="0.2">
      <c r="B489" s="280">
        <v>60256</v>
      </c>
      <c r="C489" s="270">
        <f t="shared" si="219"/>
        <v>49.228107650131761</v>
      </c>
      <c r="D489" s="271">
        <f t="shared" si="220"/>
        <v>1.5504813312725549</v>
      </c>
      <c r="E489" s="271">
        <f t="shared" si="221"/>
        <v>1.0048331335755463</v>
      </c>
      <c r="F489" s="272">
        <f t="shared" si="222"/>
        <v>9.8119799620508055E-2</v>
      </c>
      <c r="G489" s="271">
        <f t="shared" si="223"/>
        <v>1.1712515516623137</v>
      </c>
      <c r="H489" s="272">
        <f t="shared" si="224"/>
        <v>-0.54757879249953512</v>
      </c>
      <c r="I489" s="270">
        <f t="shared" si="225"/>
        <v>212047.58613679436</v>
      </c>
      <c r="J489" s="273">
        <f t="shared" si="226"/>
        <v>1.5707916108723143</v>
      </c>
      <c r="K489" s="281">
        <f t="shared" si="227"/>
        <v>31.818085780595247</v>
      </c>
      <c r="L489" s="282">
        <f t="shared" si="228"/>
        <v>1.539362484201118</v>
      </c>
      <c r="M489" s="270">
        <f t="shared" si="229"/>
        <v>1.8340954900470201</v>
      </c>
      <c r="N489" s="273">
        <f t="shared" si="230"/>
        <v>0.99413539353161229</v>
      </c>
      <c r="O489" s="270">
        <f t="shared" si="231"/>
        <v>16658.966083673404</v>
      </c>
      <c r="P489" s="273">
        <f t="shared" si="232"/>
        <v>1.5707362990599474</v>
      </c>
      <c r="Q489" s="271">
        <f t="shared" si="233"/>
        <v>1.1575576065719142</v>
      </c>
      <c r="R489" s="272">
        <f t="shared" si="234"/>
        <v>0.52785810181204795</v>
      </c>
      <c r="S489" s="270">
        <f t="shared" si="235"/>
        <v>1.0000088965028564</v>
      </c>
      <c r="T489" s="273">
        <f t="shared" si="236"/>
        <v>4.2181600018221235E-3</v>
      </c>
      <c r="U489" s="274">
        <f t="shared" si="237"/>
        <v>1.0820821511349923</v>
      </c>
      <c r="V489" s="275">
        <f t="shared" si="238"/>
        <v>0.57459067670779129</v>
      </c>
      <c r="W489" s="276">
        <f t="shared" si="239"/>
        <v>-28.183947740945694</v>
      </c>
      <c r="X489" s="277">
        <f t="shared" si="248"/>
        <v>153.72972079918603</v>
      </c>
      <c r="Y489" s="299">
        <f t="shared" si="247"/>
        <v>-26.270279200813974</v>
      </c>
      <c r="AB489" s="278">
        <f t="shared" si="240"/>
        <v>-6.1805995443969586</v>
      </c>
      <c r="AC489" s="279">
        <f t="shared" si="241"/>
        <v>-58.760518625980175</v>
      </c>
      <c r="AF489" s="278">
        <f t="shared" si="242"/>
        <v>39.800184410433026</v>
      </c>
      <c r="AG489" s="279">
        <f t="shared" si="243"/>
        <v>-147.50976057483382</v>
      </c>
      <c r="AI489">
        <f t="shared" si="244"/>
        <v>0</v>
      </c>
      <c r="AJ489">
        <f t="shared" si="249"/>
        <v>0</v>
      </c>
      <c r="AK489">
        <f t="shared" si="245"/>
        <v>0</v>
      </c>
      <c r="AL489">
        <f t="shared" si="246"/>
        <v>0</v>
      </c>
      <c r="AM489"/>
      <c r="AN489"/>
    </row>
    <row r="490" spans="2:40" x14ac:dyDescent="0.2">
      <c r="B490" s="280">
        <v>60607</v>
      </c>
      <c r="C490" s="270">
        <f t="shared" si="219"/>
        <v>49.514750579472221</v>
      </c>
      <c r="D490" s="271">
        <f t="shared" si="220"/>
        <v>1.5505989516586836</v>
      </c>
      <c r="E490" s="271">
        <f t="shared" si="221"/>
        <v>1.0048894676031734</v>
      </c>
      <c r="F490" s="272">
        <f t="shared" si="222"/>
        <v>9.8687668559675548E-2</v>
      </c>
      <c r="G490" s="271">
        <f t="shared" si="223"/>
        <v>1.173104745851802</v>
      </c>
      <c r="H490" s="272">
        <f t="shared" si="224"/>
        <v>-0.5501639836428448</v>
      </c>
      <c r="I490" s="270">
        <f t="shared" si="225"/>
        <v>213282.79429419551</v>
      </c>
      <c r="J490" s="273">
        <f t="shared" si="226"/>
        <v>1.5707916381841565</v>
      </c>
      <c r="K490" s="281">
        <f t="shared" si="227"/>
        <v>32.00324823013738</v>
      </c>
      <c r="L490" s="282">
        <f t="shared" si="228"/>
        <v>1.5395444116228842</v>
      </c>
      <c r="M490" s="270">
        <f t="shared" si="229"/>
        <v>1.841609806099662</v>
      </c>
      <c r="N490" s="273">
        <f t="shared" si="230"/>
        <v>0.99678696227699548</v>
      </c>
      <c r="O490" s="270">
        <f t="shared" si="231"/>
        <v>16756.00699369665</v>
      </c>
      <c r="P490" s="273">
        <f t="shared" si="232"/>
        <v>1.5707366467051849</v>
      </c>
      <c r="Q490" s="271">
        <f t="shared" si="233"/>
        <v>1.1592719884705118</v>
      </c>
      <c r="R490" s="272">
        <f t="shared" si="234"/>
        <v>0.53038903228028156</v>
      </c>
      <c r="S490" s="270">
        <f t="shared" si="235"/>
        <v>1.0000090004511244</v>
      </c>
      <c r="T490" s="273">
        <f t="shared" si="236"/>
        <v>4.2427311058533396E-3</v>
      </c>
      <c r="U490" s="274">
        <f t="shared" si="237"/>
        <v>1.0830503227685535</v>
      </c>
      <c r="V490" s="275">
        <f t="shared" si="238"/>
        <v>0.5777833972414339</v>
      </c>
      <c r="W490" s="276">
        <f t="shared" si="239"/>
        <v>-28.263488743392227</v>
      </c>
      <c r="X490" s="277">
        <f t="shared" si="248"/>
        <v>153.28296659791067</v>
      </c>
      <c r="Y490" s="299">
        <f t="shared" si="247"/>
        <v>-26.717033402089328</v>
      </c>
      <c r="AB490" s="278">
        <f t="shared" si="240"/>
        <v>-6.2161626054689219</v>
      </c>
      <c r="AC490" s="279">
        <f t="shared" si="241"/>
        <v>-58.902020215587825</v>
      </c>
      <c r="AF490" s="278">
        <f t="shared" si="242"/>
        <v>39.756206469058455</v>
      </c>
      <c r="AG490" s="279">
        <f t="shared" si="243"/>
        <v>-147.81501318650155</v>
      </c>
      <c r="AI490">
        <f t="shared" si="244"/>
        <v>0</v>
      </c>
      <c r="AJ490">
        <f t="shared" si="249"/>
        <v>0</v>
      </c>
      <c r="AK490">
        <f t="shared" si="245"/>
        <v>0</v>
      </c>
      <c r="AL490">
        <f t="shared" si="246"/>
        <v>0</v>
      </c>
      <c r="AM490"/>
      <c r="AN490"/>
    </row>
    <row r="491" spans="2:40" x14ac:dyDescent="0.2">
      <c r="B491" s="280">
        <v>60958</v>
      </c>
      <c r="C491" s="270">
        <f t="shared" si="219"/>
        <v>49.801394185941724</v>
      </c>
      <c r="D491" s="271">
        <f t="shared" si="220"/>
        <v>1.5507152180629584</v>
      </c>
      <c r="E491" s="271">
        <f t="shared" si="221"/>
        <v>1.0049461256462726</v>
      </c>
      <c r="F491" s="272">
        <f t="shared" si="222"/>
        <v>9.9255473649953435E-2</v>
      </c>
      <c r="G491" s="271">
        <f t="shared" si="223"/>
        <v>1.174965755388609</v>
      </c>
      <c r="H491" s="272">
        <f t="shared" si="224"/>
        <v>-0.55274100267745852</v>
      </c>
      <c r="I491" s="270">
        <f t="shared" si="225"/>
        <v>214518.00245159684</v>
      </c>
      <c r="J491" s="273">
        <f t="shared" si="226"/>
        <v>1.5707916651814722</v>
      </c>
      <c r="K491" s="281">
        <f t="shared" si="227"/>
        <v>32.18841172672343</v>
      </c>
      <c r="L491" s="282">
        <f t="shared" si="228"/>
        <v>1.5397242459794227</v>
      </c>
      <c r="M491" s="270">
        <f t="shared" si="229"/>
        <v>1.8491369648871934</v>
      </c>
      <c r="N491" s="273">
        <f t="shared" si="230"/>
        <v>0.99941696225940335</v>
      </c>
      <c r="O491" s="270">
        <f t="shared" si="231"/>
        <v>16853.047903721894</v>
      </c>
      <c r="P491" s="273">
        <f t="shared" si="232"/>
        <v>1.5707369903468962</v>
      </c>
      <c r="Q491" s="271">
        <f t="shared" si="233"/>
        <v>1.1609937742537844</v>
      </c>
      <c r="R491" s="272">
        <f t="shared" si="234"/>
        <v>0.53291247199347436</v>
      </c>
      <c r="S491" s="270">
        <f t="shared" si="235"/>
        <v>1.000009105003137</v>
      </c>
      <c r="T491" s="273">
        <f t="shared" si="236"/>
        <v>4.2673022047615217E-3</v>
      </c>
      <c r="U491" s="274">
        <f t="shared" si="237"/>
        <v>1.0840243134006335</v>
      </c>
      <c r="V491" s="275">
        <f t="shared" si="238"/>
        <v>0.58097353253636419</v>
      </c>
      <c r="W491" s="276">
        <f t="shared" si="239"/>
        <v>-28.342654443677013</v>
      </c>
      <c r="X491" s="277">
        <f t="shared" si="248"/>
        <v>152.83801855971944</v>
      </c>
      <c r="Y491" s="299">
        <f t="shared" si="247"/>
        <v>-27.161981440280556</v>
      </c>
      <c r="AB491" s="278">
        <f t="shared" si="240"/>
        <v>-6.2516405285919578</v>
      </c>
      <c r="AC491" s="279">
        <f t="shared" si="241"/>
        <v>-59.042405911890405</v>
      </c>
      <c r="AF491" s="278">
        <f t="shared" si="242"/>
        <v>39.712518691896705</v>
      </c>
      <c r="AG491" s="279">
        <f t="shared" si="243"/>
        <v>-148.11957552839016</v>
      </c>
      <c r="AI491">
        <f t="shared" si="244"/>
        <v>0</v>
      </c>
      <c r="AJ491">
        <f t="shared" si="249"/>
        <v>0</v>
      </c>
      <c r="AK491">
        <f t="shared" si="245"/>
        <v>0</v>
      </c>
      <c r="AL491">
        <f t="shared" si="246"/>
        <v>0</v>
      </c>
      <c r="AM491"/>
      <c r="AN491"/>
    </row>
    <row r="492" spans="2:40" x14ac:dyDescent="0.2">
      <c r="B492" s="280">
        <v>61309</v>
      </c>
      <c r="C492" s="270">
        <f t="shared" si="219"/>
        <v>50.088038457915061</v>
      </c>
      <c r="D492" s="271">
        <f t="shared" si="220"/>
        <v>1.5508301537279474</v>
      </c>
      <c r="E492" s="271">
        <f t="shared" si="221"/>
        <v>1.0050031076500443</v>
      </c>
      <c r="F492" s="272">
        <f t="shared" si="222"/>
        <v>9.9823214536047769E-2</v>
      </c>
      <c r="G492" s="271">
        <f t="shared" si="223"/>
        <v>1.1768345431958935</v>
      </c>
      <c r="H492" s="272">
        <f t="shared" si="224"/>
        <v>-0.55530985422584167</v>
      </c>
      <c r="I492" s="270">
        <f t="shared" si="225"/>
        <v>215753.21060899828</v>
      </c>
      <c r="J492" s="273">
        <f t="shared" si="226"/>
        <v>1.5707916918696634</v>
      </c>
      <c r="K492" s="281">
        <f t="shared" si="227"/>
        <v>32.373576252387416</v>
      </c>
      <c r="L492" s="282">
        <f t="shared" si="228"/>
        <v>1.5399020231736082</v>
      </c>
      <c r="M492" s="270">
        <f t="shared" si="229"/>
        <v>1.8566768102123157</v>
      </c>
      <c r="N492" s="273">
        <f t="shared" si="230"/>
        <v>1.0020256196416408</v>
      </c>
      <c r="O492" s="270">
        <f t="shared" si="231"/>
        <v>16950.088813749109</v>
      </c>
      <c r="P492" s="273">
        <f t="shared" si="232"/>
        <v>1.570737330053843</v>
      </c>
      <c r="Q492" s="271">
        <f t="shared" si="233"/>
        <v>1.1627229310302249</v>
      </c>
      <c r="R492" s="272">
        <f t="shared" si="234"/>
        <v>0.53542842216322339</v>
      </c>
      <c r="S492" s="270">
        <f t="shared" si="235"/>
        <v>1.000009210158894</v>
      </c>
      <c r="T492" s="273">
        <f t="shared" si="236"/>
        <v>4.2918732985170009E-3</v>
      </c>
      <c r="U492" s="274">
        <f t="shared" si="237"/>
        <v>1.0850041258972856</v>
      </c>
      <c r="V492" s="275">
        <f t="shared" si="238"/>
        <v>0.58416107063694134</v>
      </c>
      <c r="W492" s="276">
        <f t="shared" si="239"/>
        <v>-28.421448297196044</v>
      </c>
      <c r="X492" s="277">
        <f t="shared" si="248"/>
        <v>152.39486485131397</v>
      </c>
      <c r="Y492" s="299">
        <f t="shared" si="247"/>
        <v>-27.605135148686031</v>
      </c>
      <c r="AB492" s="278">
        <f t="shared" si="240"/>
        <v>-6.2870330417315747</v>
      </c>
      <c r="AC492" s="279">
        <f t="shared" si="241"/>
        <v>-59.181686616288495</v>
      </c>
      <c r="AF492" s="278">
        <f t="shared" si="242"/>
        <v>39.669117351517286</v>
      </c>
      <c r="AG492" s="279">
        <f t="shared" si="243"/>
        <v>-148.42344853239754</v>
      </c>
      <c r="AI492">
        <f t="shared" si="244"/>
        <v>0</v>
      </c>
      <c r="AJ492">
        <f t="shared" si="249"/>
        <v>0</v>
      </c>
      <c r="AK492">
        <f t="shared" si="245"/>
        <v>0</v>
      </c>
      <c r="AL492">
        <f t="shared" si="246"/>
        <v>0</v>
      </c>
      <c r="AM492"/>
      <c r="AN492"/>
    </row>
    <row r="493" spans="2:40" x14ac:dyDescent="0.2">
      <c r="B493" s="280">
        <v>61660</v>
      </c>
      <c r="C493" s="270">
        <f t="shared" si="219"/>
        <v>50.374683384031584</v>
      </c>
      <c r="D493" s="271">
        <f t="shared" si="220"/>
        <v>1.5509437813673357</v>
      </c>
      <c r="E493" s="271">
        <f t="shared" si="221"/>
        <v>1.0050604135593868</v>
      </c>
      <c r="F493" s="272">
        <f t="shared" si="222"/>
        <v>0.10039089086291048</v>
      </c>
      <c r="G493" s="271">
        <f t="shared" si="223"/>
        <v>1.178711072277473</v>
      </c>
      <c r="H493" s="272">
        <f t="shared" si="224"/>
        <v>-0.5578705433123814</v>
      </c>
      <c r="I493" s="270">
        <f t="shared" si="225"/>
        <v>216988.41876639993</v>
      </c>
      <c r="J493" s="273">
        <f t="shared" si="226"/>
        <v>1.5707917182540092</v>
      </c>
      <c r="K493" s="281">
        <f t="shared" si="227"/>
        <v>32.558741789571954</v>
      </c>
      <c r="L493" s="282">
        <f t="shared" si="228"/>
        <v>1.5400777782921067</v>
      </c>
      <c r="M493" s="270">
        <f t="shared" si="229"/>
        <v>1.864229188143536</v>
      </c>
      <c r="N493" s="273">
        <f t="shared" si="230"/>
        <v>1.0046131580927471</v>
      </c>
      <c r="O493" s="270">
        <f t="shared" si="231"/>
        <v>17047.12972377826</v>
      </c>
      <c r="P493" s="273">
        <f t="shared" si="232"/>
        <v>1.5707376658932213</v>
      </c>
      <c r="Q493" s="271">
        <f t="shared" si="233"/>
        <v>1.1644594259633025</v>
      </c>
      <c r="R493" s="272">
        <f t="shared" si="234"/>
        <v>0.5379368843732133</v>
      </c>
      <c r="S493" s="270">
        <f t="shared" si="235"/>
        <v>1.0000093159183949</v>
      </c>
      <c r="T493" s="273">
        <f t="shared" si="236"/>
        <v>4.3164443870901091E-3</v>
      </c>
      <c r="U493" s="274">
        <f t="shared" si="237"/>
        <v>1.0859897631275659</v>
      </c>
      <c r="V493" s="275">
        <f t="shared" si="238"/>
        <v>0.58734599963890488</v>
      </c>
      <c r="W493" s="276">
        <f t="shared" si="239"/>
        <v>-28.499873717543196</v>
      </c>
      <c r="X493" s="277">
        <f t="shared" si="248"/>
        <v>151.95349373986434</v>
      </c>
      <c r="Y493" s="299">
        <f t="shared" si="247"/>
        <v>-28.046506260135658</v>
      </c>
      <c r="AB493" s="278">
        <f t="shared" si="240"/>
        <v>-6.3223398911006932</v>
      </c>
      <c r="AC493" s="279">
        <f t="shared" si="241"/>
        <v>-59.319873134058568</v>
      </c>
      <c r="AF493" s="278">
        <f t="shared" si="242"/>
        <v>39.625998780539263</v>
      </c>
      <c r="AG493" s="279">
        <f t="shared" si="243"/>
        <v>-148.72663312607708</v>
      </c>
      <c r="AI493">
        <f t="shared" si="244"/>
        <v>0</v>
      </c>
      <c r="AJ493">
        <f t="shared" si="249"/>
        <v>0</v>
      </c>
      <c r="AK493">
        <f t="shared" si="245"/>
        <v>0</v>
      </c>
      <c r="AL493">
        <f t="shared" si="246"/>
        <v>0</v>
      </c>
      <c r="AM493"/>
      <c r="AN493"/>
    </row>
    <row r="494" spans="2:40" x14ac:dyDescent="0.2">
      <c r="B494" s="280">
        <v>62019</v>
      </c>
      <c r="C494" s="270">
        <f t="shared" si="219"/>
        <v>50.667862192942529</v>
      </c>
      <c r="D494" s="271">
        <f t="shared" si="220"/>
        <v>1.5510586688622794</v>
      </c>
      <c r="E494" s="271">
        <f t="shared" si="221"/>
        <v>1.0051193605919706</v>
      </c>
      <c r="F494" s="272">
        <f t="shared" si="222"/>
        <v>0.10097143852859031</v>
      </c>
      <c r="G494" s="271">
        <f t="shared" si="223"/>
        <v>1.1806383407216625</v>
      </c>
      <c r="H494" s="272">
        <f t="shared" si="224"/>
        <v>-0.56048115769481832</v>
      </c>
      <c r="I494" s="270">
        <f t="shared" si="225"/>
        <v>218251.77981627811</v>
      </c>
      <c r="J494" s="273">
        <f t="shared" si="226"/>
        <v>1.5707917449307722</v>
      </c>
      <c r="K494" s="281">
        <f t="shared" si="227"/>
        <v>32.74812865238146</v>
      </c>
      <c r="L494" s="282">
        <f t="shared" si="228"/>
        <v>1.5402554832333406</v>
      </c>
      <c r="M494" s="270">
        <f t="shared" si="229"/>
        <v>1.8719665062653028</v>
      </c>
      <c r="N494" s="273">
        <f t="shared" si="230"/>
        <v>1.0072380558847693</v>
      </c>
      <c r="O494" s="270">
        <f t="shared" si="231"/>
        <v>17146.382392442516</v>
      </c>
      <c r="P494" s="273">
        <f t="shared" si="232"/>
        <v>1.5707380054547049</v>
      </c>
      <c r="Q494" s="271">
        <f t="shared" si="233"/>
        <v>1.1662430559018993</v>
      </c>
      <c r="R494" s="272">
        <f t="shared" si="234"/>
        <v>0.54049477564369086</v>
      </c>
      <c r="S494" s="270">
        <f t="shared" si="235"/>
        <v>1.0000094247129101</v>
      </c>
      <c r="T494" s="273">
        <f t="shared" si="236"/>
        <v>4.3415754950821856E-3</v>
      </c>
      <c r="U494" s="274">
        <f t="shared" si="237"/>
        <v>1.0870038934002009</v>
      </c>
      <c r="V494" s="275">
        <f t="shared" si="238"/>
        <v>0.59060080828524342</v>
      </c>
      <c r="W494" s="276">
        <f t="shared" si="239"/>
        <v>-28.579709001986764</v>
      </c>
      <c r="X494" s="277">
        <f t="shared" si="248"/>
        <v>151.5038947672565</v>
      </c>
      <c r="Y494" s="299">
        <f t="shared" si="247"/>
        <v>-28.496105232743503</v>
      </c>
      <c r="AB494" s="278">
        <f t="shared" si="240"/>
        <v>-6.3583625943573949</v>
      </c>
      <c r="AC494" s="279">
        <f t="shared" si="241"/>
        <v>-59.460088484529273</v>
      </c>
      <c r="AF494" s="278">
        <f t="shared" si="242"/>
        <v>39.582186199352392</v>
      </c>
      <c r="AG494" s="279">
        <f t="shared" si="243"/>
        <v>-149.03601674821422</v>
      </c>
      <c r="AI494">
        <f t="shared" si="244"/>
        <v>0</v>
      </c>
      <c r="AJ494">
        <f t="shared" si="249"/>
        <v>0</v>
      </c>
      <c r="AK494">
        <f t="shared" si="245"/>
        <v>0</v>
      </c>
      <c r="AL494">
        <f t="shared" si="246"/>
        <v>0</v>
      </c>
      <c r="AM494"/>
      <c r="AN494"/>
    </row>
    <row r="495" spans="2:40" x14ac:dyDescent="0.2">
      <c r="B495" s="280">
        <v>62378</v>
      </c>
      <c r="C495" s="270">
        <f t="shared" si="219"/>
        <v>50.961041662930597</v>
      </c>
      <c r="D495" s="271">
        <f t="shared" si="220"/>
        <v>1.5511722344604977</v>
      </c>
      <c r="E495" s="271">
        <f t="shared" si="221"/>
        <v>1.0051786463457546</v>
      </c>
      <c r="F495" s="272">
        <f t="shared" si="222"/>
        <v>0.10155191790812408</v>
      </c>
      <c r="G495" s="271">
        <f t="shared" si="223"/>
        <v>1.1825736293203435</v>
      </c>
      <c r="H495" s="272">
        <f t="shared" si="224"/>
        <v>-0.56308324519189701</v>
      </c>
      <c r="I495" s="270">
        <f t="shared" si="225"/>
        <v>219515.14086615643</v>
      </c>
      <c r="J495" s="273">
        <f t="shared" si="226"/>
        <v>1.5707917713004735</v>
      </c>
      <c r="K495" s="281">
        <f t="shared" si="227"/>
        <v>32.937516537453078</v>
      </c>
      <c r="L495" s="282">
        <f t="shared" si="228"/>
        <v>1.5404311446038355</v>
      </c>
      <c r="M495" s="270">
        <f t="shared" si="229"/>
        <v>1.8797166161682128</v>
      </c>
      <c r="N495" s="273">
        <f t="shared" si="230"/>
        <v>1.0098413264764503</v>
      </c>
      <c r="O495" s="270">
        <f t="shared" si="231"/>
        <v>17245.635061108725</v>
      </c>
      <c r="P495" s="273">
        <f t="shared" si="232"/>
        <v>1.5707383411076767</v>
      </c>
      <c r="Q495" s="271">
        <f t="shared" si="233"/>
        <v>1.168034293011428</v>
      </c>
      <c r="R495" s="272">
        <f t="shared" si="234"/>
        <v>0.54304483825612182</v>
      </c>
      <c r="S495" s="270">
        <f t="shared" si="235"/>
        <v>1.0000095341390038</v>
      </c>
      <c r="T495" s="273">
        <f t="shared" si="236"/>
        <v>4.3667065975901897E-3</v>
      </c>
      <c r="U495" s="274">
        <f t="shared" si="237"/>
        <v>1.0880241230271674</v>
      </c>
      <c r="V495" s="275">
        <f t="shared" si="238"/>
        <v>0.59385286251988501</v>
      </c>
      <c r="W495" s="276">
        <f t="shared" si="239"/>
        <v>-28.659165959945668</v>
      </c>
      <c r="X495" s="277">
        <f t="shared" si="248"/>
        <v>151.05613606886982</v>
      </c>
      <c r="Y495" s="299">
        <f t="shared" si="247"/>
        <v>-28.943863931130181</v>
      </c>
      <c r="AB495" s="278">
        <f t="shared" si="240"/>
        <v>-6.3942952036753606</v>
      </c>
      <c r="AC495" s="279">
        <f t="shared" si="241"/>
        <v>-59.599181758082871</v>
      </c>
      <c r="AF495" s="278">
        <f t="shared" si="242"/>
        <v>39.538661850711449</v>
      </c>
      <c r="AG495" s="279">
        <f t="shared" si="243"/>
        <v>-149.34468217304732</v>
      </c>
      <c r="AI495">
        <f t="shared" si="244"/>
        <v>0</v>
      </c>
      <c r="AJ495">
        <f t="shared" si="249"/>
        <v>0</v>
      </c>
      <c r="AK495">
        <f t="shared" si="245"/>
        <v>0</v>
      </c>
      <c r="AL495">
        <f t="shared" si="246"/>
        <v>0</v>
      </c>
      <c r="AM495"/>
      <c r="AN495"/>
    </row>
    <row r="496" spans="2:40" x14ac:dyDescent="0.2">
      <c r="B496" s="280">
        <v>62737</v>
      </c>
      <c r="C496" s="270">
        <f t="shared" si="219"/>
        <v>51.25422178265152</v>
      </c>
      <c r="D496" s="271">
        <f t="shared" si="220"/>
        <v>1.5512845008432459</v>
      </c>
      <c r="E496" s="271">
        <f t="shared" si="221"/>
        <v>1.0052382707608087</v>
      </c>
      <c r="F496" s="272">
        <f t="shared" si="222"/>
        <v>0.1021323286224361</v>
      </c>
      <c r="G496" s="271">
        <f t="shared" si="223"/>
        <v>1.1845168987630259</v>
      </c>
      <c r="H496" s="272">
        <f t="shared" si="224"/>
        <v>-0.56567681244746382</v>
      </c>
      <c r="I496" s="270">
        <f t="shared" si="225"/>
        <v>220778.5019160349</v>
      </c>
      <c r="J496" s="273">
        <f t="shared" si="226"/>
        <v>1.570791797368384</v>
      </c>
      <c r="K496" s="281">
        <f t="shared" si="227"/>
        <v>33.12690542725386</v>
      </c>
      <c r="L496" s="282">
        <f t="shared" si="228"/>
        <v>1.5406047974423771</v>
      </c>
      <c r="M496" s="270">
        <f t="shared" si="229"/>
        <v>1.8874793602806801</v>
      </c>
      <c r="N496" s="273">
        <f t="shared" si="230"/>
        <v>1.0124232012067471</v>
      </c>
      <c r="O496" s="270">
        <f t="shared" si="231"/>
        <v>17344.887729776856</v>
      </c>
      <c r="P496" s="273">
        <f t="shared" si="232"/>
        <v>1.5707386729192341</v>
      </c>
      <c r="Q496" s="271">
        <f t="shared" si="233"/>
        <v>1.1698331023478101</v>
      </c>
      <c r="R496" s="272">
        <f t="shared" si="234"/>
        <v>0.54558707508301707</v>
      </c>
      <c r="S496" s="270">
        <f t="shared" si="235"/>
        <v>1.0000096441966759</v>
      </c>
      <c r="T496" s="273">
        <f t="shared" si="236"/>
        <v>4.3918376945823777E-3</v>
      </c>
      <c r="U496" s="274">
        <f t="shared" si="237"/>
        <v>1.0890504550868618</v>
      </c>
      <c r="V496" s="275">
        <f t="shared" si="238"/>
        <v>0.59710214977427645</v>
      </c>
      <c r="W496" s="276">
        <f t="shared" si="239"/>
        <v>-28.738248113006865</v>
      </c>
      <c r="X496" s="277">
        <f t="shared" si="248"/>
        <v>150.61020541543195</v>
      </c>
      <c r="Y496" s="299">
        <f t="shared" si="247"/>
        <v>-29.389794584568051</v>
      </c>
      <c r="AB496" s="278">
        <f t="shared" si="240"/>
        <v>-6.4301375034763755</v>
      </c>
      <c r="AC496" s="279">
        <f t="shared" si="241"/>
        <v>-59.737164202192673</v>
      </c>
      <c r="AF496" s="278">
        <f t="shared" si="242"/>
        <v>39.495421997451274</v>
      </c>
      <c r="AG496" s="279">
        <f t="shared" si="243"/>
        <v>-149.65263038237535</v>
      </c>
      <c r="AI496">
        <f t="shared" si="244"/>
        <v>0</v>
      </c>
      <c r="AJ496">
        <f t="shared" si="249"/>
        <v>0</v>
      </c>
      <c r="AK496">
        <f t="shared" si="245"/>
        <v>0</v>
      </c>
      <c r="AL496">
        <f t="shared" si="246"/>
        <v>0</v>
      </c>
      <c r="AM496"/>
      <c r="AN496"/>
    </row>
    <row r="497" spans="2:40" x14ac:dyDescent="0.2">
      <c r="B497" s="280">
        <v>63096</v>
      </c>
      <c r="C497" s="270">
        <f t="shared" si="219"/>
        <v>51.547402541019054</v>
      </c>
      <c r="D497" s="271">
        <f t="shared" si="220"/>
        <v>1.5513954901759042</v>
      </c>
      <c r="E497" s="271">
        <f t="shared" si="221"/>
        <v>1.0052982337768746</v>
      </c>
      <c r="F497" s="272">
        <f t="shared" si="222"/>
        <v>0.10271267029272539</v>
      </c>
      <c r="G497" s="271">
        <f t="shared" si="223"/>
        <v>1.1864681098351784</v>
      </c>
      <c r="H497" s="272">
        <f t="shared" si="224"/>
        <v>-0.56826186652042321</v>
      </c>
      <c r="I497" s="270">
        <f t="shared" si="225"/>
        <v>222041.86296591352</v>
      </c>
      <c r="J497" s="273">
        <f t="shared" si="226"/>
        <v>1.5707918231396549</v>
      </c>
      <c r="K497" s="281">
        <f t="shared" si="227"/>
        <v>33.316295304649451</v>
      </c>
      <c r="L497" s="282">
        <f t="shared" si="228"/>
        <v>1.5407764759915163</v>
      </c>
      <c r="M497" s="270">
        <f t="shared" si="229"/>
        <v>1.8952545833579164</v>
      </c>
      <c r="N497" s="273">
        <f t="shared" si="230"/>
        <v>1.0149839087686605</v>
      </c>
      <c r="O497" s="270">
        <f t="shared" si="231"/>
        <v>17444.140398446882</v>
      </c>
      <c r="P497" s="273">
        <f t="shared" si="232"/>
        <v>1.5707390009549465</v>
      </c>
      <c r="Q497" s="271">
        <f t="shared" si="233"/>
        <v>1.1716394490342954</v>
      </c>
      <c r="R497" s="272">
        <f t="shared" si="234"/>
        <v>0.54812148938390459</v>
      </c>
      <c r="S497" s="270">
        <f t="shared" si="235"/>
        <v>1.0000097548859259</v>
      </c>
      <c r="T497" s="273">
        <f t="shared" si="236"/>
        <v>4.4169687860270077E-3</v>
      </c>
      <c r="U497" s="274">
        <f t="shared" si="237"/>
        <v>1.0900828926602313</v>
      </c>
      <c r="V497" s="275">
        <f t="shared" si="238"/>
        <v>0.60034865753714173</v>
      </c>
      <c r="W497" s="276">
        <f t="shared" si="239"/>
        <v>-28.816958940258253</v>
      </c>
      <c r="X497" s="277">
        <f t="shared" si="248"/>
        <v>150.16609068616921</v>
      </c>
      <c r="Y497" s="299">
        <f t="shared" si="247"/>
        <v>-29.833909313830787</v>
      </c>
      <c r="AB497" s="278">
        <f t="shared" si="240"/>
        <v>-6.4658892959803111</v>
      </c>
      <c r="AC497" s="279">
        <f t="shared" si="241"/>
        <v>-59.874046958343996</v>
      </c>
      <c r="AF497" s="278">
        <f t="shared" si="242"/>
        <v>39.452462962703819</v>
      </c>
      <c r="AG497" s="279">
        <f t="shared" si="243"/>
        <v>-149.95986235548679</v>
      </c>
      <c r="AI497">
        <f t="shared" si="244"/>
        <v>0</v>
      </c>
      <c r="AJ497">
        <f t="shared" si="249"/>
        <v>0</v>
      </c>
      <c r="AK497">
        <f t="shared" si="245"/>
        <v>0</v>
      </c>
      <c r="AL497">
        <f t="shared" si="246"/>
        <v>0</v>
      </c>
      <c r="AM497"/>
      <c r="AN497"/>
    </row>
    <row r="498" spans="2:40" x14ac:dyDescent="0.2">
      <c r="B498" s="280">
        <v>63463.25</v>
      </c>
      <c r="C498" s="270">
        <f t="shared" si="219"/>
        <v>51.84732138974622</v>
      </c>
      <c r="D498" s="271">
        <f t="shared" si="220"/>
        <v>1.5515077312762684</v>
      </c>
      <c r="E498" s="271">
        <f t="shared" si="221"/>
        <v>1.0053599250721934</v>
      </c>
      <c r="F498" s="272">
        <f t="shared" si="222"/>
        <v>0.10330627666865227</v>
      </c>
      <c r="G498" s="271">
        <f t="shared" si="223"/>
        <v>1.1884723374116097</v>
      </c>
      <c r="H498" s="272">
        <f t="shared" si="224"/>
        <v>-0.57089752533452665</v>
      </c>
      <c r="I498" s="270">
        <f t="shared" si="225"/>
        <v>223334.25668615857</v>
      </c>
      <c r="J498" s="273">
        <f t="shared" si="226"/>
        <v>1.5707918492014685</v>
      </c>
      <c r="K498" s="281">
        <f t="shared" si="227"/>
        <v>33.510038460825783</v>
      </c>
      <c r="L498" s="282">
        <f t="shared" si="228"/>
        <v>1.5409500918259178</v>
      </c>
      <c r="M498" s="270">
        <f t="shared" si="229"/>
        <v>1.903221237912178</v>
      </c>
      <c r="N498" s="273">
        <f t="shared" si="230"/>
        <v>1.0175817959661828</v>
      </c>
      <c r="O498" s="270">
        <f t="shared" si="231"/>
        <v>17545.673943209422</v>
      </c>
      <c r="P498" s="273">
        <f t="shared" si="232"/>
        <v>1.5707393326888976</v>
      </c>
      <c r="Q498" s="271">
        <f t="shared" si="233"/>
        <v>1.1734950693396022</v>
      </c>
      <c r="R498" s="272">
        <f t="shared" si="234"/>
        <v>0.55070605535532813</v>
      </c>
      <c r="S498" s="270">
        <f t="shared" si="235"/>
        <v>1.0000098687723857</v>
      </c>
      <c r="T498" s="273">
        <f t="shared" si="236"/>
        <v>4.4426773967802353E-3</v>
      </c>
      <c r="U498" s="274">
        <f t="shared" si="237"/>
        <v>1.0911453769690529</v>
      </c>
      <c r="V498" s="275">
        <f t="shared" si="238"/>
        <v>0.60366688265487101</v>
      </c>
      <c r="W498" s="276">
        <f t="shared" si="239"/>
        <v>-28.897097941788338</v>
      </c>
      <c r="X498" s="277">
        <f t="shared" si="248"/>
        <v>149.71363645312513</v>
      </c>
      <c r="Y498" s="299">
        <f t="shared" si="247"/>
        <v>-30.286363546874867</v>
      </c>
      <c r="AB498" s="278">
        <f t="shared" si="240"/>
        <v>-6.5023688434539526</v>
      </c>
      <c r="AC498" s="279">
        <f t="shared" si="241"/>
        <v>-60.0129489690772</v>
      </c>
      <c r="AF498" s="278">
        <f t="shared" si="242"/>
        <v>39.408803508647374</v>
      </c>
      <c r="AG498" s="279">
        <f t="shared" si="243"/>
        <v>-150.27341457779767</v>
      </c>
      <c r="AI498">
        <f t="shared" si="244"/>
        <v>0</v>
      </c>
      <c r="AJ498">
        <f t="shared" si="249"/>
        <v>0</v>
      </c>
      <c r="AK498">
        <f t="shared" si="245"/>
        <v>0</v>
      </c>
      <c r="AL498">
        <f t="shared" si="246"/>
        <v>0</v>
      </c>
      <c r="AM498"/>
      <c r="AN498"/>
    </row>
    <row r="499" spans="2:40" x14ac:dyDescent="0.2">
      <c r="B499" s="280">
        <v>63830.5</v>
      </c>
      <c r="C499" s="270">
        <f t="shared" si="219"/>
        <v>52.147240884135954</v>
      </c>
      <c r="D499" s="271">
        <f t="shared" si="220"/>
        <v>1.5516186812917196</v>
      </c>
      <c r="E499" s="271">
        <f t="shared" si="221"/>
        <v>1.0054219705811647</v>
      </c>
      <c r="F499" s="272">
        <f t="shared" si="222"/>
        <v>0.10389980998971587</v>
      </c>
      <c r="G499" s="271">
        <f t="shared" si="223"/>
        <v>1.1904847931138753</v>
      </c>
      <c r="H499" s="272">
        <f t="shared" si="224"/>
        <v>-0.57352429144278594</v>
      </c>
      <c r="I499" s="270">
        <f t="shared" si="225"/>
        <v>224626.65040640379</v>
      </c>
      <c r="J499" s="273">
        <f t="shared" si="226"/>
        <v>1.5707918749633878</v>
      </c>
      <c r="K499" s="281">
        <f t="shared" si="227"/>
        <v>33.70378261546437</v>
      </c>
      <c r="L499" s="282">
        <f t="shared" si="228"/>
        <v>1.5411217116252092</v>
      </c>
      <c r="M499" s="270">
        <f t="shared" si="229"/>
        <v>1.9112006302050744</v>
      </c>
      <c r="N499" s="273">
        <f t="shared" si="230"/>
        <v>1.0201580077193104</v>
      </c>
      <c r="O499" s="270">
        <f t="shared" si="231"/>
        <v>17647.207487973879</v>
      </c>
      <c r="P499" s="273">
        <f t="shared" si="232"/>
        <v>1.5707396606055737</v>
      </c>
      <c r="Q499" s="271">
        <f t="shared" si="233"/>
        <v>1.1753585037877781</v>
      </c>
      <c r="R499" s="272">
        <f t="shared" si="234"/>
        <v>0.55328244325713949</v>
      </c>
      <c r="S499" s="270">
        <f t="shared" si="235"/>
        <v>1.0000099833197849</v>
      </c>
      <c r="T499" s="273">
        <f t="shared" si="236"/>
        <v>4.468386001660803E-3</v>
      </c>
      <c r="U499" s="274">
        <f t="shared" si="237"/>
        <v>1.0922142571612534</v>
      </c>
      <c r="V499" s="275">
        <f t="shared" si="238"/>
        <v>0.60698217276291389</v>
      </c>
      <c r="W499" s="276">
        <f t="shared" si="239"/>
        <v>-28.976855587304648</v>
      </c>
      <c r="X499" s="277">
        <f t="shared" si="248"/>
        <v>149.26305725052143</v>
      </c>
      <c r="Y499" s="299">
        <f t="shared" si="247"/>
        <v>-30.736942749478573</v>
      </c>
      <c r="AB499" s="278">
        <f t="shared" si="240"/>
        <v>-6.5387533121374073</v>
      </c>
      <c r="AC499" s="279">
        <f t="shared" si="241"/>
        <v>-60.150723415532369</v>
      </c>
      <c r="AF499" s="278">
        <f t="shared" si="242"/>
        <v>39.365430331814522</v>
      </c>
      <c r="AG499" s="279">
        <f t="shared" si="243"/>
        <v>-150.58621933394619</v>
      </c>
      <c r="AI499">
        <f t="shared" si="244"/>
        <v>0</v>
      </c>
      <c r="AJ499">
        <f t="shared" si="249"/>
        <v>0</v>
      </c>
      <c r="AK499">
        <f t="shared" si="245"/>
        <v>0</v>
      </c>
      <c r="AL499">
        <f t="shared" si="246"/>
        <v>0</v>
      </c>
      <c r="AM499"/>
      <c r="AN499"/>
    </row>
    <row r="500" spans="2:40" x14ac:dyDescent="0.2">
      <c r="B500" s="280">
        <v>64197.75</v>
      </c>
      <c r="C500" s="270">
        <f t="shared" si="219"/>
        <v>52.447161013111575</v>
      </c>
      <c r="D500" s="271">
        <f t="shared" si="220"/>
        <v>1.5517283623687868</v>
      </c>
      <c r="E500" s="271">
        <f t="shared" si="221"/>
        <v>1.0054843702382155</v>
      </c>
      <c r="F500" s="272">
        <f t="shared" si="222"/>
        <v>0.10449326985129713</v>
      </c>
      <c r="G500" s="271">
        <f t="shared" si="223"/>
        <v>1.1925054352849609</v>
      </c>
      <c r="H500" s="272">
        <f t="shared" si="224"/>
        <v>-0.57614217370973597</v>
      </c>
      <c r="I500" s="270">
        <f t="shared" si="225"/>
        <v>225919.04412664915</v>
      </c>
      <c r="J500" s="273">
        <f t="shared" si="226"/>
        <v>1.5707919004305595</v>
      </c>
      <c r="K500" s="281">
        <f t="shared" si="227"/>
        <v>33.897527751444841</v>
      </c>
      <c r="L500" s="282">
        <f t="shared" si="228"/>
        <v>1.5412913696048831</v>
      </c>
      <c r="M500" s="270">
        <f t="shared" si="229"/>
        <v>1.9191926013582163</v>
      </c>
      <c r="N500" s="273">
        <f t="shared" si="230"/>
        <v>1.0227127804026503</v>
      </c>
      <c r="O500" s="270">
        <f t="shared" si="231"/>
        <v>17748.74103274021</v>
      </c>
      <c r="P500" s="273">
        <f t="shared" si="232"/>
        <v>1.5707399847704857</v>
      </c>
      <c r="Q500" s="271">
        <f t="shared" si="233"/>
        <v>1.1772297152718523</v>
      </c>
      <c r="R500" s="272">
        <f t="shared" si="234"/>
        <v>0.55585065780275633</v>
      </c>
      <c r="S500" s="270">
        <f t="shared" si="235"/>
        <v>1.0000100985281226</v>
      </c>
      <c r="T500" s="273">
        <f t="shared" si="236"/>
        <v>4.4940946006347317E-3</v>
      </c>
      <c r="U500" s="274">
        <f t="shared" si="237"/>
        <v>1.0932895365421857</v>
      </c>
      <c r="V500" s="275">
        <f t="shared" si="238"/>
        <v>0.61029451465523454</v>
      </c>
      <c r="W500" s="276">
        <f t="shared" si="239"/>
        <v>-29.056235468122438</v>
      </c>
      <c r="X500" s="277">
        <f t="shared" si="248"/>
        <v>148.81434045186322</v>
      </c>
      <c r="Y500" s="299">
        <f t="shared" si="247"/>
        <v>-31.185659548136783</v>
      </c>
      <c r="AB500" s="278">
        <f t="shared" si="240"/>
        <v>-6.575042544786756</v>
      </c>
      <c r="AC500" s="279">
        <f t="shared" si="241"/>
        <v>-60.287381880868466</v>
      </c>
      <c r="AF500" s="278">
        <f t="shared" si="242"/>
        <v>39.322339683646078</v>
      </c>
      <c r="AG500" s="279">
        <f t="shared" si="243"/>
        <v>-150.8982776672683</v>
      </c>
      <c r="AI500">
        <f t="shared" si="244"/>
        <v>0</v>
      </c>
      <c r="AJ500">
        <f t="shared" si="249"/>
        <v>0</v>
      </c>
      <c r="AK500">
        <f t="shared" si="245"/>
        <v>0</v>
      </c>
      <c r="AL500">
        <f t="shared" si="246"/>
        <v>0</v>
      </c>
      <c r="AM500"/>
      <c r="AN500"/>
    </row>
    <row r="501" spans="2:40" x14ac:dyDescent="0.2">
      <c r="B501" s="280">
        <v>64565</v>
      </c>
      <c r="C501" s="270">
        <f t="shared" si="219"/>
        <v>52.747081765848314</v>
      </c>
      <c r="D501" s="271">
        <f t="shared" si="220"/>
        <v>1.5518367961504203</v>
      </c>
      <c r="E501" s="271">
        <f t="shared" si="221"/>
        <v>1.0055471239774159</v>
      </c>
      <c r="F501" s="272">
        <f t="shared" si="222"/>
        <v>0.10508665584908408</v>
      </c>
      <c r="G501" s="271">
        <f t="shared" si="223"/>
        <v>1.1945342223808317</v>
      </c>
      <c r="H501" s="272">
        <f t="shared" si="224"/>
        <v>-0.57875118142712112</v>
      </c>
      <c r="I501" s="270">
        <f t="shared" si="225"/>
        <v>227211.43784689467</v>
      </c>
      <c r="J501" s="273">
        <f t="shared" si="226"/>
        <v>1.5707919256080132</v>
      </c>
      <c r="K501" s="281">
        <f t="shared" si="227"/>
        <v>34.091273852035897</v>
      </c>
      <c r="L501" s="282">
        <f t="shared" si="228"/>
        <v>1.5414590992030819</v>
      </c>
      <c r="M501" s="270">
        <f t="shared" si="229"/>
        <v>1.9271969948802581</v>
      </c>
      <c r="N501" s="273">
        <f t="shared" si="230"/>
        <v>1.0252463475925089</v>
      </c>
      <c r="O501" s="270">
        <f t="shared" si="231"/>
        <v>17850.274577508386</v>
      </c>
      <c r="P501" s="273">
        <f t="shared" si="232"/>
        <v>1.5707403052476547</v>
      </c>
      <c r="Q501" s="271">
        <f t="shared" si="233"/>
        <v>1.1791086667660298</v>
      </c>
      <c r="R501" s="272">
        <f t="shared" si="234"/>
        <v>0.55841070410701033</v>
      </c>
      <c r="S501" s="270">
        <f t="shared" si="235"/>
        <v>1.0000102143973988</v>
      </c>
      <c r="T501" s="273">
        <f t="shared" si="236"/>
        <v>4.5198031936680393E-3</v>
      </c>
      <c r="U501" s="274">
        <f t="shared" si="237"/>
        <v>1.0943712184191849</v>
      </c>
      <c r="V501" s="275">
        <f t="shared" si="238"/>
        <v>0.61360389518965974</v>
      </c>
      <c r="W501" s="276">
        <f t="shared" si="239"/>
        <v>-29.135241132228273</v>
      </c>
      <c r="X501" s="277">
        <f t="shared" si="248"/>
        <v>148.3674735471885</v>
      </c>
      <c r="Y501" s="299">
        <f t="shared" si="247"/>
        <v>-31.632526452811504</v>
      </c>
      <c r="AB501" s="278">
        <f t="shared" si="240"/>
        <v>-6.6112364014461722</v>
      </c>
      <c r="AC501" s="279">
        <f t="shared" si="241"/>
        <v>-60.422935832445795</v>
      </c>
      <c r="AF501" s="278">
        <f t="shared" si="242"/>
        <v>39.279527876199658</v>
      </c>
      <c r="AG501" s="279">
        <f t="shared" si="243"/>
        <v>-151.20959062036573</v>
      </c>
      <c r="AI501">
        <f t="shared" si="244"/>
        <v>0</v>
      </c>
      <c r="AJ501">
        <f t="shared" si="249"/>
        <v>0</v>
      </c>
      <c r="AK501">
        <f t="shared" si="245"/>
        <v>0</v>
      </c>
      <c r="AL501">
        <f t="shared" si="246"/>
        <v>0</v>
      </c>
      <c r="AM501"/>
      <c r="AN501"/>
    </row>
    <row r="502" spans="2:40" x14ac:dyDescent="0.2">
      <c r="B502" s="280">
        <v>64941</v>
      </c>
      <c r="C502" s="270">
        <f t="shared" si="219"/>
        <v>53.054148985181953</v>
      </c>
      <c r="D502" s="271">
        <f t="shared" si="220"/>
        <v>1.5519465433068891</v>
      </c>
      <c r="E502" s="271">
        <f t="shared" si="221"/>
        <v>1.0056117396382003</v>
      </c>
      <c r="F502" s="272">
        <f t="shared" si="222"/>
        <v>0.10569410275607609</v>
      </c>
      <c r="G502" s="271">
        <f t="shared" si="223"/>
        <v>1.1966197418769702</v>
      </c>
      <c r="H502" s="272">
        <f t="shared" si="224"/>
        <v>-0.58141316657467634</v>
      </c>
      <c r="I502" s="270">
        <f t="shared" si="225"/>
        <v>228534.62379328639</v>
      </c>
      <c r="J502" s="273">
        <f t="shared" si="226"/>
        <v>1.5707919510903168</v>
      </c>
      <c r="K502" s="281">
        <f t="shared" si="227"/>
        <v>34.289637077538771</v>
      </c>
      <c r="L502" s="282">
        <f t="shared" si="228"/>
        <v>1.5416288613596081</v>
      </c>
      <c r="M502" s="270">
        <f t="shared" si="229"/>
        <v>1.9354048078383306</v>
      </c>
      <c r="N502" s="273">
        <f t="shared" si="230"/>
        <v>1.0278185505077517</v>
      </c>
      <c r="O502" s="270">
        <f t="shared" si="231"/>
        <v>17954.227233283804</v>
      </c>
      <c r="P502" s="273">
        <f t="shared" si="232"/>
        <v>1.5707406296051749</v>
      </c>
      <c r="Q502" s="271">
        <f t="shared" si="233"/>
        <v>1.181040365901592</v>
      </c>
      <c r="R502" s="272">
        <f t="shared" si="234"/>
        <v>0.56102328866350426</v>
      </c>
      <c r="S502" s="270">
        <f t="shared" si="235"/>
        <v>1.0000103337120925</v>
      </c>
      <c r="T502" s="273">
        <f t="shared" si="236"/>
        <v>4.5461243065535633E-3</v>
      </c>
      <c r="U502" s="274">
        <f t="shared" si="237"/>
        <v>1.0954853087435581</v>
      </c>
      <c r="V502" s="275">
        <f t="shared" si="238"/>
        <v>0.61698904244754804</v>
      </c>
      <c r="W502" s="276">
        <f t="shared" si="239"/>
        <v>-29.215745127455289</v>
      </c>
      <c r="X502" s="277">
        <f t="shared" si="248"/>
        <v>147.91186330133635</v>
      </c>
      <c r="Y502" s="299">
        <f t="shared" si="247"/>
        <v>-32.088136698663646</v>
      </c>
      <c r="AB502" s="278">
        <f t="shared" si="240"/>
        <v>-6.648193663021936</v>
      </c>
      <c r="AC502" s="279">
        <f t="shared" si="241"/>
        <v>-60.56058700847894</v>
      </c>
      <c r="AF502" s="278">
        <f t="shared" si="242"/>
        <v>39.235981142548404</v>
      </c>
      <c r="AG502" s="279">
        <f t="shared" si="243"/>
        <v>-151.52754969018477</v>
      </c>
      <c r="AI502">
        <f t="shared" si="244"/>
        <v>0</v>
      </c>
      <c r="AJ502">
        <f t="shared" si="249"/>
        <v>0</v>
      </c>
      <c r="AK502">
        <f t="shared" si="245"/>
        <v>0</v>
      </c>
      <c r="AL502">
        <f t="shared" si="246"/>
        <v>0</v>
      </c>
      <c r="AM502"/>
      <c r="AN502"/>
    </row>
    <row r="503" spans="2:40" x14ac:dyDescent="0.2">
      <c r="B503" s="280">
        <v>65317</v>
      </c>
      <c r="C503" s="270">
        <f t="shared" si="219"/>
        <v>53.361216836168673</v>
      </c>
      <c r="D503" s="271">
        <f t="shared" si="220"/>
        <v>1.5520550273816307</v>
      </c>
      <c r="E503" s="271">
        <f t="shared" si="221"/>
        <v>1.0056767263136532</v>
      </c>
      <c r="F503" s="272">
        <f t="shared" si="222"/>
        <v>0.10630147138090655</v>
      </c>
      <c r="G503" s="271">
        <f t="shared" si="223"/>
        <v>1.1987137112779336</v>
      </c>
      <c r="H503" s="272">
        <f t="shared" si="224"/>
        <v>-0.58406587030381918</v>
      </c>
      <c r="I503" s="270">
        <f t="shared" si="225"/>
        <v>229857.80973967828</v>
      </c>
      <c r="J503" s="273">
        <f t="shared" si="226"/>
        <v>1.5707919762792404</v>
      </c>
      <c r="K503" s="281">
        <f t="shared" si="227"/>
        <v>34.488001279873615</v>
      </c>
      <c r="L503" s="282">
        <f t="shared" si="228"/>
        <v>1.5417966706832116</v>
      </c>
      <c r="M503" s="270">
        <f t="shared" si="229"/>
        <v>1.9436253176762293</v>
      </c>
      <c r="N503" s="273">
        <f t="shared" si="230"/>
        <v>1.0303690120557565</v>
      </c>
      <c r="O503" s="270">
        <f t="shared" si="231"/>
        <v>18058.179889061092</v>
      </c>
      <c r="P503" s="273">
        <f t="shared" si="232"/>
        <v>1.5707409502283405</v>
      </c>
      <c r="Q503" s="271">
        <f t="shared" si="233"/>
        <v>1.1829800999851887</v>
      </c>
      <c r="R503" s="272">
        <f t="shared" si="234"/>
        <v>0.56362732322871811</v>
      </c>
      <c r="S503" s="270">
        <f t="shared" si="235"/>
        <v>1.0000104537195942</v>
      </c>
      <c r="T503" s="273">
        <f t="shared" si="236"/>
        <v>4.5724454131399273E-3</v>
      </c>
      <c r="U503" s="274">
        <f t="shared" si="237"/>
        <v>1.0966061173084969</v>
      </c>
      <c r="V503" s="275">
        <f t="shared" si="238"/>
        <v>0.62037105787977642</v>
      </c>
      <c r="W503" s="276">
        <f t="shared" si="239"/>
        <v>-29.295864252380881</v>
      </c>
      <c r="X503" s="277">
        <f t="shared" si="248"/>
        <v>147.45816598230275</v>
      </c>
      <c r="Y503" s="299">
        <f t="shared" si="247"/>
        <v>-32.541834017697255</v>
      </c>
      <c r="AB503" s="278">
        <f t="shared" si="240"/>
        <v>-6.6850507060383837</v>
      </c>
      <c r="AC503" s="279">
        <f t="shared" si="241"/>
        <v>-60.697104368203604</v>
      </c>
      <c r="AF503" s="278">
        <f t="shared" si="242"/>
        <v>39.19271906063927</v>
      </c>
      <c r="AG503" s="279">
        <f t="shared" si="243"/>
        <v>-151.84472964949367</v>
      </c>
      <c r="AI503">
        <f t="shared" si="244"/>
        <v>0</v>
      </c>
      <c r="AJ503">
        <f t="shared" si="249"/>
        <v>0</v>
      </c>
      <c r="AK503">
        <f t="shared" si="245"/>
        <v>0</v>
      </c>
      <c r="AL503">
        <f t="shared" si="246"/>
        <v>0</v>
      </c>
      <c r="AM503"/>
      <c r="AN503"/>
    </row>
    <row r="504" spans="2:40" x14ac:dyDescent="0.2">
      <c r="B504" s="280">
        <v>65693</v>
      </c>
      <c r="C504" s="270">
        <f t="shared" si="219"/>
        <v>53.668285307966293</v>
      </c>
      <c r="D504" s="271">
        <f t="shared" si="220"/>
        <v>1.5521622700526156</v>
      </c>
      <c r="E504" s="271">
        <f t="shared" si="221"/>
        <v>1.0057420839318543</v>
      </c>
      <c r="F504" s="272">
        <f t="shared" si="222"/>
        <v>0.10690876129068135</v>
      </c>
      <c r="G504" s="271">
        <f t="shared" si="223"/>
        <v>1.2008160863791795</v>
      </c>
      <c r="H504" s="272">
        <f t="shared" si="224"/>
        <v>-0.58670930393339393</v>
      </c>
      <c r="I504" s="270">
        <f t="shared" si="225"/>
        <v>231180.99568607032</v>
      </c>
      <c r="J504" s="273">
        <f t="shared" si="226"/>
        <v>1.5707920011798215</v>
      </c>
      <c r="K504" s="281">
        <f t="shared" si="227"/>
        <v>34.686366442281525</v>
      </c>
      <c r="L504" s="282">
        <f t="shared" si="228"/>
        <v>1.5419625606680722</v>
      </c>
      <c r="M504" s="270">
        <f t="shared" si="229"/>
        <v>1.9518583639701921</v>
      </c>
      <c r="N504" s="273">
        <f t="shared" si="230"/>
        <v>1.0328979739637978</v>
      </c>
      <c r="O504" s="270">
        <f t="shared" si="231"/>
        <v>18162.132544840217</v>
      </c>
      <c r="P504" s="273">
        <f t="shared" si="232"/>
        <v>1.5707412671812726</v>
      </c>
      <c r="Q504" s="271">
        <f t="shared" si="233"/>
        <v>1.184927829557044</v>
      </c>
      <c r="R504" s="272">
        <f t="shared" si="234"/>
        <v>0.56622281456265111</v>
      </c>
      <c r="S504" s="270">
        <f t="shared" si="235"/>
        <v>1.0000105744199035</v>
      </c>
      <c r="T504" s="273">
        <f t="shared" si="236"/>
        <v>4.5987665133906622E-3</v>
      </c>
      <c r="U504" s="274">
        <f t="shared" si="237"/>
        <v>1.0977336476685391</v>
      </c>
      <c r="V504" s="275">
        <f t="shared" si="238"/>
        <v>0.62374992759214265</v>
      </c>
      <c r="W504" s="276">
        <f t="shared" si="239"/>
        <v>-29.375602178377918</v>
      </c>
      <c r="X504" s="277">
        <f t="shared" si="248"/>
        <v>147.00636853961947</v>
      </c>
      <c r="Y504" s="299">
        <f t="shared" si="247"/>
        <v>-32.993631460380527</v>
      </c>
      <c r="AB504" s="278">
        <f t="shared" si="240"/>
        <v>-6.72180743323878</v>
      </c>
      <c r="AC504" s="279">
        <f t="shared" si="241"/>
        <v>-60.832499842785914</v>
      </c>
      <c r="AF504" s="278">
        <f t="shared" si="242"/>
        <v>39.149737861842624</v>
      </c>
      <c r="AG504" s="279">
        <f t="shared" si="243"/>
        <v>-152.16113161759458</v>
      </c>
      <c r="AI504">
        <f t="shared" si="244"/>
        <v>0</v>
      </c>
      <c r="AJ504">
        <f t="shared" si="249"/>
        <v>0</v>
      </c>
      <c r="AK504">
        <f t="shared" si="245"/>
        <v>0</v>
      </c>
      <c r="AL504">
        <f t="shared" si="246"/>
        <v>0</v>
      </c>
      <c r="AM504"/>
      <c r="AN504"/>
    </row>
    <row r="505" spans="2:40" x14ac:dyDescent="0.2">
      <c r="B505" s="280">
        <v>66069</v>
      </c>
      <c r="C505" s="270">
        <f t="shared" si="219"/>
        <v>53.975354389979351</v>
      </c>
      <c r="D505" s="271">
        <f t="shared" si="220"/>
        <v>1.552268292504621</v>
      </c>
      <c r="E505" s="271">
        <f t="shared" si="221"/>
        <v>1.0058078124204919</v>
      </c>
      <c r="F505" s="272">
        <f t="shared" si="222"/>
        <v>0.10751597205285079</v>
      </c>
      <c r="G505" s="271">
        <f t="shared" si="223"/>
        <v>1.2029268231083645</v>
      </c>
      <c r="H505" s="272">
        <f t="shared" si="224"/>
        <v>-0.58934347922148966</v>
      </c>
      <c r="I505" s="270">
        <f t="shared" si="225"/>
        <v>232504.18163246248</v>
      </c>
      <c r="J505" s="273">
        <f t="shared" si="226"/>
        <v>1.5707920257969834</v>
      </c>
      <c r="K505" s="281">
        <f t="shared" si="227"/>
        <v>34.884732548384697</v>
      </c>
      <c r="L505" s="282">
        <f t="shared" si="228"/>
        <v>1.5421265640469619</v>
      </c>
      <c r="M505" s="270">
        <f t="shared" si="229"/>
        <v>1.9601037887491666</v>
      </c>
      <c r="N505" s="273">
        <f t="shared" si="230"/>
        <v>1.035405675001057</v>
      </c>
      <c r="O505" s="270">
        <f t="shared" si="231"/>
        <v>18266.085200621143</v>
      </c>
      <c r="P505" s="273">
        <f t="shared" si="232"/>
        <v>1.570741580526634</v>
      </c>
      <c r="Q505" s="271">
        <f t="shared" si="233"/>
        <v>1.186883515254284</v>
      </c>
      <c r="R505" s="272">
        <f t="shared" si="234"/>
        <v>0.56880976984143516</v>
      </c>
      <c r="S505" s="270">
        <f t="shared" si="235"/>
        <v>1.0000106958130204</v>
      </c>
      <c r="T505" s="273">
        <f t="shared" si="236"/>
        <v>4.625087607269299E-3</v>
      </c>
      <c r="U505" s="274">
        <f t="shared" si="237"/>
        <v>1.0988679033795044</v>
      </c>
      <c r="V505" s="275">
        <f t="shared" si="238"/>
        <v>0.62712563776184349</v>
      </c>
      <c r="W505" s="276">
        <f t="shared" si="239"/>
        <v>-29.454962532415344</v>
      </c>
      <c r="X505" s="277">
        <f t="shared" si="248"/>
        <v>146.55645804770566</v>
      </c>
      <c r="Y505" s="299">
        <f t="shared" si="247"/>
        <v>-33.443541952294339</v>
      </c>
      <c r="AB505" s="278">
        <f t="shared" si="240"/>
        <v>-6.7584637641261409</v>
      </c>
      <c r="AC505" s="279">
        <f t="shared" si="241"/>
        <v>-60.966785237524661</v>
      </c>
      <c r="AF505" s="278">
        <f t="shared" si="242"/>
        <v>39.107033838692558</v>
      </c>
      <c r="AG505" s="279">
        <f t="shared" si="243"/>
        <v>-152.47675671476969</v>
      </c>
      <c r="AI505">
        <f t="shared" si="244"/>
        <v>0</v>
      </c>
      <c r="AJ505">
        <f t="shared" si="249"/>
        <v>0</v>
      </c>
      <c r="AK505">
        <f t="shared" si="245"/>
        <v>0</v>
      </c>
      <c r="AL505">
        <f t="shared" si="246"/>
        <v>0</v>
      </c>
      <c r="AM505"/>
      <c r="AN505"/>
    </row>
    <row r="506" spans="2:40" x14ac:dyDescent="0.2">
      <c r="B506" s="280">
        <v>66453.75</v>
      </c>
      <c r="C506" s="270">
        <f t="shared" si="219"/>
        <v>54.289569982413575</v>
      </c>
      <c r="D506" s="271">
        <f t="shared" si="220"/>
        <v>1.5523755406882891</v>
      </c>
      <c r="E506" s="271">
        <f t="shared" si="221"/>
        <v>1.0058754543359241</v>
      </c>
      <c r="F506" s="272">
        <f t="shared" si="222"/>
        <v>0.10813723100190741</v>
      </c>
      <c r="G506" s="271">
        <f t="shared" si="223"/>
        <v>1.2050952893106224</v>
      </c>
      <c r="H506" s="272">
        <f t="shared" si="224"/>
        <v>-0.592029383821848</v>
      </c>
      <c r="I506" s="270">
        <f t="shared" si="225"/>
        <v>233858.15980500088</v>
      </c>
      <c r="J506" s="273">
        <f t="shared" si="226"/>
        <v>1.5707920506986472</v>
      </c>
      <c r="K506" s="281">
        <f t="shared" si="227"/>
        <v>35.087715847205594</v>
      </c>
      <c r="L506" s="282">
        <f t="shared" si="228"/>
        <v>1.542292464392252</v>
      </c>
      <c r="M506" s="270">
        <f t="shared" si="229"/>
        <v>1.9685537467537879</v>
      </c>
      <c r="N506" s="273">
        <f t="shared" si="230"/>
        <v>1.0379499706772548</v>
      </c>
      <c r="O506" s="270">
        <f t="shared" si="231"/>
        <v>18372.456967409445</v>
      </c>
      <c r="P506" s="273">
        <f t="shared" si="232"/>
        <v>1.5707418974933467</v>
      </c>
      <c r="Q506" s="271">
        <f t="shared" si="233"/>
        <v>1.1888929072977974</v>
      </c>
      <c r="R506" s="272">
        <f t="shared" si="234"/>
        <v>0.57144809845443978</v>
      </c>
      <c r="S506" s="270">
        <f t="shared" si="235"/>
        <v>1.0000108207482885</v>
      </c>
      <c r="T506" s="273">
        <f t="shared" si="236"/>
        <v>4.652021219969593E-3</v>
      </c>
      <c r="U506" s="274">
        <f t="shared" si="237"/>
        <v>1.1000355203126573</v>
      </c>
      <c r="V506" s="275">
        <f t="shared" si="238"/>
        <v>0.63057661998371317</v>
      </c>
      <c r="W506" s="276">
        <f t="shared" si="239"/>
        <v>-29.53578258701619</v>
      </c>
      <c r="X506" s="277">
        <f t="shared" si="248"/>
        <v>146.0980175396887</v>
      </c>
      <c r="Y506" s="299">
        <f t="shared" si="247"/>
        <v>-33.901982460311302</v>
      </c>
      <c r="AB506" s="278">
        <f t="shared" si="240"/>
        <v>-6.7958691396577597</v>
      </c>
      <c r="AC506" s="279">
        <f t="shared" si="241"/>
        <v>-61.103058678759552</v>
      </c>
      <c r="AF506" s="278">
        <f t="shared" si="242"/>
        <v>39.063619159623329</v>
      </c>
      <c r="AG506" s="279">
        <f t="shared" si="243"/>
        <v>-152.79892378155176</v>
      </c>
      <c r="AI506">
        <f t="shared" si="244"/>
        <v>0</v>
      </c>
      <c r="AJ506">
        <f t="shared" si="249"/>
        <v>0</v>
      </c>
      <c r="AK506">
        <f t="shared" si="245"/>
        <v>0</v>
      </c>
      <c r="AL506">
        <f t="shared" si="246"/>
        <v>0</v>
      </c>
      <c r="AM506"/>
      <c r="AN506"/>
    </row>
    <row r="507" spans="2:40" x14ac:dyDescent="0.2">
      <c r="B507" s="280">
        <v>66838.5</v>
      </c>
      <c r="C507" s="270">
        <f t="shared" si="219"/>
        <v>54.603786192109084</v>
      </c>
      <c r="D507" s="271">
        <f t="shared" si="220"/>
        <v>1.5524815545588391</v>
      </c>
      <c r="E507" s="271">
        <f t="shared" si="221"/>
        <v>1.0059434844294455</v>
      </c>
      <c r="F507" s="272">
        <f t="shared" si="222"/>
        <v>0.10875840616150481</v>
      </c>
      <c r="G507" s="271">
        <f t="shared" si="223"/>
        <v>1.2072724179038692</v>
      </c>
      <c r="H507" s="272">
        <f t="shared" si="224"/>
        <v>-0.59470562044603514</v>
      </c>
      <c r="I507" s="270">
        <f t="shared" si="225"/>
        <v>235212.13797753942</v>
      </c>
      <c r="J507" s="273">
        <f t="shared" si="226"/>
        <v>1.5707920753136226</v>
      </c>
      <c r="K507" s="281">
        <f t="shared" si="227"/>
        <v>35.290700100633906</v>
      </c>
      <c r="L507" s="282">
        <f t="shared" si="228"/>
        <v>1.542456456298279</v>
      </c>
      <c r="M507" s="270">
        <f t="shared" si="229"/>
        <v>1.977016339093741</v>
      </c>
      <c r="N507" s="273">
        <f t="shared" si="230"/>
        <v>1.0404725009185758</v>
      </c>
      <c r="O507" s="270">
        <f t="shared" si="231"/>
        <v>18478.828734199571</v>
      </c>
      <c r="P507" s="273">
        <f t="shared" si="232"/>
        <v>1.5707422108108766</v>
      </c>
      <c r="Q507" s="271">
        <f t="shared" si="233"/>
        <v>1.1909105470007424</v>
      </c>
      <c r="R507" s="272">
        <f t="shared" si="234"/>
        <v>0.57407750561013082</v>
      </c>
      <c r="S507" s="270">
        <f t="shared" si="235"/>
        <v>1.0000109464089839</v>
      </c>
      <c r="T507" s="273">
        <f t="shared" si="236"/>
        <v>4.6789548259205047E-3</v>
      </c>
      <c r="U507" s="274">
        <f t="shared" si="237"/>
        <v>1.1012101867901414</v>
      </c>
      <c r="V507" s="275">
        <f t="shared" si="238"/>
        <v>0.63402426484483188</v>
      </c>
      <c r="W507" s="276">
        <f t="shared" si="239"/>
        <v>-29.616214836715542</v>
      </c>
      <c r="X507" s="277">
        <f t="shared" si="248"/>
        <v>145.64152584120694</v>
      </c>
      <c r="Y507" s="299">
        <f t="shared" si="247"/>
        <v>-34.358474158793058</v>
      </c>
      <c r="AB507" s="278">
        <f t="shared" si="240"/>
        <v>-6.833169272747285</v>
      </c>
      <c r="AC507" s="279">
        <f t="shared" si="241"/>
        <v>-61.238194381525886</v>
      </c>
      <c r="AF507" s="278">
        <f t="shared" si="242"/>
        <v>39.020487043013496</v>
      </c>
      <c r="AG507" s="279">
        <f t="shared" si="243"/>
        <v>-153.12027977726717</v>
      </c>
      <c r="AI507">
        <f t="shared" si="244"/>
        <v>0</v>
      </c>
      <c r="AJ507">
        <f t="shared" si="249"/>
        <v>0</v>
      </c>
      <c r="AK507">
        <f t="shared" si="245"/>
        <v>0</v>
      </c>
      <c r="AL507">
        <f t="shared" si="246"/>
        <v>0</v>
      </c>
      <c r="AM507"/>
      <c r="AN507"/>
    </row>
    <row r="508" spans="2:40" x14ac:dyDescent="0.2">
      <c r="B508" s="280">
        <v>67223.25</v>
      </c>
      <c r="C508" s="270">
        <f t="shared" si="219"/>
        <v>54.918003008470798</v>
      </c>
      <c r="D508" s="271">
        <f t="shared" si="220"/>
        <v>1.5525863553004686</v>
      </c>
      <c r="E508" s="271">
        <f t="shared" si="221"/>
        <v>1.0060119026223069</v>
      </c>
      <c r="F508" s="272">
        <f t="shared" si="222"/>
        <v>0.10937949706931878</v>
      </c>
      <c r="G508" s="271">
        <f t="shared" si="223"/>
        <v>1.2094581621089622</v>
      </c>
      <c r="H508" s="272">
        <f t="shared" si="224"/>
        <v>-0.59737220307138172</v>
      </c>
      <c r="I508" s="270">
        <f t="shared" si="225"/>
        <v>236566.11615007813</v>
      </c>
      <c r="J508" s="273">
        <f t="shared" si="226"/>
        <v>1.5707920996468321</v>
      </c>
      <c r="K508" s="281">
        <f t="shared" si="227"/>
        <v>35.493685292291772</v>
      </c>
      <c r="L508" s="282">
        <f t="shared" si="228"/>
        <v>1.5426185724987225</v>
      </c>
      <c r="M508" s="270">
        <f t="shared" si="229"/>
        <v>1.9854914042182505</v>
      </c>
      <c r="N508" s="273">
        <f t="shared" si="230"/>
        <v>1.0429735121331472</v>
      </c>
      <c r="O508" s="270">
        <f t="shared" si="231"/>
        <v>18585.20050099149</v>
      </c>
      <c r="P508" s="273">
        <f t="shared" si="232"/>
        <v>1.5707425205418821</v>
      </c>
      <c r="Q508" s="271">
        <f t="shared" si="233"/>
        <v>1.1929363925147733</v>
      </c>
      <c r="R508" s="272">
        <f t="shared" si="234"/>
        <v>0.57669800030962703</v>
      </c>
      <c r="S508" s="270">
        <f t="shared" si="235"/>
        <v>1.0000110727951061</v>
      </c>
      <c r="T508" s="273">
        <f t="shared" si="236"/>
        <v>4.7058884250829628E-3</v>
      </c>
      <c r="U508" s="274">
        <f t="shared" si="237"/>
        <v>1.1023919066245471</v>
      </c>
      <c r="V508" s="275">
        <f t="shared" si="238"/>
        <v>0.637468557768892</v>
      </c>
      <c r="W508" s="276">
        <f t="shared" si="239"/>
        <v>-29.696263028091355</v>
      </c>
      <c r="X508" s="277">
        <f t="shared" si="248"/>
        <v>145.18696950339881</v>
      </c>
      <c r="Y508" s="299">
        <f t="shared" si="247"/>
        <v>-34.813030496601186</v>
      </c>
      <c r="AB508" s="278">
        <f t="shared" si="240"/>
        <v>-6.8703641282317189</v>
      </c>
      <c r="AC508" s="279">
        <f t="shared" si="241"/>
        <v>-61.372204588749831</v>
      </c>
      <c r="AF508" s="278">
        <f t="shared" si="242"/>
        <v>38.977633707122131</v>
      </c>
      <c r="AG508" s="279">
        <f t="shared" si="243"/>
        <v>-153.44082590785135</v>
      </c>
      <c r="AI508">
        <f t="shared" si="244"/>
        <v>0</v>
      </c>
      <c r="AJ508">
        <f t="shared" si="249"/>
        <v>0</v>
      </c>
      <c r="AK508">
        <f t="shared" si="245"/>
        <v>0</v>
      </c>
      <c r="AL508">
        <f t="shared" si="246"/>
        <v>0</v>
      </c>
      <c r="AM508"/>
      <c r="AN508"/>
    </row>
    <row r="509" spans="2:40" x14ac:dyDescent="0.2">
      <c r="B509" s="280">
        <v>67608</v>
      </c>
      <c r="C509" s="270">
        <f t="shared" si="219"/>
        <v>55.232220421144739</v>
      </c>
      <c r="D509" s="271">
        <f t="shared" si="220"/>
        <v>1.5526899636154128</v>
      </c>
      <c r="E509" s="271">
        <f t="shared" si="221"/>
        <v>1.0060807088353299</v>
      </c>
      <c r="F509" s="272">
        <f t="shared" si="222"/>
        <v>0.11000050326341043</v>
      </c>
      <c r="G509" s="271">
        <f t="shared" si="223"/>
        <v>1.2116524752998501</v>
      </c>
      <c r="H509" s="272">
        <f t="shared" si="224"/>
        <v>-0.60002914612373015</v>
      </c>
      <c r="I509" s="270">
        <f t="shared" si="225"/>
        <v>237920.09432261696</v>
      </c>
      <c r="J509" s="273">
        <f t="shared" si="226"/>
        <v>1.5707921237030862</v>
      </c>
      <c r="K509" s="281">
        <f t="shared" si="227"/>
        <v>35.696671406173778</v>
      </c>
      <c r="L509" s="282">
        <f t="shared" si="228"/>
        <v>1.542778844983113</v>
      </c>
      <c r="M509" s="270">
        <f t="shared" si="229"/>
        <v>1.9939787830870226</v>
      </c>
      <c r="N509" s="273">
        <f t="shared" si="230"/>
        <v>1.045453247619841</v>
      </c>
      <c r="O509" s="270">
        <f t="shared" si="231"/>
        <v>18691.572267785177</v>
      </c>
      <c r="P509" s="273">
        <f t="shared" si="232"/>
        <v>1.5707428267475945</v>
      </c>
      <c r="Q509" s="271">
        <f t="shared" si="233"/>
        <v>1.1949704021057055</v>
      </c>
      <c r="R509" s="272">
        <f t="shared" si="234"/>
        <v>0.57930959198274468</v>
      </c>
      <c r="S509" s="270">
        <f t="shared" si="235"/>
        <v>1.0000111999066548</v>
      </c>
      <c r="T509" s="273">
        <f t="shared" si="236"/>
        <v>4.7328220174178929E-3</v>
      </c>
      <c r="U509" s="274">
        <f t="shared" si="237"/>
        <v>1.1035806836288835</v>
      </c>
      <c r="V509" s="275">
        <f t="shared" si="238"/>
        <v>0.64090948425918959</v>
      </c>
      <c r="W509" s="276">
        <f t="shared" si="239"/>
        <v>-29.775930862237008</v>
      </c>
      <c r="X509" s="277">
        <f t="shared" si="248"/>
        <v>144.73433521029742</v>
      </c>
      <c r="Y509" s="299">
        <f t="shared" si="247"/>
        <v>-35.265664789702583</v>
      </c>
      <c r="AB509" s="278">
        <f t="shared" si="240"/>
        <v>-6.9074536870685357</v>
      </c>
      <c r="AC509" s="279">
        <f t="shared" si="241"/>
        <v>-61.505101407840371</v>
      </c>
      <c r="AF509" s="278">
        <f t="shared" si="242"/>
        <v>38.935055431813282</v>
      </c>
      <c r="AG509" s="279">
        <f t="shared" si="243"/>
        <v>-153.76056338186217</v>
      </c>
      <c r="AI509">
        <f t="shared" si="244"/>
        <v>0</v>
      </c>
      <c r="AJ509">
        <f t="shared" si="249"/>
        <v>0</v>
      </c>
      <c r="AK509">
        <f t="shared" si="245"/>
        <v>0</v>
      </c>
      <c r="AL509">
        <f t="shared" si="246"/>
        <v>0</v>
      </c>
      <c r="AM509"/>
      <c r="AN509"/>
    </row>
    <row r="510" spans="2:40" x14ac:dyDescent="0.2">
      <c r="B510" s="280">
        <v>68001.75</v>
      </c>
      <c r="C510" s="270">
        <f t="shared" si="219"/>
        <v>55.553788555575728</v>
      </c>
      <c r="D510" s="271">
        <f t="shared" si="220"/>
        <v>1.5527947820341736</v>
      </c>
      <c r="E510" s="271">
        <f t="shared" si="221"/>
        <v>1.0061515262084089</v>
      </c>
      <c r="F510" s="272">
        <f t="shared" si="222"/>
        <v>0.11063594772727602</v>
      </c>
      <c r="G510" s="271">
        <f t="shared" si="223"/>
        <v>1.2139069409620884</v>
      </c>
      <c r="H510" s="272">
        <f t="shared" si="224"/>
        <v>-0.60273827496432064</v>
      </c>
      <c r="I510" s="270">
        <f t="shared" si="225"/>
        <v>239305.7444991919</v>
      </c>
      <c r="J510" s="273">
        <f t="shared" si="226"/>
        <v>1.5707921480402156</v>
      </c>
      <c r="K510" s="281">
        <f t="shared" si="227"/>
        <v>35.904406671760398</v>
      </c>
      <c r="L510" s="282">
        <f t="shared" si="228"/>
        <v>1.5429409902393263</v>
      </c>
      <c r="M510" s="270">
        <f t="shared" si="229"/>
        <v>2.0026772829494832</v>
      </c>
      <c r="N510" s="273">
        <f t="shared" si="230"/>
        <v>1.0479692111886585</v>
      </c>
      <c r="O510" s="270">
        <f t="shared" si="231"/>
        <v>18800.432263043662</v>
      </c>
      <c r="P510" s="273">
        <f t="shared" si="232"/>
        <v>1.5707431365284985</v>
      </c>
      <c r="Q510" s="271">
        <f t="shared" si="233"/>
        <v>1.1970604002126179</v>
      </c>
      <c r="R510" s="272">
        <f t="shared" si="234"/>
        <v>0.58197306595259313</v>
      </c>
      <c r="S510" s="270">
        <f t="shared" si="235"/>
        <v>1.0000113307426517</v>
      </c>
      <c r="T510" s="273">
        <f t="shared" si="236"/>
        <v>4.7603856281947868E-3</v>
      </c>
      <c r="U510" s="274">
        <f t="shared" si="237"/>
        <v>1.1048045789819401</v>
      </c>
      <c r="V510" s="275">
        <f t="shared" si="238"/>
        <v>0.64442739974030061</v>
      </c>
      <c r="W510" s="276">
        <f t="shared" si="239"/>
        <v>-29.85707227919541</v>
      </c>
      <c r="X510" s="277">
        <f t="shared" si="248"/>
        <v>144.27308923523961</v>
      </c>
      <c r="Y510" s="299">
        <f t="shared" si="247"/>
        <v>-35.72691076476039</v>
      </c>
      <c r="AB510" s="278">
        <f t="shared" si="240"/>
        <v>-6.9453018143384648</v>
      </c>
      <c r="AC510" s="279">
        <f t="shared" si="241"/>
        <v>-61.639966657308008</v>
      </c>
      <c r="AF510" s="278">
        <f t="shared" si="242"/>
        <v>38.891762142124811</v>
      </c>
      <c r="AG510" s="279">
        <f t="shared" si="243"/>
        <v>-154.08694410745235</v>
      </c>
      <c r="AI510">
        <f t="shared" si="244"/>
        <v>0</v>
      </c>
      <c r="AJ510">
        <f t="shared" si="249"/>
        <v>0</v>
      </c>
      <c r="AK510">
        <f t="shared" si="245"/>
        <v>0</v>
      </c>
      <c r="AL510">
        <f t="shared" si="246"/>
        <v>0</v>
      </c>
      <c r="AM510"/>
      <c r="AN510"/>
    </row>
    <row r="511" spans="2:40" x14ac:dyDescent="0.2">
      <c r="B511" s="280">
        <v>68395.5</v>
      </c>
      <c r="C511" s="270">
        <f t="shared" si="219"/>
        <v>55.875357293345289</v>
      </c>
      <c r="D511" s="271">
        <f t="shared" si="220"/>
        <v>1.5528983939713388</v>
      </c>
      <c r="E511" s="271">
        <f t="shared" si="221"/>
        <v>1.0062227497977951</v>
      </c>
      <c r="F511" s="272">
        <f t="shared" si="222"/>
        <v>0.11127130249017289</v>
      </c>
      <c r="G511" s="271">
        <f t="shared" si="223"/>
        <v>1.2161702828782965</v>
      </c>
      <c r="H511" s="272">
        <f t="shared" si="224"/>
        <v>-0.60543733995714599</v>
      </c>
      <c r="I511" s="270">
        <f t="shared" si="225"/>
        <v>240691.39467576702</v>
      </c>
      <c r="J511" s="273">
        <f t="shared" si="226"/>
        <v>1.5707921720971296</v>
      </c>
      <c r="K511" s="281">
        <f t="shared" si="227"/>
        <v>36.112142870452438</v>
      </c>
      <c r="L511" s="282">
        <f t="shared" si="228"/>
        <v>1.5431012700086908</v>
      </c>
      <c r="M511" s="270">
        <f t="shared" si="229"/>
        <v>2.0113883502107841</v>
      </c>
      <c r="N511" s="273">
        <f t="shared" si="230"/>
        <v>1.0504633977953817</v>
      </c>
      <c r="O511" s="270">
        <f t="shared" si="231"/>
        <v>18909.292258303933</v>
      </c>
      <c r="P511" s="273">
        <f t="shared" si="232"/>
        <v>1.5707434427426112</v>
      </c>
      <c r="Q511" s="271">
        <f t="shared" si="233"/>
        <v>1.1991588607415757</v>
      </c>
      <c r="R511" s="272">
        <f t="shared" si="234"/>
        <v>0.58462723683745599</v>
      </c>
      <c r="S511" s="270">
        <f t="shared" si="235"/>
        <v>1.0000114623384095</v>
      </c>
      <c r="T511" s="273">
        <f t="shared" si="236"/>
        <v>4.7879492317381986E-3</v>
      </c>
      <c r="U511" s="274">
        <f t="shared" si="237"/>
        <v>1.1060358736071143</v>
      </c>
      <c r="V511" s="275">
        <f t="shared" si="238"/>
        <v>0.64794175898753037</v>
      </c>
      <c r="W511" s="276">
        <f t="shared" si="239"/>
        <v>-29.937823036845458</v>
      </c>
      <c r="X511" s="277">
        <f t="shared" si="248"/>
        <v>143.81382847974396</v>
      </c>
      <c r="Y511" s="299">
        <f t="shared" si="247"/>
        <v>-36.186171520256039</v>
      </c>
      <c r="AB511" s="278">
        <f t="shared" si="240"/>
        <v>-6.9830396702639286</v>
      </c>
      <c r="AC511" s="279">
        <f t="shared" si="241"/>
        <v>-61.773691047225029</v>
      </c>
      <c r="AF511" s="278">
        <f t="shared" si="242"/>
        <v>38.848749240400231</v>
      </c>
      <c r="AG511" s="279">
        <f t="shared" si="243"/>
        <v>-154.412480473031</v>
      </c>
      <c r="AI511">
        <f t="shared" si="244"/>
        <v>0</v>
      </c>
      <c r="AJ511">
        <f t="shared" si="249"/>
        <v>0</v>
      </c>
      <c r="AK511">
        <f t="shared" si="245"/>
        <v>0</v>
      </c>
      <c r="AL511">
        <f t="shared" si="246"/>
        <v>0</v>
      </c>
      <c r="AM511"/>
      <c r="AN511"/>
    </row>
    <row r="512" spans="2:40" x14ac:dyDescent="0.2">
      <c r="B512" s="280">
        <v>68789.25</v>
      </c>
      <c r="C512" s="270">
        <f t="shared" si="219"/>
        <v>56.196926624096164</v>
      </c>
      <c r="D512" s="271">
        <f t="shared" si="220"/>
        <v>1.5530008201358045</v>
      </c>
      <c r="E512" s="271">
        <f t="shared" si="221"/>
        <v>1.0062943795172345</v>
      </c>
      <c r="F512" s="272">
        <f t="shared" si="222"/>
        <v>0.11190656705824782</v>
      </c>
      <c r="G512" s="271">
        <f t="shared" si="223"/>
        <v>1.2184424515836918</v>
      </c>
      <c r="H512" s="272">
        <f t="shared" si="224"/>
        <v>-0.60812635796950998</v>
      </c>
      <c r="I512" s="270">
        <f t="shared" si="225"/>
        <v>242077.04485234225</v>
      </c>
      <c r="J512" s="273">
        <f t="shared" si="226"/>
        <v>1.5707921958786397</v>
      </c>
      <c r="K512" s="281">
        <f t="shared" si="227"/>
        <v>36.31987998623886</v>
      </c>
      <c r="L512" s="282">
        <f t="shared" si="228"/>
        <v>1.5432597162927131</v>
      </c>
      <c r="M512" s="270">
        <f t="shared" si="229"/>
        <v>2.0201118222926207</v>
      </c>
      <c r="N512" s="273">
        <f t="shared" si="230"/>
        <v>1.0529360583246603</v>
      </c>
      <c r="O512" s="270">
        <f t="shared" si="231"/>
        <v>19018.152253565953</v>
      </c>
      <c r="P512" s="273">
        <f t="shared" si="232"/>
        <v>1.5707437454511821</v>
      </c>
      <c r="Q512" s="271">
        <f t="shared" si="233"/>
        <v>1.2012657393442112</v>
      </c>
      <c r="R512" s="272">
        <f t="shared" si="234"/>
        <v>0.58727211609400465</v>
      </c>
      <c r="S512" s="270">
        <f t="shared" si="235"/>
        <v>1.0000115946939279</v>
      </c>
      <c r="T512" s="273">
        <f t="shared" si="236"/>
        <v>4.8155128280062453E-3</v>
      </c>
      <c r="U512" s="274">
        <f t="shared" si="237"/>
        <v>1.1072745715910615</v>
      </c>
      <c r="V512" s="275">
        <f t="shared" si="238"/>
        <v>0.65145254672395514</v>
      </c>
      <c r="W512" s="276">
        <f t="shared" si="239"/>
        <v>-30.018186959020245</v>
      </c>
      <c r="X512" s="277">
        <f t="shared" si="248"/>
        <v>143.35653909650432</v>
      </c>
      <c r="Y512" s="299">
        <f t="shared" si="247"/>
        <v>-36.643460903495679</v>
      </c>
      <c r="AB512" s="278">
        <f t="shared" si="240"/>
        <v>-7.0206672834448449</v>
      </c>
      <c r="AC512" s="279">
        <f t="shared" si="241"/>
        <v>-61.906287118947418</v>
      </c>
      <c r="AF512" s="278">
        <f t="shared" si="242"/>
        <v>38.806012931406357</v>
      </c>
      <c r="AG512" s="279">
        <f t="shared" si="243"/>
        <v>-154.73717378454825</v>
      </c>
      <c r="AI512">
        <f t="shared" si="244"/>
        <v>0</v>
      </c>
      <c r="AJ512">
        <f t="shared" si="249"/>
        <v>0</v>
      </c>
      <c r="AK512">
        <f t="shared" si="245"/>
        <v>0</v>
      </c>
      <c r="AL512">
        <f t="shared" si="246"/>
        <v>0</v>
      </c>
      <c r="AM512"/>
      <c r="AN512"/>
    </row>
    <row r="513" spans="2:40" x14ac:dyDescent="0.2">
      <c r="B513" s="280">
        <v>69183</v>
      </c>
      <c r="C513" s="270">
        <f t="shared" si="219"/>
        <v>56.518496537706852</v>
      </c>
      <c r="D513" s="271">
        <f t="shared" si="220"/>
        <v>1.5531020807652633</v>
      </c>
      <c r="E513" s="271">
        <f t="shared" si="221"/>
        <v>1.0063664152800067</v>
      </c>
      <c r="F513" s="272">
        <f t="shared" si="222"/>
        <v>0.11254174093807902</v>
      </c>
      <c r="G513" s="271">
        <f t="shared" si="223"/>
        <v>1.2207233977895806</v>
      </c>
      <c r="H513" s="272">
        <f t="shared" si="224"/>
        <v>-0.61080534632456085</v>
      </c>
      <c r="I513" s="270">
        <f t="shared" si="225"/>
        <v>243462.69502891763</v>
      </c>
      <c r="J513" s="273">
        <f t="shared" si="226"/>
        <v>1.5707922193894484</v>
      </c>
      <c r="K513" s="281">
        <f t="shared" si="227"/>
        <v>36.527618003472767</v>
      </c>
      <c r="L513" s="282">
        <f t="shared" si="228"/>
        <v>1.5434163603652837</v>
      </c>
      <c r="M513" s="270">
        <f t="shared" si="229"/>
        <v>2.0288475391833116</v>
      </c>
      <c r="N513" s="273">
        <f t="shared" si="230"/>
        <v>1.0553874404022752</v>
      </c>
      <c r="O513" s="270">
        <f t="shared" si="231"/>
        <v>19127.012248829698</v>
      </c>
      <c r="P513" s="273">
        <f t="shared" si="232"/>
        <v>1.5707440447140653</v>
      </c>
      <c r="Q513" s="271">
        <f t="shared" si="233"/>
        <v>1.2033809918054525</v>
      </c>
      <c r="R513" s="272">
        <f t="shared" si="234"/>
        <v>0.58990771561882427</v>
      </c>
      <c r="S513" s="270">
        <f t="shared" si="235"/>
        <v>1.0000117278092071</v>
      </c>
      <c r="T513" s="273">
        <f t="shared" si="236"/>
        <v>4.843076416957047E-3</v>
      </c>
      <c r="U513" s="274">
        <f t="shared" si="237"/>
        <v>1.1085206770198168</v>
      </c>
      <c r="V513" s="275">
        <f t="shared" si="238"/>
        <v>0.65495974776138344</v>
      </c>
      <c r="W513" s="276">
        <f t="shared" si="239"/>
        <v>-30.098167822867957</v>
      </c>
      <c r="X513" s="277">
        <f t="shared" si="248"/>
        <v>142.90120737907171</v>
      </c>
      <c r="Y513" s="299">
        <f t="shared" si="247"/>
        <v>-37.098792620928293</v>
      </c>
      <c r="AB513" s="278">
        <f t="shared" si="240"/>
        <v>-7.0581846978987777</v>
      </c>
      <c r="AC513" s="279">
        <f t="shared" si="241"/>
        <v>-62.03776726879483</v>
      </c>
      <c r="AF513" s="278">
        <f t="shared" si="242"/>
        <v>38.763549482012579</v>
      </c>
      <c r="AG513" s="279">
        <f t="shared" si="243"/>
        <v>-155.06102535213347</v>
      </c>
      <c r="AI513">
        <f t="shared" si="244"/>
        <v>0</v>
      </c>
      <c r="AJ513">
        <f t="shared" si="249"/>
        <v>0</v>
      </c>
      <c r="AK513">
        <f t="shared" si="245"/>
        <v>0</v>
      </c>
      <c r="AL513">
        <f t="shared" si="246"/>
        <v>0</v>
      </c>
      <c r="AM513"/>
      <c r="AN513"/>
    </row>
    <row r="514" spans="2:40" x14ac:dyDescent="0.2">
      <c r="B514" s="280">
        <v>69586</v>
      </c>
      <c r="C514" s="270">
        <f t="shared" si="219"/>
        <v>56.847621385382034</v>
      </c>
      <c r="D514" s="271">
        <f t="shared" si="220"/>
        <v>1.5532045339279248</v>
      </c>
      <c r="E514" s="271">
        <f t="shared" si="221"/>
        <v>1.0064405636840672</v>
      </c>
      <c r="F514" s="272">
        <f t="shared" si="222"/>
        <v>0.11319174193958347</v>
      </c>
      <c r="G514" s="271">
        <f t="shared" si="223"/>
        <v>1.2230669661015638</v>
      </c>
      <c r="H514" s="272">
        <f t="shared" si="224"/>
        <v>-0.61353690234114067</v>
      </c>
      <c r="I514" s="270">
        <f t="shared" si="225"/>
        <v>244880.89698741905</v>
      </c>
      <c r="J514" s="273">
        <f t="shared" si="226"/>
        <v>1.5707922431770551</v>
      </c>
      <c r="K514" s="281">
        <f t="shared" si="227"/>
        <v>36.740237132900752</v>
      </c>
      <c r="L514" s="282">
        <f t="shared" si="228"/>
        <v>1.5435748500111108</v>
      </c>
      <c r="M514" s="270">
        <f t="shared" si="229"/>
        <v>2.0378009914160011</v>
      </c>
      <c r="N514" s="273">
        <f t="shared" si="230"/>
        <v>1.0578746314153316</v>
      </c>
      <c r="O514" s="270">
        <f t="shared" si="231"/>
        <v>19238.429590015679</v>
      </c>
      <c r="P514" s="273">
        <f t="shared" si="232"/>
        <v>1.5707443475002369</v>
      </c>
      <c r="Q514" s="271">
        <f t="shared" si="233"/>
        <v>1.2055545611580074</v>
      </c>
      <c r="R514" s="272">
        <f t="shared" si="234"/>
        <v>0.59259563439195784</v>
      </c>
      <c r="S514" s="270">
        <f t="shared" si="235"/>
        <v>1.0000118648383809</v>
      </c>
      <c r="T514" s="273">
        <f t="shared" si="236"/>
        <v>4.8712875238687359E-3</v>
      </c>
      <c r="U514" s="274">
        <f t="shared" si="237"/>
        <v>1.1098037308128195</v>
      </c>
      <c r="V514" s="275">
        <f t="shared" si="238"/>
        <v>0.65854561035388604</v>
      </c>
      <c r="W514" s="276">
        <f t="shared" si="239"/>
        <v>-30.179634833682549</v>
      </c>
      <c r="X514" s="277">
        <f t="shared" si="248"/>
        <v>142.43719201258301</v>
      </c>
      <c r="Y514" s="299">
        <f t="shared" si="247"/>
        <v>-37.562807987416988</v>
      </c>
      <c r="AB514" s="278">
        <f t="shared" si="240"/>
        <v>-7.0964694230669405</v>
      </c>
      <c r="AC514" s="279">
        <f t="shared" si="241"/>
        <v>-62.171193391812899</v>
      </c>
      <c r="AF514" s="278">
        <f t="shared" si="242"/>
        <v>38.720367196366155</v>
      </c>
      <c r="AG514" s="279">
        <f t="shared" si="243"/>
        <v>-155.39161459560407</v>
      </c>
      <c r="AI514">
        <f t="shared" si="244"/>
        <v>0</v>
      </c>
      <c r="AJ514">
        <f t="shared" si="249"/>
        <v>0</v>
      </c>
      <c r="AK514">
        <f t="shared" si="245"/>
        <v>0</v>
      </c>
      <c r="AL514">
        <f t="shared" si="246"/>
        <v>0</v>
      </c>
      <c r="AM514"/>
      <c r="AN514"/>
    </row>
    <row r="515" spans="2:40" x14ac:dyDescent="0.2">
      <c r="B515" s="280">
        <v>69989</v>
      </c>
      <c r="C515" s="270">
        <f t="shared" si="219"/>
        <v>57.176746822897186</v>
      </c>
      <c r="D515" s="271">
        <f t="shared" si="220"/>
        <v>1.553305807593194</v>
      </c>
      <c r="E515" s="271">
        <f t="shared" si="221"/>
        <v>1.0065151372478205</v>
      </c>
      <c r="F515" s="272">
        <f t="shared" si="222"/>
        <v>0.11384164689738419</v>
      </c>
      <c r="G515" s="271">
        <f t="shared" si="223"/>
        <v>1.2254196252582119</v>
      </c>
      <c r="H515" s="272">
        <f t="shared" si="224"/>
        <v>-0.61625799007415905</v>
      </c>
      <c r="I515" s="270">
        <f t="shared" si="225"/>
        <v>246299.09894592059</v>
      </c>
      <c r="J515" s="273">
        <f t="shared" si="226"/>
        <v>1.5707922666907213</v>
      </c>
      <c r="K515" s="281">
        <f t="shared" si="227"/>
        <v>36.952857174585461</v>
      </c>
      <c r="L515" s="282">
        <f t="shared" si="228"/>
        <v>1.5437315158194505</v>
      </c>
      <c r="M515" s="270">
        <f t="shared" si="229"/>
        <v>2.0467669393941454</v>
      </c>
      <c r="N515" s="273">
        <f t="shared" si="230"/>
        <v>1.0603400470806406</v>
      </c>
      <c r="O515" s="270">
        <f t="shared" si="231"/>
        <v>19349.846931203403</v>
      </c>
      <c r="P515" s="273">
        <f t="shared" si="232"/>
        <v>1.5707446467994941</v>
      </c>
      <c r="Q515" s="271">
        <f t="shared" si="233"/>
        <v>1.2077368091429923</v>
      </c>
      <c r="R515" s="272">
        <f t="shared" si="234"/>
        <v>0.59527385890790752</v>
      </c>
      <c r="S515" s="270">
        <f t="shared" si="235"/>
        <v>1.0000120026634305</v>
      </c>
      <c r="T515" s="273">
        <f t="shared" si="236"/>
        <v>4.8994986230265752E-3</v>
      </c>
      <c r="U515" s="274">
        <f t="shared" si="237"/>
        <v>1.1110945528288969</v>
      </c>
      <c r="V515" s="275">
        <f t="shared" si="238"/>
        <v>0.66212768384212894</v>
      </c>
      <c r="W515" s="276">
        <f t="shared" si="239"/>
        <v>-30.260708436904661</v>
      </c>
      <c r="X515" s="277">
        <f t="shared" si="248"/>
        <v>141.97519876459552</v>
      </c>
      <c r="Y515" s="299">
        <f t="shared" si="247"/>
        <v>-38.024801235404482</v>
      </c>
      <c r="AB515" s="278">
        <f t="shared" si="240"/>
        <v>-7.1346388515913217</v>
      </c>
      <c r="AC515" s="279">
        <f t="shared" si="241"/>
        <v>-62.303476361802495</v>
      </c>
      <c r="AF515" s="278">
        <f t="shared" si="242"/>
        <v>38.677463021668423</v>
      </c>
      <c r="AG515" s="279">
        <f t="shared" si="243"/>
        <v>-155.72132487360201</v>
      </c>
      <c r="AI515">
        <f t="shared" si="244"/>
        <v>0</v>
      </c>
      <c r="AJ515">
        <f t="shared" si="249"/>
        <v>0</v>
      </c>
      <c r="AK515">
        <f t="shared" si="245"/>
        <v>0</v>
      </c>
      <c r="AL515">
        <f t="shared" si="246"/>
        <v>0</v>
      </c>
      <c r="AM515"/>
      <c r="AN515"/>
    </row>
    <row r="516" spans="2:40" x14ac:dyDescent="0.2">
      <c r="B516" s="280">
        <v>70392</v>
      </c>
      <c r="C516" s="270">
        <f t="shared" si="219"/>
        <v>57.505872840124752</v>
      </c>
      <c r="D516" s="271">
        <f t="shared" si="220"/>
        <v>1.553405922010991</v>
      </c>
      <c r="E516" s="271">
        <f t="shared" si="221"/>
        <v>1.0065901358767719</v>
      </c>
      <c r="F516" s="272">
        <f t="shared" si="222"/>
        <v>0.11449145528387965</v>
      </c>
      <c r="G516" s="271">
        <f t="shared" si="223"/>
        <v>1.2277813230002388</v>
      </c>
      <c r="H516" s="272">
        <f t="shared" si="224"/>
        <v>-0.61896862952134257</v>
      </c>
      <c r="I516" s="270">
        <f t="shared" si="225"/>
        <v>247717.3009044223</v>
      </c>
      <c r="J516" s="273">
        <f t="shared" si="226"/>
        <v>1.5707922899351523</v>
      </c>
      <c r="K516" s="281">
        <f t="shared" si="227"/>
        <v>37.165478112870119</v>
      </c>
      <c r="L516" s="282">
        <f t="shared" si="228"/>
        <v>1.5438863890846619</v>
      </c>
      <c r="M516" s="270">
        <f t="shared" si="229"/>
        <v>2.0557452196205399</v>
      </c>
      <c r="N516" s="273">
        <f t="shared" si="230"/>
        <v>1.0627839425354877</v>
      </c>
      <c r="O516" s="270">
        <f t="shared" si="231"/>
        <v>19461.26427239284</v>
      </c>
      <c r="P516" s="273">
        <f t="shared" si="232"/>
        <v>1.5707449426717255</v>
      </c>
      <c r="Q516" s="271">
        <f t="shared" si="233"/>
        <v>1.209927688801582</v>
      </c>
      <c r="R516" s="272">
        <f t="shared" si="234"/>
        <v>0.5979424033036097</v>
      </c>
      <c r="S516" s="270">
        <f t="shared" si="235"/>
        <v>1.0000121412843557</v>
      </c>
      <c r="T516" s="273">
        <f t="shared" si="236"/>
        <v>4.9277097143856649E-3</v>
      </c>
      <c r="U516" s="274">
        <f t="shared" si="237"/>
        <v>1.1123931474450901</v>
      </c>
      <c r="V516" s="275">
        <f t="shared" si="238"/>
        <v>0.6657059522331823</v>
      </c>
      <c r="W516" s="276">
        <f t="shared" si="239"/>
        <v>-30.341392535146909</v>
      </c>
      <c r="X516" s="277">
        <f t="shared" si="248"/>
        <v>141.51521338966231</v>
      </c>
      <c r="Y516" s="299">
        <f t="shared" si="247"/>
        <v>-38.484786610337693</v>
      </c>
      <c r="AB516" s="278">
        <f t="shared" si="240"/>
        <v>-7.1726930774004867</v>
      </c>
      <c r="AC516" s="279">
        <f t="shared" si="241"/>
        <v>-62.434629004288198</v>
      </c>
      <c r="AF516" s="278">
        <f t="shared" si="242"/>
        <v>38.634833149235341</v>
      </c>
      <c r="AG516" s="279">
        <f t="shared" si="243"/>
        <v>-156.05015760604951</v>
      </c>
      <c r="AI516">
        <f t="shared" si="244"/>
        <v>0</v>
      </c>
      <c r="AJ516">
        <f t="shared" si="249"/>
        <v>0</v>
      </c>
      <c r="AK516">
        <f t="shared" si="245"/>
        <v>0</v>
      </c>
      <c r="AL516">
        <f t="shared" si="246"/>
        <v>0</v>
      </c>
      <c r="AM516"/>
      <c r="AN516"/>
    </row>
    <row r="517" spans="2:40" x14ac:dyDescent="0.2">
      <c r="B517" s="280">
        <v>70795</v>
      </c>
      <c r="C517" s="270">
        <f t="shared" si="219"/>
        <v>57.834999427167695</v>
      </c>
      <c r="D517" s="271">
        <f t="shared" si="220"/>
        <v>1.5535048969703789</v>
      </c>
      <c r="E517" s="271">
        <f t="shared" si="221"/>
        <v>1.0066655594759175</v>
      </c>
      <c r="F517" s="272">
        <f t="shared" si="222"/>
        <v>0.11514116657195136</v>
      </c>
      <c r="G517" s="271">
        <f t="shared" si="223"/>
        <v>1.2301520072696726</v>
      </c>
      <c r="H517" s="272">
        <f t="shared" si="224"/>
        <v>-0.62166884114129806</v>
      </c>
      <c r="I517" s="270">
        <f t="shared" si="225"/>
        <v>249135.5028629241</v>
      </c>
      <c r="J517" s="273">
        <f t="shared" si="226"/>
        <v>1.5707923129149457</v>
      </c>
      <c r="K517" s="281">
        <f t="shared" si="227"/>
        <v>37.378099932454113</v>
      </c>
      <c r="L517" s="282">
        <f t="shared" si="228"/>
        <v>1.5440395003893923</v>
      </c>
      <c r="M517" s="270">
        <f t="shared" si="229"/>
        <v>2.0647356712188385</v>
      </c>
      <c r="N517" s="273">
        <f t="shared" si="230"/>
        <v>1.0652065695108213</v>
      </c>
      <c r="O517" s="270">
        <f t="shared" si="231"/>
        <v>19572.681613583965</v>
      </c>
      <c r="P517" s="273">
        <f t="shared" si="232"/>
        <v>1.5707452351754558</v>
      </c>
      <c r="Q517" s="271">
        <f t="shared" si="233"/>
        <v>1.2121271533293851</v>
      </c>
      <c r="R517" s="272">
        <f t="shared" si="234"/>
        <v>0.60060128216546038</v>
      </c>
      <c r="S517" s="270">
        <f t="shared" si="235"/>
        <v>1.0000122807011558</v>
      </c>
      <c r="T517" s="273">
        <f t="shared" si="236"/>
        <v>4.9559207979011028E-3</v>
      </c>
      <c r="U517" s="274">
        <f t="shared" si="237"/>
        <v>1.1136995190365748</v>
      </c>
      <c r="V517" s="275">
        <f t="shared" si="238"/>
        <v>0.66928039963299124</v>
      </c>
      <c r="W517" s="276">
        <f t="shared" si="239"/>
        <v>-30.42169098302201</v>
      </c>
      <c r="X517" s="277">
        <f t="shared" si="248"/>
        <v>141.05722179109463</v>
      </c>
      <c r="Y517" s="299">
        <f t="shared" si="247"/>
        <v>-38.942778208905366</v>
      </c>
      <c r="AB517" s="278">
        <f t="shared" si="240"/>
        <v>-7.2106322090743351</v>
      </c>
      <c r="AC517" s="279">
        <f t="shared" si="241"/>
        <v>-62.564663990397747</v>
      </c>
      <c r="AF517" s="278">
        <f t="shared" si="242"/>
        <v>38.592473833034084</v>
      </c>
      <c r="AG517" s="279">
        <f t="shared" si="243"/>
        <v>-156.37811421850762</v>
      </c>
      <c r="AI517">
        <f t="shared" si="244"/>
        <v>0</v>
      </c>
      <c r="AJ517">
        <f t="shared" si="249"/>
        <v>0</v>
      </c>
      <c r="AK517">
        <f t="shared" si="245"/>
        <v>0</v>
      </c>
      <c r="AL517">
        <f t="shared" si="246"/>
        <v>0</v>
      </c>
      <c r="AM517"/>
      <c r="AN517"/>
    </row>
    <row r="518" spans="2:40" x14ac:dyDescent="0.2">
      <c r="B518" s="280">
        <v>71207.25</v>
      </c>
      <c r="C518" s="270">
        <f t="shared" si="219"/>
        <v>58.171680988078144</v>
      </c>
      <c r="D518" s="271">
        <f t="shared" si="220"/>
        <v>1.5536049848609585</v>
      </c>
      <c r="E518" s="271">
        <f t="shared" si="221"/>
        <v>1.0067431538758607</v>
      </c>
      <c r="F518" s="272">
        <f t="shared" si="222"/>
        <v>0.11580568957199965</v>
      </c>
      <c r="G518" s="271">
        <f t="shared" si="223"/>
        <v>1.2325863497393104</v>
      </c>
      <c r="H518" s="272">
        <f t="shared" si="224"/>
        <v>-0.62442026252991689</v>
      </c>
      <c r="I518" s="270">
        <f t="shared" si="225"/>
        <v>250586.25660335197</v>
      </c>
      <c r="J518" s="273">
        <f t="shared" si="226"/>
        <v>1.5707923361530571</v>
      </c>
      <c r="K518" s="281">
        <f t="shared" si="227"/>
        <v>37.595602925819058</v>
      </c>
      <c r="L518" s="282">
        <f t="shared" si="228"/>
        <v>1.5441943341084776</v>
      </c>
      <c r="M518" s="270">
        <f t="shared" si="229"/>
        <v>2.0739449079334018</v>
      </c>
      <c r="N518" s="273">
        <f t="shared" si="230"/>
        <v>1.06766305527801</v>
      </c>
      <c r="O518" s="270">
        <f t="shared" si="231"/>
        <v>19686.656300697439</v>
      </c>
      <c r="P518" s="273">
        <f t="shared" si="232"/>
        <v>1.5707455309672478</v>
      </c>
      <c r="Q518" s="271">
        <f t="shared" si="233"/>
        <v>1.2143859359112534</v>
      </c>
      <c r="R518" s="272">
        <f t="shared" si="234"/>
        <v>0.60331120469776023</v>
      </c>
      <c r="S518" s="270">
        <f t="shared" si="235"/>
        <v>1.0000124241414554</v>
      </c>
      <c r="T518" s="273">
        <f t="shared" si="236"/>
        <v>4.9847793981237292E-3</v>
      </c>
      <c r="U518" s="274">
        <f t="shared" si="237"/>
        <v>1.1150439269228176</v>
      </c>
      <c r="V518" s="275">
        <f t="shared" si="238"/>
        <v>0.67293292078170652</v>
      </c>
      <c r="W518" s="276">
        <f t="shared" si="239"/>
        <v>-30.503437449123517</v>
      </c>
      <c r="X518" s="277">
        <f t="shared" si="248"/>
        <v>140.59076638133303</v>
      </c>
      <c r="Y518" s="299">
        <f t="shared" si="247"/>
        <v>-39.409233618666974</v>
      </c>
      <c r="AB518" s="278">
        <f t="shared" si="240"/>
        <v>-7.2493231930308379</v>
      </c>
      <c r="AC518" s="279">
        <f t="shared" si="241"/>
        <v>-62.696540270107427</v>
      </c>
      <c r="AF518" s="278">
        <f t="shared" si="242"/>
        <v>38.549418350889077</v>
      </c>
      <c r="AG518" s="279">
        <f t="shared" si="243"/>
        <v>-156.71269334855958</v>
      </c>
      <c r="AI518">
        <f t="shared" si="244"/>
        <v>0</v>
      </c>
      <c r="AJ518">
        <f t="shared" si="249"/>
        <v>0</v>
      </c>
      <c r="AK518">
        <f t="shared" si="245"/>
        <v>0</v>
      </c>
      <c r="AL518">
        <f t="shared" si="246"/>
        <v>0</v>
      </c>
      <c r="AM518"/>
      <c r="AN518"/>
    </row>
    <row r="519" spans="2:40" x14ac:dyDescent="0.2">
      <c r="B519" s="280">
        <v>71619.5</v>
      </c>
      <c r="C519" s="270">
        <f t="shared" si="219"/>
        <v>58.508363125021752</v>
      </c>
      <c r="D519" s="271">
        <f t="shared" si="220"/>
        <v>1.553703920855489</v>
      </c>
      <c r="E519" s="271">
        <f t="shared" si="221"/>
        <v>1.0068211927756971</v>
      </c>
      <c r="F519" s="272">
        <f t="shared" si="222"/>
        <v>0.1164701098508068</v>
      </c>
      <c r="G519" s="271">
        <f t="shared" si="223"/>
        <v>1.2350299864559342</v>
      </c>
      <c r="H519" s="272">
        <f t="shared" si="224"/>
        <v>-0.62716081664399081</v>
      </c>
      <c r="I519" s="270">
        <f t="shared" si="225"/>
        <v>252037.01034377996</v>
      </c>
      <c r="J519" s="273">
        <f t="shared" si="226"/>
        <v>1.5707923591236461</v>
      </c>
      <c r="K519" s="281">
        <f t="shared" si="227"/>
        <v>37.813106810112835</v>
      </c>
      <c r="L519" s="282">
        <f t="shared" si="228"/>
        <v>1.5443473866003934</v>
      </c>
      <c r="M519" s="270">
        <f t="shared" si="229"/>
        <v>2.0831665488051918</v>
      </c>
      <c r="N519" s="273">
        <f t="shared" si="230"/>
        <v>1.07009780717166</v>
      </c>
      <c r="O519" s="270">
        <f t="shared" si="231"/>
        <v>19800.630987812616</v>
      </c>
      <c r="P519" s="273">
        <f t="shared" si="232"/>
        <v>1.5707458233538174</v>
      </c>
      <c r="Q519" s="271">
        <f t="shared" si="233"/>
        <v>1.2166536034031501</v>
      </c>
      <c r="R519" s="272">
        <f t="shared" si="234"/>
        <v>0.60601104518298343</v>
      </c>
      <c r="S519" s="270">
        <f t="shared" si="235"/>
        <v>1.0000125684145837</v>
      </c>
      <c r="T519" s="273">
        <f t="shared" si="236"/>
        <v>5.0136379900434531E-3</v>
      </c>
      <c r="U519" s="274">
        <f t="shared" si="237"/>
        <v>1.1163964821435768</v>
      </c>
      <c r="V519" s="275">
        <f t="shared" si="238"/>
        <v>0.67658141019331897</v>
      </c>
      <c r="W519" s="276">
        <f t="shared" si="239"/>
        <v>-30.584788367388359</v>
      </c>
      <c r="X519" s="277">
        <f t="shared" si="248"/>
        <v>140.1263679531011</v>
      </c>
      <c r="Y519" s="299">
        <f t="shared" si="247"/>
        <v>-39.873632046898905</v>
      </c>
      <c r="AB519" s="278">
        <f t="shared" si="240"/>
        <v>-7.2878940132549177</v>
      </c>
      <c r="AC519" s="279">
        <f t="shared" si="241"/>
        <v>-62.827273332062127</v>
      </c>
      <c r="AF519" s="278">
        <f t="shared" si="242"/>
        <v>38.506638252848319</v>
      </c>
      <c r="AG519" s="279">
        <f t="shared" si="243"/>
        <v>-157.0463587148368</v>
      </c>
      <c r="AI519">
        <f t="shared" si="244"/>
        <v>0</v>
      </c>
      <c r="AJ519">
        <f t="shared" si="249"/>
        <v>0</v>
      </c>
      <c r="AK519">
        <f t="shared" si="245"/>
        <v>0</v>
      </c>
      <c r="AL519">
        <f t="shared" si="246"/>
        <v>0</v>
      </c>
      <c r="AM519"/>
      <c r="AN519"/>
    </row>
    <row r="520" spans="2:40" x14ac:dyDescent="0.2">
      <c r="B520" s="280">
        <v>72031.75</v>
      </c>
      <c r="C520" s="270">
        <f t="shared" si="219"/>
        <v>58.845045828111175</v>
      </c>
      <c r="D520" s="271">
        <f t="shared" si="220"/>
        <v>1.5538017247237819</v>
      </c>
      <c r="E520" s="271">
        <f t="shared" si="221"/>
        <v>1.0068996760720752</v>
      </c>
      <c r="F520" s="272">
        <f t="shared" si="222"/>
        <v>0.11713442684570295</v>
      </c>
      <c r="G520" s="271">
        <f t="shared" si="223"/>
        <v>1.2374828623599627</v>
      </c>
      <c r="H520" s="272">
        <f t="shared" si="224"/>
        <v>-0.62989052681701985</v>
      </c>
      <c r="I520" s="270">
        <f t="shared" si="225"/>
        <v>253487.76408420809</v>
      </c>
      <c r="J520" s="273">
        <f t="shared" si="226"/>
        <v>1.5707923818313059</v>
      </c>
      <c r="K520" s="281">
        <f t="shared" si="227"/>
        <v>38.030611570049288</v>
      </c>
      <c r="L520" s="282">
        <f t="shared" si="228"/>
        <v>1.5444986884195018</v>
      </c>
      <c r="M520" s="270">
        <f t="shared" si="229"/>
        <v>2.0924004298311658</v>
      </c>
      <c r="N520" s="273">
        <f t="shared" si="230"/>
        <v>1.0725110838716196</v>
      </c>
      <c r="O520" s="270">
        <f t="shared" si="231"/>
        <v>19914.605674929466</v>
      </c>
      <c r="P520" s="273">
        <f t="shared" si="232"/>
        <v>1.5707461123936304</v>
      </c>
      <c r="Q520" s="271">
        <f t="shared" si="233"/>
        <v>1.2189301062172742</v>
      </c>
      <c r="R520" s="272">
        <f t="shared" si="234"/>
        <v>0.6087008206410619</v>
      </c>
      <c r="S520" s="270">
        <f t="shared" si="235"/>
        <v>1.0000127135205406</v>
      </c>
      <c r="T520" s="273">
        <f t="shared" si="236"/>
        <v>5.0424965736122094E-3</v>
      </c>
      <c r="U520" s="274">
        <f t="shared" si="237"/>
        <v>1.1177571893742886</v>
      </c>
      <c r="V520" s="275">
        <f t="shared" si="238"/>
        <v>0.68022585117757095</v>
      </c>
      <c r="W520" s="276">
        <f t="shared" si="239"/>
        <v>-30.665747713001853</v>
      </c>
      <c r="X520" s="277">
        <f t="shared" si="248"/>
        <v>139.66401188991316</v>
      </c>
      <c r="Y520" s="299">
        <f t="shared" si="247"/>
        <v>-40.335988110086845</v>
      </c>
      <c r="AB520" s="278">
        <f t="shared" si="240"/>
        <v>-7.3263448301450387</v>
      </c>
      <c r="AC520" s="279">
        <f t="shared" si="241"/>
        <v>-62.956876247152572</v>
      </c>
      <c r="AF520" s="278">
        <f t="shared" si="242"/>
        <v>38.464129724124938</v>
      </c>
      <c r="AG520" s="279">
        <f t="shared" si="243"/>
        <v>-157.37911186293425</v>
      </c>
      <c r="AI520">
        <f t="shared" si="244"/>
        <v>0</v>
      </c>
      <c r="AJ520">
        <f t="shared" si="249"/>
        <v>0</v>
      </c>
      <c r="AK520">
        <f t="shared" si="245"/>
        <v>0</v>
      </c>
      <c r="AL520">
        <f t="shared" si="246"/>
        <v>0</v>
      </c>
      <c r="AM520"/>
      <c r="AN520"/>
    </row>
    <row r="521" spans="2:40" x14ac:dyDescent="0.2">
      <c r="B521" s="280">
        <v>72444</v>
      </c>
      <c r="C521" s="270">
        <f t="shared" si="219"/>
        <v>59.181729087684062</v>
      </c>
      <c r="D521" s="271">
        <f t="shared" si="220"/>
        <v>1.5538984157858562</v>
      </c>
      <c r="E521" s="271">
        <f t="shared" si="221"/>
        <v>1.0069786036610868</v>
      </c>
      <c r="F521" s="272">
        <f t="shared" si="222"/>
        <v>0.11779863999455774</v>
      </c>
      <c r="G521" s="271">
        <f t="shared" si="223"/>
        <v>1.2399449226201389</v>
      </c>
      <c r="H521" s="272">
        <f t="shared" si="224"/>
        <v>-0.63260941684463123</v>
      </c>
      <c r="I521" s="270">
        <f t="shared" si="225"/>
        <v>254938.51782463634</v>
      </c>
      <c r="J521" s="273">
        <f t="shared" si="226"/>
        <v>1.5707924042805252</v>
      </c>
      <c r="K521" s="281">
        <f t="shared" si="227"/>
        <v>38.248117190689918</v>
      </c>
      <c r="L521" s="282">
        <f t="shared" si="228"/>
        <v>1.5446482694254764</v>
      </c>
      <c r="M521" s="270">
        <f t="shared" si="229"/>
        <v>2.1016463896747788</v>
      </c>
      <c r="N521" s="273">
        <f t="shared" si="230"/>
        <v>1.0749031405152243</v>
      </c>
      <c r="O521" s="270">
        <f t="shared" si="231"/>
        <v>20028.580362047964</v>
      </c>
      <c r="P521" s="273">
        <f t="shared" si="232"/>
        <v>1.5707463981438221</v>
      </c>
      <c r="Q521" s="271">
        <f t="shared" si="233"/>
        <v>1.2212153949430899</v>
      </c>
      <c r="R521" s="272">
        <f t="shared" si="234"/>
        <v>0.61138054854781931</v>
      </c>
      <c r="S521" s="270">
        <f t="shared" si="235"/>
        <v>1.0000128594593258</v>
      </c>
      <c r="T521" s="273">
        <f t="shared" si="236"/>
        <v>5.0713551487819352E-3</v>
      </c>
      <c r="U521" s="274">
        <f t="shared" si="237"/>
        <v>1.1191260532870591</v>
      </c>
      <c r="V521" s="275">
        <f t="shared" si="238"/>
        <v>0.68386622715406487</v>
      </c>
      <c r="W521" s="276">
        <f t="shared" si="239"/>
        <v>-30.74631941184451</v>
      </c>
      <c r="X521" s="277">
        <f t="shared" si="248"/>
        <v>139.20368373148727</v>
      </c>
      <c r="Y521" s="299">
        <f t="shared" si="247"/>
        <v>-40.796316268512726</v>
      </c>
      <c r="AB521" s="278">
        <f t="shared" si="240"/>
        <v>-7.3646758178889904</v>
      </c>
      <c r="AC521" s="279">
        <f t="shared" si="241"/>
        <v>-63.085361923095221</v>
      </c>
      <c r="AF521" s="278">
        <f t="shared" si="242"/>
        <v>38.421889013026238</v>
      </c>
      <c r="AG521" s="279">
        <f t="shared" si="243"/>
        <v>-157.71095434541755</v>
      </c>
      <c r="AI521">
        <f t="shared" si="244"/>
        <v>0</v>
      </c>
      <c r="AJ521">
        <f t="shared" si="249"/>
        <v>0</v>
      </c>
      <c r="AK521">
        <f t="shared" si="245"/>
        <v>0</v>
      </c>
      <c r="AL521">
        <f t="shared" si="246"/>
        <v>0</v>
      </c>
      <c r="AM521"/>
      <c r="AN521"/>
    </row>
    <row r="522" spans="2:40" x14ac:dyDescent="0.2">
      <c r="B522" s="280">
        <v>72865.75</v>
      </c>
      <c r="C522" s="270">
        <f t="shared" si="219"/>
        <v>59.526171532964298</v>
      </c>
      <c r="D522" s="271">
        <f t="shared" si="220"/>
        <v>1.5539962031436103</v>
      </c>
      <c r="E522" s="271">
        <f t="shared" si="221"/>
        <v>1.0070598097379755</v>
      </c>
      <c r="F522" s="272">
        <f t="shared" si="222"/>
        <v>0.11847805140124808</v>
      </c>
      <c r="G522" s="271">
        <f t="shared" si="223"/>
        <v>1.2424731665891884</v>
      </c>
      <c r="H522" s="272">
        <f t="shared" si="224"/>
        <v>-0.63537978996145428</v>
      </c>
      <c r="I522" s="270">
        <f t="shared" si="225"/>
        <v>256422.70312488053</v>
      </c>
      <c r="J522" s="273">
        <f t="shared" si="226"/>
        <v>1.570792426984202</v>
      </c>
      <c r="K522" s="281">
        <f t="shared" si="227"/>
        <v>38.470635944877714</v>
      </c>
      <c r="L522" s="282">
        <f t="shared" si="228"/>
        <v>1.5447995470932556</v>
      </c>
      <c r="M522" s="270">
        <f t="shared" si="229"/>
        <v>2.1111177499588947</v>
      </c>
      <c r="N522" s="273">
        <f t="shared" si="230"/>
        <v>1.0773286235507626</v>
      </c>
      <c r="O522" s="270">
        <f t="shared" si="231"/>
        <v>20145.181512546238</v>
      </c>
      <c r="P522" s="273">
        <f t="shared" si="232"/>
        <v>1.5707466871329363</v>
      </c>
      <c r="Q522" s="271">
        <f t="shared" si="233"/>
        <v>1.2235623870830814</v>
      </c>
      <c r="R522" s="272">
        <f t="shared" si="234"/>
        <v>0.61411164999123902</v>
      </c>
      <c r="S522" s="270">
        <f t="shared" si="235"/>
        <v>1.0000130096230004</v>
      </c>
      <c r="T522" s="273">
        <f t="shared" si="236"/>
        <v>5.1008787399864563E-3</v>
      </c>
      <c r="U522" s="274">
        <f t="shared" si="237"/>
        <v>1.1205349073315412</v>
      </c>
      <c r="V522" s="275">
        <f t="shared" si="238"/>
        <v>0.68758626916085563</v>
      </c>
      <c r="W522" s="276">
        <f t="shared" si="239"/>
        <v>-30.82835072029253</v>
      </c>
      <c r="X522" s="277">
        <f t="shared" si="248"/>
        <v>138.73483127074022</v>
      </c>
      <c r="Y522" s="299">
        <f t="shared" si="247"/>
        <v>-41.265168729259784</v>
      </c>
      <c r="AB522" s="278">
        <f t="shared" si="240"/>
        <v>-7.4037663077552818</v>
      </c>
      <c r="AC522" s="279">
        <f t="shared" si="241"/>
        <v>-63.215665593238647</v>
      </c>
      <c r="AF522" s="278">
        <f t="shared" si="242"/>
        <v>38.378948194444511</v>
      </c>
      <c r="AG522" s="279">
        <f t="shared" si="243"/>
        <v>-158.04950313602114</v>
      </c>
      <c r="AI522">
        <f t="shared" si="244"/>
        <v>0</v>
      </c>
      <c r="AJ522">
        <f t="shared" si="249"/>
        <v>0</v>
      </c>
      <c r="AK522">
        <f t="shared" si="245"/>
        <v>0</v>
      </c>
      <c r="AL522">
        <f t="shared" si="246"/>
        <v>0</v>
      </c>
      <c r="AM522"/>
      <c r="AN522"/>
    </row>
    <row r="523" spans="2:40" x14ac:dyDescent="0.2">
      <c r="B523" s="280">
        <v>73287.5</v>
      </c>
      <c r="C523" s="270">
        <f t="shared" si="219"/>
        <v>59.870614540906182</v>
      </c>
      <c r="D523" s="271">
        <f t="shared" si="220"/>
        <v>1.5540928653368911</v>
      </c>
      <c r="E523" s="271">
        <f t="shared" si="221"/>
        <v>1.0071414805984427</v>
      </c>
      <c r="F523" s="272">
        <f t="shared" si="222"/>
        <v>0.11915735293214812</v>
      </c>
      <c r="G523" s="271">
        <f t="shared" si="223"/>
        <v>1.2450109077271785</v>
      </c>
      <c r="H523" s="272">
        <f t="shared" si="224"/>
        <v>-0.6381388903219104</v>
      </c>
      <c r="I523" s="270">
        <f t="shared" si="225"/>
        <v>257906.88842512487</v>
      </c>
      <c r="J523" s="273">
        <f t="shared" si="226"/>
        <v>1.5707924494265715</v>
      </c>
      <c r="K523" s="281">
        <f t="shared" si="227"/>
        <v>38.693155569337335</v>
      </c>
      <c r="L523" s="282">
        <f t="shared" si="228"/>
        <v>1.5449490848055436</v>
      </c>
      <c r="M523" s="270">
        <f t="shared" si="229"/>
        <v>2.1206014188976408</v>
      </c>
      <c r="N523" s="273">
        <f t="shared" si="230"/>
        <v>1.0797324263259938</v>
      </c>
      <c r="O523" s="270">
        <f t="shared" si="231"/>
        <v>20261.782663046182</v>
      </c>
      <c r="P523" s="273">
        <f t="shared" si="232"/>
        <v>1.5707469727959402</v>
      </c>
      <c r="Q523" s="271">
        <f t="shared" si="233"/>
        <v>1.2259184706866677</v>
      </c>
      <c r="R523" s="272">
        <f t="shared" si="234"/>
        <v>0.61683227389556372</v>
      </c>
      <c r="S523" s="270">
        <f t="shared" si="235"/>
        <v>1.0000131606583285</v>
      </c>
      <c r="T523" s="273">
        <f t="shared" si="236"/>
        <v>5.1304023222986184E-3</v>
      </c>
      <c r="U523" s="274">
        <f t="shared" si="237"/>
        <v>1.121952308199621</v>
      </c>
      <c r="V523" s="275">
        <f t="shared" si="238"/>
        <v>0.69130202189801138</v>
      </c>
      <c r="W523" s="276">
        <f t="shared" si="239"/>
        <v>-30.9099844678395</v>
      </c>
      <c r="X523" s="277">
        <f t="shared" si="248"/>
        <v>138.26807113044026</v>
      </c>
      <c r="Y523" s="299">
        <f t="shared" si="247"/>
        <v>-41.731928869559738</v>
      </c>
      <c r="AB523" s="278">
        <f t="shared" si="240"/>
        <v>-7.442731792843281</v>
      </c>
      <c r="AC523" s="279">
        <f t="shared" si="241"/>
        <v>-63.344826753102161</v>
      </c>
      <c r="AF523" s="278">
        <f t="shared" si="242"/>
        <v>38.336279931985537</v>
      </c>
      <c r="AG523" s="279">
        <f t="shared" si="243"/>
        <v>-158.38710211645761</v>
      </c>
      <c r="AI523">
        <f t="shared" si="244"/>
        <v>0</v>
      </c>
      <c r="AJ523">
        <f t="shared" si="249"/>
        <v>0</v>
      </c>
      <c r="AK523">
        <f t="shared" si="245"/>
        <v>0</v>
      </c>
      <c r="AL523">
        <f t="shared" si="246"/>
        <v>0</v>
      </c>
      <c r="AM523"/>
      <c r="AN523"/>
    </row>
    <row r="524" spans="2:40" x14ac:dyDescent="0.2">
      <c r="B524" s="280">
        <v>73709.25</v>
      </c>
      <c r="C524" s="270">
        <f t="shared" si="219"/>
        <v>60.215058101854076</v>
      </c>
      <c r="D524" s="271">
        <f t="shared" si="220"/>
        <v>1.5541884216724517</v>
      </c>
      <c r="E524" s="271">
        <f t="shared" si="221"/>
        <v>1.0072236161294268</v>
      </c>
      <c r="F524" s="272">
        <f t="shared" si="222"/>
        <v>0.11983654398713414</v>
      </c>
      <c r="G524" s="271">
        <f t="shared" si="223"/>
        <v>1.2475580880776358</v>
      </c>
      <c r="H524" s="272">
        <f t="shared" si="224"/>
        <v>-0.64088674483800068</v>
      </c>
      <c r="I524" s="270">
        <f t="shared" si="225"/>
        <v>259391.07372536935</v>
      </c>
      <c r="J524" s="273">
        <f t="shared" si="226"/>
        <v>1.5707924716121193</v>
      </c>
      <c r="K524" s="281">
        <f t="shared" si="227"/>
        <v>38.915676049140153</v>
      </c>
      <c r="L524" s="282">
        <f t="shared" si="228"/>
        <v>1.5450969124028777</v>
      </c>
      <c r="M524" s="270">
        <f t="shared" si="229"/>
        <v>2.1300972320883793</v>
      </c>
      <c r="N524" s="273">
        <f t="shared" si="230"/>
        <v>1.0821148108214247</v>
      </c>
      <c r="O524" s="270">
        <f t="shared" si="231"/>
        <v>20378.383813547756</v>
      </c>
      <c r="P524" s="273">
        <f t="shared" si="232"/>
        <v>1.5707472551899277</v>
      </c>
      <c r="Q524" s="271">
        <f t="shared" si="233"/>
        <v>1.2282835934363359</v>
      </c>
      <c r="R524" s="272">
        <f t="shared" si="234"/>
        <v>0.61954244039539375</v>
      </c>
      <c r="S524" s="270">
        <f t="shared" si="235"/>
        <v>1.0000133125653097</v>
      </c>
      <c r="T524" s="273">
        <f t="shared" si="236"/>
        <v>5.1599258956669565E-3</v>
      </c>
      <c r="U524" s="274">
        <f t="shared" si="237"/>
        <v>1.1233782608809921</v>
      </c>
      <c r="V524" s="275">
        <f t="shared" si="238"/>
        <v>0.69501346797172781</v>
      </c>
      <c r="W524" s="276">
        <f t="shared" si="239"/>
        <v>-30.991224702854304</v>
      </c>
      <c r="X524" s="277">
        <f t="shared" si="248"/>
        <v>137.80338832375725</v>
      </c>
      <c r="Y524" s="299">
        <f t="shared" si="247"/>
        <v>-42.196611676242753</v>
      </c>
      <c r="AB524" s="278">
        <f t="shared" si="240"/>
        <v>-7.4815725010757994</v>
      </c>
      <c r="AC524" s="279">
        <f t="shared" si="241"/>
        <v>-63.472858703583199</v>
      </c>
      <c r="AF524" s="278">
        <f t="shared" si="242"/>
        <v>38.293880405203254</v>
      </c>
      <c r="AG524" s="279">
        <f t="shared" si="243"/>
        <v>-158.72375297265953</v>
      </c>
      <c r="AI524">
        <f t="shared" si="244"/>
        <v>0</v>
      </c>
      <c r="AJ524">
        <f t="shared" si="249"/>
        <v>0</v>
      </c>
      <c r="AK524">
        <f t="shared" si="245"/>
        <v>0</v>
      </c>
      <c r="AL524">
        <f t="shared" si="246"/>
        <v>0</v>
      </c>
      <c r="AM524"/>
      <c r="AN524"/>
    </row>
    <row r="525" spans="2:40" x14ac:dyDescent="0.2">
      <c r="B525" s="280">
        <v>74131</v>
      </c>
      <c r="C525" s="270">
        <f t="shared" ref="C525:C588" si="250">SQRT(1+(B525/PS_Pole1)^2)</f>
        <v>60.559502206371988</v>
      </c>
      <c r="D525" s="271">
        <f t="shared" ref="D525:D588" si="251">ATAN(B525/PS_Pole1)</f>
        <v>1.5542828910178832</v>
      </c>
      <c r="E525" s="271">
        <f t="shared" ref="E525:E588" si="252">SQRT(1+(B525/PS_Zero1)^2)</f>
        <v>1.0073062162172604</v>
      </c>
      <c r="F525" s="272">
        <f t="shared" ref="F525:F588" si="253">ATAN(B525/PS_Zero1)</f>
        <v>0.12051562396668537</v>
      </c>
      <c r="G525" s="271">
        <f t="shared" ref="G525:G588" si="254">IF(VIN_nom&gt;Vout, 1, SQRT(1+(B525/PS_RHPZ)^2))</f>
        <v>1.2501146499417497</v>
      </c>
      <c r="H525" s="272">
        <f t="shared" ref="H525:H588" si="255">IF(VIN_nom&gt;Vout, 0, -ATAN(B525/PS_RHPZ))</f>
        <v>-0.64362338088210846</v>
      </c>
      <c r="I525" s="270">
        <f t="shared" ref="I525:I588" si="256">SQRT(1+(B525/EA_Pole1)^2)</f>
        <v>260875.25902561392</v>
      </c>
      <c r="J525" s="273">
        <f t="shared" ref="J525:J588" si="257">ATAN(B525/EA_Pole1)</f>
        <v>1.5707924935452289</v>
      </c>
      <c r="K525" s="281">
        <f t="shared" ref="K525:K588" si="258">SQRT(1+(B525/EA_Zero1)^2)</f>
        <v>39.138197369696982</v>
      </c>
      <c r="L525" s="282">
        <f t="shared" ref="L525:L588" si="259">ATAN(B525/EA_Zero1)</f>
        <v>1.5452430590474611</v>
      </c>
      <c r="M525" s="270">
        <f t="shared" ref="M525:M588" si="260">SQRT(1+(B525/EA_Pole2)^2)</f>
        <v>2.139605027838356</v>
      </c>
      <c r="N525" s="273">
        <f t="shared" ref="N525:N588" si="261">ATAN(B525/EA_Pole2)</f>
        <v>1.0844760353423624</v>
      </c>
      <c r="O525" s="270">
        <f t="shared" ref="O525:O588" si="262">SQRT(1+(B525/$V$5)^2)</f>
        <v>20494.984964050938</v>
      </c>
      <c r="P525" s="273">
        <f t="shared" ref="P525:P588" si="263">ATAN(B525/$V$5)</f>
        <v>1.5707475343706938</v>
      </c>
      <c r="Q525" s="271">
        <f t="shared" ref="Q525:Q588" si="264">SQRT(1+(B525/$V$4)^2)</f>
        <v>1.2306577032168071</v>
      </c>
      <c r="R525" s="272">
        <f t="shared" ref="R525:R588" si="265">ATAN(B525/$V$4)</f>
        <v>0.62224217008532146</v>
      </c>
      <c r="S525" s="270">
        <f t="shared" ref="S525:S588" si="266">SQRT(1+(B525/$V$7)^2)</f>
        <v>1.0000134653439436</v>
      </c>
      <c r="T525" s="273">
        <f t="shared" ref="T525:T588" si="267">ATAN(B525/$V$7)</f>
        <v>5.1894494600400083E-3</v>
      </c>
      <c r="U525" s="274">
        <f t="shared" ref="U525:U588" si="268">SQRT((1-(B525^2/pterm2))^2+(B525/pterm1)^2)</f>
        <v>1.1248127703602997</v>
      </c>
      <c r="V525" s="275">
        <f t="shared" ref="V525:V588" si="269">IF((ATAN((B525/pterm1)/(1-B525^2/pterm2))&gt;0),ATAN((B525/pterm1)/(1-B525^2/pterm2)),PI()+ATAN((B525/pterm1)/(1-B525^2/pterm2)))</f>
        <v>0.69872059011020615</v>
      </c>
      <c r="W525" s="276">
        <f t="shared" ref="W525:W588" si="270">20*LOG10(((E525*K525*G525)/(C525*I525*U525*M525))*Adc)</f>
        <v>-31.072075422993301</v>
      </c>
      <c r="X525" s="277">
        <f t="shared" si="248"/>
        <v>137.34076802740319</v>
      </c>
      <c r="Y525" s="299">
        <f t="shared" si="247"/>
        <v>-42.659231972596814</v>
      </c>
      <c r="AB525" s="278">
        <f t="shared" ref="AB525:AB588" si="271">20*LOG10((K525/(I525*M525))*AEA)</f>
        <v>-7.5202886732482224</v>
      </c>
      <c r="AC525" s="279">
        <f t="shared" ref="AC525:AC588" si="272">(L525-(J525+N525))*radconv</f>
        <v>-63.599774573865695</v>
      </c>
      <c r="AF525" s="278">
        <f t="shared" ref="AF525:AF588" si="273">20*LOG10((E525*G525/(C525*U525))*Acs*Am)</f>
        <v>38.251745857236685</v>
      </c>
      <c r="AG525" s="279">
        <f t="shared" ref="AG525:AG588" si="274">(F525+H525-(D525+V525))*radconv</f>
        <v>-159.0594573987311</v>
      </c>
      <c r="AI525">
        <f t="shared" ref="AI525:AI588" si="275">SUM((W526&lt;0)*(W525&gt;0))*B525</f>
        <v>0</v>
      </c>
      <c r="AJ525">
        <f t="shared" si="249"/>
        <v>0</v>
      </c>
      <c r="AK525">
        <f t="shared" ref="AK525:AK588" si="276">SUM((AB526&lt;0)*(AB525&gt;0))*B525</f>
        <v>0</v>
      </c>
      <c r="AL525">
        <f t="shared" ref="AL525:AL588" si="277">IF(AK525&gt;0,AC525,0)</f>
        <v>0</v>
      </c>
      <c r="AM525"/>
      <c r="AN525"/>
    </row>
    <row r="526" spans="2:40" x14ac:dyDescent="0.2">
      <c r="B526" s="280">
        <v>74562.75</v>
      </c>
      <c r="C526" s="270">
        <f t="shared" si="250"/>
        <v>60.912113885172069</v>
      </c>
      <c r="D526" s="271">
        <f t="shared" si="251"/>
        <v>1.5543784935949878</v>
      </c>
      <c r="E526" s="271">
        <f t="shared" si="252"/>
        <v>1.0073912559040012</v>
      </c>
      <c r="F526" s="272">
        <f t="shared" si="253"/>
        <v>0.12121068974521113</v>
      </c>
      <c r="G526" s="271">
        <f t="shared" si="254"/>
        <v>1.2527414875991394</v>
      </c>
      <c r="H526" s="272">
        <f t="shared" si="255"/>
        <v>-0.64641331298869897</v>
      </c>
      <c r="I526" s="270">
        <f t="shared" si="256"/>
        <v>262394.63544145419</v>
      </c>
      <c r="J526" s="273">
        <f t="shared" si="257"/>
        <v>1.5707925157413729</v>
      </c>
      <c r="K526" s="281">
        <f t="shared" si="258"/>
        <v>39.365995689013069</v>
      </c>
      <c r="L526" s="282">
        <f t="shared" si="259"/>
        <v>1.5453909594795046</v>
      </c>
      <c r="M526" s="270">
        <f t="shared" si="260"/>
        <v>2.1493505064377385</v>
      </c>
      <c r="N526" s="273">
        <f t="shared" si="261"/>
        <v>1.0868715935916464</v>
      </c>
      <c r="O526" s="270">
        <f t="shared" si="262"/>
        <v>20614.350812848657</v>
      </c>
      <c r="P526" s="273">
        <f t="shared" si="263"/>
        <v>1.5707478168995586</v>
      </c>
      <c r="Q526" s="271">
        <f t="shared" si="264"/>
        <v>1.2330973598660169</v>
      </c>
      <c r="R526" s="272">
        <f t="shared" si="265"/>
        <v>0.62499512336860419</v>
      </c>
      <c r="S526" s="270">
        <f t="shared" si="266"/>
        <v>1.000013622647969</v>
      </c>
      <c r="T526" s="273">
        <f t="shared" si="267"/>
        <v>5.2196730402786478E-3</v>
      </c>
      <c r="U526" s="274">
        <f t="shared" si="268"/>
        <v>1.1262901618388643</v>
      </c>
      <c r="V526" s="275">
        <f t="shared" si="269"/>
        <v>0.70251111397750032</v>
      </c>
      <c r="W526" s="276">
        <f t="shared" si="270"/>
        <v>-31.154443816021541</v>
      </c>
      <c r="X526" s="277">
        <f t="shared" si="248"/>
        <v>136.86929980577997</v>
      </c>
      <c r="Y526" s="299">
        <f t="shared" ref="Y526:Y589" si="278">IF(X526&gt;0,X526-180,X526+180)</f>
        <v>-43.130700194220026</v>
      </c>
      <c r="AB526" s="278">
        <f t="shared" si="271"/>
        <v>-7.5597940981303946</v>
      </c>
      <c r="AC526" s="279">
        <f t="shared" si="272"/>
        <v>-63.72855715232857</v>
      </c>
      <c r="AF526" s="278">
        <f t="shared" si="273"/>
        <v>38.20888288909061</v>
      </c>
      <c r="AG526" s="279">
        <f t="shared" si="274"/>
        <v>-159.40214304189146</v>
      </c>
      <c r="AI526">
        <f t="shared" si="275"/>
        <v>0</v>
      </c>
      <c r="AJ526">
        <f t="shared" si="249"/>
        <v>0</v>
      </c>
      <c r="AK526">
        <f t="shared" si="276"/>
        <v>0</v>
      </c>
      <c r="AL526">
        <f t="shared" si="277"/>
        <v>0</v>
      </c>
      <c r="AM526"/>
      <c r="AN526"/>
    </row>
    <row r="527" spans="2:40" x14ac:dyDescent="0.2">
      <c r="B527" s="280">
        <v>74994.5</v>
      </c>
      <c r="C527" s="270">
        <f t="shared" si="250"/>
        <v>61.264726114291349</v>
      </c>
      <c r="D527" s="271">
        <f t="shared" si="251"/>
        <v>1.5544729956820142</v>
      </c>
      <c r="E527" s="271">
        <f t="shared" si="252"/>
        <v>1.0074767821957171</v>
      </c>
      <c r="F527" s="272">
        <f t="shared" si="253"/>
        <v>0.12190563784897178</v>
      </c>
      <c r="G527" s="271">
        <f t="shared" si="254"/>
        <v>1.2553780353955259</v>
      </c>
      <c r="H527" s="272">
        <f t="shared" si="255"/>
        <v>-0.64919154780131605</v>
      </c>
      <c r="I527" s="270">
        <f t="shared" si="256"/>
        <v>263914.01185729465</v>
      </c>
      <c r="J527" s="273">
        <f t="shared" si="257"/>
        <v>1.5707925376819467</v>
      </c>
      <c r="K527" s="281">
        <f t="shared" si="258"/>
        <v>39.593794859533482</v>
      </c>
      <c r="L527" s="282">
        <f t="shared" si="259"/>
        <v>1.5455371580522967</v>
      </c>
      <c r="M527" s="270">
        <f t="shared" si="260"/>
        <v>2.1591082081251036</v>
      </c>
      <c r="N527" s="273">
        <f t="shared" si="261"/>
        <v>1.0892455127714238</v>
      </c>
      <c r="O527" s="270">
        <f t="shared" si="262"/>
        <v>20733.716661648006</v>
      </c>
      <c r="P527" s="273">
        <f t="shared" si="263"/>
        <v>1.570748096175336</v>
      </c>
      <c r="Q527" s="271">
        <f t="shared" si="264"/>
        <v>1.2355463249070082</v>
      </c>
      <c r="R527" s="272">
        <f t="shared" si="265"/>
        <v>0.62773718415788737</v>
      </c>
      <c r="S527" s="270">
        <f t="shared" si="266"/>
        <v>1.0000137808654714</v>
      </c>
      <c r="T527" s="273">
        <f t="shared" si="267"/>
        <v>5.2498966109812287E-3</v>
      </c>
      <c r="U527" s="274">
        <f t="shared" si="268"/>
        <v>1.1277765312556356</v>
      </c>
      <c r="V527" s="275">
        <f t="shared" si="269"/>
        <v>0.70629707019445931</v>
      </c>
      <c r="W527" s="276">
        <f t="shared" si="270"/>
        <v>-31.236412322662083</v>
      </c>
      <c r="X527" s="277">
        <f t="shared" ref="X527:X590" si="279">IF(((F527+L527+H527)-(D527+J527+V527+N527))*radconv&lt;-180,((F527+L527+H527)-(D527+J527+V527+N527))*radconv+360,((F527+L527+H527)-(D527+J527+V527+N527))*radconv)</f>
        <v>136.3999621406351</v>
      </c>
      <c r="Y527" s="299">
        <f t="shared" si="278"/>
        <v>-43.600037859364903</v>
      </c>
      <c r="AB527" s="278">
        <f t="shared" si="271"/>
        <v>-7.5991695610375452</v>
      </c>
      <c r="AC527" s="279">
        <f t="shared" si="272"/>
        <v>-63.856197398145405</v>
      </c>
      <c r="AF527" s="278">
        <f t="shared" si="273"/>
        <v>38.166289845357227</v>
      </c>
      <c r="AG527" s="279">
        <f t="shared" si="274"/>
        <v>-159.74384046121952</v>
      </c>
      <c r="AI527">
        <f t="shared" si="275"/>
        <v>0</v>
      </c>
      <c r="AJ527">
        <f t="shared" si="249"/>
        <v>0</v>
      </c>
      <c r="AK527">
        <f t="shared" si="276"/>
        <v>0</v>
      </c>
      <c r="AL527">
        <f t="shared" si="277"/>
        <v>0</v>
      </c>
      <c r="AM527"/>
      <c r="AN527"/>
    </row>
    <row r="528" spans="2:40" x14ac:dyDescent="0.2">
      <c r="B528" s="280">
        <v>75426.25</v>
      </c>
      <c r="C528" s="270">
        <f t="shared" si="250"/>
        <v>61.617338884282056</v>
      </c>
      <c r="D528" s="271">
        <f t="shared" si="251"/>
        <v>1.5545664161703279</v>
      </c>
      <c r="E528" s="271">
        <f t="shared" si="252"/>
        <v>1.0075627949684931</v>
      </c>
      <c r="F528" s="272">
        <f t="shared" si="253"/>
        <v>0.12260046763676503</v>
      </c>
      <c r="G528" s="271">
        <f t="shared" si="254"/>
        <v>1.2580242322798323</v>
      </c>
      <c r="H528" s="272">
        <f t="shared" si="255"/>
        <v>-0.65195811611155174</v>
      </c>
      <c r="I528" s="270">
        <f t="shared" si="256"/>
        <v>265433.38827313524</v>
      </c>
      <c r="J528" s="273">
        <f t="shared" si="257"/>
        <v>1.5707925593713388</v>
      </c>
      <c r="K528" s="281">
        <f t="shared" si="258"/>
        <v>39.821594866650294</v>
      </c>
      <c r="L528" s="282">
        <f t="shared" si="259"/>
        <v>1.545681683966065</v>
      </c>
      <c r="M528" s="270">
        <f t="shared" si="260"/>
        <v>2.1688779679267971</v>
      </c>
      <c r="N528" s="273">
        <f t="shared" si="261"/>
        <v>1.09159805836451</v>
      </c>
      <c r="O528" s="270">
        <f t="shared" si="262"/>
        <v>20853.082510448952</v>
      </c>
      <c r="P528" s="273">
        <f t="shared" si="263"/>
        <v>1.5707483722538889</v>
      </c>
      <c r="Q528" s="271">
        <f t="shared" si="264"/>
        <v>1.2380045430994533</v>
      </c>
      <c r="R528" s="272">
        <f t="shared" si="265"/>
        <v>0.63046837598200467</v>
      </c>
      <c r="S528" s="270">
        <f t="shared" si="266"/>
        <v>1.0000139399964503</v>
      </c>
      <c r="T528" s="273">
        <f t="shared" si="267"/>
        <v>5.2801201720925391E-3</v>
      </c>
      <c r="U528" s="274">
        <f t="shared" si="268"/>
        <v>1.129271883939593</v>
      </c>
      <c r="V528" s="275">
        <f t="shared" si="269"/>
        <v>0.71007844063128089</v>
      </c>
      <c r="W528" s="276">
        <f t="shared" si="270"/>
        <v>-31.317985071647648</v>
      </c>
      <c r="X528" s="277">
        <f t="shared" si="279"/>
        <v>135.93273964912126</v>
      </c>
      <c r="Y528" s="299">
        <f t="shared" si="278"/>
        <v>-44.06726035087874</v>
      </c>
      <c r="AB528" s="278">
        <f t="shared" si="271"/>
        <v>-7.6384153588683947</v>
      </c>
      <c r="AC528" s="279">
        <f t="shared" si="272"/>
        <v>-63.982708849562769</v>
      </c>
      <c r="AF528" s="278">
        <f t="shared" si="273"/>
        <v>38.123962894202499</v>
      </c>
      <c r="AG528" s="279">
        <f t="shared" si="274"/>
        <v>-160.08455150131599</v>
      </c>
      <c r="AI528">
        <f t="shared" si="275"/>
        <v>0</v>
      </c>
      <c r="AJ528">
        <f t="shared" si="249"/>
        <v>0</v>
      </c>
      <c r="AK528">
        <f t="shared" si="276"/>
        <v>0</v>
      </c>
      <c r="AL528">
        <f t="shared" si="277"/>
        <v>0</v>
      </c>
      <c r="AM528"/>
      <c r="AN528"/>
    </row>
    <row r="529" spans="2:40" x14ac:dyDescent="0.2">
      <c r="B529" s="280">
        <v>75858</v>
      </c>
      <c r="C529" s="270">
        <f t="shared" si="250"/>
        <v>61.969952185911403</v>
      </c>
      <c r="D529" s="271">
        <f t="shared" si="251"/>
        <v>1.5546587735213975</v>
      </c>
      <c r="E529" s="271">
        <f t="shared" si="252"/>
        <v>1.0076492940977513</v>
      </c>
      <c r="F529" s="272">
        <f t="shared" si="253"/>
        <v>0.12329517846806395</v>
      </c>
      <c r="G529" s="271">
        <f t="shared" si="254"/>
        <v>1.2606800174910746</v>
      </c>
      <c r="H529" s="272">
        <f t="shared" si="255"/>
        <v>-0.654713049167297</v>
      </c>
      <c r="I529" s="270">
        <f t="shared" si="256"/>
        <v>266952.76468897599</v>
      </c>
      <c r="J529" s="273">
        <f t="shared" si="257"/>
        <v>1.5707925808138383</v>
      </c>
      <c r="K529" s="281">
        <f t="shared" si="258"/>
        <v>40.049395696087871</v>
      </c>
      <c r="L529" s="282">
        <f t="shared" si="259"/>
        <v>1.5458245657569565</v>
      </c>
      <c r="M529" s="270">
        <f t="shared" si="260"/>
        <v>2.1786596236262779</v>
      </c>
      <c r="N529" s="273">
        <f t="shared" si="261"/>
        <v>1.0939294920410803</v>
      </c>
      <c r="O529" s="270">
        <f t="shared" si="262"/>
        <v>20972.44835925147</v>
      </c>
      <c r="P529" s="273">
        <f t="shared" si="263"/>
        <v>1.5707486451898094</v>
      </c>
      <c r="Q529" s="271">
        <f t="shared" si="264"/>
        <v>1.240471959433004</v>
      </c>
      <c r="R529" s="272">
        <f t="shared" si="265"/>
        <v>0.63318872283224326</v>
      </c>
      <c r="S529" s="270">
        <f t="shared" si="266"/>
        <v>1.0000141000409051</v>
      </c>
      <c r="T529" s="273">
        <f t="shared" si="267"/>
        <v>5.3103437235573672E-3</v>
      </c>
      <c r="U529" s="274">
        <f t="shared" si="268"/>
        <v>1.1307762252126519</v>
      </c>
      <c r="V529" s="275">
        <f t="shared" si="269"/>
        <v>0.71385520729388985</v>
      </c>
      <c r="W529" s="276">
        <f t="shared" si="270"/>
        <v>-31.399166139375211</v>
      </c>
      <c r="X529" s="277">
        <f t="shared" si="279"/>
        <v>135.46761711954539</v>
      </c>
      <c r="Y529" s="299">
        <f t="shared" si="278"/>
        <v>-44.532382880454605</v>
      </c>
      <c r="AB529" s="278">
        <f t="shared" si="271"/>
        <v>-7.6775318004513062</v>
      </c>
      <c r="AC529" s="279">
        <f t="shared" si="272"/>
        <v>-64.108104864422316</v>
      </c>
      <c r="AF529" s="278">
        <f t="shared" si="273"/>
        <v>38.081898268057856</v>
      </c>
      <c r="AG529" s="279">
        <f t="shared" si="274"/>
        <v>-160.4242780160323</v>
      </c>
      <c r="AI529">
        <f t="shared" si="275"/>
        <v>0</v>
      </c>
      <c r="AJ529">
        <f t="shared" si="249"/>
        <v>0</v>
      </c>
      <c r="AK529">
        <f t="shared" si="276"/>
        <v>0</v>
      </c>
      <c r="AL529">
        <f t="shared" si="277"/>
        <v>0</v>
      </c>
      <c r="AM529"/>
      <c r="AN529"/>
    </row>
    <row r="530" spans="2:40" x14ac:dyDescent="0.2">
      <c r="B530" s="280">
        <v>76299.75</v>
      </c>
      <c r="C530" s="270">
        <f t="shared" si="250"/>
        <v>62.330733099641229</v>
      </c>
      <c r="D530" s="271">
        <f t="shared" si="251"/>
        <v>1.5547521884709405</v>
      </c>
      <c r="E530" s="271">
        <f t="shared" si="252"/>
        <v>1.007738299934539</v>
      </c>
      <c r="F530" s="272">
        <f t="shared" si="253"/>
        <v>0.12400585609169862</v>
      </c>
      <c r="G530" s="271">
        <f t="shared" si="254"/>
        <v>1.2634071757609235</v>
      </c>
      <c r="H530" s="272">
        <f t="shared" si="255"/>
        <v>-0.65751978119405996</v>
      </c>
      <c r="I530" s="270">
        <f t="shared" si="256"/>
        <v>268507.33222041244</v>
      </c>
      <c r="J530" s="273">
        <f t="shared" si="257"/>
        <v>1.570792602501814</v>
      </c>
      <c r="K530" s="281">
        <f t="shared" si="258"/>
        <v>40.282473582801913</v>
      </c>
      <c r="L530" s="282">
        <f t="shared" si="259"/>
        <v>1.5459690843136893</v>
      </c>
      <c r="M530" s="270">
        <f t="shared" si="260"/>
        <v>2.1886799836757063</v>
      </c>
      <c r="N530" s="273">
        <f t="shared" si="261"/>
        <v>1.096293343264146</v>
      </c>
      <c r="O530" s="270">
        <f t="shared" si="262"/>
        <v>21094.578906348637</v>
      </c>
      <c r="P530" s="273">
        <f t="shared" si="263"/>
        <v>1.5707489212503341</v>
      </c>
      <c r="Q530" s="271">
        <f t="shared" si="264"/>
        <v>1.2430059879982758</v>
      </c>
      <c r="R530" s="272">
        <f t="shared" si="265"/>
        <v>0.63596087797154033</v>
      </c>
      <c r="S530" s="270">
        <f t="shared" si="266"/>
        <v>1.0000142647376951</v>
      </c>
      <c r="T530" s="273">
        <f t="shared" si="267"/>
        <v>5.3412672893339563E-3</v>
      </c>
      <c r="U530" s="274">
        <f t="shared" si="268"/>
        <v>1.1323247181916327</v>
      </c>
      <c r="V530" s="275">
        <f t="shared" si="269"/>
        <v>0.71771466615334867</v>
      </c>
      <c r="W530" s="276">
        <f t="shared" si="270"/>
        <v>-31.48182629000242</v>
      </c>
      <c r="X530" s="277">
        <f t="shared" si="279"/>
        <v>134.99387942466683</v>
      </c>
      <c r="Y530" s="299">
        <f t="shared" si="278"/>
        <v>-45.006120575333171</v>
      </c>
      <c r="AB530" s="278">
        <f t="shared" si="271"/>
        <v>-7.7174206885220951</v>
      </c>
      <c r="AC530" s="279">
        <f t="shared" si="272"/>
        <v>-64.235264502168164</v>
      </c>
      <c r="AF530" s="278">
        <f t="shared" si="273"/>
        <v>38.039127005501435</v>
      </c>
      <c r="AG530" s="279">
        <f t="shared" si="274"/>
        <v>-160.77085607316496</v>
      </c>
      <c r="AI530">
        <f t="shared" si="275"/>
        <v>0</v>
      </c>
      <c r="AJ530">
        <f t="shared" si="249"/>
        <v>0</v>
      </c>
      <c r="AK530">
        <f t="shared" si="276"/>
        <v>0</v>
      </c>
      <c r="AL530">
        <f t="shared" si="277"/>
        <v>0</v>
      </c>
      <c r="AM530"/>
      <c r="AN530"/>
    </row>
    <row r="531" spans="2:40" x14ac:dyDescent="0.2">
      <c r="B531" s="280">
        <v>76741.5</v>
      </c>
      <c r="C531" s="270">
        <f t="shared" si="250"/>
        <v>62.691514551030657</v>
      </c>
      <c r="D531" s="271">
        <f t="shared" si="251"/>
        <v>1.5548445282396941</v>
      </c>
      <c r="E531" s="271">
        <f t="shared" si="252"/>
        <v>1.007827814652289</v>
      </c>
      <c r="F531" s="272">
        <f t="shared" si="253"/>
        <v>0.12471640783015431</v>
      </c>
      <c r="G531" s="271">
        <f t="shared" si="254"/>
        <v>1.2661442439094663</v>
      </c>
      <c r="H531" s="272">
        <f t="shared" si="255"/>
        <v>-0.6603144003360738</v>
      </c>
      <c r="I531" s="270">
        <f t="shared" si="256"/>
        <v>270061.89975184895</v>
      </c>
      <c r="J531" s="273">
        <f t="shared" si="257"/>
        <v>1.5707926239401033</v>
      </c>
      <c r="K531" s="281">
        <f t="shared" si="258"/>
        <v>40.515552301160156</v>
      </c>
      <c r="L531" s="282">
        <f t="shared" si="259"/>
        <v>1.5461119400946133</v>
      </c>
      <c r="M531" s="270">
        <f t="shared" si="260"/>
        <v>2.1987124621028884</v>
      </c>
      <c r="N531" s="273">
        <f t="shared" si="261"/>
        <v>1.0986356355000031</v>
      </c>
      <c r="O531" s="270">
        <f t="shared" si="262"/>
        <v>21216.709453447398</v>
      </c>
      <c r="P531" s="273">
        <f t="shared" si="263"/>
        <v>1.5707491941326635</v>
      </c>
      <c r="Q531" s="271">
        <f t="shared" si="264"/>
        <v>1.2455495299603854</v>
      </c>
      <c r="R531" s="272">
        <f t="shared" si="265"/>
        <v>0.63872173219607575</v>
      </c>
      <c r="S531" s="270">
        <f t="shared" si="266"/>
        <v>1.000014430390765</v>
      </c>
      <c r="T531" s="273">
        <f t="shared" si="267"/>
        <v>5.3721908448950972E-3</v>
      </c>
      <c r="U531" s="274">
        <f t="shared" si="268"/>
        <v>1.1338826322084306</v>
      </c>
      <c r="V531" s="275">
        <f t="shared" si="269"/>
        <v>0.72156926783377773</v>
      </c>
      <c r="W531" s="276">
        <f t="shared" si="270"/>
        <v>-31.56408487469205</v>
      </c>
      <c r="X531" s="277">
        <f t="shared" si="279"/>
        <v>134.52230841670035</v>
      </c>
      <c r="Y531" s="299">
        <f t="shared" si="278"/>
        <v>-45.477691583299645</v>
      </c>
      <c r="AB531" s="278">
        <f t="shared" si="271"/>
        <v>-7.7571748489014176</v>
      </c>
      <c r="AC531" s="279">
        <f t="shared" si="272"/>
        <v>-64.361284156666557</v>
      </c>
      <c r="AF531" s="278">
        <f t="shared" si="273"/>
        <v>37.996622581191126</v>
      </c>
      <c r="AG531" s="279">
        <f t="shared" si="274"/>
        <v>-161.11640742663306</v>
      </c>
      <c r="AI531">
        <f t="shared" si="275"/>
        <v>0</v>
      </c>
      <c r="AJ531">
        <f t="shared" si="249"/>
        <v>0</v>
      </c>
      <c r="AK531">
        <f t="shared" si="276"/>
        <v>0</v>
      </c>
      <c r="AL531">
        <f t="shared" si="277"/>
        <v>0</v>
      </c>
      <c r="AM531"/>
      <c r="AN531"/>
    </row>
    <row r="532" spans="2:40" x14ac:dyDescent="0.2">
      <c r="B532" s="280">
        <v>77183.25</v>
      </c>
      <c r="C532" s="270">
        <f t="shared" si="250"/>
        <v>63.052296530850306</v>
      </c>
      <c r="D532" s="271">
        <f t="shared" si="251"/>
        <v>1.5549358112824563</v>
      </c>
      <c r="E532" s="271">
        <f t="shared" si="252"/>
        <v>1.0079178381154175</v>
      </c>
      <c r="F532" s="272">
        <f t="shared" si="253"/>
        <v>0.12542683299957511</v>
      </c>
      <c r="G532" s="271">
        <f t="shared" si="254"/>
        <v>1.2688911578082416</v>
      </c>
      <c r="H532" s="272">
        <f t="shared" si="255"/>
        <v>-0.66309694146749654</v>
      </c>
      <c r="I532" s="270">
        <f t="shared" si="256"/>
        <v>271616.46728328563</v>
      </c>
      <c r="J532" s="273">
        <f t="shared" si="257"/>
        <v>1.570792645132993</v>
      </c>
      <c r="K532" s="281">
        <f t="shared" si="258"/>
        <v>40.748631836891818</v>
      </c>
      <c r="L532" s="282">
        <f t="shared" si="259"/>
        <v>1.5462531616267574</v>
      </c>
      <c r="M532" s="270">
        <f t="shared" si="260"/>
        <v>2.2087568937778017</v>
      </c>
      <c r="N532" s="273">
        <f t="shared" si="261"/>
        <v>1.1009566369928112</v>
      </c>
      <c r="O532" s="270">
        <f t="shared" si="262"/>
        <v>21338.840000547712</v>
      </c>
      <c r="P532" s="273">
        <f t="shared" si="263"/>
        <v>1.5707494638913677</v>
      </c>
      <c r="Q532" s="271">
        <f t="shared" si="264"/>
        <v>1.2481025271565065</v>
      </c>
      <c r="R532" s="272">
        <f t="shared" si="265"/>
        <v>0.64147131263749535</v>
      </c>
      <c r="S532" s="270">
        <f t="shared" si="266"/>
        <v>1.0000145970001149</v>
      </c>
      <c r="T532" s="273">
        <f t="shared" si="267"/>
        <v>5.4031143901816523E-3</v>
      </c>
      <c r="U532" s="274">
        <f t="shared" si="268"/>
        <v>1.1354499729379695</v>
      </c>
      <c r="V532" s="275">
        <f t="shared" si="269"/>
        <v>0.72541899350547845</v>
      </c>
      <c r="W532" s="276">
        <f t="shared" si="270"/>
        <v>-31.645946094755498</v>
      </c>
      <c r="X532" s="277">
        <f t="shared" si="279"/>
        <v>134.05288834477665</v>
      </c>
      <c r="Y532" s="299">
        <f t="shared" si="278"/>
        <v>-45.947111655223352</v>
      </c>
      <c r="AB532" s="278">
        <f t="shared" si="271"/>
        <v>-7.7967946478536865</v>
      </c>
      <c r="AC532" s="279">
        <f t="shared" si="272"/>
        <v>-64.486177562942913</v>
      </c>
      <c r="AF532" s="278">
        <f t="shared" si="273"/>
        <v>37.954381160079947</v>
      </c>
      <c r="AG532" s="279">
        <f t="shared" si="274"/>
        <v>-161.46093409228047</v>
      </c>
      <c r="AI532">
        <f t="shared" si="275"/>
        <v>0</v>
      </c>
      <c r="AJ532">
        <f t="shared" si="249"/>
        <v>0</v>
      </c>
      <c r="AK532">
        <f t="shared" si="276"/>
        <v>0</v>
      </c>
      <c r="AL532">
        <f t="shared" si="277"/>
        <v>0</v>
      </c>
      <c r="AM532"/>
      <c r="AN532"/>
    </row>
    <row r="533" spans="2:40" x14ac:dyDescent="0.2">
      <c r="B533" s="280">
        <v>77625</v>
      </c>
      <c r="C533" s="270">
        <f t="shared" si="250"/>
        <v>63.413079030080844</v>
      </c>
      <c r="D533" s="271">
        <f t="shared" si="251"/>
        <v>1.5550260556341096</v>
      </c>
      <c r="E533" s="271">
        <f t="shared" si="252"/>
        <v>1.0080083701876197</v>
      </c>
      <c r="F533" s="272">
        <f t="shared" si="253"/>
        <v>0.12613713091685977</v>
      </c>
      <c r="G533" s="271">
        <f t="shared" si="254"/>
        <v>1.2716478536531992</v>
      </c>
      <c r="H533" s="272">
        <f t="shared" si="255"/>
        <v>-0.66586743990981612</v>
      </c>
      <c r="I533" s="270">
        <f t="shared" si="256"/>
        <v>273171.03481472243</v>
      </c>
      <c r="J533" s="273">
        <f t="shared" si="257"/>
        <v>1.5707926660846727</v>
      </c>
      <c r="K533" s="281">
        <f t="shared" si="258"/>
        <v>40.981712176050692</v>
      </c>
      <c r="L533" s="282">
        <f t="shared" si="259"/>
        <v>1.5463927767884331</v>
      </c>
      <c r="M533" s="270">
        <f t="shared" si="260"/>
        <v>2.2188131163655811</v>
      </c>
      <c r="N533" s="273">
        <f t="shared" si="261"/>
        <v>1.1032566120499783</v>
      </c>
      <c r="O533" s="270">
        <f t="shared" si="262"/>
        <v>21460.970547649569</v>
      </c>
      <c r="P533" s="273">
        <f t="shared" si="263"/>
        <v>1.5707497305797748</v>
      </c>
      <c r="Q533" s="271">
        <f t="shared" si="264"/>
        <v>1.2506649216833952</v>
      </c>
      <c r="R533" s="272">
        <f t="shared" si="265"/>
        <v>0.64420964688817584</v>
      </c>
      <c r="S533" s="270">
        <f t="shared" si="266"/>
        <v>1.000014764565744</v>
      </c>
      <c r="T533" s="273">
        <f t="shared" si="267"/>
        <v>5.4340379251344847E-3</v>
      </c>
      <c r="U533" s="274">
        <f t="shared" si="268"/>
        <v>1.1370267460457886</v>
      </c>
      <c r="V533" s="275">
        <f t="shared" si="269"/>
        <v>0.72926382448927707</v>
      </c>
      <c r="W533" s="276">
        <f t="shared" si="270"/>
        <v>-31.727414097578976</v>
      </c>
      <c r="X533" s="277">
        <f t="shared" si="279"/>
        <v>133.58560363627021</v>
      </c>
      <c r="Y533" s="299">
        <f t="shared" si="278"/>
        <v>-46.414396363729793</v>
      </c>
      <c r="AB533" s="278">
        <f t="shared" si="271"/>
        <v>-7.8362804625477986</v>
      </c>
      <c r="AC533" s="279">
        <f t="shared" si="272"/>
        <v>-64.609958267626723</v>
      </c>
      <c r="AF533" s="278">
        <f t="shared" si="273"/>
        <v>37.91239897195058</v>
      </c>
      <c r="AG533" s="279">
        <f t="shared" si="274"/>
        <v>-161.80443809610304</v>
      </c>
      <c r="AI533">
        <f t="shared" si="275"/>
        <v>0</v>
      </c>
      <c r="AJ533">
        <f t="shared" si="249"/>
        <v>0</v>
      </c>
      <c r="AK533">
        <f t="shared" si="276"/>
        <v>0</v>
      </c>
      <c r="AL533">
        <f t="shared" si="277"/>
        <v>0</v>
      </c>
      <c r="AM533"/>
      <c r="AN533"/>
    </row>
    <row r="534" spans="2:40" x14ac:dyDescent="0.2">
      <c r="B534" s="280">
        <v>78077</v>
      </c>
      <c r="C534" s="270">
        <f t="shared" si="250"/>
        <v>63.782233355125115</v>
      </c>
      <c r="D534" s="271">
        <f t="shared" si="251"/>
        <v>1.555117337202405</v>
      </c>
      <c r="E534" s="271">
        <f t="shared" si="252"/>
        <v>1.0081015291958795</v>
      </c>
      <c r="F534" s="272">
        <f t="shared" si="253"/>
        <v>0.1268637775698068</v>
      </c>
      <c r="G534" s="271">
        <f t="shared" si="254"/>
        <v>1.2744785724051064</v>
      </c>
      <c r="H534" s="272">
        <f t="shared" si="255"/>
        <v>-0.66868979492137059</v>
      </c>
      <c r="I534" s="270">
        <f t="shared" si="256"/>
        <v>274761.67323964485</v>
      </c>
      <c r="J534" s="273">
        <f t="shared" si="257"/>
        <v>1.5707926872770985</v>
      </c>
      <c r="K534" s="281">
        <f t="shared" si="258"/>
        <v>41.22020153514984</v>
      </c>
      <c r="L534" s="282">
        <f t="shared" si="259"/>
        <v>1.5465339971701375</v>
      </c>
      <c r="M534" s="270">
        <f t="shared" si="260"/>
        <v>2.229114713201469</v>
      </c>
      <c r="N534" s="273">
        <f t="shared" si="261"/>
        <v>1.1055884615280382</v>
      </c>
      <c r="O534" s="270">
        <f t="shared" si="262"/>
        <v>21585.934910503511</v>
      </c>
      <c r="P534" s="273">
        <f t="shared" si="263"/>
        <v>1.5707500003325727</v>
      </c>
      <c r="Q534" s="271">
        <f t="shared" si="264"/>
        <v>1.2532964386927807</v>
      </c>
      <c r="R534" s="272">
        <f t="shared" si="265"/>
        <v>0.64699990778525251</v>
      </c>
      <c r="S534" s="270">
        <f t="shared" si="266"/>
        <v>1.0000149370092459</v>
      </c>
      <c r="T534" s="273">
        <f t="shared" si="267"/>
        <v>5.4656789733436512E-3</v>
      </c>
      <c r="U534" s="274">
        <f t="shared" si="268"/>
        <v>1.1386498743951974</v>
      </c>
      <c r="V534" s="275">
        <f t="shared" si="269"/>
        <v>0.73319278204756255</v>
      </c>
      <c r="W534" s="276">
        <f t="shared" si="270"/>
        <v>-31.810369677679478</v>
      </c>
      <c r="X534" s="277">
        <f t="shared" si="279"/>
        <v>133.10967064170902</v>
      </c>
      <c r="Y534" s="299">
        <f t="shared" si="278"/>
        <v>-46.890329358290984</v>
      </c>
      <c r="AB534" s="278">
        <f t="shared" si="271"/>
        <v>-7.8765441939933449</v>
      </c>
      <c r="AC534" s="279">
        <f t="shared" si="272"/>
        <v>-64.73547328356301</v>
      </c>
      <c r="AF534" s="278">
        <f t="shared" si="273"/>
        <v>37.869707123295626</v>
      </c>
      <c r="AG534" s="279">
        <f t="shared" si="274"/>
        <v>-162.15485607472795</v>
      </c>
      <c r="AI534">
        <f t="shared" si="275"/>
        <v>0</v>
      </c>
      <c r="AJ534">
        <f t="shared" si="249"/>
        <v>0</v>
      </c>
      <c r="AK534">
        <f t="shared" si="276"/>
        <v>0</v>
      </c>
      <c r="AL534">
        <f t="shared" si="277"/>
        <v>0</v>
      </c>
      <c r="AM534"/>
      <c r="AN534"/>
    </row>
    <row r="535" spans="2:40" x14ac:dyDescent="0.2">
      <c r="B535" s="280">
        <v>78529</v>
      </c>
      <c r="C535" s="270">
        <f t="shared" si="250"/>
        <v>64.151388205507232</v>
      </c>
      <c r="D535" s="271">
        <f t="shared" si="251"/>
        <v>1.5552075682241495</v>
      </c>
      <c r="E535" s="271">
        <f t="shared" si="252"/>
        <v>1.0081952203986957</v>
      </c>
      <c r="F535" s="272">
        <f t="shared" si="253"/>
        <v>0.1275902895523035</v>
      </c>
      <c r="G535" s="271">
        <f t="shared" si="254"/>
        <v>1.2773193982114461</v>
      </c>
      <c r="H535" s="272">
        <f t="shared" si="255"/>
        <v>-0.67149961809910996</v>
      </c>
      <c r="I535" s="270">
        <f t="shared" si="256"/>
        <v>276352.31166456745</v>
      </c>
      <c r="J535" s="273">
        <f t="shared" si="257"/>
        <v>1.5707927082255639</v>
      </c>
      <c r="K535" s="281">
        <f t="shared" si="258"/>
        <v>41.458691706853784</v>
      </c>
      <c r="L535" s="282">
        <f t="shared" si="259"/>
        <v>1.5466735928205959</v>
      </c>
      <c r="M535" s="270">
        <f t="shared" si="260"/>
        <v>2.2394283193450164</v>
      </c>
      <c r="N535" s="273">
        <f t="shared" si="261"/>
        <v>1.1078988449757623</v>
      </c>
      <c r="O535" s="270">
        <f t="shared" si="262"/>
        <v>21710.899273359002</v>
      </c>
      <c r="P535" s="273">
        <f t="shared" si="263"/>
        <v>1.5707502669800653</v>
      </c>
      <c r="Q535" s="271">
        <f t="shared" si="264"/>
        <v>1.2559376723779347</v>
      </c>
      <c r="R535" s="272">
        <f t="shared" si="265"/>
        <v>0.64977845441628879</v>
      </c>
      <c r="S535" s="270">
        <f t="shared" si="266"/>
        <v>1.0000151104539186</v>
      </c>
      <c r="T535" s="273">
        <f t="shared" si="267"/>
        <v>5.4973200106087187E-3</v>
      </c>
      <c r="U535" s="274">
        <f t="shared" si="268"/>
        <v>1.1402828898921185</v>
      </c>
      <c r="V535" s="275">
        <f t="shared" si="269"/>
        <v>0.73711657605666248</v>
      </c>
      <c r="W535" s="276">
        <f t="shared" si="270"/>
        <v>-31.892922196609319</v>
      </c>
      <c r="X535" s="277">
        <f t="shared" si="279"/>
        <v>132.63594083042159</v>
      </c>
      <c r="Y535" s="299">
        <f t="shared" si="278"/>
        <v>-47.364059169578411</v>
      </c>
      <c r="AB535" s="278">
        <f t="shared" si="271"/>
        <v>-7.9166684830475909</v>
      </c>
      <c r="AC535" s="279">
        <f t="shared" si="272"/>
        <v>-64.859851462823485</v>
      </c>
      <c r="AF535" s="278">
        <f t="shared" si="273"/>
        <v>37.827278893420029</v>
      </c>
      <c r="AG535" s="279">
        <f t="shared" si="274"/>
        <v>-162.50420770675498</v>
      </c>
      <c r="AI535">
        <f t="shared" si="275"/>
        <v>0</v>
      </c>
      <c r="AJ535">
        <f t="shared" si="249"/>
        <v>0</v>
      </c>
      <c r="AK535">
        <f t="shared" si="276"/>
        <v>0</v>
      </c>
      <c r="AL535">
        <f t="shared" si="277"/>
        <v>0</v>
      </c>
      <c r="AM535"/>
      <c r="AN535"/>
    </row>
    <row r="536" spans="2:40" x14ac:dyDescent="0.2">
      <c r="B536" s="280">
        <v>78981</v>
      </c>
      <c r="C536" s="270">
        <f t="shared" si="250"/>
        <v>64.520543572210016</v>
      </c>
      <c r="D536" s="271">
        <f t="shared" si="251"/>
        <v>1.5552967667300204</v>
      </c>
      <c r="E536" s="271">
        <f t="shared" si="252"/>
        <v>1.0082894436477126</v>
      </c>
      <c r="F536" s="272">
        <f t="shared" si="253"/>
        <v>0.12831666613506373</v>
      </c>
      <c r="G536" s="271">
        <f t="shared" si="254"/>
        <v>1.2801702637865267</v>
      </c>
      <c r="H536" s="272">
        <f t="shared" si="255"/>
        <v>-0.67429694865096645</v>
      </c>
      <c r="I536" s="270">
        <f t="shared" si="256"/>
        <v>277942.9500894901</v>
      </c>
      <c r="J536" s="273">
        <f t="shared" si="257"/>
        <v>1.5707927289342576</v>
      </c>
      <c r="K536" s="281">
        <f t="shared" si="258"/>
        <v>41.697182677219267</v>
      </c>
      <c r="L536" s="282">
        <f t="shared" si="259"/>
        <v>1.546811591612731</v>
      </c>
      <c r="M536" s="270">
        <f t="shared" si="260"/>
        <v>2.2497537696324623</v>
      </c>
      <c r="N536" s="273">
        <f t="shared" si="261"/>
        <v>1.1101880331181695</v>
      </c>
      <c r="O536" s="270">
        <f t="shared" si="262"/>
        <v>21835.863636216018</v>
      </c>
      <c r="P536" s="273">
        <f t="shared" si="263"/>
        <v>1.5707505305755665</v>
      </c>
      <c r="Q536" s="271">
        <f t="shared" si="264"/>
        <v>1.2585885615655434</v>
      </c>
      <c r="R536" s="272">
        <f t="shared" si="265"/>
        <v>0.6525453177631837</v>
      </c>
      <c r="S536" s="270">
        <f t="shared" si="266"/>
        <v>1.0000152848997612</v>
      </c>
      <c r="T536" s="273">
        <f t="shared" si="267"/>
        <v>5.5289610368663379E-3</v>
      </c>
      <c r="U536" s="274">
        <f t="shared" si="268"/>
        <v>1.1419257985725451</v>
      </c>
      <c r="V536" s="275">
        <f t="shared" si="269"/>
        <v>0.74103518699883664</v>
      </c>
      <c r="W536" s="276">
        <f t="shared" si="270"/>
        <v>-31.975075927189756</v>
      </c>
      <c r="X536" s="277">
        <f t="shared" si="279"/>
        <v>132.16439808473595</v>
      </c>
      <c r="Y536" s="299">
        <f t="shared" si="278"/>
        <v>-47.83560191526405</v>
      </c>
      <c r="AB536" s="278">
        <f t="shared" si="271"/>
        <v>-7.9566537659666228</v>
      </c>
      <c r="AC536" s="279">
        <f t="shared" si="272"/>
        <v>-64.983106720048326</v>
      </c>
      <c r="AF536" s="278">
        <f t="shared" si="273"/>
        <v>37.785110445758626</v>
      </c>
      <c r="AG536" s="279">
        <f t="shared" si="274"/>
        <v>-162.85249519521571</v>
      </c>
      <c r="AI536">
        <f t="shared" si="275"/>
        <v>0</v>
      </c>
      <c r="AJ536">
        <f t="shared" si="249"/>
        <v>0</v>
      </c>
      <c r="AK536">
        <f t="shared" si="276"/>
        <v>0</v>
      </c>
      <c r="AL536">
        <f t="shared" si="277"/>
        <v>0</v>
      </c>
      <c r="AM536"/>
      <c r="AN536"/>
    </row>
    <row r="537" spans="2:40" x14ac:dyDescent="0.2">
      <c r="B537" s="280">
        <v>79433</v>
      </c>
      <c r="C537" s="270">
        <f t="shared" si="250"/>
        <v>64.889699446421503</v>
      </c>
      <c r="D537" s="271">
        <f t="shared" si="251"/>
        <v>1.5553849503404564</v>
      </c>
      <c r="E537" s="271">
        <f t="shared" si="252"/>
        <v>1.0083841987937869</v>
      </c>
      <c r="F537" s="272">
        <f t="shared" si="253"/>
        <v>0.12904290658964468</v>
      </c>
      <c r="G537" s="271">
        <f t="shared" si="254"/>
        <v>1.2830311022059451</v>
      </c>
      <c r="H537" s="272">
        <f t="shared" si="255"/>
        <v>-0.6770818262190591</v>
      </c>
      <c r="I537" s="270">
        <f t="shared" si="256"/>
        <v>279533.58851441299</v>
      </c>
      <c r="J537" s="273">
        <f t="shared" si="257"/>
        <v>1.5707927494072729</v>
      </c>
      <c r="K537" s="281">
        <f t="shared" si="258"/>
        <v>41.935674432620161</v>
      </c>
      <c r="L537" s="282">
        <f t="shared" si="259"/>
        <v>1.5469480207856499</v>
      </c>
      <c r="M537" s="270">
        <f t="shared" si="260"/>
        <v>2.260090901730361</v>
      </c>
      <c r="N537" s="273">
        <f t="shared" si="261"/>
        <v>1.1124562926244554</v>
      </c>
      <c r="O537" s="270">
        <f t="shared" si="262"/>
        <v>21960.827999074536</v>
      </c>
      <c r="P537" s="273">
        <f t="shared" si="263"/>
        <v>1.5707507911711767</v>
      </c>
      <c r="Q537" s="271">
        <f t="shared" si="264"/>
        <v>1.2612490453738971</v>
      </c>
      <c r="R537" s="272">
        <f t="shared" si="265"/>
        <v>0.65530052926337701</v>
      </c>
      <c r="S537" s="270">
        <f t="shared" si="266"/>
        <v>1.0000154603467732</v>
      </c>
      <c r="T537" s="273">
        <f t="shared" si="267"/>
        <v>5.56060205205316E-3</v>
      </c>
      <c r="U537" s="274">
        <f t="shared" si="268"/>
        <v>1.1435786064604196</v>
      </c>
      <c r="V537" s="275">
        <f t="shared" si="269"/>
        <v>0.74494859552313697</v>
      </c>
      <c r="W537" s="276">
        <f t="shared" si="270"/>
        <v>-32.056835086648761</v>
      </c>
      <c r="X537" s="277">
        <f t="shared" si="279"/>
        <v>131.69502647217232</v>
      </c>
      <c r="Y537" s="299">
        <f t="shared" si="278"/>
        <v>-48.304973527827684</v>
      </c>
      <c r="AB537" s="278">
        <f t="shared" si="271"/>
        <v>-7.9965004888372135</v>
      </c>
      <c r="AC537" s="279">
        <f t="shared" si="272"/>
        <v>-65.105252773805589</v>
      </c>
      <c r="AF537" s="278">
        <f t="shared" si="273"/>
        <v>37.743198009170207</v>
      </c>
      <c r="AG537" s="279">
        <f t="shared" si="274"/>
        <v>-163.19972075402208</v>
      </c>
      <c r="AI537">
        <f t="shared" si="275"/>
        <v>0</v>
      </c>
      <c r="AJ537">
        <f t="shared" si="249"/>
        <v>0</v>
      </c>
      <c r="AK537">
        <f t="shared" si="276"/>
        <v>0</v>
      </c>
      <c r="AL537">
        <f t="shared" si="277"/>
        <v>0</v>
      </c>
      <c r="AM537"/>
      <c r="AN537"/>
    </row>
    <row r="538" spans="2:40" x14ac:dyDescent="0.2">
      <c r="B538" s="280">
        <v>79895.5</v>
      </c>
      <c r="C538" s="270">
        <f t="shared" si="250"/>
        <v>65.267431360606494</v>
      </c>
      <c r="D538" s="271">
        <f t="shared" si="251"/>
        <v>1.5554741498927502</v>
      </c>
      <c r="E538" s="271">
        <f t="shared" si="252"/>
        <v>1.0084817055284869</v>
      </c>
      <c r="F538" s="272">
        <f t="shared" si="253"/>
        <v>0.12978587600696939</v>
      </c>
      <c r="G538" s="271">
        <f t="shared" si="254"/>
        <v>1.2859686517647573</v>
      </c>
      <c r="H538" s="272">
        <f t="shared" si="255"/>
        <v>-0.67991854826281428</v>
      </c>
      <c r="I538" s="270">
        <f t="shared" si="256"/>
        <v>281161.17761071131</v>
      </c>
      <c r="J538" s="273">
        <f t="shared" si="257"/>
        <v>1.570792770116096</v>
      </c>
      <c r="K538" s="281">
        <f t="shared" si="258"/>
        <v>42.17970717131584</v>
      </c>
      <c r="L538" s="282">
        <f t="shared" si="259"/>
        <v>1.5470860222518301</v>
      </c>
      <c r="M538" s="270">
        <f t="shared" si="260"/>
        <v>2.2706800919139853</v>
      </c>
      <c r="N538" s="273">
        <f t="shared" si="261"/>
        <v>1.1147558544380505</v>
      </c>
      <c r="O538" s="270">
        <f t="shared" si="262"/>
        <v>22088.695295142577</v>
      </c>
      <c r="P538" s="273">
        <f t="shared" si="263"/>
        <v>1.5707510547683246</v>
      </c>
      <c r="Q538" s="271">
        <f t="shared" si="264"/>
        <v>1.2639812007920013</v>
      </c>
      <c r="R538" s="272">
        <f t="shared" si="265"/>
        <v>0.65810771682830282</v>
      </c>
      <c r="S538" s="270">
        <f t="shared" si="266"/>
        <v>1.0000156409057599</v>
      </c>
      <c r="T538" s="273">
        <f t="shared" si="267"/>
        <v>5.5929780792972304E-3</v>
      </c>
      <c r="U538" s="274">
        <f t="shared" si="268"/>
        <v>1.1452800623100856</v>
      </c>
      <c r="V538" s="275">
        <f t="shared" si="269"/>
        <v>0.74894750776313734</v>
      </c>
      <c r="W538" s="276">
        <f t="shared" si="270"/>
        <v>-32.140089433826525</v>
      </c>
      <c r="X538" s="277">
        <f t="shared" si="279"/>
        <v>131.21698225985946</v>
      </c>
      <c r="Y538" s="299">
        <f t="shared" si="278"/>
        <v>-48.783017740140536</v>
      </c>
      <c r="AB538" s="278">
        <f t="shared" si="271"/>
        <v>-8.0371299041516977</v>
      </c>
      <c r="AC538" s="279">
        <f t="shared" si="272"/>
        <v>-65.229102245403439</v>
      </c>
      <c r="AF538" s="278">
        <f t="shared" si="273"/>
        <v>37.700573077306935</v>
      </c>
      <c r="AG538" s="279">
        <f t="shared" si="274"/>
        <v>-163.55391549473708</v>
      </c>
      <c r="AI538">
        <f t="shared" si="275"/>
        <v>0</v>
      </c>
      <c r="AJ538">
        <f t="shared" ref="AJ538:AJ601" si="280">IF(AI538&gt;0,Y538,0)</f>
        <v>0</v>
      </c>
      <c r="AK538">
        <f t="shared" si="276"/>
        <v>0</v>
      </c>
      <c r="AL538">
        <f t="shared" si="277"/>
        <v>0</v>
      </c>
      <c r="AM538"/>
      <c r="AN538"/>
    </row>
    <row r="539" spans="2:40" x14ac:dyDescent="0.2">
      <c r="B539" s="280">
        <v>80358</v>
      </c>
      <c r="C539" s="270">
        <f t="shared" si="250"/>
        <v>65.645163788119405</v>
      </c>
      <c r="D539" s="271">
        <f t="shared" si="251"/>
        <v>1.5555623229096935</v>
      </c>
      <c r="E539" s="271">
        <f t="shared" si="252"/>
        <v>1.0085797688408569</v>
      </c>
      <c r="F539" s="272">
        <f t="shared" si="253"/>
        <v>0.13052870135776098</v>
      </c>
      <c r="G539" s="271">
        <f t="shared" si="254"/>
        <v>1.2889165022857658</v>
      </c>
      <c r="H539" s="272">
        <f t="shared" si="255"/>
        <v>-0.68274231734290636</v>
      </c>
      <c r="I539" s="270">
        <f t="shared" si="256"/>
        <v>282788.76670700975</v>
      </c>
      <c r="J539" s="273">
        <f t="shared" si="257"/>
        <v>1.57079279058654</v>
      </c>
      <c r="K539" s="281">
        <f t="shared" si="258"/>
        <v>42.423740704057487</v>
      </c>
      <c r="L539" s="282">
        <f t="shared" si="259"/>
        <v>1.5472224360724995</v>
      </c>
      <c r="M539" s="270">
        <f t="shared" si="260"/>
        <v>2.2812811779114521</v>
      </c>
      <c r="N539" s="273">
        <f t="shared" si="261"/>
        <v>1.1170340561338765</v>
      </c>
      <c r="O539" s="270">
        <f t="shared" si="262"/>
        <v>22216.562591212136</v>
      </c>
      <c r="P539" s="273">
        <f t="shared" si="263"/>
        <v>1.5707513153312089</v>
      </c>
      <c r="Q539" s="271">
        <f t="shared" si="264"/>
        <v>1.2667232737508411</v>
      </c>
      <c r="R539" s="272">
        <f t="shared" si="265"/>
        <v>0.66090277291490929</v>
      </c>
      <c r="S539" s="270">
        <f t="shared" si="266"/>
        <v>1.0000158225129698</v>
      </c>
      <c r="T539" s="273">
        <f t="shared" si="267"/>
        <v>5.6253540948159849E-3</v>
      </c>
      <c r="U539" s="274">
        <f t="shared" si="268"/>
        <v>1.1469918953482536</v>
      </c>
      <c r="V539" s="275">
        <f t="shared" si="269"/>
        <v>0.75294093261764306</v>
      </c>
      <c r="W539" s="276">
        <f t="shared" si="270"/>
        <v>-32.222939423916991</v>
      </c>
      <c r="X539" s="277">
        <f t="shared" si="279"/>
        <v>130.74117805633392</v>
      </c>
      <c r="Y539" s="299">
        <f t="shared" si="278"/>
        <v>-49.258821943666078</v>
      </c>
      <c r="AB539" s="278">
        <f t="shared" si="271"/>
        <v>-8.0776152214990731</v>
      </c>
      <c r="AC539" s="279">
        <f t="shared" si="272"/>
        <v>-65.351818824132266</v>
      </c>
      <c r="AF539" s="278">
        <f t="shared" si="273"/>
        <v>37.658208404563844</v>
      </c>
      <c r="AG539" s="279">
        <f t="shared" si="274"/>
        <v>-163.90700311953381</v>
      </c>
      <c r="AI539">
        <f t="shared" si="275"/>
        <v>0</v>
      </c>
      <c r="AJ539">
        <f t="shared" si="280"/>
        <v>0</v>
      </c>
      <c r="AK539">
        <f t="shared" si="276"/>
        <v>0</v>
      </c>
      <c r="AL539">
        <f t="shared" si="277"/>
        <v>0</v>
      </c>
      <c r="AM539"/>
      <c r="AN539"/>
    </row>
    <row r="540" spans="2:40" x14ac:dyDescent="0.2">
      <c r="B540" s="280">
        <v>80820.5</v>
      </c>
      <c r="C540" s="270">
        <f t="shared" si="250"/>
        <v>66.02289672014966</v>
      </c>
      <c r="D540" s="271">
        <f t="shared" si="251"/>
        <v>1.5556494870090729</v>
      </c>
      <c r="E540" s="271">
        <f t="shared" si="252"/>
        <v>1.0086783885685655</v>
      </c>
      <c r="F540" s="272">
        <f t="shared" si="253"/>
        <v>0.13127138186439138</v>
      </c>
      <c r="G540" s="271">
        <f t="shared" si="254"/>
        <v>1.2918745832535437</v>
      </c>
      <c r="H540" s="272">
        <f t="shared" si="255"/>
        <v>-0.68555317725134535</v>
      </c>
      <c r="I540" s="270">
        <f t="shared" si="256"/>
        <v>284416.35580330831</v>
      </c>
      <c r="J540" s="273">
        <f t="shared" si="257"/>
        <v>1.5707928108226974</v>
      </c>
      <c r="K540" s="281">
        <f t="shared" si="258"/>
        <v>42.667775017220706</v>
      </c>
      <c r="L540" s="282">
        <f t="shared" si="259"/>
        <v>1.5473572894837035</v>
      </c>
      <c r="M540" s="270">
        <f t="shared" si="260"/>
        <v>2.2918939946515917</v>
      </c>
      <c r="N540" s="273">
        <f t="shared" si="261"/>
        <v>1.1192911706276938</v>
      </c>
      <c r="O540" s="270">
        <f t="shared" si="262"/>
        <v>22344.429887283186</v>
      </c>
      <c r="P540" s="273">
        <f t="shared" si="263"/>
        <v>1.570751572911921</v>
      </c>
      <c r="Q540" s="271">
        <f t="shared" si="264"/>
        <v>1.2694751999846012</v>
      </c>
      <c r="R540" s="272">
        <f t="shared" si="265"/>
        <v>0.66368573260482111</v>
      </c>
      <c r="S540" s="270">
        <f t="shared" si="266"/>
        <v>1.0000160051684022</v>
      </c>
      <c r="T540" s="273">
        <f t="shared" si="267"/>
        <v>5.657730098541554E-3</v>
      </c>
      <c r="U540" s="274">
        <f t="shared" si="268"/>
        <v>1.1487141119864952</v>
      </c>
      <c r="V540" s="275">
        <f t="shared" si="269"/>
        <v>0.75692884990058484</v>
      </c>
      <c r="W540" s="276">
        <f t="shared" si="270"/>
        <v>-32.305389399618804</v>
      </c>
      <c r="X540" s="277">
        <f t="shared" si="279"/>
        <v>130.26759737845006</v>
      </c>
      <c r="Y540" s="299">
        <f t="shared" si="278"/>
        <v>-49.732402621549937</v>
      </c>
      <c r="AB540" s="278">
        <f t="shared" si="271"/>
        <v>-8.1179569475952427</v>
      </c>
      <c r="AC540" s="279">
        <f t="shared" si="272"/>
        <v>-65.473416586637271</v>
      </c>
      <c r="AF540" s="278">
        <f t="shared" si="273"/>
        <v>37.616100154958204</v>
      </c>
      <c r="AG540" s="279">
        <f t="shared" si="274"/>
        <v>-164.25898603491268</v>
      </c>
      <c r="AI540">
        <f t="shared" si="275"/>
        <v>0</v>
      </c>
      <c r="AJ540">
        <f t="shared" si="280"/>
        <v>0</v>
      </c>
      <c r="AK540">
        <f t="shared" si="276"/>
        <v>0</v>
      </c>
      <c r="AL540">
        <f t="shared" si="277"/>
        <v>0</v>
      </c>
      <c r="AM540"/>
      <c r="AN540"/>
    </row>
    <row r="541" spans="2:40" x14ac:dyDescent="0.2">
      <c r="B541" s="280">
        <v>81283</v>
      </c>
      <c r="C541" s="270">
        <f t="shared" si="250"/>
        <v>66.400630148087103</v>
      </c>
      <c r="D541" s="271">
        <f t="shared" si="251"/>
        <v>1.555735659407848</v>
      </c>
      <c r="E541" s="271">
        <f t="shared" si="252"/>
        <v>1.0087775645484252</v>
      </c>
      <c r="F541" s="272">
        <f t="shared" si="253"/>
        <v>0.1320139167501749</v>
      </c>
      <c r="G541" s="271">
        <f t="shared" si="254"/>
        <v>1.2948428245534289</v>
      </c>
      <c r="H541" s="272">
        <f t="shared" si="255"/>
        <v>-0.68835117219662323</v>
      </c>
      <c r="I541" s="270">
        <f t="shared" si="256"/>
        <v>286043.94489960698</v>
      </c>
      <c r="J541" s="273">
        <f t="shared" si="257"/>
        <v>1.5707928308285675</v>
      </c>
      <c r="K541" s="281">
        <f t="shared" si="258"/>
        <v>42.911810097491013</v>
      </c>
      <c r="L541" s="282">
        <f t="shared" si="259"/>
        <v>1.5474906091021627</v>
      </c>
      <c r="M541" s="270">
        <f t="shared" si="260"/>
        <v>2.3025183799256426</v>
      </c>
      <c r="N541" s="273">
        <f t="shared" si="261"/>
        <v>1.1215274666658703</v>
      </c>
      <c r="O541" s="270">
        <f t="shared" si="262"/>
        <v>22472.297183355702</v>
      </c>
      <c r="P541" s="273">
        <f t="shared" si="263"/>
        <v>1.5707518275613661</v>
      </c>
      <c r="Q541" s="271">
        <f t="shared" si="264"/>
        <v>1.2722369155535751</v>
      </c>
      <c r="R541" s="272">
        <f t="shared" si="265"/>
        <v>0.66645663142615574</v>
      </c>
      <c r="S541" s="270">
        <f t="shared" si="266"/>
        <v>1.0000161888720567</v>
      </c>
      <c r="T541" s="273">
        <f t="shared" si="267"/>
        <v>5.6901060904060727E-3</v>
      </c>
      <c r="U541" s="274">
        <f t="shared" si="268"/>
        <v>1.1504467186212803</v>
      </c>
      <c r="V541" s="275">
        <f t="shared" si="269"/>
        <v>0.76091123961052953</v>
      </c>
      <c r="W541" s="276">
        <f t="shared" si="270"/>
        <v>-32.387443646299928</v>
      </c>
      <c r="X541" s="277">
        <f t="shared" si="279"/>
        <v>129.79622393504957</v>
      </c>
      <c r="Y541" s="299">
        <f t="shared" si="278"/>
        <v>-50.203776064950432</v>
      </c>
      <c r="AB541" s="278">
        <f t="shared" si="271"/>
        <v>-8.1581555978672196</v>
      </c>
      <c r="AC541" s="279">
        <f t="shared" si="272"/>
        <v>-65.593909406154523</v>
      </c>
      <c r="AF541" s="278">
        <f t="shared" si="273"/>
        <v>37.574244558549054</v>
      </c>
      <c r="AG541" s="279">
        <f t="shared" si="274"/>
        <v>-164.60986665879588</v>
      </c>
      <c r="AI541">
        <f t="shared" si="275"/>
        <v>0</v>
      </c>
      <c r="AJ541">
        <f t="shared" si="280"/>
        <v>0</v>
      </c>
      <c r="AK541">
        <f t="shared" si="276"/>
        <v>0</v>
      </c>
      <c r="AL541">
        <f t="shared" si="277"/>
        <v>0</v>
      </c>
      <c r="AM541"/>
      <c r="AN541"/>
    </row>
    <row r="542" spans="2:40" x14ac:dyDescent="0.2">
      <c r="B542" s="280">
        <v>81756.25</v>
      </c>
      <c r="C542" s="270">
        <f t="shared" si="250"/>
        <v>66.787143830524741</v>
      </c>
      <c r="D542" s="271">
        <f t="shared" si="251"/>
        <v>1.555822825740002</v>
      </c>
      <c r="E542" s="271">
        <f t="shared" si="252"/>
        <v>1.0088796213246438</v>
      </c>
      <c r="F542" s="272">
        <f t="shared" si="253"/>
        <v>0.13277355900848137</v>
      </c>
      <c r="G542" s="271">
        <f t="shared" si="254"/>
        <v>1.2978905020041396</v>
      </c>
      <c r="H542" s="272">
        <f t="shared" si="255"/>
        <v>-0.69120093118352732</v>
      </c>
      <c r="I542" s="270">
        <f t="shared" si="256"/>
        <v>287709.36444517114</v>
      </c>
      <c r="J542" s="273">
        <f t="shared" si="257"/>
        <v>1.5707928510651374</v>
      </c>
      <c r="K542" s="281">
        <f t="shared" si="258"/>
        <v>43.161518124978144</v>
      </c>
      <c r="L542" s="282">
        <f t="shared" si="259"/>
        <v>1.5476254669524101</v>
      </c>
      <c r="M542" s="270">
        <f t="shared" si="260"/>
        <v>2.3134015190989681</v>
      </c>
      <c r="N542" s="273">
        <f t="shared" si="261"/>
        <v>1.123794467605788</v>
      </c>
      <c r="O542" s="270">
        <f t="shared" si="262"/>
        <v>22603.136530095177</v>
      </c>
      <c r="P542" s="273">
        <f t="shared" si="263"/>
        <v>1.5707520851473273</v>
      </c>
      <c r="Q542" s="271">
        <f t="shared" si="264"/>
        <v>1.2750728892773051</v>
      </c>
      <c r="R542" s="272">
        <f t="shared" si="265"/>
        <v>0.66927948781188529</v>
      </c>
      <c r="S542" s="270">
        <f t="shared" si="266"/>
        <v>1.0000163779306306</v>
      </c>
      <c r="T542" s="273">
        <f t="shared" si="267"/>
        <v>5.7232345929761558E-3</v>
      </c>
      <c r="U542" s="274">
        <f t="shared" si="268"/>
        <v>1.1522303583586564</v>
      </c>
      <c r="V542" s="275">
        <f t="shared" si="269"/>
        <v>0.76498045051854791</v>
      </c>
      <c r="W542" s="276">
        <f t="shared" si="270"/>
        <v>-32.470999877903338</v>
      </c>
      <c r="X542" s="277">
        <f t="shared" si="279"/>
        <v>129.31616223405899</v>
      </c>
      <c r="Y542" s="299">
        <f t="shared" si="278"/>
        <v>-50.683837765941007</v>
      </c>
      <c r="AB542" s="278">
        <f t="shared" si="271"/>
        <v>-8.1991410386615193</v>
      </c>
      <c r="AC542" s="279">
        <f t="shared" si="272"/>
        <v>-65.716073365980677</v>
      </c>
      <c r="AF542" s="278">
        <f t="shared" si="273"/>
        <v>37.531673767739946</v>
      </c>
      <c r="AG542" s="279">
        <f t="shared" si="274"/>
        <v>-164.96776439996034</v>
      </c>
      <c r="AI542">
        <f t="shared" si="275"/>
        <v>0</v>
      </c>
      <c r="AJ542">
        <f t="shared" si="280"/>
        <v>0</v>
      </c>
      <c r="AK542">
        <f t="shared" si="276"/>
        <v>0</v>
      </c>
      <c r="AL542">
        <f t="shared" si="277"/>
        <v>0</v>
      </c>
      <c r="AM542"/>
      <c r="AN542"/>
    </row>
    <row r="543" spans="2:40" x14ac:dyDescent="0.2">
      <c r="B543" s="280">
        <v>82229.5</v>
      </c>
      <c r="C543" s="270">
        <f t="shared" si="250"/>
        <v>67.173658014569412</v>
      </c>
      <c r="D543" s="271">
        <f t="shared" si="251"/>
        <v>1.5559089889705542</v>
      </c>
      <c r="E543" s="271">
        <f t="shared" si="252"/>
        <v>1.0089822601632961</v>
      </c>
      <c r="F543" s="272">
        <f t="shared" si="253"/>
        <v>0.13353304715558573</v>
      </c>
      <c r="G543" s="271">
        <f t="shared" si="254"/>
        <v>1.3009486703529378</v>
      </c>
      <c r="H543" s="272">
        <f t="shared" si="255"/>
        <v>-0.69403731513411482</v>
      </c>
      <c r="I543" s="270">
        <f t="shared" si="256"/>
        <v>289374.78399073542</v>
      </c>
      <c r="J543" s="273">
        <f t="shared" si="257"/>
        <v>1.5707928710687749</v>
      </c>
      <c r="K543" s="281">
        <f t="shared" si="258"/>
        <v>43.411226928397795</v>
      </c>
      <c r="L543" s="282">
        <f t="shared" si="259"/>
        <v>1.5477587733542106</v>
      </c>
      <c r="M543" s="270">
        <f t="shared" si="260"/>
        <v>2.3242964361467435</v>
      </c>
      <c r="N543" s="273">
        <f t="shared" si="261"/>
        <v>1.1260402272975811</v>
      </c>
      <c r="O543" s="270">
        <f t="shared" si="262"/>
        <v>22733.975876836135</v>
      </c>
      <c r="P543" s="273">
        <f t="shared" si="263"/>
        <v>1.5707523397683536</v>
      </c>
      <c r="Q543" s="271">
        <f t="shared" si="264"/>
        <v>1.2779189782990623</v>
      </c>
      <c r="R543" s="272">
        <f t="shared" si="265"/>
        <v>0.67208979278418568</v>
      </c>
      <c r="S543" s="270">
        <f t="shared" si="266"/>
        <v>1.0000165680867197</v>
      </c>
      <c r="T543" s="273">
        <f t="shared" si="267"/>
        <v>5.7563630829836317E-3</v>
      </c>
      <c r="U543" s="274">
        <f t="shared" si="268"/>
        <v>1.1540248901999939</v>
      </c>
      <c r="V543" s="275">
        <f t="shared" si="269"/>
        <v>0.76904383213281124</v>
      </c>
      <c r="W543" s="276">
        <f t="shared" si="270"/>
        <v>-32.554150668610966</v>
      </c>
      <c r="X543" s="277">
        <f t="shared" si="279"/>
        <v>128.83837765946365</v>
      </c>
      <c r="Y543" s="299">
        <f t="shared" si="278"/>
        <v>-51.161622340536354</v>
      </c>
      <c r="AB543" s="278">
        <f t="shared" si="271"/>
        <v>-8.2399777930147948</v>
      </c>
      <c r="AC543" s="279">
        <f t="shared" si="272"/>
        <v>-65.837109170039767</v>
      </c>
      <c r="AF543" s="278">
        <f t="shared" si="273"/>
        <v>37.489359731385591</v>
      </c>
      <c r="AG543" s="279">
        <f t="shared" si="274"/>
        <v>-165.32451317049657</v>
      </c>
      <c r="AI543">
        <f t="shared" si="275"/>
        <v>0</v>
      </c>
      <c r="AJ543">
        <f t="shared" si="280"/>
        <v>0</v>
      </c>
      <c r="AK543">
        <f t="shared" si="276"/>
        <v>0</v>
      </c>
      <c r="AL543">
        <f t="shared" si="277"/>
        <v>0</v>
      </c>
      <c r="AM543"/>
      <c r="AN543"/>
    </row>
    <row r="544" spans="2:40" x14ac:dyDescent="0.2">
      <c r="B544" s="280">
        <v>82702.75</v>
      </c>
      <c r="C544" s="270">
        <f t="shared" si="250"/>
        <v>67.560172691611996</v>
      </c>
      <c r="D544" s="271">
        <f t="shared" si="251"/>
        <v>1.5559941663145778</v>
      </c>
      <c r="E544" s="271">
        <f t="shared" si="252"/>
        <v>1.0090854808867691</v>
      </c>
      <c r="F544" s="272">
        <f t="shared" si="253"/>
        <v>0.13429238036246902</v>
      </c>
      <c r="G544" s="271">
        <f t="shared" si="254"/>
        <v>1.3040172557903749</v>
      </c>
      <c r="H544" s="272">
        <f t="shared" si="255"/>
        <v>-0.69686037267179979</v>
      </c>
      <c r="I544" s="270">
        <f t="shared" si="256"/>
        <v>291040.20353629976</v>
      </c>
      <c r="J544" s="273">
        <f t="shared" si="257"/>
        <v>1.5707928908434787</v>
      </c>
      <c r="K544" s="281">
        <f t="shared" si="258"/>
        <v>43.660936494436662</v>
      </c>
      <c r="L544" s="282">
        <f t="shared" si="259"/>
        <v>1.5478905549223372</v>
      </c>
      <c r="M544" s="270">
        <f t="shared" si="260"/>
        <v>2.3352029662195366</v>
      </c>
      <c r="N544" s="273">
        <f t="shared" si="261"/>
        <v>1.1282650205496103</v>
      </c>
      <c r="O544" s="270">
        <f t="shared" si="262"/>
        <v>22864.815223578546</v>
      </c>
      <c r="P544" s="273">
        <f t="shared" si="263"/>
        <v>1.5707525914753437</v>
      </c>
      <c r="Q544" s="271">
        <f t="shared" si="264"/>
        <v>1.2807751151853739</v>
      </c>
      <c r="R544" s="272">
        <f t="shared" si="265"/>
        <v>0.67488758577406294</v>
      </c>
      <c r="S544" s="270">
        <f t="shared" si="266"/>
        <v>1.0000167593403233</v>
      </c>
      <c r="T544" s="273">
        <f t="shared" si="267"/>
        <v>5.7894915603557929E-3</v>
      </c>
      <c r="U544" s="274">
        <f t="shared" si="268"/>
        <v>1.1558303209461129</v>
      </c>
      <c r="V544" s="275">
        <f t="shared" si="269"/>
        <v>0.77310136362753445</v>
      </c>
      <c r="W544" s="276">
        <f t="shared" si="270"/>
        <v>-32.636900428805411</v>
      </c>
      <c r="X544" s="277">
        <f t="shared" si="279"/>
        <v>128.36285336405226</v>
      </c>
      <c r="Y544" s="299">
        <f t="shared" si="278"/>
        <v>-51.637146635947744</v>
      </c>
      <c r="AB544" s="278">
        <f t="shared" si="271"/>
        <v>-8.2806664384066817</v>
      </c>
      <c r="AC544" s="279">
        <f t="shared" si="272"/>
        <v>-65.957031039006026</v>
      </c>
      <c r="AF544" s="278">
        <f t="shared" si="273"/>
        <v>37.447298616583026</v>
      </c>
      <c r="AG544" s="279">
        <f t="shared" si="274"/>
        <v>-165.68011559694168</v>
      </c>
      <c r="AI544">
        <f t="shared" si="275"/>
        <v>0</v>
      </c>
      <c r="AJ544">
        <f t="shared" si="280"/>
        <v>0</v>
      </c>
      <c r="AK544">
        <f t="shared" si="276"/>
        <v>0</v>
      </c>
      <c r="AL544">
        <f t="shared" si="277"/>
        <v>0</v>
      </c>
      <c r="AM544"/>
      <c r="AN544"/>
    </row>
    <row r="545" spans="2:40" x14ac:dyDescent="0.2">
      <c r="B545" s="280">
        <v>83176</v>
      </c>
      <c r="C545" s="270">
        <f t="shared" si="250"/>
        <v>67.946687853239212</v>
      </c>
      <c r="D545" s="271">
        <f t="shared" si="251"/>
        <v>1.5560783745954909</v>
      </c>
      <c r="E545" s="271">
        <f t="shared" si="252"/>
        <v>1.0091892833165155</v>
      </c>
      <c r="F545" s="272">
        <f t="shared" si="253"/>
        <v>0.13505155780116529</v>
      </c>
      <c r="G545" s="271">
        <f t="shared" si="254"/>
        <v>1.3070961849498708</v>
      </c>
      <c r="H545" s="272">
        <f t="shared" si="255"/>
        <v>-0.69967015281383482</v>
      </c>
      <c r="I545" s="270">
        <f t="shared" si="256"/>
        <v>292705.62308186427</v>
      </c>
      <c r="J545" s="273">
        <f t="shared" si="257"/>
        <v>1.5707929103931566</v>
      </c>
      <c r="K545" s="281">
        <f t="shared" si="258"/>
        <v>43.910646810084224</v>
      </c>
      <c r="L545" s="282">
        <f t="shared" si="259"/>
        <v>1.5480208376663669</v>
      </c>
      <c r="M545" s="270">
        <f t="shared" si="260"/>
        <v>2.3461209473591986</v>
      </c>
      <c r="N545" s="273">
        <f t="shared" si="261"/>
        <v>1.1304691178932187</v>
      </c>
      <c r="O545" s="270">
        <f t="shared" si="262"/>
        <v>22995.654570322396</v>
      </c>
      <c r="P545" s="273">
        <f t="shared" si="263"/>
        <v>1.5707528403180382</v>
      </c>
      <c r="Q545" s="271">
        <f t="shared" si="264"/>
        <v>1.283641232865921</v>
      </c>
      <c r="R545" s="272">
        <f t="shared" si="265"/>
        <v>0.67767290664572111</v>
      </c>
      <c r="S545" s="270">
        <f t="shared" si="266"/>
        <v>1.000016951691441</v>
      </c>
      <c r="T545" s="273">
        <f t="shared" si="267"/>
        <v>5.8226200250199294E-3</v>
      </c>
      <c r="U545" s="274">
        <f t="shared" si="268"/>
        <v>1.1576466573792623</v>
      </c>
      <c r="V545" s="275">
        <f t="shared" si="269"/>
        <v>0.77715302438109457</v>
      </c>
      <c r="W545" s="276">
        <f t="shared" si="270"/>
        <v>-32.719253509741982</v>
      </c>
      <c r="X545" s="277">
        <f t="shared" si="279"/>
        <v>127.88957269923617</v>
      </c>
      <c r="Y545" s="299">
        <f t="shared" si="278"/>
        <v>-52.110427300763831</v>
      </c>
      <c r="AB545" s="278">
        <f t="shared" si="271"/>
        <v>-8.3212075598658775</v>
      </c>
      <c r="AC545" s="279">
        <f t="shared" si="272"/>
        <v>-66.075852983168545</v>
      </c>
      <c r="AF545" s="278">
        <f t="shared" si="273"/>
        <v>37.405486657105655</v>
      </c>
      <c r="AG545" s="279">
        <f t="shared" si="274"/>
        <v>-166.03457431759531</v>
      </c>
      <c r="AI545">
        <f t="shared" si="275"/>
        <v>0</v>
      </c>
      <c r="AJ545">
        <f t="shared" si="280"/>
        <v>0</v>
      </c>
      <c r="AK545">
        <f t="shared" si="276"/>
        <v>0</v>
      </c>
      <c r="AL545">
        <f t="shared" si="277"/>
        <v>0</v>
      </c>
      <c r="AM545"/>
      <c r="AN545"/>
    </row>
    <row r="546" spans="2:40" x14ac:dyDescent="0.2">
      <c r="B546" s="280">
        <v>83660.5</v>
      </c>
      <c r="C546" s="270">
        <f t="shared" si="250"/>
        <v>68.34239166584878</v>
      </c>
      <c r="D546" s="271">
        <f t="shared" si="251"/>
        <v>1.5561635979330406</v>
      </c>
      <c r="E546" s="271">
        <f t="shared" si="252"/>
        <v>1.0092961557414322</v>
      </c>
      <c r="F546" s="272">
        <f t="shared" si="253"/>
        <v>0.1358286200171796</v>
      </c>
      <c r="G546" s="271">
        <f t="shared" si="254"/>
        <v>1.3102589451073143</v>
      </c>
      <c r="H546" s="272">
        <f t="shared" si="255"/>
        <v>-0.70253302345216029</v>
      </c>
      <c r="I546" s="270">
        <f t="shared" si="256"/>
        <v>294410.63263247395</v>
      </c>
      <c r="J546" s="273">
        <f t="shared" si="257"/>
        <v>1.5707929301784394</v>
      </c>
      <c r="K546" s="281">
        <f t="shared" si="258"/>
        <v>44.166293950391932</v>
      </c>
      <c r="L546" s="282">
        <f t="shared" si="259"/>
        <v>1.5481526913125965</v>
      </c>
      <c r="M546" s="270">
        <f t="shared" si="260"/>
        <v>2.3573101649496797</v>
      </c>
      <c r="N546" s="273">
        <f t="shared" si="261"/>
        <v>1.1327044489117717</v>
      </c>
      <c r="O546" s="270">
        <f t="shared" si="262"/>
        <v>23129.604202647984</v>
      </c>
      <c r="P546" s="273">
        <f t="shared" si="263"/>
        <v>1.5707530921596842</v>
      </c>
      <c r="Q546" s="271">
        <f t="shared" si="264"/>
        <v>1.2865857531540208</v>
      </c>
      <c r="R546" s="272">
        <f t="shared" si="265"/>
        <v>0.68051156127806767</v>
      </c>
      <c r="S546" s="270">
        <f t="shared" si="266"/>
        <v>1.0000171497520474</v>
      </c>
      <c r="T546" s="273">
        <f t="shared" si="267"/>
        <v>5.8565359993751863E-3</v>
      </c>
      <c r="U546" s="274">
        <f t="shared" si="268"/>
        <v>1.1595174760837745</v>
      </c>
      <c r="V546" s="275">
        <f t="shared" si="269"/>
        <v>0.78129489731235324</v>
      </c>
      <c r="W546" s="276">
        <f t="shared" si="270"/>
        <v>-32.803157817084582</v>
      </c>
      <c r="X546" s="277">
        <f t="shared" si="279"/>
        <v>127.40734839461805</v>
      </c>
      <c r="Y546" s="299">
        <f t="shared" si="278"/>
        <v>-52.592651605381946</v>
      </c>
      <c r="AB546" s="278">
        <f t="shared" si="271"/>
        <v>-8.3625602087066166</v>
      </c>
      <c r="AC546" s="279">
        <f t="shared" si="272"/>
        <v>-66.196374492517151</v>
      </c>
      <c r="AF546" s="278">
        <f t="shared" si="273"/>
        <v>37.362934998603798</v>
      </c>
      <c r="AG546" s="279">
        <f t="shared" si="274"/>
        <v>-166.39627711286477</v>
      </c>
      <c r="AI546">
        <f t="shared" si="275"/>
        <v>0</v>
      </c>
      <c r="AJ546">
        <f t="shared" si="280"/>
        <v>0</v>
      </c>
      <c r="AK546">
        <f t="shared" si="276"/>
        <v>0</v>
      </c>
      <c r="AL546">
        <f t="shared" si="277"/>
        <v>0</v>
      </c>
      <c r="AM546"/>
      <c r="AN546"/>
    </row>
    <row r="547" spans="2:40" x14ac:dyDescent="0.2">
      <c r="B547" s="280">
        <v>84145</v>
      </c>
      <c r="C547" s="270">
        <f t="shared" si="250"/>
        <v>68.738095969115406</v>
      </c>
      <c r="D547" s="271">
        <f t="shared" si="251"/>
        <v>1.5562478400615505</v>
      </c>
      <c r="E547" s="271">
        <f t="shared" si="252"/>
        <v>1.0094036374760285</v>
      </c>
      <c r="F547" s="272">
        <f t="shared" si="253"/>
        <v>0.13660551721838168</v>
      </c>
      <c r="G547" s="271">
        <f t="shared" si="254"/>
        <v>1.3134323924140612</v>
      </c>
      <c r="H547" s="272">
        <f t="shared" si="255"/>
        <v>-0.70538208310819805</v>
      </c>
      <c r="I547" s="270">
        <f t="shared" si="256"/>
        <v>296115.64218308375</v>
      </c>
      <c r="J547" s="273">
        <f t="shared" si="257"/>
        <v>1.5707929497358779</v>
      </c>
      <c r="K547" s="281">
        <f t="shared" si="258"/>
        <v>44.421941849709725</v>
      </c>
      <c r="L547" s="282">
        <f t="shared" si="259"/>
        <v>1.5482830273278343</v>
      </c>
      <c r="M547" s="270">
        <f t="shared" si="260"/>
        <v>2.3685110499993098</v>
      </c>
      <c r="N547" s="273">
        <f t="shared" si="261"/>
        <v>1.1349186487757448</v>
      </c>
      <c r="O547" s="270">
        <f t="shared" si="262"/>
        <v>23263.553834975017</v>
      </c>
      <c r="P547" s="273">
        <f t="shared" si="263"/>
        <v>1.5707533411011629</v>
      </c>
      <c r="Q547" s="271">
        <f t="shared" si="264"/>
        <v>1.2895405933052908</v>
      </c>
      <c r="R547" s="272">
        <f t="shared" si="265"/>
        <v>0.68333722966430588</v>
      </c>
      <c r="S547" s="270">
        <f t="shared" si="266"/>
        <v>1.0000173489629665</v>
      </c>
      <c r="T547" s="273">
        <f t="shared" si="267"/>
        <v>5.8904519602568251E-3</v>
      </c>
      <c r="U547" s="274">
        <f t="shared" si="268"/>
        <v>1.1613997394578113</v>
      </c>
      <c r="V547" s="275">
        <f t="shared" si="269"/>
        <v>0.78543057398494187</v>
      </c>
      <c r="W547" s="276">
        <f t="shared" si="270"/>
        <v>-32.886655405015972</v>
      </c>
      <c r="X547" s="277">
        <f t="shared" si="279"/>
        <v>126.92744097012857</v>
      </c>
      <c r="Y547" s="299">
        <f t="shared" si="278"/>
        <v>-53.072559029871428</v>
      </c>
      <c r="AB547" s="278">
        <f t="shared" si="271"/>
        <v>-8.4037594996311302</v>
      </c>
      <c r="AC547" s="279">
        <f t="shared" si="272"/>
        <v>-66.315772216688231</v>
      </c>
      <c r="AF547" s="278">
        <f t="shared" si="273"/>
        <v>37.320636701596911</v>
      </c>
      <c r="AG547" s="279">
        <f t="shared" si="274"/>
        <v>-166.75678681318317</v>
      </c>
      <c r="AI547">
        <f t="shared" si="275"/>
        <v>0</v>
      </c>
      <c r="AJ547">
        <f t="shared" si="280"/>
        <v>0</v>
      </c>
      <c r="AK547">
        <f t="shared" si="276"/>
        <v>0</v>
      </c>
      <c r="AL547">
        <f t="shared" si="277"/>
        <v>0</v>
      </c>
      <c r="AM547"/>
      <c r="AN547"/>
    </row>
    <row r="548" spans="2:40" x14ac:dyDescent="0.2">
      <c r="B548" s="280">
        <v>84629.5</v>
      </c>
      <c r="C548" s="270">
        <f t="shared" si="250"/>
        <v>69.133800754613887</v>
      </c>
      <c r="D548" s="271">
        <f t="shared" si="251"/>
        <v>1.5563311178284081</v>
      </c>
      <c r="E548" s="271">
        <f t="shared" si="252"/>
        <v>1.0095117283256865</v>
      </c>
      <c r="F548" s="272">
        <f t="shared" si="253"/>
        <v>0.13738224851980629</v>
      </c>
      <c r="G548" s="271">
        <f t="shared" si="254"/>
        <v>1.3166164495922428</v>
      </c>
      <c r="H548" s="272">
        <f t="shared" si="255"/>
        <v>-0.70821738556243219</v>
      </c>
      <c r="I548" s="270">
        <f t="shared" si="256"/>
        <v>297820.65173369372</v>
      </c>
      <c r="J548" s="273">
        <f t="shared" si="257"/>
        <v>1.5707929690693858</v>
      </c>
      <c r="K548" s="281">
        <f t="shared" si="258"/>
        <v>44.677590495008296</v>
      </c>
      <c r="L548" s="282">
        <f t="shared" si="259"/>
        <v>1.5484118717596216</v>
      </c>
      <c r="M548" s="270">
        <f t="shared" si="260"/>
        <v>2.3797234377588636</v>
      </c>
      <c r="N548" s="273">
        <f t="shared" si="261"/>
        <v>1.1371119943064878</v>
      </c>
      <c r="O548" s="270">
        <f t="shared" si="262"/>
        <v>23397.503467303482</v>
      </c>
      <c r="P548" s="273">
        <f t="shared" si="263"/>
        <v>1.5707535871922846</v>
      </c>
      <c r="Q548" s="271">
        <f t="shared" si="264"/>
        <v>1.2925056825419872</v>
      </c>
      <c r="R548" s="272">
        <f t="shared" si="265"/>
        <v>0.68614995590122796</v>
      </c>
      <c r="S548" s="270">
        <f t="shared" si="266"/>
        <v>1.0000175493241974</v>
      </c>
      <c r="T548" s="273">
        <f t="shared" si="267"/>
        <v>5.9243679075868293E-3</v>
      </c>
      <c r="U548" s="274">
        <f t="shared" si="268"/>
        <v>1.1632934547151783</v>
      </c>
      <c r="V548" s="275">
        <f t="shared" si="269"/>
        <v>0.78956003293894661</v>
      </c>
      <c r="W548" s="276">
        <f t="shared" si="270"/>
        <v>-32.969750755742055</v>
      </c>
      <c r="X548" s="277">
        <f t="shared" si="279"/>
        <v>126.44983318944131</v>
      </c>
      <c r="Y548" s="299">
        <f t="shared" si="278"/>
        <v>-53.550166810558693</v>
      </c>
      <c r="AB548" s="278">
        <f t="shared" si="271"/>
        <v>-8.4448060820275863</v>
      </c>
      <c r="AC548" s="279">
        <f t="shared" si="272"/>
        <v>-66.434060524186918</v>
      </c>
      <c r="AF548" s="278">
        <f t="shared" si="273"/>
        <v>37.278587933267289</v>
      </c>
      <c r="AG548" s="279">
        <f t="shared" si="274"/>
        <v>-167.11610628637175</v>
      </c>
      <c r="AI548">
        <f t="shared" si="275"/>
        <v>0</v>
      </c>
      <c r="AJ548">
        <f t="shared" si="280"/>
        <v>0</v>
      </c>
      <c r="AK548">
        <f t="shared" si="276"/>
        <v>0</v>
      </c>
      <c r="AL548">
        <f t="shared" si="277"/>
        <v>0</v>
      </c>
      <c r="AM548"/>
      <c r="AN548"/>
    </row>
    <row r="549" spans="2:40" x14ac:dyDescent="0.2">
      <c r="B549" s="280">
        <v>85114</v>
      </c>
      <c r="C549" s="270">
        <f t="shared" si="250"/>
        <v>69.529506014110822</v>
      </c>
      <c r="D549" s="271">
        <f t="shared" si="251"/>
        <v>1.5564134476975291</v>
      </c>
      <c r="E549" s="271">
        <f t="shared" si="252"/>
        <v>1.0096204280947692</v>
      </c>
      <c r="F549" s="272">
        <f t="shared" si="253"/>
        <v>0.13815881303766694</v>
      </c>
      <c r="G549" s="271">
        <f t="shared" si="254"/>
        <v>1.3198110398526026</v>
      </c>
      <c r="H549" s="272">
        <f t="shared" si="255"/>
        <v>-0.71103898496198414</v>
      </c>
      <c r="I549" s="270">
        <f t="shared" si="256"/>
        <v>299525.6612843037</v>
      </c>
      <c r="J549" s="273">
        <f t="shared" si="257"/>
        <v>1.5707929881827867</v>
      </c>
      <c r="K549" s="281">
        <f t="shared" si="258"/>
        <v>44.933239873554818</v>
      </c>
      <c r="L549" s="282">
        <f t="shared" si="259"/>
        <v>1.5485392500629056</v>
      </c>
      <c r="M549" s="270">
        <f t="shared" si="260"/>
        <v>2.3909471664018795</v>
      </c>
      <c r="N549" s="273">
        <f t="shared" si="261"/>
        <v>1.139284757938084</v>
      </c>
      <c r="O549" s="270">
        <f t="shared" si="262"/>
        <v>23531.453099633345</v>
      </c>
      <c r="P549" s="273">
        <f t="shared" si="263"/>
        <v>1.5707538304817252</v>
      </c>
      <c r="Q549" s="271">
        <f t="shared" si="264"/>
        <v>1.2954809504899718</v>
      </c>
      <c r="R549" s="272">
        <f t="shared" si="265"/>
        <v>0.68894978450174382</v>
      </c>
      <c r="S549" s="270">
        <f t="shared" si="266"/>
        <v>1.0000177508357395</v>
      </c>
      <c r="T549" s="273">
        <f t="shared" si="267"/>
        <v>5.9582838412871788E-3</v>
      </c>
      <c r="U549" s="274">
        <f t="shared" si="268"/>
        <v>1.1651986290471326</v>
      </c>
      <c r="V549" s="275">
        <f t="shared" si="269"/>
        <v>0.79368325294039699</v>
      </c>
      <c r="W549" s="276">
        <f t="shared" si="270"/>
        <v>-33.05244829037121</v>
      </c>
      <c r="X549" s="277">
        <f t="shared" si="279"/>
        <v>125.97450802174035</v>
      </c>
      <c r="Y549" s="299">
        <f t="shared" si="278"/>
        <v>-54.025491978259652</v>
      </c>
      <c r="AB549" s="278">
        <f t="shared" si="271"/>
        <v>-8.4857006116448126</v>
      </c>
      <c r="AC549" s="279">
        <f t="shared" si="272"/>
        <v>-66.551253566094417</v>
      </c>
      <c r="AF549" s="278">
        <f t="shared" si="273"/>
        <v>37.236784928255361</v>
      </c>
      <c r="AG549" s="279">
        <f t="shared" si="274"/>
        <v>-167.47423841216522</v>
      </c>
      <c r="AI549">
        <f t="shared" si="275"/>
        <v>0</v>
      </c>
      <c r="AJ549">
        <f t="shared" si="280"/>
        <v>0</v>
      </c>
      <c r="AK549">
        <f t="shared" si="276"/>
        <v>0</v>
      </c>
      <c r="AL549">
        <f t="shared" si="277"/>
        <v>0</v>
      </c>
      <c r="AM549"/>
      <c r="AN549"/>
    </row>
    <row r="550" spans="2:40" x14ac:dyDescent="0.2">
      <c r="B550" s="280">
        <v>85609.5</v>
      </c>
      <c r="C550" s="270">
        <f t="shared" si="250"/>
        <v>69.934195775825131</v>
      </c>
      <c r="D550" s="271">
        <f t="shared" si="251"/>
        <v>1.5564966831129003</v>
      </c>
      <c r="E550" s="271">
        <f t="shared" si="252"/>
        <v>1.0097322253722745</v>
      </c>
      <c r="F550" s="272">
        <f t="shared" si="253"/>
        <v>0.13895283510901901</v>
      </c>
      <c r="G550" s="271">
        <f t="shared" si="254"/>
        <v>1.3230889745057848</v>
      </c>
      <c r="H550" s="272">
        <f t="shared" si="255"/>
        <v>-0.71391052898429996</v>
      </c>
      <c r="I550" s="270">
        <f t="shared" si="256"/>
        <v>301269.38106206915</v>
      </c>
      <c r="J550" s="273">
        <f t="shared" si="257"/>
        <v>1.5707930075063699</v>
      </c>
      <c r="K550" s="281">
        <f t="shared" si="258"/>
        <v>45.194694214598869</v>
      </c>
      <c r="L550" s="282">
        <f t="shared" si="259"/>
        <v>1.5486680298278204</v>
      </c>
      <c r="M550" s="270">
        <f t="shared" si="260"/>
        <v>2.4024372809233516</v>
      </c>
      <c r="N550" s="273">
        <f t="shared" si="261"/>
        <v>1.1414858428615424</v>
      </c>
      <c r="O550" s="270">
        <f t="shared" si="262"/>
        <v>23668.443900087706</v>
      </c>
      <c r="P550" s="273">
        <f t="shared" si="263"/>
        <v>1.5707540764465207</v>
      </c>
      <c r="Q550" s="271">
        <f t="shared" si="264"/>
        <v>1.2985342234433264</v>
      </c>
      <c r="R550" s="272">
        <f t="shared" si="265"/>
        <v>0.69179988651286894</v>
      </c>
      <c r="S550" s="270">
        <f t="shared" si="266"/>
        <v>1.0000179581121449</v>
      </c>
      <c r="T550" s="273">
        <f t="shared" si="267"/>
        <v>5.9929697820074526E-3</v>
      </c>
      <c r="U550" s="274">
        <f t="shared" si="268"/>
        <v>1.1671589178562802</v>
      </c>
      <c r="V550" s="275">
        <f t="shared" si="269"/>
        <v>0.79789361085565702</v>
      </c>
      <c r="W550" s="276">
        <f t="shared" si="270"/>
        <v>-33.136616452624324</v>
      </c>
      <c r="X550" s="277">
        <f t="shared" si="279"/>
        <v>125.49073455870615</v>
      </c>
      <c r="Y550" s="299">
        <f t="shared" si="278"/>
        <v>-54.509265441293849</v>
      </c>
      <c r="AB550" s="278">
        <f t="shared" si="271"/>
        <v>-8.5273670225814993</v>
      </c>
      <c r="AC550" s="279">
        <f t="shared" si="272"/>
        <v>-66.669989012701919</v>
      </c>
      <c r="AF550" s="278">
        <f t="shared" si="273"/>
        <v>37.194283176938939</v>
      </c>
      <c r="AG550" s="279">
        <f t="shared" si="274"/>
        <v>-167.83927642859194</v>
      </c>
      <c r="AI550">
        <f t="shared" si="275"/>
        <v>0</v>
      </c>
      <c r="AJ550">
        <f t="shared" si="280"/>
        <v>0</v>
      </c>
      <c r="AK550">
        <f t="shared" si="276"/>
        <v>0</v>
      </c>
      <c r="AL550">
        <f t="shared" si="277"/>
        <v>0</v>
      </c>
      <c r="AM550"/>
      <c r="AN550"/>
    </row>
    <row r="551" spans="2:40" x14ac:dyDescent="0.2">
      <c r="B551" s="280">
        <v>86105</v>
      </c>
      <c r="C551" s="270">
        <f t="shared" si="250"/>
        <v>70.338886016477716</v>
      </c>
      <c r="D551" s="271">
        <f t="shared" si="251"/>
        <v>1.5565789607496565</v>
      </c>
      <c r="E551" s="271">
        <f t="shared" si="252"/>
        <v>1.0098446591155277</v>
      </c>
      <c r="F551" s="272">
        <f t="shared" si="253"/>
        <v>0.13974668087165332</v>
      </c>
      <c r="G551" s="271">
        <f t="shared" si="254"/>
        <v>1.3263777650633737</v>
      </c>
      <c r="H551" s="272">
        <f t="shared" si="255"/>
        <v>-0.71676785632380724</v>
      </c>
      <c r="I551" s="270">
        <f t="shared" si="256"/>
        <v>303013.10083983466</v>
      </c>
      <c r="J551" s="273">
        <f t="shared" si="257"/>
        <v>1.570793026607554</v>
      </c>
      <c r="K551" s="281">
        <f t="shared" si="258"/>
        <v>45.456149296539856</v>
      </c>
      <c r="L551" s="282">
        <f t="shared" si="259"/>
        <v>1.5487953281616422</v>
      </c>
      <c r="M551" s="270">
        <f t="shared" si="260"/>
        <v>2.4139389238762399</v>
      </c>
      <c r="N551" s="273">
        <f t="shared" si="261"/>
        <v>1.1436659633393795</v>
      </c>
      <c r="O551" s="270">
        <f t="shared" si="262"/>
        <v>23805.434700543476</v>
      </c>
      <c r="P551" s="273">
        <f t="shared" si="263"/>
        <v>1.570754319580457</v>
      </c>
      <c r="Q551" s="271">
        <f t="shared" si="264"/>
        <v>1.3015979949589187</v>
      </c>
      <c r="R551" s="272">
        <f t="shared" si="265"/>
        <v>0.69463659402916167</v>
      </c>
      <c r="S551" s="270">
        <f t="shared" si="266"/>
        <v>1.0000181665916856</v>
      </c>
      <c r="T551" s="273">
        <f t="shared" si="267"/>
        <v>6.0276557083071003E-3</v>
      </c>
      <c r="U551" s="274">
        <f t="shared" si="268"/>
        <v>1.1691312071155904</v>
      </c>
      <c r="V551" s="275">
        <f t="shared" si="269"/>
        <v>0.80209739910879607</v>
      </c>
      <c r="W551" s="276">
        <f t="shared" si="270"/>
        <v>-33.220377691466275</v>
      </c>
      <c r="X551" s="277">
        <f t="shared" si="279"/>
        <v>125.00931314768206</v>
      </c>
      <c r="Y551" s="299">
        <f t="shared" si="278"/>
        <v>-54.990686852317936</v>
      </c>
      <c r="AB551" s="278">
        <f t="shared" si="271"/>
        <v>-8.5688758037787771</v>
      </c>
      <c r="AC551" s="279">
        <f t="shared" si="272"/>
        <v>-66.787608152062234</v>
      </c>
      <c r="AF551" s="278">
        <f t="shared" si="273"/>
        <v>37.15203071929426</v>
      </c>
      <c r="AG551" s="279">
        <f t="shared" si="274"/>
        <v>-168.2030787002557</v>
      </c>
      <c r="AI551">
        <f t="shared" si="275"/>
        <v>0</v>
      </c>
      <c r="AJ551">
        <f t="shared" si="280"/>
        <v>0</v>
      </c>
      <c r="AK551">
        <f t="shared" si="276"/>
        <v>0</v>
      </c>
      <c r="AL551">
        <f t="shared" si="277"/>
        <v>0</v>
      </c>
      <c r="AM551"/>
      <c r="AN551"/>
    </row>
    <row r="552" spans="2:40" x14ac:dyDescent="0.2">
      <c r="B552" s="280">
        <v>86600.5</v>
      </c>
      <c r="C552" s="270">
        <f t="shared" si="250"/>
        <v>70.743576727849245</v>
      </c>
      <c r="D552" s="271">
        <f t="shared" si="251"/>
        <v>1.556660297043676</v>
      </c>
      <c r="E552" s="271">
        <f t="shared" si="252"/>
        <v>1.0099577291119646</v>
      </c>
      <c r="F552" s="272">
        <f t="shared" si="253"/>
        <v>0.14054034938407145</v>
      </c>
      <c r="G552" s="271">
        <f t="shared" si="254"/>
        <v>1.3296773309732066</v>
      </c>
      <c r="H552" s="272">
        <f t="shared" si="255"/>
        <v>-0.71961102598650839</v>
      </c>
      <c r="I552" s="270">
        <f t="shared" si="256"/>
        <v>304756.82061760017</v>
      </c>
      <c r="J552" s="273">
        <f t="shared" si="257"/>
        <v>1.5707930454901566</v>
      </c>
      <c r="K552" s="281">
        <f t="shared" si="258"/>
        <v>45.717605106666412</v>
      </c>
      <c r="L552" s="282">
        <f t="shared" si="259"/>
        <v>1.5489211704768144</v>
      </c>
      <c r="M552" s="270">
        <f t="shared" si="260"/>
        <v>2.4254519312549485</v>
      </c>
      <c r="N552" s="273">
        <f t="shared" si="261"/>
        <v>1.1458253970379009</v>
      </c>
      <c r="O552" s="270">
        <f t="shared" si="262"/>
        <v>23942.425501000645</v>
      </c>
      <c r="P552" s="273">
        <f t="shared" si="263"/>
        <v>1.5707545599321262</v>
      </c>
      <c r="Q552" s="271">
        <f t="shared" si="264"/>
        <v>1.3046721910751926</v>
      </c>
      <c r="R552" s="272">
        <f t="shared" si="265"/>
        <v>0.69745995592085253</v>
      </c>
      <c r="S552" s="270">
        <f t="shared" si="266"/>
        <v>1.0000183762743611</v>
      </c>
      <c r="T552" s="273">
        <f t="shared" si="267"/>
        <v>6.0623416201026721E-3</v>
      </c>
      <c r="U552" s="274">
        <f t="shared" si="268"/>
        <v>1.1711155044407626</v>
      </c>
      <c r="V552" s="275">
        <f t="shared" si="269"/>
        <v>0.80629459572210782</v>
      </c>
      <c r="W552" s="276">
        <f t="shared" si="270"/>
        <v>-33.30373654373134</v>
      </c>
      <c r="X552" s="277">
        <f t="shared" si="279"/>
        <v>124.53022621815222</v>
      </c>
      <c r="Y552" s="299">
        <f t="shared" si="278"/>
        <v>-55.469773781847778</v>
      </c>
      <c r="AB552" s="278">
        <f t="shared" si="271"/>
        <v>-8.6102276744876018</v>
      </c>
      <c r="AC552" s="279">
        <f t="shared" si="272"/>
        <v>-66.904125437475713</v>
      </c>
      <c r="AF552" s="278">
        <f t="shared" si="273"/>
        <v>37.110023737738018</v>
      </c>
      <c r="AG552" s="279">
        <f t="shared" si="274"/>
        <v>-168.56564834437205</v>
      </c>
      <c r="AI552">
        <f t="shared" si="275"/>
        <v>0</v>
      </c>
      <c r="AJ552">
        <f t="shared" si="280"/>
        <v>0</v>
      </c>
      <c r="AK552">
        <f t="shared" si="276"/>
        <v>0</v>
      </c>
      <c r="AL552">
        <f t="shared" si="277"/>
        <v>0</v>
      </c>
      <c r="AM552"/>
      <c r="AN552"/>
    </row>
    <row r="553" spans="2:40" x14ac:dyDescent="0.2">
      <c r="B553" s="280">
        <v>87096</v>
      </c>
      <c r="C553" s="270">
        <f t="shared" si="250"/>
        <v>71.148267901907388</v>
      </c>
      <c r="D553" s="271">
        <f t="shared" si="251"/>
        <v>1.5567407080569389</v>
      </c>
      <c r="E553" s="271">
        <f t="shared" si="252"/>
        <v>1.0100714351479139</v>
      </c>
      <c r="F553" s="272">
        <f t="shared" si="253"/>
        <v>0.14133383970608865</v>
      </c>
      <c r="G553" s="271">
        <f t="shared" si="254"/>
        <v>1.3329875922180714</v>
      </c>
      <c r="H553" s="272">
        <f t="shared" si="255"/>
        <v>-0.72244009731070014</v>
      </c>
      <c r="I553" s="270">
        <f t="shared" si="256"/>
        <v>306500.54039536591</v>
      </c>
      <c r="J553" s="273">
        <f t="shared" si="257"/>
        <v>1.5707930641579084</v>
      </c>
      <c r="K553" s="281">
        <f t="shared" si="258"/>
        <v>45.979061632556238</v>
      </c>
      <c r="L553" s="282">
        <f t="shared" si="259"/>
        <v>1.5490455816079434</v>
      </c>
      <c r="M553" s="270">
        <f t="shared" si="260"/>
        <v>2.4369761419925982</v>
      </c>
      <c r="N553" s="273">
        <f t="shared" si="261"/>
        <v>1.1479644171507097</v>
      </c>
      <c r="O553" s="270">
        <f t="shared" si="262"/>
        <v>24079.416301459176</v>
      </c>
      <c r="P553" s="273">
        <f t="shared" si="263"/>
        <v>1.5707547975490141</v>
      </c>
      <c r="Q553" s="271">
        <f t="shared" si="264"/>
        <v>1.3077567382755722</v>
      </c>
      <c r="R553" s="272">
        <f t="shared" si="265"/>
        <v>0.70027002145049888</v>
      </c>
      <c r="S553" s="270">
        <f t="shared" si="266"/>
        <v>1.000018587160171</v>
      </c>
      <c r="T553" s="273">
        <f t="shared" si="267"/>
        <v>6.097027517310713E-3</v>
      </c>
      <c r="U553" s="274">
        <f t="shared" si="268"/>
        <v>1.1731118174205712</v>
      </c>
      <c r="V553" s="275">
        <f t="shared" si="269"/>
        <v>0.81048517896656447</v>
      </c>
      <c r="W553" s="276">
        <f t="shared" si="270"/>
        <v>-33.386697483401115</v>
      </c>
      <c r="X553" s="277">
        <f t="shared" si="279"/>
        <v>124.05345641097585</v>
      </c>
      <c r="Y553" s="299">
        <f t="shared" si="278"/>
        <v>-55.946543589024145</v>
      </c>
      <c r="AB553" s="278">
        <f t="shared" si="271"/>
        <v>-8.6514233590699625</v>
      </c>
      <c r="AC553" s="279">
        <f t="shared" si="272"/>
        <v>-67.019555099078516</v>
      </c>
      <c r="AF553" s="278">
        <f t="shared" si="273"/>
        <v>37.068258482650606</v>
      </c>
      <c r="AG553" s="279">
        <f t="shared" si="274"/>
        <v>-168.92698848994561</v>
      </c>
      <c r="AI553">
        <f t="shared" si="275"/>
        <v>0</v>
      </c>
      <c r="AJ553">
        <f t="shared" si="280"/>
        <v>0</v>
      </c>
      <c r="AK553">
        <f t="shared" si="276"/>
        <v>0</v>
      </c>
      <c r="AL553">
        <f t="shared" si="277"/>
        <v>0</v>
      </c>
      <c r="AM553"/>
      <c r="AN553"/>
    </row>
    <row r="554" spans="2:40" x14ac:dyDescent="0.2">
      <c r="B554" s="280">
        <v>87603.25</v>
      </c>
      <c r="C554" s="270">
        <f t="shared" si="250"/>
        <v>71.562556159144052</v>
      </c>
      <c r="D554" s="271">
        <f t="shared" si="251"/>
        <v>1.5568220838249367</v>
      </c>
      <c r="E554" s="271">
        <f t="shared" si="252"/>
        <v>1.0101884961610494</v>
      </c>
      <c r="F554" s="272">
        <f t="shared" si="253"/>
        <v>0.14214596083904096</v>
      </c>
      <c r="G554" s="271">
        <f t="shared" si="254"/>
        <v>1.336387346877917</v>
      </c>
      <c r="H554" s="272">
        <f t="shared" si="255"/>
        <v>-0.7253217140944298</v>
      </c>
      <c r="I554" s="270">
        <f t="shared" si="256"/>
        <v>308285.60973395663</v>
      </c>
      <c r="J554" s="273">
        <f t="shared" si="257"/>
        <v>1.5707930830495889</v>
      </c>
      <c r="K554" s="281">
        <f t="shared" si="258"/>
        <v>46.246718915811982</v>
      </c>
      <c r="L554" s="282">
        <f t="shared" si="259"/>
        <v>1.5491714857973995</v>
      </c>
      <c r="M554" s="270">
        <f t="shared" si="260"/>
        <v>2.4487850710637002</v>
      </c>
      <c r="N554" s="273">
        <f t="shared" si="261"/>
        <v>1.1501332959193975</v>
      </c>
      <c r="O554" s="270">
        <f t="shared" si="262"/>
        <v>24219.655622414335</v>
      </c>
      <c r="P554" s="273">
        <f t="shared" si="263"/>
        <v>1.5707550380162338</v>
      </c>
      <c r="Q554" s="271">
        <f t="shared" si="264"/>
        <v>1.3109250765393081</v>
      </c>
      <c r="R554" s="272">
        <f t="shared" si="265"/>
        <v>0.70313300202062323</v>
      </c>
      <c r="S554" s="270">
        <f t="shared" si="266"/>
        <v>1.0000188042930718</v>
      </c>
      <c r="T554" s="273">
        <f t="shared" si="267"/>
        <v>6.1325359205969864E-3</v>
      </c>
      <c r="U554" s="274">
        <f t="shared" si="268"/>
        <v>1.1751679241356183</v>
      </c>
      <c r="V554" s="275">
        <f t="shared" si="269"/>
        <v>0.81476826238370581</v>
      </c>
      <c r="W554" s="276">
        <f t="shared" si="270"/>
        <v>-33.471218138479777</v>
      </c>
      <c r="X554" s="277">
        <f t="shared" si="279"/>
        <v>123.56776304984402</v>
      </c>
      <c r="Y554" s="299">
        <f t="shared" si="278"/>
        <v>-56.432236950155982</v>
      </c>
      <c r="AB554" s="278">
        <f t="shared" si="271"/>
        <v>-8.6934349098393007</v>
      </c>
      <c r="AC554" s="279">
        <f t="shared" si="272"/>
        <v>-67.136610002534567</v>
      </c>
      <c r="AF554" s="278">
        <f t="shared" si="273"/>
        <v>37.025749378341281</v>
      </c>
      <c r="AG554" s="279">
        <f t="shared" si="274"/>
        <v>-169.29562694762143</v>
      </c>
      <c r="AI554">
        <f t="shared" si="275"/>
        <v>0</v>
      </c>
      <c r="AJ554">
        <f t="shared" si="280"/>
        <v>0</v>
      </c>
      <c r="AK554">
        <f t="shared" si="276"/>
        <v>0</v>
      </c>
      <c r="AL554">
        <f t="shared" si="277"/>
        <v>0</v>
      </c>
      <c r="AM554"/>
      <c r="AN554"/>
    </row>
    <row r="555" spans="2:40" x14ac:dyDescent="0.2">
      <c r="B555" s="280">
        <v>88110.5</v>
      </c>
      <c r="C555" s="270">
        <f t="shared" si="250"/>
        <v>71.976844884813801</v>
      </c>
      <c r="D555" s="271">
        <f t="shared" si="251"/>
        <v>1.5569025228182181</v>
      </c>
      <c r="E555" s="271">
        <f t="shared" si="252"/>
        <v>1.0103062232799966</v>
      </c>
      <c r="F555" s="272">
        <f t="shared" si="253"/>
        <v>0.14295789324065492</v>
      </c>
      <c r="G555" s="271">
        <f t="shared" si="254"/>
        <v>1.3397981421467584</v>
      </c>
      <c r="H555" s="272">
        <f t="shared" si="255"/>
        <v>-0.72818868281419269</v>
      </c>
      <c r="I555" s="270">
        <f t="shared" si="256"/>
        <v>310070.67907254753</v>
      </c>
      <c r="J555" s="273">
        <f t="shared" si="257"/>
        <v>1.5707931017237515</v>
      </c>
      <c r="K555" s="281">
        <f t="shared" si="258"/>
        <v>46.514376923727561</v>
      </c>
      <c r="L555" s="282">
        <f t="shared" si="259"/>
        <v>1.5492959410060749</v>
      </c>
      <c r="M555" s="270">
        <f t="shared" si="260"/>
        <v>2.4606054087087967</v>
      </c>
      <c r="N555" s="273">
        <f t="shared" si="261"/>
        <v>1.1522813468487558</v>
      </c>
      <c r="O555" s="270">
        <f t="shared" si="262"/>
        <v>24359.89494337088</v>
      </c>
      <c r="P555" s="273">
        <f t="shared" si="263"/>
        <v>1.5707552757147254</v>
      </c>
      <c r="Q555" s="271">
        <f t="shared" si="264"/>
        <v>1.314104108142073</v>
      </c>
      <c r="R555" s="272">
        <f t="shared" si="265"/>
        <v>0.70598215381890317</v>
      </c>
      <c r="S555" s="270">
        <f t="shared" si="266"/>
        <v>1.0000190226868426</v>
      </c>
      <c r="T555" s="273">
        <f t="shared" si="267"/>
        <v>6.168044308418697E-3</v>
      </c>
      <c r="U555" s="274">
        <f t="shared" si="268"/>
        <v>1.1772366391322613</v>
      </c>
      <c r="V555" s="275">
        <f t="shared" si="269"/>
        <v>0.819044369778127</v>
      </c>
      <c r="W555" s="276">
        <f t="shared" si="270"/>
        <v>-33.555331076345908</v>
      </c>
      <c r="X555" s="277">
        <f t="shared" si="279"/>
        <v>123.08446185661313</v>
      </c>
      <c r="Y555" s="299">
        <f t="shared" si="278"/>
        <v>-56.915538143386868</v>
      </c>
      <c r="AB555" s="278">
        <f t="shared" si="271"/>
        <v>-8.7352843300978442</v>
      </c>
      <c r="AC555" s="279">
        <f t="shared" si="272"/>
        <v>-67.252554566721159</v>
      </c>
      <c r="AF555" s="278">
        <f t="shared" si="273"/>
        <v>36.983485860733694</v>
      </c>
      <c r="AG555" s="279">
        <f t="shared" si="274"/>
        <v>-169.66298357666577</v>
      </c>
      <c r="AI555">
        <f t="shared" si="275"/>
        <v>0</v>
      </c>
      <c r="AJ555">
        <f t="shared" si="280"/>
        <v>0</v>
      </c>
      <c r="AK555">
        <f t="shared" si="276"/>
        <v>0</v>
      </c>
      <c r="AL555">
        <f t="shared" si="277"/>
        <v>0</v>
      </c>
      <c r="AM555"/>
      <c r="AN555"/>
    </row>
    <row r="556" spans="2:40" x14ac:dyDescent="0.2">
      <c r="B556" s="280">
        <v>88617.75</v>
      </c>
      <c r="C556" s="270">
        <f t="shared" si="250"/>
        <v>72.391134070874244</v>
      </c>
      <c r="D556" s="271">
        <f t="shared" si="251"/>
        <v>1.5569820411190127</v>
      </c>
      <c r="E556" s="271">
        <f t="shared" si="252"/>
        <v>1.0104246162719261</v>
      </c>
      <c r="F556" s="272">
        <f t="shared" si="253"/>
        <v>0.14376963590657979</v>
      </c>
      <c r="G556" s="271">
        <f t="shared" si="254"/>
        <v>1.3432198939194033</v>
      </c>
      <c r="H556" s="272">
        <f t="shared" si="255"/>
        <v>-0.73104106810499203</v>
      </c>
      <c r="I556" s="270">
        <f t="shared" si="256"/>
        <v>311855.74841113848</v>
      </c>
      <c r="J556" s="273">
        <f t="shared" si="257"/>
        <v>1.5707931201841316</v>
      </c>
      <c r="K556" s="281">
        <f t="shared" si="258"/>
        <v>46.782035643864788</v>
      </c>
      <c r="L556" s="282">
        <f t="shared" si="259"/>
        <v>1.549418972100675</v>
      </c>
      <c r="M556" s="270">
        <f t="shared" si="260"/>
        <v>2.472436991300027</v>
      </c>
      <c r="N556" s="273">
        <f t="shared" si="261"/>
        <v>1.1544088489809368</v>
      </c>
      <c r="O556" s="270">
        <f t="shared" si="262"/>
        <v>24500.134264328779</v>
      </c>
      <c r="P556" s="273">
        <f t="shared" si="263"/>
        <v>1.5707555106920341</v>
      </c>
      <c r="Q556" s="271">
        <f t="shared" si="264"/>
        <v>1.317293755665004</v>
      </c>
      <c r="R556" s="272">
        <f t="shared" si="265"/>
        <v>0.70881753087464794</v>
      </c>
      <c r="S556" s="270">
        <f t="shared" si="266"/>
        <v>1.0000192423414824</v>
      </c>
      <c r="T556" s="273">
        <f t="shared" si="267"/>
        <v>6.2035526806863131E-3</v>
      </c>
      <c r="U556" s="274">
        <f t="shared" si="268"/>
        <v>1.1793179704607877</v>
      </c>
      <c r="V556" s="275">
        <f t="shared" si="269"/>
        <v>0.82331347864993654</v>
      </c>
      <c r="W556" s="276">
        <f t="shared" si="270"/>
        <v>-33.639040898406499</v>
      </c>
      <c r="X556" s="277">
        <f t="shared" si="279"/>
        <v>122.60353487473569</v>
      </c>
      <c r="Y556" s="299">
        <f t="shared" si="278"/>
        <v>-57.396465125264314</v>
      </c>
      <c r="AB556" s="278">
        <f t="shared" si="271"/>
        <v>-8.7769724109171605</v>
      </c>
      <c r="AC556" s="279">
        <f t="shared" si="272"/>
        <v>-67.367403355032607</v>
      </c>
      <c r="AF556" s="278">
        <f t="shared" si="273"/>
        <v>36.941464119492416</v>
      </c>
      <c r="AG556" s="279">
        <f t="shared" si="274"/>
        <v>-170.02906177023172</v>
      </c>
      <c r="AI556">
        <f t="shared" si="275"/>
        <v>0</v>
      </c>
      <c r="AJ556">
        <f t="shared" si="280"/>
        <v>0</v>
      </c>
      <c r="AK556">
        <f t="shared" si="276"/>
        <v>0</v>
      </c>
      <c r="AL556">
        <f t="shared" si="277"/>
        <v>0</v>
      </c>
      <c r="AM556"/>
      <c r="AN556"/>
    </row>
    <row r="557" spans="2:40" x14ac:dyDescent="0.2">
      <c r="B557" s="280">
        <v>89125</v>
      </c>
      <c r="C557" s="270">
        <f t="shared" si="250"/>
        <v>72.805423709465998</v>
      </c>
      <c r="D557" s="271">
        <f t="shared" si="251"/>
        <v>1.5570606544435437</v>
      </c>
      <c r="E557" s="271">
        <f t="shared" si="252"/>
        <v>1.0105436749028018</v>
      </c>
      <c r="F557" s="272">
        <f t="shared" si="253"/>
        <v>0.14458118783393448</v>
      </c>
      <c r="G557" s="271">
        <f t="shared" si="254"/>
        <v>1.3466525186766782</v>
      </c>
      <c r="H557" s="272">
        <f t="shared" si="255"/>
        <v>-0.73387893489518308</v>
      </c>
      <c r="I557" s="270">
        <f t="shared" si="256"/>
        <v>313640.81774972955</v>
      </c>
      <c r="J557" s="273">
        <f t="shared" si="257"/>
        <v>1.5707931384343792</v>
      </c>
      <c r="K557" s="281">
        <f t="shared" si="258"/>
        <v>47.049695064068509</v>
      </c>
      <c r="L557" s="282">
        <f t="shared" si="259"/>
        <v>1.5495406033822263</v>
      </c>
      <c r="M557" s="270">
        <f t="shared" si="260"/>
        <v>2.4842796581725017</v>
      </c>
      <c r="N557" s="273">
        <f t="shared" si="261"/>
        <v>1.1565160767889471</v>
      </c>
      <c r="O557" s="270">
        <f t="shared" si="262"/>
        <v>24640.37358528802</v>
      </c>
      <c r="P557" s="273">
        <f t="shared" si="263"/>
        <v>1.5707557429946222</v>
      </c>
      <c r="Q557" s="271">
        <f t="shared" si="264"/>
        <v>1.3204939421799724</v>
      </c>
      <c r="R557" s="272">
        <f t="shared" si="265"/>
        <v>0.71163918758193678</v>
      </c>
      <c r="S557" s="270">
        <f t="shared" si="266"/>
        <v>1.0000194632569903</v>
      </c>
      <c r="T557" s="273">
        <f t="shared" si="267"/>
        <v>6.2390610373103065E-3</v>
      </c>
      <c r="U557" s="274">
        <f t="shared" si="268"/>
        <v>1.1814119261395377</v>
      </c>
      <c r="V557" s="275">
        <f t="shared" si="269"/>
        <v>0.82757556677364441</v>
      </c>
      <c r="W557" s="276">
        <f t="shared" si="270"/>
        <v>-33.722352141181794</v>
      </c>
      <c r="X557" s="277">
        <f t="shared" si="279"/>
        <v>122.12496436557603</v>
      </c>
      <c r="Y557" s="299">
        <f t="shared" si="278"/>
        <v>-57.875035634423966</v>
      </c>
      <c r="AB557" s="278">
        <f t="shared" si="271"/>
        <v>-8.8184999472200882</v>
      </c>
      <c r="AC557" s="279">
        <f t="shared" si="272"/>
        <v>-67.481170701476699</v>
      </c>
      <c r="AF557" s="278">
        <f t="shared" si="273"/>
        <v>36.89968041302005</v>
      </c>
      <c r="AG557" s="279">
        <f t="shared" si="274"/>
        <v>-170.39386493294728</v>
      </c>
      <c r="AI557">
        <f t="shared" si="275"/>
        <v>0</v>
      </c>
      <c r="AJ557">
        <f t="shared" si="280"/>
        <v>0</v>
      </c>
      <c r="AK557">
        <f t="shared" si="276"/>
        <v>0</v>
      </c>
      <c r="AL557">
        <f t="shared" si="277"/>
        <v>0</v>
      </c>
      <c r="AM557"/>
      <c r="AN557"/>
    </row>
    <row r="558" spans="2:40" x14ac:dyDescent="0.2">
      <c r="B558" s="280">
        <v>89644</v>
      </c>
      <c r="C558" s="270">
        <f t="shared" si="250"/>
        <v>73.229310463432668</v>
      </c>
      <c r="D558" s="271">
        <f t="shared" si="251"/>
        <v>1.5571401681321182</v>
      </c>
      <c r="E558" s="271">
        <f t="shared" si="252"/>
        <v>1.0106661801226946</v>
      </c>
      <c r="F558" s="272">
        <f t="shared" si="253"/>
        <v>0.14541134018608626</v>
      </c>
      <c r="G558" s="271">
        <f t="shared" si="254"/>
        <v>1.3501758243660682</v>
      </c>
      <c r="H558" s="272">
        <f t="shared" si="255"/>
        <v>-0.73676757952505456</v>
      </c>
      <c r="I558" s="270">
        <f t="shared" si="256"/>
        <v>315467.23664914561</v>
      </c>
      <c r="J558" s="273">
        <f t="shared" si="257"/>
        <v>1.570793156893608</v>
      </c>
      <c r="K558" s="281">
        <f t="shared" si="258"/>
        <v>47.32355529145903</v>
      </c>
      <c r="L558" s="282">
        <f t="shared" si="259"/>
        <v>1.5496636280882017</v>
      </c>
      <c r="M558" s="270">
        <f t="shared" si="260"/>
        <v>2.4964079578634228</v>
      </c>
      <c r="N558" s="273">
        <f t="shared" si="261"/>
        <v>1.1586514140277673</v>
      </c>
      <c r="O558" s="270">
        <f t="shared" si="262"/>
        <v>24783.861426743981</v>
      </c>
      <c r="P558" s="273">
        <f t="shared" si="263"/>
        <v>1.5707559779572779</v>
      </c>
      <c r="Q558" s="271">
        <f t="shared" si="264"/>
        <v>1.3237790864879957</v>
      </c>
      <c r="R558" s="272">
        <f t="shared" si="265"/>
        <v>0.71451206182450799</v>
      </c>
      <c r="S558" s="270">
        <f t="shared" si="266"/>
        <v>1.0000196905948278</v>
      </c>
      <c r="T558" s="273">
        <f t="shared" si="267"/>
        <v>6.2753918974924813E-3</v>
      </c>
      <c r="U558" s="274">
        <f t="shared" si="268"/>
        <v>1.18356746117364</v>
      </c>
      <c r="V558" s="275">
        <f t="shared" si="269"/>
        <v>0.8319290929501334</v>
      </c>
      <c r="W558" s="276">
        <f t="shared" si="270"/>
        <v>-33.807185344878562</v>
      </c>
      <c r="X558" s="277">
        <f t="shared" si="279"/>
        <v>121.63772889839183</v>
      </c>
      <c r="Y558" s="299">
        <f t="shared" si="278"/>
        <v>-58.362271101608172</v>
      </c>
      <c r="AB558" s="278">
        <f t="shared" si="271"/>
        <v>-8.8608240991978686</v>
      </c>
      <c r="AC558" s="279">
        <f t="shared" si="272"/>
        <v>-67.596468774305876</v>
      </c>
      <c r="AF558" s="278">
        <f t="shared" si="273"/>
        <v>36.85717136130107</v>
      </c>
      <c r="AG558" s="279">
        <f t="shared" si="274"/>
        <v>-170.76580232730225</v>
      </c>
      <c r="AI558">
        <f t="shared" si="275"/>
        <v>0</v>
      </c>
      <c r="AJ558">
        <f t="shared" si="280"/>
        <v>0</v>
      </c>
      <c r="AK558">
        <f t="shared" si="276"/>
        <v>0</v>
      </c>
      <c r="AL558">
        <f t="shared" si="277"/>
        <v>0</v>
      </c>
      <c r="AM558"/>
      <c r="AN558"/>
    </row>
    <row r="559" spans="2:40" x14ac:dyDescent="0.2">
      <c r="B559" s="280">
        <v>90163</v>
      </c>
      <c r="C559" s="270">
        <f t="shared" si="250"/>
        <v>73.653197675057157</v>
      </c>
      <c r="D559" s="271">
        <f t="shared" si="251"/>
        <v>1.5572187665904329</v>
      </c>
      <c r="E559" s="271">
        <f t="shared" si="252"/>
        <v>1.0107893816770357</v>
      </c>
      <c r="F559" s="272">
        <f t="shared" si="253"/>
        <v>0.14624129074139774</v>
      </c>
      <c r="G559" s="271">
        <f t="shared" si="254"/>
        <v>1.3537103375841475</v>
      </c>
      <c r="H559" s="272">
        <f t="shared" si="255"/>
        <v>-0.73964116363098409</v>
      </c>
      <c r="I559" s="270">
        <f t="shared" si="256"/>
        <v>317293.65554856183</v>
      </c>
      <c r="J559" s="273">
        <f t="shared" si="257"/>
        <v>1.5707931751403252</v>
      </c>
      <c r="K559" s="281">
        <f t="shared" si="258"/>
        <v>47.59741622685317</v>
      </c>
      <c r="L559" s="282">
        <f t="shared" si="259"/>
        <v>1.5497852371031442</v>
      </c>
      <c r="M559" s="270">
        <f t="shared" si="260"/>
        <v>2.5085475302418017</v>
      </c>
      <c r="N559" s="273">
        <f t="shared" si="261"/>
        <v>1.1607660938271995</v>
      </c>
      <c r="O559" s="270">
        <f t="shared" si="262"/>
        <v>24927.349268201295</v>
      </c>
      <c r="P559" s="273">
        <f t="shared" si="263"/>
        <v>1.5707562102149302</v>
      </c>
      <c r="Q559" s="271">
        <f t="shared" si="264"/>
        <v>1.3270751023377907</v>
      </c>
      <c r="R559" s="272">
        <f t="shared" si="265"/>
        <v>0.71737068902326129</v>
      </c>
      <c r="S559" s="270">
        <f t="shared" si="266"/>
        <v>1.0000199192526218</v>
      </c>
      <c r="T559" s="273">
        <f t="shared" si="267"/>
        <v>6.3117227411082734E-3</v>
      </c>
      <c r="U559" s="274">
        <f t="shared" si="268"/>
        <v>1.1857362290736375</v>
      </c>
      <c r="V559" s="275">
        <f t="shared" si="269"/>
        <v>0.83627522316001435</v>
      </c>
      <c r="W559" s="276">
        <f t="shared" si="270"/>
        <v>-33.891610694481301</v>
      </c>
      <c r="X559" s="277">
        <f t="shared" si="279"/>
        <v>121.15292345320992</v>
      </c>
      <c r="Y559" s="299">
        <f t="shared" si="278"/>
        <v>-58.847076546790078</v>
      </c>
      <c r="AB559" s="278">
        <f t="shared" si="271"/>
        <v>-8.9029818770386697</v>
      </c>
      <c r="AC559" s="279">
        <f t="shared" si="272"/>
        <v>-67.71066436398786</v>
      </c>
      <c r="AF559" s="278">
        <f t="shared" si="273"/>
        <v>36.81490378953913</v>
      </c>
      <c r="AG559" s="279">
        <f t="shared" si="274"/>
        <v>-171.13641218280216</v>
      </c>
      <c r="AI559">
        <f t="shared" si="275"/>
        <v>0</v>
      </c>
      <c r="AJ559">
        <f t="shared" si="280"/>
        <v>0</v>
      </c>
      <c r="AK559">
        <f t="shared" si="276"/>
        <v>0</v>
      </c>
      <c r="AL559">
        <f t="shared" si="277"/>
        <v>0</v>
      </c>
      <c r="AM559"/>
      <c r="AN559"/>
    </row>
    <row r="560" spans="2:40" x14ac:dyDescent="0.2">
      <c r="B560" s="280">
        <v>90682</v>
      </c>
      <c r="C560" s="270">
        <f t="shared" si="250"/>
        <v>74.077085336482966</v>
      </c>
      <c r="D560" s="271">
        <f t="shared" si="251"/>
        <v>1.55729646552904</v>
      </c>
      <c r="E560" s="271">
        <f t="shared" si="252"/>
        <v>1.0109132793112348</v>
      </c>
      <c r="F560" s="272">
        <f t="shared" si="253"/>
        <v>0.14707103843048913</v>
      </c>
      <c r="G560" s="271">
        <f t="shared" si="254"/>
        <v>1.357255970772288</v>
      </c>
      <c r="H560" s="272">
        <f t="shared" si="255"/>
        <v>-0.74249975760079934</v>
      </c>
      <c r="I560" s="270">
        <f t="shared" si="256"/>
        <v>319120.07444797817</v>
      </c>
      <c r="J560" s="273">
        <f t="shared" si="257"/>
        <v>1.5707931931781798</v>
      </c>
      <c r="K560" s="281">
        <f t="shared" si="258"/>
        <v>47.871277858099923</v>
      </c>
      <c r="L560" s="282">
        <f t="shared" si="259"/>
        <v>1.5499054547200481</v>
      </c>
      <c r="M560" s="270">
        <f t="shared" si="260"/>
        <v>2.5206982124413329</v>
      </c>
      <c r="N560" s="273">
        <f t="shared" si="261"/>
        <v>1.1628603958654662</v>
      </c>
      <c r="O560" s="270">
        <f t="shared" si="262"/>
        <v>25070.837109659937</v>
      </c>
      <c r="P560" s="273">
        <f t="shared" si="263"/>
        <v>1.5707564398140235</v>
      </c>
      <c r="Q560" s="271">
        <f t="shared" si="264"/>
        <v>1.3303819089267566</v>
      </c>
      <c r="R560" s="272">
        <f t="shared" si="265"/>
        <v>0.72021512852243941</v>
      </c>
      <c r="S560" s="270">
        <f t="shared" si="266"/>
        <v>1.000020149230372</v>
      </c>
      <c r="T560" s="273">
        <f t="shared" si="267"/>
        <v>6.3480535680617844E-3</v>
      </c>
      <c r="U560" s="274">
        <f t="shared" si="268"/>
        <v>1.1879182383205242</v>
      </c>
      <c r="V560" s="275">
        <f t="shared" si="269"/>
        <v>0.84061393449077382</v>
      </c>
      <c r="W560" s="276">
        <f t="shared" si="270"/>
        <v>-33.975632844678657</v>
      </c>
      <c r="X560" s="277">
        <f t="shared" si="279"/>
        <v>120.67052971577121</v>
      </c>
      <c r="Y560" s="299">
        <f t="shared" si="278"/>
        <v>-59.32947028422879</v>
      </c>
      <c r="AB560" s="278">
        <f t="shared" si="271"/>
        <v>-8.9449741421584648</v>
      </c>
      <c r="AC560" s="279">
        <f t="shared" si="272"/>
        <v>-67.823772103227427</v>
      </c>
      <c r="AF560" s="278">
        <f t="shared" si="273"/>
        <v>36.772873904461562</v>
      </c>
      <c r="AG560" s="279">
        <f t="shared" si="274"/>
        <v>-171.50569818100141</v>
      </c>
      <c r="AI560">
        <f t="shared" si="275"/>
        <v>0</v>
      </c>
      <c r="AJ560">
        <f t="shared" si="280"/>
        <v>0</v>
      </c>
      <c r="AK560">
        <f t="shared" si="276"/>
        <v>0</v>
      </c>
      <c r="AL560">
        <f t="shared" si="277"/>
        <v>0</v>
      </c>
      <c r="AM560"/>
      <c r="AN560"/>
    </row>
    <row r="561" spans="2:40" x14ac:dyDescent="0.2">
      <c r="B561" s="280">
        <v>91201</v>
      </c>
      <c r="C561" s="270">
        <f t="shared" si="250"/>
        <v>74.500973440032382</v>
      </c>
      <c r="D561" s="271">
        <f t="shared" si="251"/>
        <v>1.5573732803009819</v>
      </c>
      <c r="E561" s="271">
        <f t="shared" si="252"/>
        <v>1.0110378727693883</v>
      </c>
      <c r="F561" s="272">
        <f t="shared" si="253"/>
        <v>0.14790058218562069</v>
      </c>
      <c r="G561" s="271">
        <f t="shared" si="254"/>
        <v>1.3608126370103668</v>
      </c>
      <c r="H561" s="272">
        <f t="shared" si="255"/>
        <v>-0.7453434320698481</v>
      </c>
      <c r="I561" s="270">
        <f t="shared" si="256"/>
        <v>320946.49334739451</v>
      </c>
      <c r="J561" s="273">
        <f t="shared" si="257"/>
        <v>1.5707932110107372</v>
      </c>
      <c r="K561" s="281">
        <f t="shared" si="258"/>
        <v>48.145140173324741</v>
      </c>
      <c r="L561" s="282">
        <f t="shared" si="259"/>
        <v>1.5500243046793309</v>
      </c>
      <c r="M561" s="270">
        <f t="shared" si="260"/>
        <v>2.5328598445733017</v>
      </c>
      <c r="N561" s="273">
        <f t="shared" si="261"/>
        <v>1.1649345951716599</v>
      </c>
      <c r="O561" s="270">
        <f t="shared" si="262"/>
        <v>25214.324951119888</v>
      </c>
      <c r="P561" s="273">
        <f t="shared" si="263"/>
        <v>1.5707566667999453</v>
      </c>
      <c r="Q561" s="271">
        <f t="shared" si="264"/>
        <v>1.3336994259904369</v>
      </c>
      <c r="R561" s="272">
        <f t="shared" si="265"/>
        <v>0.72304543999702298</v>
      </c>
      <c r="S561" s="270">
        <f t="shared" si="266"/>
        <v>1.000020380528077</v>
      </c>
      <c r="T561" s="273">
        <f t="shared" si="267"/>
        <v>6.3843843782571182E-3</v>
      </c>
      <c r="U561" s="274">
        <f t="shared" si="268"/>
        <v>1.1901134973578074</v>
      </c>
      <c r="V561" s="275">
        <f t="shared" si="269"/>
        <v>0.84494520433158682</v>
      </c>
      <c r="W561" s="276">
        <f t="shared" si="270"/>
        <v>-34.059256383354224</v>
      </c>
      <c r="X561" s="277">
        <f t="shared" si="279"/>
        <v>120.19052959564669</v>
      </c>
      <c r="Y561" s="299">
        <f t="shared" si="278"/>
        <v>-59.809470404353306</v>
      </c>
      <c r="AB561" s="278">
        <f t="shared" si="271"/>
        <v>-8.9868017585275943</v>
      </c>
      <c r="AC561" s="279">
        <f t="shared" si="272"/>
        <v>-67.935806390009347</v>
      </c>
      <c r="AF561" s="278">
        <f t="shared" si="273"/>
        <v>36.731077982155128</v>
      </c>
      <c r="AG561" s="279">
        <f t="shared" si="274"/>
        <v>-171.87366401434394</v>
      </c>
      <c r="AI561">
        <f t="shared" si="275"/>
        <v>0</v>
      </c>
      <c r="AJ561">
        <f t="shared" si="280"/>
        <v>0</v>
      </c>
      <c r="AK561">
        <f t="shared" si="276"/>
        <v>0</v>
      </c>
      <c r="AL561">
        <f t="shared" si="277"/>
        <v>0</v>
      </c>
      <c r="AM561"/>
      <c r="AN561"/>
    </row>
    <row r="562" spans="2:40" x14ac:dyDescent="0.2">
      <c r="B562" s="280">
        <v>91732</v>
      </c>
      <c r="C562" s="270">
        <f t="shared" si="250"/>
        <v>74.934662874339253</v>
      </c>
      <c r="D562" s="271">
        <f t="shared" si="251"/>
        <v>1.5574509717170009</v>
      </c>
      <c r="E562" s="271">
        <f t="shared" si="252"/>
        <v>1.0111660668754483</v>
      </c>
      <c r="F562" s="272">
        <f t="shared" si="253"/>
        <v>0.14874909397001249</v>
      </c>
      <c r="G562" s="271">
        <f t="shared" si="254"/>
        <v>1.3644628669713816</v>
      </c>
      <c r="H562" s="272">
        <f t="shared" si="255"/>
        <v>-0.74823748921793032</v>
      </c>
      <c r="I562" s="270">
        <f t="shared" si="256"/>
        <v>322815.14158552588</v>
      </c>
      <c r="J562" s="273">
        <f t="shared" si="257"/>
        <v>1.5707932290467703</v>
      </c>
      <c r="K562" s="281">
        <f t="shared" si="258"/>
        <v>48.425335260982294</v>
      </c>
      <c r="L562" s="282">
        <f t="shared" si="259"/>
        <v>1.5501445113544696</v>
      </c>
      <c r="M562" s="270">
        <f t="shared" si="260"/>
        <v>2.5453138394412655</v>
      </c>
      <c r="N562" s="273">
        <f t="shared" si="261"/>
        <v>1.1670362295825949</v>
      </c>
      <c r="O562" s="270">
        <f t="shared" si="262"/>
        <v>25361.130430533998</v>
      </c>
      <c r="P562" s="273">
        <f t="shared" si="263"/>
        <v>1.5707568963758545</v>
      </c>
      <c r="Q562" s="271">
        <f t="shared" si="264"/>
        <v>1.337104650304533</v>
      </c>
      <c r="R562" s="272">
        <f t="shared" si="265"/>
        <v>0.72592663297501248</v>
      </c>
      <c r="S562" s="270">
        <f t="shared" si="266"/>
        <v>1.0000206185397913</v>
      </c>
      <c r="T562" s="273">
        <f t="shared" si="267"/>
        <v>6.4215551897414142E-3</v>
      </c>
      <c r="U562" s="274">
        <f t="shared" si="268"/>
        <v>1.1923732354578434</v>
      </c>
      <c r="V562" s="275">
        <f t="shared" si="269"/>
        <v>0.84936889430962947</v>
      </c>
      <c r="W562" s="276">
        <f t="shared" si="270"/>
        <v>-34.14440558734772</v>
      </c>
      <c r="X562" s="277">
        <f t="shared" si="279"/>
        <v>119.70188984358634</v>
      </c>
      <c r="Y562" s="299">
        <f t="shared" si="278"/>
        <v>-60.298110156413657</v>
      </c>
      <c r="AB562" s="278">
        <f t="shared" si="271"/>
        <v>-9.0294269876305719</v>
      </c>
      <c r="AC562" s="279">
        <f t="shared" si="272"/>
        <v>-68.049334870069217</v>
      </c>
      <c r="AF562" s="278">
        <f t="shared" si="273"/>
        <v>36.688554007264607</v>
      </c>
      <c r="AG562" s="279">
        <f t="shared" si="274"/>
        <v>-172.2487752863444</v>
      </c>
      <c r="AI562">
        <f t="shared" si="275"/>
        <v>0</v>
      </c>
      <c r="AJ562">
        <f t="shared" si="280"/>
        <v>0</v>
      </c>
      <c r="AK562">
        <f t="shared" si="276"/>
        <v>0</v>
      </c>
      <c r="AL562">
        <f t="shared" si="277"/>
        <v>0</v>
      </c>
      <c r="AM562"/>
      <c r="AN562"/>
    </row>
    <row r="563" spans="2:40" x14ac:dyDescent="0.2">
      <c r="B563" s="280">
        <v>92263</v>
      </c>
      <c r="C563" s="270">
        <f t="shared" si="250"/>
        <v>75.368352755743103</v>
      </c>
      <c r="D563" s="271">
        <f t="shared" si="251"/>
        <v>1.557527769018648</v>
      </c>
      <c r="E563" s="271">
        <f t="shared" si="252"/>
        <v>1.0112949888081402</v>
      </c>
      <c r="F563" s="272">
        <f t="shared" si="253"/>
        <v>0.14959739002502398</v>
      </c>
      <c r="G563" s="271">
        <f t="shared" si="254"/>
        <v>1.3681244640447479</v>
      </c>
      <c r="H563" s="272">
        <f t="shared" si="255"/>
        <v>-0.75111607927624402</v>
      </c>
      <c r="I563" s="270">
        <f t="shared" si="256"/>
        <v>324683.78982365731</v>
      </c>
      <c r="J563" s="273">
        <f t="shared" si="257"/>
        <v>1.5707932468751984</v>
      </c>
      <c r="K563" s="281">
        <f t="shared" si="258"/>
        <v>48.705531040317879</v>
      </c>
      <c r="L563" s="282">
        <f t="shared" si="259"/>
        <v>1.550263334968552</v>
      </c>
      <c r="M563" s="270">
        <f t="shared" si="260"/>
        <v>2.5577789671144981</v>
      </c>
      <c r="N563" s="273">
        <f t="shared" si="261"/>
        <v>1.1691173888226578</v>
      </c>
      <c r="O563" s="270">
        <f t="shared" si="262"/>
        <v>25507.935909949425</v>
      </c>
      <c r="P563" s="273">
        <f t="shared" si="263"/>
        <v>1.5707571233092132</v>
      </c>
      <c r="Q563" s="271">
        <f t="shared" si="264"/>
        <v>1.3405209178444228</v>
      </c>
      <c r="R563" s="272">
        <f t="shared" si="265"/>
        <v>0.72879316442244491</v>
      </c>
      <c r="S563" s="270">
        <f t="shared" si="266"/>
        <v>1.0000208579332028</v>
      </c>
      <c r="T563" s="273">
        <f t="shared" si="267"/>
        <v>6.4587259834805446E-3</v>
      </c>
      <c r="U563" s="274">
        <f t="shared" si="268"/>
        <v>1.1946468608972729</v>
      </c>
      <c r="V563" s="275">
        <f t="shared" si="269"/>
        <v>0.8537847477877859</v>
      </c>
      <c r="W563" s="276">
        <f t="shared" si="270"/>
        <v>-34.229147040172663</v>
      </c>
      <c r="X563" s="277">
        <f t="shared" si="279"/>
        <v>119.21571806666699</v>
      </c>
      <c r="Y563" s="299">
        <f t="shared" si="278"/>
        <v>-60.784281933333006</v>
      </c>
      <c r="AB563" s="278">
        <f t="shared" si="271"/>
        <v>-9.0718817024086675</v>
      </c>
      <c r="AC563" s="279">
        <f t="shared" si="272"/>
        <v>-68.161769440919755</v>
      </c>
      <c r="AF563" s="278">
        <f t="shared" si="273"/>
        <v>36.646267269217759</v>
      </c>
      <c r="AG563" s="279">
        <f t="shared" si="274"/>
        <v>-172.62251249241322</v>
      </c>
      <c r="AI563">
        <f t="shared" si="275"/>
        <v>0</v>
      </c>
      <c r="AJ563">
        <f t="shared" si="280"/>
        <v>0</v>
      </c>
      <c r="AK563">
        <f t="shared" si="276"/>
        <v>0</v>
      </c>
      <c r="AL563">
        <f t="shared" si="277"/>
        <v>0</v>
      </c>
      <c r="AM563"/>
      <c r="AN563"/>
    </row>
    <row r="564" spans="2:40" x14ac:dyDescent="0.2">
      <c r="B564" s="280">
        <v>92794</v>
      </c>
      <c r="C564" s="270">
        <f t="shared" si="250"/>
        <v>75.802043076569987</v>
      </c>
      <c r="D564" s="271">
        <f t="shared" si="251"/>
        <v>1.5576036875516435</v>
      </c>
      <c r="E564" s="271">
        <f t="shared" si="252"/>
        <v>1.0114246382891454</v>
      </c>
      <c r="F564" s="272">
        <f t="shared" si="253"/>
        <v>0.15044546921250584</v>
      </c>
      <c r="G564" s="271">
        <f t="shared" si="254"/>
        <v>1.3717973372072882</v>
      </c>
      <c r="H564" s="272">
        <f t="shared" si="255"/>
        <v>-0.75397927858376623</v>
      </c>
      <c r="I564" s="270">
        <f t="shared" si="256"/>
        <v>326552.43806178891</v>
      </c>
      <c r="J564" s="273">
        <f t="shared" si="257"/>
        <v>1.5707932644995852</v>
      </c>
      <c r="K564" s="281">
        <f t="shared" si="258"/>
        <v>48.985727499462399</v>
      </c>
      <c r="L564" s="282">
        <f t="shared" si="259"/>
        <v>1.5503807992513599</v>
      </c>
      <c r="M564" s="270">
        <f t="shared" si="260"/>
        <v>2.5702550656186078</v>
      </c>
      <c r="N564" s="273">
        <f t="shared" si="261"/>
        <v>1.1711783528930411</v>
      </c>
      <c r="O564" s="270">
        <f t="shared" si="262"/>
        <v>25654.741389366154</v>
      </c>
      <c r="P564" s="273">
        <f t="shared" si="263"/>
        <v>1.5707573476453867</v>
      </c>
      <c r="Q564" s="271">
        <f t="shared" si="264"/>
        <v>1.3439481443956687</v>
      </c>
      <c r="R564" s="272">
        <f t="shared" si="265"/>
        <v>0.73164509921715215</v>
      </c>
      <c r="S564" s="270">
        <f t="shared" si="266"/>
        <v>1.0000210987083105</v>
      </c>
      <c r="T564" s="273">
        <f t="shared" si="267"/>
        <v>6.4958967593718069E-3</v>
      </c>
      <c r="U564" s="274">
        <f t="shared" si="268"/>
        <v>1.1969343825932461</v>
      </c>
      <c r="V564" s="275">
        <f t="shared" si="269"/>
        <v>0.85819274153178793</v>
      </c>
      <c r="W564" s="276">
        <f t="shared" si="270"/>
        <v>-34.313485444972564</v>
      </c>
      <c r="X564" s="277">
        <f t="shared" si="279"/>
        <v>118.73199559428232</v>
      </c>
      <c r="Y564" s="299">
        <f t="shared" si="278"/>
        <v>-61.268004405717676</v>
      </c>
      <c r="AB564" s="278">
        <f t="shared" si="271"/>
        <v>-9.1141668340570465</v>
      </c>
      <c r="AC564" s="279">
        <f t="shared" si="272"/>
        <v>-68.273124786035382</v>
      </c>
      <c r="AF564" s="278">
        <f t="shared" si="273"/>
        <v>36.604213996066242</v>
      </c>
      <c r="AG564" s="279">
        <f t="shared" si="274"/>
        <v>-172.99487961968228</v>
      </c>
      <c r="AI564">
        <f t="shared" si="275"/>
        <v>0</v>
      </c>
      <c r="AJ564">
        <f t="shared" si="280"/>
        <v>0</v>
      </c>
      <c r="AK564">
        <f t="shared" si="276"/>
        <v>0</v>
      </c>
      <c r="AL564">
        <f t="shared" si="277"/>
        <v>0</v>
      </c>
      <c r="AM564"/>
      <c r="AN564"/>
    </row>
    <row r="565" spans="2:40" x14ac:dyDescent="0.2">
      <c r="B565" s="280">
        <v>93325</v>
      </c>
      <c r="C565" s="270">
        <f t="shared" si="250"/>
        <v>76.235733829320495</v>
      </c>
      <c r="D565" s="271">
        <f t="shared" si="251"/>
        <v>1.557678742312554</v>
      </c>
      <c r="E565" s="271">
        <f t="shared" si="252"/>
        <v>1.0115550150387176</v>
      </c>
      <c r="F565" s="272">
        <f t="shared" si="253"/>
        <v>0.15129333039613824</v>
      </c>
      <c r="G565" s="271">
        <f t="shared" si="254"/>
        <v>1.3754813961292227</v>
      </c>
      <c r="H565" s="272">
        <f t="shared" si="255"/>
        <v>-0.75682716367474623</v>
      </c>
      <c r="I565" s="270">
        <f t="shared" si="256"/>
        <v>328421.08629992051</v>
      </c>
      <c r="J565" s="273">
        <f t="shared" si="257"/>
        <v>1.5707932819234138</v>
      </c>
      <c r="K565" s="281">
        <f t="shared" si="258"/>
        <v>49.265924626816783</v>
      </c>
      <c r="L565" s="282">
        <f t="shared" si="259"/>
        <v>1.5504969273929805</v>
      </c>
      <c r="M565" s="270">
        <f t="shared" si="260"/>
        <v>2.5827419759677208</v>
      </c>
      <c r="N565" s="273">
        <f t="shared" si="261"/>
        <v>1.1732193970733988</v>
      </c>
      <c r="O565" s="270">
        <f t="shared" si="262"/>
        <v>25801.54686878416</v>
      </c>
      <c r="P565" s="273">
        <f t="shared" si="263"/>
        <v>1.570757569428707</v>
      </c>
      <c r="Q565" s="271">
        <f t="shared" si="264"/>
        <v>1.3473862463318853</v>
      </c>
      <c r="R565" s="272">
        <f t="shared" si="265"/>
        <v>0.73448250252771952</v>
      </c>
      <c r="S565" s="270">
        <f t="shared" si="266"/>
        <v>1.0000213408651131</v>
      </c>
      <c r="T565" s="273">
        <f t="shared" si="267"/>
        <v>6.5330675173124976E-3</v>
      </c>
      <c r="U565" s="274">
        <f t="shared" si="268"/>
        <v>1.1992358094192839</v>
      </c>
      <c r="V565" s="275">
        <f t="shared" si="269"/>
        <v>0.86259285263848018</v>
      </c>
      <c r="W565" s="276">
        <f t="shared" si="270"/>
        <v>-34.39742543616849</v>
      </c>
      <c r="X565" s="277">
        <f t="shared" si="279"/>
        <v>118.2507039853829</v>
      </c>
      <c r="Y565" s="299">
        <f t="shared" si="278"/>
        <v>-61.749296014617101</v>
      </c>
      <c r="AB565" s="278">
        <f t="shared" si="271"/>
        <v>-9.1562833150064922</v>
      </c>
      <c r="AC565" s="279">
        <f t="shared" si="272"/>
        <v>-68.383415349283894</v>
      </c>
      <c r="AF565" s="278">
        <f t="shared" si="273"/>
        <v>36.562390485819762</v>
      </c>
      <c r="AG565" s="279">
        <f t="shared" si="274"/>
        <v>-173.36588066533321</v>
      </c>
      <c r="AI565">
        <f t="shared" si="275"/>
        <v>0</v>
      </c>
      <c r="AJ565">
        <f t="shared" si="280"/>
        <v>0</v>
      </c>
      <c r="AK565">
        <f t="shared" si="276"/>
        <v>0</v>
      </c>
      <c r="AL565">
        <f t="shared" si="277"/>
        <v>0</v>
      </c>
      <c r="AM565"/>
      <c r="AN565"/>
    </row>
    <row r="566" spans="2:40" x14ac:dyDescent="0.2">
      <c r="B566" s="280">
        <v>93868.5</v>
      </c>
      <c r="C566" s="270">
        <f t="shared" si="250"/>
        <v>76.679634314389801</v>
      </c>
      <c r="D566" s="271">
        <f t="shared" si="251"/>
        <v>1.5577546846834178</v>
      </c>
      <c r="E566" s="271">
        <f t="shared" si="252"/>
        <v>1.0116892137778055</v>
      </c>
      <c r="F566" s="272">
        <f t="shared" si="253"/>
        <v>0.15216092370098933</v>
      </c>
      <c r="G566" s="271">
        <f t="shared" si="254"/>
        <v>1.3792636698856853</v>
      </c>
      <c r="H566" s="272">
        <f t="shared" si="255"/>
        <v>-0.75972631022496651</v>
      </c>
      <c r="I566" s="270">
        <f t="shared" si="256"/>
        <v>330333.72343254695</v>
      </c>
      <c r="J566" s="273">
        <f t="shared" si="257"/>
        <v>1.5707932995532647</v>
      </c>
      <c r="K566" s="281">
        <f t="shared" si="258"/>
        <v>49.55271841190465</v>
      </c>
      <c r="L566" s="282">
        <f t="shared" si="259"/>
        <v>1.5506144292096893</v>
      </c>
      <c r="M566" s="270">
        <f t="shared" si="260"/>
        <v>2.5955338680485069</v>
      </c>
      <c r="N566" s="273">
        <f t="shared" si="261"/>
        <v>1.1752881420887906</v>
      </c>
      <c r="O566" s="270">
        <f t="shared" si="262"/>
        <v>25951.808221071122</v>
      </c>
      <c r="P566" s="273">
        <f t="shared" si="263"/>
        <v>1.570757793834429</v>
      </c>
      <c r="Q566" s="271">
        <f t="shared" si="264"/>
        <v>1.3509164586218572</v>
      </c>
      <c r="R566" s="272">
        <f t="shared" si="265"/>
        <v>0.73737171937811019</v>
      </c>
      <c r="S566" s="270">
        <f t="shared" si="266"/>
        <v>1.000021590153271</v>
      </c>
      <c r="T566" s="273">
        <f t="shared" si="267"/>
        <v>6.5711132743988994E-3</v>
      </c>
      <c r="U566" s="274">
        <f t="shared" si="268"/>
        <v>1.2016058221578665</v>
      </c>
      <c r="V566" s="275">
        <f t="shared" si="269"/>
        <v>0.86708835779531368</v>
      </c>
      <c r="W566" s="276">
        <f t="shared" si="270"/>
        <v>-34.482933589586722</v>
      </c>
      <c r="X566" s="277">
        <f t="shared" si="279"/>
        <v>117.76058089876034</v>
      </c>
      <c r="Y566" s="299">
        <f t="shared" si="278"/>
        <v>-62.239419101239662</v>
      </c>
      <c r="AB566" s="278">
        <f t="shared" si="271"/>
        <v>-9.1992175600482895</v>
      </c>
      <c r="AC566" s="279">
        <f t="shared" si="272"/>
        <v>-68.495214359488102</v>
      </c>
      <c r="AF566" s="278">
        <f t="shared" si="273"/>
        <v>36.519816577443329</v>
      </c>
      <c r="AG566" s="279">
        <f t="shared" si="274"/>
        <v>-173.74420474175156</v>
      </c>
      <c r="AI566">
        <f t="shared" si="275"/>
        <v>0</v>
      </c>
      <c r="AJ566">
        <f t="shared" si="280"/>
        <v>0</v>
      </c>
      <c r="AK566">
        <f t="shared" si="276"/>
        <v>0</v>
      </c>
      <c r="AL566">
        <f t="shared" si="277"/>
        <v>0</v>
      </c>
      <c r="AM566"/>
      <c r="AN566"/>
    </row>
    <row r="567" spans="2:40" x14ac:dyDescent="0.2">
      <c r="B567" s="280">
        <v>94412</v>
      </c>
      <c r="C567" s="270">
        <f t="shared" si="250"/>
        <v>77.123535236598528</v>
      </c>
      <c r="D567" s="271">
        <f t="shared" si="251"/>
        <v>1.557829752849752</v>
      </c>
      <c r="E567" s="271">
        <f t="shared" si="252"/>
        <v>1.0118241738313842</v>
      </c>
      <c r="F567" s="272">
        <f t="shared" si="253"/>
        <v>0.15302828621433429</v>
      </c>
      <c r="G567" s="271">
        <f t="shared" si="254"/>
        <v>1.3830574729605885</v>
      </c>
      <c r="H567" s="272">
        <f t="shared" si="255"/>
        <v>-0.762609575860278</v>
      </c>
      <c r="I567" s="270">
        <f t="shared" si="256"/>
        <v>332246.36056517338</v>
      </c>
      <c r="J567" s="273">
        <f t="shared" si="257"/>
        <v>1.5707933169801365</v>
      </c>
      <c r="K567" s="281">
        <f t="shared" si="258"/>
        <v>49.839512873277123</v>
      </c>
      <c r="L567" s="282">
        <f t="shared" si="259"/>
        <v>1.5507305787326575</v>
      </c>
      <c r="M567" s="270">
        <f t="shared" si="260"/>
        <v>2.6083367592697875</v>
      </c>
      <c r="N567" s="273">
        <f t="shared" si="261"/>
        <v>1.1773365871353936</v>
      </c>
      <c r="O567" s="270">
        <f t="shared" si="262"/>
        <v>26102.069573359371</v>
      </c>
      <c r="P567" s="273">
        <f t="shared" si="263"/>
        <v>1.5707580156564853</v>
      </c>
      <c r="Q567" s="271">
        <f t="shared" si="264"/>
        <v>1.3544578889488839</v>
      </c>
      <c r="R567" s="272">
        <f t="shared" si="265"/>
        <v>0.74024585154732869</v>
      </c>
      <c r="S567" s="270">
        <f t="shared" si="266"/>
        <v>1.000021840888939</v>
      </c>
      <c r="T567" s="273">
        <f t="shared" si="267"/>
        <v>6.6091590124619324E-3</v>
      </c>
      <c r="U567" s="274">
        <f t="shared" si="268"/>
        <v>1.2039904210678818</v>
      </c>
      <c r="V567" s="275">
        <f t="shared" si="269"/>
        <v>0.87157555733394221</v>
      </c>
      <c r="W567" s="276">
        <f t="shared" si="270"/>
        <v>-34.568033959681564</v>
      </c>
      <c r="X567" s="277">
        <f t="shared" si="279"/>
        <v>117.27296609669875</v>
      </c>
      <c r="Y567" s="299">
        <f t="shared" si="278"/>
        <v>-62.727033903301248</v>
      </c>
      <c r="AB567" s="278">
        <f t="shared" si="271"/>
        <v>-9.2419770998483983</v>
      </c>
      <c r="AC567" s="279">
        <f t="shared" si="272"/>
        <v>-68.605927736250578</v>
      </c>
      <c r="AF567" s="278">
        <f t="shared" si="273"/>
        <v>36.477475747148588</v>
      </c>
      <c r="AG567" s="279">
        <f t="shared" si="274"/>
        <v>-174.12110616705067</v>
      </c>
      <c r="AI567">
        <f t="shared" si="275"/>
        <v>0</v>
      </c>
      <c r="AJ567">
        <f t="shared" si="280"/>
        <v>0</v>
      </c>
      <c r="AK567">
        <f t="shared" si="276"/>
        <v>0</v>
      </c>
      <c r="AL567">
        <f t="shared" si="277"/>
        <v>0</v>
      </c>
      <c r="AM567"/>
      <c r="AN567"/>
    </row>
    <row r="568" spans="2:40" x14ac:dyDescent="0.2">
      <c r="B568" s="280">
        <v>94955.5</v>
      </c>
      <c r="C568" s="270">
        <f t="shared" si="250"/>
        <v>77.567436588441765</v>
      </c>
      <c r="D568" s="271">
        <f t="shared" si="251"/>
        <v>1.5579039618193429</v>
      </c>
      <c r="E568" s="271">
        <f t="shared" si="252"/>
        <v>1.0119598948948558</v>
      </c>
      <c r="F568" s="272">
        <f t="shared" si="253"/>
        <v>0.15389541672370949</v>
      </c>
      <c r="G568" s="271">
        <f t="shared" si="254"/>
        <v>1.3868627107375835</v>
      </c>
      <c r="H568" s="272">
        <f t="shared" si="255"/>
        <v>-0.76547704316645693</v>
      </c>
      <c r="I568" s="270">
        <f t="shared" si="256"/>
        <v>334158.99769779999</v>
      </c>
      <c r="J568" s="273">
        <f t="shared" si="257"/>
        <v>1.5707933342075149</v>
      </c>
      <c r="K568" s="281">
        <f t="shared" si="258"/>
        <v>50.126307999326237</v>
      </c>
      <c r="L568" s="282">
        <f t="shared" si="259"/>
        <v>1.5508453991699633</v>
      </c>
      <c r="M568" s="270">
        <f t="shared" si="260"/>
        <v>2.6211504884571508</v>
      </c>
      <c r="N568" s="273">
        <f t="shared" si="261"/>
        <v>1.1793650126097734</v>
      </c>
      <c r="O568" s="270">
        <f t="shared" si="262"/>
        <v>26252.330925648894</v>
      </c>
      <c r="P568" s="273">
        <f t="shared" si="263"/>
        <v>1.570758234939241</v>
      </c>
      <c r="Q568" s="271">
        <f t="shared" si="264"/>
        <v>1.3580104495495129</v>
      </c>
      <c r="R568" s="272">
        <f t="shared" si="265"/>
        <v>0.74310496975016471</v>
      </c>
      <c r="S568" s="270">
        <f t="shared" si="266"/>
        <v>1.000022093072116</v>
      </c>
      <c r="T568" s="273">
        <f t="shared" si="267"/>
        <v>6.6472047313914694E-3</v>
      </c>
      <c r="U568" s="274">
        <f t="shared" si="268"/>
        <v>1.2063896155184213</v>
      </c>
      <c r="V568" s="275">
        <f t="shared" si="269"/>
        <v>0.87605442777324916</v>
      </c>
      <c r="W568" s="276">
        <f t="shared" si="270"/>
        <v>-34.652731299273455</v>
      </c>
      <c r="X568" s="277">
        <f t="shared" si="279"/>
        <v>116.78784052738402</v>
      </c>
      <c r="Y568" s="299">
        <f t="shared" si="278"/>
        <v>-63.21215947261598</v>
      </c>
      <c r="AB568" s="278">
        <f t="shared" si="271"/>
        <v>-9.2845629360291841</v>
      </c>
      <c r="AC568" s="279">
        <f t="shared" si="272"/>
        <v>-68.715570215585984</v>
      </c>
      <c r="AF568" s="278">
        <f t="shared" si="273"/>
        <v>36.435364243737489</v>
      </c>
      <c r="AG568" s="279">
        <f t="shared" si="274"/>
        <v>-174.49658925703</v>
      </c>
      <c r="AI568">
        <f t="shared" si="275"/>
        <v>0</v>
      </c>
      <c r="AJ568">
        <f t="shared" si="280"/>
        <v>0</v>
      </c>
      <c r="AK568">
        <f t="shared" si="276"/>
        <v>0</v>
      </c>
      <c r="AL568">
        <f t="shared" si="277"/>
        <v>0</v>
      </c>
      <c r="AM568"/>
      <c r="AN568"/>
    </row>
    <row r="569" spans="2:40" x14ac:dyDescent="0.2">
      <c r="B569" s="280">
        <v>95499</v>
      </c>
      <c r="C569" s="270">
        <f t="shared" si="250"/>
        <v>78.011338362585349</v>
      </c>
      <c r="D569" s="271">
        <f t="shared" si="251"/>
        <v>1.5579773262584249</v>
      </c>
      <c r="E569" s="271">
        <f t="shared" si="252"/>
        <v>1.0120963766620683</v>
      </c>
      <c r="F569" s="272">
        <f t="shared" si="253"/>
        <v>0.15476231401869542</v>
      </c>
      <c r="G569" s="271">
        <f t="shared" si="254"/>
        <v>1.3906792893522706</v>
      </c>
      <c r="H569" s="272">
        <f t="shared" si="255"/>
        <v>-0.76832879486595806</v>
      </c>
      <c r="I569" s="270">
        <f t="shared" si="256"/>
        <v>336071.63483042666</v>
      </c>
      <c r="J569" s="273">
        <f t="shared" si="257"/>
        <v>1.5707933512388057</v>
      </c>
      <c r="K569" s="281">
        <f t="shared" si="258"/>
        <v>50.413103778708155</v>
      </c>
      <c r="L569" s="282">
        <f t="shared" si="259"/>
        <v>1.5509589132017132</v>
      </c>
      <c r="M569" s="270">
        <f t="shared" si="260"/>
        <v>2.6339748974373842</v>
      </c>
      <c r="N569" s="273">
        <f t="shared" si="261"/>
        <v>1.1813736941135817</v>
      </c>
      <c r="O569" s="270">
        <f t="shared" si="262"/>
        <v>26402.592277939664</v>
      </c>
      <c r="P569" s="273">
        <f t="shared" si="263"/>
        <v>1.5707584517260507</v>
      </c>
      <c r="Q569" s="271">
        <f t="shared" si="264"/>
        <v>1.3615740533018501</v>
      </c>
      <c r="R569" s="272">
        <f t="shared" si="265"/>
        <v>0.74594914494641751</v>
      </c>
      <c r="S569" s="270">
        <f t="shared" si="266"/>
        <v>1.0000223467028011</v>
      </c>
      <c r="T569" s="273">
        <f t="shared" si="267"/>
        <v>6.6852504310773841E-3</v>
      </c>
      <c r="U569" s="274">
        <f t="shared" si="268"/>
        <v>1.2088034148280711</v>
      </c>
      <c r="V569" s="275">
        <f t="shared" si="269"/>
        <v>0.88052494599551689</v>
      </c>
      <c r="W569" s="276">
        <f t="shared" si="270"/>
        <v>-34.737030290428606</v>
      </c>
      <c r="X569" s="277">
        <f t="shared" si="279"/>
        <v>116.30518537451883</v>
      </c>
      <c r="Y569" s="299">
        <f t="shared" si="278"/>
        <v>-63.694814625481172</v>
      </c>
      <c r="AB569" s="278">
        <f t="shared" si="271"/>
        <v>-9.3269760701122664</v>
      </c>
      <c r="AC569" s="279">
        <f t="shared" si="272"/>
        <v>-68.82415628902649</v>
      </c>
      <c r="AF569" s="278">
        <f t="shared" si="273"/>
        <v>36.393478386665421</v>
      </c>
      <c r="AG569" s="279">
        <f t="shared" si="274"/>
        <v>-174.87065833645468</v>
      </c>
      <c r="AI569">
        <f t="shared" si="275"/>
        <v>0</v>
      </c>
      <c r="AJ569">
        <f t="shared" si="280"/>
        <v>0</v>
      </c>
      <c r="AK569">
        <f t="shared" si="276"/>
        <v>0</v>
      </c>
      <c r="AL569">
        <f t="shared" si="277"/>
        <v>0</v>
      </c>
      <c r="AM569"/>
      <c r="AN569"/>
    </row>
    <row r="570" spans="2:40" x14ac:dyDescent="0.2">
      <c r="B570" s="280">
        <v>96611.5</v>
      </c>
      <c r="C570" s="270">
        <f t="shared" si="250"/>
        <v>78.919970235957265</v>
      </c>
      <c r="D570" s="271">
        <f t="shared" si="251"/>
        <v>1.5581249236221071</v>
      </c>
      <c r="E570" s="271">
        <f t="shared" si="252"/>
        <v>1.0123781145442534</v>
      </c>
      <c r="F570" s="272">
        <f t="shared" si="253"/>
        <v>0.15653604946712896</v>
      </c>
      <c r="G570" s="271">
        <f t="shared" si="254"/>
        <v>1.3985264876314545</v>
      </c>
      <c r="H570" s="272">
        <f t="shared" si="255"/>
        <v>-0.77411743820866163</v>
      </c>
      <c r="I570" s="270">
        <f t="shared" si="256"/>
        <v>339986.64644044935</v>
      </c>
      <c r="J570" s="273">
        <f t="shared" si="257"/>
        <v>1.5707933855029064</v>
      </c>
      <c r="K570" s="281">
        <f t="shared" si="258"/>
        <v>51.000153248189044</v>
      </c>
      <c r="L570" s="282">
        <f t="shared" si="259"/>
        <v>1.5511872859405396</v>
      </c>
      <c r="M570" s="270">
        <f t="shared" si="260"/>
        <v>2.6602580665519837</v>
      </c>
      <c r="N570" s="273">
        <f t="shared" si="261"/>
        <v>1.1854248656699031</v>
      </c>
      <c r="O570" s="270">
        <f t="shared" si="262"/>
        <v>26710.164963175263</v>
      </c>
      <c r="P570" s="273">
        <f t="shared" si="263"/>
        <v>1.5707588878647509</v>
      </c>
      <c r="Q570" s="271">
        <f t="shared" si="264"/>
        <v>1.3689025322335882</v>
      </c>
      <c r="R570" s="272">
        <f t="shared" si="265"/>
        <v>0.75172464017860141</v>
      </c>
      <c r="S570" s="270">
        <f t="shared" si="266"/>
        <v>1.0000228703779455</v>
      </c>
      <c r="T570" s="273">
        <f t="shared" si="267"/>
        <v>6.7631268028046729E-3</v>
      </c>
      <c r="U570" s="274">
        <f t="shared" si="268"/>
        <v>1.2137898470424442</v>
      </c>
      <c r="V570" s="275">
        <f t="shared" si="269"/>
        <v>0.88964958992559529</v>
      </c>
      <c r="W570" s="276">
        <f t="shared" si="270"/>
        <v>-34.90836054244879</v>
      </c>
      <c r="X570" s="277">
        <f t="shared" si="279"/>
        <v>115.32485560292557</v>
      </c>
      <c r="Y570" s="299">
        <f t="shared" si="278"/>
        <v>-64.675144397074433</v>
      </c>
      <c r="AB570" s="278">
        <f t="shared" si="271"/>
        <v>-9.4132579398290481</v>
      </c>
      <c r="AC570" s="279">
        <f t="shared" si="272"/>
        <v>-69.043188490384892</v>
      </c>
      <c r="AF570" s="278">
        <f t="shared" si="273"/>
        <v>36.308430004362016</v>
      </c>
      <c r="AG570" s="279">
        <f t="shared" si="274"/>
        <v>-175.63195590668954</v>
      </c>
      <c r="AI570">
        <f t="shared" si="275"/>
        <v>0</v>
      </c>
      <c r="AJ570">
        <f t="shared" si="280"/>
        <v>0</v>
      </c>
      <c r="AK570">
        <f t="shared" si="276"/>
        <v>0</v>
      </c>
      <c r="AL570">
        <f t="shared" si="277"/>
        <v>0</v>
      </c>
      <c r="AM570"/>
      <c r="AN570"/>
    </row>
    <row r="571" spans="2:40" x14ac:dyDescent="0.2">
      <c r="B571" s="280">
        <v>97724</v>
      </c>
      <c r="C571" s="270">
        <f t="shared" si="250"/>
        <v>79.828603789460843</v>
      </c>
      <c r="D571" s="271">
        <f t="shared" si="251"/>
        <v>1.5582691609923125</v>
      </c>
      <c r="E571" s="271">
        <f t="shared" si="252"/>
        <v>1.0126630357290123</v>
      </c>
      <c r="F571" s="272">
        <f t="shared" si="253"/>
        <v>0.15830879237975151</v>
      </c>
      <c r="G571" s="271">
        <f t="shared" si="254"/>
        <v>1.4064200244316212</v>
      </c>
      <c r="H571" s="272">
        <f t="shared" si="255"/>
        <v>-0.77984129400534885</v>
      </c>
      <c r="I571" s="270">
        <f t="shared" si="256"/>
        <v>343901.65805047244</v>
      </c>
      <c r="J571" s="273">
        <f t="shared" si="257"/>
        <v>1.5707934189868749</v>
      </c>
      <c r="K571" s="281">
        <f t="shared" si="258"/>
        <v>51.587205317000098</v>
      </c>
      <c r="L571" s="282">
        <f t="shared" si="259"/>
        <v>1.5514104610186898</v>
      </c>
      <c r="M571" s="270">
        <f t="shared" si="260"/>
        <v>2.6865840411203532</v>
      </c>
      <c r="N571" s="273">
        <f t="shared" si="261"/>
        <v>1.1893967060773876</v>
      </c>
      <c r="O571" s="270">
        <f t="shared" si="262"/>
        <v>27017.737648415823</v>
      </c>
      <c r="P571" s="273">
        <f t="shared" si="263"/>
        <v>1.5707593140733564</v>
      </c>
      <c r="Q571" s="271">
        <f t="shared" si="264"/>
        <v>1.3762761855845902</v>
      </c>
      <c r="R571" s="272">
        <f t="shared" si="265"/>
        <v>0.75743843774802844</v>
      </c>
      <c r="S571" s="270">
        <f t="shared" si="266"/>
        <v>1.0000234001179513</v>
      </c>
      <c r="T571" s="273">
        <f t="shared" si="267"/>
        <v>6.8410030924977308E-3</v>
      </c>
      <c r="U571" s="274">
        <f t="shared" si="268"/>
        <v>1.2188375893460404</v>
      </c>
      <c r="V571" s="275">
        <f t="shared" si="269"/>
        <v>0.89873895378087498</v>
      </c>
      <c r="W571" s="276">
        <f t="shared" si="270"/>
        <v>-35.078079684008962</v>
      </c>
      <c r="X571" s="277">
        <f t="shared" si="279"/>
        <v>114.35464250969386</v>
      </c>
      <c r="Y571" s="299">
        <f t="shared" si="278"/>
        <v>-65.645357490306139</v>
      </c>
      <c r="AB571" s="278">
        <f t="shared" si="271"/>
        <v>-9.4988289772744334</v>
      </c>
      <c r="AC571" s="279">
        <f t="shared" si="272"/>
        <v>-69.257973111052863</v>
      </c>
      <c r="AF571" s="278">
        <f t="shared" si="273"/>
        <v>36.224281900247234</v>
      </c>
      <c r="AG571" s="279">
        <f t="shared" si="274"/>
        <v>-176.38738437925332</v>
      </c>
      <c r="AI571">
        <f t="shared" si="275"/>
        <v>0</v>
      </c>
      <c r="AJ571">
        <f t="shared" si="280"/>
        <v>0</v>
      </c>
      <c r="AK571">
        <f t="shared" si="276"/>
        <v>0</v>
      </c>
      <c r="AL571">
        <f t="shared" si="277"/>
        <v>0</v>
      </c>
      <c r="AM571"/>
      <c r="AN571"/>
    </row>
    <row r="572" spans="2:40" x14ac:dyDescent="0.2">
      <c r="B572" s="280">
        <v>98862</v>
      </c>
      <c r="C572" s="270">
        <f t="shared" si="250"/>
        <v>80.758066128349881</v>
      </c>
      <c r="D572" s="271">
        <f t="shared" si="251"/>
        <v>1.5584133463105019</v>
      </c>
      <c r="E572" s="271">
        <f t="shared" si="252"/>
        <v>1.012957778478039</v>
      </c>
      <c r="F572" s="272">
        <f t="shared" si="253"/>
        <v>0.1601211312903501</v>
      </c>
      <c r="G572" s="271">
        <f t="shared" si="254"/>
        <v>1.414541626863667</v>
      </c>
      <c r="H572" s="272">
        <f t="shared" si="255"/>
        <v>-0.78563005933693886</v>
      </c>
      <c r="I572" s="270">
        <f t="shared" si="256"/>
        <v>347906.40700526501</v>
      </c>
      <c r="J572" s="273">
        <f t="shared" si="257"/>
        <v>1.5707934524586387</v>
      </c>
      <c r="K572" s="281">
        <f t="shared" si="258"/>
        <v>52.18771600869151</v>
      </c>
      <c r="L572" s="282">
        <f t="shared" si="259"/>
        <v>1.5516335566821893</v>
      </c>
      <c r="M572" s="270">
        <f t="shared" si="260"/>
        <v>2.7135564320849586</v>
      </c>
      <c r="N572" s="273">
        <f t="shared" si="261"/>
        <v>1.1933797853471786</v>
      </c>
      <c r="O572" s="270">
        <f t="shared" si="262"/>
        <v>27332.360314311813</v>
      </c>
      <c r="P572" s="273">
        <f t="shared" si="263"/>
        <v>1.5707597401266131</v>
      </c>
      <c r="Q572" s="271">
        <f t="shared" si="264"/>
        <v>1.3838648396255484</v>
      </c>
      <c r="R572" s="272">
        <f t="shared" si="265"/>
        <v>0.7632200105735395</v>
      </c>
      <c r="S572" s="270">
        <f t="shared" si="266"/>
        <v>1.0000239482752793</v>
      </c>
      <c r="T572" s="273">
        <f t="shared" si="267"/>
        <v>6.920664325891359E-3</v>
      </c>
      <c r="U572" s="274">
        <f t="shared" si="268"/>
        <v>1.2240645480486121</v>
      </c>
      <c r="V572" s="275">
        <f t="shared" si="269"/>
        <v>0.90799996393720084</v>
      </c>
      <c r="W572" s="276">
        <f t="shared" si="270"/>
        <v>-35.250061185007084</v>
      </c>
      <c r="X572" s="277">
        <f t="shared" si="279"/>
        <v>113.37249894257175</v>
      </c>
      <c r="Y572" s="299">
        <f t="shared" si="278"/>
        <v>-66.627501057428248</v>
      </c>
      <c r="AB572" s="278">
        <f t="shared" si="271"/>
        <v>-9.5856348740110384</v>
      </c>
      <c r="AC572" s="279">
        <f t="shared" si="272"/>
        <v>-69.473406220522534</v>
      </c>
      <c r="AF572" s="278">
        <f t="shared" si="273"/>
        <v>36.139106295985712</v>
      </c>
      <c r="AG572" s="279">
        <f t="shared" si="274"/>
        <v>-177.15409483690573</v>
      </c>
      <c r="AI572">
        <f t="shared" si="275"/>
        <v>0</v>
      </c>
      <c r="AJ572">
        <f t="shared" si="280"/>
        <v>0</v>
      </c>
      <c r="AK572">
        <f t="shared" si="276"/>
        <v>0</v>
      </c>
      <c r="AL572">
        <f t="shared" si="277"/>
        <v>0</v>
      </c>
      <c r="AM572"/>
      <c r="AN572"/>
    </row>
    <row r="573" spans="2:40" x14ac:dyDescent="0.2">
      <c r="B573" s="280">
        <v>100000</v>
      </c>
      <c r="C573" s="270">
        <f t="shared" si="250"/>
        <v>81.687530107944909</v>
      </c>
      <c r="D573" s="271">
        <f t="shared" si="251"/>
        <v>1.5585542504683458</v>
      </c>
      <c r="E573" s="271">
        <f t="shared" si="252"/>
        <v>1.013255846418142</v>
      </c>
      <c r="F573" s="272">
        <f t="shared" si="253"/>
        <v>0.16193240988132893</v>
      </c>
      <c r="G573" s="271">
        <f t="shared" si="254"/>
        <v>1.4227100882065957</v>
      </c>
      <c r="H573" s="272">
        <f t="shared" si="255"/>
        <v>-0.79135254244243014</v>
      </c>
      <c r="I573" s="270">
        <f t="shared" si="256"/>
        <v>351911.15596005792</v>
      </c>
      <c r="J573" s="273">
        <f t="shared" si="257"/>
        <v>1.5707934851685854</v>
      </c>
      <c r="K573" s="281">
        <f t="shared" si="258"/>
        <v>52.788229238756067</v>
      </c>
      <c r="L573" s="282">
        <f t="shared" si="259"/>
        <v>1.5518515765316889</v>
      </c>
      <c r="M573" s="270">
        <f t="shared" si="260"/>
        <v>2.7405710256192388</v>
      </c>
      <c r="N573" s="273">
        <f t="shared" si="261"/>
        <v>1.1972844008440628</v>
      </c>
      <c r="O573" s="270">
        <f t="shared" si="262"/>
        <v>27646.982980212644</v>
      </c>
      <c r="P573" s="273">
        <f t="shared" si="263"/>
        <v>1.5707601564828979</v>
      </c>
      <c r="Q573" s="271">
        <f t="shared" si="264"/>
        <v>1.3914992461029005</v>
      </c>
      <c r="R573" s="272">
        <f t="shared" si="265"/>
        <v>0.76893833205493423</v>
      </c>
      <c r="S573" s="270">
        <f t="shared" si="266"/>
        <v>1.0000245027786645</v>
      </c>
      <c r="T573" s="273">
        <f t="shared" si="267"/>
        <v>7.0003254714478269E-3</v>
      </c>
      <c r="U573" s="274">
        <f t="shared" si="268"/>
        <v>1.2293558234732871</v>
      </c>
      <c r="V573" s="275">
        <f t="shared" si="269"/>
        <v>0.91722367550062722</v>
      </c>
      <c r="W573" s="276">
        <f t="shared" si="270"/>
        <v>-35.420435036420251</v>
      </c>
      <c r="X573" s="277">
        <f t="shared" si="279"/>
        <v>112.40062222797874</v>
      </c>
      <c r="Y573" s="299">
        <f t="shared" si="278"/>
        <v>-67.599377772021256</v>
      </c>
      <c r="AB573" s="278">
        <f t="shared" si="271"/>
        <v>-9.6717150430793133</v>
      </c>
      <c r="AC573" s="279">
        <f t="shared" si="272"/>
        <v>-69.684634466030857</v>
      </c>
      <c r="AF573" s="278">
        <f t="shared" si="273"/>
        <v>36.05481261364082</v>
      </c>
      <c r="AG573" s="279">
        <f t="shared" si="274"/>
        <v>-177.91474330599044</v>
      </c>
      <c r="AI573">
        <f t="shared" si="275"/>
        <v>0</v>
      </c>
      <c r="AJ573">
        <f t="shared" si="280"/>
        <v>0</v>
      </c>
      <c r="AK573">
        <f t="shared" si="276"/>
        <v>0</v>
      </c>
      <c r="AL573">
        <f t="shared" si="277"/>
        <v>0</v>
      </c>
      <c r="AM573"/>
      <c r="AN573"/>
    </row>
    <row r="574" spans="2:40" x14ac:dyDescent="0.2">
      <c r="B574" s="280">
        <v>101165</v>
      </c>
      <c r="C574" s="270">
        <f t="shared" si="250"/>
        <v>82.639048038129118</v>
      </c>
      <c r="D574" s="271">
        <f t="shared" si="251"/>
        <v>1.5586952144235513</v>
      </c>
      <c r="E574" s="271">
        <f t="shared" si="252"/>
        <v>1.0135644276722584</v>
      </c>
      <c r="F574" s="272">
        <f t="shared" si="253"/>
        <v>0.16378555278957729</v>
      </c>
      <c r="G574" s="271">
        <f t="shared" si="254"/>
        <v>1.4311200551053598</v>
      </c>
      <c r="H574" s="272">
        <f t="shared" si="255"/>
        <v>-0.79714293361399957</v>
      </c>
      <c r="I574" s="270">
        <f t="shared" si="256"/>
        <v>356010.92092695972</v>
      </c>
      <c r="J574" s="273">
        <f t="shared" si="257"/>
        <v>1.5707935178923007</v>
      </c>
      <c r="K574" s="281">
        <f t="shared" si="258"/>
        <v>53.402992686531526</v>
      </c>
      <c r="L574" s="282">
        <f t="shared" si="259"/>
        <v>1.552069689954845</v>
      </c>
      <c r="M574" s="270">
        <f t="shared" si="260"/>
        <v>2.7682689893482464</v>
      </c>
      <c r="N574" s="273">
        <f t="shared" si="261"/>
        <v>1.2012026542039906</v>
      </c>
      <c r="O574" s="270">
        <f t="shared" si="262"/>
        <v>27969.070331513161</v>
      </c>
      <c r="P574" s="273">
        <f t="shared" si="263"/>
        <v>1.5707605730144398</v>
      </c>
      <c r="Q574" s="271">
        <f t="shared" si="264"/>
        <v>1.3993613969843595</v>
      </c>
      <c r="R574" s="272">
        <f t="shared" si="265"/>
        <v>0.77472749902810145</v>
      </c>
      <c r="S574" s="270">
        <f t="shared" si="266"/>
        <v>1.0000250770117858</v>
      </c>
      <c r="T574" s="273">
        <f t="shared" si="267"/>
        <v>7.0818765521402415E-3</v>
      </c>
      <c r="U574" s="274">
        <f t="shared" si="268"/>
        <v>1.234839347438051</v>
      </c>
      <c r="V574" s="275">
        <f t="shared" si="269"/>
        <v>0.9266273996358666</v>
      </c>
      <c r="W574" s="276">
        <f t="shared" si="270"/>
        <v>-35.593225219944159</v>
      </c>
      <c r="X574" s="277">
        <f t="shared" si="279"/>
        <v>111.41615989832832</v>
      </c>
      <c r="Y574" s="299">
        <f t="shared" si="278"/>
        <v>-68.583840101671683</v>
      </c>
      <c r="AB574" s="278">
        <f t="shared" si="271"/>
        <v>-9.7590952480764841</v>
      </c>
      <c r="AC574" s="279">
        <f t="shared" si="272"/>
        <v>-69.896638742946479</v>
      </c>
      <c r="AF574" s="278">
        <f t="shared" si="273"/>
        <v>35.969402635114086</v>
      </c>
      <c r="AG574" s="279">
        <f t="shared" si="274"/>
        <v>-178.68720135872522</v>
      </c>
      <c r="AI574">
        <f t="shared" si="275"/>
        <v>0</v>
      </c>
      <c r="AJ574">
        <f t="shared" si="280"/>
        <v>0</v>
      </c>
      <c r="AK574">
        <f t="shared" si="276"/>
        <v>0</v>
      </c>
      <c r="AL574">
        <f t="shared" si="277"/>
        <v>0</v>
      </c>
      <c r="AM574"/>
      <c r="AN574"/>
    </row>
    <row r="575" spans="2:40" x14ac:dyDescent="0.2">
      <c r="B575" s="280">
        <v>102330</v>
      </c>
      <c r="C575" s="270">
        <f t="shared" si="250"/>
        <v>83.590567573035884</v>
      </c>
      <c r="D575" s="271">
        <f t="shared" si="251"/>
        <v>1.5588329691687048</v>
      </c>
      <c r="E575" s="271">
        <f t="shared" si="252"/>
        <v>1.0138764875213988</v>
      </c>
      <c r="F575" s="272">
        <f t="shared" si="253"/>
        <v>0.16563756130129056</v>
      </c>
      <c r="G575" s="271">
        <f t="shared" si="254"/>
        <v>1.4395774439305664</v>
      </c>
      <c r="H575" s="272">
        <f t="shared" si="255"/>
        <v>-0.80286547872382885</v>
      </c>
      <c r="I575" s="270">
        <f t="shared" si="256"/>
        <v>360110.68589386187</v>
      </c>
      <c r="J575" s="273">
        <f t="shared" si="257"/>
        <v>1.5707935498709142</v>
      </c>
      <c r="K575" s="281">
        <f t="shared" si="258"/>
        <v>54.017758617045182</v>
      </c>
      <c r="L575" s="282">
        <f t="shared" si="259"/>
        <v>1.5522828387724239</v>
      </c>
      <c r="M575" s="270">
        <f t="shared" si="260"/>
        <v>2.7960086110905258</v>
      </c>
      <c r="N575" s="273">
        <f t="shared" si="261"/>
        <v>1.2050432183953399</v>
      </c>
      <c r="O575" s="270">
        <f t="shared" si="262"/>
        <v>28291.157682818422</v>
      </c>
      <c r="P575" s="273">
        <f t="shared" si="263"/>
        <v>1.5707609800617788</v>
      </c>
      <c r="Q575" s="271">
        <f t="shared" si="264"/>
        <v>1.407269921758608</v>
      </c>
      <c r="R575" s="272">
        <f t="shared" si="265"/>
        <v>0.78045178855585662</v>
      </c>
      <c r="S575" s="270">
        <f t="shared" si="266"/>
        <v>1.000025657895645</v>
      </c>
      <c r="T575" s="273">
        <f t="shared" si="267"/>
        <v>7.1634275386340349E-3</v>
      </c>
      <c r="U575" s="274">
        <f t="shared" si="268"/>
        <v>1.2403904474396026</v>
      </c>
      <c r="V575" s="275">
        <f t="shared" si="269"/>
        <v>0.93599165339732782</v>
      </c>
      <c r="W575" s="276">
        <f t="shared" si="270"/>
        <v>-35.764409329388876</v>
      </c>
      <c r="X575" s="277">
        <f t="shared" si="279"/>
        <v>110.44213207878141</v>
      </c>
      <c r="Y575" s="299">
        <f t="shared" si="278"/>
        <v>-69.557867921218588</v>
      </c>
      <c r="AB575" s="278">
        <f t="shared" si="271"/>
        <v>-9.8457340630555734</v>
      </c>
      <c r="AC575" s="279">
        <f t="shared" si="272"/>
        <v>-70.104476166643977</v>
      </c>
      <c r="AF575" s="278">
        <f t="shared" si="273"/>
        <v>35.884857340648459</v>
      </c>
      <c r="AG575" s="279">
        <f t="shared" si="274"/>
        <v>-179.45339175457462</v>
      </c>
      <c r="AI575">
        <f t="shared" si="275"/>
        <v>0</v>
      </c>
      <c r="AJ575">
        <f t="shared" si="280"/>
        <v>0</v>
      </c>
      <c r="AK575">
        <f t="shared" si="276"/>
        <v>0</v>
      </c>
      <c r="AL575">
        <f t="shared" si="277"/>
        <v>0</v>
      </c>
      <c r="AM575"/>
      <c r="AN575"/>
    </row>
    <row r="576" spans="2:40" x14ac:dyDescent="0.2">
      <c r="B576" s="280">
        <v>103520</v>
      </c>
      <c r="C576" s="270">
        <f t="shared" si="250"/>
        <v>84.562507582501993</v>
      </c>
      <c r="D576" s="271">
        <f t="shared" si="251"/>
        <v>1.5589704794139041</v>
      </c>
      <c r="E576" s="271">
        <f t="shared" si="252"/>
        <v>1.0141988319627284</v>
      </c>
      <c r="F576" s="272">
        <f t="shared" si="253"/>
        <v>0.16752812919728149</v>
      </c>
      <c r="G576" s="271">
        <f t="shared" si="254"/>
        <v>1.4482644172087016</v>
      </c>
      <c r="H576" s="272">
        <f t="shared" si="255"/>
        <v>-0.80864162938751782</v>
      </c>
      <c r="I576" s="270">
        <f t="shared" si="256"/>
        <v>364298.42864975362</v>
      </c>
      <c r="J576" s="273">
        <f t="shared" si="257"/>
        <v>1.5707935817926639</v>
      </c>
      <c r="K576" s="281">
        <f t="shared" si="258"/>
        <v>54.64571942559958</v>
      </c>
      <c r="L576" s="282">
        <f t="shared" si="259"/>
        <v>1.5524956102508729</v>
      </c>
      <c r="M576" s="270">
        <f t="shared" si="260"/>
        <v>2.8243852359180712</v>
      </c>
      <c r="N576" s="273">
        <f t="shared" si="261"/>
        <v>1.2088882544980153</v>
      </c>
      <c r="O576" s="270">
        <f t="shared" si="262"/>
        <v>28620.156779864581</v>
      </c>
      <c r="P576" s="273">
        <f t="shared" si="263"/>
        <v>1.570761386385314</v>
      </c>
      <c r="Q576" s="271">
        <f t="shared" si="264"/>
        <v>1.4153952263477736</v>
      </c>
      <c r="R576" s="272">
        <f t="shared" si="265"/>
        <v>0.78623268031266769</v>
      </c>
      <c r="S576" s="270">
        <f t="shared" si="266"/>
        <v>1.0000262581111596</v>
      </c>
      <c r="T576" s="273">
        <f t="shared" si="267"/>
        <v>7.2467284479170438E-3</v>
      </c>
      <c r="U576" s="274">
        <f t="shared" si="268"/>
        <v>1.2461305247257901</v>
      </c>
      <c r="V576" s="275">
        <f t="shared" si="269"/>
        <v>0.94551591826850201</v>
      </c>
      <c r="W576" s="276">
        <f t="shared" si="270"/>
        <v>-35.93764828409963</v>
      </c>
      <c r="X576" s="277">
        <f t="shared" si="279"/>
        <v>109.45781038644645</v>
      </c>
      <c r="Y576" s="299">
        <f t="shared" si="278"/>
        <v>-70.542189613553546</v>
      </c>
      <c r="AB576" s="278">
        <f t="shared" si="271"/>
        <v>-9.9334766453896481</v>
      </c>
      <c r="AC576" s="279">
        <f t="shared" si="272"/>
        <v>-70.312591428668355</v>
      </c>
      <c r="AF576" s="278">
        <f t="shared" si="273"/>
        <v>35.799360968271777</v>
      </c>
      <c r="AG576" s="279">
        <f t="shared" si="274"/>
        <v>-180.22959818488522</v>
      </c>
      <c r="AI576">
        <f t="shared" si="275"/>
        <v>0</v>
      </c>
      <c r="AJ576">
        <f t="shared" si="280"/>
        <v>0</v>
      </c>
      <c r="AK576">
        <f t="shared" si="276"/>
        <v>0</v>
      </c>
      <c r="AL576">
        <f t="shared" si="277"/>
        <v>0</v>
      </c>
      <c r="AM576"/>
      <c r="AN576"/>
    </row>
    <row r="577" spans="2:40" x14ac:dyDescent="0.2">
      <c r="B577" s="280">
        <v>104710</v>
      </c>
      <c r="C577" s="270">
        <f t="shared" si="250"/>
        <v>85.534449154626955</v>
      </c>
      <c r="D577" s="271">
        <f t="shared" si="251"/>
        <v>1.5591048645599512</v>
      </c>
      <c r="E577" s="271">
        <f t="shared" si="252"/>
        <v>1.0145247990900674</v>
      </c>
      <c r="F577" s="272">
        <f t="shared" si="253"/>
        <v>0.16941748896263004</v>
      </c>
      <c r="G577" s="271">
        <f t="shared" si="254"/>
        <v>1.456999133138227</v>
      </c>
      <c r="H577" s="272">
        <f t="shared" si="255"/>
        <v>-0.81434871247350393</v>
      </c>
      <c r="I577" s="270">
        <f t="shared" si="256"/>
        <v>368486.17140564584</v>
      </c>
      <c r="J577" s="273">
        <f t="shared" si="257"/>
        <v>1.5707936129888502</v>
      </c>
      <c r="K577" s="281">
        <f t="shared" si="258"/>
        <v>55.27368265184689</v>
      </c>
      <c r="L577" s="282">
        <f t="shared" si="259"/>
        <v>1.5527035471533579</v>
      </c>
      <c r="M577" s="270">
        <f t="shared" si="260"/>
        <v>2.8528027862566554</v>
      </c>
      <c r="N577" s="273">
        <f t="shared" si="261"/>
        <v>1.2126567424778247</v>
      </c>
      <c r="O577" s="270">
        <f t="shared" si="262"/>
        <v>28949.155876915353</v>
      </c>
      <c r="P577" s="273">
        <f t="shared" si="263"/>
        <v>1.5707617834733418</v>
      </c>
      <c r="Q577" s="271">
        <f t="shared" si="264"/>
        <v>1.4235672907460586</v>
      </c>
      <c r="R577" s="272">
        <f t="shared" si="265"/>
        <v>0.79194739019089411</v>
      </c>
      <c r="S577" s="270">
        <f t="shared" si="266"/>
        <v>1.0000268652658897</v>
      </c>
      <c r="T577" s="273">
        <f t="shared" si="267"/>
        <v>7.3300292566277148E-3</v>
      </c>
      <c r="U577" s="274">
        <f t="shared" si="268"/>
        <v>1.2519412869741053</v>
      </c>
      <c r="V577" s="275">
        <f t="shared" si="269"/>
        <v>0.95499862616216469</v>
      </c>
      <c r="W577" s="276">
        <f t="shared" si="270"/>
        <v>-36.109290366046885</v>
      </c>
      <c r="X577" s="277">
        <f t="shared" si="279"/>
        <v>108.484045773584</v>
      </c>
      <c r="Y577" s="299">
        <f t="shared" si="278"/>
        <v>-71.515954226416</v>
      </c>
      <c r="AB577" s="278">
        <f t="shared" si="271"/>
        <v>-10.020465862089484</v>
      </c>
      <c r="AC577" s="279">
        <f t="shared" si="272"/>
        <v>-70.516597765549605</v>
      </c>
      <c r="AF577" s="278">
        <f t="shared" si="273"/>
        <v>35.714708103024357</v>
      </c>
      <c r="AG577" s="279">
        <f t="shared" si="274"/>
        <v>-180.99935646086641</v>
      </c>
      <c r="AI577">
        <f t="shared" si="275"/>
        <v>0</v>
      </c>
      <c r="AJ577">
        <f t="shared" si="280"/>
        <v>0</v>
      </c>
      <c r="AK577">
        <f t="shared" si="276"/>
        <v>0</v>
      </c>
      <c r="AL577">
        <f t="shared" si="277"/>
        <v>0</v>
      </c>
      <c r="AM577"/>
      <c r="AN577"/>
    </row>
    <row r="578" spans="2:40" x14ac:dyDescent="0.2">
      <c r="B578" s="280">
        <v>105930</v>
      </c>
      <c r="C578" s="270">
        <f t="shared" si="250"/>
        <v>86.530895022584403</v>
      </c>
      <c r="D578" s="271">
        <f t="shared" si="251"/>
        <v>1.5592395035341045</v>
      </c>
      <c r="E578" s="271">
        <f t="shared" si="252"/>
        <v>1.0148627410510438</v>
      </c>
      <c r="F578" s="272">
        <f t="shared" si="253"/>
        <v>0.17135321255128658</v>
      </c>
      <c r="G578" s="271">
        <f t="shared" si="254"/>
        <v>1.4660027218117824</v>
      </c>
      <c r="H578" s="272">
        <f t="shared" si="255"/>
        <v>-0.8201288771173485</v>
      </c>
      <c r="I578" s="270">
        <f t="shared" si="256"/>
        <v>372779.4875083256</v>
      </c>
      <c r="J578" s="273">
        <f t="shared" si="257"/>
        <v>1.5707936442438617</v>
      </c>
      <c r="K578" s="281">
        <f t="shared" si="258"/>
        <v>55.917479308414464</v>
      </c>
      <c r="L578" s="282">
        <f t="shared" si="259"/>
        <v>1.5529118777231976</v>
      </c>
      <c r="M578" s="270">
        <f t="shared" si="260"/>
        <v>2.8819779641796575</v>
      </c>
      <c r="N578" s="273">
        <f t="shared" si="261"/>
        <v>1.2164430273838027</v>
      </c>
      <c r="O578" s="270">
        <f t="shared" si="262"/>
        <v>29286.449068854388</v>
      </c>
      <c r="P578" s="273">
        <f t="shared" si="263"/>
        <v>1.570762181310142</v>
      </c>
      <c r="Q578" s="271">
        <f t="shared" si="264"/>
        <v>1.4319930783866728</v>
      </c>
      <c r="R578" s="272">
        <f t="shared" si="265"/>
        <v>0.79773826168668671</v>
      </c>
      <c r="S578" s="270">
        <f t="shared" si="266"/>
        <v>1.0000274949308563</v>
      </c>
      <c r="T578" s="273">
        <f t="shared" si="267"/>
        <v>7.4154299801085684E-3</v>
      </c>
      <c r="U578" s="274">
        <f t="shared" si="268"/>
        <v>1.2579720112251287</v>
      </c>
      <c r="V578" s="275">
        <f t="shared" si="269"/>
        <v>0.96467706702596101</v>
      </c>
      <c r="W578" s="276">
        <f t="shared" si="270"/>
        <v>-36.28364154285277</v>
      </c>
      <c r="X578" s="277">
        <f t="shared" si="279"/>
        <v>107.49652399426398</v>
      </c>
      <c r="Y578" s="299">
        <f t="shared" si="278"/>
        <v>-72.503476005736019</v>
      </c>
      <c r="AB578" s="278">
        <f t="shared" si="271"/>
        <v>-10.108876533592108</v>
      </c>
      <c r="AC578" s="279">
        <f t="shared" si="272"/>
        <v>-70.721601239081124</v>
      </c>
      <c r="AF578" s="278">
        <f t="shared" si="273"/>
        <v>35.628767597721101</v>
      </c>
      <c r="AG578" s="279">
        <f t="shared" si="274"/>
        <v>-181.78187476665494</v>
      </c>
      <c r="AI578">
        <f t="shared" si="275"/>
        <v>0</v>
      </c>
      <c r="AJ578">
        <f t="shared" si="280"/>
        <v>0</v>
      </c>
      <c r="AK578">
        <f t="shared" si="276"/>
        <v>0</v>
      </c>
      <c r="AL578">
        <f t="shared" si="277"/>
        <v>0</v>
      </c>
      <c r="AM578"/>
      <c r="AN578"/>
    </row>
    <row r="579" spans="2:40" x14ac:dyDescent="0.2">
      <c r="B579" s="280">
        <v>107150</v>
      </c>
      <c r="C579" s="270">
        <f t="shared" si="250"/>
        <v>87.527342423428763</v>
      </c>
      <c r="D579" s="271">
        <f t="shared" si="251"/>
        <v>1.5593710769392657</v>
      </c>
      <c r="E579" s="271">
        <f t="shared" si="252"/>
        <v>1.0152044831888956</v>
      </c>
      <c r="F579" s="272">
        <f t="shared" si="253"/>
        <v>0.17328764016242687</v>
      </c>
      <c r="G579" s="271">
        <f t="shared" si="254"/>
        <v>1.4750546911998959</v>
      </c>
      <c r="H579" s="272">
        <f t="shared" si="255"/>
        <v>-0.82583828829015515</v>
      </c>
      <c r="I579" s="270">
        <f t="shared" si="256"/>
        <v>377072.80361100566</v>
      </c>
      <c r="J579" s="273">
        <f t="shared" si="257"/>
        <v>1.57079367478714</v>
      </c>
      <c r="K579" s="281">
        <f t="shared" si="258"/>
        <v>56.561278336643966</v>
      </c>
      <c r="L579" s="282">
        <f t="shared" si="259"/>
        <v>1.5531154657279049</v>
      </c>
      <c r="M579" s="270">
        <f t="shared" si="260"/>
        <v>2.9111936295498966</v>
      </c>
      <c r="N579" s="273">
        <f t="shared" si="261"/>
        <v>1.2201533690782809</v>
      </c>
      <c r="O579" s="270">
        <f t="shared" si="262"/>
        <v>29623.742260797953</v>
      </c>
      <c r="P579" s="273">
        <f t="shared" si="263"/>
        <v>1.5707625700874763</v>
      </c>
      <c r="Q579" s="271">
        <f t="shared" si="264"/>
        <v>1.4404663240462874</v>
      </c>
      <c r="R579" s="272">
        <f t="shared" si="265"/>
        <v>0.80346119601287114</v>
      </c>
      <c r="S579" s="270">
        <f t="shared" si="266"/>
        <v>1.0000281318892974</v>
      </c>
      <c r="T579" s="273">
        <f t="shared" si="267"/>
        <v>7.5008305954219097E-3</v>
      </c>
      <c r="U579" s="274">
        <f t="shared" si="268"/>
        <v>1.2640772145127921</v>
      </c>
      <c r="V579" s="275">
        <f t="shared" si="269"/>
        <v>0.97431146139005076</v>
      </c>
      <c r="W579" s="276">
        <f t="shared" si="270"/>
        <v>-36.456393838605294</v>
      </c>
      <c r="X579" s="277">
        <f t="shared" si="279"/>
        <v>106.51976069619366</v>
      </c>
      <c r="Y579" s="299">
        <f t="shared" si="278"/>
        <v>-73.480239303806343</v>
      </c>
      <c r="AB579" s="278">
        <f t="shared" si="271"/>
        <v>-10.196516710486419</v>
      </c>
      <c r="AC579" s="279">
        <f t="shared" si="272"/>
        <v>-70.922525175297835</v>
      </c>
      <c r="AF579" s="278">
        <f t="shared" si="273"/>
        <v>35.543655478862874</v>
      </c>
      <c r="AG579" s="279">
        <f t="shared" si="274"/>
        <v>-182.55771412850856</v>
      </c>
      <c r="AI579">
        <f t="shared" si="275"/>
        <v>0</v>
      </c>
      <c r="AJ579">
        <f t="shared" si="280"/>
        <v>0</v>
      </c>
      <c r="AK579">
        <f t="shared" si="276"/>
        <v>0</v>
      </c>
      <c r="AL579">
        <f t="shared" si="277"/>
        <v>0</v>
      </c>
      <c r="AM579"/>
      <c r="AN579"/>
    </row>
    <row r="580" spans="2:40" x14ac:dyDescent="0.2">
      <c r="B580" s="280">
        <v>108400</v>
      </c>
      <c r="C580" s="270">
        <f t="shared" si="250"/>
        <v>88.548294164989329</v>
      </c>
      <c r="D580" s="271">
        <f t="shared" si="251"/>
        <v>1.5595028144016478</v>
      </c>
      <c r="E580" s="271">
        <f t="shared" si="252"/>
        <v>1.0155585663063051</v>
      </c>
      <c r="F580" s="272">
        <f t="shared" si="253"/>
        <v>0.17526827773127965</v>
      </c>
      <c r="G580" s="271">
        <f t="shared" si="254"/>
        <v>1.4843785043068991</v>
      </c>
      <c r="H580" s="272">
        <f t="shared" si="255"/>
        <v>-0.83161567821162496</v>
      </c>
      <c r="I580" s="270">
        <f t="shared" si="256"/>
        <v>381471.69306047336</v>
      </c>
      <c r="J580" s="273">
        <f t="shared" si="257"/>
        <v>1.5707937053684102</v>
      </c>
      <c r="K580" s="281">
        <f t="shared" si="258"/>
        <v>57.220910864667758</v>
      </c>
      <c r="L580" s="282">
        <f t="shared" si="259"/>
        <v>1.5533193084392385</v>
      </c>
      <c r="M580" s="270">
        <f t="shared" si="260"/>
        <v>2.9411684443345698</v>
      </c>
      <c r="N580" s="273">
        <f t="shared" si="261"/>
        <v>1.2238784426529687</v>
      </c>
      <c r="O580" s="270">
        <f t="shared" si="262"/>
        <v>29969.329547629917</v>
      </c>
      <c r="P580" s="273">
        <f t="shared" si="263"/>
        <v>1.5707629593484012</v>
      </c>
      <c r="Q580" s="271">
        <f t="shared" si="264"/>
        <v>1.4491962805696172</v>
      </c>
      <c r="R580" s="272">
        <f t="shared" si="265"/>
        <v>0.80925525232611428</v>
      </c>
      <c r="S580" s="270">
        <f t="shared" si="266"/>
        <v>1.0000287920753381</v>
      </c>
      <c r="T580" s="273">
        <f t="shared" si="267"/>
        <v>7.5883311123735092E-3</v>
      </c>
      <c r="U580" s="274">
        <f t="shared" si="268"/>
        <v>1.2704098901374561</v>
      </c>
      <c r="V580" s="275">
        <f t="shared" si="269"/>
        <v>0.98413690191978676</v>
      </c>
      <c r="W580" s="276">
        <f t="shared" si="270"/>
        <v>-36.63177586926659</v>
      </c>
      <c r="X580" s="277">
        <f t="shared" si="279"/>
        <v>105.52996511638426</v>
      </c>
      <c r="Y580" s="299">
        <f t="shared" si="278"/>
        <v>-74.470034883615739</v>
      </c>
      <c r="AB580" s="278">
        <f t="shared" si="271"/>
        <v>-10.285523949552415</v>
      </c>
      <c r="AC580" s="279">
        <f t="shared" si="272"/>
        <v>-71.124278594636976</v>
      </c>
      <c r="AF580" s="278">
        <f t="shared" si="273"/>
        <v>35.457280687267584</v>
      </c>
      <c r="AG580" s="279">
        <f t="shared" si="274"/>
        <v>-183.34575628897881</v>
      </c>
      <c r="AI580">
        <f t="shared" si="275"/>
        <v>0</v>
      </c>
      <c r="AJ580">
        <f t="shared" si="280"/>
        <v>0</v>
      </c>
      <c r="AK580">
        <f t="shared" si="276"/>
        <v>0</v>
      </c>
      <c r="AL580">
        <f t="shared" si="277"/>
        <v>0</v>
      </c>
      <c r="AM580"/>
      <c r="AN580"/>
    </row>
    <row r="581" spans="2:40" x14ac:dyDescent="0.2">
      <c r="B581" s="280">
        <v>109650</v>
      </c>
      <c r="C581" s="270">
        <f t="shared" si="250"/>
        <v>89.569247408251371</v>
      </c>
      <c r="D581" s="271">
        <f t="shared" si="251"/>
        <v>1.5596315486526555</v>
      </c>
      <c r="E581" s="271">
        <f t="shared" si="252"/>
        <v>1.015916630597768</v>
      </c>
      <c r="F581" s="272">
        <f t="shared" si="253"/>
        <v>0.17724752689116993</v>
      </c>
      <c r="G581" s="271">
        <f t="shared" si="254"/>
        <v>1.493751243870417</v>
      </c>
      <c r="H581" s="272">
        <f t="shared" si="255"/>
        <v>-0.83732075458372524</v>
      </c>
      <c r="I581" s="270">
        <f t="shared" si="256"/>
        <v>385870.58250994136</v>
      </c>
      <c r="J581" s="273">
        <f t="shared" si="257"/>
        <v>1.570793735252433</v>
      </c>
      <c r="K581" s="281">
        <f t="shared" si="258"/>
        <v>57.880545716133071</v>
      </c>
      <c r="L581" s="282">
        <f t="shared" si="259"/>
        <v>1.5535185049773221</v>
      </c>
      <c r="M581" s="270">
        <f t="shared" si="260"/>
        <v>2.9711832474874775</v>
      </c>
      <c r="N581" s="273">
        <f t="shared" si="261"/>
        <v>1.22752830486422</v>
      </c>
      <c r="O581" s="270">
        <f t="shared" si="262"/>
        <v>30314.916834466319</v>
      </c>
      <c r="P581" s="273">
        <f t="shared" si="263"/>
        <v>1.5707633397342478</v>
      </c>
      <c r="Q581" s="271">
        <f t="shared" si="264"/>
        <v>1.4579743046242863</v>
      </c>
      <c r="R581" s="272">
        <f t="shared" si="265"/>
        <v>0.81497973036222138</v>
      </c>
      <c r="S581" s="270">
        <f t="shared" si="266"/>
        <v>1.0000294599179298</v>
      </c>
      <c r="T581" s="273">
        <f t="shared" si="267"/>
        <v>7.675831513125341E-3</v>
      </c>
      <c r="U581" s="274">
        <f t="shared" si="268"/>
        <v>1.2768209454846948</v>
      </c>
      <c r="V581" s="275">
        <f t="shared" si="269"/>
        <v>0.99391574546747252</v>
      </c>
      <c r="W581" s="276">
        <f t="shared" si="270"/>
        <v>-36.8055595163001</v>
      </c>
      <c r="X581" s="277">
        <f t="shared" si="279"/>
        <v>104.55111825705538</v>
      </c>
      <c r="Y581" s="299">
        <f t="shared" si="278"/>
        <v>-75.448881742944621</v>
      </c>
      <c r="AB581" s="278">
        <f t="shared" si="271"/>
        <v>-10.373744817143145</v>
      </c>
      <c r="AC581" s="279">
        <f t="shared" si="272"/>
        <v>-71.321988886448523</v>
      </c>
      <c r="AF581" s="278">
        <f t="shared" si="273"/>
        <v>35.371717907824809</v>
      </c>
      <c r="AG581" s="279">
        <f t="shared" si="274"/>
        <v>-184.12689285649608</v>
      </c>
      <c r="AI581">
        <f t="shared" si="275"/>
        <v>0</v>
      </c>
      <c r="AJ581">
        <f t="shared" si="280"/>
        <v>0</v>
      </c>
      <c r="AK581">
        <f t="shared" si="276"/>
        <v>0</v>
      </c>
      <c r="AL581">
        <f t="shared" si="277"/>
        <v>0</v>
      </c>
      <c r="AM581"/>
      <c r="AN581"/>
    </row>
    <row r="582" spans="2:40" x14ac:dyDescent="0.2">
      <c r="B582" s="280">
        <v>110925</v>
      </c>
      <c r="C582" s="270">
        <f t="shared" si="250"/>
        <v>90.610621210788736</v>
      </c>
      <c r="D582" s="271">
        <f t="shared" si="251"/>
        <v>1.5597598689548267</v>
      </c>
      <c r="E582" s="271">
        <f t="shared" si="252"/>
        <v>1.0162859532163278</v>
      </c>
      <c r="F582" s="272">
        <f t="shared" si="253"/>
        <v>0.17926491614422746</v>
      </c>
      <c r="G582" s="271">
        <f t="shared" si="254"/>
        <v>1.5033608932158262</v>
      </c>
      <c r="H582" s="272">
        <f t="shared" si="255"/>
        <v>-0.84306645629481136</v>
      </c>
      <c r="I582" s="270">
        <f t="shared" si="256"/>
        <v>390357.44974839914</v>
      </c>
      <c r="J582" s="273">
        <f t="shared" si="257"/>
        <v>1.5707937650402775</v>
      </c>
      <c r="K582" s="281">
        <f t="shared" si="258"/>
        <v>58.553375576802004</v>
      </c>
      <c r="L582" s="282">
        <f t="shared" si="259"/>
        <v>1.5537170617877913</v>
      </c>
      <c r="M582" s="270">
        <f t="shared" si="260"/>
        <v>3.0018382987410255</v>
      </c>
      <c r="N582" s="273">
        <f t="shared" si="261"/>
        <v>1.2311759219686567</v>
      </c>
      <c r="O582" s="270">
        <f t="shared" si="262"/>
        <v>30667.415867043863</v>
      </c>
      <c r="P582" s="273">
        <f t="shared" si="263"/>
        <v>1.5707637188958643</v>
      </c>
      <c r="Q582" s="271">
        <f t="shared" si="264"/>
        <v>1.4669765134490451</v>
      </c>
      <c r="R582" s="272">
        <f t="shared" si="265"/>
        <v>0.82074792825409892</v>
      </c>
      <c r="S582" s="270">
        <f t="shared" si="266"/>
        <v>1.0000301490051358</v>
      </c>
      <c r="T582" s="273">
        <f t="shared" si="267"/>
        <v>7.7650818007939217E-3</v>
      </c>
      <c r="U582" s="274">
        <f t="shared" si="268"/>
        <v>1.2834410672297252</v>
      </c>
      <c r="V582" s="275">
        <f t="shared" si="269"/>
        <v>1.0038419891023473</v>
      </c>
      <c r="W582" s="276">
        <f t="shared" si="270"/>
        <v>-36.981212155211175</v>
      </c>
      <c r="X582" s="277">
        <f t="shared" si="279"/>
        <v>103.56379930521894</v>
      </c>
      <c r="Y582" s="299">
        <f t="shared" si="278"/>
        <v>-76.436200694781064</v>
      </c>
      <c r="AB582" s="278">
        <f t="shared" si="271"/>
        <v>-10.462931577121445</v>
      </c>
      <c r="AC582" s="279">
        <f t="shared" si="272"/>
        <v>-71.519607191296771</v>
      </c>
      <c r="AF582" s="278">
        <f t="shared" si="273"/>
        <v>35.285252028892032</v>
      </c>
      <c r="AG582" s="279">
        <f t="shared" si="274"/>
        <v>-184.91659350348434</v>
      </c>
      <c r="AI582">
        <f t="shared" si="275"/>
        <v>0</v>
      </c>
      <c r="AJ582">
        <f t="shared" si="280"/>
        <v>0</v>
      </c>
      <c r="AK582">
        <f t="shared" si="276"/>
        <v>0</v>
      </c>
      <c r="AL582">
        <f t="shared" si="277"/>
        <v>0</v>
      </c>
      <c r="AM582"/>
      <c r="AN582"/>
    </row>
    <row r="583" spans="2:40" x14ac:dyDescent="0.2">
      <c r="B583" s="280">
        <v>112200</v>
      </c>
      <c r="C583" s="270">
        <f t="shared" si="250"/>
        <v>91.651996471424539</v>
      </c>
      <c r="D583" s="271">
        <f t="shared" si="251"/>
        <v>1.5598852732376982</v>
      </c>
      <c r="E583" s="271">
        <f t="shared" si="252"/>
        <v>1.0166594089609322</v>
      </c>
      <c r="F583" s="272">
        <f t="shared" si="253"/>
        <v>0.18128083147681107</v>
      </c>
      <c r="G583" s="271">
        <f t="shared" si="254"/>
        <v>1.513019541760237</v>
      </c>
      <c r="H583" s="272">
        <f t="shared" si="255"/>
        <v>-0.84873898572739548</v>
      </c>
      <c r="I583" s="270">
        <f t="shared" si="256"/>
        <v>394844.31698685716</v>
      </c>
      <c r="J583" s="273">
        <f t="shared" si="257"/>
        <v>1.5707937941511254</v>
      </c>
      <c r="K583" s="281">
        <f t="shared" si="258"/>
        <v>59.226207693476738</v>
      </c>
      <c r="L583" s="282">
        <f t="shared" si="259"/>
        <v>1.5539111072448584</v>
      </c>
      <c r="M583" s="270">
        <f t="shared" si="260"/>
        <v>3.0325324819975781</v>
      </c>
      <c r="N583" s="273">
        <f t="shared" si="261"/>
        <v>1.2347497461356627</v>
      </c>
      <c r="O583" s="270">
        <f t="shared" si="262"/>
        <v>31019.914899625714</v>
      </c>
      <c r="P583" s="273">
        <f t="shared" si="263"/>
        <v>1.5707640894401711</v>
      </c>
      <c r="Q583" s="271">
        <f t="shared" si="264"/>
        <v>1.4760269353608353</v>
      </c>
      <c r="R583" s="272">
        <f t="shared" si="265"/>
        <v>0.82644557710797173</v>
      </c>
      <c r="S583" s="270">
        <f t="shared" si="266"/>
        <v>1.0000308460581848</v>
      </c>
      <c r="T583" s="273">
        <f t="shared" si="267"/>
        <v>7.8543319647528999E-3</v>
      </c>
      <c r="U583" s="274">
        <f t="shared" si="268"/>
        <v>1.2901429329958487</v>
      </c>
      <c r="V583" s="275">
        <f t="shared" si="269"/>
        <v>1.0137194138379666</v>
      </c>
      <c r="W583" s="276">
        <f t="shared" si="270"/>
        <v>-37.15528148703229</v>
      </c>
      <c r="X583" s="277">
        <f t="shared" si="279"/>
        <v>102.58752214033393</v>
      </c>
      <c r="Y583" s="299">
        <f t="shared" si="278"/>
        <v>-77.412477859666069</v>
      </c>
      <c r="AB583" s="278">
        <f t="shared" si="271"/>
        <v>-10.551323545751517</v>
      </c>
      <c r="AC583" s="279">
        <f t="shared" si="272"/>
        <v>-71.713255914993169</v>
      </c>
      <c r="AF583" s="278">
        <f t="shared" si="273"/>
        <v>35.199574665700986</v>
      </c>
      <c r="AG583" s="279">
        <f t="shared" si="274"/>
        <v>-185.69922194467287</v>
      </c>
      <c r="AI583">
        <f t="shared" si="275"/>
        <v>0</v>
      </c>
      <c r="AJ583">
        <f t="shared" si="280"/>
        <v>0</v>
      </c>
      <c r="AK583">
        <f t="shared" si="276"/>
        <v>0</v>
      </c>
      <c r="AL583">
        <f t="shared" si="277"/>
        <v>0</v>
      </c>
      <c r="AM583"/>
      <c r="AN583"/>
    </row>
    <row r="584" spans="2:40" x14ac:dyDescent="0.2">
      <c r="B584" s="280">
        <v>113510</v>
      </c>
      <c r="C584" s="270">
        <f t="shared" si="250"/>
        <v>92.721959970970076</v>
      </c>
      <c r="D584" s="271">
        <f t="shared" si="251"/>
        <v>1.5600111860675048</v>
      </c>
      <c r="E584" s="271">
        <f t="shared" si="252"/>
        <v>1.0170474165167682</v>
      </c>
      <c r="F584" s="272">
        <f t="shared" si="253"/>
        <v>0.18335053498966344</v>
      </c>
      <c r="G584" s="271">
        <f t="shared" si="254"/>
        <v>1.5229933850532853</v>
      </c>
      <c r="H584" s="272">
        <f t="shared" si="255"/>
        <v>-0.85449210221037897</v>
      </c>
      <c r="I584" s="270">
        <f t="shared" si="256"/>
        <v>399454.3531299007</v>
      </c>
      <c r="J584" s="273">
        <f t="shared" si="257"/>
        <v>1.5707938233799452</v>
      </c>
      <c r="K584" s="281">
        <f t="shared" si="258"/>
        <v>59.917511981261171</v>
      </c>
      <c r="L584" s="282">
        <f t="shared" si="259"/>
        <v>1.5541059403518096</v>
      </c>
      <c r="M584" s="270">
        <f t="shared" si="260"/>
        <v>3.064108772662538</v>
      </c>
      <c r="N584" s="273">
        <f t="shared" si="261"/>
        <v>1.2383470524528655</v>
      </c>
      <c r="O584" s="270">
        <f t="shared" si="262"/>
        <v>31382.090376243563</v>
      </c>
      <c r="P584" s="273">
        <f t="shared" si="263"/>
        <v>1.5707644614861112</v>
      </c>
      <c r="Q584" s="271">
        <f t="shared" si="264"/>
        <v>1.4853750903811893</v>
      </c>
      <c r="R584" s="272">
        <f t="shared" si="265"/>
        <v>0.83222712177100489</v>
      </c>
      <c r="S584" s="270">
        <f t="shared" si="266"/>
        <v>1.0000315705428555</v>
      </c>
      <c r="T584" s="273">
        <f t="shared" si="267"/>
        <v>7.946032002868357E-3</v>
      </c>
      <c r="U584" s="274">
        <f t="shared" si="268"/>
        <v>1.2971140142819353</v>
      </c>
      <c r="V584" s="275">
        <f t="shared" si="269"/>
        <v>1.0238169723505037</v>
      </c>
      <c r="W584" s="276">
        <f t="shared" si="270"/>
        <v>-37.332520254935858</v>
      </c>
      <c r="X584" s="277">
        <f t="shared" si="279"/>
        <v>101.59576733351071</v>
      </c>
      <c r="Y584" s="299">
        <f t="shared" si="278"/>
        <v>-78.404232666489293</v>
      </c>
      <c r="AB584" s="278">
        <f t="shared" si="271"/>
        <v>-10.641326295711398</v>
      </c>
      <c r="AC584" s="279">
        <f t="shared" si="272"/>
        <v>-71.908204944534944</v>
      </c>
      <c r="AF584" s="278">
        <f t="shared" si="273"/>
        <v>35.112338647757298</v>
      </c>
      <c r="AG584" s="279">
        <f t="shared" si="274"/>
        <v>-186.49602772195439</v>
      </c>
      <c r="AI584">
        <f t="shared" si="275"/>
        <v>0</v>
      </c>
      <c r="AJ584">
        <f t="shared" si="280"/>
        <v>0</v>
      </c>
      <c r="AK584">
        <f t="shared" si="276"/>
        <v>0</v>
      </c>
      <c r="AL584">
        <f t="shared" si="277"/>
        <v>0</v>
      </c>
      <c r="AM584"/>
      <c r="AN584"/>
    </row>
    <row r="585" spans="2:40" x14ac:dyDescent="0.2">
      <c r="B585" s="280">
        <v>114820</v>
      </c>
      <c r="C585" s="270">
        <f t="shared" si="250"/>
        <v>93.79192490699387</v>
      </c>
      <c r="D585" s="271">
        <f t="shared" si="251"/>
        <v>1.5601342261079263</v>
      </c>
      <c r="E585" s="271">
        <f t="shared" si="252"/>
        <v>1.0174397774369925</v>
      </c>
      <c r="F585" s="272">
        <f t="shared" si="253"/>
        <v>0.18541865105359193</v>
      </c>
      <c r="G585" s="271">
        <f t="shared" si="254"/>
        <v>1.5330169800289122</v>
      </c>
      <c r="H585" s="272">
        <f t="shared" si="255"/>
        <v>-0.86017017136003049</v>
      </c>
      <c r="I585" s="270">
        <f t="shared" si="256"/>
        <v>404064.38927294459</v>
      </c>
      <c r="J585" s="273">
        <f t="shared" si="257"/>
        <v>1.5707938519418125</v>
      </c>
      <c r="K585" s="281">
        <f t="shared" si="258"/>
        <v>60.608818491625577</v>
      </c>
      <c r="L585" s="282">
        <f t="shared" si="259"/>
        <v>1.5542963289180569</v>
      </c>
      <c r="M585" s="270">
        <f t="shared" si="260"/>
        <v>3.0957239055897081</v>
      </c>
      <c r="N585" s="273">
        <f t="shared" si="261"/>
        <v>1.24187092849497</v>
      </c>
      <c r="O585" s="270">
        <f t="shared" si="262"/>
        <v>31744.265852865658</v>
      </c>
      <c r="P585" s="273">
        <f t="shared" si="263"/>
        <v>1.5707648250425865</v>
      </c>
      <c r="Q585" s="271">
        <f t="shared" si="264"/>
        <v>1.4947722739536917</v>
      </c>
      <c r="R585" s="272">
        <f t="shared" si="265"/>
        <v>0.83793616161231499</v>
      </c>
      <c r="S585" s="270">
        <f t="shared" si="266"/>
        <v>1.0000323034366765</v>
      </c>
      <c r="T585" s="273">
        <f t="shared" si="267"/>
        <v>8.0377319073464664E-3</v>
      </c>
      <c r="U585" s="274">
        <f t="shared" si="268"/>
        <v>1.3041715946795098</v>
      </c>
      <c r="V585" s="275">
        <f t="shared" si="269"/>
        <v>1.0338626727671194</v>
      </c>
      <c r="W585" s="276">
        <f t="shared" si="270"/>
        <v>-37.50816797873091</v>
      </c>
      <c r="X585" s="277">
        <f t="shared" si="279"/>
        <v>100.61530994640555</v>
      </c>
      <c r="Y585" s="299">
        <f t="shared" si="278"/>
        <v>-79.384690053594454</v>
      </c>
      <c r="AB585" s="278">
        <f t="shared" si="271"/>
        <v>-10.730514594215062</v>
      </c>
      <c r="AC585" s="279">
        <f t="shared" si="272"/>
        <v>-72.099201344435727</v>
      </c>
      <c r="AF585" s="278">
        <f t="shared" si="273"/>
        <v>35.02587922246591</v>
      </c>
      <c r="AG585" s="279">
        <f t="shared" si="274"/>
        <v>-187.2854887091587</v>
      </c>
      <c r="AI585">
        <f t="shared" si="275"/>
        <v>0</v>
      </c>
      <c r="AJ585">
        <f t="shared" si="280"/>
        <v>0</v>
      </c>
      <c r="AK585">
        <f t="shared" si="276"/>
        <v>0</v>
      </c>
      <c r="AL585">
        <f t="shared" si="277"/>
        <v>0</v>
      </c>
      <c r="AM585"/>
      <c r="AN585"/>
    </row>
    <row r="586" spans="2:40" x14ac:dyDescent="0.2">
      <c r="B586" s="280">
        <v>116155</v>
      </c>
      <c r="C586" s="270">
        <f t="shared" si="250"/>
        <v>94.882310448731957</v>
      </c>
      <c r="D586" s="271">
        <f t="shared" si="251"/>
        <v>1.560256759311162</v>
      </c>
      <c r="E586" s="271">
        <f t="shared" si="252"/>
        <v>1.0178440997246869</v>
      </c>
      <c r="F586" s="272">
        <f t="shared" si="253"/>
        <v>0.18752458539636424</v>
      </c>
      <c r="G586" s="271">
        <f t="shared" si="254"/>
        <v>1.5432820462126506</v>
      </c>
      <c r="H586" s="272">
        <f t="shared" si="255"/>
        <v>-0.86588053002675058</v>
      </c>
      <c r="I586" s="270">
        <f t="shared" si="256"/>
        <v>408762.40320497815</v>
      </c>
      <c r="J586" s="273">
        <f t="shared" si="257"/>
        <v>1.5707938803859507</v>
      </c>
      <c r="K586" s="281">
        <f t="shared" si="258"/>
        <v>61.313320083096961</v>
      </c>
      <c r="L586" s="282">
        <f t="shared" si="259"/>
        <v>1.5544859339116948</v>
      </c>
      <c r="M586" s="270">
        <f t="shared" si="260"/>
        <v>3.1279811225770455</v>
      </c>
      <c r="N586" s="273">
        <f t="shared" si="261"/>
        <v>1.2453887244466348</v>
      </c>
      <c r="O586" s="270">
        <f t="shared" si="262"/>
        <v>32113.353075229028</v>
      </c>
      <c r="P586" s="273">
        <f t="shared" si="263"/>
        <v>1.5707651871005204</v>
      </c>
      <c r="Q586" s="271">
        <f t="shared" si="264"/>
        <v>1.5043982827890288</v>
      </c>
      <c r="R586" s="272">
        <f t="shared" si="265"/>
        <v>0.84368058419325598</v>
      </c>
      <c r="S586" s="270">
        <f t="shared" si="266"/>
        <v>1.0000330589684032</v>
      </c>
      <c r="T586" s="273">
        <f t="shared" si="267"/>
        <v>8.1311816709180619E-3</v>
      </c>
      <c r="U586" s="274">
        <f t="shared" si="268"/>
        <v>1.3114529572823703</v>
      </c>
      <c r="V586" s="275">
        <f t="shared" si="269"/>
        <v>1.044046581595895</v>
      </c>
      <c r="W586" s="276">
        <f t="shared" si="270"/>
        <v>-37.685570907968781</v>
      </c>
      <c r="X586" s="277">
        <f t="shared" si="279"/>
        <v>99.627583089800964</v>
      </c>
      <c r="Y586" s="299">
        <f t="shared" si="278"/>
        <v>-80.372416910199036</v>
      </c>
      <c r="AB586" s="278">
        <f t="shared" si="271"/>
        <v>-10.820579665259045</v>
      </c>
      <c r="AC586" s="279">
        <f t="shared" si="272"/>
        <v>-72.289894269473336</v>
      </c>
      <c r="AF586" s="278">
        <f t="shared" si="273"/>
        <v>34.93854136427202</v>
      </c>
      <c r="AG586" s="279">
        <f t="shared" si="274"/>
        <v>-188.0825226407257</v>
      </c>
      <c r="AI586">
        <f t="shared" si="275"/>
        <v>0</v>
      </c>
      <c r="AJ586">
        <f t="shared" si="280"/>
        <v>0</v>
      </c>
      <c r="AK586">
        <f t="shared" si="276"/>
        <v>0</v>
      </c>
      <c r="AL586">
        <f t="shared" si="277"/>
        <v>0</v>
      </c>
      <c r="AM586"/>
      <c r="AN586"/>
    </row>
    <row r="587" spans="2:40" x14ac:dyDescent="0.2">
      <c r="B587" s="280">
        <v>117490</v>
      </c>
      <c r="C587" s="270">
        <f t="shared" si="250"/>
        <v>95.97269738269874</v>
      </c>
      <c r="D587" s="271">
        <f t="shared" si="251"/>
        <v>1.5603765082117207</v>
      </c>
      <c r="E587" s="271">
        <f t="shared" si="252"/>
        <v>1.0182529325131573</v>
      </c>
      <c r="F587" s="272">
        <f t="shared" si="253"/>
        <v>0.18962883798239938</v>
      </c>
      <c r="G587" s="271">
        <f t="shared" si="254"/>
        <v>1.553596770084237</v>
      </c>
      <c r="H587" s="272">
        <f t="shared" si="255"/>
        <v>-0.87151524536254865</v>
      </c>
      <c r="I587" s="270">
        <f t="shared" si="256"/>
        <v>413460.41713701212</v>
      </c>
      <c r="J587" s="273">
        <f t="shared" si="257"/>
        <v>1.5707939081836861</v>
      </c>
      <c r="K587" s="281">
        <f t="shared" si="258"/>
        <v>62.017823828707108</v>
      </c>
      <c r="L587" s="282">
        <f t="shared" si="259"/>
        <v>1.5546712312009574</v>
      </c>
      <c r="M587" s="270">
        <f t="shared" si="260"/>
        <v>3.1602762575050778</v>
      </c>
      <c r="N587" s="273">
        <f t="shared" si="261"/>
        <v>1.2488346649996129</v>
      </c>
      <c r="O587" s="270">
        <f t="shared" si="262"/>
        <v>32482.440297596517</v>
      </c>
      <c r="P587" s="273">
        <f t="shared" si="263"/>
        <v>1.5707655409305652</v>
      </c>
      <c r="Q587" s="271">
        <f t="shared" si="264"/>
        <v>1.5140733021722439</v>
      </c>
      <c r="R587" s="272">
        <f t="shared" si="265"/>
        <v>0.849351777520028</v>
      </c>
      <c r="S587" s="270">
        <f t="shared" si="266"/>
        <v>1.0000338232332635</v>
      </c>
      <c r="T587" s="273">
        <f t="shared" si="267"/>
        <v>8.2246312924698257E-3</v>
      </c>
      <c r="U587" s="274">
        <f t="shared" si="268"/>
        <v>1.3188243615029256</v>
      </c>
      <c r="V587" s="275">
        <f t="shared" si="269"/>
        <v>1.0541763394828296</v>
      </c>
      <c r="W587" s="276">
        <f t="shared" si="270"/>
        <v>-37.861401149263173</v>
      </c>
      <c r="X587" s="277">
        <f t="shared" si="279"/>
        <v>98.651226303295743</v>
      </c>
      <c r="Y587" s="299">
        <f t="shared" si="278"/>
        <v>-81.348773696704257</v>
      </c>
      <c r="AB587" s="278">
        <f t="shared" si="271"/>
        <v>-10.909824269112157</v>
      </c>
      <c r="AC587" s="279">
        <f t="shared" si="272"/>
        <v>-72.476716959674903</v>
      </c>
      <c r="AF587" s="278">
        <f t="shared" si="273"/>
        <v>34.851955726830745</v>
      </c>
      <c r="AG587" s="279">
        <f t="shared" si="274"/>
        <v>-188.87205673702931</v>
      </c>
      <c r="AI587">
        <f t="shared" si="275"/>
        <v>0</v>
      </c>
      <c r="AJ587">
        <f t="shared" si="280"/>
        <v>0</v>
      </c>
      <c r="AK587">
        <f t="shared" si="276"/>
        <v>0</v>
      </c>
      <c r="AL587">
        <f t="shared" si="277"/>
        <v>0</v>
      </c>
      <c r="AM587"/>
      <c r="AN587"/>
    </row>
    <row r="588" spans="2:40" x14ac:dyDescent="0.2">
      <c r="B588" s="280">
        <v>118860</v>
      </c>
      <c r="C588" s="270">
        <f t="shared" si="250"/>
        <v>97.091672638292494</v>
      </c>
      <c r="D588" s="271">
        <f t="shared" si="251"/>
        <v>1.5604966002192484</v>
      </c>
      <c r="E588" s="271">
        <f t="shared" si="252"/>
        <v>1.0186771674985189</v>
      </c>
      <c r="F588" s="272">
        <f t="shared" si="253"/>
        <v>0.19178649236078416</v>
      </c>
      <c r="G588" s="271">
        <f t="shared" si="254"/>
        <v>1.564232514740638</v>
      </c>
      <c r="H588" s="272">
        <f t="shared" si="255"/>
        <v>-0.87722024123355957</v>
      </c>
      <c r="I588" s="270">
        <f t="shared" si="256"/>
        <v>418281.59997363144</v>
      </c>
      <c r="J588" s="273">
        <f t="shared" si="257"/>
        <v>1.5707939360609986</v>
      </c>
      <c r="K588" s="281">
        <f t="shared" si="258"/>
        <v>62.740799873459274</v>
      </c>
      <c r="L588" s="282">
        <f t="shared" si="259"/>
        <v>1.5548570600555058</v>
      </c>
      <c r="M588" s="270">
        <f t="shared" si="260"/>
        <v>3.1934562970124261</v>
      </c>
      <c r="N588" s="273">
        <f t="shared" si="261"/>
        <v>1.2522984445005314</v>
      </c>
      <c r="O588" s="270">
        <f t="shared" si="262"/>
        <v>32861.20396400024</v>
      </c>
      <c r="P588" s="273">
        <f t="shared" si="263"/>
        <v>1.5707658957735242</v>
      </c>
      <c r="Q588" s="271">
        <f t="shared" si="264"/>
        <v>1.5240519495922498</v>
      </c>
      <c r="R588" s="272">
        <f t="shared" si="265"/>
        <v>0.85509660343462324</v>
      </c>
      <c r="S588" s="270">
        <f t="shared" si="266"/>
        <v>1.0000346166145824</v>
      </c>
      <c r="T588" s="273">
        <f t="shared" si="267"/>
        <v>8.3205307547346511E-3</v>
      </c>
      <c r="U588" s="274">
        <f t="shared" si="268"/>
        <v>1.3264827442952467</v>
      </c>
      <c r="V588" s="275">
        <f t="shared" si="269"/>
        <v>1.0645152354666501</v>
      </c>
      <c r="W588" s="276">
        <f t="shared" si="270"/>
        <v>-38.040246078633068</v>
      </c>
      <c r="X588" s="277">
        <f t="shared" si="279"/>
        <v>97.660908402652865</v>
      </c>
      <c r="Y588" s="299">
        <f t="shared" si="278"/>
        <v>-82.339091597347135</v>
      </c>
      <c r="AB588" s="278">
        <f t="shared" si="271"/>
        <v>-11.000568723549652</v>
      </c>
      <c r="AC588" s="279">
        <f t="shared" si="272"/>
        <v>-72.664531294416435</v>
      </c>
      <c r="AF588" s="278">
        <f t="shared" si="273"/>
        <v>34.763855251898342</v>
      </c>
      <c r="AG588" s="279">
        <f t="shared" si="274"/>
        <v>-189.6745603029307</v>
      </c>
      <c r="AI588">
        <f t="shared" si="275"/>
        <v>0</v>
      </c>
      <c r="AJ588">
        <f t="shared" si="280"/>
        <v>0</v>
      </c>
      <c r="AK588">
        <f t="shared" si="276"/>
        <v>0</v>
      </c>
      <c r="AL588">
        <f t="shared" si="277"/>
        <v>0</v>
      </c>
      <c r="AM588"/>
      <c r="AN588"/>
    </row>
    <row r="589" spans="2:40" x14ac:dyDescent="0.2">
      <c r="B589" s="280">
        <v>120230</v>
      </c>
      <c r="C589" s="270">
        <f t="shared" ref="C589:C613" si="281">SQRT(1+(B589/PS_Pole1)^2)</f>
        <v>98.210649262242939</v>
      </c>
      <c r="D589" s="271">
        <f t="shared" ref="D589:D613" si="282">ATAN(B589/PS_Pole1)</f>
        <v>1.5606139556586216</v>
      </c>
      <c r="E589" s="271">
        <f t="shared" ref="E589:E613" si="283">SQRT(1+(B589/PS_Zero1)^2)</f>
        <v>1.0191061409460966</v>
      </c>
      <c r="F589" s="272">
        <f t="shared" ref="F589:F613" si="284">ATAN(B589/PS_Zero1)</f>
        <v>0.19394234032108326</v>
      </c>
      <c r="G589" s="271">
        <f t="shared" ref="G589:G613" si="285">IF(VIN_nom&gt;Vout, 1, SQRT(1+(B589/PS_RHPZ)^2))</f>
        <v>1.574918481853947</v>
      </c>
      <c r="H589" s="272">
        <f t="shared" ref="H589:H613" si="286">IF(VIN_nom&gt;Vout, 0, -ATAN(B589/PS_RHPZ))</f>
        <v>-0.8828480003637339</v>
      </c>
      <c r="I589" s="270">
        <f t="shared" ref="I589:I613" si="287">SQRT(1+(B589/EA_Pole1)^2)</f>
        <v>423102.78281025117</v>
      </c>
      <c r="J589" s="273">
        <f t="shared" ref="J589:J613" si="288">ATAN(B589/EA_Pole1)</f>
        <v>1.5707939633029968</v>
      </c>
      <c r="K589" s="281">
        <f t="shared" ref="K589:K613" si="289">SQRT(1+(B589/EA_Zero1)^2)</f>
        <v>63.463778035436164</v>
      </c>
      <c r="L589" s="282">
        <f t="shared" ref="L589:L613" si="290">ATAN(B589/EA_Zero1)</f>
        <v>1.5550386549985968</v>
      </c>
      <c r="M589" s="270">
        <f t="shared" ref="M589:M613" si="291">SQRT(1+(B589/EA_Pole2)^2)</f>
        <v>3.2266738626275027</v>
      </c>
      <c r="N589" s="273">
        <f t="shared" ref="N589:N613" si="292">ATAN(B589/EA_Pole2)</f>
        <v>1.2556909470255582</v>
      </c>
      <c r="O589" s="270">
        <f t="shared" ref="O589:O613" si="293">SQRT(1+(B589/$V$5)^2)</f>
        <v>33239.967630408006</v>
      </c>
      <c r="P589" s="273">
        <f t="shared" ref="P589:P613" si="294">ATAN(B589/$V$5)</f>
        <v>1.5707662425297353</v>
      </c>
      <c r="Q589" s="271">
        <f t="shared" ref="Q589:Q613" si="295">SQRT(1+(B589/$V$4)^2)</f>
        <v>1.5340802400300753</v>
      </c>
      <c r="R589" s="272">
        <f t="shared" ref="R589:R613" si="296">ATAN(B589/$V$4)</f>
        <v>0.86076650653104869</v>
      </c>
      <c r="S589" s="270">
        <f t="shared" ref="S589:S613" si="297">SQRT(1+(B589/$V$7)^2)</f>
        <v>1.0000354191929117</v>
      </c>
      <c r="T589" s="273">
        <f t="shared" ref="T589:T613" si="298">ATAN(B589/$V$7)</f>
        <v>8.416430063953222E-3</v>
      </c>
      <c r="U589" s="274">
        <f t="shared" ref="U589:U613" si="299">SQRT((1-(B589^2/pterm2))^2+(B589/pterm1)^2)</f>
        <v>1.3342361675824959</v>
      </c>
      <c r="V589" s="275">
        <f t="shared" ref="V589:V613" si="300">IF((ATAN((B589/pterm1)/(1-B589^2/pterm2))&gt;0),ATAN((B589/pterm1)/(1-B589^2/pterm2)),PI()+ATAN((B589/pterm1)/(1-B589^2/pterm2)))</f>
        <v>1.0747968381104411</v>
      </c>
      <c r="W589" s="276">
        <f t="shared" ref="W589:W613" si="301">20*LOG10(((E589*K589*G589)/(C589*I589*U589*M589))*Adc)</f>
        <v>-38.217514687987808</v>
      </c>
      <c r="X589" s="277">
        <f t="shared" si="279"/>
        <v>96.682193122572926</v>
      </c>
      <c r="Y589" s="299">
        <f t="shared" si="278"/>
        <v>-83.317806877427074</v>
      </c>
      <c r="AB589" s="278">
        <f t="shared" ref="AB589:AB613" si="302">20*LOG10((K589/(I589*M589))*AEA)</f>
        <v>-11.090475603436134</v>
      </c>
      <c r="AC589" s="279">
        <f t="shared" ref="AC589:AC613" si="303">(L589-(J589+N589))*radconv</f>
        <v>-72.848504308119445</v>
      </c>
      <c r="AF589" s="278">
        <f t="shared" ref="AF589:AF613" si="304">20*LOG10((E589*G589/(C589*U589))*Acs*Am)</f>
        <v>34.676493522430086</v>
      </c>
      <c r="AG589" s="279">
        <f t="shared" ref="AG589:AG613" si="305">(F589+H589-(D589+V589))*radconv</f>
        <v>-190.46930256930764</v>
      </c>
      <c r="AI589">
        <f t="shared" ref="AI589:AI613" si="306">SUM((W590&lt;0)*(W589&gt;0))*B589</f>
        <v>0</v>
      </c>
      <c r="AJ589">
        <f t="shared" si="280"/>
        <v>0</v>
      </c>
      <c r="AK589">
        <f t="shared" ref="AK589:AK613" si="307">SUM((AB590&lt;0)*(AB589&gt;0))*B589</f>
        <v>0</v>
      </c>
      <c r="AL589">
        <f t="shared" ref="AL589:AL613" si="308">IF(AK589&gt;0,AC589,0)</f>
        <v>0</v>
      </c>
      <c r="AM589"/>
      <c r="AN589"/>
    </row>
    <row r="590" spans="2:40" x14ac:dyDescent="0.2">
      <c r="B590" s="280">
        <v>126030</v>
      </c>
      <c r="C590" s="270">
        <f t="shared" si="281"/>
        <v>102.94793669277735</v>
      </c>
      <c r="D590" s="271">
        <f t="shared" si="282"/>
        <v>1.5610825262213339</v>
      </c>
      <c r="E590" s="271">
        <f t="shared" si="283"/>
        <v>1.020974588653998</v>
      </c>
      <c r="F590" s="272">
        <f t="shared" si="284"/>
        <v>0.20304886902826375</v>
      </c>
      <c r="G590" s="271">
        <f t="shared" si="285"/>
        <v>1.6206917712465572</v>
      </c>
      <c r="H590" s="272">
        <f t="shared" si="286"/>
        <v>-0.90584545652378001</v>
      </c>
      <c r="I590" s="270">
        <f t="shared" si="287"/>
        <v>443513.62985579774</v>
      </c>
      <c r="J590" s="273">
        <f t="shared" si="288"/>
        <v>1.570794072072758</v>
      </c>
      <c r="K590" s="281">
        <f t="shared" si="289"/>
        <v>66.524583361306014</v>
      </c>
      <c r="L590" s="282">
        <f t="shared" si="290"/>
        <v>1.5557637236028594</v>
      </c>
      <c r="M590" s="270">
        <f t="shared" si="291"/>
        <v>3.3676931162842809</v>
      </c>
      <c r="N590" s="273">
        <f t="shared" si="292"/>
        <v>1.2693106823429474</v>
      </c>
      <c r="O590" s="270">
        <f t="shared" si="293"/>
        <v>34843.492641519151</v>
      </c>
      <c r="P590" s="273">
        <f t="shared" si="294"/>
        <v>1.5707676270313446</v>
      </c>
      <c r="Q590" s="271">
        <f t="shared" si="295"/>
        <v>1.5770638533881365</v>
      </c>
      <c r="R590" s="272">
        <f t="shared" si="296"/>
        <v>0.88396555571641078</v>
      </c>
      <c r="S590" s="270">
        <f t="shared" si="297"/>
        <v>1.0000389188571883</v>
      </c>
      <c r="T590" s="273">
        <f t="shared" si="298"/>
        <v>8.8224254033783794E-3</v>
      </c>
      <c r="U590" s="274">
        <f t="shared" si="299"/>
        <v>1.3681161517648197</v>
      </c>
      <c r="V590" s="275">
        <f t="shared" si="300"/>
        <v>1.1176876619368954</v>
      </c>
      <c r="W590" s="276">
        <f t="shared" si="301"/>
        <v>-38.951389690696075</v>
      </c>
      <c r="X590" s="277">
        <f t="shared" si="279"/>
        <v>92.663175092320557</v>
      </c>
      <c r="Y590" s="299">
        <f t="shared" ref="Y590:Y613" si="309">IF(X590&gt;0,X590-180,X590+180)</f>
        <v>-87.336824907679443</v>
      </c>
      <c r="AB590" s="278">
        <f t="shared" si="302"/>
        <v>-11.462121328999457</v>
      </c>
      <c r="AC590" s="279">
        <f t="shared" si="303"/>
        <v>-73.587320521057677</v>
      </c>
      <c r="AF590" s="278">
        <f t="shared" si="304"/>
        <v>34.314264245285131</v>
      </c>
      <c r="AG590" s="279">
        <f t="shared" si="305"/>
        <v>-193.74950438662174</v>
      </c>
      <c r="AI590">
        <f t="shared" si="306"/>
        <v>0</v>
      </c>
      <c r="AJ590">
        <f t="shared" si="280"/>
        <v>0</v>
      </c>
      <c r="AK590">
        <f t="shared" si="307"/>
        <v>0</v>
      </c>
      <c r="AL590">
        <f t="shared" si="308"/>
        <v>0</v>
      </c>
      <c r="AM590"/>
      <c r="AN590"/>
    </row>
    <row r="591" spans="2:40" x14ac:dyDescent="0.2">
      <c r="B591" s="280">
        <v>131830</v>
      </c>
      <c r="C591" s="270">
        <f t="shared" si="281"/>
        <v>107.68524473768169</v>
      </c>
      <c r="D591" s="271">
        <f t="shared" si="282"/>
        <v>1.5615098699954784</v>
      </c>
      <c r="E591" s="271">
        <f t="shared" si="283"/>
        <v>1.0229273912340298</v>
      </c>
      <c r="F591" s="272">
        <f t="shared" si="284"/>
        <v>0.212121378427408</v>
      </c>
      <c r="G591" s="271">
        <f t="shared" si="285"/>
        <v>1.6672748969400319</v>
      </c>
      <c r="H591" s="272">
        <f t="shared" si="286"/>
        <v>-0.92756879371320389</v>
      </c>
      <c r="I591" s="270">
        <f t="shared" si="287"/>
        <v>463924.47690134909</v>
      </c>
      <c r="J591" s="273">
        <f t="shared" si="288"/>
        <v>1.5707941712716385</v>
      </c>
      <c r="K591" s="281">
        <f t="shared" si="289"/>
        <v>69.585420584048961</v>
      </c>
      <c r="L591" s="282">
        <f t="shared" si="290"/>
        <v>1.5564250056917939</v>
      </c>
      <c r="M591" s="270">
        <f t="shared" si="291"/>
        <v>3.5092867969948229</v>
      </c>
      <c r="N591" s="273">
        <f t="shared" si="292"/>
        <v>1.2818335214474126</v>
      </c>
      <c r="O591" s="270">
        <f t="shared" si="293"/>
        <v>36447.017652691204</v>
      </c>
      <c r="P591" s="273">
        <f t="shared" si="294"/>
        <v>1.5707688897077348</v>
      </c>
      <c r="Q591" s="271">
        <f t="shared" si="295"/>
        <v>1.6208509610874648</v>
      </c>
      <c r="R591" s="272">
        <f t="shared" si="296"/>
        <v>0.90592246050678316</v>
      </c>
      <c r="S591" s="270">
        <f t="shared" si="297"/>
        <v>1.0000425833589262</v>
      </c>
      <c r="T591" s="273">
        <f t="shared" si="298"/>
        <v>9.2284178343092198E-3</v>
      </c>
      <c r="U591" s="274">
        <f t="shared" si="299"/>
        <v>1.403708873202929</v>
      </c>
      <c r="V591" s="275">
        <f t="shared" si="300"/>
        <v>1.1595436381561259</v>
      </c>
      <c r="W591" s="276">
        <f t="shared" si="301"/>
        <v>-39.660320574360462</v>
      </c>
      <c r="X591" s="277">
        <f t="shared" ref="X591:X613" si="310">IF(((F591+L591+H591)-(D591+J591+V591+N591))*radconv&lt;-180,((F591+L591+H591)-(D591+J591+V591+N591))*radconv+360,((F591+L591+H591)-(D591+J591+V591+N591))*radconv)</f>
        <v>88.836057434048314</v>
      </c>
      <c r="Y591" s="299">
        <f t="shared" si="309"/>
        <v>-91.163942565951686</v>
      </c>
      <c r="AB591" s="278">
        <f t="shared" si="302"/>
        <v>-11.819932845512621</v>
      </c>
      <c r="AC591" s="279">
        <f t="shared" si="303"/>
        <v>-74.266943360178573</v>
      </c>
      <c r="AF591" s="278">
        <f t="shared" si="304"/>
        <v>33.963144878133924</v>
      </c>
      <c r="AG591" s="279">
        <f t="shared" si="305"/>
        <v>-196.89699920577306</v>
      </c>
      <c r="AI591">
        <f t="shared" si="306"/>
        <v>0</v>
      </c>
      <c r="AJ591">
        <f t="shared" si="280"/>
        <v>0</v>
      </c>
      <c r="AK591">
        <f t="shared" si="307"/>
        <v>0</v>
      </c>
      <c r="AL591">
        <f t="shared" si="308"/>
        <v>0</v>
      </c>
      <c r="AM591"/>
      <c r="AN591"/>
    </row>
    <row r="592" spans="2:40" x14ac:dyDescent="0.2">
      <c r="B592" s="280">
        <v>144540</v>
      </c>
      <c r="C592" s="270">
        <f t="shared" si="281"/>
        <v>118.0665435348747</v>
      </c>
      <c r="D592" s="271">
        <f t="shared" si="282"/>
        <v>1.5623264256129217</v>
      </c>
      <c r="E592" s="271">
        <f t="shared" si="283"/>
        <v>1.027499311342392</v>
      </c>
      <c r="F592" s="272">
        <f t="shared" si="284"/>
        <v>0.23187745363723311</v>
      </c>
      <c r="G592" s="271">
        <f t="shared" si="285"/>
        <v>1.771874366994437</v>
      </c>
      <c r="H592" s="272">
        <f t="shared" si="286"/>
        <v>-0.97112146025495294</v>
      </c>
      <c r="I592" s="270">
        <f t="shared" si="287"/>
        <v>508652.38482359715</v>
      </c>
      <c r="J592" s="273">
        <f t="shared" si="288"/>
        <v>1.5707943608157136</v>
      </c>
      <c r="K592" s="281">
        <f t="shared" si="289"/>
        <v>76.292968726577087</v>
      </c>
      <c r="L592" s="282">
        <f t="shared" si="290"/>
        <v>1.5576885836731647</v>
      </c>
      <c r="M592" s="270">
        <f t="shared" si="291"/>
        <v>3.8212685729123095</v>
      </c>
      <c r="N592" s="273">
        <f t="shared" si="292"/>
        <v>1.3060202035988013</v>
      </c>
      <c r="O592" s="270">
        <f t="shared" si="293"/>
        <v>39960.949185971287</v>
      </c>
      <c r="P592" s="273">
        <f t="shared" si="294"/>
        <v>1.5707713023642844</v>
      </c>
      <c r="Q592" s="271">
        <f t="shared" si="295"/>
        <v>1.7193132239444158</v>
      </c>
      <c r="R592" s="272">
        <f t="shared" si="296"/>
        <v>0.95006823342009206</v>
      </c>
      <c r="S592" s="270">
        <f t="shared" si="297"/>
        <v>1.0000511900605</v>
      </c>
      <c r="T592" s="273">
        <f t="shared" si="298"/>
        <v>1.0118090423604892E-2</v>
      </c>
      <c r="U592" s="274">
        <f t="shared" si="299"/>
        <v>1.4877264681461146</v>
      </c>
      <c r="V592" s="275">
        <f t="shared" si="300"/>
        <v>1.2476412125704195</v>
      </c>
      <c r="W592" s="276">
        <f t="shared" si="301"/>
        <v>-41.137330354865668</v>
      </c>
      <c r="X592" s="277">
        <f t="shared" si="310"/>
        <v>81.064800811679277</v>
      </c>
      <c r="Y592" s="299">
        <f t="shared" si="309"/>
        <v>-98.935199188320723</v>
      </c>
      <c r="AB592" s="278">
        <f t="shared" si="302"/>
        <v>-12.559857653254028</v>
      </c>
      <c r="AC592" s="279">
        <f t="shared" si="303"/>
        <v>-75.580351342534868</v>
      </c>
      <c r="AF592" s="278">
        <f t="shared" si="304"/>
        <v>33.226059905370121</v>
      </c>
      <c r="AG592" s="279">
        <f t="shared" si="305"/>
        <v>-203.35484784578586</v>
      </c>
      <c r="AI592">
        <f t="shared" si="306"/>
        <v>0</v>
      </c>
      <c r="AJ592">
        <f t="shared" si="280"/>
        <v>0</v>
      </c>
      <c r="AK592">
        <f t="shared" si="307"/>
        <v>0</v>
      </c>
      <c r="AL592">
        <f t="shared" si="308"/>
        <v>0</v>
      </c>
      <c r="AM592"/>
      <c r="AN592"/>
    </row>
    <row r="593" spans="2:40" x14ac:dyDescent="0.2">
      <c r="B593" s="280">
        <v>158490</v>
      </c>
      <c r="C593" s="270">
        <f t="shared" si="281"/>
        <v>129.46072734626614</v>
      </c>
      <c r="D593" s="271">
        <f t="shared" si="282"/>
        <v>1.5630718997425386</v>
      </c>
      <c r="E593" s="271">
        <f t="shared" si="283"/>
        <v>1.032974500992206</v>
      </c>
      <c r="F593" s="272">
        <f t="shared" si="284"/>
        <v>0.25335030204991482</v>
      </c>
      <c r="G593" s="271">
        <f t="shared" si="285"/>
        <v>1.8900939205040994</v>
      </c>
      <c r="H593" s="272">
        <f t="shared" si="286"/>
        <v>-1.0132870934476486</v>
      </c>
      <c r="I593" s="270">
        <f t="shared" si="287"/>
        <v>557743.99107974046</v>
      </c>
      <c r="J593" s="273">
        <f t="shared" si="288"/>
        <v>1.5707945338576064</v>
      </c>
      <c r="K593" s="281">
        <f t="shared" si="289"/>
        <v>83.655028444685499</v>
      </c>
      <c r="L593" s="282">
        <f t="shared" si="290"/>
        <v>1.5588421880432271</v>
      </c>
      <c r="M593" s="270">
        <f t="shared" si="291"/>
        <v>4.1658556982576584</v>
      </c>
      <c r="N593" s="273">
        <f t="shared" si="292"/>
        <v>1.3283823479679542</v>
      </c>
      <c r="O593" s="270">
        <f t="shared" si="293"/>
        <v>43817.703308086762</v>
      </c>
      <c r="P593" s="273">
        <f t="shared" si="294"/>
        <v>1.5707735049689087</v>
      </c>
      <c r="Q593" s="271">
        <f t="shared" si="295"/>
        <v>1.8307988677334106</v>
      </c>
      <c r="R593" s="272">
        <f t="shared" si="296"/>
        <v>0.99296379442120908</v>
      </c>
      <c r="S593" s="270">
        <f t="shared" si="297"/>
        <v>1.0000615475859993</v>
      </c>
      <c r="T593" s="273">
        <f t="shared" si="298"/>
        <v>1.1094541848182414E-2</v>
      </c>
      <c r="U593" s="274">
        <f t="shared" si="299"/>
        <v>1.5895112852445872</v>
      </c>
      <c r="V593" s="275">
        <f t="shared" si="300"/>
        <v>1.33864868549825</v>
      </c>
      <c r="W593" s="276">
        <f t="shared" si="301"/>
        <v>-42.655253079088268</v>
      </c>
      <c r="X593" s="277">
        <f t="shared" si="310"/>
        <v>73.406965206980487</v>
      </c>
      <c r="Y593" s="299">
        <f t="shared" si="309"/>
        <v>-106.59303479301951</v>
      </c>
      <c r="AB593" s="278">
        <f t="shared" si="302"/>
        <v>-13.309916414669594</v>
      </c>
      <c r="AC593" s="279">
        <f t="shared" si="303"/>
        <v>-76.795521088687309</v>
      </c>
      <c r="AF593" s="278">
        <f t="shared" si="304"/>
        <v>32.45819594256308</v>
      </c>
      <c r="AG593" s="279">
        <f t="shared" si="305"/>
        <v>-209.7975137043322</v>
      </c>
      <c r="AI593">
        <f t="shared" si="306"/>
        <v>0</v>
      </c>
      <c r="AJ593">
        <f t="shared" si="280"/>
        <v>0</v>
      </c>
      <c r="AK593">
        <f t="shared" si="307"/>
        <v>0</v>
      </c>
      <c r="AL593">
        <f t="shared" si="308"/>
        <v>0</v>
      </c>
      <c r="AM593"/>
      <c r="AN593"/>
    </row>
    <row r="594" spans="2:40" x14ac:dyDescent="0.2">
      <c r="B594" s="280">
        <v>173780</v>
      </c>
      <c r="C594" s="270">
        <f t="shared" si="281"/>
        <v>141.94947497237953</v>
      </c>
      <c r="D594" s="271">
        <f t="shared" si="282"/>
        <v>1.5637515084056763</v>
      </c>
      <c r="E594" s="271">
        <f t="shared" si="283"/>
        <v>1.0395165288631716</v>
      </c>
      <c r="F594" s="272">
        <f t="shared" si="284"/>
        <v>0.27661400669831393</v>
      </c>
      <c r="G594" s="271">
        <f t="shared" si="285"/>
        <v>2.0230525628356184</v>
      </c>
      <c r="H594" s="272">
        <f t="shared" si="286"/>
        <v>-1.0537640229292624</v>
      </c>
      <c r="I594" s="270">
        <f t="shared" si="287"/>
        <v>611551.20682573726</v>
      </c>
      <c r="J594" s="273">
        <f t="shared" si="288"/>
        <v>1.5707946916088502</v>
      </c>
      <c r="K594" s="281">
        <f t="shared" si="289"/>
        <v>91.724374461010399</v>
      </c>
      <c r="L594" s="282">
        <f t="shared" si="290"/>
        <v>1.5598938832874127</v>
      </c>
      <c r="M594" s="270">
        <f t="shared" si="291"/>
        <v>4.5455549871711742</v>
      </c>
      <c r="N594" s="273">
        <f t="shared" si="292"/>
        <v>1.3489868396600411</v>
      </c>
      <c r="O594" s="270">
        <f t="shared" si="293"/>
        <v>48044.927001992073</v>
      </c>
      <c r="P594" s="273">
        <f t="shared" si="294"/>
        <v>1.5707755129428944</v>
      </c>
      <c r="Q594" s="271">
        <f t="shared" si="295"/>
        <v>1.9563966773566015</v>
      </c>
      <c r="R594" s="272">
        <f t="shared" si="296"/>
        <v>1.0342813002044542</v>
      </c>
      <c r="S594" s="270">
        <f t="shared" si="297"/>
        <v>1.0000739953069195</v>
      </c>
      <c r="T594" s="273">
        <f t="shared" si="298"/>
        <v>1.2164764235531113E-2</v>
      </c>
      <c r="U594" s="274">
        <f t="shared" si="299"/>
        <v>1.7126376489959092</v>
      </c>
      <c r="V594" s="275">
        <f t="shared" si="300"/>
        <v>1.4317284523563374</v>
      </c>
      <c r="W594" s="276">
        <f t="shared" si="301"/>
        <v>-44.215652137873889</v>
      </c>
      <c r="X594" s="277">
        <f t="shared" si="310"/>
        <v>65.92840181245549</v>
      </c>
      <c r="Y594" s="299">
        <f t="shared" si="309"/>
        <v>-114.07159818754451</v>
      </c>
      <c r="AB594" s="278">
        <f t="shared" si="302"/>
        <v>-14.067674685177366</v>
      </c>
      <c r="AC594" s="279">
        <f t="shared" si="303"/>
        <v>-77.915822841310913</v>
      </c>
      <c r="AF594" s="278">
        <f t="shared" si="304"/>
        <v>31.655555154285242</v>
      </c>
      <c r="AG594" s="279">
        <f t="shared" si="305"/>
        <v>-216.15577534623358</v>
      </c>
      <c r="AI594">
        <f t="shared" si="306"/>
        <v>0</v>
      </c>
      <c r="AJ594">
        <f t="shared" si="280"/>
        <v>0</v>
      </c>
      <c r="AK594">
        <f t="shared" si="307"/>
        <v>0</v>
      </c>
      <c r="AL594">
        <f t="shared" si="308"/>
        <v>0</v>
      </c>
      <c r="AM594"/>
      <c r="AN594"/>
    </row>
    <row r="595" spans="2:40" x14ac:dyDescent="0.2">
      <c r="B595" s="280">
        <v>190550</v>
      </c>
      <c r="C595" s="270">
        <f t="shared" si="281"/>
        <v>155.64713726440061</v>
      </c>
      <c r="D595" s="271">
        <f t="shared" si="282"/>
        <v>1.5643714936925626</v>
      </c>
      <c r="E595" s="271">
        <f t="shared" si="283"/>
        <v>1.0473299983073208</v>
      </c>
      <c r="F595" s="272">
        <f t="shared" si="284"/>
        <v>0.30178017982971322</v>
      </c>
      <c r="G595" s="271">
        <f t="shared" si="285"/>
        <v>2.1721993865433533</v>
      </c>
      <c r="H595" s="272">
        <f t="shared" si="286"/>
        <v>-1.0923923811451706</v>
      </c>
      <c r="I595" s="270">
        <f t="shared" si="287"/>
        <v>670566.70767992875</v>
      </c>
      <c r="J595" s="273">
        <f t="shared" si="288"/>
        <v>1.5707948355189527</v>
      </c>
      <c r="K595" s="281">
        <f t="shared" si="289"/>
        <v>100.57489220634831</v>
      </c>
      <c r="L595" s="282">
        <f t="shared" si="290"/>
        <v>1.5608533235714164</v>
      </c>
      <c r="M595" s="270">
        <f t="shared" si="291"/>
        <v>4.9638699479160184</v>
      </c>
      <c r="N595" s="273">
        <f t="shared" si="292"/>
        <v>1.3679524409288233</v>
      </c>
      <c r="O595" s="270">
        <f t="shared" si="293"/>
        <v>52681.326043824949</v>
      </c>
      <c r="P595" s="273">
        <f t="shared" si="294"/>
        <v>1.5707773447366389</v>
      </c>
      <c r="Q595" s="271">
        <f t="shared" si="295"/>
        <v>2.0975060468860978</v>
      </c>
      <c r="R595" s="272">
        <f t="shared" si="296"/>
        <v>1.073834967973972</v>
      </c>
      <c r="S595" s="270">
        <f t="shared" si="297"/>
        <v>1.000088965012855</v>
      </c>
      <c r="T595" s="273">
        <f t="shared" si="298"/>
        <v>1.3338546975682632E-2</v>
      </c>
      <c r="U595" s="274">
        <f t="shared" si="299"/>
        <v>1.8616360350554695</v>
      </c>
      <c r="V595" s="275">
        <f t="shared" si="300"/>
        <v>1.5261317323309862</v>
      </c>
      <c r="W595" s="276">
        <f t="shared" si="301"/>
        <v>-45.822248035038335</v>
      </c>
      <c r="X595" s="277">
        <f t="shared" si="310"/>
        <v>58.680958093948675</v>
      </c>
      <c r="Y595" s="299">
        <f t="shared" si="309"/>
        <v>-121.31904190605132</v>
      </c>
      <c r="AB595" s="278">
        <f t="shared" si="302"/>
        <v>-14.832431123470442</v>
      </c>
      <c r="AC595" s="279">
        <f t="shared" si="303"/>
        <v>-78.947508116413346</v>
      </c>
      <c r="AF595" s="278">
        <f t="shared" si="304"/>
        <v>30.813715695413858</v>
      </c>
      <c r="AG595" s="279">
        <f t="shared" si="305"/>
        <v>-222.37153378963799</v>
      </c>
      <c r="AI595">
        <f t="shared" si="306"/>
        <v>0</v>
      </c>
      <c r="AJ595">
        <f t="shared" si="280"/>
        <v>0</v>
      </c>
      <c r="AK595">
        <f t="shared" si="307"/>
        <v>0</v>
      </c>
      <c r="AL595">
        <f t="shared" si="308"/>
        <v>0</v>
      </c>
      <c r="AM595"/>
      <c r="AN595"/>
    </row>
    <row r="596" spans="2:40" x14ac:dyDescent="0.2">
      <c r="B596" s="280">
        <v>208930</v>
      </c>
      <c r="C596" s="270">
        <f t="shared" si="281"/>
        <v>170.65989763862584</v>
      </c>
      <c r="D596" s="271">
        <f t="shared" si="282"/>
        <v>1.5649366858574236</v>
      </c>
      <c r="E596" s="271">
        <f t="shared" si="283"/>
        <v>1.0566433658752157</v>
      </c>
      <c r="F596" s="272">
        <f t="shared" si="284"/>
        <v>0.32891581859700003</v>
      </c>
      <c r="G596" s="271">
        <f t="shared" si="285"/>
        <v>2.3388870503834376</v>
      </c>
      <c r="H596" s="272">
        <f t="shared" si="286"/>
        <v>-1.1290113125190313</v>
      </c>
      <c r="I596" s="270">
        <f t="shared" si="287"/>
        <v>735247.97814506071</v>
      </c>
      <c r="J596" s="273">
        <f t="shared" si="288"/>
        <v>1.5707949667095515</v>
      </c>
      <c r="K596" s="281">
        <f t="shared" si="289"/>
        <v>110.27519032787721</v>
      </c>
      <c r="L596" s="282">
        <f t="shared" si="290"/>
        <v>1.5617279796627979</v>
      </c>
      <c r="M596" s="270">
        <f t="shared" si="291"/>
        <v>5.4240640231760313</v>
      </c>
      <c r="N596" s="273">
        <f t="shared" si="292"/>
        <v>1.3853719975610743</v>
      </c>
      <c r="O596" s="270">
        <f t="shared" si="293"/>
        <v>57762.84151142904</v>
      </c>
      <c r="P596" s="273">
        <f t="shared" si="294"/>
        <v>1.5707790146271798</v>
      </c>
      <c r="Q596" s="271">
        <f t="shared" si="295"/>
        <v>2.2554340120792435</v>
      </c>
      <c r="R596" s="272">
        <f t="shared" si="296"/>
        <v>1.1114373275784672</v>
      </c>
      <c r="S596" s="270">
        <f t="shared" si="297"/>
        <v>1.0001069544951233</v>
      </c>
      <c r="T596" s="273">
        <f t="shared" si="298"/>
        <v>1.4624976121226985E-2</v>
      </c>
      <c r="U596" s="274">
        <f t="shared" si="299"/>
        <v>2.0417332342733792</v>
      </c>
      <c r="V596" s="275">
        <f t="shared" si="300"/>
        <v>1.62091638703813</v>
      </c>
      <c r="W596" s="276">
        <f t="shared" si="301"/>
        <v>-47.475210792382597</v>
      </c>
      <c r="X596" s="277">
        <f t="shared" si="310"/>
        <v>51.726501158596648</v>
      </c>
      <c r="Y596" s="299">
        <f t="shared" si="309"/>
        <v>-128.27349884140335</v>
      </c>
      <c r="AB596" s="278">
        <f t="shared" si="302"/>
        <v>-15.602591592409258</v>
      </c>
      <c r="AC596" s="279">
        <f t="shared" si="303"/>
        <v>-79.895468606536497</v>
      </c>
      <c r="AF596" s="278">
        <f t="shared" si="304"/>
        <v>29.930913407008418</v>
      </c>
      <c r="AG596" s="279">
        <f t="shared" si="305"/>
        <v>-228.3780302348668</v>
      </c>
      <c r="AI596">
        <f t="shared" si="306"/>
        <v>0</v>
      </c>
      <c r="AJ596">
        <f t="shared" si="280"/>
        <v>0</v>
      </c>
      <c r="AK596">
        <f t="shared" si="307"/>
        <v>0</v>
      </c>
      <c r="AL596">
        <f t="shared" si="308"/>
        <v>0</v>
      </c>
      <c r="AM596"/>
      <c r="AN596"/>
    </row>
    <row r="597" spans="2:40" x14ac:dyDescent="0.2">
      <c r="B597" s="280">
        <v>229090</v>
      </c>
      <c r="C597" s="270">
        <f t="shared" si="281"/>
        <v>187.12661186957916</v>
      </c>
      <c r="D597" s="271">
        <f t="shared" si="282"/>
        <v>1.5654523260151632</v>
      </c>
      <c r="E597" s="271">
        <f t="shared" si="283"/>
        <v>1.0677366133457973</v>
      </c>
      <c r="F597" s="272">
        <f t="shared" si="284"/>
        <v>0.35811111415892305</v>
      </c>
      <c r="G597" s="271">
        <f t="shared" si="285"/>
        <v>2.5248219633899485</v>
      </c>
      <c r="H597" s="272">
        <f t="shared" si="286"/>
        <v>-1.1635661599582494</v>
      </c>
      <c r="I597" s="270">
        <f t="shared" si="287"/>
        <v>806193.26718626195</v>
      </c>
      <c r="J597" s="273">
        <f t="shared" si="288"/>
        <v>1.5707950863975368</v>
      </c>
      <c r="K597" s="281">
        <f t="shared" si="289"/>
        <v>120.91498865718006</v>
      </c>
      <c r="L597" s="282">
        <f t="shared" si="290"/>
        <v>1.5625259592331366</v>
      </c>
      <c r="M597" s="270">
        <f t="shared" si="291"/>
        <v>5.9304097089064323</v>
      </c>
      <c r="N597" s="273">
        <f t="shared" si="292"/>
        <v>1.4013644240353342</v>
      </c>
      <c r="O597" s="270">
        <f t="shared" si="293"/>
        <v>63336.473275832206</v>
      </c>
      <c r="P597" s="273">
        <f t="shared" si="294"/>
        <v>1.5707805381039841</v>
      </c>
      <c r="Q597" s="271">
        <f t="shared" si="295"/>
        <v>2.431821203861352</v>
      </c>
      <c r="R597" s="272">
        <f t="shared" si="296"/>
        <v>1.1470103650861614</v>
      </c>
      <c r="S597" s="270">
        <f t="shared" si="297"/>
        <v>1.0001285893497649</v>
      </c>
      <c r="T597" s="273">
        <f t="shared" si="298"/>
        <v>1.6035932896214564E-2</v>
      </c>
      <c r="U597" s="274">
        <f t="shared" si="299"/>
        <v>2.2594682079256443</v>
      </c>
      <c r="V597" s="275">
        <f t="shared" si="300"/>
        <v>1.7152592915681137</v>
      </c>
      <c r="W597" s="276">
        <f t="shared" si="301"/>
        <v>-49.175550616783454</v>
      </c>
      <c r="X597" s="277">
        <f t="shared" si="310"/>
        <v>45.113842657339887</v>
      </c>
      <c r="Y597" s="299">
        <f t="shared" si="309"/>
        <v>-134.88615734266011</v>
      </c>
      <c r="AB597" s="278">
        <f t="shared" si="302"/>
        <v>-16.377849502874973</v>
      </c>
      <c r="AC597" s="279">
        <f t="shared" si="303"/>
        <v>-80.766053143783225</v>
      </c>
      <c r="AF597" s="278">
        <f t="shared" si="304"/>
        <v>29.005831493073273</v>
      </c>
      <c r="AG597" s="279">
        <f t="shared" si="305"/>
        <v>-234.12010419887693</v>
      </c>
      <c r="AI597">
        <f t="shared" si="306"/>
        <v>0</v>
      </c>
      <c r="AJ597">
        <f t="shared" si="280"/>
        <v>0</v>
      </c>
      <c r="AK597">
        <f t="shared" si="307"/>
        <v>0</v>
      </c>
      <c r="AL597">
        <f t="shared" si="308"/>
        <v>0</v>
      </c>
      <c r="AM597"/>
      <c r="AN597"/>
    </row>
    <row r="598" spans="2:40" x14ac:dyDescent="0.2">
      <c r="B598" s="280">
        <v>251190</v>
      </c>
      <c r="C598" s="270">
        <f t="shared" si="281"/>
        <v>205.17796817364754</v>
      </c>
      <c r="D598" s="271">
        <f t="shared" si="282"/>
        <v>1.5659224898622082</v>
      </c>
      <c r="E598" s="271">
        <f t="shared" si="283"/>
        <v>1.080919975990575</v>
      </c>
      <c r="F598" s="272">
        <f t="shared" si="284"/>
        <v>0.38939773549569667</v>
      </c>
      <c r="G598" s="271">
        <f t="shared" si="285"/>
        <v>2.7316165873625837</v>
      </c>
      <c r="H598" s="272">
        <f t="shared" si="286"/>
        <v>-1.1959993708367154</v>
      </c>
      <c r="I598" s="270">
        <f t="shared" si="287"/>
        <v>883965.63265306631</v>
      </c>
      <c r="J598" s="273">
        <f t="shared" si="288"/>
        <v>1.5707951955291968</v>
      </c>
      <c r="K598" s="281">
        <f t="shared" si="289"/>
        <v>132.57873005173275</v>
      </c>
      <c r="L598" s="282">
        <f t="shared" si="290"/>
        <v>1.56325356724458</v>
      </c>
      <c r="M598" s="270">
        <f t="shared" si="291"/>
        <v>6.486938419456723</v>
      </c>
      <c r="N598" s="273">
        <f t="shared" si="292"/>
        <v>1.4160232160077768</v>
      </c>
      <c r="O598" s="270">
        <f t="shared" si="293"/>
        <v>69446.456509767828</v>
      </c>
      <c r="P598" s="273">
        <f t="shared" si="294"/>
        <v>1.570781927212106</v>
      </c>
      <c r="Q598" s="271">
        <f t="shared" si="295"/>
        <v>2.6282178579144526</v>
      </c>
      <c r="R598" s="272">
        <f t="shared" si="296"/>
        <v>1.1804746015944416</v>
      </c>
      <c r="S598" s="270">
        <f t="shared" si="297"/>
        <v>1.000154593696327</v>
      </c>
      <c r="T598" s="273">
        <f t="shared" si="298"/>
        <v>1.7582592695328494E-2</v>
      </c>
      <c r="U598" s="274">
        <f t="shared" si="299"/>
        <v>2.5223989016106274</v>
      </c>
      <c r="V598" s="275">
        <f t="shared" si="300"/>
        <v>1.8082350952572381</v>
      </c>
      <c r="W598" s="276">
        <f t="shared" si="301"/>
        <v>-50.920388422375794</v>
      </c>
      <c r="X598" s="277">
        <f t="shared" si="310"/>
        <v>38.895884066058898</v>
      </c>
      <c r="Y598" s="299">
        <f t="shared" si="309"/>
        <v>-141.1041159339411</v>
      </c>
      <c r="AB598" s="278">
        <f t="shared" si="302"/>
        <v>-17.157001014289428</v>
      </c>
      <c r="AC598" s="279">
        <f t="shared" si="303"/>
        <v>-81.564257441152364</v>
      </c>
      <c r="AF598" s="278">
        <f t="shared" si="304"/>
        <v>28.040145198895384</v>
      </c>
      <c r="AG598" s="279">
        <f t="shared" si="305"/>
        <v>-239.53985849278874</v>
      </c>
      <c r="AI598">
        <f t="shared" si="306"/>
        <v>0</v>
      </c>
      <c r="AJ598">
        <f t="shared" si="280"/>
        <v>0</v>
      </c>
      <c r="AK598">
        <f t="shared" si="307"/>
        <v>0</v>
      </c>
      <c r="AL598">
        <f t="shared" si="308"/>
        <v>0</v>
      </c>
      <c r="AM598"/>
      <c r="AN598"/>
    </row>
    <row r="599" spans="2:40" x14ac:dyDescent="0.2">
      <c r="B599" s="280">
        <v>275420</v>
      </c>
      <c r="C599" s="270">
        <f t="shared" si="281"/>
        <v>224.96915918728536</v>
      </c>
      <c r="D599" s="271">
        <f t="shared" si="282"/>
        <v>1.566351258427634</v>
      </c>
      <c r="E599" s="271">
        <f t="shared" si="283"/>
        <v>1.0965584755687845</v>
      </c>
      <c r="F599" s="272">
        <f t="shared" si="284"/>
        <v>0.4227989337525182</v>
      </c>
      <c r="G599" s="271">
        <f t="shared" si="285"/>
        <v>2.9611587816781921</v>
      </c>
      <c r="H599" s="272">
        <f t="shared" si="286"/>
        <v>-1.226318068703186</v>
      </c>
      <c r="I599" s="270">
        <f t="shared" si="287"/>
        <v>969233.7057417942</v>
      </c>
      <c r="J599" s="273">
        <f t="shared" si="288"/>
        <v>1.5707952950519908</v>
      </c>
      <c r="K599" s="281">
        <f t="shared" si="289"/>
        <v>145.36669099168216</v>
      </c>
      <c r="L599" s="282">
        <f t="shared" si="290"/>
        <v>1.5639171175312414</v>
      </c>
      <c r="M599" s="270">
        <f t="shared" si="291"/>
        <v>7.0984438362872275</v>
      </c>
      <c r="N599" s="273">
        <f t="shared" si="292"/>
        <v>1.4294501967351161</v>
      </c>
      <c r="O599" s="270">
        <f t="shared" si="293"/>
        <v>76145.320480857918</v>
      </c>
      <c r="P599" s="273">
        <f t="shared" si="294"/>
        <v>1.5707831940115067</v>
      </c>
      <c r="Q599" s="271">
        <f t="shared" si="295"/>
        <v>2.8464341517230993</v>
      </c>
      <c r="R599" s="272">
        <f t="shared" si="296"/>
        <v>1.2118191932823454</v>
      </c>
      <c r="S599" s="270">
        <f t="shared" si="297"/>
        <v>1.0001858537164139</v>
      </c>
      <c r="T599" s="273">
        <f t="shared" si="298"/>
        <v>1.927822275566048E-2</v>
      </c>
      <c r="U599" s="274">
        <f t="shared" si="299"/>
        <v>2.839740779433956</v>
      </c>
      <c r="V599" s="275">
        <f t="shared" si="300"/>
        <v>1.8990523698738511</v>
      </c>
      <c r="W599" s="276">
        <f t="shared" si="301"/>
        <v>-52.70643713896655</v>
      </c>
      <c r="X599" s="277">
        <f t="shared" si="310"/>
        <v>33.113188758578417</v>
      </c>
      <c r="Y599" s="299">
        <f t="shared" si="309"/>
        <v>-146.88681124142158</v>
      </c>
      <c r="AB599" s="278">
        <f t="shared" si="302"/>
        <v>-17.939510081807857</v>
      </c>
      <c r="AC599" s="279">
        <f t="shared" si="303"/>
        <v>-82.295553839748038</v>
      </c>
      <c r="AF599" s="278">
        <f t="shared" si="304"/>
        <v>27.036605549823065</v>
      </c>
      <c r="AG599" s="279">
        <f t="shared" si="305"/>
        <v>-244.59125740167349</v>
      </c>
      <c r="AI599">
        <f t="shared" si="306"/>
        <v>0</v>
      </c>
      <c r="AJ599">
        <f t="shared" si="280"/>
        <v>0</v>
      </c>
      <c r="AK599">
        <f t="shared" si="307"/>
        <v>0</v>
      </c>
      <c r="AL599">
        <f t="shared" si="308"/>
        <v>0</v>
      </c>
      <c r="AM599"/>
      <c r="AN599"/>
    </row>
    <row r="600" spans="2:40" x14ac:dyDescent="0.2">
      <c r="B600" s="280">
        <v>302000</v>
      </c>
      <c r="C600" s="270">
        <f t="shared" si="281"/>
        <v>246.67988208663081</v>
      </c>
      <c r="D600" s="271">
        <f t="shared" si="282"/>
        <v>1.5667424788260489</v>
      </c>
      <c r="E600" s="271">
        <f t="shared" si="283"/>
        <v>1.1150784084113083</v>
      </c>
      <c r="F600" s="272">
        <f t="shared" si="284"/>
        <v>0.45831806316474666</v>
      </c>
      <c r="G600" s="271">
        <f t="shared" si="285"/>
        <v>3.2156240571266386</v>
      </c>
      <c r="H600" s="272">
        <f t="shared" si="286"/>
        <v>-1.2545706296108912</v>
      </c>
      <c r="I600" s="270">
        <f t="shared" si="287"/>
        <v>1062771.6909955547</v>
      </c>
      <c r="J600" s="273">
        <f t="shared" si="288"/>
        <v>1.570795385859032</v>
      </c>
      <c r="K600" s="281">
        <f t="shared" si="289"/>
        <v>159.39498176501428</v>
      </c>
      <c r="L600" s="282">
        <f t="shared" si="290"/>
        <v>1.5645225624079833</v>
      </c>
      <c r="M600" s="270">
        <f t="shared" si="291"/>
        <v>7.7704863268374265</v>
      </c>
      <c r="N600" s="273">
        <f t="shared" si="292"/>
        <v>1.4417463536620596</v>
      </c>
      <c r="O600" s="270">
        <f t="shared" si="293"/>
        <v>83493.888551613476</v>
      </c>
      <c r="P600" s="273">
        <f t="shared" si="294"/>
        <v>1.5707843498703891</v>
      </c>
      <c r="Q600" s="271">
        <f t="shared" si="295"/>
        <v>3.0885527830091917</v>
      </c>
      <c r="R600" s="272">
        <f t="shared" si="296"/>
        <v>1.2410783203260369</v>
      </c>
      <c r="S600" s="270">
        <f t="shared" si="297"/>
        <v>1.0002234529148095</v>
      </c>
      <c r="T600" s="273">
        <f t="shared" si="298"/>
        <v>2.1138179363629446E-2</v>
      </c>
      <c r="U600" s="274">
        <f t="shared" si="299"/>
        <v>3.2227287496234993</v>
      </c>
      <c r="V600" s="275">
        <f t="shared" si="300"/>
        <v>1.9870517299434161</v>
      </c>
      <c r="W600" s="276">
        <f t="shared" si="301"/>
        <v>-54.529745090143948</v>
      </c>
      <c r="X600" s="277">
        <f t="shared" si="310"/>
        <v>27.795291593064064</v>
      </c>
      <c r="Y600" s="299">
        <f t="shared" si="309"/>
        <v>-152.20470840693594</v>
      </c>
      <c r="AB600" s="278">
        <f t="shared" si="302"/>
        <v>-18.725245668682046</v>
      </c>
      <c r="AC600" s="279">
        <f t="shared" si="303"/>
        <v>-82.965387502587561</v>
      </c>
      <c r="AF600" s="278">
        <f t="shared" si="304"/>
        <v>25.99903318551986</v>
      </c>
      <c r="AG600" s="279">
        <f t="shared" si="305"/>
        <v>-249.23932090434832</v>
      </c>
      <c r="AI600">
        <f t="shared" si="306"/>
        <v>0</v>
      </c>
      <c r="AJ600">
        <f t="shared" si="280"/>
        <v>0</v>
      </c>
      <c r="AK600">
        <f t="shared" si="307"/>
        <v>0</v>
      </c>
      <c r="AL600">
        <f t="shared" si="308"/>
        <v>0</v>
      </c>
      <c r="AM600"/>
      <c r="AN600"/>
    </row>
    <row r="601" spans="2:40" x14ac:dyDescent="0.2">
      <c r="B601" s="280">
        <v>331130</v>
      </c>
      <c r="C601" s="270">
        <f t="shared" si="281"/>
        <v>270.47349821589626</v>
      </c>
      <c r="D601" s="271">
        <f t="shared" si="282"/>
        <v>1.5670990984717914</v>
      </c>
      <c r="E601" s="271">
        <f t="shared" si="283"/>
        <v>1.1369343221789805</v>
      </c>
      <c r="F601" s="272">
        <f t="shared" si="284"/>
        <v>0.49586330927190331</v>
      </c>
      <c r="G601" s="271">
        <f t="shared" si="285"/>
        <v>3.4969988490513173</v>
      </c>
      <c r="H601" s="272">
        <f t="shared" si="286"/>
        <v>-1.280788747528337</v>
      </c>
      <c r="I601" s="270">
        <f t="shared" si="287"/>
        <v>1165283.4107262644</v>
      </c>
      <c r="J601" s="273">
        <f t="shared" si="288"/>
        <v>1.5707954686345635</v>
      </c>
      <c r="K601" s="281">
        <f t="shared" si="289"/>
        <v>174.76915760448284</v>
      </c>
      <c r="L601" s="282">
        <f t="shared" si="290"/>
        <v>1.5650744621916102</v>
      </c>
      <c r="M601" s="270">
        <f t="shared" si="291"/>
        <v>8.5081282504215103</v>
      </c>
      <c r="N601" s="273">
        <f t="shared" si="292"/>
        <v>1.4529893542517878</v>
      </c>
      <c r="O601" s="270">
        <f t="shared" si="293"/>
        <v>91547.454687954392</v>
      </c>
      <c r="P601" s="273">
        <f t="shared" si="294"/>
        <v>1.5707854034983022</v>
      </c>
      <c r="Q601" s="271">
        <f t="shared" si="295"/>
        <v>3.356475612083242</v>
      </c>
      <c r="R601" s="272">
        <f t="shared" si="296"/>
        <v>1.2682712547241117</v>
      </c>
      <c r="S601" s="270">
        <f t="shared" si="297"/>
        <v>1.0002686330153292</v>
      </c>
      <c r="T601" s="273">
        <f t="shared" si="298"/>
        <v>2.3176405791116374E-2</v>
      </c>
      <c r="U601" s="274">
        <f t="shared" si="299"/>
        <v>3.6842209311355587</v>
      </c>
      <c r="V601" s="275">
        <f t="shared" si="300"/>
        <v>2.071565401203177</v>
      </c>
      <c r="W601" s="276">
        <f t="shared" si="301"/>
        <v>-56.382544527376368</v>
      </c>
      <c r="X601" s="277">
        <f t="shared" si="310"/>
        <v>22.969019060178198</v>
      </c>
      <c r="Y601" s="299">
        <f t="shared" si="309"/>
        <v>-157.0309809398218</v>
      </c>
      <c r="AB601" s="278">
        <f t="shared" si="302"/>
        <v>-19.51299096489382</v>
      </c>
      <c r="AC601" s="279">
        <f t="shared" si="303"/>
        <v>-83.577947199814659</v>
      </c>
      <c r="AF601" s="278">
        <f t="shared" si="304"/>
        <v>24.93397904449921</v>
      </c>
      <c r="AG601" s="279">
        <f t="shared" si="305"/>
        <v>-253.4530337400071</v>
      </c>
      <c r="AI601">
        <f t="shared" si="306"/>
        <v>0</v>
      </c>
      <c r="AJ601">
        <f t="shared" si="280"/>
        <v>0</v>
      </c>
      <c r="AK601">
        <f t="shared" si="307"/>
        <v>0</v>
      </c>
      <c r="AL601">
        <f t="shared" si="308"/>
        <v>0</v>
      </c>
      <c r="AM601"/>
      <c r="AN601"/>
    </row>
    <row r="602" spans="2:40" x14ac:dyDescent="0.2">
      <c r="B602" s="280">
        <v>363080</v>
      </c>
      <c r="C602" s="270">
        <f t="shared" si="281"/>
        <v>296.57054571729964</v>
      </c>
      <c r="D602" s="271">
        <f t="shared" si="282"/>
        <v>1.5674244413889502</v>
      </c>
      <c r="E602" s="271">
        <f t="shared" si="283"/>
        <v>1.1626746554166507</v>
      </c>
      <c r="F602" s="272">
        <f t="shared" si="284"/>
        <v>0.5353584266185526</v>
      </c>
      <c r="G602" s="271">
        <f t="shared" si="285"/>
        <v>3.8079475553456827</v>
      </c>
      <c r="H602" s="272">
        <f t="shared" si="286"/>
        <v>-1.3050715678498641</v>
      </c>
      <c r="I602" s="270">
        <f t="shared" si="287"/>
        <v>1277719.025055011</v>
      </c>
      <c r="J602" s="273">
        <f t="shared" si="288"/>
        <v>1.5707955441502146</v>
      </c>
      <c r="K602" s="281">
        <f t="shared" si="289"/>
        <v>191.63171858094995</v>
      </c>
      <c r="L602" s="282">
        <f t="shared" si="290"/>
        <v>1.5655779603053734</v>
      </c>
      <c r="M602" s="270">
        <f t="shared" si="291"/>
        <v>9.3182106997464977</v>
      </c>
      <c r="N602" s="273">
        <f t="shared" si="292"/>
        <v>1.4632725189115807</v>
      </c>
      <c r="O602" s="270">
        <f t="shared" si="293"/>
        <v>100380.66574387351</v>
      </c>
      <c r="P602" s="273">
        <f t="shared" si="294"/>
        <v>1.5707863647171139</v>
      </c>
      <c r="Q602" s="271">
        <f t="shared" si="295"/>
        <v>3.652749186693685</v>
      </c>
      <c r="R602" s="272">
        <f t="shared" si="296"/>
        <v>1.2934894577098424</v>
      </c>
      <c r="S602" s="270">
        <f t="shared" si="297"/>
        <v>1.000322964796232</v>
      </c>
      <c r="T602" s="273">
        <f t="shared" si="298"/>
        <v>2.5411725572951661E-2</v>
      </c>
      <c r="U602" s="274">
        <f t="shared" si="299"/>
        <v>4.2404458687997799</v>
      </c>
      <c r="V602" s="275">
        <f t="shared" si="300"/>
        <v>2.1522114074727297</v>
      </c>
      <c r="W602" s="276">
        <f t="shared" si="301"/>
        <v>-58.259555599175492</v>
      </c>
      <c r="X602" s="277">
        <f t="shared" si="310"/>
        <v>18.640964961677582</v>
      </c>
      <c r="Y602" s="299">
        <f t="shared" si="309"/>
        <v>-161.35903503832242</v>
      </c>
      <c r="AB602" s="278">
        <f t="shared" si="302"/>
        <v>-20.302984858587159</v>
      </c>
      <c r="AC602" s="279">
        <f t="shared" si="303"/>
        <v>-84.13828514467555</v>
      </c>
      <c r="AF602" s="278">
        <f t="shared" si="304"/>
        <v>23.846961866393425</v>
      </c>
      <c r="AG602" s="279">
        <f t="shared" si="305"/>
        <v>-257.22074989364683</v>
      </c>
      <c r="AI602">
        <f t="shared" si="306"/>
        <v>0</v>
      </c>
      <c r="AJ602">
        <f t="shared" ref="AJ602:AJ613" si="311">IF(AI602&gt;0,Y602,0)</f>
        <v>0</v>
      </c>
      <c r="AK602">
        <f t="shared" si="307"/>
        <v>0</v>
      </c>
      <c r="AL602">
        <f t="shared" si="308"/>
        <v>0</v>
      </c>
      <c r="AM602"/>
      <c r="AN602"/>
    </row>
    <row r="603" spans="2:40" x14ac:dyDescent="0.2">
      <c r="B603" s="280">
        <v>398110</v>
      </c>
      <c r="C603" s="270">
        <f t="shared" si="281"/>
        <v>325.18339494088599</v>
      </c>
      <c r="D603" s="271">
        <f t="shared" si="282"/>
        <v>1.5677211341753028</v>
      </c>
      <c r="E603" s="271">
        <f t="shared" si="283"/>
        <v>1.1928843034347969</v>
      </c>
      <c r="F603" s="272">
        <f t="shared" si="284"/>
        <v>0.5766308650486438</v>
      </c>
      <c r="G603" s="271">
        <f t="shared" si="285"/>
        <v>4.1510462798538352</v>
      </c>
      <c r="H603" s="272">
        <f t="shared" si="286"/>
        <v>-1.3275000583502359</v>
      </c>
      <c r="I603" s="270">
        <f t="shared" si="287"/>
        <v>1400993.5029872872</v>
      </c>
      <c r="J603" s="273">
        <f t="shared" si="288"/>
        <v>1.5707956130157121</v>
      </c>
      <c r="K603" s="281">
        <f t="shared" si="289"/>
        <v>210.11988742922941</v>
      </c>
      <c r="L603" s="282">
        <f t="shared" si="290"/>
        <v>1.5660371210516832</v>
      </c>
      <c r="M603" s="270">
        <f t="shared" si="291"/>
        <v>10.207329529984566</v>
      </c>
      <c r="N603" s="273">
        <f t="shared" si="292"/>
        <v>1.4726701132796849</v>
      </c>
      <c r="O603" s="270">
        <f t="shared" si="293"/>
        <v>110065.40387506848</v>
      </c>
      <c r="P603" s="273">
        <f t="shared" si="294"/>
        <v>1.5707872412878725</v>
      </c>
      <c r="Q603" s="271">
        <f t="shared" si="295"/>
        <v>3.9798357790959149</v>
      </c>
      <c r="R603" s="272">
        <f t="shared" si="296"/>
        <v>1.316807660751024</v>
      </c>
      <c r="S603" s="270">
        <f t="shared" si="297"/>
        <v>1.0003882777691289</v>
      </c>
      <c r="T603" s="273">
        <f t="shared" si="298"/>
        <v>2.7862238880578375E-2</v>
      </c>
      <c r="U603" s="274">
        <f t="shared" si="299"/>
        <v>4.9102938223321644</v>
      </c>
      <c r="V603" s="275">
        <f t="shared" si="300"/>
        <v>2.2286397573656571</v>
      </c>
      <c r="W603" s="276">
        <f t="shared" si="301"/>
        <v>-60.152958998989931</v>
      </c>
      <c r="X603" s="277">
        <f t="shared" si="310"/>
        <v>14.812484051241938</v>
      </c>
      <c r="Y603" s="299">
        <f t="shared" si="309"/>
        <v>-165.18751594875806</v>
      </c>
      <c r="AB603" s="278">
        <f t="shared" si="302"/>
        <v>-21.094596940990137</v>
      </c>
      <c r="AC603" s="279">
        <f t="shared" si="303"/>
        <v>-84.650423612364563</v>
      </c>
      <c r="AF603" s="278">
        <f t="shared" si="304"/>
        <v>22.74517054898196</v>
      </c>
      <c r="AG603" s="279">
        <f t="shared" si="305"/>
        <v>-260.53709233639353</v>
      </c>
      <c r="AI603">
        <f t="shared" si="306"/>
        <v>0</v>
      </c>
      <c r="AJ603">
        <f t="shared" si="311"/>
        <v>0</v>
      </c>
      <c r="AK603">
        <f t="shared" si="307"/>
        <v>0</v>
      </c>
      <c r="AL603">
        <f t="shared" si="308"/>
        <v>0</v>
      </c>
      <c r="AM603"/>
      <c r="AN603"/>
    </row>
    <row r="604" spans="2:40" x14ac:dyDescent="0.2">
      <c r="B604" s="280">
        <v>436520</v>
      </c>
      <c r="C604" s="270">
        <f t="shared" si="281"/>
        <v>356.55708884044589</v>
      </c>
      <c r="D604" s="271">
        <f t="shared" si="282"/>
        <v>1.5679917231500211</v>
      </c>
      <c r="E604" s="271">
        <f t="shared" si="283"/>
        <v>1.2282214093596864</v>
      </c>
      <c r="F604" s="272">
        <f t="shared" si="284"/>
        <v>0.61947144967880352</v>
      </c>
      <c r="G604" s="271">
        <f t="shared" si="285"/>
        <v>4.5292683700890954</v>
      </c>
      <c r="H604" s="272">
        <f t="shared" si="286"/>
        <v>-1.3481758263600363</v>
      </c>
      <c r="I604" s="270">
        <f t="shared" si="287"/>
        <v>1536162.5779909682</v>
      </c>
      <c r="J604" s="273">
        <f t="shared" si="288"/>
        <v>1.5707956758221322</v>
      </c>
      <c r="K604" s="281">
        <f t="shared" si="289"/>
        <v>230.3919984488424</v>
      </c>
      <c r="L604" s="282">
        <f t="shared" si="290"/>
        <v>1.5664558846500047</v>
      </c>
      <c r="M604" s="270">
        <f t="shared" si="291"/>
        <v>11.183101669802429</v>
      </c>
      <c r="N604" s="273">
        <f t="shared" si="292"/>
        <v>1.4812560970242903</v>
      </c>
      <c r="O604" s="270">
        <f t="shared" si="293"/>
        <v>120684.61003042193</v>
      </c>
      <c r="P604" s="273">
        <f t="shared" si="294"/>
        <v>1.5707880407342318</v>
      </c>
      <c r="Q604" s="271">
        <f t="shared" si="295"/>
        <v>4.3405760712335235</v>
      </c>
      <c r="R604" s="272">
        <f t="shared" si="296"/>
        <v>1.3383238760921998</v>
      </c>
      <c r="S604" s="270">
        <f t="shared" si="297"/>
        <v>1.0004667965085308</v>
      </c>
      <c r="T604" s="273">
        <f t="shared" si="298"/>
        <v>3.0548813343500389E-2</v>
      </c>
      <c r="U604" s="274">
        <f t="shared" si="299"/>
        <v>5.7167203902296677</v>
      </c>
      <c r="V604" s="275">
        <f t="shared" si="300"/>
        <v>2.300663146687969</v>
      </c>
      <c r="W604" s="276">
        <f t="shared" si="301"/>
        <v>-62.055805634603843</v>
      </c>
      <c r="X604" s="277">
        <f t="shared" si="310"/>
        <v>11.472343813360681</v>
      </c>
      <c r="Y604" s="299">
        <f t="shared" si="309"/>
        <v>-168.52765618663932</v>
      </c>
      <c r="AB604" s="278">
        <f t="shared" si="302"/>
        <v>-21.887616243090907</v>
      </c>
      <c r="AC604" s="279">
        <f t="shared" si="303"/>
        <v>-85.118374455643647</v>
      </c>
      <c r="AF604" s="278">
        <f t="shared" si="304"/>
        <v>21.635343215468819</v>
      </c>
      <c r="AG604" s="279">
        <f t="shared" si="305"/>
        <v>-263.40928173099564</v>
      </c>
      <c r="AI604">
        <f t="shared" si="306"/>
        <v>0</v>
      </c>
      <c r="AJ604">
        <f t="shared" si="311"/>
        <v>0</v>
      </c>
      <c r="AK604">
        <f t="shared" si="307"/>
        <v>0</v>
      </c>
      <c r="AL604">
        <f t="shared" si="308"/>
        <v>0</v>
      </c>
      <c r="AM604"/>
      <c r="AN604"/>
    </row>
    <row r="605" spans="2:40" x14ac:dyDescent="0.2">
      <c r="B605" s="280">
        <v>478630</v>
      </c>
      <c r="C605" s="270">
        <f t="shared" si="281"/>
        <v>390.95300679297844</v>
      </c>
      <c r="D605" s="271">
        <f t="shared" si="282"/>
        <v>1.568238471827516</v>
      </c>
      <c r="E605" s="271">
        <f t="shared" si="283"/>
        <v>1.2693986820860823</v>
      </c>
      <c r="F605" s="272">
        <f t="shared" si="284"/>
        <v>0.66360864859928137</v>
      </c>
      <c r="G605" s="271">
        <f t="shared" si="285"/>
        <v>4.9457919591708972</v>
      </c>
      <c r="H605" s="272">
        <f t="shared" si="286"/>
        <v>-1.3672006032151867</v>
      </c>
      <c r="I605" s="270">
        <f t="shared" si="287"/>
        <v>1684352.3657651218</v>
      </c>
      <c r="J605" s="273">
        <f t="shared" si="288"/>
        <v>1.5707957330948963</v>
      </c>
      <c r="K605" s="281">
        <f t="shared" si="289"/>
        <v>252.61694190942757</v>
      </c>
      <c r="L605" s="282">
        <f t="shared" si="290"/>
        <v>1.5668377537706057</v>
      </c>
      <c r="M605" s="270">
        <f t="shared" si="291"/>
        <v>12.253658212933841</v>
      </c>
      <c r="N605" s="273">
        <f t="shared" si="292"/>
        <v>1.4890971878336379</v>
      </c>
      <c r="O605" s="270">
        <f t="shared" si="293"/>
        <v>132326.75455540931</v>
      </c>
      <c r="P605" s="273">
        <f t="shared" si="294"/>
        <v>1.5707887697441447</v>
      </c>
      <c r="Q605" s="271">
        <f t="shared" si="295"/>
        <v>4.7380060973004356</v>
      </c>
      <c r="R605" s="272">
        <f t="shared" si="296"/>
        <v>1.3581378351215694</v>
      </c>
      <c r="S605" s="270">
        <f t="shared" si="297"/>
        <v>1.0005611754319961</v>
      </c>
      <c r="T605" s="273">
        <f t="shared" si="298"/>
        <v>3.3493674807363476E-2</v>
      </c>
      <c r="U605" s="274">
        <f t="shared" si="299"/>
        <v>6.687114914241918</v>
      </c>
      <c r="V605" s="275">
        <f t="shared" si="300"/>
        <v>2.3681873118478642</v>
      </c>
      <c r="W605" s="276">
        <f t="shared" si="301"/>
        <v>-63.961052149990621</v>
      </c>
      <c r="X605" s="277">
        <f t="shared" si="310"/>
        <v>8.600807071722727</v>
      </c>
      <c r="Y605" s="299">
        <f t="shared" si="309"/>
        <v>-171.39919292827727</v>
      </c>
      <c r="AB605" s="278">
        <f t="shared" si="302"/>
        <v>-22.681699792297394</v>
      </c>
      <c r="AC605" s="279">
        <f t="shared" si="303"/>
        <v>-85.545759658348928</v>
      </c>
      <c r="AF605" s="278">
        <f t="shared" si="304"/>
        <v>20.524180249288531</v>
      </c>
      <c r="AG605" s="279">
        <f t="shared" si="305"/>
        <v>-265.85343326992847</v>
      </c>
      <c r="AI605">
        <f t="shared" si="306"/>
        <v>0</v>
      </c>
      <c r="AJ605">
        <f t="shared" si="311"/>
        <v>0</v>
      </c>
      <c r="AK605">
        <f t="shared" si="307"/>
        <v>0</v>
      </c>
      <c r="AL605">
        <f t="shared" si="308"/>
        <v>0</v>
      </c>
      <c r="AM605"/>
      <c r="AN605"/>
    </row>
    <row r="606" spans="2:40" x14ac:dyDescent="0.2">
      <c r="B606" s="280">
        <v>524810</v>
      </c>
      <c r="C606" s="270">
        <f t="shared" si="281"/>
        <v>428.67336892873459</v>
      </c>
      <c r="D606" s="271">
        <f t="shared" si="282"/>
        <v>1.5684635462224128</v>
      </c>
      <c r="E606" s="271">
        <f t="shared" si="283"/>
        <v>1.3172089541583156</v>
      </c>
      <c r="F606" s="272">
        <f t="shared" si="284"/>
        <v>0.7087424470129613</v>
      </c>
      <c r="G606" s="271">
        <f t="shared" si="285"/>
        <v>5.4042982140920763</v>
      </c>
      <c r="H606" s="272">
        <f t="shared" si="286"/>
        <v>-1.3846858972125078</v>
      </c>
      <c r="I606" s="270">
        <f t="shared" si="287"/>
        <v>1846864.9375867944</v>
      </c>
      <c r="J606" s="273">
        <f t="shared" si="288"/>
        <v>1.5707957853367858</v>
      </c>
      <c r="K606" s="281">
        <f t="shared" si="289"/>
        <v>276.98999753433361</v>
      </c>
      <c r="L606" s="282">
        <f t="shared" si="290"/>
        <v>1.5671860802834041</v>
      </c>
      <c r="M606" s="270">
        <f t="shared" si="291"/>
        <v>13.428407112300663</v>
      </c>
      <c r="N606" s="273">
        <f t="shared" si="292"/>
        <v>1.4962583285255115</v>
      </c>
      <c r="O606" s="270">
        <f t="shared" si="293"/>
        <v>145094.13128698731</v>
      </c>
      <c r="P606" s="273">
        <f t="shared" si="294"/>
        <v>1.5707894347173803</v>
      </c>
      <c r="Q606" s="271">
        <f t="shared" si="295"/>
        <v>5.1756420715003735</v>
      </c>
      <c r="R606" s="272">
        <f t="shared" si="296"/>
        <v>1.3763607860104332</v>
      </c>
      <c r="S606" s="270">
        <f t="shared" si="297"/>
        <v>1.0006746497868759</v>
      </c>
      <c r="T606" s="273">
        <f t="shared" si="298"/>
        <v>3.672249205854819E-2</v>
      </c>
      <c r="U606" s="274">
        <f t="shared" si="299"/>
        <v>7.8548645963699935</v>
      </c>
      <c r="V606" s="275">
        <f t="shared" si="300"/>
        <v>2.4312382044620016</v>
      </c>
      <c r="W606" s="276">
        <f t="shared" si="301"/>
        <v>-65.863073741696951</v>
      </c>
      <c r="X606" s="277">
        <f t="shared" si="310"/>
        <v>6.1691553380944129</v>
      </c>
      <c r="Y606" s="299">
        <f t="shared" si="309"/>
        <v>-173.83084466190559</v>
      </c>
      <c r="AB606" s="278">
        <f t="shared" si="302"/>
        <v>-23.476885979160503</v>
      </c>
      <c r="AC606" s="279">
        <f t="shared" si="303"/>
        <v>-85.936108150656608</v>
      </c>
      <c r="AF606" s="278">
        <f t="shared" si="304"/>
        <v>19.417344844445303</v>
      </c>
      <c r="AG606" s="279">
        <f t="shared" si="305"/>
        <v>-267.89473651124888</v>
      </c>
      <c r="AI606">
        <f t="shared" si="306"/>
        <v>0</v>
      </c>
      <c r="AJ606">
        <f t="shared" si="311"/>
        <v>0</v>
      </c>
      <c r="AK606">
        <f t="shared" si="307"/>
        <v>0</v>
      </c>
      <c r="AL606">
        <f t="shared" si="308"/>
        <v>0</v>
      </c>
      <c r="AM606"/>
      <c r="AN606"/>
    </row>
    <row r="607" spans="2:40" x14ac:dyDescent="0.2">
      <c r="B607" s="280">
        <v>575440</v>
      </c>
      <c r="C607" s="270">
        <f t="shared" si="281"/>
        <v>470.02856367758665</v>
      </c>
      <c r="D607" s="271">
        <f t="shared" si="282"/>
        <v>1.5686687949134832</v>
      </c>
      <c r="E607" s="271">
        <f t="shared" si="283"/>
        <v>1.3724807476577807</v>
      </c>
      <c r="F607" s="272">
        <f t="shared" si="284"/>
        <v>0.75450938234412945</v>
      </c>
      <c r="G607" s="271">
        <f t="shared" si="285"/>
        <v>5.9085766328529976</v>
      </c>
      <c r="H607" s="272">
        <f t="shared" si="286"/>
        <v>-1.4007322529782855</v>
      </c>
      <c r="I607" s="270">
        <f t="shared" si="287"/>
        <v>2025037.5558486283</v>
      </c>
      <c r="J607" s="273">
        <f t="shared" si="288"/>
        <v>1.5707958329768945</v>
      </c>
      <c r="K607" s="281">
        <f t="shared" si="289"/>
        <v>303.71172316818144</v>
      </c>
      <c r="L607" s="282">
        <f t="shared" si="290"/>
        <v>1.5675037248615831</v>
      </c>
      <c r="M607" s="270">
        <f t="shared" si="291"/>
        <v>14.717016157928573</v>
      </c>
      <c r="N607" s="273">
        <f t="shared" si="292"/>
        <v>1.5027953751431919</v>
      </c>
      <c r="O607" s="270">
        <f t="shared" si="293"/>
        <v>159091.79876040923</v>
      </c>
      <c r="P607" s="273">
        <f t="shared" si="294"/>
        <v>1.5707900411157616</v>
      </c>
      <c r="Q607" s="271">
        <f t="shared" si="295"/>
        <v>5.65710396698113</v>
      </c>
      <c r="R607" s="272">
        <f t="shared" si="296"/>
        <v>1.3930936541323529</v>
      </c>
      <c r="S607" s="270">
        <f t="shared" si="297"/>
        <v>1.0008110444783238</v>
      </c>
      <c r="T607" s="273">
        <f t="shared" si="298"/>
        <v>4.0261562226983613E-2</v>
      </c>
      <c r="U607" s="274">
        <f t="shared" si="299"/>
        <v>9.2594598086603987</v>
      </c>
      <c r="V607" s="275">
        <f t="shared" si="300"/>
        <v>2.4898781730233992</v>
      </c>
      <c r="W607" s="276">
        <f t="shared" si="301"/>
        <v>-67.755979431964931</v>
      </c>
      <c r="X607" s="277">
        <f t="shared" si="310"/>
        <v>4.1440883012415384</v>
      </c>
      <c r="Y607" s="299">
        <f t="shared" si="309"/>
        <v>-175.85591169875846</v>
      </c>
      <c r="AB607" s="278">
        <f t="shared" si="302"/>
        <v>-24.272800847870823</v>
      </c>
      <c r="AC607" s="279">
        <f t="shared" si="303"/>
        <v>-86.292456368192276</v>
      </c>
      <c r="AF607" s="278">
        <f t="shared" si="304"/>
        <v>18.320354022887642</v>
      </c>
      <c r="AG607" s="279">
        <f t="shared" si="305"/>
        <v>-269.56345533056611</v>
      </c>
      <c r="AI607">
        <f t="shared" si="306"/>
        <v>0</v>
      </c>
      <c r="AJ607">
        <f t="shared" si="311"/>
        <v>0</v>
      </c>
      <c r="AK607">
        <f t="shared" si="307"/>
        <v>0</v>
      </c>
      <c r="AL607">
        <f t="shared" si="308"/>
        <v>0</v>
      </c>
      <c r="AM607"/>
      <c r="AN607"/>
    </row>
    <row r="608" spans="2:40" x14ac:dyDescent="0.2">
      <c r="B608" s="280">
        <v>630960</v>
      </c>
      <c r="C608" s="270">
        <f t="shared" si="281"/>
        <v>515.37798834698572</v>
      </c>
      <c r="D608" s="271">
        <f t="shared" si="282"/>
        <v>1.5688560021204101</v>
      </c>
      <c r="E608" s="271">
        <f t="shared" si="283"/>
        <v>1.4361246058369528</v>
      </c>
      <c r="F608" s="272">
        <f t="shared" si="284"/>
        <v>0.8005411521813548</v>
      </c>
      <c r="G608" s="271">
        <f t="shared" si="285"/>
        <v>6.4630223243917477</v>
      </c>
      <c r="H608" s="272">
        <f t="shared" si="286"/>
        <v>-1.4154458422682541</v>
      </c>
      <c r="I608" s="270">
        <f t="shared" si="287"/>
        <v>2220418.6296368418</v>
      </c>
      <c r="J608" s="273">
        <f t="shared" si="288"/>
        <v>1.5707958764293724</v>
      </c>
      <c r="K608" s="281">
        <f t="shared" si="289"/>
        <v>333.0143439593266</v>
      </c>
      <c r="L608" s="282">
        <f t="shared" si="290"/>
        <v>1.5677934486275729</v>
      </c>
      <c r="M608" s="270">
        <f t="shared" si="291"/>
        <v>16.13068484516138</v>
      </c>
      <c r="N608" s="273">
        <f t="shared" si="292"/>
        <v>1.5087629007303482</v>
      </c>
      <c r="O608" s="270">
        <f t="shared" si="293"/>
        <v>174441.40370070588</v>
      </c>
      <c r="P608" s="273">
        <f t="shared" si="294"/>
        <v>1.5707905942108953</v>
      </c>
      <c r="Q608" s="271">
        <f t="shared" si="295"/>
        <v>6.1865903253196519</v>
      </c>
      <c r="R608" s="272">
        <f t="shared" si="296"/>
        <v>1.4084441208485083</v>
      </c>
      <c r="S608" s="270">
        <f t="shared" si="297"/>
        <v>1.0009750180204073</v>
      </c>
      <c r="T608" s="273">
        <f t="shared" si="298"/>
        <v>4.4141283674163707E-2</v>
      </c>
      <c r="U608" s="274">
        <f t="shared" si="299"/>
        <v>10.949022371854369</v>
      </c>
      <c r="V608" s="275">
        <f t="shared" si="300"/>
        <v>2.5442544624756924</v>
      </c>
      <c r="W608" s="276">
        <f t="shared" si="301"/>
        <v>-69.635701379807003</v>
      </c>
      <c r="X608" s="277">
        <f t="shared" si="310"/>
        <v>2.4869132236705127</v>
      </c>
      <c r="Y608" s="299">
        <f t="shared" si="309"/>
        <v>-177.51308677632949</v>
      </c>
      <c r="AB608" s="278">
        <f t="shared" si="302"/>
        <v>-25.069469559529015</v>
      </c>
      <c r="AC608" s="279">
        <f t="shared" si="303"/>
        <v>-86.617772939100391</v>
      </c>
      <c r="AF608" s="278">
        <f t="shared" si="304"/>
        <v>17.23730078670377</v>
      </c>
      <c r="AG608" s="279">
        <f t="shared" si="305"/>
        <v>-270.89531383722908</v>
      </c>
      <c r="AI608">
        <f t="shared" si="306"/>
        <v>0</v>
      </c>
      <c r="AJ608">
        <f t="shared" si="311"/>
        <v>0</v>
      </c>
      <c r="AK608">
        <f t="shared" si="307"/>
        <v>0</v>
      </c>
      <c r="AL608">
        <f t="shared" si="308"/>
        <v>0</v>
      </c>
      <c r="AM608"/>
      <c r="AN608"/>
    </row>
    <row r="609" spans="2:40" x14ac:dyDescent="0.2">
      <c r="B609" s="280">
        <v>691830</v>
      </c>
      <c r="C609" s="270">
        <f t="shared" si="281"/>
        <v>565.09737664253771</v>
      </c>
      <c r="D609" s="271">
        <f t="shared" si="282"/>
        <v>1.5690267193550957</v>
      </c>
      <c r="E609" s="271">
        <f t="shared" si="283"/>
        <v>1.5090845504321859</v>
      </c>
      <c r="F609" s="272">
        <f t="shared" si="284"/>
        <v>0.84644016257365184</v>
      </c>
      <c r="G609" s="271">
        <f t="shared" si="285"/>
        <v>7.0722387821038577</v>
      </c>
      <c r="H609" s="272">
        <f t="shared" si="286"/>
        <v>-1.4289229254051068</v>
      </c>
      <c r="I609" s="270">
        <f t="shared" si="287"/>
        <v>2434626.9502688446</v>
      </c>
      <c r="J609" s="273">
        <f t="shared" si="288"/>
        <v>1.5707959160543519</v>
      </c>
      <c r="K609" s="281">
        <f t="shared" si="289"/>
        <v>365.14064098750055</v>
      </c>
      <c r="L609" s="282">
        <f t="shared" si="290"/>
        <v>1.5680576526025287</v>
      </c>
      <c r="M609" s="270">
        <f t="shared" si="291"/>
        <v>17.681126483485656</v>
      </c>
      <c r="N609" s="273">
        <f t="shared" si="292"/>
        <v>1.5142086487076964</v>
      </c>
      <c r="O609" s="270">
        <f t="shared" si="293"/>
        <v>191270.1222295007</v>
      </c>
      <c r="P609" s="273">
        <f t="shared" si="294"/>
        <v>1.5707910985868088</v>
      </c>
      <c r="Q609" s="271">
        <f t="shared" si="295"/>
        <v>6.7684991795720473</v>
      </c>
      <c r="R609" s="272">
        <f t="shared" si="296"/>
        <v>1.4225102458854495</v>
      </c>
      <c r="S609" s="270">
        <f t="shared" si="297"/>
        <v>1.0011721008875321</v>
      </c>
      <c r="T609" s="273">
        <f t="shared" si="298"/>
        <v>4.8393329726879854E-2</v>
      </c>
      <c r="U609" s="274">
        <f t="shared" si="299"/>
        <v>12.980723261701893</v>
      </c>
      <c r="V609" s="275">
        <f t="shared" si="300"/>
        <v>2.5945318888904034</v>
      </c>
      <c r="W609" s="276">
        <f t="shared" si="301"/>
        <v>-71.498415744395047</v>
      </c>
      <c r="X609" s="277">
        <f t="shared" si="310"/>
        <v>1.1572042306650019</v>
      </c>
      <c r="Y609" s="299">
        <f t="shared" si="309"/>
        <v>-178.842795769335</v>
      </c>
      <c r="AB609" s="278">
        <f t="shared" si="302"/>
        <v>-25.86661864185826</v>
      </c>
      <c r="AC609" s="279">
        <f t="shared" si="303"/>
        <v>-86.914655812142897</v>
      </c>
      <c r="AF609" s="278">
        <f t="shared" si="304"/>
        <v>16.17173550444496</v>
      </c>
      <c r="AG609" s="279">
        <f t="shared" si="305"/>
        <v>-271.92813995719206</v>
      </c>
      <c r="AI609">
        <f t="shared" si="306"/>
        <v>0</v>
      </c>
      <c r="AJ609">
        <f t="shared" si="311"/>
        <v>0</v>
      </c>
      <c r="AK609">
        <f t="shared" si="307"/>
        <v>0</v>
      </c>
      <c r="AL609">
        <f t="shared" si="308"/>
        <v>0</v>
      </c>
      <c r="AM609"/>
      <c r="AN609"/>
    </row>
    <row r="610" spans="2:40" x14ac:dyDescent="0.2">
      <c r="B610" s="280">
        <v>758580</v>
      </c>
      <c r="C610" s="270">
        <f t="shared" si="281"/>
        <v>619.61963928882574</v>
      </c>
      <c r="D610" s="271">
        <f t="shared" si="282"/>
        <v>1.5691824327691086</v>
      </c>
      <c r="E610" s="271">
        <f t="shared" si="283"/>
        <v>1.5923912802981741</v>
      </c>
      <c r="F610" s="272">
        <f t="shared" si="284"/>
        <v>0.89183330823232942</v>
      </c>
      <c r="G610" s="271">
        <f t="shared" si="285"/>
        <v>7.7415380028860934</v>
      </c>
      <c r="H610" s="272">
        <f t="shared" si="286"/>
        <v>-1.4412610784641053</v>
      </c>
      <c r="I610" s="270">
        <f t="shared" si="287"/>
        <v>2669527.6468712166</v>
      </c>
      <c r="J610" s="273">
        <f t="shared" si="288"/>
        <v>1.5707959521967907</v>
      </c>
      <c r="K610" s="281">
        <f t="shared" si="289"/>
        <v>400.37034051260861</v>
      </c>
      <c r="L610" s="282">
        <f t="shared" si="290"/>
        <v>1.568298636685127</v>
      </c>
      <c r="M610" s="270">
        <f t="shared" si="291"/>
        <v>19.381841387286695</v>
      </c>
      <c r="N610" s="273">
        <f t="shared" si="292"/>
        <v>1.5191787234458916</v>
      </c>
      <c r="O610" s="270">
        <f t="shared" si="293"/>
        <v>209724.48335649076</v>
      </c>
      <c r="P610" s="273">
        <f t="shared" si="294"/>
        <v>1.5707915586343844</v>
      </c>
      <c r="Q610" s="271">
        <f t="shared" si="295"/>
        <v>7.4079057913796156</v>
      </c>
      <c r="R610" s="272">
        <f t="shared" si="296"/>
        <v>1.4353920306718695</v>
      </c>
      <c r="S610" s="270">
        <f t="shared" si="297"/>
        <v>1.0014090213604736</v>
      </c>
      <c r="T610" s="273">
        <f t="shared" si="298"/>
        <v>5.3054102504804829E-2</v>
      </c>
      <c r="U610" s="274">
        <f t="shared" si="299"/>
        <v>15.424170244522793</v>
      </c>
      <c r="V610" s="275">
        <f t="shared" si="300"/>
        <v>2.6409242994025419</v>
      </c>
      <c r="W610" s="276">
        <f t="shared" si="301"/>
        <v>-73.342088307005852</v>
      </c>
      <c r="X610" s="277">
        <f t="shared" si="310"/>
        <v>0.11314574693267332</v>
      </c>
      <c r="Y610" s="299">
        <f t="shared" si="309"/>
        <v>-179.88685425306733</v>
      </c>
      <c r="AB610" s="278">
        <f t="shared" si="302"/>
        <v>-26.664326207019759</v>
      </c>
      <c r="AC610" s="279">
        <f t="shared" si="303"/>
        <v>-87.185614818452535</v>
      </c>
      <c r="AF610" s="278">
        <f t="shared" si="304"/>
        <v>15.125770506995675</v>
      </c>
      <c r="AG610" s="279">
        <f t="shared" si="305"/>
        <v>-272.70123943461471</v>
      </c>
      <c r="AI610">
        <f t="shared" si="306"/>
        <v>0</v>
      </c>
      <c r="AJ610">
        <f t="shared" si="311"/>
        <v>0</v>
      </c>
      <c r="AK610">
        <f t="shared" si="307"/>
        <v>0</v>
      </c>
      <c r="AL610">
        <f t="shared" si="308"/>
        <v>0</v>
      </c>
      <c r="AM610"/>
      <c r="AN610"/>
    </row>
    <row r="611" spans="2:40" x14ac:dyDescent="0.2">
      <c r="B611" s="280">
        <v>831760</v>
      </c>
      <c r="C611" s="270">
        <f t="shared" si="281"/>
        <v>679.3940233933123</v>
      </c>
      <c r="D611" s="271">
        <f t="shared" si="282"/>
        <v>1.5693244263561978</v>
      </c>
      <c r="E611" s="271">
        <f t="shared" si="283"/>
        <v>1.6870983836428182</v>
      </c>
      <c r="F611" s="272">
        <f t="shared" si="284"/>
        <v>0.93634753744954702</v>
      </c>
      <c r="G611" s="271">
        <f t="shared" si="285"/>
        <v>8.4764405071380438</v>
      </c>
      <c r="H611" s="272">
        <f t="shared" si="286"/>
        <v>-1.452546892410997</v>
      </c>
      <c r="I611" s="270">
        <f t="shared" si="287"/>
        <v>2927056.2308017313</v>
      </c>
      <c r="J611" s="273">
        <f t="shared" si="288"/>
        <v>1.5707959851547226</v>
      </c>
      <c r="K611" s="281">
        <f t="shared" si="289"/>
        <v>438.99372470229684</v>
      </c>
      <c r="L611" s="282">
        <f t="shared" si="290"/>
        <v>1.5685183879348072</v>
      </c>
      <c r="M611" s="270">
        <f t="shared" si="291"/>
        <v>21.246843294093416</v>
      </c>
      <c r="N611" s="273">
        <f t="shared" si="292"/>
        <v>1.5237131176252883</v>
      </c>
      <c r="O611" s="270">
        <f t="shared" si="293"/>
        <v>229956.54548796589</v>
      </c>
      <c r="P611" s="273">
        <f t="shared" si="294"/>
        <v>1.5707919781472082</v>
      </c>
      <c r="Q611" s="271">
        <f t="shared" si="295"/>
        <v>8.1100851704130807</v>
      </c>
      <c r="R611" s="272">
        <f t="shared" si="296"/>
        <v>1.447178458032196</v>
      </c>
      <c r="S611" s="270">
        <f t="shared" si="297"/>
        <v>1.0016937491190483</v>
      </c>
      <c r="T611" s="273">
        <f t="shared" si="298"/>
        <v>5.8161188333589756E-2</v>
      </c>
      <c r="U611" s="274">
        <f t="shared" si="299"/>
        <v>18.361898070794059</v>
      </c>
      <c r="V611" s="275">
        <f t="shared" si="300"/>
        <v>2.6836399928379784</v>
      </c>
      <c r="W611" s="276">
        <f t="shared" si="301"/>
        <v>-75.164788914997857</v>
      </c>
      <c r="X611" s="277">
        <f t="shared" si="310"/>
        <v>-0.6857836025819779</v>
      </c>
      <c r="Y611" s="299">
        <f t="shared" si="309"/>
        <v>179.31421639741802</v>
      </c>
      <c r="AB611" s="278">
        <f t="shared" si="302"/>
        <v>-27.462318356819807</v>
      </c>
      <c r="AC611" s="279">
        <f t="shared" si="303"/>
        <v>-87.432827536781659</v>
      </c>
      <c r="AF611" s="278">
        <f t="shared" si="304"/>
        <v>14.101062048803715</v>
      </c>
      <c r="AG611" s="279">
        <f t="shared" si="305"/>
        <v>-273.25295606580033</v>
      </c>
      <c r="AI611">
        <f t="shared" si="306"/>
        <v>0</v>
      </c>
      <c r="AJ611">
        <f t="shared" si="311"/>
        <v>0</v>
      </c>
      <c r="AK611">
        <f t="shared" si="307"/>
        <v>0</v>
      </c>
      <c r="AL611">
        <f t="shared" si="308"/>
        <v>0</v>
      </c>
      <c r="AM611"/>
      <c r="AN611"/>
    </row>
    <row r="612" spans="2:40" x14ac:dyDescent="0.2">
      <c r="B612" s="280">
        <v>912010</v>
      </c>
      <c r="C612" s="270">
        <f t="shared" si="281"/>
        <v>744.94328935244528</v>
      </c>
      <c r="D612" s="271">
        <f t="shared" si="282"/>
        <v>1.5694539423280172</v>
      </c>
      <c r="E612" s="271">
        <f t="shared" si="283"/>
        <v>1.79436841741181</v>
      </c>
      <c r="F612" s="272">
        <f t="shared" si="284"/>
        <v>0.97966690130480116</v>
      </c>
      <c r="G612" s="271">
        <f t="shared" si="285"/>
        <v>9.2833777960778274</v>
      </c>
      <c r="H612" s="272">
        <f t="shared" si="286"/>
        <v>-1.4628674993449264</v>
      </c>
      <c r="I612" s="270">
        <f t="shared" si="287"/>
        <v>3209464.933458522</v>
      </c>
      <c r="J612" s="273">
        <f t="shared" si="288"/>
        <v>1.5707960152164806</v>
      </c>
      <c r="K612" s="281">
        <f t="shared" si="289"/>
        <v>481.34857663746004</v>
      </c>
      <c r="L612" s="282">
        <f t="shared" si="290"/>
        <v>1.5687188287656741</v>
      </c>
      <c r="M612" s="270">
        <f t="shared" si="291"/>
        <v>23.292442963871121</v>
      </c>
      <c r="N612" s="273">
        <f t="shared" si="292"/>
        <v>1.5278507476285741</v>
      </c>
      <c r="O612" s="270">
        <f t="shared" si="293"/>
        <v>252143.24931488189</v>
      </c>
      <c r="P612" s="273">
        <f t="shared" si="294"/>
        <v>1.5707923607953995</v>
      </c>
      <c r="Q612" s="271">
        <f t="shared" si="295"/>
        <v>8.8811832482345547</v>
      </c>
      <c r="R612" s="272">
        <f t="shared" si="296"/>
        <v>1.4579594270275595</v>
      </c>
      <c r="S612" s="270">
        <f t="shared" si="297"/>
        <v>1.0020360009261025</v>
      </c>
      <c r="T612" s="273">
        <f t="shared" si="298"/>
        <v>6.3758175956784152E-2</v>
      </c>
      <c r="U612" s="274">
        <f t="shared" si="299"/>
        <v>21.894641458870169</v>
      </c>
      <c r="V612" s="275">
        <f t="shared" si="300"/>
        <v>2.7229176389373722</v>
      </c>
      <c r="W612" s="276">
        <f t="shared" si="301"/>
        <v>-76.966366059169985</v>
      </c>
      <c r="X612" s="277">
        <f t="shared" si="310"/>
        <v>-1.2785442162165168</v>
      </c>
      <c r="Y612" s="299">
        <f t="shared" si="309"/>
        <v>178.72145578378348</v>
      </c>
      <c r="AB612" s="278">
        <f t="shared" si="302"/>
        <v>-28.260734666934137</v>
      </c>
      <c r="AC612" s="279">
        <f t="shared" si="303"/>
        <v>-87.658413581917728</v>
      </c>
      <c r="AF612" s="278">
        <f t="shared" si="304"/>
        <v>13.097901214745908</v>
      </c>
      <c r="AG612" s="279">
        <f t="shared" si="305"/>
        <v>-273.62013063429879</v>
      </c>
      <c r="AI612">
        <f t="shared" si="306"/>
        <v>0</v>
      </c>
      <c r="AJ612">
        <f t="shared" si="311"/>
        <v>0</v>
      </c>
      <c r="AK612">
        <f t="shared" si="307"/>
        <v>0</v>
      </c>
      <c r="AL612">
        <f t="shared" si="308"/>
        <v>0</v>
      </c>
      <c r="AM612"/>
      <c r="AN612"/>
    </row>
    <row r="613" spans="2:40" x14ac:dyDescent="0.2">
      <c r="B613" s="280">
        <v>1000000</v>
      </c>
      <c r="C613" s="270">
        <f t="shared" si="281"/>
        <v>816.81470206751328</v>
      </c>
      <c r="D613" s="271">
        <f t="shared" si="282"/>
        <v>1.56957205861354</v>
      </c>
      <c r="E613" s="271">
        <f t="shared" si="283"/>
        <v>1.9153957894008646</v>
      </c>
      <c r="F613" s="272">
        <f t="shared" si="284"/>
        <v>1.0215022198003108</v>
      </c>
      <c r="G613" s="271">
        <f t="shared" si="285"/>
        <v>10.169090397301122</v>
      </c>
      <c r="H613" s="272">
        <f t="shared" si="286"/>
        <v>-1.4722999307369005</v>
      </c>
      <c r="I613" s="270">
        <f t="shared" si="287"/>
        <v>3519111.5595865133</v>
      </c>
      <c r="J613" s="273">
        <f t="shared" si="288"/>
        <v>1.5707960426322656</v>
      </c>
      <c r="K613" s="281">
        <f t="shared" si="289"/>
        <v>527.78851315308691</v>
      </c>
      <c r="L613" s="282">
        <f t="shared" si="290"/>
        <v>1.5689016273586767</v>
      </c>
      <c r="M613" s="270">
        <f t="shared" si="291"/>
        <v>25.535719191876474</v>
      </c>
      <c r="N613" s="273">
        <f t="shared" si="292"/>
        <v>1.531625478926639</v>
      </c>
      <c r="O613" s="270">
        <f t="shared" si="293"/>
        <v>276469.82962308335</v>
      </c>
      <c r="P613" s="273">
        <f t="shared" si="294"/>
        <v>1.5707927097636951</v>
      </c>
      <c r="Q613" s="271">
        <f t="shared" si="295"/>
        <v>9.7276418103512672</v>
      </c>
      <c r="R613" s="272">
        <f t="shared" si="296"/>
        <v>1.4678145610599362</v>
      </c>
      <c r="S613" s="270">
        <f t="shared" si="297"/>
        <v>1.0024473132147667</v>
      </c>
      <c r="T613" s="273">
        <f t="shared" si="298"/>
        <v>6.9890378416777518E-2</v>
      </c>
      <c r="U613" s="274">
        <f t="shared" si="299"/>
        <v>26.142165596784537</v>
      </c>
      <c r="V613" s="275">
        <f t="shared" si="300"/>
        <v>2.7589799739167828</v>
      </c>
      <c r="W613" s="276">
        <f t="shared" si="301"/>
        <v>-78.746651529893285</v>
      </c>
      <c r="X613" s="277">
        <f t="shared" si="310"/>
        <v>-1.7007868546083955</v>
      </c>
      <c r="Y613" s="299">
        <f t="shared" si="309"/>
        <v>178.2992131453916</v>
      </c>
      <c r="AB613" s="278">
        <f t="shared" si="302"/>
        <v>-29.059398884259224</v>
      </c>
      <c r="AC613" s="279">
        <f t="shared" si="303"/>
        <v>-87.86421773702159</v>
      </c>
      <c r="AF613" s="278">
        <f t="shared" si="304"/>
        <v>12.116279961347685</v>
      </c>
      <c r="AG613" s="279">
        <f t="shared" si="305"/>
        <v>-273.83656911758681</v>
      </c>
      <c r="AI613">
        <f t="shared" si="306"/>
        <v>0</v>
      </c>
      <c r="AJ613">
        <f t="shared" si="311"/>
        <v>0</v>
      </c>
      <c r="AK613">
        <f t="shared" si="307"/>
        <v>0</v>
      </c>
      <c r="AL613">
        <f t="shared" si="308"/>
        <v>0</v>
      </c>
      <c r="AM613"/>
      <c r="AN613"/>
    </row>
    <row r="614" spans="2:40" x14ac:dyDescent="0.2">
      <c r="B614" s="283"/>
      <c r="C614" s="284"/>
      <c r="D614" s="284"/>
      <c r="E614" s="284"/>
      <c r="F614" s="284"/>
      <c r="G614" s="271"/>
      <c r="H614" s="272"/>
      <c r="I614" s="284"/>
      <c r="J614" s="284"/>
      <c r="K614" s="284"/>
      <c r="L614" s="284"/>
      <c r="M614" s="284"/>
      <c r="N614" s="284"/>
      <c r="O614" s="284"/>
      <c r="P614" s="284"/>
      <c r="Q614" s="284"/>
      <c r="R614" s="284"/>
      <c r="S614" s="284"/>
      <c r="T614" s="284"/>
      <c r="U614" s="284"/>
      <c r="V614" s="285"/>
      <c r="W614" s="363"/>
      <c r="X614" s="277"/>
      <c r="Y614" s="286"/>
      <c r="AF614" s="278"/>
      <c r="AG614" s="279"/>
    </row>
    <row r="615" spans="2:40" x14ac:dyDescent="0.2">
      <c r="B615" s="283"/>
      <c r="C615" s="284"/>
      <c r="D615" s="284"/>
      <c r="E615" s="284"/>
      <c r="F615" s="284"/>
      <c r="G615" s="271"/>
      <c r="H615" s="272"/>
      <c r="I615" s="284"/>
      <c r="J615" s="284"/>
      <c r="K615" s="284"/>
      <c r="L615" s="284"/>
      <c r="M615" s="284"/>
      <c r="N615" s="284"/>
      <c r="O615" s="284"/>
      <c r="P615" s="284"/>
      <c r="Q615" s="284"/>
      <c r="R615" s="284"/>
      <c r="S615" s="284"/>
      <c r="T615" s="284"/>
      <c r="U615" s="284"/>
      <c r="V615" s="285"/>
      <c r="W615" s="286"/>
      <c r="X615" s="277"/>
      <c r="Y615" s="286"/>
      <c r="AF615" s="278"/>
      <c r="AG615" s="279"/>
    </row>
    <row r="616" spans="2:40" x14ac:dyDescent="0.2">
      <c r="B616" s="253" t="s">
        <v>449</v>
      </c>
      <c r="G616" s="271"/>
      <c r="H616" s="272"/>
      <c r="W616" s="276"/>
      <c r="X616" s="277"/>
      <c r="Y616" s="286"/>
      <c r="AF616" s="278"/>
      <c r="AG616" s="279"/>
    </row>
    <row r="617" spans="2:40" x14ac:dyDescent="0.2">
      <c r="B617" s="287">
        <f>Q4*1000</f>
        <v>3981.1</v>
      </c>
      <c r="C617" s="288">
        <f>SQRT(1+(B617/PS_Pole1)^2)</f>
        <v>3.4021058235345971</v>
      </c>
      <c r="D617" s="281">
        <f>ATAN(B617/PS_Pole1)</f>
        <v>1.2724545968778747</v>
      </c>
      <c r="E617" s="281">
        <f>SQRT(1+(B617/PS_Zero1)^2)</f>
        <v>1.000021148424441</v>
      </c>
      <c r="F617" s="282">
        <f>ATAN(B617/PS_Zero1)</f>
        <v>6.5035454537721738E-3</v>
      </c>
      <c r="G617" s="271">
        <f>IF(VIN_nom&gt;Vout, 1, SQRT(1+(B617/PS_RHPZ)^2))</f>
        <v>1.0008112302136447</v>
      </c>
      <c r="H617" s="272">
        <f>IF(VIN_nom&gt;Vout, 0, -ATAN(B617/PS_RHPZ))</f>
        <v>-4.0266168950255421E-2</v>
      </c>
      <c r="I617" s="288">
        <f>SQRT(1+(B617/EA_Pole1)^2)</f>
        <v>14009.935065558262</v>
      </c>
      <c r="J617" s="273">
        <f>ATAN(B617/EA_Pole1)</f>
        <v>1.5707249488765715</v>
      </c>
      <c r="K617" s="281">
        <f>SQRT(1+(B617/EA_Zero1)^2)</f>
        <v>2.3270016564942977</v>
      </c>
      <c r="L617" s="282">
        <f>ATAN(B617/EA_Zero1)</f>
        <v>1.1265942227082046</v>
      </c>
      <c r="M617" s="288">
        <f>SQRT(1+(B617/EA_Pole2)^2)</f>
        <v>1.005146236929418</v>
      </c>
      <c r="N617" s="289">
        <f>ATAN(B617/EA_Pole2)</f>
        <v>0.1012350099547915</v>
      </c>
      <c r="O617" s="288">
        <f>SQRT(1+(G617/EA_Pole1)^2)</f>
        <v>3.6611811080356396</v>
      </c>
      <c r="P617" s="273">
        <f>ATAN(G617/EA_Pole1)</f>
        <v>1.2941449414695723</v>
      </c>
      <c r="Q617" s="281">
        <f>SQRT(1+(G617/EA_Zero1)^2)</f>
        <v>1.0000001395059153</v>
      </c>
      <c r="R617" s="282">
        <f>ATAN(G617/EA_Zero1)</f>
        <v>5.2821567389671031E-4</v>
      </c>
      <c r="S617" s="288">
        <f>SQRT(1+(G617/EA_Pole2)^2)</f>
        <v>1.000000000326065</v>
      </c>
      <c r="T617" s="289">
        <f>ATAN(G617/EA_Pole2)</f>
        <v>2.5536830714373101E-5</v>
      </c>
      <c r="U617" s="288">
        <f>SQRT((1-(B617^2/(PS_Pole2^2)))^2+(B617/(Q*PS_Pole2))^2)</f>
        <v>1.0003546816711815</v>
      </c>
      <c r="V617" s="275">
        <f>ATAN((B617/(Q*PS_Pole2))/(1-B617^2/PS_Pole2^2))</f>
        <v>3.8851771735151849E-2</v>
      </c>
      <c r="W617" s="276">
        <f>20*LOG10(((E617*K617*G617)/(C617*I617*U617*M617))*Adc)</f>
        <v>0.40607870808280921</v>
      </c>
      <c r="X617" s="277">
        <f>((F617+L617+H617)-(D617+J617+V617+N617))*radconv</f>
        <v>-108.31393137269268</v>
      </c>
      <c r="Y617" s="279">
        <f t="shared" ref="Y617:Y626" si="312">IF(X617&gt;0,X617,X617+180)</f>
        <v>71.686068627307321</v>
      </c>
      <c r="Z617" s="253" t="s">
        <v>450</v>
      </c>
      <c r="AB617" s="278">
        <f t="shared" ref="AB617:AB626" si="313">20*LOG10((K617/(I617*M617))*AEA)</f>
        <v>-7.4348612802509706E-2</v>
      </c>
      <c r="AC617" s="279">
        <f t="shared" ref="AC617:AC626" si="314">(L617-(J617+N617))*radconv</f>
        <v>-31.247154970902315</v>
      </c>
      <c r="AF617" s="278">
        <f>20*LOG10((E617*G617/(C617*U617))*Acs*Am)</f>
        <v>62.28395992786708</v>
      </c>
      <c r="AG617" s="279">
        <f>(F617+H617-(D617+V617))*radconv</f>
        <v>-77.066776401790321</v>
      </c>
    </row>
    <row r="618" spans="2:40" x14ac:dyDescent="0.2">
      <c r="B618" s="287">
        <f>B617</f>
        <v>3981.1</v>
      </c>
      <c r="C618" s="288"/>
      <c r="D618" s="281"/>
      <c r="E618" s="281"/>
      <c r="F618" s="282"/>
      <c r="G618" s="271"/>
      <c r="H618" s="272"/>
      <c r="I618" s="288"/>
      <c r="J618" s="289"/>
      <c r="K618" s="281"/>
      <c r="L618" s="282"/>
      <c r="M618" s="270"/>
      <c r="N618" s="273"/>
      <c r="O618" s="288"/>
      <c r="P618" s="289"/>
      <c r="Q618" s="281"/>
      <c r="R618" s="282"/>
      <c r="S618" s="270"/>
      <c r="T618" s="273"/>
      <c r="U618" s="288"/>
      <c r="V618" s="275"/>
      <c r="W618" s="276"/>
      <c r="X618" s="277">
        <v>0</v>
      </c>
      <c r="Y618" s="279">
        <f>IF(X618&gt;=0,X618,X618+180)</f>
        <v>0</v>
      </c>
      <c r="AB618" s="278"/>
      <c r="AC618" s="279"/>
      <c r="AF618" s="278"/>
      <c r="AG618" s="279"/>
    </row>
    <row r="619" spans="2:40" x14ac:dyDescent="0.2">
      <c r="B619" s="253">
        <f>B618</f>
        <v>3981.1</v>
      </c>
      <c r="C619" s="288"/>
      <c r="D619" s="281"/>
      <c r="E619" s="281"/>
      <c r="F619" s="282"/>
      <c r="G619" s="271"/>
      <c r="H619" s="272"/>
      <c r="I619" s="288"/>
      <c r="J619" s="289"/>
      <c r="K619" s="281"/>
      <c r="L619" s="282"/>
      <c r="M619" s="270"/>
      <c r="N619" s="273"/>
      <c r="O619" s="288"/>
      <c r="P619" s="289"/>
      <c r="Q619" s="281"/>
      <c r="R619" s="282"/>
      <c r="S619" s="270"/>
      <c r="T619" s="273"/>
      <c r="U619" s="288"/>
      <c r="V619" s="275"/>
      <c r="W619" s="276"/>
      <c r="X619" s="277">
        <f>X617</f>
        <v>-108.31393137269268</v>
      </c>
      <c r="Y619" s="279">
        <f t="shared" si="312"/>
        <v>71.686068627307321</v>
      </c>
      <c r="AB619" s="278"/>
      <c r="AC619" s="279"/>
      <c r="AF619" s="278"/>
      <c r="AG619" s="279"/>
    </row>
    <row r="620" spans="2:40" x14ac:dyDescent="0.2">
      <c r="B620" s="287">
        <v>1000000</v>
      </c>
      <c r="C620" s="288"/>
      <c r="D620" s="281"/>
      <c r="E620" s="281"/>
      <c r="F620" s="282"/>
      <c r="G620" s="271"/>
      <c r="H620" s="272"/>
      <c r="I620" s="288"/>
      <c r="J620" s="289"/>
      <c r="K620" s="281"/>
      <c r="L620" s="282"/>
      <c r="M620" s="270"/>
      <c r="N620" s="273"/>
      <c r="O620" s="288"/>
      <c r="P620" s="289"/>
      <c r="Q620" s="281"/>
      <c r="R620" s="282"/>
      <c r="S620" s="270"/>
      <c r="T620" s="273"/>
      <c r="U620" s="288"/>
      <c r="V620" s="275"/>
      <c r="W620" s="276"/>
      <c r="X620" s="277">
        <f>X617</f>
        <v>-108.31393137269268</v>
      </c>
      <c r="Y620" s="279">
        <f t="shared" si="312"/>
        <v>71.686068627307321</v>
      </c>
      <c r="AB620" s="278"/>
      <c r="AC620" s="279"/>
      <c r="AF620" s="278"/>
      <c r="AG620" s="279"/>
    </row>
    <row r="621" spans="2:40" x14ac:dyDescent="0.2">
      <c r="B621" s="287"/>
      <c r="C621" s="288"/>
      <c r="D621" s="281"/>
      <c r="E621" s="281"/>
      <c r="F621" s="282"/>
      <c r="G621" s="271"/>
      <c r="H621" s="272"/>
      <c r="I621" s="288"/>
      <c r="J621" s="289"/>
      <c r="K621" s="281"/>
      <c r="L621" s="282"/>
      <c r="M621" s="270"/>
      <c r="N621" s="273"/>
      <c r="O621" s="288"/>
      <c r="P621" s="289"/>
      <c r="Q621" s="281"/>
      <c r="R621" s="282"/>
      <c r="S621" s="270"/>
      <c r="T621" s="273"/>
      <c r="U621" s="288"/>
      <c r="V621" s="275"/>
      <c r="W621" s="276"/>
      <c r="X621" s="277"/>
      <c r="Y621" s="279"/>
      <c r="AB621" s="278"/>
      <c r="AC621" s="279"/>
      <c r="AF621" s="278"/>
      <c r="AG621" s="279"/>
    </row>
    <row r="622" spans="2:40" x14ac:dyDescent="0.2">
      <c r="B622" s="364">
        <f>PS_Pole1</f>
        <v>1224.2687930145796</v>
      </c>
      <c r="C622" s="288">
        <f t="shared" ref="C622:C628" si="315">SQRT(1+(B622/PS_Pole1)^2)</f>
        <v>1.4142135623730951</v>
      </c>
      <c r="D622" s="281">
        <f t="shared" ref="D622:D628" si="316">ATAN(B622/PS_Pole1)</f>
        <v>0.78539816339744828</v>
      </c>
      <c r="E622" s="281">
        <f t="shared" ref="E622:E628" si="317">SQRT(1+(B622/PS_Zero1)^2)</f>
        <v>1.0000019999979999</v>
      </c>
      <c r="F622" s="282">
        <f t="shared" ref="F622:F628" si="318">ATAN(B622/PS_Zero1)</f>
        <v>1.9999973333397333E-3</v>
      </c>
      <c r="G622" s="271">
        <f t="shared" ref="G622:G628" si="319">IF(VIN_nom&gt;Vout, 1, SQRT(1+(B622/PS_RHPZ)^2))</f>
        <v>1.00007674515343</v>
      </c>
      <c r="H622" s="272">
        <f t="shared" ref="H622:H628" si="320">IF(VIN_nom&gt;Vout, 0, -ATAN(B622/PS_RHPZ))</f>
        <v>-1.238872435477982E-2</v>
      </c>
      <c r="I622" s="288">
        <f t="shared" ref="I622:I628" si="321">SQRT(1+(B622/EA_Pole1)^2)</f>
        <v>4308.3385775924808</v>
      </c>
      <c r="J622" s="273">
        <f t="shared" ref="J622:J628" si="322">ATAN(B622/EA_Pole1)</f>
        <v>1.5705642187581281</v>
      </c>
      <c r="K622" s="281">
        <f t="shared" ref="K622:K628" si="323">SQRT(1+(B622/EA_Zero1)^2)</f>
        <v>1.1905943023966681</v>
      </c>
      <c r="L622" s="282">
        <f t="shared" ref="L622:L628" si="324">ATAN(B622/EA_Zero1)</f>
        <v>0.57366666816816092</v>
      </c>
      <c r="M622" s="270">
        <f t="shared" ref="M622:M628" si="325">SQRT(1+(B622/EA_Pole2)^2)</f>
        <v>1.0004878061882587</v>
      </c>
      <c r="N622" s="273">
        <f t="shared" ref="N622:N628" si="326">ATAN(B622/EA_Pole2)</f>
        <v>3.1228447769155232E-2</v>
      </c>
      <c r="O622" s="288">
        <f t="shared" ref="O622:O628" si="327">SQRT(1+(G622/EA_Pole1)^2)</f>
        <v>3.658694724645724</v>
      </c>
      <c r="P622" s="273">
        <f t="shared" ref="P622:P628" si="328">ATAN(G622/EA_Pole1)</f>
        <v>1.2939519808802245</v>
      </c>
      <c r="Q622" s="281">
        <f t="shared" ref="Q622:Q628" si="329">SQRT(1+(G622/EA_Zero1)^2)</f>
        <v>1.0000001393012266</v>
      </c>
      <c r="R622" s="282">
        <f t="shared" ref="R622:R628" si="330">ATAN(G622/EA_Zero1)</f>
        <v>5.2782802192274101E-4</v>
      </c>
      <c r="S622" s="270">
        <f t="shared" ref="S622:S628" si="331">SQRT(1+(G622/EA_Pole2)^2)</f>
        <v>1.0000000003255864</v>
      </c>
      <c r="T622" s="273">
        <f t="shared" ref="T622:T628" si="332">ATAN(G622/EA_Pole2)</f>
        <v>2.5518089497177937E-5</v>
      </c>
      <c r="U622" s="288">
        <f t="shared" ref="U622:U628" si="333">SQRT((1-(B622^2/(PS_Pole2^2)))^2+(B622/(Q*PS_Pole2))^2)</f>
        <v>1.0000335403102028</v>
      </c>
      <c r="V622" s="275">
        <f t="shared" ref="V622:V628" si="334">ATAN((B622/(Q*PS_Pole2))/(1-B622^2/PS_Pole2^2))</f>
        <v>1.1948820432121246E-2</v>
      </c>
      <c r="W622" s="276">
        <f t="shared" ref="W622:W628" si="335">20*LOG10(((E622*K622*G622)/(C622*I622*U622*M622))*Adc)</f>
        <v>12.489197938218407</v>
      </c>
      <c r="X622" s="277">
        <f t="shared" ref="X622:X628" si="336">((F622+L622+H622)-(D622+J622+V622+N622))*radconv</f>
        <v>-105.18712770741418</v>
      </c>
      <c r="Y622" s="279">
        <f t="shared" si="312"/>
        <v>74.812872292585823</v>
      </c>
      <c r="Z622" s="253" t="s">
        <v>427</v>
      </c>
      <c r="AB622" s="278">
        <f t="shared" si="313"/>
        <v>4.3878684943319017</v>
      </c>
      <c r="AC622" s="279">
        <f t="shared" si="314"/>
        <v>-58.907280513651905</v>
      </c>
      <c r="AF622" s="278">
        <f t="shared" ref="AF622:AF628" si="337">20*LOG10((E622*G622/(C622*U622))*Acs*Am)</f>
        <v>69.90486205086826</v>
      </c>
      <c r="AG622" s="279">
        <f t="shared" ref="AG622:AG628" si="338">(F622+H622-(D622+V622))*radconv</f>
        <v>-46.279847193762265</v>
      </c>
    </row>
    <row r="623" spans="2:40" x14ac:dyDescent="0.2">
      <c r="B623" s="364">
        <f>PS_Zero1</f>
        <v>612134.39650728984</v>
      </c>
      <c r="C623" s="288">
        <f t="shared" si="315"/>
        <v>500.00099999900004</v>
      </c>
      <c r="D623" s="281">
        <f t="shared" si="316"/>
        <v>1.5687963294615568</v>
      </c>
      <c r="E623" s="281">
        <f t="shared" si="317"/>
        <v>1.4142135623730951</v>
      </c>
      <c r="F623" s="282">
        <f t="shared" si="318"/>
        <v>0.78539816339744828</v>
      </c>
      <c r="G623" s="271">
        <f t="shared" si="319"/>
        <v>6.2748744345755334</v>
      </c>
      <c r="H623" s="272">
        <f t="shared" si="320"/>
        <v>-1.4107481794752381</v>
      </c>
      <c r="I623" s="288">
        <f t="shared" si="321"/>
        <v>2154169.2307694629</v>
      </c>
      <c r="J623" s="273">
        <f t="shared" si="322"/>
        <v>1.5707958625788148</v>
      </c>
      <c r="K623" s="281">
        <f t="shared" si="323"/>
        <v>323.07847069226403</v>
      </c>
      <c r="L623" s="282">
        <f t="shared" si="324"/>
        <v>1.5677010985842434</v>
      </c>
      <c r="M623" s="270">
        <f t="shared" si="325"/>
        <v>15.651280549804355</v>
      </c>
      <c r="N623" s="273">
        <f t="shared" si="326"/>
        <v>1.5068602401762778</v>
      </c>
      <c r="O623" s="288">
        <f t="shared" si="327"/>
        <v>22.104614454351438</v>
      </c>
      <c r="P623" s="273">
        <f t="shared" si="328"/>
        <v>1.5255414585188614</v>
      </c>
      <c r="Q623" s="281">
        <f t="shared" si="329"/>
        <v>1.0000054839969128</v>
      </c>
      <c r="R623" s="282">
        <f t="shared" si="330"/>
        <v>3.3117885956545556E-3</v>
      </c>
      <c r="S623" s="270">
        <f t="shared" si="331"/>
        <v>1.0000000128176891</v>
      </c>
      <c r="T623" s="273">
        <f t="shared" si="332"/>
        <v>1.6011051836524088E-4</v>
      </c>
      <c r="U623" s="288">
        <f t="shared" si="333"/>
        <v>10.358637243426722</v>
      </c>
      <c r="V623" s="275">
        <f t="shared" si="334"/>
        <v>-0.61475942379590143</v>
      </c>
      <c r="W623" s="276">
        <f t="shared" si="335"/>
        <v>-69.019240935885875</v>
      </c>
      <c r="X623" s="277">
        <f t="shared" si="336"/>
        <v>-177.00625382770653</v>
      </c>
      <c r="Y623" s="279">
        <f t="shared" si="312"/>
        <v>2.99374617229347</v>
      </c>
      <c r="Z623" s="253" t="s">
        <v>422</v>
      </c>
      <c r="AB623" s="278">
        <f t="shared" si="313"/>
        <v>-24.807408514716258</v>
      </c>
      <c r="AC623" s="279">
        <f t="shared" si="314"/>
        <v>-86.514048993648274</v>
      </c>
      <c r="AF623" s="278">
        <f t="shared" si="337"/>
        <v>17.591700185812137</v>
      </c>
      <c r="AG623" s="279">
        <f t="shared" si="338"/>
        <v>-90.492204834058228</v>
      </c>
    </row>
    <row r="624" spans="2:40" x14ac:dyDescent="0.2">
      <c r="B624" s="364">
        <f>EA_Pole1</f>
        <v>0.2841626311265727</v>
      </c>
      <c r="C624" s="288">
        <f t="shared" si="315"/>
        <v>1.000000026937071</v>
      </c>
      <c r="D624" s="281">
        <f t="shared" si="316"/>
        <v>2.3210803676850954E-4</v>
      </c>
      <c r="E624" s="281">
        <f t="shared" si="317"/>
        <v>1.0000000000001079</v>
      </c>
      <c r="F624" s="282">
        <f t="shared" si="318"/>
        <v>4.6421608187339985E-7</v>
      </c>
      <c r="G624" s="271">
        <f t="shared" si="319"/>
        <v>1.0000000000041347</v>
      </c>
      <c r="H624" s="272">
        <f t="shared" si="320"/>
        <v>-2.8756696609209992E-6</v>
      </c>
      <c r="I624" s="288">
        <f t="shared" si="321"/>
        <v>1.4142135623730951</v>
      </c>
      <c r="J624" s="273">
        <f t="shared" si="322"/>
        <v>0.78539816339744828</v>
      </c>
      <c r="K624" s="281">
        <f t="shared" si="323"/>
        <v>1.0000000112466256</v>
      </c>
      <c r="L624" s="282">
        <f t="shared" si="324"/>
        <v>1.4997750224999995E-4</v>
      </c>
      <c r="M624" s="270">
        <f t="shared" si="325"/>
        <v>1.0000000000262865</v>
      </c>
      <c r="N624" s="273">
        <f t="shared" si="326"/>
        <v>7.2507309958255621E-6</v>
      </c>
      <c r="O624" s="288">
        <f t="shared" si="327"/>
        <v>3.6584349343560603</v>
      </c>
      <c r="P624" s="273">
        <f t="shared" si="328"/>
        <v>1.2939318036076786</v>
      </c>
      <c r="Q624" s="281">
        <f t="shared" si="329"/>
        <v>1.0000001392798477</v>
      </c>
      <c r="R624" s="282">
        <f t="shared" si="330"/>
        <v>5.277875167984912E-4</v>
      </c>
      <c r="S624" s="270">
        <f t="shared" si="331"/>
        <v>1.0000000003255365</v>
      </c>
      <c r="T624" s="273">
        <f t="shared" si="332"/>
        <v>2.5516131257875972E-5</v>
      </c>
      <c r="U624" s="288">
        <f t="shared" si="333"/>
        <v>1.000000000001807</v>
      </c>
      <c r="V624" s="275">
        <f t="shared" si="334"/>
        <v>2.7734443260802687E-6</v>
      </c>
      <c r="W624" s="276">
        <f t="shared" si="335"/>
        <v>83.663961691514444</v>
      </c>
      <c r="X624" s="277">
        <f t="shared" si="336"/>
        <v>-45.005418242048684</v>
      </c>
      <c r="Y624" s="279">
        <f t="shared" si="312"/>
        <v>134.99458175795132</v>
      </c>
      <c r="Z624" s="253" t="s">
        <v>430</v>
      </c>
      <c r="AA624" s="253">
        <f>EA_Pole1</f>
        <v>0.2841626311265727</v>
      </c>
      <c r="AB624" s="278">
        <f t="shared" si="313"/>
        <v>72.552725148491689</v>
      </c>
      <c r="AC624" s="279">
        <f t="shared" si="314"/>
        <v>-44.991822358383608</v>
      </c>
      <c r="AF624" s="278">
        <f t="shared" si="337"/>
        <v>72.914769150004531</v>
      </c>
      <c r="AG624" s="279">
        <f t="shared" si="338"/>
        <v>-1.3595883665072975E-2</v>
      </c>
    </row>
    <row r="625" spans="1:33" x14ac:dyDescent="0.2">
      <c r="B625" s="364">
        <f>EA_Zero1</f>
        <v>1894.7017034749442</v>
      </c>
      <c r="C625" s="288">
        <f t="shared" si="315"/>
        <v>1.8425864203757953</v>
      </c>
      <c r="D625" s="281">
        <f t="shared" si="316"/>
        <v>0.99712965862673575</v>
      </c>
      <c r="E625" s="281">
        <f t="shared" si="317"/>
        <v>1.0000047902379599</v>
      </c>
      <c r="F625" s="282">
        <f t="shared" si="318"/>
        <v>3.0952282106532264E-3</v>
      </c>
      <c r="G625" s="271">
        <f t="shared" si="319"/>
        <v>1.0001838043752569</v>
      </c>
      <c r="H625" s="272">
        <f t="shared" si="320"/>
        <v>-1.9171657533887894E-2</v>
      </c>
      <c r="I625" s="288">
        <f t="shared" si="321"/>
        <v>6667.6667416554164</v>
      </c>
      <c r="J625" s="273">
        <f t="shared" si="322"/>
        <v>1.5706463492926466</v>
      </c>
      <c r="K625" s="281">
        <f t="shared" si="323"/>
        <v>1.4142135623730951</v>
      </c>
      <c r="L625" s="282">
        <f t="shared" si="324"/>
        <v>0.78539816339744828</v>
      </c>
      <c r="M625" s="270">
        <f t="shared" si="325"/>
        <v>1.0011679595594238</v>
      </c>
      <c r="N625" s="273">
        <f t="shared" si="326"/>
        <v>4.8307844427985122E-2</v>
      </c>
      <c r="O625" s="288">
        <f t="shared" si="327"/>
        <v>3.6590571337026585</v>
      </c>
      <c r="P625" s="273">
        <f t="shared" si="328"/>
        <v>1.2939801233204353</v>
      </c>
      <c r="Q625" s="281">
        <f t="shared" si="329"/>
        <v>1.0000001393310527</v>
      </c>
      <c r="R625" s="282">
        <f t="shared" si="330"/>
        <v>5.2788452643308175E-4</v>
      </c>
      <c r="S625" s="270">
        <f t="shared" si="331"/>
        <v>1.0000000003256562</v>
      </c>
      <c r="T625" s="273">
        <f t="shared" si="332"/>
        <v>2.5520821234333239E-5</v>
      </c>
      <c r="U625" s="288">
        <f t="shared" si="333"/>
        <v>1.0000803337397621</v>
      </c>
      <c r="V625" s="275">
        <f t="shared" si="334"/>
        <v>1.849197071976948E-2</v>
      </c>
      <c r="W625" s="276">
        <f t="shared" si="335"/>
        <v>7.8873280912063599</v>
      </c>
      <c r="X625" s="277">
        <f t="shared" si="336"/>
        <v>-106.87118701881377</v>
      </c>
      <c r="Y625" s="279">
        <f t="shared" si="312"/>
        <v>73.128812981186229</v>
      </c>
      <c r="Z625" s="253" t="s">
        <v>425</v>
      </c>
      <c r="AA625" s="253">
        <f>EA_Zero1</f>
        <v>1894.7017034749442</v>
      </c>
      <c r="AB625" s="278">
        <f t="shared" si="313"/>
        <v>2.0837084138956592</v>
      </c>
      <c r="AC625" s="279">
        <f t="shared" si="314"/>
        <v>-47.759242525197287</v>
      </c>
      <c r="AF625" s="278">
        <f t="shared" si="337"/>
        <v>67.607152284292468</v>
      </c>
      <c r="AG625" s="279">
        <f t="shared" si="338"/>
        <v>-59.111944493616491</v>
      </c>
    </row>
    <row r="626" spans="1:33" x14ac:dyDescent="0.2">
      <c r="B626" s="364">
        <f>PS_Pole2</f>
        <v>199000</v>
      </c>
      <c r="C626" s="288">
        <f t="shared" si="315"/>
        <v>162.54907991987429</v>
      </c>
      <c r="D626" s="281">
        <f t="shared" si="316"/>
        <v>1.5646442999213728</v>
      </c>
      <c r="E626" s="281">
        <f t="shared" si="317"/>
        <v>1.0515154842089538</v>
      </c>
      <c r="F626" s="282">
        <f t="shared" si="318"/>
        <v>0.31431511473602908</v>
      </c>
      <c r="G626" s="271">
        <f t="shared" si="319"/>
        <v>2.2484559659765169</v>
      </c>
      <c r="H626" s="272">
        <f t="shared" si="320"/>
        <v>-1.1099016034363616</v>
      </c>
      <c r="I626" s="288">
        <f t="shared" si="321"/>
        <v>700303.20035840187</v>
      </c>
      <c r="J626" s="273">
        <f t="shared" si="322"/>
        <v>1.5707948988419764</v>
      </c>
      <c r="K626" s="281">
        <f t="shared" si="323"/>
        <v>105.03448604397474</v>
      </c>
      <c r="L626" s="282">
        <f t="shared" si="324"/>
        <v>1.5612755003928869</v>
      </c>
      <c r="M626" s="270">
        <f t="shared" si="325"/>
        <v>5.1752429968988736</v>
      </c>
      <c r="N626" s="273">
        <f t="shared" si="326"/>
        <v>1.3763456007830037</v>
      </c>
      <c r="O626" s="288">
        <f t="shared" si="327"/>
        <v>7.9755076678711863</v>
      </c>
      <c r="P626" s="273">
        <f t="shared" si="328"/>
        <v>1.4450815836936222</v>
      </c>
      <c r="Q626" s="281">
        <f t="shared" si="329"/>
        <v>1.0000007041366241</v>
      </c>
      <c r="R626" s="282">
        <f t="shared" si="330"/>
        <v>1.1867065440291573E-3</v>
      </c>
      <c r="S626" s="270">
        <f t="shared" si="331"/>
        <v>1.0000000016457673</v>
      </c>
      <c r="T626" s="273">
        <f t="shared" si="332"/>
        <v>5.7371897504677806E-5</v>
      </c>
      <c r="U626" s="288">
        <f t="shared" si="333"/>
        <v>1.9422519375689027</v>
      </c>
      <c r="V626" s="275" t="e">
        <f t="shared" si="334"/>
        <v>#DIV/0!</v>
      </c>
      <c r="W626" s="276">
        <f t="shared" si="335"/>
        <v>-46.595237468345658</v>
      </c>
      <c r="X626" s="277" t="e">
        <f t="shared" si="336"/>
        <v>#DIV/0!</v>
      </c>
      <c r="Y626" s="279" t="e">
        <f t="shared" si="312"/>
        <v>#DIV/0!</v>
      </c>
      <c r="Z626" s="253" t="s">
        <v>423</v>
      </c>
      <c r="AB626" s="278">
        <f t="shared" si="313"/>
        <v>-15.194673846814382</v>
      </c>
      <c r="AC626" s="279">
        <f t="shared" si="314"/>
        <v>-79.404215430900024</v>
      </c>
      <c r="AF626" s="278">
        <f t="shared" si="337"/>
        <v>30.402968985450492</v>
      </c>
      <c r="AG626" s="279" t="e">
        <f t="shared" si="338"/>
        <v>#DIV/0!</v>
      </c>
    </row>
    <row r="627" spans="1:33" ht="13.6" thickBot="1" x14ac:dyDescent="0.25">
      <c r="B627" s="344">
        <f>Fp2_u</f>
        <v>39190.894171248787</v>
      </c>
      <c r="C627" s="288">
        <f t="shared" si="315"/>
        <v>32.027290049107684</v>
      </c>
      <c r="D627" s="281">
        <f t="shared" si="316"/>
        <v>1.5395678790257414</v>
      </c>
      <c r="E627" s="281">
        <f t="shared" si="317"/>
        <v>1.0020473986950711</v>
      </c>
      <c r="F627" s="282">
        <f t="shared" si="318"/>
        <v>6.3936086618618715E-2</v>
      </c>
      <c r="G627" s="271">
        <f t="shared" si="319"/>
        <v>1.0757763774678553</v>
      </c>
      <c r="H627" s="272">
        <f t="shared" si="320"/>
        <v>-0.37757545575933343</v>
      </c>
      <c r="I627" s="288">
        <f t="shared" si="321"/>
        <v>137917.12871219311</v>
      </c>
      <c r="J627" s="273">
        <f t="shared" si="322"/>
        <v>1.5707890760639007</v>
      </c>
      <c r="K627" s="281">
        <f t="shared" si="323"/>
        <v>20.708625256829162</v>
      </c>
      <c r="L627" s="282">
        <f t="shared" si="324"/>
        <v>1.5224884823669116</v>
      </c>
      <c r="M627" s="270">
        <f t="shared" si="325"/>
        <v>1.4142135623730951</v>
      </c>
      <c r="N627" s="273">
        <f t="shared" si="326"/>
        <v>0.78539816339744828</v>
      </c>
      <c r="O627" s="288">
        <f t="shared" si="327"/>
        <v>3.9156235954089538</v>
      </c>
      <c r="P627" s="273">
        <f t="shared" si="328"/>
        <v>1.3125482030113598</v>
      </c>
      <c r="Q627" s="281">
        <f t="shared" si="329"/>
        <v>1.0000001611878435</v>
      </c>
      <c r="R627" s="282">
        <f t="shared" si="330"/>
        <v>5.6778133459925483E-4</v>
      </c>
      <c r="S627" s="270">
        <f t="shared" si="331"/>
        <v>1.0000000003767415</v>
      </c>
      <c r="T627" s="273">
        <f t="shared" si="332"/>
        <v>2.744965125054158E-5</v>
      </c>
      <c r="U627" s="288">
        <f t="shared" si="333"/>
        <v>1.0345262920691232</v>
      </c>
      <c r="V627" s="275">
        <f t="shared" si="334"/>
        <v>0.37872889085936839</v>
      </c>
      <c r="W627" s="276">
        <f t="shared" si="335"/>
        <v>-22.558406068052914</v>
      </c>
      <c r="X627" s="277">
        <f t="shared" si="336"/>
        <v>-175.64794107571754</v>
      </c>
      <c r="Y627" s="279">
        <f>IF(X627&gt;0,X627,X627+180)</f>
        <v>4.3520589242824599</v>
      </c>
      <c r="Z627" s="253" t="s">
        <v>435</v>
      </c>
      <c r="AB627" s="290"/>
      <c r="AC627" s="291"/>
      <c r="AF627" s="278">
        <f t="shared" si="337"/>
        <v>43.161740244645223</v>
      </c>
      <c r="AG627" s="279">
        <f t="shared" si="338"/>
        <v>-127.8805209089039</v>
      </c>
    </row>
    <row r="628" spans="1:33" x14ac:dyDescent="0.2">
      <c r="B628" s="344">
        <f>PS_RHPZ</f>
        <v>98816.159236725332</v>
      </c>
      <c r="C628" s="288">
        <f t="shared" si="315"/>
        <v>80.720625619059163</v>
      </c>
      <c r="D628" s="281">
        <f t="shared" si="316"/>
        <v>1.5584076024401168</v>
      </c>
      <c r="E628" s="281">
        <f t="shared" si="317"/>
        <v>1.0129458413959402</v>
      </c>
      <c r="F628" s="282">
        <f t="shared" si="318"/>
        <v>0.1600481473196585</v>
      </c>
      <c r="G628" s="271">
        <f t="shared" si="319"/>
        <v>1.4142135623730951</v>
      </c>
      <c r="H628" s="272">
        <f t="shared" si="320"/>
        <v>-0.78539816339744828</v>
      </c>
      <c r="I628" s="288">
        <f t="shared" si="321"/>
        <v>347745.08824532555</v>
      </c>
      <c r="J628" s="273">
        <f t="shared" si="322"/>
        <v>1.5707934511252357</v>
      </c>
      <c r="K628" s="281">
        <f t="shared" si="323"/>
        <v>52.16352626794697</v>
      </c>
      <c r="L628" s="282">
        <f t="shared" si="324"/>
        <v>1.5516246692610087</v>
      </c>
      <c r="M628" s="270">
        <f t="shared" si="325"/>
        <v>2.7124691096473601</v>
      </c>
      <c r="N628" s="273">
        <f t="shared" si="326"/>
        <v>1.1932208710355632</v>
      </c>
      <c r="O628" s="288">
        <f t="shared" si="327"/>
        <v>5.0762478601452123</v>
      </c>
      <c r="P628" s="273">
        <f t="shared" si="328"/>
        <v>1.3725035018572878</v>
      </c>
      <c r="Q628" s="281">
        <f t="shared" si="329"/>
        <v>1.0000002785596758</v>
      </c>
      <c r="R628" s="282">
        <f t="shared" si="330"/>
        <v>7.4640419499853326E-4</v>
      </c>
      <c r="S628" s="270">
        <f t="shared" si="331"/>
        <v>1.000000000651073</v>
      </c>
      <c r="T628" s="273">
        <f t="shared" si="332"/>
        <v>3.6085258876199683E-5</v>
      </c>
      <c r="U628" s="288">
        <f t="shared" si="333"/>
        <v>1.2238527537302331</v>
      </c>
      <c r="V628" s="275">
        <f t="shared" si="334"/>
        <v>0.90762763288519233</v>
      </c>
      <c r="W628" s="276">
        <f t="shared" si="335"/>
        <v>-35.24316478144808</v>
      </c>
      <c r="X628" s="277">
        <f t="shared" si="336"/>
        <v>-246.58813799087525</v>
      </c>
      <c r="Y628" s="279">
        <f>IF(X628&gt;0,X628,X628+180)</f>
        <v>-66.588137990875254</v>
      </c>
      <c r="Z628" s="253" t="s">
        <v>552</v>
      </c>
      <c r="AB628" s="286"/>
      <c r="AC628" s="286"/>
      <c r="AF628" s="278">
        <f t="shared" si="337"/>
        <v>36.142520085076086</v>
      </c>
      <c r="AG628" s="279">
        <f t="shared" si="338"/>
        <v>-177.12332775438654</v>
      </c>
    </row>
    <row r="629" spans="1:33" x14ac:dyDescent="0.2">
      <c r="B629" s="344">
        <f>Fp2_u</f>
        <v>39190.894171248787</v>
      </c>
      <c r="W629" s="276"/>
    </row>
    <row r="631" spans="1:33" x14ac:dyDescent="0.2">
      <c r="D631" s="253" t="s">
        <v>451</v>
      </c>
      <c r="E631" s="253" t="s">
        <v>452</v>
      </c>
    </row>
    <row r="632" spans="1:33" x14ac:dyDescent="0.2">
      <c r="A632" s="253" t="s">
        <v>427</v>
      </c>
      <c r="B632" s="253" t="s">
        <v>549</v>
      </c>
      <c r="C632" s="292">
        <f>PS_Pole1</f>
        <v>1224.2687930145796</v>
      </c>
      <c r="D632" s="292">
        <f>W622</f>
        <v>12.489197938218407</v>
      </c>
      <c r="E632" s="292">
        <f>AF622</f>
        <v>69.90486205086826</v>
      </c>
    </row>
    <row r="633" spans="1:33" x14ac:dyDescent="0.2">
      <c r="A633" s="253" t="s">
        <v>422</v>
      </c>
      <c r="B633" s="253" t="s">
        <v>560</v>
      </c>
      <c r="C633" s="292">
        <f>PS_Zero1</f>
        <v>612134.39650728984</v>
      </c>
      <c r="D633" s="292">
        <f>W623</f>
        <v>-69.019240935885875</v>
      </c>
      <c r="E633" s="292">
        <f>AF623</f>
        <v>17.591700185812137</v>
      </c>
    </row>
    <row r="634" spans="1:33" x14ac:dyDescent="0.2">
      <c r="A634" s="253" t="s">
        <v>430</v>
      </c>
      <c r="B634" s="253" t="s">
        <v>561</v>
      </c>
      <c r="C634" s="292">
        <f>EA_Pole1</f>
        <v>0.2841626311265727</v>
      </c>
      <c r="D634" s="292">
        <f>W624</f>
        <v>83.663961691514444</v>
      </c>
      <c r="E634" s="292">
        <f>AF624</f>
        <v>72.914769150004531</v>
      </c>
    </row>
    <row r="635" spans="1:33" x14ac:dyDescent="0.2">
      <c r="A635" s="253" t="s">
        <v>425</v>
      </c>
      <c r="B635" s="253" t="s">
        <v>562</v>
      </c>
      <c r="C635" s="292">
        <f>EA_Zero1</f>
        <v>1894.7017034749442</v>
      </c>
      <c r="D635" s="292">
        <f>W625</f>
        <v>7.8873280912063599</v>
      </c>
      <c r="E635" s="292">
        <f>AF625</f>
        <v>67.607152284292468</v>
      </c>
    </row>
    <row r="636" spans="1:33" x14ac:dyDescent="0.2">
      <c r="A636" s="253" t="s">
        <v>423</v>
      </c>
      <c r="B636" s="253" t="s">
        <v>559</v>
      </c>
      <c r="C636" s="253">
        <f>PS_Pole2</f>
        <v>199000</v>
      </c>
      <c r="D636" s="292">
        <f>W626</f>
        <v>-46.595237468345658</v>
      </c>
      <c r="E636" s="292">
        <f>AF626</f>
        <v>30.402968985450492</v>
      </c>
    </row>
    <row r="637" spans="1:33" x14ac:dyDescent="0.2">
      <c r="A637" s="253" t="s">
        <v>548</v>
      </c>
      <c r="B637" s="253" t="s">
        <v>563</v>
      </c>
      <c r="C637" s="344">
        <f>PS_RHPZ</f>
        <v>98816.159236725332</v>
      </c>
      <c r="D637" s="292">
        <f>W628</f>
        <v>-35.24316478144808</v>
      </c>
      <c r="E637" s="292">
        <f>AF628</f>
        <v>36.142520085076086</v>
      </c>
    </row>
    <row r="639" spans="1:33" x14ac:dyDescent="0.2">
      <c r="A639" s="292">
        <f>Q4*1000</f>
        <v>3981.1</v>
      </c>
    </row>
    <row r="640" spans="1:33" x14ac:dyDescent="0.2">
      <c r="A640" s="292">
        <f>Q4*1000</f>
        <v>3981.1</v>
      </c>
    </row>
    <row r="687" spans="35:36" x14ac:dyDescent="0.2">
      <c r="AI687" t="s">
        <v>48</v>
      </c>
      <c r="AJ687" s="4">
        <f>SUM(AJ689:AJ1306)</f>
        <v>0</v>
      </c>
    </row>
  </sheetData>
  <mergeCells count="23">
    <mergeCell ref="W10:Y10"/>
    <mergeCell ref="U10:V10"/>
    <mergeCell ref="I11:J11"/>
    <mergeCell ref="K11:L11"/>
    <mergeCell ref="M11:N11"/>
    <mergeCell ref="U11:V11"/>
    <mergeCell ref="S11:T11"/>
    <mergeCell ref="AF10:AG10"/>
    <mergeCell ref="B10:B12"/>
    <mergeCell ref="P2:R2"/>
    <mergeCell ref="G11:H11"/>
    <mergeCell ref="E2:G2"/>
    <mergeCell ref="C10:H10"/>
    <mergeCell ref="I10:N10"/>
    <mergeCell ref="B2:D2"/>
    <mergeCell ref="M2:O2"/>
    <mergeCell ref="O10:T10"/>
    <mergeCell ref="O11:P11"/>
    <mergeCell ref="Q11:R11"/>
    <mergeCell ref="J2:L2"/>
    <mergeCell ref="AB10:AC10"/>
    <mergeCell ref="C11:D11"/>
    <mergeCell ref="E11:F11"/>
  </mergeCells>
  <phoneticPr fontId="107" type="noConversion"/>
  <pageMargins left="0.75" right="0.75" top="1" bottom="1" header="0.5" footer="0.5"/>
  <pageSetup scale="48" orientation="portrait" horizontalDpi="300" verticalDpi="300" r:id="rId1"/>
  <headerFooter alignWithMargins="0"/>
  <colBreaks count="1" manualBreakCount="1">
    <brk id="25" max="1048575" man="1"/>
  </colBreaks>
  <ignoredErrors>
    <ignoredError sqref="F13" formula="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BDD13-DF4C-4088-BFB5-4C52D3C98B00}">
  <sheetPr codeName="Sheet20"/>
  <dimension ref="A1:BO687"/>
  <sheetViews>
    <sheetView zoomScaleNormal="100" workbookViewId="0">
      <pane ySplit="11" topLeftCell="A12" activePane="bottomLeft" state="frozen"/>
      <selection activeCell="F293" sqref="F293"/>
      <selection pane="bottomLeft" activeCell="E21" sqref="E21"/>
    </sheetView>
  </sheetViews>
  <sheetFormatPr defaultColWidth="9.125" defaultRowHeight="12.9" x14ac:dyDescent="0.2"/>
  <cols>
    <col min="1" max="1" width="9.125" style="253"/>
    <col min="2" max="2" width="10" style="253" bestFit="1" customWidth="1"/>
    <col min="3" max="3" width="16.125" style="253" customWidth="1"/>
    <col min="4" max="6" width="15.75" style="253" customWidth="1"/>
    <col min="7" max="7" width="10" style="253" customWidth="1"/>
    <col min="8" max="9" width="10.875" style="253" customWidth="1"/>
    <col min="10" max="10" width="10.125" style="253" customWidth="1"/>
    <col min="11" max="33" width="11.875" style="253" customWidth="1"/>
    <col min="34" max="34" width="20.125" style="253" customWidth="1"/>
    <col min="35" max="36" width="11.875" style="253" customWidth="1"/>
    <col min="37" max="37" width="14.25" style="253" customWidth="1"/>
    <col min="38" max="39" width="11" style="253" customWidth="1"/>
    <col min="40" max="40" width="12" style="253" customWidth="1"/>
    <col min="41" max="42" width="11.375" style="253" customWidth="1"/>
    <col min="43" max="43" width="10.875" style="253" customWidth="1"/>
    <col min="44" max="47" width="11.375" style="253" customWidth="1"/>
    <col min="48" max="48" width="12.125" style="253" customWidth="1"/>
    <col min="49" max="49" width="9.375" style="253" customWidth="1"/>
    <col min="50" max="50" width="16.125" style="253" bestFit="1" customWidth="1"/>
    <col min="51" max="51" width="13.125" style="292" customWidth="1"/>
    <col min="52" max="53" width="9.125" style="253"/>
    <col min="54" max="54" width="13.625" style="253" customWidth="1"/>
    <col min="55" max="56" width="10.625" style="253" customWidth="1"/>
    <col min="57" max="57" width="9.25" style="253" bestFit="1" customWidth="1"/>
    <col min="58" max="58" width="11.25" style="253" bestFit="1" customWidth="1"/>
    <col min="59" max="60" width="9.125" style="253"/>
    <col min="61" max="62" width="11.25" style="253" customWidth="1"/>
    <col min="63" max="63" width="9.125" style="253"/>
    <col min="64" max="64" width="12.25" style="253" customWidth="1"/>
    <col min="65" max="65" width="8.875" style="253" customWidth="1"/>
    <col min="66" max="16384" width="9.125" style="253"/>
  </cols>
  <sheetData>
    <row r="1" spans="1:67" ht="13.6" thickBot="1" x14ac:dyDescent="0.25"/>
    <row r="2" spans="1:67" ht="13.6" x14ac:dyDescent="0.25">
      <c r="A2" s="253" t="s">
        <v>5</v>
      </c>
      <c r="B2" s="253">
        <f>Vout</f>
        <v>16</v>
      </c>
      <c r="D2" s="739" t="s">
        <v>993</v>
      </c>
      <c r="E2" s="740"/>
      <c r="F2" s="740"/>
      <c r="G2" s="739" t="s">
        <v>418</v>
      </c>
      <c r="H2" s="740"/>
      <c r="I2" s="741"/>
      <c r="J2" s="339"/>
      <c r="K2" s="354"/>
      <c r="L2" s="559"/>
      <c r="M2" s="339" t="s">
        <v>525</v>
      </c>
      <c r="N2" s="559"/>
      <c r="O2" s="563"/>
      <c r="P2" s="564"/>
      <c r="Q2" s="563"/>
      <c r="R2" s="339" t="s">
        <v>526</v>
      </c>
      <c r="S2" s="559"/>
      <c r="T2" s="739" t="s">
        <v>419</v>
      </c>
      <c r="U2" s="740"/>
      <c r="V2" s="741"/>
      <c r="AY2" s="253"/>
    </row>
    <row r="3" spans="1:67" x14ac:dyDescent="0.2">
      <c r="A3" s="253" t="s">
        <v>4</v>
      </c>
      <c r="B3" s="253">
        <f>Vin</f>
        <v>12</v>
      </c>
      <c r="D3" s="254"/>
      <c r="E3" s="342"/>
      <c r="F3" s="256"/>
      <c r="G3" s="257" t="s">
        <v>421</v>
      </c>
      <c r="H3" s="255">
        <f>Acs</f>
        <v>76.92307692307692</v>
      </c>
      <c r="I3" s="256" t="s">
        <v>524</v>
      </c>
      <c r="J3" s="352" t="s">
        <v>437</v>
      </c>
      <c r="K3" s="362">
        <f>gm</f>
        <v>5.9999999999999995E-4</v>
      </c>
      <c r="L3" s="566"/>
      <c r="M3" s="257" t="s">
        <v>551</v>
      </c>
      <c r="N3" s="259"/>
      <c r="O3" s="258">
        <f>Fesr</f>
        <v>612134.39650728984</v>
      </c>
      <c r="P3" s="256" t="s">
        <v>10</v>
      </c>
      <c r="Q3" s="257" t="s">
        <v>423</v>
      </c>
      <c r="R3" s="258">
        <f>Fsw/2</f>
        <v>199000</v>
      </c>
      <c r="S3" s="256" t="s">
        <v>10</v>
      </c>
      <c r="T3" s="259" t="s">
        <v>424</v>
      </c>
      <c r="U3" s="258">
        <f>Am*Afb*AEA</f>
        <v>21563.193952917911</v>
      </c>
      <c r="V3" s="256" t="s">
        <v>30</v>
      </c>
    </row>
    <row r="4" spans="1:67" x14ac:dyDescent="0.2">
      <c r="A4" s="253" t="s">
        <v>994</v>
      </c>
      <c r="B4" s="292">
        <f>Constant_Current_Loop_Setpoint</f>
        <v>5</v>
      </c>
      <c r="D4" s="257" t="s">
        <v>916</v>
      </c>
      <c r="E4" s="296">
        <f>1/(2*Pi*RcIL*Cc1IL)</f>
        <v>103347.36564408788</v>
      </c>
      <c r="F4" s="256" t="s">
        <v>10</v>
      </c>
      <c r="G4" s="257" t="s">
        <v>426</v>
      </c>
      <c r="H4" s="263">
        <f>Am</f>
        <v>57.501850541114436</v>
      </c>
      <c r="I4" s="256" t="s">
        <v>30</v>
      </c>
      <c r="J4" s="353"/>
      <c r="K4" s="353"/>
      <c r="L4" s="567"/>
      <c r="M4" s="257" t="s">
        <v>550</v>
      </c>
      <c r="N4" s="259"/>
      <c r="O4" s="258">
        <f>Fp_dominant</f>
        <v>1224.2687930145796</v>
      </c>
      <c r="P4" s="256" t="s">
        <v>10</v>
      </c>
      <c r="Q4" s="257" t="s">
        <v>428</v>
      </c>
      <c r="R4" s="340">
        <f>Q*PS_Pole2</f>
        <v>102458.38665455848</v>
      </c>
      <c r="S4" s="256"/>
      <c r="T4" s="259" t="s">
        <v>429</v>
      </c>
      <c r="U4" s="296">
        <f>BM8/1000</f>
        <v>2.2909000000000002</v>
      </c>
      <c r="V4" s="256" t="s">
        <v>3</v>
      </c>
      <c r="AV4" s="518"/>
    </row>
    <row r="5" spans="1:67" ht="13.6" x14ac:dyDescent="0.25">
      <c r="A5" s="253" t="s">
        <v>995</v>
      </c>
      <c r="B5" s="253">
        <f>Rout</f>
        <v>2</v>
      </c>
      <c r="D5" s="257" t="s">
        <v>917</v>
      </c>
      <c r="E5" s="263">
        <f>1/(2*Pi*(RoEA_IL+RcIL)*Cc1IL)</f>
        <v>3.6170312014510251</v>
      </c>
      <c r="F5" s="256" t="s">
        <v>10</v>
      </c>
      <c r="G5" s="257" t="s">
        <v>29</v>
      </c>
      <c r="H5" s="342">
        <f>Q</f>
        <v>0.51486626459577123</v>
      </c>
      <c r="I5" s="256"/>
      <c r="J5" s="353"/>
      <c r="K5" s="353"/>
      <c r="L5" s="567"/>
      <c r="M5" s="257" t="s">
        <v>552</v>
      </c>
      <c r="N5" s="259"/>
      <c r="O5" s="258">
        <f>IF(VIN_nom&gt;Vout, 10000000,Frhp)</f>
        <v>98816.159236725332</v>
      </c>
      <c r="P5" s="256" t="s">
        <v>10</v>
      </c>
      <c r="Q5" s="257" t="s">
        <v>431</v>
      </c>
      <c r="R5" s="255">
        <f>PS_Pole2^2+0.01</f>
        <v>39601000000.010002</v>
      </c>
      <c r="S5" s="256"/>
      <c r="T5" s="259" t="s">
        <v>432</v>
      </c>
      <c r="U5" s="263">
        <f>BM9</f>
        <v>101.94175443581865</v>
      </c>
      <c r="V5" s="321" t="s">
        <v>493</v>
      </c>
      <c r="AV5" s="518"/>
    </row>
    <row r="6" spans="1:67" x14ac:dyDescent="0.2">
      <c r="A6" s="253" t="s">
        <v>996</v>
      </c>
      <c r="B6" s="253">
        <f>Cout-B7</f>
        <v>6.4999999999999994E-5</v>
      </c>
      <c r="D6" s="257" t="s">
        <v>915</v>
      </c>
      <c r="E6" s="258">
        <f>DeviceParameter!B12*RoEA_IL</f>
        <v>4000</v>
      </c>
      <c r="F6" s="256" t="s">
        <v>30</v>
      </c>
      <c r="G6" s="257" t="s">
        <v>459</v>
      </c>
      <c r="H6" s="342">
        <f>mc</f>
        <v>1.4959224156931894</v>
      </c>
      <c r="I6" s="352"/>
      <c r="J6" s="355"/>
      <c r="K6" s="262"/>
      <c r="L6" s="568"/>
      <c r="M6" s="260"/>
      <c r="N6" s="338"/>
      <c r="O6" s="261"/>
      <c r="P6" s="262"/>
      <c r="Q6" s="260"/>
      <c r="R6" s="365"/>
      <c r="S6" s="262"/>
      <c r="T6" s="338" t="s">
        <v>434</v>
      </c>
      <c r="U6" s="261">
        <f>180/Pi</f>
        <v>57.295779513082323</v>
      </c>
      <c r="V6" s="262"/>
      <c r="AV6" s="518"/>
      <c r="AX6" s="515"/>
      <c r="BB6" s="253">
        <f>20*LOG10(IMPRODUCT(COMPLEX($B$15,0),IMABS(AS13)))</f>
        <v>31.721319437698842</v>
      </c>
      <c r="BC6" s="253">
        <f>(180/PI())*IMARGUMENT(AS13)</f>
        <v>-15.453965447098351</v>
      </c>
      <c r="BL6" s="569" t="s">
        <v>50</v>
      </c>
      <c r="BM6" s="569"/>
    </row>
    <row r="7" spans="1:67" ht="13.6" thickBot="1" x14ac:dyDescent="0.25">
      <c r="A7" s="253" t="s">
        <v>997</v>
      </c>
      <c r="B7" s="253">
        <f>Co2_u</f>
        <v>6.4999999999999994E-5</v>
      </c>
      <c r="D7" s="570" t="s">
        <v>918</v>
      </c>
      <c r="E7" s="571">
        <f>1/(2*Pi*RcIL*(Cc2IL+Cbw_IL))</f>
        <v>14284816.744207459</v>
      </c>
      <c r="F7" s="572" t="s">
        <v>10</v>
      </c>
      <c r="G7" s="335" t="s">
        <v>436</v>
      </c>
      <c r="H7" s="337">
        <f>k</f>
        <v>1.1182379931878044</v>
      </c>
      <c r="I7" s="337"/>
      <c r="J7" s="356"/>
      <c r="K7" s="336"/>
      <c r="L7" s="335"/>
      <c r="M7" s="335"/>
      <c r="N7" s="335"/>
      <c r="O7" s="335"/>
      <c r="P7" s="336"/>
      <c r="Q7" s="335"/>
      <c r="R7" s="335"/>
      <c r="S7" s="336"/>
      <c r="T7" s="335" t="s">
        <v>998</v>
      </c>
      <c r="U7" s="335">
        <f>20*LOG(Adc)</f>
        <v>86.674261784646916</v>
      </c>
      <c r="V7" s="336" t="s">
        <v>818</v>
      </c>
      <c r="AV7" s="518"/>
      <c r="BL7" s="253" t="s">
        <v>451</v>
      </c>
      <c r="BN7" s="253" t="s">
        <v>885</v>
      </c>
    </row>
    <row r="8" spans="1:67" x14ac:dyDescent="0.2">
      <c r="A8" s="253" t="s">
        <v>999</v>
      </c>
      <c r="B8" s="253">
        <f>CoutEsr</f>
        <v>2E-3</v>
      </c>
      <c r="D8" s="343"/>
      <c r="E8" s="343"/>
      <c r="F8" s="343"/>
      <c r="G8" s="344"/>
      <c r="K8" s="345"/>
      <c r="L8" s="345"/>
      <c r="M8" s="345"/>
      <c r="N8" s="345"/>
      <c r="O8" s="345"/>
      <c r="P8" s="345"/>
      <c r="Q8" s="345"/>
      <c r="R8" s="345"/>
      <c r="S8" s="345"/>
      <c r="T8" s="345"/>
      <c r="U8" s="345"/>
      <c r="V8" s="345"/>
      <c r="W8" s="345"/>
      <c r="X8" s="345"/>
      <c r="Y8" s="345"/>
      <c r="Z8" s="345"/>
      <c r="AA8" s="345"/>
      <c r="AB8" s="345"/>
      <c r="AC8" s="345"/>
      <c r="AD8" s="345"/>
      <c r="AE8" s="345"/>
      <c r="AF8" s="345"/>
      <c r="AG8" s="345"/>
      <c r="AH8" s="345"/>
      <c r="AI8" s="345"/>
      <c r="AJ8" s="345"/>
      <c r="BL8" s="253" t="s">
        <v>47</v>
      </c>
      <c r="BM8" s="253">
        <f>SUM(BL12:BL613)</f>
        <v>2290.9</v>
      </c>
      <c r="BN8" s="253" t="s">
        <v>47</v>
      </c>
      <c r="BO8" s="253">
        <f>SUM(BN12:BN613)</f>
        <v>144.54</v>
      </c>
    </row>
    <row r="9" spans="1:67" ht="13.6" thickBot="1" x14ac:dyDescent="0.25">
      <c r="A9" s="253" t="s">
        <v>1000</v>
      </c>
      <c r="B9" s="253">
        <f>CoutEsr</f>
        <v>2E-3</v>
      </c>
      <c r="BL9" s="253" t="s">
        <v>48</v>
      </c>
      <c r="BM9" s="292">
        <f>SUM(BM13:BM613)</f>
        <v>101.94175443581865</v>
      </c>
      <c r="BN9" s="253" t="s">
        <v>48</v>
      </c>
      <c r="BO9" s="292">
        <f>SUM(BO13:BO613)</f>
        <v>-88.486951739637078</v>
      </c>
    </row>
    <row r="10" spans="1:67" ht="14.3" x14ac:dyDescent="0.25">
      <c r="A10" s="253" t="s">
        <v>1001</v>
      </c>
      <c r="B10" s="253">
        <f>Rdcr</f>
        <v>3.2000000000000002E-3</v>
      </c>
      <c r="D10" s="736" t="s">
        <v>565</v>
      </c>
      <c r="E10" s="744" t="s">
        <v>438</v>
      </c>
      <c r="F10" s="745"/>
      <c r="G10" s="745"/>
      <c r="H10" s="745"/>
      <c r="I10" s="745"/>
      <c r="J10" s="745"/>
      <c r="K10" s="745"/>
      <c r="L10" s="745"/>
      <c r="M10" s="745"/>
      <c r="N10" s="745"/>
      <c r="O10" s="745"/>
      <c r="P10" s="745"/>
      <c r="Q10" s="745"/>
      <c r="R10" s="745"/>
      <c r="S10" s="745"/>
      <c r="T10" s="745"/>
      <c r="U10" s="746"/>
      <c r="V10" s="744" t="s">
        <v>439</v>
      </c>
      <c r="W10" s="745"/>
      <c r="X10" s="745"/>
      <c r="Y10" s="745"/>
      <c r="Z10" s="745"/>
      <c r="AA10" s="745"/>
      <c r="AB10" s="745"/>
      <c r="AC10" s="745"/>
      <c r="AD10" s="745"/>
      <c r="AE10" s="745"/>
      <c r="AF10" s="745"/>
      <c r="AG10" s="745"/>
      <c r="AH10" s="746"/>
      <c r="AI10" s="744" t="s">
        <v>908</v>
      </c>
      <c r="AJ10" s="745"/>
      <c r="AK10" s="745"/>
      <c r="AL10" s="745"/>
      <c r="AM10" s="745"/>
      <c r="AN10" s="745"/>
      <c r="AO10" s="745"/>
      <c r="AP10" s="745"/>
      <c r="AQ10" s="745"/>
      <c r="AR10" s="745"/>
      <c r="AS10" s="745"/>
      <c r="AT10" s="745"/>
      <c r="AU10" s="746"/>
      <c r="AV10" s="565"/>
      <c r="AW10" s="756" t="s">
        <v>441</v>
      </c>
      <c r="AX10" s="753"/>
      <c r="AY10" s="754"/>
      <c r="BB10" s="734" t="s">
        <v>1002</v>
      </c>
      <c r="BC10" s="735"/>
      <c r="BE10" s="734" t="s">
        <v>443</v>
      </c>
      <c r="BF10" s="735"/>
    </row>
    <row r="11" spans="1:67" ht="13.1" customHeight="1" x14ac:dyDescent="0.25">
      <c r="A11" s="253" t="s">
        <v>1003</v>
      </c>
      <c r="B11" s="253">
        <f>IF(B3&gt;=Vout,Vout/B3,(Vout-Vin)/Vout)</f>
        <v>0.25</v>
      </c>
      <c r="D11" s="737"/>
      <c r="F11" s="742"/>
      <c r="G11" s="757"/>
      <c r="H11" s="743"/>
      <c r="I11" s="742"/>
      <c r="J11" s="757"/>
      <c r="K11" s="743"/>
      <c r="L11" s="573"/>
      <c r="M11" s="560" t="s">
        <v>1004</v>
      </c>
      <c r="N11" s="573"/>
      <c r="O11" s="561"/>
      <c r="P11" s="742"/>
      <c r="Q11" s="757"/>
      <c r="R11" s="743"/>
      <c r="V11" s="574"/>
      <c r="W11" s="757" t="s">
        <v>427</v>
      </c>
      <c r="X11" s="757"/>
      <c r="Y11" s="758"/>
      <c r="Z11" s="759" t="s">
        <v>422</v>
      </c>
      <c r="AA11" s="757"/>
      <c r="AB11" s="743"/>
      <c r="AC11" s="742" t="s">
        <v>430</v>
      </c>
      <c r="AD11" s="757"/>
      <c r="AE11" s="743"/>
      <c r="AF11" s="742" t="s">
        <v>49</v>
      </c>
      <c r="AG11" s="757"/>
      <c r="AH11" s="743"/>
      <c r="AI11" s="574"/>
      <c r="AJ11" s="757" t="s">
        <v>427</v>
      </c>
      <c r="AK11" s="757"/>
      <c r="AL11" s="758"/>
      <c r="AM11" s="759" t="s">
        <v>422</v>
      </c>
      <c r="AN11" s="757"/>
      <c r="AO11" s="743"/>
      <c r="AP11" s="742" t="s">
        <v>430</v>
      </c>
      <c r="AQ11" s="757"/>
      <c r="AR11" s="743"/>
      <c r="AS11" s="742" t="s">
        <v>49</v>
      </c>
      <c r="AT11" s="757"/>
      <c r="AU11" s="743"/>
      <c r="AV11" s="562"/>
      <c r="AW11" s="259"/>
      <c r="AX11" s="255"/>
      <c r="AY11" s="297"/>
      <c r="BB11" s="257"/>
      <c r="BC11" s="256"/>
      <c r="BE11" s="257"/>
      <c r="BF11" s="256"/>
    </row>
    <row r="12" spans="1:67" ht="14.3" thickBot="1" x14ac:dyDescent="0.3">
      <c r="B12" s="253" t="str">
        <f>IF(Vin&lt;Vout,"Boost","Buck")</f>
        <v>Boost</v>
      </c>
      <c r="D12" s="738"/>
      <c r="E12" s="273" t="s">
        <v>1005</v>
      </c>
      <c r="F12" s="264" t="s">
        <v>1006</v>
      </c>
      <c r="G12" s="264" t="s">
        <v>1007</v>
      </c>
      <c r="H12" s="265" t="s">
        <v>1008</v>
      </c>
      <c r="I12" s="264" t="s">
        <v>1009</v>
      </c>
      <c r="J12" s="265" t="s">
        <v>1010</v>
      </c>
      <c r="K12" s="265" t="s">
        <v>1011</v>
      </c>
      <c r="L12" s="575"/>
      <c r="M12" s="560" t="s">
        <v>1004</v>
      </c>
      <c r="N12" s="573" t="s">
        <v>1012</v>
      </c>
      <c r="O12" s="573" t="s">
        <v>1013</v>
      </c>
      <c r="P12" s="561" t="s">
        <v>1014</v>
      </c>
      <c r="Q12" s="561" t="s">
        <v>1015</v>
      </c>
      <c r="R12" s="265" t="s">
        <v>1032</v>
      </c>
      <c r="S12" s="561" t="s">
        <v>1017</v>
      </c>
      <c r="T12" s="561" t="s">
        <v>1016</v>
      </c>
      <c r="U12" s="561" t="s">
        <v>1018</v>
      </c>
      <c r="V12" s="576" t="s">
        <v>1019</v>
      </c>
      <c r="W12" s="264" t="s">
        <v>1020</v>
      </c>
      <c r="X12" s="265" t="s">
        <v>444</v>
      </c>
      <c r="Y12" s="265" t="s">
        <v>445</v>
      </c>
      <c r="Z12" s="264" t="s">
        <v>1020</v>
      </c>
      <c r="AA12" s="265" t="s">
        <v>444</v>
      </c>
      <c r="AB12" s="265" t="s">
        <v>445</v>
      </c>
      <c r="AC12" s="264" t="s">
        <v>1020</v>
      </c>
      <c r="AD12" s="265" t="s">
        <v>444</v>
      </c>
      <c r="AE12" s="265" t="s">
        <v>445</v>
      </c>
      <c r="AF12" s="264" t="s">
        <v>1020</v>
      </c>
      <c r="AG12" s="265" t="s">
        <v>444</v>
      </c>
      <c r="AH12" s="265" t="s">
        <v>445</v>
      </c>
      <c r="AI12" s="576" t="s">
        <v>1021</v>
      </c>
      <c r="AJ12" s="264" t="s">
        <v>1020</v>
      </c>
      <c r="AK12" s="265" t="s">
        <v>444</v>
      </c>
      <c r="AL12" s="265" t="s">
        <v>445</v>
      </c>
      <c r="AM12" s="264" t="s">
        <v>1020</v>
      </c>
      <c r="AN12" s="265" t="s">
        <v>444</v>
      </c>
      <c r="AO12" s="265" t="s">
        <v>445</v>
      </c>
      <c r="AP12" s="264" t="s">
        <v>1020</v>
      </c>
      <c r="AQ12" s="265" t="s">
        <v>444</v>
      </c>
      <c r="AR12" s="265" t="s">
        <v>445</v>
      </c>
      <c r="AS12" s="264" t="s">
        <v>1020</v>
      </c>
      <c r="AT12" s="265" t="s">
        <v>444</v>
      </c>
      <c r="AU12" s="265" t="s">
        <v>445</v>
      </c>
      <c r="AV12" s="264" t="s">
        <v>1020</v>
      </c>
      <c r="AW12" s="577" t="s">
        <v>447</v>
      </c>
      <c r="AX12" s="265" t="s">
        <v>938</v>
      </c>
      <c r="AY12" s="298" t="s">
        <v>446</v>
      </c>
      <c r="BB12" s="267" t="s">
        <v>447</v>
      </c>
      <c r="BC12" s="268" t="s">
        <v>448</v>
      </c>
      <c r="BD12" s="578"/>
      <c r="BE12" s="267" t="s">
        <v>447</v>
      </c>
      <c r="BF12" s="268" t="s">
        <v>448</v>
      </c>
      <c r="BI12" s="578"/>
      <c r="BJ12" s="578"/>
    </row>
    <row r="13" spans="1:67" ht="13.6" thickBot="1" x14ac:dyDescent="0.25">
      <c r="A13" s="253" t="s">
        <v>60</v>
      </c>
      <c r="B13" s="253">
        <f>Lf</f>
        <v>1.8000000000000001E-6</v>
      </c>
      <c r="D13" s="269">
        <v>1</v>
      </c>
      <c r="E13" s="273" t="str">
        <f t="shared" ref="E13:E76" si="0">COMPLEX(0,2*PI()*D13*Lf)</f>
        <v>0.0000113097335529233i</v>
      </c>
      <c r="F13" s="579" t="str">
        <f>IMSUM(COMPLEX($B$8,0),IMDIV(COMPLEX(1,0),COMPLEX(0,2*PI()*D13*$B$6)))</f>
        <v>0.002-2448.53758602916i</v>
      </c>
      <c r="G13" s="270" t="str">
        <f>IMSUM(COMPLEX($B$9,0),IMDIV(COMPLEX(1,0),COMPLEX(0,2*PI()*D13*$B$7)))</f>
        <v>0.002-2448.53758602916i</v>
      </c>
      <c r="H13" s="271" t="str">
        <f>IMDIV(COMPLEX(1,0),IMSUM(IMDIV(COMPLEX(1,0),COMPLEX($B$5,0)), IMDIV(COMPLEX(1,0),G13)))</f>
        <v>1.99999866429601-0.00163362708775382i</v>
      </c>
      <c r="I13" s="271" t="str">
        <f>IMSUM(H13,COMPLEX($B$15,0))</f>
        <v>2.00999866429601-0.00163362708775382i</v>
      </c>
      <c r="J13" s="270" t="str">
        <f>IMDIV(COMPLEX(1,0),IMSUM(IMDIV(COMPLEX(1,0),F13),IMDIV(COMPLEX(1,0),IMSUM(COMPLEX($B$15,0),H13))))</f>
        <v>2.00999462639071-0.00328362468838093i</v>
      </c>
      <c r="K13" s="271" t="str">
        <f t="shared" ref="K13:K76" si="1">IMSUM(COMPLEX(1,0),COMPLEX(0,2*PI()*D13/(Fsw*PI()*(-2)/PI())),IMPRODUCT(COMPLEX(0,2*PI()*D13/(Fsw*PI())),COMPLEX(0,2*PI()*D13/(Fsw*PI()))))</f>
        <v>0.999999999974748-7.89344887836631E-06i</v>
      </c>
      <c r="L13" s="580"/>
      <c r="M13" s="580" t="str">
        <f t="shared" ref="M13:M76" si="2">IF(Vin&gt;=Vout,IMDIV(COMPLEX(Vin,0),IMSUM(E13,J13)),IMDIV(IMSUM(COMPLEX(Vout,0),IMPRODUCT(J13,COMPLEX($B$4,0))),IMSUM(E13,IMPRODUCT(J13,COMPLEX((1-$B$11)^2,0)))))</f>
        <v>23.040354457711+0.0228880452223118i</v>
      </c>
      <c r="N13" s="270" t="str">
        <f t="shared" ref="N13:N76" si="3">IF(Vin&gt;=Vout,0,IMSUB(IMPRODUCT(M13,COMPLEX(1-$B$11,0)),COMPLEX($B$4/(1-$B$11),0)))</f>
        <v>10.6135991766165+0.0171660339167338i</v>
      </c>
      <c r="O13" s="581" t="str">
        <f t="shared" ref="O13:O76" si="4">IMDIV(IF(Vin&gt;=Vout,M13,N13),IMPRODUCT(I13,IMSUM(IMDIV(COMPLEX(1,0),F13),IMDIV(COMPLEX(1,0),I13))))</f>
        <v>10.6135990276028+0.00845335014994083i</v>
      </c>
      <c r="P13" s="582" t="str">
        <f t="shared" ref="P13:P76" si="5">IF(Vin&gt;=Vout,IMDIV(IMPRODUCT(COMPLEX(Vin,0),J13),IMSUM(J13,E13)),IMPRODUCT(N13,J13))</f>
        <v>21.3333336784768-0.000347440359841848i</v>
      </c>
      <c r="Q13" s="583" t="str">
        <f t="shared" ref="Q13:Q76" si="6">IF(Vin&gt;=Vout,IMDIV(IMPRODUCT(P13,H13),IMSUM(COMPLEX($B$15,0),H13)),IMPRODUCT(O13,H13))</f>
        <v>21.2271976882008-0.0004319738613414i</v>
      </c>
      <c r="R13" s="581" t="str">
        <f>IMPRODUCT(M13,COMPLEX($B$29,0),K13,COMPLEX($B$34,0))</f>
        <v>1.03163187890726+0.00101666909136933i</v>
      </c>
      <c r="S13" s="253" t="str">
        <f>IMDIV(IMPRODUCT(COMPLEX($B$34,0),M13),IMSUM(COMPLEX(1,0),R13))</f>
        <v>26.0402546864463+0.0128370455631395i</v>
      </c>
      <c r="T13" s="253" t="str">
        <f>IMDIV(IMPRODUCT(COMPLEX($B$34,0),O13),IMSUM(COMPLEX(1,0),R13))</f>
        <v>11.9955096650023+0.00355119872992075i</v>
      </c>
      <c r="U13" s="253" t="str">
        <f>IMDIV(IMPRODUCT(COMPLEX($B$34,0),Q13),IMSUM(COMPLEX(1,0),R13))</f>
        <v>23.991009108889-0.0124937968036695i</v>
      </c>
      <c r="V13" s="582" t="str">
        <f t="shared" ref="V13:V76" si="7">COMPLEX(AEA,0)</f>
        <v>6000</v>
      </c>
      <c r="W13" s="584" t="str">
        <f t="shared" ref="W13:W76" si="8">IMSUM(COMPLEX(1,0),IMDIV(COMPLEX(0,2*PI()*D13),COMPLEX(2*PI()*EA_Pole1,0)))</f>
        <v>1+3.51911155958638i</v>
      </c>
      <c r="X13" s="585">
        <f t="shared" ref="X13:X76" si="9">IMABS(W13)</f>
        <v>3.6584349343420723</v>
      </c>
      <c r="Y13" s="586">
        <f t="shared" ref="Y13:Y76" si="10">IMARGUMENT(W13)</f>
        <v>1.2939318036065921</v>
      </c>
      <c r="Z13" s="273" t="str">
        <f t="shared" ref="Z13:Z76" si="11">IMSUM(COMPLEX(1,0),IMDIV(COMPLEX(0,2*PI()*D13),COMPLEX(2*PI()*EA_Zero1,0)))</f>
        <v>1+0.000527787565803086i</v>
      </c>
      <c r="AA13" s="585">
        <f t="shared" ref="AA13:AA76" si="12">IMABS(Z13)</f>
        <v>1.0000001392798477</v>
      </c>
      <c r="AB13" s="586">
        <f t="shared" ref="AB13:AB76" si="13">IMARGUMENT(Z13)</f>
        <v>5.2778751679630957E-4</v>
      </c>
      <c r="AC13" s="584" t="str">
        <f t="shared" ref="AC13:AC76" si="14">IMSUM(COMPLEX(1,0),IMDIV(COMPLEX(0,2*PI()*D13),COMPLEX(2*PI()*EA_Pole2,0)))</f>
        <v>1+0.0000255161312633082i</v>
      </c>
      <c r="AD13" s="585">
        <f t="shared" ref="AD13:AD76" si="15">IMABS(AC13)</f>
        <v>1.0000000003255365</v>
      </c>
      <c r="AE13" s="586">
        <f t="shared" ref="AE13:AE76" si="16">IMARGUMENT(AC13)</f>
        <v>2.551613125777058E-5</v>
      </c>
      <c r="AF13" s="580" t="str">
        <f>IMPRODUCT(V13,IMDIV(Z13,IMPRODUCT(W13,AC13)))</f>
        <v>449.083960705853-1577.36292873953i</v>
      </c>
      <c r="AG13" s="270">
        <f>IMABS(AF13)</f>
        <v>1640.0457959230907</v>
      </c>
      <c r="AH13" s="581">
        <f>IMARGUMENT(AF13)</f>
        <v>-1.2934295322210541</v>
      </c>
      <c r="AI13" s="582" t="str">
        <f t="shared" ref="AI13:AI76" si="17">COMPLEX(AIL,0)</f>
        <v>4000</v>
      </c>
      <c r="AJ13" s="584" t="str">
        <f t="shared" ref="AJ13" si="18">IMSUM(COMPLEX(1,0),IMDIV(COMPLEX(0,2*PI()*D13),COMPLEX(2*PI()*IL_Pole1,0)))</f>
        <v>1+0.276469829621275i</v>
      </c>
      <c r="AK13" s="585">
        <f>IMABS(AJ13)</f>
        <v>1.037514128429496</v>
      </c>
      <c r="AL13" s="586">
        <f>IMARGUMENT(AJ13)</f>
        <v>0.2697321856422793</v>
      </c>
      <c r="AM13" s="273" t="str">
        <f t="shared" ref="AM13" si="19">IMSUM(COMPLEX(1,0),IMDIV(COMPLEX(0,2*PI()*D13),COMPLEX(2*PI()*IL_Zero1,0)))</f>
        <v>1+9.67610537305657E-06i</v>
      </c>
      <c r="AN13" s="585">
        <f>IMABS(AM13)</f>
        <v>1.0000000000468137</v>
      </c>
      <c r="AO13" s="586">
        <f>IMARGUMENT(AM13)</f>
        <v>9.6761053727545895E-6</v>
      </c>
      <c r="AP13" s="584" t="str">
        <f t="shared" ref="AP13" si="20">IMSUM(COMPLEX(1,0),IMDIV(COMPLEX(0,2*PI()*D13),COMPLEX(2*PI()*IL_Pole2,0)))</f>
        <v>1+7.00043982297151E-08i</v>
      </c>
      <c r="AQ13" s="585">
        <f>IMABS(AP13)</f>
        <v>1.0000000000000024</v>
      </c>
      <c r="AR13" s="586">
        <f>IMARGUMENT(AP13)</f>
        <v>7.0004398229714975E-8</v>
      </c>
      <c r="AS13" s="580" t="str">
        <f>IMPRODUCT(AI13,IMDIV(AM13,IMPRODUCT(AJ13,AP13)))</f>
        <v>3715.97775748709-1027.317313085i</v>
      </c>
      <c r="AT13" s="270">
        <f>IMABS(AS13)</f>
        <v>3855.3691854221902</v>
      </c>
      <c r="AU13" s="581">
        <f>IMARGUMENT(AS13)</f>
        <v>-0.2697225795413038</v>
      </c>
      <c r="AV13" s="580" t="str">
        <f>IMPRODUCT(T13,AS13,COMPLEX($B$15,0))</f>
        <v>445.786953128074-123.099985826425i</v>
      </c>
      <c r="AW13" s="270">
        <f>20*LOG10(IMABS(AV13))</f>
        <v>53.301693918165824</v>
      </c>
      <c r="AX13" s="581">
        <f>(180/PI())*IMARGUMENT(AV13)</f>
        <v>-15.437003375525331</v>
      </c>
      <c r="AY13" s="299">
        <f t="shared" ref="AY13:AY76" si="21">IF(AX13&gt;0,AX13-180,AX13+180)</f>
        <v>164.56299662447466</v>
      </c>
      <c r="BB13" s="270">
        <f t="shared" ref="BB13:BB32" si="22">20*LOG10(IMABS(IMPRODUCT(COMPLEX($B$15,0),AS13)))</f>
        <v>31.721319437698842</v>
      </c>
      <c r="BC13" s="270">
        <f t="shared" ref="BC13:BC32" si="23">180/PI()*IMARGUMENT(IMPRODUCT(COMPLEX($B$15,0),AS13))</f>
        <v>-15.453965447098348</v>
      </c>
      <c r="BD13" s="286"/>
      <c r="BE13" s="270">
        <f>20*LOG10(IMABS(T13))</f>
        <v>21.580374480466986</v>
      </c>
      <c r="BF13" s="581">
        <f>180/PI()*IMARGUMENT(T13)</f>
        <v>1.6962071573013097E-2</v>
      </c>
      <c r="BI13" s="286"/>
      <c r="BJ13" s="286"/>
      <c r="BL13" s="253">
        <f t="shared" ref="BL13:BL76" si="24">SUM((AW14&lt;0)*(AW13&gt;0))*D13</f>
        <v>0</v>
      </c>
      <c r="BM13" s="253">
        <f t="shared" ref="BM13:BM76" si="25">IF(BL13&gt;0,AY11,0)</f>
        <v>0</v>
      </c>
      <c r="BN13" s="253">
        <f t="shared" ref="BN13:BN76" si="26">SUM((BB14&lt;0)*(BB13&gt;0))*D13</f>
        <v>0</v>
      </c>
      <c r="BO13" s="253">
        <f t="shared" ref="BO13:BO76" si="27">IF(BN13&gt;0,BC13,0)</f>
        <v>0</v>
      </c>
    </row>
    <row r="14" spans="1:67" ht="13.6" thickBot="1" x14ac:dyDescent="0.25">
      <c r="D14" s="280">
        <v>1.0965</v>
      </c>
      <c r="E14" s="273" t="str">
        <f t="shared" si="0"/>
        <v>0.0000124011228407804i</v>
      </c>
      <c r="F14" s="579" t="str">
        <f t="shared" ref="F14:F77" si="28">IMSUM(COMPLEX($B$8,0),IMDIV(COMPLEX(1,0),COMPLEX(0,2*PI()*D14*$B$6)))</f>
        <v>0.002-2233.04841407128i</v>
      </c>
      <c r="G14" s="270" t="str">
        <f t="shared" ref="G14:G77" si="29">IMSUM(COMPLEX($B$9,0),IMDIV(COMPLEX(1,0),COMPLEX(0,2*PI()*D14*$B$7)))</f>
        <v>0.002-2233.04841407128i</v>
      </c>
      <c r="H14" s="271" t="str">
        <f t="shared" ref="H14:H77" si="30">IMDIV(COMPLEX(1,0),IMSUM(IMDIV(COMPLEX(1,0),COMPLEX($B$5,0)), IMDIV(COMPLEX(1,0),G14)))</f>
        <v>1.99999839406694-0.00179127185945299i</v>
      </c>
      <c r="I14" s="271" t="str">
        <f t="shared" ref="I14:I77" si="31">IMSUM(H14,COMPLEX($B$15,0))</f>
        <v>2.00999839406694-0.00179127185945299i</v>
      </c>
      <c r="J14" s="270" t="str">
        <f t="shared" ref="J14:J77" si="32">IMDIV(COMPLEX(1,0),IMSUM(IMDIV(COMPLEX(1,0),F14),IMDIV(COMPLEX(1,0),IMSUM(COMPLEX($B$15,0),H14))))</f>
        <v>2.00999353924721-0.00360049252002764i</v>
      </c>
      <c r="K14" s="271" t="str">
        <f t="shared" si="1"/>
        <v>0.999999999969639-8.65516669512866E-06i</v>
      </c>
      <c r="L14" s="580"/>
      <c r="M14" s="580" t="str">
        <f t="shared" si="2"/>
        <v>23.0403545934805+0.0250967416674482i</v>
      </c>
      <c r="N14" s="270" t="str">
        <f t="shared" si="3"/>
        <v>10.6135992784437+0.0188225562505861i</v>
      </c>
      <c r="O14" s="581" t="str">
        <f t="shared" si="4"/>
        <v>10.6135990992826+0.00926909846905482i</v>
      </c>
      <c r="P14" s="582" t="str">
        <f t="shared" si="5"/>
        <v>21.3333337483037-0.000380968356812054i</v>
      </c>
      <c r="Q14" s="583" t="str">
        <f t="shared" si="6"/>
        <v>21.2271977573108-0.000473659341502557i</v>
      </c>
      <c r="R14" s="581" t="str">
        <f t="shared" ref="R14:R77" si="33">IMPRODUCT(M14,COMPLEX($B$29,0),K14,COMPLEX($B$34,0))</f>
        <v>1.03163188661764+0.0011147776622631i</v>
      </c>
      <c r="S14" s="253" t="str">
        <f t="shared" ref="S14:S77" si="34">IMDIV(IMPRODUCT(COMPLEX($B$34,0),M14),IMSUM(COMPLEX(1,0),R14))</f>
        <v>26.0402560407022+0.0140758197093784i</v>
      </c>
      <c r="T14" s="253" t="str">
        <f t="shared" ref="T14:T77" si="35">IMDIV(IMPRODUCT(COMPLEX($B$34,0),O14),IMSUM(COMPLEX(1,0),R14))</f>
        <v>11.9955100600171+0.00389388918821812i</v>
      </c>
      <c r="U14" s="253" t="str">
        <f t="shared" ref="U14:U77" si="36">IMDIV(IMPRODUCT(COMPLEX($B$34,0),Q14),IMSUM(COMPLEX(1,0),R14))</f>
        <v>23.9910078310622-0.0136994474871831i</v>
      </c>
      <c r="V14" s="582" t="str">
        <f t="shared" si="7"/>
        <v>6000</v>
      </c>
      <c r="W14" s="584" t="str">
        <f t="shared" si="8"/>
        <v>1+3.85870582508647i</v>
      </c>
      <c r="X14" s="585">
        <f t="shared" si="9"/>
        <v>3.986177447700523</v>
      </c>
      <c r="Y14" s="586">
        <f t="shared" si="10"/>
        <v>1.3172206321486657</v>
      </c>
      <c r="Z14" s="273" t="str">
        <f t="shared" si="11"/>
        <v>1+0.000578719065903084i</v>
      </c>
      <c r="AA14" s="585">
        <f t="shared" si="12"/>
        <v>1.0000001674578647</v>
      </c>
      <c r="AB14" s="586">
        <f t="shared" si="13"/>
        <v>5.7871900129571896E-4</v>
      </c>
      <c r="AC14" s="584" t="str">
        <f t="shared" si="14"/>
        <v>1+0.0000279784379302174i</v>
      </c>
      <c r="AD14" s="585">
        <f t="shared" si="15"/>
        <v>1.0000000003913965</v>
      </c>
      <c r="AE14" s="586">
        <f t="shared" si="16"/>
        <v>2.797843792291696E-5</v>
      </c>
      <c r="AF14" s="580" t="str">
        <f t="shared" ref="AF14:AF77" si="37">IMPRODUCT(V14,IMDIV(Z14,IMPRODUCT(W14,AC14)))</f>
        <v>378.407696913503-1456.85954057244i</v>
      </c>
      <c r="AG14" s="270">
        <f t="shared" ref="AG14:AG77" si="38">IMABS(AF14)</f>
        <v>1505.2016828452997</v>
      </c>
      <c r="AH14" s="581">
        <f t="shared" ref="AH14:AH77" si="39">IMARGUMENT(AF14)</f>
        <v>-1.316669891585293</v>
      </c>
      <c r="AI14" s="582" t="str">
        <f t="shared" si="17"/>
        <v>4000</v>
      </c>
      <c r="AJ14" s="584" t="str">
        <f t="shared" ref="AJ14:AJ77" si="40">IMSUM(COMPLEX(1,0),IMDIV(COMPLEX(0,2*PI()*D14),COMPLEX(2*PI()*IL_Pole1,0)))</f>
        <v>1+0.303149168179728i</v>
      </c>
      <c r="AK14" s="585">
        <f t="shared" ref="AK14:AK77" si="41">IMABS(AJ14)</f>
        <v>1.0449399112714859</v>
      </c>
      <c r="AL14" s="586">
        <f t="shared" ref="AL14:AL77" si="42">IMARGUMENT(AJ14)</f>
        <v>0.29434342959979037</v>
      </c>
      <c r="AM14" s="273" t="str">
        <f t="shared" ref="AM14:AM77" si="43">IMSUM(COMPLEX(1,0),IMDIV(COMPLEX(0,2*PI()*D14),COMPLEX(2*PI()*IL_Zero1,0)))</f>
        <v>1+0.0000106098495415565i</v>
      </c>
      <c r="AN14" s="585">
        <f t="shared" ref="AN14:AN77" si="44">IMABS(AM14)</f>
        <v>1.0000000000562843</v>
      </c>
      <c r="AO14" s="586">
        <f t="shared" ref="AO14:AO77" si="45">IMARGUMENT(AM14)</f>
        <v>1.0609849541158388E-5</v>
      </c>
      <c r="AP14" s="584" t="str">
        <f t="shared" ref="AP14:AP77" si="46">IMSUM(COMPLEX(1,0),IMDIV(COMPLEX(0,2*PI()*D14),COMPLEX(2*PI()*IL_Pole2,0)))</f>
        <v>1+7.67598226588826E-08i</v>
      </c>
      <c r="AQ14" s="585">
        <f t="shared" ref="AQ14:AQ77" si="47">IMABS(AP14)</f>
        <v>1.0000000000000031</v>
      </c>
      <c r="AR14" s="586">
        <f t="shared" ref="AR14:AR77" si="48">IMARGUMENT(AP14)</f>
        <v>7.6759822658882455E-8</v>
      </c>
      <c r="AS14" s="580" t="str">
        <f t="shared" ref="AS14:AS77" si="49">IMPRODUCT(AI14,IMDIV(AM14,IMPRODUCT(AJ14,AP14)))</f>
        <v>3663.3527830831-1110.50021658166i</v>
      </c>
      <c r="AT14" s="270">
        <f t="shared" ref="AT14:AT77" si="50">IMABS(AS14)</f>
        <v>3827.9713092381726</v>
      </c>
      <c r="AU14" s="581">
        <f t="shared" ref="AU14:AU77" si="51">IMARGUMENT(AS14)</f>
        <v>-0.29433289651007244</v>
      </c>
      <c r="AV14" s="580" t="str">
        <f t="shared" ref="AV14:AV77" si="52">IMPRODUCT(T14,AS14,COMPLEX($B$15,0))</f>
        <v>439.481093276518-133.067518298618i</v>
      </c>
      <c r="AW14" s="270">
        <f t="shared" ref="AW14:AW77" si="53">20*LOG10(IMABS(AV14))</f>
        <v>53.239748324832263</v>
      </c>
      <c r="AX14" s="581">
        <f t="shared" ref="AX14:AX77" si="54">(180/PI())*IMARGUMENT(AV14)</f>
        <v>-16.845433832177299</v>
      </c>
      <c r="AY14" s="299">
        <f t="shared" si="21"/>
        <v>163.15456616782271</v>
      </c>
      <c r="BB14" s="270">
        <f t="shared" si="22"/>
        <v>31.659373481332075</v>
      </c>
      <c r="BC14" s="270">
        <f t="shared" si="23"/>
        <v>-16.864032741887989</v>
      </c>
      <c r="BD14" s="286"/>
      <c r="BE14" s="270">
        <f t="shared" ref="BE14:BE77" si="55">20*LOG10(IMABS(T14))</f>
        <v>21.580374843500188</v>
      </c>
      <c r="BF14" s="581">
        <f t="shared" ref="BF14:BF77" si="56">180/PI()*IMARGUMENT(T14)</f>
        <v>1.8598909710708635E-2</v>
      </c>
      <c r="BI14" s="286"/>
      <c r="BJ14" s="286"/>
      <c r="BL14" s="253">
        <f t="shared" si="24"/>
        <v>0</v>
      </c>
      <c r="BM14" s="253">
        <f t="shared" si="25"/>
        <v>0</v>
      </c>
      <c r="BN14" s="253">
        <f t="shared" si="26"/>
        <v>0</v>
      </c>
      <c r="BO14" s="253">
        <f t="shared" si="27"/>
        <v>0</v>
      </c>
    </row>
    <row r="15" spans="1:67" ht="13.6" thickBot="1" x14ac:dyDescent="0.25">
      <c r="A15" s="253" t="s">
        <v>1022</v>
      </c>
      <c r="B15" s="253">
        <f>Rshunt/1000</f>
        <v>0.01</v>
      </c>
      <c r="D15" s="280">
        <v>1.2022999999999999</v>
      </c>
      <c r="E15" s="273" t="str">
        <f t="shared" si="0"/>
        <v>0.0000135976926506796i</v>
      </c>
      <c r="F15" s="579" t="str">
        <f t="shared" si="28"/>
        <v>0.002-2036.54461118619i</v>
      </c>
      <c r="G15" s="270" t="str">
        <f t="shared" si="29"/>
        <v>0.002-2036.54461118619i</v>
      </c>
      <c r="H15" s="271" t="str">
        <f t="shared" si="30"/>
        <v>1.99999806920667-0.00196410926261122i</v>
      </c>
      <c r="I15" s="271" t="str">
        <f t="shared" si="31"/>
        <v>2.00999806920667-0.00196410926261122i</v>
      </c>
      <c r="J15" s="270" t="str">
        <f t="shared" si="32"/>
        <v>2.00999223232113-0.00394789725238542i</v>
      </c>
      <c r="K15" s="271" t="str">
        <f t="shared" si="1"/>
        <v>0.999999999963498-9.49029358645982E-06i</v>
      </c>
      <c r="L15" s="580"/>
      <c r="M15" s="580" t="str">
        <f t="shared" si="2"/>
        <v>23.0403547566978+0.0275182969668147i</v>
      </c>
      <c r="N15" s="270" t="str">
        <f t="shared" si="3"/>
        <v>10.6135994008566+0.020638722725111i</v>
      </c>
      <c r="O15" s="581" t="str">
        <f t="shared" si="4"/>
        <v>10.6135991854534+0.0101634629568557i</v>
      </c>
      <c r="P15" s="582" t="str">
        <f t="shared" si="5"/>
        <v>21.3333338322467-0.000417727550058623i</v>
      </c>
      <c r="Q15" s="583" t="str">
        <f t="shared" si="6"/>
        <v>21.227197840392-0.000519362179627014i</v>
      </c>
      <c r="R15" s="581" t="str">
        <f t="shared" si="33"/>
        <v>1.03163189588678+0.00122234125718965i</v>
      </c>
      <c r="S15" s="253" t="str">
        <f t="shared" si="34"/>
        <v>26.0402576687432+0.015433978068116i</v>
      </c>
      <c r="T15" s="253" t="str">
        <f t="shared" si="35"/>
        <v>11.9955105348905+0.00426960570383764i</v>
      </c>
      <c r="U15" s="253" t="str">
        <f t="shared" si="36"/>
        <v>23.9910062949013-0.0150212901873798i</v>
      </c>
      <c r="V15" s="582" t="str">
        <f t="shared" si="7"/>
        <v>6000</v>
      </c>
      <c r="W15" s="584" t="str">
        <f t="shared" si="8"/>
        <v>1+4.23102782809071i</v>
      </c>
      <c r="X15" s="585">
        <f t="shared" si="9"/>
        <v>4.3475966328625741</v>
      </c>
      <c r="Y15" s="586">
        <f t="shared" si="10"/>
        <v>1.3387061707540424</v>
      </c>
      <c r="Z15" s="273" t="str">
        <f t="shared" si="11"/>
        <v>1+0.00063455899036505i</v>
      </c>
      <c r="AA15" s="585">
        <f t="shared" si="12"/>
        <v>1.0000002013325358</v>
      </c>
      <c r="AB15" s="586">
        <f t="shared" si="13"/>
        <v>6.345589051934815E-4</v>
      </c>
      <c r="AC15" s="584" t="str">
        <f t="shared" si="14"/>
        <v>1+0.0000306780446178754i</v>
      </c>
      <c r="AD15" s="585">
        <f t="shared" si="15"/>
        <v>1.0000000004705711</v>
      </c>
      <c r="AE15" s="586">
        <f t="shared" si="16"/>
        <v>3.0678044608251263E-5</v>
      </c>
      <c r="AF15" s="580" t="str">
        <f t="shared" si="37"/>
        <v>318.244564122524-1342.87832126993i</v>
      </c>
      <c r="AG15" s="270">
        <f t="shared" si="38"/>
        <v>1380.0731097772614</v>
      </c>
      <c r="AH15" s="581">
        <f t="shared" si="39"/>
        <v>-1.3381022898934583</v>
      </c>
      <c r="AI15" s="582" t="str">
        <f t="shared" si="17"/>
        <v>4000</v>
      </c>
      <c r="AJ15" s="584" t="str">
        <f t="shared" si="40"/>
        <v>1+0.332399676153659i</v>
      </c>
      <c r="AK15" s="585">
        <f t="shared" si="41"/>
        <v>1.0537976773114739</v>
      </c>
      <c r="AL15" s="586">
        <f t="shared" si="42"/>
        <v>0.32091002770368532</v>
      </c>
      <c r="AM15" s="273" t="str">
        <f t="shared" si="43"/>
        <v>1+0.0000116335814900259i</v>
      </c>
      <c r="AN15" s="585">
        <f t="shared" si="44"/>
        <v>1.0000000000676701</v>
      </c>
      <c r="AO15" s="586">
        <f t="shared" si="45"/>
        <v>1.163358148950107E-5</v>
      </c>
      <c r="AP15" s="584" t="str">
        <f t="shared" si="46"/>
        <v>1+8.41662879915864E-08i</v>
      </c>
      <c r="AQ15" s="585">
        <f t="shared" si="47"/>
        <v>1.0000000000000036</v>
      </c>
      <c r="AR15" s="586">
        <f t="shared" si="48"/>
        <v>8.4166287991586197E-8</v>
      </c>
      <c r="AS15" s="580" t="str">
        <f t="shared" si="49"/>
        <v>3602.02883057901-1197.2670191198i</v>
      </c>
      <c r="AT15" s="270">
        <f t="shared" si="50"/>
        <v>3795.7950433860888</v>
      </c>
      <c r="AU15" s="581">
        <f t="shared" si="51"/>
        <v>-0.32089847828848428</v>
      </c>
      <c r="AV15" s="580" t="str">
        <f t="shared" si="52"/>
        <v>432.132866422837-143.464498980881i</v>
      </c>
      <c r="AW15" s="270">
        <f t="shared" si="53"/>
        <v>53.16643036699395</v>
      </c>
      <c r="AX15" s="581">
        <f t="shared" si="54"/>
        <v>-18.365734963720168</v>
      </c>
      <c r="AY15" s="299">
        <f t="shared" si="21"/>
        <v>161.63426503627983</v>
      </c>
      <c r="BB15" s="270">
        <f t="shared" si="22"/>
        <v>31.586055087067546</v>
      </c>
      <c r="BC15" s="270">
        <f t="shared" si="23"/>
        <v>-18.386128458100629</v>
      </c>
      <c r="BD15" s="286"/>
      <c r="BE15" s="270">
        <f t="shared" si="55"/>
        <v>21.580375279926386</v>
      </c>
      <c r="BF15" s="581">
        <f t="shared" si="56"/>
        <v>2.0393494380476929E-2</v>
      </c>
      <c r="BI15" s="286"/>
      <c r="BJ15" s="286"/>
      <c r="BL15" s="253">
        <f t="shared" si="24"/>
        <v>0</v>
      </c>
      <c r="BM15" s="253">
        <f t="shared" si="25"/>
        <v>0</v>
      </c>
      <c r="BN15" s="253">
        <f t="shared" si="26"/>
        <v>0</v>
      </c>
      <c r="BO15" s="253">
        <f t="shared" si="27"/>
        <v>0</v>
      </c>
    </row>
    <row r="16" spans="1:67" ht="13.6" thickBot="1" x14ac:dyDescent="0.25">
      <c r="D16" s="280">
        <v>1.3183</v>
      </c>
      <c r="E16" s="273" t="str">
        <f t="shared" si="0"/>
        <v>0.0000149096217428187i</v>
      </c>
      <c r="F16" s="579" t="str">
        <f t="shared" si="28"/>
        <v>0.002-1857.34475159612i</v>
      </c>
      <c r="G16" s="270" t="str">
        <f t="shared" si="29"/>
        <v>0.002-1857.34475159612i</v>
      </c>
      <c r="H16" s="271" t="str">
        <f t="shared" si="30"/>
        <v>1.99999767866129-0.00215360952738713i</v>
      </c>
      <c r="I16" s="271" t="str">
        <f t="shared" si="31"/>
        <v>2.00999767866129-0.00215360952738713i</v>
      </c>
      <c r="J16" s="270" t="str">
        <f t="shared" si="32"/>
        <v>2.00999066114285-0.00432879387212948i</v>
      </c>
      <c r="K16" s="271" t="str">
        <f t="shared" si="1"/>
        <v>0.999999999956114-0.0000104059336563503i</v>
      </c>
      <c r="L16" s="580"/>
      <c r="M16" s="580" t="str">
        <f t="shared" si="2"/>
        <v>23.0403549529174+0.0301733103725792i</v>
      </c>
      <c r="N16" s="270" t="str">
        <f t="shared" si="3"/>
        <v>10.6135995480214+0.0226299827794344i</v>
      </c>
      <c r="O16" s="581" t="str">
        <f t="shared" si="4"/>
        <v>10.6135992890482+0.0111440516326654i</v>
      </c>
      <c r="P16" s="582" t="str">
        <f t="shared" si="5"/>
        <v>21.3333339331638-0.000458030636224592i</v>
      </c>
      <c r="Q16" s="583" t="str">
        <f t="shared" si="6"/>
        <v>21.2271979402733-0.000569471152551113i</v>
      </c>
      <c r="R16" s="581" t="str">
        <f t="shared" si="33"/>
        <v>1.03163190703012+0.00134027487883644i</v>
      </c>
      <c r="S16" s="253" t="str">
        <f t="shared" si="34"/>
        <v>26.0402596259666+0.0169230738743365i</v>
      </c>
      <c r="T16" s="253" t="str">
        <f t="shared" si="35"/>
        <v>11.9955111057816+0.00468154432468169i</v>
      </c>
      <c r="U16" s="253" t="str">
        <f t="shared" si="36"/>
        <v>23.9910044481374-0.016470569221376i</v>
      </c>
      <c r="V16" s="582" t="str">
        <f t="shared" si="7"/>
        <v>6000</v>
      </c>
      <c r="W16" s="584" t="str">
        <f t="shared" si="8"/>
        <v>1+4.63924476900273i</v>
      </c>
      <c r="X16" s="585">
        <f t="shared" si="9"/>
        <v>4.7457973014783503</v>
      </c>
      <c r="Y16" s="586">
        <f t="shared" si="10"/>
        <v>1.358492304141599</v>
      </c>
      <c r="Z16" s="273" t="str">
        <f t="shared" si="11"/>
        <v>1+0.000695782347998208i</v>
      </c>
      <c r="AA16" s="585">
        <f t="shared" si="12"/>
        <v>1.0000002420565086</v>
      </c>
      <c r="AB16" s="586">
        <f t="shared" si="13"/>
        <v>6.9578223571912969E-4</v>
      </c>
      <c r="AC16" s="584" t="str">
        <f t="shared" si="14"/>
        <v>1+0.0000336379158444191i</v>
      </c>
      <c r="AD16" s="585">
        <f t="shared" si="15"/>
        <v>1.0000000005657546</v>
      </c>
      <c r="AE16" s="586">
        <f t="shared" si="16"/>
        <v>3.3637915831731893E-5</v>
      </c>
      <c r="AF16" s="580" t="str">
        <f t="shared" si="37"/>
        <v>267.21752216785-1235.71462531464i</v>
      </c>
      <c r="AG16" s="270">
        <f t="shared" si="38"/>
        <v>1264.2768048849216</v>
      </c>
      <c r="AH16" s="581">
        <f t="shared" si="39"/>
        <v>-1.3578301598217113</v>
      </c>
      <c r="AI16" s="582" t="str">
        <f t="shared" si="17"/>
        <v>4000</v>
      </c>
      <c r="AJ16" s="584" t="str">
        <f t="shared" si="40"/>
        <v>1+0.364470176389727i</v>
      </c>
      <c r="AK16" s="585">
        <f t="shared" si="41"/>
        <v>1.0643488664331628</v>
      </c>
      <c r="AL16" s="586">
        <f t="shared" si="42"/>
        <v>0.34950723945311934</v>
      </c>
      <c r="AM16" s="273" t="str">
        <f t="shared" si="43"/>
        <v>1+0.0000127560097133005i</v>
      </c>
      <c r="AN16" s="585">
        <f t="shared" si="44"/>
        <v>1.000000000081358</v>
      </c>
      <c r="AO16" s="586">
        <f t="shared" si="45"/>
        <v>1.2756009712608631E-5</v>
      </c>
      <c r="AP16" s="584" t="str">
        <f t="shared" si="46"/>
        <v>1+9.22867981862334E-08i</v>
      </c>
      <c r="AQ16" s="585">
        <f t="shared" si="47"/>
        <v>1.0000000000000042</v>
      </c>
      <c r="AR16" s="586">
        <f t="shared" si="48"/>
        <v>9.228679818623313E-8</v>
      </c>
      <c r="AS16" s="580" t="str">
        <f t="shared" si="49"/>
        <v>3530.96970904238-1286.8824977898i</v>
      </c>
      <c r="AT16" s="270">
        <f t="shared" si="50"/>
        <v>3758.1662615286918</v>
      </c>
      <c r="AU16" s="581">
        <f t="shared" si="51"/>
        <v>-0.3494945757302052</v>
      </c>
      <c r="AV16" s="580" t="str">
        <f t="shared" si="52"/>
        <v>423.618109564504-154.202829028715i</v>
      </c>
      <c r="AW16" s="270">
        <f t="shared" si="53"/>
        <v>53.079895592729542</v>
      </c>
      <c r="AX16" s="581">
        <f t="shared" si="54"/>
        <v>-20.002203060859202</v>
      </c>
      <c r="AY16" s="299">
        <f t="shared" si="21"/>
        <v>159.99779693914081</v>
      </c>
      <c r="BB16" s="270">
        <f t="shared" si="22"/>
        <v>31.499519788133302</v>
      </c>
      <c r="BC16" s="270">
        <f t="shared" si="23"/>
        <v>-20.02456415205609</v>
      </c>
      <c r="BD16" s="286"/>
      <c r="BE16" s="270">
        <f t="shared" si="55"/>
        <v>21.580375804596237</v>
      </c>
      <c r="BF16" s="581">
        <f t="shared" si="56"/>
        <v>2.2361091196842743E-2</v>
      </c>
      <c r="BI16" s="286"/>
      <c r="BJ16" s="286"/>
      <c r="BL16" s="253">
        <f t="shared" si="24"/>
        <v>0</v>
      </c>
      <c r="BM16" s="253">
        <f t="shared" si="25"/>
        <v>0</v>
      </c>
      <c r="BN16" s="253">
        <f t="shared" si="26"/>
        <v>0</v>
      </c>
      <c r="BO16" s="253">
        <f t="shared" si="27"/>
        <v>0</v>
      </c>
    </row>
    <row r="17" spans="1:67" ht="13.6" thickBot="1" x14ac:dyDescent="0.25">
      <c r="D17" s="280">
        <v>1.4454</v>
      </c>
      <c r="E17" s="273" t="str">
        <f t="shared" si="0"/>
        <v>0.0000163470888773953i</v>
      </c>
      <c r="F17" s="579" t="str">
        <f t="shared" si="28"/>
        <v>0.002-1694.02074583448i</v>
      </c>
      <c r="G17" s="270" t="str">
        <f t="shared" si="29"/>
        <v>0.002-1694.02074583448i</v>
      </c>
      <c r="H17" s="271" t="str">
        <f t="shared" si="30"/>
        <v>1.99999720947442-0.00236124287332584i</v>
      </c>
      <c r="I17" s="271" t="str">
        <f t="shared" si="31"/>
        <v>2.00999720947442-0.00236124287332584i</v>
      </c>
      <c r="J17" s="270" t="str">
        <f t="shared" si="32"/>
        <v>2.00998877358945-0.00474613728047489i</v>
      </c>
      <c r="K17" s="271" t="str">
        <f t="shared" si="1"/>
        <v>0.999999999947244-0.0000114091910087907i</v>
      </c>
      <c r="L17" s="580"/>
      <c r="M17" s="580" t="str">
        <f t="shared" si="2"/>
        <v>23.040355188648+0.0330823811404642i</v>
      </c>
      <c r="N17" s="270" t="str">
        <f t="shared" si="3"/>
        <v>10.6135997248193+0.0248117858553481i</v>
      </c>
      <c r="O17" s="581" t="str">
        <f t="shared" si="4"/>
        <v>10.6135994135026+0.0122184725171049i</v>
      </c>
      <c r="P17" s="582" t="str">
        <f t="shared" si="5"/>
        <v>21.3333340544007-0.000502190312047714i</v>
      </c>
      <c r="Q17" s="583" t="str">
        <f t="shared" si="6"/>
        <v>21.2271980602657-0.000624375037218638i</v>
      </c>
      <c r="R17" s="581" t="str">
        <f t="shared" si="33"/>
        <v>1.03163192041731+0.00146949353004753i</v>
      </c>
      <c r="S17" s="253" t="str">
        <f t="shared" si="34"/>
        <v>26.0402619773031+0.0185546603301408i</v>
      </c>
      <c r="T17" s="253" t="str">
        <f t="shared" si="35"/>
        <v>11.9955117916287+0.00513290108905467i</v>
      </c>
      <c r="U17" s="253" t="str">
        <f t="shared" si="36"/>
        <v>23.9910022295011-0.0180585288752619i</v>
      </c>
      <c r="V17" s="582" t="str">
        <f t="shared" si="7"/>
        <v>6000</v>
      </c>
      <c r="W17" s="584" t="str">
        <f t="shared" si="8"/>
        <v>1+5.08652384822615i</v>
      </c>
      <c r="X17" s="585">
        <f t="shared" si="9"/>
        <v>5.1838908995631234</v>
      </c>
      <c r="Y17" s="586">
        <f t="shared" si="10"/>
        <v>1.3766741292404865</v>
      </c>
      <c r="Z17" s="273" t="str">
        <f t="shared" si="11"/>
        <v>1+0.000762864147611779i</v>
      </c>
      <c r="AA17" s="585">
        <f t="shared" si="12"/>
        <v>1.0000002909808114</v>
      </c>
      <c r="AB17" s="586">
        <f t="shared" si="13"/>
        <v>7.6286399962592329E-4</v>
      </c>
      <c r="AC17" s="584" t="str">
        <f t="shared" si="14"/>
        <v>1+0.0000368810161279856i</v>
      </c>
      <c r="AD17" s="585">
        <f t="shared" si="15"/>
        <v>1.0000000006801046</v>
      </c>
      <c r="AE17" s="586">
        <f t="shared" si="16"/>
        <v>3.6881016111263631E-5</v>
      </c>
      <c r="AF17" s="580" t="str">
        <f t="shared" si="37"/>
        <v>224.099214924562-1135.53010229956i</v>
      </c>
      <c r="AG17" s="270">
        <f t="shared" si="38"/>
        <v>1157.4321022670204</v>
      </c>
      <c r="AH17" s="581">
        <f t="shared" si="39"/>
        <v>-1.3759481462569711</v>
      </c>
      <c r="AI17" s="582" t="str">
        <f t="shared" si="17"/>
        <v>4000</v>
      </c>
      <c r="AJ17" s="584" t="str">
        <f t="shared" si="40"/>
        <v>1+0.399609491734591i</v>
      </c>
      <c r="AK17" s="585">
        <f t="shared" si="41"/>
        <v>1.0768879913363218</v>
      </c>
      <c r="AL17" s="586">
        <f t="shared" si="42"/>
        <v>0.3801696867306375</v>
      </c>
      <c r="AM17" s="273" t="str">
        <f t="shared" si="43"/>
        <v>1+0.000013985842706216i</v>
      </c>
      <c r="AN17" s="585">
        <f t="shared" si="44"/>
        <v>1.0000000000978018</v>
      </c>
      <c r="AO17" s="586">
        <f t="shared" si="45"/>
        <v>1.3985842705304105E-5</v>
      </c>
      <c r="AP17" s="584" t="str">
        <f t="shared" si="46"/>
        <v>1+1.0118435720123E-07i</v>
      </c>
      <c r="AQ17" s="585">
        <f t="shared" si="47"/>
        <v>1.0000000000000051</v>
      </c>
      <c r="AR17" s="586">
        <f t="shared" si="48"/>
        <v>1.0118435720122966E-7</v>
      </c>
      <c r="AS17" s="580" t="str">
        <f t="shared" si="49"/>
        <v>3449.22347241004-1378.2869000554i</v>
      </c>
      <c r="AT17" s="270">
        <f t="shared" si="50"/>
        <v>3714.4067280642134</v>
      </c>
      <c r="AU17" s="581">
        <f t="shared" si="51"/>
        <v>-0.38015580207228916</v>
      </c>
      <c r="AV17" s="580" t="str">
        <f t="shared" si="52"/>
        <v>413.822754455875-165.15552238944i</v>
      </c>
      <c r="AW17" s="270">
        <f t="shared" si="53"/>
        <v>52.978165581215954</v>
      </c>
      <c r="AX17" s="581">
        <f t="shared" si="54"/>
        <v>-21.756806050455989</v>
      </c>
      <c r="AY17" s="299">
        <f t="shared" si="21"/>
        <v>158.24319394954401</v>
      </c>
      <c r="BB17" s="270">
        <f t="shared" si="22"/>
        <v>31.397789146301029</v>
      </c>
      <c r="BC17" s="270">
        <f t="shared" si="23"/>
        <v>-21.781323016152843</v>
      </c>
      <c r="BD17" s="286"/>
      <c r="BE17" s="270">
        <f t="shared" si="55"/>
        <v>21.580376434914903</v>
      </c>
      <c r="BF17" s="581">
        <f t="shared" si="56"/>
        <v>2.4516965696842662E-2</v>
      </c>
      <c r="BI17" s="286"/>
      <c r="BJ17" s="286"/>
      <c r="BL17" s="253">
        <f t="shared" si="24"/>
        <v>0</v>
      </c>
      <c r="BM17" s="253">
        <f t="shared" si="25"/>
        <v>0</v>
      </c>
      <c r="BN17" s="253">
        <f t="shared" si="26"/>
        <v>0</v>
      </c>
      <c r="BO17" s="253">
        <f t="shared" si="27"/>
        <v>0</v>
      </c>
    </row>
    <row r="18" spans="1:67" ht="13.6" thickBot="1" x14ac:dyDescent="0.25">
      <c r="B18" s="253" t="str">
        <f>IF(Vin&gt;=Vout,P13,Q13)</f>
        <v>21.2271976882008-0.0004319738613414i</v>
      </c>
      <c r="D18" s="280">
        <v>1.5849</v>
      </c>
      <c r="E18" s="273" t="str">
        <f t="shared" si="0"/>
        <v>0.0000179247967080281i</v>
      </c>
      <c r="F18" s="579" t="str">
        <f t="shared" si="28"/>
        <v>0.002-1544.91613731413i</v>
      </c>
      <c r="G18" s="270" t="str">
        <f t="shared" si="29"/>
        <v>0.002-1544.91613731413i</v>
      </c>
      <c r="H18" s="271" t="str">
        <f t="shared" si="30"/>
        <v>1.99999664483783-0.00258913295443947i</v>
      </c>
      <c r="I18" s="271" t="str">
        <f t="shared" si="31"/>
        <v>2.00999664483783-0.00258913295443947i</v>
      </c>
      <c r="J18" s="270" t="str">
        <f t="shared" si="32"/>
        <v>2.00998650204242-0.00520419569671761i</v>
      </c>
      <c r="K18" s="271" t="str">
        <f t="shared" si="1"/>
        <v>0.99999999993657-0.0000125103271273228i</v>
      </c>
      <c r="L18" s="580"/>
      <c r="M18" s="580" t="str">
        <f t="shared" si="2"/>
        <v>23.0403554723353+0.036275263749769i</v>
      </c>
      <c r="N18" s="270" t="str">
        <f t="shared" si="3"/>
        <v>10.6135999375848+0.0272064478123267i</v>
      </c>
      <c r="O18" s="581" t="str">
        <f t="shared" si="4"/>
        <v>10.613599563276+0.0133977149728586i</v>
      </c>
      <c r="P18" s="582" t="str">
        <f t="shared" si="5"/>
        <v>21.3333342003023-0.000550658250562913i</v>
      </c>
      <c r="Q18" s="583" t="str">
        <f t="shared" si="6"/>
        <v>21.2271982046696-0.000684635400291501i</v>
      </c>
      <c r="R18" s="581" t="str">
        <f t="shared" si="33"/>
        <v>1.03163193652796+0.00161131888154531i</v>
      </c>
      <c r="S18" s="253" t="str">
        <f t="shared" si="34"/>
        <v>26.0402648069884+0.0203454254051437i</v>
      </c>
      <c r="T18" s="253" t="str">
        <f t="shared" si="35"/>
        <v>11.9955126170028+0.00562829249994581i</v>
      </c>
      <c r="U18" s="253" t="str">
        <f t="shared" si="36"/>
        <v>23.990999559513-0.0198014109060189i</v>
      </c>
      <c r="V18" s="582" t="str">
        <f t="shared" si="7"/>
        <v>6000</v>
      </c>
      <c r="W18" s="584" t="str">
        <f t="shared" si="8"/>
        <v>1+5.57743991078845i</v>
      </c>
      <c r="X18" s="585">
        <f t="shared" si="9"/>
        <v>5.6663776752397883</v>
      </c>
      <c r="Y18" s="586">
        <f t="shared" si="10"/>
        <v>1.3933875786530954</v>
      </c>
      <c r="Z18" s="273" t="str">
        <f t="shared" si="11"/>
        <v>1+0.00083649051304131i</v>
      </c>
      <c r="AA18" s="585">
        <f t="shared" si="12"/>
        <v>1.000000349858128</v>
      </c>
      <c r="AB18" s="586">
        <f t="shared" si="13"/>
        <v>8.3649031793935449E-4</v>
      </c>
      <c r="AC18" s="584" t="str">
        <f t="shared" si="14"/>
        <v>1+0.0000404405164392171i</v>
      </c>
      <c r="AD18" s="585">
        <f t="shared" si="15"/>
        <v>1.0000000008177177</v>
      </c>
      <c r="AE18" s="586">
        <f t="shared" si="16"/>
        <v>4.0440516417171151E-5</v>
      </c>
      <c r="AF18" s="580" t="str">
        <f t="shared" si="37"/>
        <v>187.699966046995-1042.10898191234i</v>
      </c>
      <c r="AG18" s="270">
        <f t="shared" si="38"/>
        <v>1058.8779001548842</v>
      </c>
      <c r="AH18" s="581">
        <f t="shared" si="39"/>
        <v>-1.3925915288515722</v>
      </c>
      <c r="AI18" s="582" t="str">
        <f t="shared" si="17"/>
        <v>4000</v>
      </c>
      <c r="AJ18" s="584" t="str">
        <f t="shared" si="40"/>
        <v>1+0.438177032966759i</v>
      </c>
      <c r="AK18" s="585">
        <f t="shared" si="41"/>
        <v>1.0917871185444312</v>
      </c>
      <c r="AL18" s="586">
        <f t="shared" si="42"/>
        <v>0.41297856402830624</v>
      </c>
      <c r="AM18" s="273" t="str">
        <f t="shared" si="43"/>
        <v>1+0.0000153356594057574i</v>
      </c>
      <c r="AN18" s="585">
        <f t="shared" si="44"/>
        <v>1.0000000001175913</v>
      </c>
      <c r="AO18" s="586">
        <f t="shared" si="45"/>
        <v>1.5335659404555174E-5</v>
      </c>
      <c r="AP18" s="584" t="str">
        <f t="shared" si="46"/>
        <v>1+1.10949970754275E-07i</v>
      </c>
      <c r="AQ18" s="585">
        <f t="shared" si="47"/>
        <v>1.0000000000000062</v>
      </c>
      <c r="AR18" s="586">
        <f t="shared" si="48"/>
        <v>1.1094997075427455E-7</v>
      </c>
      <c r="AS18" s="580" t="str">
        <f t="shared" si="49"/>
        <v>3355.72958358213-1470.34273353506i</v>
      </c>
      <c r="AT18" s="270">
        <f t="shared" si="50"/>
        <v>3663.7178920036467</v>
      </c>
      <c r="AU18" s="581">
        <f t="shared" si="51"/>
        <v>-0.41296333931887363</v>
      </c>
      <c r="AV18" s="580" t="str">
        <f t="shared" si="52"/>
        <v>402.619720780885-176.186277837911i</v>
      </c>
      <c r="AW18" s="270">
        <f t="shared" si="53"/>
        <v>52.858817701551651</v>
      </c>
      <c r="AX18" s="581">
        <f t="shared" si="54"/>
        <v>-23.634173268473802</v>
      </c>
      <c r="AY18" s="299">
        <f t="shared" si="21"/>
        <v>156.3658267315262</v>
      </c>
      <c r="BB18" s="270">
        <f t="shared" si="22"/>
        <v>31.27844050808784</v>
      </c>
      <c r="BC18" s="270">
        <f t="shared" si="23"/>
        <v>-23.661056436600383</v>
      </c>
      <c r="BD18" s="286"/>
      <c r="BE18" s="270">
        <f t="shared" si="55"/>
        <v>21.580377193463811</v>
      </c>
      <c r="BF18" s="581">
        <f t="shared" si="56"/>
        <v>2.6883168126607626E-2</v>
      </c>
      <c r="BI18" s="286"/>
      <c r="BJ18" s="286"/>
      <c r="BL18" s="253">
        <f t="shared" si="24"/>
        <v>0</v>
      </c>
      <c r="BM18" s="253">
        <f t="shared" si="25"/>
        <v>0</v>
      </c>
      <c r="BN18" s="253">
        <f t="shared" si="26"/>
        <v>0</v>
      </c>
      <c r="BO18" s="253">
        <f t="shared" si="27"/>
        <v>0</v>
      </c>
    </row>
    <row r="19" spans="1:67" ht="13.6" thickBot="1" x14ac:dyDescent="0.25">
      <c r="D19" s="280">
        <v>1.7378</v>
      </c>
      <c r="E19" s="273" t="str">
        <f t="shared" si="0"/>
        <v>0.00001965405496827i</v>
      </c>
      <c r="F19" s="579" t="str">
        <f t="shared" si="28"/>
        <v>0.002-1408.98698701183i</v>
      </c>
      <c r="G19" s="270" t="str">
        <f t="shared" si="29"/>
        <v>0.002-1408.98698701183i</v>
      </c>
      <c r="H19" s="271" t="str">
        <f t="shared" si="30"/>
        <v>1.99999596624772-0.0028389133194985i</v>
      </c>
      <c r="I19" s="271" t="str">
        <f t="shared" si="31"/>
        <v>2.00999596624772-0.0028389133194985i</v>
      </c>
      <c r="J19" s="270" t="str">
        <f t="shared" si="32"/>
        <v>2.00998377206263-0.00570625211493608i</v>
      </c>
      <c r="K19" s="271" t="str">
        <f t="shared" si="1"/>
        <v>0.999999999923741-0.000013717235460825i</v>
      </c>
      <c r="L19" s="580"/>
      <c r="M19" s="580" t="str">
        <f t="shared" si="2"/>
        <v>23.0403558132756+0.0397748462719577i</v>
      </c>
      <c r="N19" s="270" t="str">
        <f t="shared" si="3"/>
        <v>10.61360019329+0.0298311347039683i</v>
      </c>
      <c r="O19" s="581" t="str">
        <f t="shared" si="4"/>
        <v>10.6135997432761+0.0146902323596587i</v>
      </c>
      <c r="P19" s="582" t="str">
        <f t="shared" si="5"/>
        <v>21.3333343756492-0.000603781892856425i</v>
      </c>
      <c r="Q19" s="583" t="str">
        <f t="shared" si="6"/>
        <v>21.2271983782163-0.000750684216453253i</v>
      </c>
      <c r="R19" s="581" t="str">
        <f t="shared" si="33"/>
        <v>1.03163195589003+0.00176676760357727i</v>
      </c>
      <c r="S19" s="253" t="str">
        <f t="shared" si="34"/>
        <v>26.0402682077546+0.0223082059022619i</v>
      </c>
      <c r="T19" s="253" t="str">
        <f t="shared" si="35"/>
        <v>11.9955136089518+0.00617126968524432i</v>
      </c>
      <c r="U19" s="253" t="str">
        <f t="shared" si="36"/>
        <v>23.9909963506729-0.0217117088815634i</v>
      </c>
      <c r="V19" s="582" t="str">
        <f t="shared" si="7"/>
        <v>6000</v>
      </c>
      <c r="W19" s="584" t="str">
        <f t="shared" si="8"/>
        <v>1+6.11551206824922i</v>
      </c>
      <c r="X19" s="585">
        <f t="shared" si="9"/>
        <v>6.1967320304255411</v>
      </c>
      <c r="Y19" s="586">
        <f t="shared" si="10"/>
        <v>1.4087121835044341</v>
      </c>
      <c r="Z19" s="273" t="str">
        <f t="shared" si="11"/>
        <v>1+0.000917189231852603i</v>
      </c>
      <c r="AA19" s="585">
        <f t="shared" si="12"/>
        <v>1.0000004206179551</v>
      </c>
      <c r="AB19" s="586">
        <f t="shared" si="13"/>
        <v>9.1718897466183929E-4</v>
      </c>
      <c r="AC19" s="584" t="str">
        <f t="shared" si="14"/>
        <v>1+0.0000443419329093769i</v>
      </c>
      <c r="AD19" s="585">
        <f t="shared" si="15"/>
        <v>1.0000000009831034</v>
      </c>
      <c r="AE19" s="586">
        <f t="shared" si="16"/>
        <v>4.4341932880315092E-5</v>
      </c>
      <c r="AF19" s="580" t="str">
        <f t="shared" si="37"/>
        <v>157.086149267947-955.425157819566i</v>
      </c>
      <c r="AG19" s="270">
        <f t="shared" si="38"/>
        <v>968.25269970518252</v>
      </c>
      <c r="AH19" s="581">
        <f t="shared" si="39"/>
        <v>-1.4078393364626525</v>
      </c>
      <c r="AI19" s="582" t="str">
        <f t="shared" si="17"/>
        <v>4000</v>
      </c>
      <c r="AJ19" s="584" t="str">
        <f t="shared" si="40"/>
        <v>1+0.480449269915852i</v>
      </c>
      <c r="AK19" s="585">
        <f t="shared" si="41"/>
        <v>1.1094284568924104</v>
      </c>
      <c r="AL19" s="586">
        <f t="shared" si="42"/>
        <v>0.44788505250366145</v>
      </c>
      <c r="AM19" s="273" t="str">
        <f t="shared" si="43"/>
        <v>1+0.0000168151359172977i</v>
      </c>
      <c r="AN19" s="585">
        <f t="shared" si="44"/>
        <v>1.0000000001413745</v>
      </c>
      <c r="AO19" s="586">
        <f t="shared" si="45"/>
        <v>1.6815135915712883E-5</v>
      </c>
      <c r="AP19" s="584" t="str">
        <f t="shared" si="46"/>
        <v>1+1.21653643243599E-07i</v>
      </c>
      <c r="AQ19" s="585">
        <f t="shared" si="47"/>
        <v>1.0000000000000075</v>
      </c>
      <c r="AR19" s="586">
        <f t="shared" si="48"/>
        <v>1.2165364324359838E-7</v>
      </c>
      <c r="AS19" s="580" t="str">
        <f t="shared" si="49"/>
        <v>3249.8616409842-1561.3268788093i</v>
      </c>
      <c r="AT19" s="270">
        <f t="shared" si="50"/>
        <v>3605.4600688446003</v>
      </c>
      <c r="AU19" s="581">
        <f t="shared" si="51"/>
        <v>-0.44786835902139011</v>
      </c>
      <c r="AV19" s="580" t="str">
        <f t="shared" si="52"/>
        <v>389.933949108724-187.08862050153i</v>
      </c>
      <c r="AW19" s="270">
        <f t="shared" si="53"/>
        <v>52.719591905694287</v>
      </c>
      <c r="AX19" s="581">
        <f t="shared" si="54"/>
        <v>-25.631490089389768</v>
      </c>
      <c r="AY19" s="299">
        <f t="shared" si="21"/>
        <v>154.36850991061024</v>
      </c>
      <c r="BB19" s="270">
        <f t="shared" si="22"/>
        <v>31.139213800593257</v>
      </c>
      <c r="BC19" s="270">
        <f t="shared" si="23"/>
        <v>-25.660966749375564</v>
      </c>
      <c r="BD19" s="286"/>
      <c r="BE19" s="270">
        <f t="shared" si="55"/>
        <v>21.580378105101019</v>
      </c>
      <c r="BF19" s="581">
        <f t="shared" si="56"/>
        <v>2.9476659985821725E-2</v>
      </c>
      <c r="BI19" s="286"/>
      <c r="BJ19" s="286"/>
      <c r="BL19" s="253">
        <f t="shared" si="24"/>
        <v>0</v>
      </c>
      <c r="BM19" s="253">
        <f t="shared" si="25"/>
        <v>0</v>
      </c>
      <c r="BN19" s="253">
        <f t="shared" si="26"/>
        <v>0</v>
      </c>
      <c r="BO19" s="253">
        <f t="shared" si="27"/>
        <v>0</v>
      </c>
    </row>
    <row r="20" spans="1:67" ht="13.6" thickBot="1" x14ac:dyDescent="0.25">
      <c r="D20" s="280">
        <v>1.9055</v>
      </c>
      <c r="E20" s="273" t="str">
        <f t="shared" si="0"/>
        <v>0.0000215506972850953i</v>
      </c>
      <c r="F20" s="579" t="str">
        <f t="shared" si="28"/>
        <v>0.002-1284.98430124857i</v>
      </c>
      <c r="G20" s="270" t="str">
        <f t="shared" si="29"/>
        <v>0.002-1284.98430124857i</v>
      </c>
      <c r="H20" s="271" t="str">
        <f t="shared" si="30"/>
        <v>1.9999951501605-0.00311287094070696i</v>
      </c>
      <c r="I20" s="271" t="str">
        <f t="shared" si="31"/>
        <v>2.0099951501605-0.00311287094070696i</v>
      </c>
      <c r="J20" s="270" t="str">
        <f t="shared" si="32"/>
        <v>2.00998048893693-0.0062569027584511i</v>
      </c>
      <c r="K20" s="271" t="str">
        <f t="shared" si="1"/>
        <v>0.999999999908312-0.000015040966837727i</v>
      </c>
      <c r="L20" s="580"/>
      <c r="M20" s="580" t="str">
        <f t="shared" si="2"/>
        <v>23.0403562232985+0.0436131720057702i</v>
      </c>
      <c r="N20" s="270" t="str">
        <f t="shared" si="3"/>
        <v>10.6136005008072+0.0327098790043277i</v>
      </c>
      <c r="O20" s="581" t="str">
        <f t="shared" si="4"/>
        <v>10.6135999597487+0.0161078593806522i</v>
      </c>
      <c r="P20" s="582" t="str">
        <f t="shared" si="5"/>
        <v>21.3333345865259-0.000662047656412132i</v>
      </c>
      <c r="Q20" s="583" t="str">
        <f t="shared" si="6"/>
        <v>21.2271985869285-0.000823126250218575i</v>
      </c>
      <c r="R20" s="581" t="str">
        <f t="shared" si="33"/>
        <v>1.0316319791753+0.00193726303443216i</v>
      </c>
      <c r="S20" s="253" t="str">
        <f t="shared" si="34"/>
        <v>26.0402722975922+0.024460973357743i</v>
      </c>
      <c r="T20" s="253" t="str">
        <f t="shared" si="35"/>
        <v>11.9955148018923+0.00676680422754557i</v>
      </c>
      <c r="U20" s="253" t="str">
        <f t="shared" si="36"/>
        <v>23.9909924916513-0.023806913808454i</v>
      </c>
      <c r="V20" s="582" t="str">
        <f t="shared" si="7"/>
        <v>6000</v>
      </c>
      <c r="W20" s="584" t="str">
        <f t="shared" si="8"/>
        <v>1+6.70566707679184i</v>
      </c>
      <c r="X20" s="585">
        <f t="shared" si="9"/>
        <v>6.7798208637669788</v>
      </c>
      <c r="Y20" s="586">
        <f t="shared" si="10"/>
        <v>1.4227596965990572</v>
      </c>
      <c r="Z20" s="273" t="str">
        <f t="shared" si="11"/>
        <v>1+0.00100569920663778i</v>
      </c>
      <c r="AA20" s="585">
        <f t="shared" si="12"/>
        <v>1.0000005057153192</v>
      </c>
      <c r="AB20" s="586">
        <f t="shared" si="13"/>
        <v>1.005698867572903E-3</v>
      </c>
      <c r="AC20" s="584" t="str">
        <f t="shared" si="14"/>
        <v>1+0.0000486209881222337i</v>
      </c>
      <c r="AD20" s="585">
        <f t="shared" si="15"/>
        <v>1.0000000011820003</v>
      </c>
      <c r="AE20" s="586">
        <f t="shared" si="16"/>
        <v>4.8620988083920353E-5</v>
      </c>
      <c r="AF20" s="580" t="str">
        <f t="shared" si="37"/>
        <v>131.369081135432-875.17485298074i</v>
      </c>
      <c r="AG20" s="270">
        <f t="shared" si="38"/>
        <v>884.97958098943013</v>
      </c>
      <c r="AH20" s="581">
        <f t="shared" si="39"/>
        <v>-1.4218026187195676</v>
      </c>
      <c r="AI20" s="582" t="str">
        <f t="shared" si="17"/>
        <v>4000</v>
      </c>
      <c r="AJ20" s="584" t="str">
        <f t="shared" si="40"/>
        <v>1+0.526813260343339i</v>
      </c>
      <c r="AK20" s="585">
        <f t="shared" si="41"/>
        <v>1.1302797048844053</v>
      </c>
      <c r="AL20" s="586">
        <f t="shared" si="42"/>
        <v>0.48486740877985957</v>
      </c>
      <c r="AM20" s="273" t="str">
        <f t="shared" si="43"/>
        <v>1+0.0000184378187883593i</v>
      </c>
      <c r="AN20" s="585">
        <f t="shared" si="44"/>
        <v>1.0000000001699765</v>
      </c>
      <c r="AO20" s="586">
        <f t="shared" si="45"/>
        <v>1.8437818786269969E-5</v>
      </c>
      <c r="AP20" s="584" t="str">
        <f t="shared" si="46"/>
        <v>1+1.33393380826722E-07i</v>
      </c>
      <c r="AQ20" s="585">
        <f t="shared" si="47"/>
        <v>1.0000000000000089</v>
      </c>
      <c r="AR20" s="586">
        <f t="shared" si="48"/>
        <v>1.3339338082672121E-7</v>
      </c>
      <c r="AS20" s="580" t="str">
        <f t="shared" si="49"/>
        <v>3131.06670561224-1649.41424183443i</v>
      </c>
      <c r="AT20" s="270">
        <f t="shared" si="50"/>
        <v>3538.9470264698416</v>
      </c>
      <c r="AU20" s="581">
        <f t="shared" si="51"/>
        <v>-0.48484910435445372</v>
      </c>
      <c r="AV20" s="580" t="str">
        <f t="shared" si="52"/>
        <v>375.699182761484-197.643856369566i</v>
      </c>
      <c r="AW20" s="270">
        <f t="shared" si="53"/>
        <v>52.557860438473305</v>
      </c>
      <c r="AX20" s="581">
        <f t="shared" si="54"/>
        <v>-27.747486192805521</v>
      </c>
      <c r="AY20" s="299">
        <f t="shared" si="21"/>
        <v>152.25251380719448</v>
      </c>
      <c r="BB20" s="270">
        <f t="shared" si="22"/>
        <v>30.977481237016924</v>
      </c>
      <c r="BC20" s="270">
        <f t="shared" si="23"/>
        <v>-27.779807380208222</v>
      </c>
      <c r="BD20" s="286"/>
      <c r="BE20" s="270">
        <f t="shared" si="55"/>
        <v>21.580379201456378</v>
      </c>
      <c r="BF20" s="581">
        <f t="shared" si="56"/>
        <v>3.2321187402701873E-2</v>
      </c>
      <c r="BI20" s="286"/>
      <c r="BJ20" s="286"/>
      <c r="BL20" s="253">
        <f t="shared" si="24"/>
        <v>0</v>
      </c>
      <c r="BM20" s="253">
        <f t="shared" si="25"/>
        <v>0</v>
      </c>
      <c r="BN20" s="253">
        <f t="shared" si="26"/>
        <v>0</v>
      </c>
      <c r="BO20" s="253">
        <f t="shared" si="27"/>
        <v>0</v>
      </c>
    </row>
    <row r="21" spans="1:67" ht="13.6" thickBot="1" x14ac:dyDescent="0.25">
      <c r="B21" s="253">
        <f>20*LOG10(IMABS(H13))</f>
        <v>6.0205970099367505</v>
      </c>
      <c r="D21" s="280">
        <v>2.0893000000000002</v>
      </c>
      <c r="E21" s="273" t="str">
        <f t="shared" si="0"/>
        <v>0.0000236294263121226i</v>
      </c>
      <c r="F21" s="579" t="str">
        <f t="shared" si="28"/>
        <v>0.002-1171.94160055002i</v>
      </c>
      <c r="G21" s="270" t="str">
        <f t="shared" si="29"/>
        <v>0.002-1171.94160055002i</v>
      </c>
      <c r="H21" s="271" t="str">
        <f t="shared" si="30"/>
        <v>1.99999416943212-0.00341312939597487i</v>
      </c>
      <c r="I21" s="271" t="str">
        <f t="shared" si="31"/>
        <v>2.00999416943212-0.00341312939597487i</v>
      </c>
      <c r="J21" s="270" t="str">
        <f t="shared" si="32"/>
        <v>2.00997654346918-0.00686041523379777i</v>
      </c>
      <c r="K21" s="271" t="str">
        <f t="shared" si="1"/>
        <v>0.999999999889771-0.0000164917827415707i</v>
      </c>
      <c r="L21" s="580"/>
      <c r="M21" s="580" t="str">
        <f t="shared" si="2"/>
        <v>23.0403567160414+0.0478199954560044i</v>
      </c>
      <c r="N21" s="270" t="str">
        <f t="shared" si="3"/>
        <v>10.6136008703644+0.0358649965920033i</v>
      </c>
      <c r="O21" s="581" t="str">
        <f t="shared" si="4"/>
        <v>10.6136002198934+0.0176615854078347i</v>
      </c>
      <c r="P21" s="582" t="str">
        <f t="shared" si="5"/>
        <v>21.3333348399455-0.000725907214968485i</v>
      </c>
      <c r="Q21" s="583" t="str">
        <f t="shared" si="6"/>
        <v>21.2271988377466-0.000902523069046694i</v>
      </c>
      <c r="R21" s="581" t="str">
        <f t="shared" si="33"/>
        <v>1.03163200715826+0.00212412684595575i</v>
      </c>
      <c r="S21" s="253" t="str">
        <f t="shared" si="34"/>
        <v>26.0402772125349+0.026820415505417i</v>
      </c>
      <c r="T21" s="253" t="str">
        <f t="shared" si="35"/>
        <v>11.9955162355025+0.00741951256100254i</v>
      </c>
      <c r="U21" s="253" t="str">
        <f t="shared" si="36"/>
        <v>23.9909878540897-0.0261032672212539i</v>
      </c>
      <c r="V21" s="582" t="str">
        <f t="shared" si="7"/>
        <v>6000</v>
      </c>
      <c r="W21" s="584" t="str">
        <f t="shared" si="8"/>
        <v>1+7.35247978144382i</v>
      </c>
      <c r="X21" s="585">
        <f t="shared" si="9"/>
        <v>7.4201724330732484</v>
      </c>
      <c r="Y21" s="586">
        <f t="shared" si="10"/>
        <v>1.4356172486449115</v>
      </c>
      <c r="Z21" s="273" t="str">
        <f t="shared" si="11"/>
        <v>1+0.00110270656123239i</v>
      </c>
      <c r="AA21" s="585">
        <f t="shared" si="12"/>
        <v>1.0000006079806953</v>
      </c>
      <c r="AB21" s="586">
        <f t="shared" si="13"/>
        <v>1.1027061142830457E-3</v>
      </c>
      <c r="AC21" s="584" t="str">
        <f t="shared" si="14"/>
        <v>1+0.0000533108530484297i</v>
      </c>
      <c r="AD21" s="585">
        <f t="shared" si="15"/>
        <v>1.0000000014210235</v>
      </c>
      <c r="AE21" s="586">
        <f t="shared" si="16"/>
        <v>5.3310852997925714E-5</v>
      </c>
      <c r="AF21" s="580" t="str">
        <f t="shared" si="37"/>
        <v>109.81490418054-801.115488457404i</v>
      </c>
      <c r="AG21" s="270">
        <f t="shared" si="38"/>
        <v>808.60703622125754</v>
      </c>
      <c r="AH21" s="581">
        <f t="shared" si="39"/>
        <v>-1.4345678533836268</v>
      </c>
      <c r="AI21" s="582" t="str">
        <f t="shared" si="17"/>
        <v>4000</v>
      </c>
      <c r="AJ21" s="584" t="str">
        <f t="shared" si="40"/>
        <v>1+0.577628415027729i</v>
      </c>
      <c r="AK21" s="585">
        <f t="shared" si="41"/>
        <v>1.1548396364203326</v>
      </c>
      <c r="AL21" s="586">
        <f t="shared" si="42"/>
        <v>0.52380735985182147</v>
      </c>
      <c r="AM21" s="273" t="str">
        <f t="shared" si="43"/>
        <v>1+0.0000202162869559271i</v>
      </c>
      <c r="AN21" s="585">
        <f t="shared" si="44"/>
        <v>1.000000000204349</v>
      </c>
      <c r="AO21" s="586">
        <f t="shared" si="45"/>
        <v>2.0216286953172979E-5</v>
      </c>
      <c r="AP21" s="584" t="str">
        <f t="shared" si="46"/>
        <v>1+1.46260189221344E-07i</v>
      </c>
      <c r="AQ21" s="585">
        <f t="shared" si="47"/>
        <v>1.0000000000000107</v>
      </c>
      <c r="AR21" s="586">
        <f t="shared" si="48"/>
        <v>1.4626018922134296E-7</v>
      </c>
      <c r="AS21" s="580" t="str">
        <f t="shared" si="49"/>
        <v>2999.31212664109-1732.40762977807i</v>
      </c>
      <c r="AT21" s="270">
        <f t="shared" si="50"/>
        <v>3463.6843719844869</v>
      </c>
      <c r="AU21" s="581">
        <f t="shared" si="51"/>
        <v>-0.52378728982505673</v>
      </c>
      <c r="AV21" s="580" t="str">
        <f t="shared" si="52"/>
        <v>359.911509306326-207.588704155133i</v>
      </c>
      <c r="AW21" s="270">
        <f t="shared" si="53"/>
        <v>52.371146720827966</v>
      </c>
      <c r="AX21" s="581">
        <f t="shared" si="54"/>
        <v>-29.975362269503798</v>
      </c>
      <c r="AY21" s="299">
        <f t="shared" si="21"/>
        <v>150.02463773049621</v>
      </c>
      <c r="BB21" s="270">
        <f t="shared" si="22"/>
        <v>30.79076620183239</v>
      </c>
      <c r="BC21" s="270">
        <f t="shared" si="23"/>
        <v>-30.0108010695714</v>
      </c>
      <c r="BD21" s="286"/>
      <c r="BE21" s="270">
        <f t="shared" si="55"/>
        <v>21.580380518995575</v>
      </c>
      <c r="BF21" s="581">
        <f t="shared" si="56"/>
        <v>3.5438800067671833E-2</v>
      </c>
      <c r="BI21" s="286"/>
      <c r="BJ21" s="286"/>
      <c r="BL21" s="253">
        <f t="shared" si="24"/>
        <v>0</v>
      </c>
      <c r="BM21" s="253">
        <f t="shared" si="25"/>
        <v>0</v>
      </c>
      <c r="BN21" s="253">
        <f t="shared" si="26"/>
        <v>0</v>
      </c>
      <c r="BO21" s="253">
        <f t="shared" si="27"/>
        <v>0</v>
      </c>
    </row>
    <row r="22" spans="1:67" ht="13.6" thickBot="1" x14ac:dyDescent="0.25">
      <c r="B22" s="253">
        <f>20*LOG10(IMABS(I13))</f>
        <v>6.0639182451674571</v>
      </c>
      <c r="D22" s="280">
        <v>2.2909000000000002</v>
      </c>
      <c r="E22" s="273" t="str">
        <f t="shared" si="0"/>
        <v>0.0000259094685963919i</v>
      </c>
      <c r="F22" s="579" t="str">
        <f t="shared" si="28"/>
        <v>0.002-1068.81033045055i</v>
      </c>
      <c r="G22" s="270" t="str">
        <f t="shared" si="29"/>
        <v>0.002-1068.81033045055i</v>
      </c>
      <c r="H22" s="271" t="str">
        <f t="shared" si="30"/>
        <v>1.99999298994775-0.00374246566665316i</v>
      </c>
      <c r="I22" s="271" t="str">
        <f t="shared" si="31"/>
        <v>2.00999298994775-0.00374246566665316i</v>
      </c>
      <c r="J22" s="270" t="str">
        <f t="shared" si="32"/>
        <v>2.00997179842198-0.00752237021578165i</v>
      </c>
      <c r="K22" s="271" t="str">
        <f t="shared" si="1"/>
        <v>0.999999999867472-0.0000180831020354494i</v>
      </c>
      <c r="L22" s="580"/>
      <c r="M22" s="580" t="str">
        <f t="shared" si="2"/>
        <v>23.0403573086452+0.0524342263614301i</v>
      </c>
      <c r="N22" s="270" t="str">
        <f t="shared" si="3"/>
        <v>10.6136013148172+0.0393256697710726i</v>
      </c>
      <c r="O22" s="581" t="str">
        <f t="shared" si="4"/>
        <v>10.6136005327599+0.0193657811590613i</v>
      </c>
      <c r="P22" s="582" t="str">
        <f t="shared" si="5"/>
        <v>21.333335144724-0.000795951218850177i</v>
      </c>
      <c r="Q22" s="583" t="str">
        <f t="shared" si="6"/>
        <v>21.2271991393966-0.000989609030440798i</v>
      </c>
      <c r="R22" s="581" t="str">
        <f t="shared" si="33"/>
        <v>1.03163204081234+0.00232908737833008i</v>
      </c>
      <c r="S22" s="253" t="str">
        <f t="shared" si="34"/>
        <v>26.0402831235517+0.0294083547505007i</v>
      </c>
      <c r="T22" s="253" t="str">
        <f t="shared" si="35"/>
        <v>11.9955179596517+0.00813543155638913i</v>
      </c>
      <c r="U22" s="253" t="str">
        <f t="shared" si="36"/>
        <v>23.9909822766689-0.0286220080347397i</v>
      </c>
      <c r="V22" s="582" t="str">
        <f t="shared" si="7"/>
        <v>6000</v>
      </c>
      <c r="W22" s="584" t="str">
        <f t="shared" si="8"/>
        <v>1+8.06193267185643i</v>
      </c>
      <c r="X22" s="585">
        <f t="shared" si="9"/>
        <v>8.1237158003924641</v>
      </c>
      <c r="Y22" s="586">
        <f t="shared" si="10"/>
        <v>1.4473869344638775</v>
      </c>
      <c r="Z22" s="273" t="str">
        <f t="shared" si="11"/>
        <v>1+0.00120910853449829i</v>
      </c>
      <c r="AA22" s="585">
        <f t="shared" si="12"/>
        <v>1.0000007309714569</v>
      </c>
      <c r="AB22" s="586">
        <f t="shared" si="13"/>
        <v>1.2091079452827068E-3</v>
      </c>
      <c r="AC22" s="584" t="str">
        <f t="shared" si="14"/>
        <v>1+0.0000584549051111126i</v>
      </c>
      <c r="AD22" s="585">
        <f t="shared" si="15"/>
        <v>1.000000001708488</v>
      </c>
      <c r="AE22" s="586">
        <f t="shared" si="16"/>
        <v>5.8454905044532929E-5</v>
      </c>
      <c r="AF22" s="580" t="str">
        <f t="shared" si="37"/>
        <v>91.7597018644662-732.856616668212i</v>
      </c>
      <c r="AG22" s="270">
        <f t="shared" si="38"/>
        <v>738.57881331692317</v>
      </c>
      <c r="AH22" s="581">
        <f t="shared" si="39"/>
        <v>-1.4462362814236391</v>
      </c>
      <c r="AI22" s="582" t="str">
        <f t="shared" si="17"/>
        <v>4000</v>
      </c>
      <c r="AJ22" s="584" t="str">
        <f t="shared" si="40"/>
        <v>1+0.633364732679378i</v>
      </c>
      <c r="AK22" s="585">
        <f t="shared" si="41"/>
        <v>1.1837021942203283</v>
      </c>
      <c r="AL22" s="586">
        <f t="shared" si="42"/>
        <v>0.56459180366837725</v>
      </c>
      <c r="AM22" s="273" t="str">
        <f t="shared" si="43"/>
        <v>1+0.0000221669897991353i</v>
      </c>
      <c r="AN22" s="585">
        <f t="shared" si="44"/>
        <v>1.0000000002456877</v>
      </c>
      <c r="AO22" s="586">
        <f t="shared" si="45"/>
        <v>2.2166989795504528E-5</v>
      </c>
      <c r="AP22" s="584" t="str">
        <f t="shared" si="46"/>
        <v>1+1.60373075904454E-07i</v>
      </c>
      <c r="AQ22" s="585">
        <f t="shared" si="47"/>
        <v>1.0000000000000129</v>
      </c>
      <c r="AR22" s="586">
        <f t="shared" si="48"/>
        <v>1.6037307590445263E-7</v>
      </c>
      <c r="AS22" s="580" t="str">
        <f t="shared" si="49"/>
        <v>2854.8358330516-1808.06430777734i</v>
      </c>
      <c r="AT22" s="270">
        <f t="shared" si="50"/>
        <v>3379.2283401294108</v>
      </c>
      <c r="AU22" s="581">
        <f t="shared" si="51"/>
        <v>-0.56456979705165689</v>
      </c>
      <c r="AV22" s="580" t="str">
        <f t="shared" si="52"/>
        <v>342.599438906532-216.654425546238i</v>
      </c>
      <c r="AW22" s="270">
        <f t="shared" si="53"/>
        <v>52.156732879016488</v>
      </c>
      <c r="AX22" s="581">
        <f t="shared" si="54"/>
        <v>-32.30860827946367</v>
      </c>
      <c r="AY22" s="299">
        <f t="shared" si="21"/>
        <v>147.69139172053633</v>
      </c>
      <c r="BB22" s="270">
        <f t="shared" si="22"/>
        <v>30.576350775466491</v>
      </c>
      <c r="BC22" s="270">
        <f t="shared" si="23"/>
        <v>-32.347466611617371</v>
      </c>
      <c r="BD22" s="286"/>
      <c r="BE22" s="270">
        <f t="shared" si="55"/>
        <v>21.58038210354999</v>
      </c>
      <c r="BF22" s="581">
        <f t="shared" si="56"/>
        <v>3.885833215369245E-2</v>
      </c>
      <c r="BI22" s="286"/>
      <c r="BJ22" s="286"/>
      <c r="BL22" s="253">
        <f t="shared" si="24"/>
        <v>0</v>
      </c>
      <c r="BM22" s="253">
        <f t="shared" si="25"/>
        <v>0</v>
      </c>
      <c r="BN22" s="253">
        <f t="shared" si="26"/>
        <v>0</v>
      </c>
      <c r="BO22" s="253">
        <f t="shared" si="27"/>
        <v>0</v>
      </c>
    </row>
    <row r="23" spans="1:67" ht="13.6" thickBot="1" x14ac:dyDescent="0.25">
      <c r="B23" s="253">
        <f>20*LOG10(IMABS(J13))</f>
        <v>6.0639095176637952</v>
      </c>
      <c r="D23" s="280">
        <v>2.5118999999999998</v>
      </c>
      <c r="E23" s="273" t="str">
        <f t="shared" si="0"/>
        <v>0.0000284089197115879i</v>
      </c>
      <c r="F23" s="579" t="str">
        <f t="shared" si="28"/>
        <v>0.002-974.775104912278i</v>
      </c>
      <c r="G23" s="270" t="str">
        <f t="shared" si="29"/>
        <v>0.002-974.775104912278i</v>
      </c>
      <c r="H23" s="271" t="str">
        <f t="shared" si="30"/>
        <v>1.99999157221642-0.00410349331596568i</v>
      </c>
      <c r="I23" s="271" t="str">
        <f t="shared" si="31"/>
        <v>2.00999157221642-0.00410349331596568i</v>
      </c>
      <c r="J23" s="270" t="str">
        <f t="shared" si="32"/>
        <v>2.00996609493331-0.00824801957053447i</v>
      </c>
      <c r="K23" s="271" t="str">
        <f t="shared" si="1"/>
        <v>0.99999999984067-0.0000198275542375683i</v>
      </c>
      <c r="L23" s="580"/>
      <c r="M23" s="580" t="str">
        <f t="shared" si="2"/>
        <v>23.0403580209512+0.0574924856748664i</v>
      </c>
      <c r="N23" s="270" t="str">
        <f t="shared" si="3"/>
        <v>10.6136018490467+0.0431193642561498i</v>
      </c>
      <c r="O23" s="581" t="str">
        <f t="shared" si="4"/>
        <v>10.6136009088233+0.0212339720239537i</v>
      </c>
      <c r="P23" s="582" t="str">
        <f t="shared" si="5"/>
        <v>21.3333355110656-0.000872735574857647i</v>
      </c>
      <c r="Q23" s="583" t="str">
        <f t="shared" si="6"/>
        <v>21.2271995019774-0.00108507529509703i</v>
      </c>
      <c r="R23" s="581" t="str">
        <f t="shared" si="33"/>
        <v>1.03163208126433+0.00255377130564626i</v>
      </c>
      <c r="S23" s="253" t="str">
        <f t="shared" si="34"/>
        <v>26.040290228555+0.0322453296219544i</v>
      </c>
      <c r="T23" s="253" t="str">
        <f t="shared" si="35"/>
        <v>11.9955200320674+0.0089202429144788i</v>
      </c>
      <c r="U23" s="253" t="str">
        <f t="shared" si="36"/>
        <v>23.9909755726452-0.03138312562204i</v>
      </c>
      <c r="V23" s="582" t="str">
        <f t="shared" si="7"/>
        <v>6000</v>
      </c>
      <c r="W23" s="584" t="str">
        <f t="shared" si="8"/>
        <v>1+8.83965632652503i</v>
      </c>
      <c r="X23" s="585">
        <f t="shared" si="9"/>
        <v>8.8960397914506881</v>
      </c>
      <c r="Y23" s="586">
        <f t="shared" si="10"/>
        <v>1.4581486684528402</v>
      </c>
      <c r="Z23" s="273" t="str">
        <f t="shared" si="11"/>
        <v>1+0.00132574958654077i</v>
      </c>
      <c r="AA23" s="585">
        <f t="shared" si="12"/>
        <v>1.000000878805597</v>
      </c>
      <c r="AB23" s="586">
        <f t="shared" si="13"/>
        <v>1.3257488098238099E-3</v>
      </c>
      <c r="AC23" s="584" t="str">
        <f t="shared" si="14"/>
        <v>1+0.0000640939701203037i</v>
      </c>
      <c r="AD23" s="585">
        <f t="shared" si="15"/>
        <v>1.0000000020540185</v>
      </c>
      <c r="AE23" s="586">
        <f t="shared" si="16"/>
        <v>6.4093970032536891E-5</v>
      </c>
      <c r="AF23" s="580" t="str">
        <f t="shared" si="37"/>
        <v>76.6610132686572-670.087077270684i</v>
      </c>
      <c r="AG23" s="270">
        <f t="shared" si="38"/>
        <v>674.45800616535405</v>
      </c>
      <c r="AH23" s="581">
        <f t="shared" si="39"/>
        <v>-1.4568870136130496</v>
      </c>
      <c r="AI23" s="582" t="str">
        <f t="shared" si="17"/>
        <v>4000</v>
      </c>
      <c r="AJ23" s="584" t="str">
        <f t="shared" si="40"/>
        <v>1+0.69446456502568i</v>
      </c>
      <c r="AK23" s="585">
        <f t="shared" si="41"/>
        <v>1.2174896435191171</v>
      </c>
      <c r="AL23" s="586">
        <f t="shared" si="42"/>
        <v>0.60700123824082286</v>
      </c>
      <c r="AM23" s="273" t="str">
        <f t="shared" si="43"/>
        <v>1+0.0000243054090865808i</v>
      </c>
      <c r="AN23" s="585">
        <f t="shared" si="44"/>
        <v>1.0000000002953766</v>
      </c>
      <c r="AO23" s="586">
        <f t="shared" si="45"/>
        <v>2.4305409081794639E-5</v>
      </c>
      <c r="AP23" s="584" t="str">
        <f t="shared" si="46"/>
        <v>1+1.75844047913221E-07i</v>
      </c>
      <c r="AQ23" s="585">
        <f t="shared" si="47"/>
        <v>1.0000000000000155</v>
      </c>
      <c r="AR23" s="586">
        <f t="shared" si="48"/>
        <v>1.7584404791321921E-7</v>
      </c>
      <c r="AS23" s="580" t="str">
        <f t="shared" si="49"/>
        <v>2698.58882490416-1873.97779621007i</v>
      </c>
      <c r="AT23" s="270">
        <f t="shared" si="50"/>
        <v>3285.448892706439</v>
      </c>
      <c r="AU23" s="581">
        <f t="shared" si="51"/>
        <v>-0.60697710867578802</v>
      </c>
      <c r="AV23" s="580" t="str">
        <f t="shared" si="52"/>
        <v>323.876926446096-224.55266126243i</v>
      </c>
      <c r="AW23" s="270">
        <f t="shared" si="53"/>
        <v>51.912278325094114</v>
      </c>
      <c r="AX23" s="581">
        <f t="shared" si="54"/>
        <v>-34.734619666954309</v>
      </c>
      <c r="AY23" s="299">
        <f t="shared" si="21"/>
        <v>145.2653803330457</v>
      </c>
      <c r="BB23" s="270">
        <f t="shared" si="22"/>
        <v>30.331894316921119</v>
      </c>
      <c r="BC23" s="270">
        <f t="shared" si="23"/>
        <v>-34.777226588176156</v>
      </c>
      <c r="BD23" s="286"/>
      <c r="BE23" s="270">
        <f t="shared" si="55"/>
        <v>21.580384008172999</v>
      </c>
      <c r="BF23" s="581">
        <f t="shared" si="56"/>
        <v>4.2606921221894696E-2</v>
      </c>
      <c r="BI23" s="286"/>
      <c r="BJ23" s="286"/>
      <c r="BL23" s="253">
        <f t="shared" si="24"/>
        <v>0</v>
      </c>
      <c r="BM23" s="253">
        <f t="shared" si="25"/>
        <v>0</v>
      </c>
      <c r="BN23" s="253">
        <f t="shared" si="26"/>
        <v>0</v>
      </c>
      <c r="BO23" s="253">
        <f t="shared" si="27"/>
        <v>0</v>
      </c>
    </row>
    <row r="24" spans="1:67" ht="13.6" thickBot="1" x14ac:dyDescent="0.25">
      <c r="B24" s="253">
        <f>20*LOG10(IMABS(P13))</f>
        <v>26.581174526961963</v>
      </c>
      <c r="D24" s="280">
        <v>2.7542</v>
      </c>
      <c r="E24" s="273" t="str">
        <f t="shared" si="0"/>
        <v>0.0000311492681514612i</v>
      </c>
      <c r="F24" s="579" t="str">
        <f t="shared" si="28"/>
        <v>0.002-889.019528730361i</v>
      </c>
      <c r="G24" s="270" t="str">
        <f t="shared" si="29"/>
        <v>0.002-889.019528730361i</v>
      </c>
      <c r="H24" s="271" t="str">
        <f t="shared" si="30"/>
        <v>1.99998986790484-0.00449931591633089i</v>
      </c>
      <c r="I24" s="271" t="str">
        <f t="shared" si="31"/>
        <v>2.00998986790484-0.00449931591633089i</v>
      </c>
      <c r="J24" s="270" t="str">
        <f t="shared" si="32"/>
        <v>2.00995923857345-0.00904359961607551i</v>
      </c>
      <c r="K24" s="271" t="str">
        <f t="shared" si="1"/>
        <v>0.999999999808449-0.0000217401369007965i</v>
      </c>
      <c r="L24" s="580"/>
      <c r="M24" s="580" t="str">
        <f t="shared" si="2"/>
        <v>23.0403588772444+0.0630382607891498i</v>
      </c>
      <c r="N24" s="270" t="str">
        <f t="shared" si="3"/>
        <v>10.6136024912666+0.0472786955918623i</v>
      </c>
      <c r="O24" s="581" t="str">
        <f t="shared" si="4"/>
        <v>10.6136013609051+0.0232822194068374i</v>
      </c>
      <c r="P24" s="582" t="str">
        <f t="shared" si="5"/>
        <v>21.3333359514608-0.000956920422631208i</v>
      </c>
      <c r="Q24" s="583" t="str">
        <f t="shared" si="6"/>
        <v>21.2271999378516-0.00118974261669928i</v>
      </c>
      <c r="R24" s="581" t="str">
        <f t="shared" si="33"/>
        <v>1.03163212989337+0.00280011030388811i</v>
      </c>
      <c r="S24" s="253" t="str">
        <f t="shared" si="34"/>
        <v>26.0402987697723+0.035355729517854i</v>
      </c>
      <c r="T24" s="253" t="str">
        <f t="shared" si="35"/>
        <v>11.9955225234039+0.00978069362426612i</v>
      </c>
      <c r="U24" s="253" t="str">
        <f t="shared" si="36"/>
        <v>23.9909675134626-0.0344103572646432i</v>
      </c>
      <c r="V24" s="582" t="str">
        <f t="shared" si="7"/>
        <v>6000</v>
      </c>
      <c r="W24" s="584" t="str">
        <f t="shared" si="8"/>
        <v>1+9.6923370574128i</v>
      </c>
      <c r="X24" s="585">
        <f t="shared" si="9"/>
        <v>9.743787643134338</v>
      </c>
      <c r="Y24" s="586">
        <f t="shared" si="10"/>
        <v>1.4679858101252732</v>
      </c>
      <c r="Z24" s="273" t="str">
        <f t="shared" si="11"/>
        <v>1+0.00145363251373486i</v>
      </c>
      <c r="AA24" s="585">
        <f t="shared" si="12"/>
        <v>1.0000010565231843</v>
      </c>
      <c r="AB24" s="586">
        <f t="shared" si="13"/>
        <v>1.4536314898713158E-3</v>
      </c>
      <c r="AC24" s="584" t="str">
        <f t="shared" si="14"/>
        <v>1+0.0000702765287254032i</v>
      </c>
      <c r="AD24" s="585">
        <f t="shared" si="15"/>
        <v>1.0000000024693951</v>
      </c>
      <c r="AE24" s="586">
        <f t="shared" si="16"/>
        <v>7.0276528609709515E-5</v>
      </c>
      <c r="AF24" s="580" t="str">
        <f t="shared" si="37"/>
        <v>64.0442256936048-612.438086134368i</v>
      </c>
      <c r="AG24" s="270">
        <f t="shared" si="38"/>
        <v>615.77761585869689</v>
      </c>
      <c r="AH24" s="581">
        <f t="shared" si="39"/>
        <v>-1.4666024551640111</v>
      </c>
      <c r="AI24" s="582" t="str">
        <f t="shared" si="17"/>
        <v>4000</v>
      </c>
      <c r="AJ24" s="584" t="str">
        <f t="shared" si="40"/>
        <v>1+0.761453204742915i</v>
      </c>
      <c r="AK24" s="585">
        <f t="shared" si="41"/>
        <v>1.2569053198285285</v>
      </c>
      <c r="AL24" s="586">
        <f t="shared" si="42"/>
        <v>0.65079095378229934</v>
      </c>
      <c r="AM24" s="273" t="str">
        <f t="shared" si="43"/>
        <v>1+0.0000266499294184724i</v>
      </c>
      <c r="AN24" s="585">
        <f t="shared" si="44"/>
        <v>1.0000000003551093</v>
      </c>
      <c r="AO24" s="586">
        <f t="shared" si="45"/>
        <v>2.6649929412163305E-5</v>
      </c>
      <c r="AP24" s="584" t="str">
        <f t="shared" si="46"/>
        <v>1+1.92806113604281E-07i</v>
      </c>
      <c r="AQ24" s="585">
        <f t="shared" si="47"/>
        <v>1.0000000000000187</v>
      </c>
      <c r="AR24" s="586">
        <f t="shared" si="48"/>
        <v>1.9280611360427862E-7</v>
      </c>
      <c r="AS24" s="580" t="str">
        <f t="shared" si="49"/>
        <v>2531.99947745404-1927.89328802155i</v>
      </c>
      <c r="AT24" s="270">
        <f t="shared" si="50"/>
        <v>3182.419501546909</v>
      </c>
      <c r="AU24" s="581">
        <f t="shared" si="51"/>
        <v>-0.65076449665900193</v>
      </c>
      <c r="AV24" s="580" t="str">
        <f t="shared" si="52"/>
        <v>303.915128946373-231.013226480359i</v>
      </c>
      <c r="AW24" s="270">
        <f t="shared" si="53"/>
        <v>51.635534839826988</v>
      </c>
      <c r="AX24" s="581">
        <f t="shared" si="54"/>
        <v>-37.239342322637619</v>
      </c>
      <c r="AY24" s="299">
        <f t="shared" si="21"/>
        <v>142.76065767736239</v>
      </c>
      <c r="BB24" s="270">
        <f t="shared" si="22"/>
        <v>30.055148542029162</v>
      </c>
      <c r="BC24" s="270">
        <f t="shared" si="23"/>
        <v>-37.286059115516174</v>
      </c>
      <c r="BD24" s="286"/>
      <c r="BE24" s="270">
        <f t="shared" si="55"/>
        <v>21.580386297797819</v>
      </c>
      <c r="BF24" s="581">
        <f t="shared" si="56"/>
        <v>4.671679287849597E-2</v>
      </c>
      <c r="BI24" s="286"/>
      <c r="BJ24" s="286"/>
      <c r="BL24" s="253">
        <f t="shared" si="24"/>
        <v>0</v>
      </c>
      <c r="BM24" s="253">
        <f t="shared" si="25"/>
        <v>0</v>
      </c>
      <c r="BN24" s="253">
        <f t="shared" si="26"/>
        <v>0</v>
      </c>
      <c r="BO24" s="253">
        <f t="shared" si="27"/>
        <v>0</v>
      </c>
    </row>
    <row r="25" spans="1:67" ht="13.6" thickBot="1" x14ac:dyDescent="0.25">
      <c r="B25" s="253">
        <f>20*LOG10(IMABS(Q13))</f>
        <v>26.537853291731267</v>
      </c>
      <c r="D25" s="280">
        <v>3.02</v>
      </c>
      <c r="E25" s="273" t="str">
        <f t="shared" si="0"/>
        <v>0.0000341553953298282i</v>
      </c>
      <c r="F25" s="579" t="str">
        <f t="shared" si="28"/>
        <v>0.002-810.774035108995i</v>
      </c>
      <c r="G25" s="270" t="str">
        <f t="shared" si="29"/>
        <v>0.002-810.774035108995i</v>
      </c>
      <c r="H25" s="271" t="str">
        <f t="shared" si="30"/>
        <v>1.99998781791144-0.00493352702263209i</v>
      </c>
      <c r="I25" s="271" t="str">
        <f t="shared" si="31"/>
        <v>2.00998781791144-0.00493352702263209i</v>
      </c>
      <c r="J25" s="270" t="str">
        <f t="shared" si="32"/>
        <v>2.00995099159959-0.00991633090711019i</v>
      </c>
      <c r="K25" s="271" t="str">
        <f t="shared" si="1"/>
        <v>0.999999999769693-0.0000238382156126663i</v>
      </c>
      <c r="L25" s="580"/>
      <c r="M25" s="580" t="str">
        <f t="shared" si="2"/>
        <v>23.0403599072196+0.0691219055460904i</v>
      </c>
      <c r="N25" s="270" t="str">
        <f t="shared" si="3"/>
        <v>10.613603263748+0.0518414291595678i</v>
      </c>
      <c r="O25" s="581" t="str">
        <f t="shared" si="4"/>
        <v>10.6136019046829+0.0255291207300124i</v>
      </c>
      <c r="P25" s="582" t="str">
        <f t="shared" si="5"/>
        <v>21.3333364811812-0.0010492701348967i</v>
      </c>
      <c r="Q25" s="583" t="str">
        <f t="shared" si="6"/>
        <v>21.2272004621344-0.00130456134219729i</v>
      </c>
      <c r="R25" s="581" t="str">
        <f t="shared" si="33"/>
        <v>1.03163218838586+0.00307034105132677i</v>
      </c>
      <c r="S25" s="253" t="str">
        <f t="shared" si="34"/>
        <v>26.0403090433979+0.0387677946225766i</v>
      </c>
      <c r="T25" s="253" t="str">
        <f t="shared" si="35"/>
        <v>11.9955255200564+0.0107245959387894i</v>
      </c>
      <c r="U25" s="253" t="str">
        <f t="shared" si="36"/>
        <v>23.9909578196424-0.0377311880742697i</v>
      </c>
      <c r="V25" s="582" t="str">
        <f t="shared" si="7"/>
        <v>6000</v>
      </c>
      <c r="W25" s="584" t="str">
        <f t="shared" si="8"/>
        <v>1+10.6277169099508i</v>
      </c>
      <c r="X25" s="585">
        <f t="shared" si="9"/>
        <v>10.674660028218893</v>
      </c>
      <c r="Y25" s="586">
        <f t="shared" si="10"/>
        <v>1.4769789635516359</v>
      </c>
      <c r="Z25" s="273" t="str">
        <f t="shared" si="11"/>
        <v>1+0.00159391844872531i</v>
      </c>
      <c r="AA25" s="585">
        <f t="shared" si="12"/>
        <v>1.0000012702872036</v>
      </c>
      <c r="AB25" s="586">
        <f t="shared" si="13"/>
        <v>1.5939170989037043E-3</v>
      </c>
      <c r="AC25" s="584" t="str">
        <f t="shared" si="14"/>
        <v>1+0.0000770587164151904i</v>
      </c>
      <c r="AD25" s="585">
        <f t="shared" si="15"/>
        <v>1.0000000029690228</v>
      </c>
      <c r="AE25" s="586">
        <f t="shared" si="16"/>
        <v>7.7058716262664339E-5</v>
      </c>
      <c r="AF25" s="580" t="str">
        <f t="shared" si="37"/>
        <v>53.504279274113-559.527175256402i</v>
      </c>
      <c r="AG25" s="270">
        <f t="shared" si="38"/>
        <v>562.07950305188206</v>
      </c>
      <c r="AH25" s="581">
        <f t="shared" si="39"/>
        <v>-1.4754621051689947</v>
      </c>
      <c r="AI25" s="582" t="str">
        <f t="shared" si="17"/>
        <v>4000</v>
      </c>
      <c r="AJ25" s="584" t="str">
        <f t="shared" si="40"/>
        <v>1+0.834938885456248i</v>
      </c>
      <c r="AK25" s="585">
        <f t="shared" si="41"/>
        <v>1.3027367126349521</v>
      </c>
      <c r="AL25" s="586">
        <f t="shared" si="42"/>
        <v>0.69568506727017088</v>
      </c>
      <c r="AM25" s="273" t="str">
        <f t="shared" si="43"/>
        <v>1+0.0000292218382266308i</v>
      </c>
      <c r="AN25" s="585">
        <f t="shared" si="44"/>
        <v>1.0000000004269578</v>
      </c>
      <c r="AO25" s="586">
        <f t="shared" si="45"/>
        <v>2.9221838218313136E-5</v>
      </c>
      <c r="AP25" s="584" t="str">
        <f t="shared" si="46"/>
        <v>1+2.11413282653739E-07i</v>
      </c>
      <c r="AQ25" s="585">
        <f t="shared" si="47"/>
        <v>1.0000000000000222</v>
      </c>
      <c r="AR25" s="586">
        <f t="shared" si="48"/>
        <v>2.1141328265373585E-7</v>
      </c>
      <c r="AS25" s="580" t="str">
        <f t="shared" si="49"/>
        <v>2356.98710311738-1967.8241432118i</v>
      </c>
      <c r="AT25" s="270">
        <f t="shared" si="50"/>
        <v>3070.4592592752165</v>
      </c>
      <c r="AU25" s="581">
        <f t="shared" si="51"/>
        <v>-0.69565605684523524</v>
      </c>
      <c r="AV25" s="580" t="str">
        <f t="shared" si="52"/>
        <v>282.944030647029-235.798069945664i</v>
      </c>
      <c r="AW25" s="270">
        <f t="shared" si="53"/>
        <v>51.324455837274883</v>
      </c>
      <c r="AX25" s="581">
        <f t="shared" si="54"/>
        <v>-39.806930789365218</v>
      </c>
      <c r="AY25" s="299">
        <f t="shared" si="21"/>
        <v>140.19306921063477</v>
      </c>
      <c r="BB25" s="270">
        <f t="shared" si="22"/>
        <v>29.744066785450887</v>
      </c>
      <c r="BC25" s="270">
        <f t="shared" si="23"/>
        <v>-39.858156049944853</v>
      </c>
      <c r="BD25" s="286"/>
      <c r="BE25" s="270">
        <f t="shared" si="55"/>
        <v>21.580389051823985</v>
      </c>
      <c r="BF25" s="581">
        <f t="shared" si="56"/>
        <v>5.1225260579621103E-2</v>
      </c>
      <c r="BI25" s="286"/>
      <c r="BJ25" s="286"/>
      <c r="BL25" s="253">
        <f t="shared" si="24"/>
        <v>0</v>
      </c>
      <c r="BM25" s="253">
        <f t="shared" si="25"/>
        <v>0</v>
      </c>
      <c r="BN25" s="253">
        <f t="shared" si="26"/>
        <v>0</v>
      </c>
      <c r="BO25" s="253">
        <f t="shared" si="27"/>
        <v>0</v>
      </c>
    </row>
    <row r="26" spans="1:67" ht="13.6" thickBot="1" x14ac:dyDescent="0.25">
      <c r="B26" s="253">
        <f>20*LOG10(IMABS(M13))</f>
        <v>27.249787407338086</v>
      </c>
      <c r="D26" s="280">
        <v>3.3113000000000001</v>
      </c>
      <c r="E26" s="273" t="str">
        <f t="shared" si="0"/>
        <v>0.0000374499207137948i</v>
      </c>
      <c r="F26" s="579" t="str">
        <f t="shared" si="28"/>
        <v>0.002-739.449033922981i</v>
      </c>
      <c r="G26" s="270" t="str">
        <f t="shared" si="29"/>
        <v>0.002-739.449033922981i</v>
      </c>
      <c r="H26" s="271" t="str">
        <f t="shared" si="30"/>
        <v>1.99998535449372-0.0054093933404382i</v>
      </c>
      <c r="I26" s="271" t="str">
        <f t="shared" si="31"/>
        <v>2.00998535449372-0.0054093933404382i</v>
      </c>
      <c r="J26" s="270" t="str">
        <f t="shared" si="32"/>
        <v>2.00994108151716-0.0108727762758955i</v>
      </c>
      <c r="K26" s="271" t="str">
        <f t="shared" si="1"/>
        <v>0.99999999972312-0.0000261375772709344i</v>
      </c>
      <c r="L26" s="580"/>
      <c r="M26" s="580" t="str">
        <f t="shared" si="2"/>
        <v>23.0403611449142+0.0757891962199753i</v>
      </c>
      <c r="N26" s="270" t="str">
        <f t="shared" si="3"/>
        <v>10.613604192019+0.0568418971649815i</v>
      </c>
      <c r="O26" s="581" t="str">
        <f t="shared" si="4"/>
        <v>10.6136025581265+0.02799158276091i</v>
      </c>
      <c r="P26" s="582" t="str">
        <f t="shared" si="5"/>
        <v>21.3333371177327-0.00115047959745909i</v>
      </c>
      <c r="Q26" s="583" t="str">
        <f t="shared" si="6"/>
        <v>21.2272010921515-0.00143039542506845i</v>
      </c>
      <c r="R26" s="581" t="str">
        <f t="shared" si="33"/>
        <v>1.03163225867475+0.00336649689424437i</v>
      </c>
      <c r="S26" s="253" t="str">
        <f t="shared" si="34"/>
        <v>26.040321388934+0.0425071973275155i</v>
      </c>
      <c r="T26" s="253" t="str">
        <f t="shared" si="35"/>
        <v>11.9955291210521+0.0117590517592693i</v>
      </c>
      <c r="U26" s="253" t="str">
        <f t="shared" si="36"/>
        <v>23.9909461708434-0.0413706040411793i</v>
      </c>
      <c r="V26" s="582" t="str">
        <f t="shared" si="7"/>
        <v>6000</v>
      </c>
      <c r="W26" s="584" t="str">
        <f t="shared" si="8"/>
        <v>1+11.6528341072584i</v>
      </c>
      <c r="X26" s="585">
        <f t="shared" si="9"/>
        <v>11.695663415611987</v>
      </c>
      <c r="Y26" s="586">
        <f t="shared" si="10"/>
        <v>1.4851900284689659</v>
      </c>
      <c r="Z26" s="273" t="str">
        <f t="shared" si="11"/>
        <v>1+0.00174766296664376i</v>
      </c>
      <c r="AA26" s="585">
        <f t="shared" si="12"/>
        <v>1.0000015271617564</v>
      </c>
      <c r="AB26" s="586">
        <f t="shared" si="13"/>
        <v>1.7476611873362981E-3</v>
      </c>
      <c r="AC26" s="584" t="str">
        <f t="shared" si="14"/>
        <v>1+0.0000844915654521924i</v>
      </c>
      <c r="AD26" s="585">
        <f t="shared" si="15"/>
        <v>1.0000000035694123</v>
      </c>
      <c r="AE26" s="586">
        <f t="shared" si="16"/>
        <v>8.4491565251135572E-5</v>
      </c>
      <c r="AF26" s="580" t="str">
        <f t="shared" si="37"/>
        <v>44.7134290838149-511.059143144449i</v>
      </c>
      <c r="AG26" s="270">
        <f t="shared" si="38"/>
        <v>513.0114409367219</v>
      </c>
      <c r="AH26" s="581">
        <f t="shared" si="39"/>
        <v>-1.4835268588468811</v>
      </c>
      <c r="AI26" s="582" t="str">
        <f t="shared" si="17"/>
        <v>4000</v>
      </c>
      <c r="AJ26" s="584" t="str">
        <f t="shared" si="40"/>
        <v>1+0.915474546824929i</v>
      </c>
      <c r="AK26" s="585">
        <f t="shared" si="41"/>
        <v>1.3557631230728726</v>
      </c>
      <c r="AL26" s="586">
        <f t="shared" si="42"/>
        <v>0.74129908977807579</v>
      </c>
      <c r="AM26" s="273" t="str">
        <f t="shared" si="43"/>
        <v>1+0.0000320404877218023i</v>
      </c>
      <c r="AN26" s="585">
        <f t="shared" si="44"/>
        <v>1.0000000005132963</v>
      </c>
      <c r="AO26" s="586">
        <f t="shared" si="45"/>
        <v>3.2040487710838124E-5</v>
      </c>
      <c r="AP26" s="584" t="str">
        <f t="shared" si="46"/>
        <v>1+2.31805563858056E-07i</v>
      </c>
      <c r="AQ26" s="585">
        <f t="shared" si="47"/>
        <v>1.0000000000000269</v>
      </c>
      <c r="AR26" s="586">
        <f t="shared" si="48"/>
        <v>2.3180556385805185E-7</v>
      </c>
      <c r="AS26" s="580" t="str">
        <f t="shared" si="49"/>
        <v>2176.23105827155-1992.15690712886i</v>
      </c>
      <c r="AT26" s="270">
        <f t="shared" si="50"/>
        <v>2950.3679027549997</v>
      </c>
      <c r="AU26" s="581">
        <f t="shared" si="51"/>
        <v>-0.74126728109593099</v>
      </c>
      <c r="AV26" s="580" t="str">
        <f t="shared" si="52"/>
        <v>261.284689098179-238.71385779515i</v>
      </c>
      <c r="AW26" s="270">
        <f t="shared" si="53"/>
        <v>50.977915854884259</v>
      </c>
      <c r="AX26" s="581">
        <f t="shared" si="54"/>
        <v>-42.415320453472184</v>
      </c>
      <c r="AY26" s="299">
        <f t="shared" si="21"/>
        <v>137.58467954652781</v>
      </c>
      <c r="BB26" s="270">
        <f t="shared" si="22"/>
        <v>29.397523493624362</v>
      </c>
      <c r="BC26" s="270">
        <f t="shared" si="23"/>
        <v>-42.471486697934488</v>
      </c>
      <c r="BD26" s="286"/>
      <c r="BE26" s="270">
        <f t="shared" si="55"/>
        <v>21.580392361259896</v>
      </c>
      <c r="BF26" s="581">
        <f t="shared" si="56"/>
        <v>5.6166244462347047E-2</v>
      </c>
      <c r="BI26" s="286"/>
      <c r="BJ26" s="286"/>
      <c r="BL26" s="253">
        <f t="shared" si="24"/>
        <v>0</v>
      </c>
      <c r="BM26" s="253">
        <f t="shared" si="25"/>
        <v>0</v>
      </c>
      <c r="BN26" s="253">
        <f t="shared" si="26"/>
        <v>0</v>
      </c>
      <c r="BO26" s="253">
        <f t="shared" si="27"/>
        <v>0</v>
      </c>
    </row>
    <row r="27" spans="1:67" ht="13.6" thickBot="1" x14ac:dyDescent="0.25">
      <c r="A27" s="253" t="s">
        <v>1023</v>
      </c>
      <c r="B27" s="515">
        <f>gm_CDC</f>
        <v>5.9999999999999995E-4</v>
      </c>
      <c r="D27" s="280">
        <v>3.6307999999999998</v>
      </c>
      <c r="E27" s="273" t="str">
        <f t="shared" si="0"/>
        <v>0.0000410633805839538i</v>
      </c>
      <c r="F27" s="579" t="str">
        <f t="shared" si="28"/>
        <v>0.002-674.379637002631i</v>
      </c>
      <c r="G27" s="270" t="str">
        <f t="shared" si="29"/>
        <v>0.002-674.379637002631i</v>
      </c>
      <c r="H27" s="271" t="str">
        <f t="shared" si="30"/>
        <v>1.99998239194684-0.00593132492323754i</v>
      </c>
      <c r="I27" s="271" t="str">
        <f t="shared" si="31"/>
        <v>2.00998239194684-0.00593132492323754i</v>
      </c>
      <c r="J27" s="270" t="str">
        <f t="shared" si="32"/>
        <v>2.00992916358546-0.0119217955538797i</v>
      </c>
      <c r="K27" s="271" t="str">
        <f t="shared" si="1"/>
        <v>0.999999999667112-0.0000286595341875724i</v>
      </c>
      <c r="L27" s="580"/>
      <c r="M27" s="580" t="str">
        <f t="shared" si="2"/>
        <v>23.04036263339+0.0831019307807624i</v>
      </c>
      <c r="N27" s="270" t="str">
        <f t="shared" si="3"/>
        <v>10.6136053083758+0.0623264480855718i</v>
      </c>
      <c r="O27" s="581" t="str">
        <f t="shared" si="4"/>
        <v>10.6136033439705+0.0306924296354424i</v>
      </c>
      <c r="P27" s="582" t="str">
        <f t="shared" si="5"/>
        <v>21.3333378832616-0.00126148690614267i</v>
      </c>
      <c r="Q27" s="583" t="str">
        <f t="shared" si="6"/>
        <v>21.227201849822-0.00156841120249736i</v>
      </c>
      <c r="R27" s="581" t="str">
        <f t="shared" si="33"/>
        <v>1.03163234320556+0.00369132285010728i</v>
      </c>
      <c r="S27" s="253" t="str">
        <f t="shared" si="34"/>
        <v>26.0403362359043+0.046608595364052i</v>
      </c>
      <c r="T27" s="253" t="str">
        <f t="shared" si="35"/>
        <v>11.995533451676+0.0128936486532295i</v>
      </c>
      <c r="U27" s="253" t="str">
        <f t="shared" si="36"/>
        <v>23.9909321617809-0.0453623362550474i</v>
      </c>
      <c r="V27" s="582" t="str">
        <f t="shared" si="7"/>
        <v>6000</v>
      </c>
      <c r="W27" s="584" t="str">
        <f t="shared" si="8"/>
        <v>1+12.7771902505462i</v>
      </c>
      <c r="X27" s="585">
        <f t="shared" si="9"/>
        <v>12.816262743040689</v>
      </c>
      <c r="Y27" s="586">
        <f t="shared" si="10"/>
        <v>1.4926910723515736</v>
      </c>
      <c r="Z27" s="273" t="str">
        <f t="shared" si="11"/>
        <v>1+0.00191629109391784i</v>
      </c>
      <c r="AA27" s="585">
        <f t="shared" si="12"/>
        <v>1.0000018360840928</v>
      </c>
      <c r="AB27" s="586">
        <f t="shared" si="13"/>
        <v>1.916288748273125E-3</v>
      </c>
      <c r="AC27" s="584" t="str">
        <f t="shared" si="14"/>
        <v>1+0.000092643969390819i</v>
      </c>
      <c r="AD27" s="585">
        <f t="shared" si="15"/>
        <v>1.0000000042914525</v>
      </c>
      <c r="AE27" s="586">
        <f t="shared" si="16"/>
        <v>9.2643969125767538E-5</v>
      </c>
      <c r="AF27" s="580" t="str">
        <f t="shared" si="37"/>
        <v>37.3793678776842-466.661412165078i</v>
      </c>
      <c r="AG27" s="270">
        <f t="shared" si="38"/>
        <v>468.15605383978539</v>
      </c>
      <c r="AH27" s="581">
        <f t="shared" si="39"/>
        <v>-1.4908674275724263</v>
      </c>
      <c r="AI27" s="582" t="str">
        <f t="shared" si="17"/>
        <v>4000</v>
      </c>
      <c r="AJ27" s="584" t="str">
        <f t="shared" si="40"/>
        <v>1+1.00380665738892i</v>
      </c>
      <c r="AK27" s="585">
        <f t="shared" si="41"/>
        <v>1.4169078323653648</v>
      </c>
      <c r="AL27" s="586">
        <f t="shared" si="42"/>
        <v>0.78729787402851115</v>
      </c>
      <c r="AM27" s="273" t="str">
        <f t="shared" si="43"/>
        <v>1+0.0000351320033884937i</v>
      </c>
      <c r="AN27" s="585">
        <f t="shared" si="44"/>
        <v>1.0000000006171288</v>
      </c>
      <c r="AO27" s="586">
        <f t="shared" si="45"/>
        <v>3.5132003374039717E-5</v>
      </c>
      <c r="AP27" s="584" t="str">
        <f t="shared" si="46"/>
        <v>1+2.54171969092449E-07i</v>
      </c>
      <c r="AQ27" s="585">
        <f t="shared" si="47"/>
        <v>1.0000000000000324</v>
      </c>
      <c r="AR27" s="586">
        <f t="shared" si="48"/>
        <v>2.5417196909244354E-7</v>
      </c>
      <c r="AS27" s="580" t="str">
        <f t="shared" si="49"/>
        <v>1992.47093093506-1999.91607380084i</v>
      </c>
      <c r="AT27" s="270">
        <f t="shared" si="50"/>
        <v>2823.0488328876268</v>
      </c>
      <c r="AU27" s="581">
        <f t="shared" si="51"/>
        <v>-0.7872629961971076</v>
      </c>
      <c r="AV27" s="580" t="str">
        <f t="shared" si="52"/>
        <v>239.265379187151-239.643699436873i</v>
      </c>
      <c r="AW27" s="270">
        <f t="shared" si="53"/>
        <v>50.594764153352749</v>
      </c>
      <c r="AX27" s="581">
        <f t="shared" si="54"/>
        <v>-45.045261512199254</v>
      </c>
      <c r="AY27" s="299">
        <f t="shared" si="21"/>
        <v>134.95473848780074</v>
      </c>
      <c r="BB27" s="270">
        <f t="shared" si="22"/>
        <v>29.014367812107388</v>
      </c>
      <c r="BC27" s="270">
        <f t="shared" si="23"/>
        <v>-45.106847048918041</v>
      </c>
      <c r="BD27" s="286"/>
      <c r="BE27" s="270">
        <f t="shared" si="55"/>
        <v>21.580396341245343</v>
      </c>
      <c r="BF27" s="581">
        <f t="shared" si="56"/>
        <v>6.1585536718808856E-2</v>
      </c>
      <c r="BI27" s="286"/>
      <c r="BJ27" s="286"/>
      <c r="BL27" s="253">
        <f t="shared" si="24"/>
        <v>0</v>
      </c>
      <c r="BM27" s="253">
        <f t="shared" si="25"/>
        <v>0</v>
      </c>
      <c r="BN27" s="253">
        <f t="shared" si="26"/>
        <v>0</v>
      </c>
      <c r="BO27" s="253">
        <f t="shared" si="27"/>
        <v>0</v>
      </c>
    </row>
    <row r="28" spans="1:67" ht="13.6" thickBot="1" x14ac:dyDescent="0.25">
      <c r="A28" s="253" t="s">
        <v>1024</v>
      </c>
      <c r="B28" s="515">
        <v>25000</v>
      </c>
      <c r="D28" s="280">
        <v>3.9811000000000001</v>
      </c>
      <c r="E28" s="273" t="str">
        <f t="shared" si="0"/>
        <v>0.0000450251802475428i</v>
      </c>
      <c r="F28" s="579" t="str">
        <f t="shared" si="28"/>
        <v>0.002-615.040462693517i</v>
      </c>
      <c r="G28" s="270" t="str">
        <f t="shared" si="29"/>
        <v>0.002-615.040462693517i</v>
      </c>
      <c r="H28" s="271" t="str">
        <f t="shared" si="30"/>
        <v>1.99997883042758-0.00650356823841891i</v>
      </c>
      <c r="I28" s="271" t="str">
        <f t="shared" si="31"/>
        <v>2.00997883042758-0.00650356823841891i</v>
      </c>
      <c r="J28" s="270" t="str">
        <f t="shared" si="32"/>
        <v>2.00991483620824-0.0130719184115882i</v>
      </c>
      <c r="K28" s="271" t="str">
        <f t="shared" si="1"/>
        <v>0.999999999599779-0.0000314246093296641i</v>
      </c>
      <c r="L28" s="580"/>
      <c r="M28" s="580" t="str">
        <f t="shared" si="2"/>
        <v>23.0403644228142+0.0911196184687522i</v>
      </c>
      <c r="N28" s="270" t="str">
        <f t="shared" si="3"/>
        <v>10.6136066504439+0.0683397138515641i</v>
      </c>
      <c r="O28" s="581" t="str">
        <f t="shared" si="4"/>
        <v>10.6136042887008+0.0336536401818442i</v>
      </c>
      <c r="P28" s="582" t="str">
        <f t="shared" si="5"/>
        <v>21.3333388035694-0.00138319541480814i</v>
      </c>
      <c r="Q28" s="583" t="str">
        <f t="shared" si="6"/>
        <v>21.2272027606824-0.00171973181662588i</v>
      </c>
      <c r="R28" s="581" t="str">
        <f t="shared" si="33"/>
        <v>1.03163244482729+0.00404746227277096i</v>
      </c>
      <c r="S28" s="253" t="str">
        <f t="shared" si="34"/>
        <v>26.0403540846944+0.05110536206687i</v>
      </c>
      <c r="T28" s="253" t="str">
        <f t="shared" si="35"/>
        <v>11.9955386578826+0.014137618866249i</v>
      </c>
      <c r="U28" s="253" t="str">
        <f t="shared" si="36"/>
        <v>23.99091532031-0.0497388657729801i</v>
      </c>
      <c r="V28" s="582" t="str">
        <f t="shared" si="7"/>
        <v>6000</v>
      </c>
      <c r="W28" s="584" t="str">
        <f t="shared" si="8"/>
        <v>1+14.0099350298694i</v>
      </c>
      <c r="X28" s="585">
        <f t="shared" si="9"/>
        <v>14.045578647430718</v>
      </c>
      <c r="Y28" s="586">
        <f t="shared" si="10"/>
        <v>1.499539258051507</v>
      </c>
      <c r="Z28" s="273" t="str">
        <f t="shared" si="11"/>
        <v>1+0.00210117507821867i</v>
      </c>
      <c r="AA28" s="585">
        <f t="shared" si="12"/>
        <v>1.0000022074659183</v>
      </c>
      <c r="AB28" s="586">
        <f t="shared" si="13"/>
        <v>2.101171986041866E-3</v>
      </c>
      <c r="AC28" s="584" t="str">
        <f t="shared" si="14"/>
        <v>1+0.000101582270172356i</v>
      </c>
      <c r="AD28" s="585">
        <f t="shared" si="15"/>
        <v>1.0000000051594788</v>
      </c>
      <c r="AE28" s="586">
        <f t="shared" si="16"/>
        <v>1.0158226982294828E-4</v>
      </c>
      <c r="AF28" s="580" t="str">
        <f t="shared" si="37"/>
        <v>31.2659164673987-426.035901633106i</v>
      </c>
      <c r="AG28" s="270">
        <f t="shared" si="38"/>
        <v>427.18163234493107</v>
      </c>
      <c r="AH28" s="581">
        <f t="shared" si="39"/>
        <v>-1.4975396683352884</v>
      </c>
      <c r="AI28" s="582" t="str">
        <f t="shared" si="17"/>
        <v>4000</v>
      </c>
      <c r="AJ28" s="584" t="str">
        <f t="shared" si="40"/>
        <v>1+1.10065403870526i</v>
      </c>
      <c r="AK28" s="585">
        <f t="shared" si="41"/>
        <v>1.4870908892593619</v>
      </c>
      <c r="AL28" s="586">
        <f t="shared" si="42"/>
        <v>0.83327711547079275</v>
      </c>
      <c r="AM28" s="273" t="str">
        <f t="shared" si="43"/>
        <v>1+0.0000385215431006756i</v>
      </c>
      <c r="AN28" s="585">
        <f t="shared" si="44"/>
        <v>1.0000000007419545</v>
      </c>
      <c r="AO28" s="586">
        <f t="shared" si="45"/>
        <v>3.8521543081621448E-5</v>
      </c>
      <c r="AP28" s="584" t="str">
        <f t="shared" si="46"/>
        <v>1+2.78694509792319E-07i</v>
      </c>
      <c r="AQ28" s="585">
        <f t="shared" si="47"/>
        <v>1.0000000000000389</v>
      </c>
      <c r="AR28" s="586">
        <f t="shared" si="48"/>
        <v>2.7869450979231177E-7</v>
      </c>
      <c r="AS28" s="580" t="str">
        <f t="shared" si="49"/>
        <v>1808.85287932548-1990.76825565886i</v>
      </c>
      <c r="AT28" s="270">
        <f t="shared" si="50"/>
        <v>2689.8154187198606</v>
      </c>
      <c r="AU28" s="581">
        <f t="shared" si="51"/>
        <v>-0.83323887262221985</v>
      </c>
      <c r="AV28" s="580" t="str">
        <f t="shared" si="52"/>
        <v>217.263093632206-238.547646970483i</v>
      </c>
      <c r="AW28" s="270">
        <f t="shared" si="53"/>
        <v>50.174850700819619</v>
      </c>
      <c r="AX28" s="581">
        <f t="shared" si="54"/>
        <v>-47.673543495789211</v>
      </c>
      <c r="AY28" s="299">
        <f t="shared" si="21"/>
        <v>132.3264565042108</v>
      </c>
      <c r="BB28" s="270">
        <f t="shared" si="22"/>
        <v>28.594449574904402</v>
      </c>
      <c r="BC28" s="270">
        <f t="shared" si="23"/>
        <v>-47.741070727492001</v>
      </c>
      <c r="BD28" s="286"/>
      <c r="BE28" s="270">
        <f t="shared" si="55"/>
        <v>21.58040112591522</v>
      </c>
      <c r="BF28" s="581">
        <f t="shared" si="56"/>
        <v>6.752723170270615E-2</v>
      </c>
      <c r="BI28" s="286"/>
      <c r="BJ28" s="286"/>
      <c r="BL28" s="253">
        <f t="shared" si="24"/>
        <v>0</v>
      </c>
      <c r="BM28" s="253">
        <f t="shared" si="25"/>
        <v>0</v>
      </c>
      <c r="BN28" s="253">
        <f t="shared" si="26"/>
        <v>0</v>
      </c>
      <c r="BO28" s="253">
        <f t="shared" si="27"/>
        <v>0</v>
      </c>
    </row>
    <row r="29" spans="1:67" ht="13.6" thickBot="1" x14ac:dyDescent="0.25">
      <c r="A29" s="253" t="s">
        <v>1025</v>
      </c>
      <c r="B29" s="515">
        <f>Rs * B27 *B28</f>
        <v>1.95E-2</v>
      </c>
      <c r="D29" s="280">
        <v>4.3651999999999997</v>
      </c>
      <c r="E29" s="273" t="str">
        <f t="shared" si="0"/>
        <v>0.0000493692489052206i</v>
      </c>
      <c r="F29" s="579" t="str">
        <f t="shared" si="28"/>
        <v>0.002-560.922199676799i</v>
      </c>
      <c r="G29" s="270" t="str">
        <f t="shared" si="29"/>
        <v>0.002-560.922199676799i</v>
      </c>
      <c r="H29" s="271" t="str">
        <f t="shared" si="30"/>
        <v>1.9999745485063-0.00713102289125723i</v>
      </c>
      <c r="I29" s="271" t="str">
        <f t="shared" si="31"/>
        <v>2.0099745485063-0.00713102289125723i</v>
      </c>
      <c r="J29" s="270" t="str">
        <f t="shared" si="32"/>
        <v>2.00989761098131-0.0143329854500244i</v>
      </c>
      <c r="K29" s="271" t="str">
        <f t="shared" si="1"/>
        <v>0.999999999518826-0.0000344564830438446i</v>
      </c>
      <c r="L29" s="580"/>
      <c r="M29" s="580" t="str">
        <f t="shared" si="2"/>
        <v>23.0403665742009+0.09991092384721i</v>
      </c>
      <c r="N29" s="270" t="str">
        <f t="shared" si="3"/>
        <v>10.613608263984+0.0749331928854075i</v>
      </c>
      <c r="O29" s="581" t="str">
        <f t="shared" si="4"/>
        <v>10.6136054245302+0.036900574606706i</v>
      </c>
      <c r="P29" s="582" t="str">
        <f t="shared" si="5"/>
        <v>21.3333399100363-0.00151664745635915i</v>
      </c>
      <c r="Q29" s="583" t="str">
        <f t="shared" si="6"/>
        <v>21.227203855791-0.00188565320242688i</v>
      </c>
      <c r="R29" s="581" t="str">
        <f t="shared" si="33"/>
        <v>1.03163256700493+0.00443796518834788i</v>
      </c>
      <c r="S29" s="253" t="str">
        <f t="shared" si="34"/>
        <v>26.0403755438793+0.0560360046192536i</v>
      </c>
      <c r="T29" s="253" t="str">
        <f t="shared" si="35"/>
        <v>11.995544917184+0.0155016148403142i</v>
      </c>
      <c r="U29" s="253" t="str">
        <f t="shared" si="36"/>
        <v>23.9908950722023-0.0545376702561671i</v>
      </c>
      <c r="V29" s="582" t="str">
        <f t="shared" si="7"/>
        <v>6000</v>
      </c>
      <c r="W29" s="584" t="str">
        <f t="shared" si="8"/>
        <v>1+15.3616257799064i</v>
      </c>
      <c r="X29" s="585">
        <f t="shared" si="9"/>
        <v>15.394140008518987</v>
      </c>
      <c r="Y29" s="586">
        <f t="shared" si="10"/>
        <v>1.5057907705330553</v>
      </c>
      <c r="Z29" s="273" t="str">
        <f t="shared" si="11"/>
        <v>1+0.00230389828224363i</v>
      </c>
      <c r="AA29" s="585">
        <f t="shared" si="12"/>
        <v>1.0000026539701257</v>
      </c>
      <c r="AB29" s="586">
        <f t="shared" si="13"/>
        <v>2.3038942059330604E-3</v>
      </c>
      <c r="AC29" s="584" t="str">
        <f t="shared" si="14"/>
        <v>1+0.000111383016190593i</v>
      </c>
      <c r="AD29" s="585">
        <f t="shared" si="15"/>
        <v>1.000000006203088</v>
      </c>
      <c r="AE29" s="586">
        <f t="shared" si="16"/>
        <v>1.1138301572998056E-4</v>
      </c>
      <c r="AF29" s="580" t="str">
        <f t="shared" si="37"/>
        <v>26.1713938856037-388.880067576061i</v>
      </c>
      <c r="AG29" s="270">
        <f t="shared" si="38"/>
        <v>389.75973216313298</v>
      </c>
      <c r="AH29" s="581">
        <f t="shared" si="39"/>
        <v>-1.5035982593428523</v>
      </c>
      <c r="AI29" s="582" t="str">
        <f t="shared" si="17"/>
        <v>4000</v>
      </c>
      <c r="AJ29" s="584" t="str">
        <f t="shared" si="40"/>
        <v>1+1.20684610026279i</v>
      </c>
      <c r="AK29" s="585">
        <f t="shared" si="41"/>
        <v>1.5673153829780091</v>
      </c>
      <c r="AL29" s="586">
        <f t="shared" si="42"/>
        <v>0.87885440693228023</v>
      </c>
      <c r="AM29" s="273" t="str">
        <f t="shared" si="43"/>
        <v>1+0.0000422381351744665i</v>
      </c>
      <c r="AN29" s="585">
        <f t="shared" si="44"/>
        <v>1.00000000089203</v>
      </c>
      <c r="AO29" s="586">
        <f t="shared" si="45"/>
        <v>4.2238135149348043E-5</v>
      </c>
      <c r="AP29" s="584" t="str">
        <f t="shared" si="46"/>
        <v>1+3.05583199152352E-07i</v>
      </c>
      <c r="AQ29" s="585">
        <f t="shared" si="47"/>
        <v>1.0000000000000466</v>
      </c>
      <c r="AR29" s="586">
        <f t="shared" si="48"/>
        <v>3.0558319915234245E-7</v>
      </c>
      <c r="AS29" s="580" t="str">
        <f t="shared" si="49"/>
        <v>1628.43030671806-1965.09703500453i</v>
      </c>
      <c r="AT29" s="270">
        <f t="shared" si="50"/>
        <v>2552.1347183919329</v>
      </c>
      <c r="AU29" s="581">
        <f t="shared" si="51"/>
        <v>-0.8788124743803305</v>
      </c>
      <c r="AV29" s="580" t="str">
        <f t="shared" si="52"/>
        <v>195.643710661007-235.471664506129i</v>
      </c>
      <c r="AW29" s="270">
        <f t="shared" si="53"/>
        <v>49.718478789654682</v>
      </c>
      <c r="AX29" s="581">
        <f t="shared" si="54"/>
        <v>-50.27820355913061</v>
      </c>
      <c r="AY29" s="299">
        <f t="shared" si="21"/>
        <v>129.72179644086938</v>
      </c>
      <c r="BB29" s="270">
        <f t="shared" si="22"/>
        <v>28.138071911248925</v>
      </c>
      <c r="BC29" s="270">
        <f t="shared" si="23"/>
        <v>-50.352245765441722</v>
      </c>
      <c r="BD29" s="286"/>
      <c r="BE29" s="270">
        <f t="shared" si="55"/>
        <v>21.580406878405753</v>
      </c>
      <c r="BF29" s="581">
        <f t="shared" si="56"/>
        <v>7.4042206311097619E-2</v>
      </c>
      <c r="BI29" s="286"/>
      <c r="BJ29" s="286"/>
      <c r="BL29" s="253">
        <f t="shared" si="24"/>
        <v>0</v>
      </c>
      <c r="BM29" s="253">
        <f t="shared" si="25"/>
        <v>0</v>
      </c>
      <c r="BN29" s="253">
        <f t="shared" si="26"/>
        <v>0</v>
      </c>
      <c r="BO29" s="253">
        <f t="shared" si="27"/>
        <v>0</v>
      </c>
    </row>
    <row r="30" spans="1:67" ht="13.6" thickBot="1" x14ac:dyDescent="0.25">
      <c r="A30" s="253" t="s">
        <v>1026</v>
      </c>
      <c r="B30" s="253">
        <f>IF(Vin&gt;=Vout,MAX(Vout,Vin/2),MAX(Vout-Vin,5))</f>
        <v>5</v>
      </c>
      <c r="D30" s="280">
        <v>4.7862999999999998</v>
      </c>
      <c r="E30" s="273" t="str">
        <f t="shared" si="0"/>
        <v>0.0000541317777043566i</v>
      </c>
      <c r="F30" s="579" t="str">
        <f t="shared" si="28"/>
        <v>0.002-511.572109150942i</v>
      </c>
      <c r="G30" s="270" t="str">
        <f t="shared" si="29"/>
        <v>0.002-511.572109150942i</v>
      </c>
      <c r="H30" s="271" t="str">
        <f t="shared" si="30"/>
        <v>1.99996940124926-0.00781891481132488i</v>
      </c>
      <c r="I30" s="271" t="str">
        <f t="shared" si="31"/>
        <v>2.00996940124926-0.00781891481132488i</v>
      </c>
      <c r="J30" s="270" t="str">
        <f t="shared" si="32"/>
        <v>2.00987690499277-0.0157154907660649i</v>
      </c>
      <c r="K30" s="271" t="str">
        <f t="shared" si="1"/>
        <v>0.999999999421513-0.0000377804143665247i</v>
      </c>
      <c r="L30" s="580"/>
      <c r="M30" s="580" t="str">
        <f t="shared" si="2"/>
        <v>23.0403691603752+0.109549089222872i</v>
      </c>
      <c r="N30" s="270" t="str">
        <f t="shared" si="3"/>
        <v>10.6136102036147+0.082161816917154i</v>
      </c>
      <c r="O30" s="581" t="str">
        <f t="shared" si="4"/>
        <v>10.6136067899065+0.0404602838357366i</v>
      </c>
      <c r="P30" s="582" t="str">
        <f t="shared" si="5"/>
        <v>21.3333412401159-0.00166295485548693i</v>
      </c>
      <c r="Q30" s="583" t="str">
        <f t="shared" si="6"/>
        <v>21.2272051722169-0.00206755769384502i</v>
      </c>
      <c r="R30" s="581" t="str">
        <f t="shared" si="33"/>
        <v>1.03163271387423+0.0048660849626911i</v>
      </c>
      <c r="S30" s="253" t="str">
        <f t="shared" si="34"/>
        <v>26.0404013398375+0.0614415963707758i</v>
      </c>
      <c r="T30" s="253" t="str">
        <f t="shared" si="35"/>
        <v>11.9955524414527+0.0169969988943166i</v>
      </c>
      <c r="U30" s="253" t="str">
        <f t="shared" si="36"/>
        <v>23.9908707320726-0.0597987249527979i</v>
      </c>
      <c r="V30" s="582" t="str">
        <f t="shared" si="7"/>
        <v>6000</v>
      </c>
      <c r="W30" s="584" t="str">
        <f t="shared" si="8"/>
        <v>1+16.8435236576483i</v>
      </c>
      <c r="X30" s="585">
        <f t="shared" si="9"/>
        <v>16.873182545262704</v>
      </c>
      <c r="Y30" s="586">
        <f t="shared" si="10"/>
        <v>1.5114959353447359</v>
      </c>
      <c r="Z30" s="273" t="str">
        <f t="shared" si="11"/>
        <v>1+0.00252614962620331i</v>
      </c>
      <c r="AA30" s="585">
        <f t="shared" si="12"/>
        <v>1.0000031907108766</v>
      </c>
      <c r="AB30" s="586">
        <f t="shared" si="13"/>
        <v>2.526144252739919E-3</v>
      </c>
      <c r="AC30" s="584" t="str">
        <f t="shared" si="14"/>
        <v>1+0.000122127859065572i</v>
      </c>
      <c r="AD30" s="585">
        <f t="shared" si="15"/>
        <v>1.000000007457607</v>
      </c>
      <c r="AE30" s="586">
        <f t="shared" si="16"/>
        <v>1.2212785845838427E-4</v>
      </c>
      <c r="AF30" s="580" t="str">
        <f t="shared" si="37"/>
        <v>21.9278570071079-354.918247873064i</v>
      </c>
      <c r="AG30" s="270">
        <f t="shared" si="38"/>
        <v>355.59498532207937</v>
      </c>
      <c r="AH30" s="581">
        <f t="shared" si="39"/>
        <v>-1.5090919189504544</v>
      </c>
      <c r="AI30" s="582" t="str">
        <f t="shared" si="17"/>
        <v>4000</v>
      </c>
      <c r="AJ30" s="584" t="str">
        <f t="shared" si="40"/>
        <v>1+1.32326754551631i</v>
      </c>
      <c r="AK30" s="585">
        <f t="shared" si="41"/>
        <v>1.6586250320722764</v>
      </c>
      <c r="AL30" s="586">
        <f t="shared" si="42"/>
        <v>0.92365395736737799</v>
      </c>
      <c r="AM30" s="273" t="str">
        <f t="shared" si="43"/>
        <v>1+0.0000463127431470607i</v>
      </c>
      <c r="AN30" s="585">
        <f t="shared" si="44"/>
        <v>1.000000001072435</v>
      </c>
      <c r="AO30" s="586">
        <f t="shared" si="45"/>
        <v>4.6312743113949092E-5</v>
      </c>
      <c r="AP30" s="584" t="str">
        <f t="shared" si="46"/>
        <v>1+3.35062051246886E-07i</v>
      </c>
      <c r="AQ30" s="585">
        <f t="shared" si="47"/>
        <v>1.0000000000000562</v>
      </c>
      <c r="AR30" s="586">
        <f t="shared" si="48"/>
        <v>3.3506205124687343E-7</v>
      </c>
      <c r="AS30" s="580" t="str">
        <f t="shared" si="49"/>
        <v>1454.08562934354-1923.96041098758i</v>
      </c>
      <c r="AT30" s="270">
        <f t="shared" si="50"/>
        <v>2411.6361003499051</v>
      </c>
      <c r="AU30" s="581">
        <f t="shared" si="51"/>
        <v>-0.92360797968631481</v>
      </c>
      <c r="AV30" s="580" t="str">
        <f t="shared" si="52"/>
        <v>174.752619741315-230.542529134462i</v>
      </c>
      <c r="AW30" s="270">
        <f t="shared" si="53"/>
        <v>49.226649319401346</v>
      </c>
      <c r="AX30" s="581">
        <f t="shared" si="54"/>
        <v>-52.837654433704174</v>
      </c>
      <c r="AY30" s="299">
        <f t="shared" si="21"/>
        <v>127.16234556629583</v>
      </c>
      <c r="BB30" s="270">
        <f t="shared" si="22"/>
        <v>27.646235525971235</v>
      </c>
      <c r="BC30" s="270">
        <f t="shared" si="23"/>
        <v>-52.918839160630512</v>
      </c>
      <c r="BD30" s="286"/>
      <c r="BE30" s="270">
        <f t="shared" si="55"/>
        <v>21.580413793430111</v>
      </c>
      <c r="BF30" s="581">
        <f t="shared" si="56"/>
        <v>8.1184726926246079E-2</v>
      </c>
      <c r="BI30" s="286"/>
      <c r="BJ30" s="286"/>
      <c r="BL30" s="253">
        <f t="shared" si="24"/>
        <v>0</v>
      </c>
      <c r="BM30" s="253">
        <f t="shared" si="25"/>
        <v>0</v>
      </c>
      <c r="BN30" s="253">
        <f t="shared" si="26"/>
        <v>0</v>
      </c>
      <c r="BO30" s="253">
        <f t="shared" si="27"/>
        <v>0</v>
      </c>
    </row>
    <row r="31" spans="1:67" ht="13.6" thickBot="1" x14ac:dyDescent="0.25">
      <c r="A31" s="253" t="s">
        <v>457</v>
      </c>
      <c r="B31" s="253">
        <f>IF(Vin&gt;=Vout,B29*(Vin-Vout)/Lf,B29*Vin/Lf)</f>
        <v>129999.99999999999</v>
      </c>
      <c r="D31" s="280">
        <v>5.2481</v>
      </c>
      <c r="E31" s="273" t="str">
        <f t="shared" si="0"/>
        <v>0.0000593546126590965i</v>
      </c>
      <c r="F31" s="579" t="str">
        <f t="shared" si="28"/>
        <v>0.002-466.556960810418i</v>
      </c>
      <c r="G31" s="270" t="str">
        <f t="shared" si="29"/>
        <v>0.002-466.556960810418i</v>
      </c>
      <c r="H31" s="271" t="str">
        <f t="shared" si="30"/>
        <v>1.99996321195395-0.00857328619293099i</v>
      </c>
      <c r="I31" s="271" t="str">
        <f t="shared" si="31"/>
        <v>2.00996321195395-0.00857328619293099i</v>
      </c>
      <c r="J31" s="270" t="str">
        <f t="shared" si="32"/>
        <v>2.00985200759772-0.0172315658511577i</v>
      </c>
      <c r="K31" s="271" t="str">
        <f t="shared" si="1"/>
        <v>0.999999999304499-0.0000414256090585543i</v>
      </c>
      <c r="L31" s="580"/>
      <c r="M31" s="580" t="str">
        <f t="shared" si="2"/>
        <v>23.0403722701265+0.120118801109i</v>
      </c>
      <c r="N31" s="270" t="str">
        <f t="shared" si="3"/>
        <v>10.6136125359282+0.09008910083175i</v>
      </c>
      <c r="O31" s="581" t="str">
        <f t="shared" si="4"/>
        <v>10.6136084317064+0.0443640455368762i</v>
      </c>
      <c r="P31" s="582" t="str">
        <f t="shared" si="5"/>
        <v>21.3333428394731-0.00182340316215346i</v>
      </c>
      <c r="Q31" s="583" t="str">
        <f t="shared" si="6"/>
        <v>21.2272067551561-0.00226704361752218i</v>
      </c>
      <c r="R31" s="581" t="str">
        <f t="shared" si="33"/>
        <v>1.03163289047757+0.0053355833043019i</v>
      </c>
      <c r="S31" s="253" t="str">
        <f t="shared" si="34"/>
        <v>26.0404323581762+0.06736962749336i</v>
      </c>
      <c r="T31" s="253" t="str">
        <f t="shared" si="35"/>
        <v>11.9955614890062+0.0186369084500665i</v>
      </c>
      <c r="U31" s="253" t="str">
        <f t="shared" si="36"/>
        <v>23.9908414642939-0.0655682504054652i</v>
      </c>
      <c r="V31" s="582" t="str">
        <f t="shared" si="7"/>
        <v>6000</v>
      </c>
      <c r="W31" s="584" t="str">
        <f t="shared" si="8"/>
        <v>1+18.4686493758653i</v>
      </c>
      <c r="X31" s="585">
        <f t="shared" si="9"/>
        <v>18.495702467563913</v>
      </c>
      <c r="Y31" s="586">
        <f t="shared" si="10"/>
        <v>1.5167033371644958</v>
      </c>
      <c r="Z31" s="273" t="str">
        <f t="shared" si="11"/>
        <v>1+0.00276988192409117i</v>
      </c>
      <c r="AA31" s="585">
        <f t="shared" si="12"/>
        <v>1.000003836115579</v>
      </c>
      <c r="AB31" s="586">
        <f t="shared" si="13"/>
        <v>2.7698748403853913E-3</v>
      </c>
      <c r="AC31" s="584" t="str">
        <f t="shared" si="14"/>
        <v>1+0.000133911208482968i</v>
      </c>
      <c r="AD31" s="585">
        <f t="shared" si="15"/>
        <v>1.0000000089661059</v>
      </c>
      <c r="AE31" s="586">
        <f t="shared" si="16"/>
        <v>1.3391120768252663E-4</v>
      </c>
      <c r="AF31" s="580" t="str">
        <f t="shared" si="37"/>
        <v>18.3930557847839-323.87907422987i</v>
      </c>
      <c r="AG31" s="270">
        <f t="shared" si="38"/>
        <v>324.40092358854315</v>
      </c>
      <c r="AH31" s="581">
        <f t="shared" si="39"/>
        <v>-1.5140673735317933</v>
      </c>
      <c r="AI31" s="582" t="str">
        <f t="shared" si="17"/>
        <v>4000</v>
      </c>
      <c r="AJ31" s="584" t="str">
        <f t="shared" si="40"/>
        <v>1+1.45094131283541i</v>
      </c>
      <c r="AK31" s="585">
        <f t="shared" si="41"/>
        <v>1.7621664771787435</v>
      </c>
      <c r="AL31" s="586">
        <f t="shared" si="42"/>
        <v>0.96735026458863105</v>
      </c>
      <c r="AM31" s="273" t="str">
        <f t="shared" si="43"/>
        <v>1+0.0000507811686083382i</v>
      </c>
      <c r="AN31" s="585">
        <f t="shared" si="44"/>
        <v>1.0000000012893635</v>
      </c>
      <c r="AO31" s="586">
        <f t="shared" si="45"/>
        <v>5.0781168564687945E-5</v>
      </c>
      <c r="AP31" s="584" t="str">
        <f t="shared" si="46"/>
        <v>1+3.67390082349368E-07i</v>
      </c>
      <c r="AQ31" s="585">
        <f t="shared" si="47"/>
        <v>1.0000000000000675</v>
      </c>
      <c r="AR31" s="586">
        <f t="shared" si="48"/>
        <v>3.6739008234935148E-7</v>
      </c>
      <c r="AS31" s="580" t="str">
        <f t="shared" si="49"/>
        <v>1288.24328525766-1868.96374844904i</v>
      </c>
      <c r="AT31" s="270">
        <f t="shared" si="50"/>
        <v>2269.9330948352058</v>
      </c>
      <c r="AU31" s="581">
        <f t="shared" si="51"/>
        <v>-0.96729985081014691</v>
      </c>
      <c r="AV31" s="580" t="str">
        <f t="shared" si="52"/>
        <v>154.88033247384-223.952606930752i</v>
      </c>
      <c r="AW31" s="270">
        <f t="shared" si="53"/>
        <v>48.700683243681283</v>
      </c>
      <c r="AX31" s="581">
        <f t="shared" si="54"/>
        <v>-55.333181438096943</v>
      </c>
      <c r="AY31" s="299">
        <f t="shared" si="21"/>
        <v>124.66681856190306</v>
      </c>
      <c r="BB31" s="270">
        <f t="shared" si="22"/>
        <v>27.120261135297781</v>
      </c>
      <c r="BC31" s="270">
        <f t="shared" si="23"/>
        <v>-55.422198975055608</v>
      </c>
      <c r="BD31" s="286"/>
      <c r="BE31" s="270">
        <f t="shared" si="55"/>
        <v>21.580422108383498</v>
      </c>
      <c r="BF31" s="581">
        <f t="shared" si="56"/>
        <v>8.9017536958566082E-2</v>
      </c>
      <c r="BI31" s="286"/>
      <c r="BJ31" s="286"/>
      <c r="BL31" s="253">
        <f t="shared" si="24"/>
        <v>0</v>
      </c>
      <c r="BM31" s="253">
        <f t="shared" si="25"/>
        <v>0</v>
      </c>
      <c r="BN31" s="253">
        <f t="shared" si="26"/>
        <v>0</v>
      </c>
      <c r="BO31" s="253">
        <f t="shared" si="27"/>
        <v>0</v>
      </c>
    </row>
    <row r="32" spans="1:67" ht="13.6" thickBot="1" x14ac:dyDescent="0.25">
      <c r="A32" s="253" t="s">
        <v>455</v>
      </c>
      <c r="B32" s="253">
        <f>IF(Vin&gt;=Vout,B29*B30/Lf,B29*(Vout-Vin)/Lf)</f>
        <v>43333.333333333328</v>
      </c>
      <c r="D32" s="280">
        <v>5.7544000000000004</v>
      </c>
      <c r="E32" s="273" t="str">
        <f t="shared" si="0"/>
        <v>0.0000650807307569416i</v>
      </c>
      <c r="F32" s="579" t="str">
        <f t="shared" si="28"/>
        <v>0.002-425.507018286731i</v>
      </c>
      <c r="G32" s="270" t="str">
        <f t="shared" si="29"/>
        <v>0.002-425.507018286731i</v>
      </c>
      <c r="H32" s="271" t="str">
        <f t="shared" si="30"/>
        <v>1.99995577162377-0.00940034190480829i</v>
      </c>
      <c r="I32" s="271" t="str">
        <f t="shared" si="31"/>
        <v>2.00995577162377-0.00940034190480829i</v>
      </c>
      <c r="J32" s="270" t="str">
        <f t="shared" si="32"/>
        <v>2.00982207833562-0.0188936650190887i</v>
      </c>
      <c r="K32" s="271" t="str">
        <f t="shared" si="1"/>
        <v>0.999999999163831-0.0000454220622256711i</v>
      </c>
      <c r="L32" s="580"/>
      <c r="M32" s="580" t="str">
        <f t="shared" si="2"/>
        <v>23.0403760084747+0.131707035054056i</v>
      </c>
      <c r="N32" s="270" t="str">
        <f t="shared" si="3"/>
        <v>10.6136153396893+0.098780276290542i</v>
      </c>
      <c r="O32" s="581" t="str">
        <f t="shared" si="4"/>
        <v>10.6136104053752+0.0486439827973154i</v>
      </c>
      <c r="P32" s="582" t="str">
        <f t="shared" si="5"/>
        <v>21.3333447621199-0.00199931267672707i</v>
      </c>
      <c r="Q32" s="583" t="str">
        <f t="shared" si="6"/>
        <v>21.2272086580661-0.00248575250469948i</v>
      </c>
      <c r="R32" s="581" t="str">
        <f t="shared" si="33"/>
        <v>1.03163310277903+0.00585032359875351i</v>
      </c>
      <c r="S32" s="253" t="str">
        <f t="shared" si="34"/>
        <v>26.040469646372+0.0738688697308646i</v>
      </c>
      <c r="T32" s="253" t="str">
        <f t="shared" si="35"/>
        <v>11.9955723653767+0.0204348354266275i</v>
      </c>
      <c r="U32" s="253" t="str">
        <f t="shared" si="36"/>
        <v>23.9908062805055-0.0718937145247451i</v>
      </c>
      <c r="V32" s="582" t="str">
        <f t="shared" si="7"/>
        <v>6000</v>
      </c>
      <c r="W32" s="584" t="str">
        <f t="shared" si="8"/>
        <v>1+20.2503755584839i</v>
      </c>
      <c r="X32" s="585">
        <f t="shared" si="9"/>
        <v>20.275051424340262</v>
      </c>
      <c r="Y32" s="586">
        <f t="shared" si="10"/>
        <v>1.5214546081536908</v>
      </c>
      <c r="Z32" s="273" t="str">
        <f t="shared" si="11"/>
        <v>1+0.00303710076865727i</v>
      </c>
      <c r="AA32" s="585">
        <f t="shared" si="12"/>
        <v>1.0000046119799042</v>
      </c>
      <c r="AB32" s="586">
        <f t="shared" si="13"/>
        <v>3.0370914306556084E-3</v>
      </c>
      <c r="AC32" s="584" t="str">
        <f t="shared" si="14"/>
        <v>1+0.00014683002574158i</v>
      </c>
      <c r="AD32" s="585">
        <f t="shared" si="15"/>
        <v>1.0000000107795282</v>
      </c>
      <c r="AE32" s="586">
        <f t="shared" si="16"/>
        <v>1.4683002468640776E-4</v>
      </c>
      <c r="AF32" s="580" t="str">
        <f t="shared" si="37"/>
        <v>15.4500640347226-295.527975022131i</v>
      </c>
      <c r="AG32" s="270">
        <f t="shared" si="38"/>
        <v>295.93156049897465</v>
      </c>
      <c r="AH32" s="581">
        <f t="shared" si="39"/>
        <v>-1.5185643467477214</v>
      </c>
      <c r="AI32" s="582" t="str">
        <f t="shared" si="17"/>
        <v>4000</v>
      </c>
      <c r="AJ32" s="584" t="str">
        <f t="shared" si="40"/>
        <v>1+1.59091798757266i</v>
      </c>
      <c r="AK32" s="585">
        <f t="shared" si="41"/>
        <v>1.8791008603005435</v>
      </c>
      <c r="AL32" s="586">
        <f t="shared" si="42"/>
        <v>1.0096354340898723</v>
      </c>
      <c r="AM32" s="273" t="str">
        <f t="shared" si="43"/>
        <v>1+0.0000556801807587167i</v>
      </c>
      <c r="AN32" s="585">
        <f t="shared" si="44"/>
        <v>1.0000000015501411</v>
      </c>
      <c r="AO32" s="586">
        <f t="shared" si="45"/>
        <v>5.5680180701175271E-5</v>
      </c>
      <c r="AP32" s="584" t="str">
        <f t="shared" si="46"/>
        <v>1+4.02833309173072E-07i</v>
      </c>
      <c r="AQ32" s="585">
        <f t="shared" si="47"/>
        <v>1.0000000000000813</v>
      </c>
      <c r="AR32" s="586">
        <f t="shared" si="48"/>
        <v>4.0283330917305021E-7</v>
      </c>
      <c r="AS32" s="580" t="str">
        <f t="shared" si="49"/>
        <v>1132.91675438616-1802.15653358559i</v>
      </c>
      <c r="AT32" s="270">
        <f t="shared" si="50"/>
        <v>2128.6776514808676</v>
      </c>
      <c r="AU32" s="581">
        <f t="shared" si="51"/>
        <v>-1.0095801567424825</v>
      </c>
      <c r="AV32" s="580" t="str">
        <f t="shared" si="52"/>
        <v>136.268116833637-215.947481449344i</v>
      </c>
      <c r="AW32" s="270">
        <f t="shared" si="53"/>
        <v>48.14263011644843</v>
      </c>
      <c r="AX32" s="581">
        <f t="shared" si="54"/>
        <v>-57.747076990500929</v>
      </c>
      <c r="AY32" s="299">
        <f t="shared" si="21"/>
        <v>122.25292300949907</v>
      </c>
      <c r="BB32" s="270">
        <f t="shared" si="22"/>
        <v>26.562198012398884</v>
      </c>
      <c r="BC32" s="270">
        <f t="shared" si="23"/>
        <v>-57.844682061500365</v>
      </c>
      <c r="BD32" s="286"/>
      <c r="BE32" s="270">
        <f t="shared" si="55"/>
        <v>21.580432104049553</v>
      </c>
      <c r="BF32" s="581">
        <f t="shared" si="56"/>
        <v>9.7605070999462612E-2</v>
      </c>
      <c r="BI32" s="286"/>
      <c r="BJ32" s="286"/>
      <c r="BL32" s="253">
        <f t="shared" si="24"/>
        <v>0</v>
      </c>
      <c r="BM32" s="253">
        <f t="shared" si="25"/>
        <v>0</v>
      </c>
      <c r="BN32" s="253">
        <f t="shared" si="26"/>
        <v>0</v>
      </c>
      <c r="BO32" s="253">
        <f t="shared" si="27"/>
        <v>0</v>
      </c>
    </row>
    <row r="33" spans="1:67" ht="13.6" thickBot="1" x14ac:dyDescent="0.25">
      <c r="A33" s="253" t="s">
        <v>459</v>
      </c>
      <c r="B33" s="253">
        <f>1+B32/B31</f>
        <v>1.3333333333333333</v>
      </c>
      <c r="D33" s="280">
        <v>6.3095999999999997</v>
      </c>
      <c r="E33" s="273" t="str">
        <f t="shared" si="0"/>
        <v>0.0000713598948255246i</v>
      </c>
      <c r="F33" s="579" t="str">
        <f t="shared" si="28"/>
        <v>0.002-388.065421901414i</v>
      </c>
      <c r="G33" s="270" t="str">
        <f t="shared" si="29"/>
        <v>0.002-388.065421901414i</v>
      </c>
      <c r="H33" s="271" t="str">
        <f t="shared" si="30"/>
        <v>1.99994682559834-0.0103072660409925i</v>
      </c>
      <c r="I33" s="271" t="str">
        <f t="shared" si="31"/>
        <v>2.00994682559834-0.0103072660409925i</v>
      </c>
      <c r="J33" s="270" t="str">
        <f t="shared" si="32"/>
        <v>2.00978609319345-0.0207162051045452i</v>
      </c>
      <c r="K33" s="271" t="str">
        <f t="shared" si="1"/>
        <v>0.999999998994696-0.0000498045050429401i</v>
      </c>
      <c r="L33" s="580"/>
      <c r="M33" s="580" t="str">
        <f t="shared" si="2"/>
        <v>23.0403805033883+0.144414499752336i</v>
      </c>
      <c r="N33" s="270" t="str">
        <f t="shared" si="3"/>
        <v>10.6136187108745+0.108310874814252i</v>
      </c>
      <c r="O33" s="581" t="str">
        <f t="shared" si="4"/>
        <v>10.6136127784744+0.0533372908307092i</v>
      </c>
      <c r="P33" s="582" t="str">
        <f t="shared" si="5"/>
        <v>21.3333470738711-0.00219221217261439i</v>
      </c>
      <c r="Q33" s="583" t="str">
        <f t="shared" si="6"/>
        <v>21.2272109460863-0.00272558508092093i</v>
      </c>
      <c r="R33" s="581" t="str">
        <f t="shared" si="33"/>
        <v>1.03163335804597+0.00641477924711472i</v>
      </c>
      <c r="S33" s="253" t="str">
        <f t="shared" si="34"/>
        <v>26.0405144807852+0.0809957941079723i</v>
      </c>
      <c r="T33" s="253" t="str">
        <f t="shared" si="35"/>
        <v>11.9955854428583+0.0224064016020601i</v>
      </c>
      <c r="U33" s="253" t="str">
        <f t="shared" si="36"/>
        <v>23.9907639763805-0.0788300787198756i</v>
      </c>
      <c r="V33" s="582" t="str">
        <f t="shared" si="7"/>
        <v>6000</v>
      </c>
      <c r="W33" s="584" t="str">
        <f t="shared" si="8"/>
        <v>1+22.2041862963662i</v>
      </c>
      <c r="X33" s="585">
        <f t="shared" si="9"/>
        <v>22.226693165735124</v>
      </c>
      <c r="Y33" s="586">
        <f t="shared" si="10"/>
        <v>1.5257901864551155</v>
      </c>
      <c r="Z33" s="273" t="str">
        <f t="shared" si="11"/>
        <v>1+0.00333012842519115i</v>
      </c>
      <c r="AA33" s="585">
        <f t="shared" si="12"/>
        <v>1.0000055448622913</v>
      </c>
      <c r="AB33" s="586">
        <f t="shared" si="13"/>
        <v>3.3301161151699098E-3</v>
      </c>
      <c r="AC33" s="584" t="str">
        <f t="shared" si="14"/>
        <v>1+0.000160996581818969i</v>
      </c>
      <c r="AD33" s="585">
        <f t="shared" si="15"/>
        <v>1.0000000129599496</v>
      </c>
      <c r="AE33" s="586">
        <f t="shared" si="16"/>
        <v>1.6099658042796397E-4</v>
      </c>
      <c r="AF33" s="580" t="str">
        <f t="shared" si="37"/>
        <v>12.999745874395-269.633988633112i</v>
      </c>
      <c r="AG33" s="270">
        <f t="shared" si="38"/>
        <v>269.94718227645944</v>
      </c>
      <c r="AH33" s="581">
        <f t="shared" si="39"/>
        <v>-1.5226210669203735</v>
      </c>
      <c r="AI33" s="582" t="str">
        <f t="shared" si="17"/>
        <v>4000</v>
      </c>
      <c r="AJ33" s="584" t="str">
        <f t="shared" si="40"/>
        <v>1+1.7444140369784i</v>
      </c>
      <c r="AK33" s="585">
        <f t="shared" si="41"/>
        <v>2.0107163729395747</v>
      </c>
      <c r="AL33" s="586">
        <f t="shared" si="42"/>
        <v>1.0502718905343671</v>
      </c>
      <c r="AM33" s="273" t="str">
        <f t="shared" si="43"/>
        <v>1+0.0000610523544618377i</v>
      </c>
      <c r="AN33" s="585">
        <f t="shared" si="44"/>
        <v>1.000000001863695</v>
      </c>
      <c r="AO33" s="586">
        <f t="shared" si="45"/>
        <v>6.105235438598239E-5</v>
      </c>
      <c r="AP33" s="584" t="str">
        <f t="shared" si="46"/>
        <v>1+4.4169975107021E-07i</v>
      </c>
      <c r="AQ33" s="585">
        <f t="shared" si="47"/>
        <v>1.0000000000000977</v>
      </c>
      <c r="AR33" s="586">
        <f t="shared" si="48"/>
        <v>4.4169975107018127E-7</v>
      </c>
      <c r="AS33" s="580" t="str">
        <f t="shared" si="49"/>
        <v>989.47375240696-1725.80946030154i</v>
      </c>
      <c r="AT33" s="270">
        <f t="shared" si="50"/>
        <v>1989.3407450631987</v>
      </c>
      <c r="AU33" s="581">
        <f t="shared" si="51"/>
        <v>-1.0502112798797301</v>
      </c>
      <c r="AV33" s="580" t="str">
        <f t="shared" si="52"/>
        <v>119.079861203195-206.799242928692i</v>
      </c>
      <c r="AW33" s="270">
        <f t="shared" si="53"/>
        <v>47.554627678729553</v>
      </c>
      <c r="AX33" s="581">
        <f t="shared" si="54"/>
        <v>-60.065652000202</v>
      </c>
      <c r="AY33" s="299">
        <f t="shared" si="21"/>
        <v>119.93434799979801</v>
      </c>
      <c r="BB33" s="270">
        <f t="shared" ref="BB33:BB85" si="57">20*LOG10(IMABS(IMPRODUCT(COMPLEX($B$15,0),AS33)))</f>
        <v>25.974183556166285</v>
      </c>
      <c r="BC33" s="270">
        <f t="shared" ref="BC33:BC85" si="58">180/PI()*IMARGUMENT(IMPRODUCT(COMPLEX($B$15,0),AS33))</f>
        <v>-60.172673934141002</v>
      </c>
      <c r="BD33" s="286"/>
      <c r="BE33" s="270">
        <f t="shared" si="55"/>
        <v>21.58044412256325</v>
      </c>
      <c r="BF33" s="581">
        <f t="shared" si="56"/>
        <v>0.10702193393895726</v>
      </c>
      <c r="BI33" s="286"/>
      <c r="BJ33" s="286"/>
      <c r="BL33" s="253">
        <f t="shared" si="24"/>
        <v>0</v>
      </c>
      <c r="BM33" s="253">
        <f t="shared" si="25"/>
        <v>0</v>
      </c>
      <c r="BN33" s="253">
        <f t="shared" si="26"/>
        <v>0</v>
      </c>
      <c r="BO33" s="253">
        <f t="shared" si="27"/>
        <v>0</v>
      </c>
    </row>
    <row r="34" spans="1:67" ht="13.6" thickBot="1" x14ac:dyDescent="0.25">
      <c r="A34" s="253" t="s">
        <v>1027</v>
      </c>
      <c r="B34" s="253">
        <f>Fsw/(B31+B32)</f>
        <v>2.2961538461538464</v>
      </c>
      <c r="D34" s="280">
        <v>6.9183000000000003</v>
      </c>
      <c r="E34" s="273" t="str">
        <f t="shared" si="0"/>
        <v>0.000078244129639189i</v>
      </c>
      <c r="F34" s="579" t="str">
        <f t="shared" si="28"/>
        <v>0.002-353.921857396927i</v>
      </c>
      <c r="G34" s="270" t="str">
        <f t="shared" si="29"/>
        <v>0.002-353.921857396927i</v>
      </c>
      <c r="H34" s="271" t="str">
        <f t="shared" si="30"/>
        <v>1.99993607136972-0.0113015682170663i</v>
      </c>
      <c r="I34" s="271" t="str">
        <f t="shared" si="31"/>
        <v>2.00993607136972-0.0113015682170663i</v>
      </c>
      <c r="J34" s="270" t="str">
        <f t="shared" si="32"/>
        <v>2.00974283588551-0.0227142499785563i</v>
      </c>
      <c r="K34" s="271" t="str">
        <f t="shared" si="1"/>
        <v>0.999999998791372-0.0000546092473752017i</v>
      </c>
      <c r="L34" s="580"/>
      <c r="M34" s="580" t="str">
        <f t="shared" si="2"/>
        <v>23.0403859068853+0.158346481910665i</v>
      </c>
      <c r="N34" s="270" t="str">
        <f t="shared" si="3"/>
        <v>10.6136227634973+0.118759861432999i</v>
      </c>
      <c r="O34" s="581" t="str">
        <f t="shared" si="4"/>
        <v>10.6136156312621+0.0584828556680795i</v>
      </c>
      <c r="P34" s="582" t="str">
        <f t="shared" si="5"/>
        <v>21.3333498529101-0.0024036999224476i</v>
      </c>
      <c r="Q34" s="583" t="str">
        <f t="shared" si="6"/>
        <v>21.2272136965974-0.00298852847912853i</v>
      </c>
      <c r="R34" s="581" t="str">
        <f t="shared" si="33"/>
        <v>1.03163366491151+0.00703362700204856i</v>
      </c>
      <c r="S34" s="253" t="str">
        <f t="shared" si="34"/>
        <v>26.0405683776215+0.0888094353282102i</v>
      </c>
      <c r="T34" s="253" t="str">
        <f t="shared" si="35"/>
        <v>11.9956011637039+0.0245679379051154i</v>
      </c>
      <c r="U34" s="253" t="str">
        <f t="shared" si="36"/>
        <v>23.9907131212822-0.0864347996407073i</v>
      </c>
      <c r="V34" s="582" t="str">
        <f t="shared" si="7"/>
        <v>6000</v>
      </c>
      <c r="W34" s="584" t="str">
        <f t="shared" si="8"/>
        <v>1+24.3462695026864i</v>
      </c>
      <c r="X34" s="585">
        <f t="shared" si="9"/>
        <v>24.366797875335156</v>
      </c>
      <c r="Y34" s="586">
        <f t="shared" si="10"/>
        <v>1.5297453473364693</v>
      </c>
      <c r="Z34" s="273" t="str">
        <f t="shared" si="11"/>
        <v>1+0.00365139271649548i</v>
      </c>
      <c r="AA34" s="585">
        <f t="shared" si="12"/>
        <v>1.0000066663121652</v>
      </c>
      <c r="AB34" s="586">
        <f t="shared" si="13"/>
        <v>3.6513764890220802E-3</v>
      </c>
      <c r="AC34" s="584" t="str">
        <f t="shared" si="14"/>
        <v>1+0.000176528250918945i</v>
      </c>
      <c r="AD34" s="585">
        <f t="shared" si="15"/>
        <v>1.0000000155811115</v>
      </c>
      <c r="AE34" s="586">
        <f t="shared" si="16"/>
        <v>1.7652824908527412E-4</v>
      </c>
      <c r="AF34" s="580" t="str">
        <f t="shared" si="37"/>
        <v>10.960343572651-245.994292318044i</v>
      </c>
      <c r="AG34" s="270">
        <f t="shared" si="38"/>
        <v>246.23834182410712</v>
      </c>
      <c r="AH34" s="581">
        <f t="shared" si="39"/>
        <v>-1.5262704990965321</v>
      </c>
      <c r="AI34" s="582" t="str">
        <f t="shared" si="17"/>
        <v>4000</v>
      </c>
      <c r="AJ34" s="584" t="str">
        <f t="shared" si="40"/>
        <v>1+1.91270122226886i</v>
      </c>
      <c r="AK34" s="585">
        <f t="shared" si="41"/>
        <v>2.1583387050388527</v>
      </c>
      <c r="AL34" s="586">
        <f t="shared" si="42"/>
        <v>1.0890591892549346</v>
      </c>
      <c r="AM34" s="273" t="str">
        <f t="shared" si="43"/>
        <v>1+0.0000669421998024172i</v>
      </c>
      <c r="AN34" s="585">
        <f t="shared" si="44"/>
        <v>1.000000002240629</v>
      </c>
      <c r="AO34" s="586">
        <f t="shared" si="45"/>
        <v>6.6942199702422117E-5</v>
      </c>
      <c r="AP34" s="584" t="str">
        <f t="shared" si="46"/>
        <v>1+4.84311428272637E-07i</v>
      </c>
      <c r="AQ34" s="585">
        <f t="shared" si="47"/>
        <v>1.0000000000001172</v>
      </c>
      <c r="AR34" s="586">
        <f t="shared" si="48"/>
        <v>4.8431142827259904E-7</v>
      </c>
      <c r="AS34" s="580" t="str">
        <f t="shared" si="49"/>
        <v>858.768280519768-1642.30130824239i</v>
      </c>
      <c r="AT34" s="270">
        <f t="shared" si="50"/>
        <v>1853.2772449586555</v>
      </c>
      <c r="AU34" s="581">
        <f t="shared" si="51"/>
        <v>-1.0889927313666601</v>
      </c>
      <c r="AV34" s="580" t="str">
        <f t="shared" si="52"/>
        <v>103.417897417173-196.792933185142i</v>
      </c>
      <c r="AW34" s="270">
        <f t="shared" si="53"/>
        <v>46.939266438095892</v>
      </c>
      <c r="AX34" s="581">
        <f t="shared" si="54"/>
        <v>-62.2773413134435</v>
      </c>
      <c r="AY34" s="299">
        <f t="shared" si="21"/>
        <v>117.7226586865565</v>
      </c>
      <c r="BB34" s="270">
        <f t="shared" si="57"/>
        <v>25.358807867749107</v>
      </c>
      <c r="BC34" s="270">
        <f t="shared" si="58"/>
        <v>-62.394687427733444</v>
      </c>
      <c r="BD34" s="286"/>
      <c r="BE34" s="270">
        <f t="shared" si="55"/>
        <v>21.580458570346771</v>
      </c>
      <c r="BF34" s="581">
        <f t="shared" si="56"/>
        <v>0.11734611429003564</v>
      </c>
      <c r="BI34" s="286"/>
      <c r="BJ34" s="286"/>
      <c r="BL34" s="253">
        <f t="shared" si="24"/>
        <v>0</v>
      </c>
      <c r="BM34" s="253">
        <f t="shared" si="25"/>
        <v>0</v>
      </c>
      <c r="BN34" s="253">
        <f t="shared" si="26"/>
        <v>0</v>
      </c>
      <c r="BO34" s="253">
        <f t="shared" si="27"/>
        <v>0</v>
      </c>
    </row>
    <row r="35" spans="1:67" ht="13.6" thickBot="1" x14ac:dyDescent="0.25">
      <c r="D35" s="280">
        <v>7.5857999999999999</v>
      </c>
      <c r="E35" s="273" t="str">
        <f t="shared" si="0"/>
        <v>0.0000857933767857652i</v>
      </c>
      <c r="F35" s="579" t="str">
        <f t="shared" si="28"/>
        <v>0.002-322.779085400242i</v>
      </c>
      <c r="G35" s="270" t="str">
        <f t="shared" si="29"/>
        <v>0.002-322.779085400242i</v>
      </c>
      <c r="H35" s="271" t="str">
        <f t="shared" si="30"/>
        <v>1.99992314067177-0.0123918999357258i</v>
      </c>
      <c r="I35" s="271" t="str">
        <f t="shared" si="31"/>
        <v>2.00992314067177-0.0123918999357258i</v>
      </c>
      <c r="J35" s="270" t="str">
        <f t="shared" si="32"/>
        <v>2.00969082590197-0.0249051487567484i</v>
      </c>
      <c r="K35" s="271" t="str">
        <f t="shared" si="1"/>
        <v>0.999999998546896-0.0000598781245015112i</v>
      </c>
      <c r="L35" s="580"/>
      <c r="M35" s="580" t="str">
        <f t="shared" si="2"/>
        <v>23.0403924040362+0.173624290421172i</v>
      </c>
      <c r="N35" s="270" t="str">
        <f t="shared" si="3"/>
        <v>10.6136276363605+0.130218217815879i</v>
      </c>
      <c r="O35" s="581" t="str">
        <f t="shared" si="4"/>
        <v>10.6136190614465+0.0641254808877229i</v>
      </c>
      <c r="P35" s="582" t="str">
        <f t="shared" si="5"/>
        <v>21.3333531944188-0.00263561742241764i</v>
      </c>
      <c r="Q35" s="583" t="str">
        <f t="shared" si="6"/>
        <v>21.2272170038043-0.00327687223129469i</v>
      </c>
      <c r="R35" s="581" t="str">
        <f t="shared" si="33"/>
        <v>1.03163403388584+0.00771225530897366i</v>
      </c>
      <c r="S35" s="253" t="str">
        <f t="shared" si="34"/>
        <v>26.0406331827173+0.0973778089085588i</v>
      </c>
      <c r="T35" s="253" t="str">
        <f t="shared" si="35"/>
        <v>11.9956200663142+0.0269382596093202i</v>
      </c>
      <c r="U35" s="253" t="str">
        <f t="shared" si="36"/>
        <v>23.9906519735459-0.0947740747666468i</v>
      </c>
      <c r="V35" s="582" t="str">
        <f t="shared" si="7"/>
        <v>6000</v>
      </c>
      <c r="W35" s="584" t="str">
        <f t="shared" si="8"/>
        <v>1+26.6952764687104i</v>
      </c>
      <c r="X35" s="585">
        <f t="shared" si="9"/>
        <v>26.713999807982393</v>
      </c>
      <c r="Y35" s="586">
        <f t="shared" si="10"/>
        <v>1.5333540231428138</v>
      </c>
      <c r="Z35" s="273" t="str">
        <f t="shared" si="11"/>
        <v>1+0.00400369091666905i</v>
      </c>
      <c r="AA35" s="585">
        <f t="shared" si="12"/>
        <v>1.0000080147383601</v>
      </c>
      <c r="AB35" s="586">
        <f t="shared" si="13"/>
        <v>4.0036695244322863E-3</v>
      </c>
      <c r="AC35" s="584" t="str">
        <f t="shared" si="14"/>
        <v>1+0.000193560268537203i</v>
      </c>
      <c r="AD35" s="585">
        <f t="shared" si="15"/>
        <v>1.0000000187327887</v>
      </c>
      <c r="AE35" s="586">
        <f t="shared" si="16"/>
        <v>1.9356026611992065E-4</v>
      </c>
      <c r="AF35" s="580" t="str">
        <f t="shared" si="37"/>
        <v>9.26279336710722-224.412046775165i</v>
      </c>
      <c r="AG35" s="270">
        <f t="shared" si="38"/>
        <v>224.60313016247252</v>
      </c>
      <c r="AH35" s="581">
        <f t="shared" si="39"/>
        <v>-1.5295439138845013</v>
      </c>
      <c r="AI35" s="582" t="str">
        <f t="shared" si="17"/>
        <v>4000</v>
      </c>
      <c r="AJ35" s="584" t="str">
        <f t="shared" si="40"/>
        <v>1+2.09724483354107i</v>
      </c>
      <c r="AK35" s="585">
        <f t="shared" si="41"/>
        <v>2.3234534408536596</v>
      </c>
      <c r="AL35" s="586">
        <f t="shared" si="42"/>
        <v>1.1258672987882357</v>
      </c>
      <c r="AM35" s="273" t="str">
        <f t="shared" si="43"/>
        <v>1+0.0000734010001389325i</v>
      </c>
      <c r="AN35" s="585">
        <f t="shared" si="44"/>
        <v>1.0000000026938534</v>
      </c>
      <c r="AO35" s="586">
        <f t="shared" si="45"/>
        <v>7.3401000007111469E-5</v>
      </c>
      <c r="AP35" s="584" t="str">
        <f t="shared" si="46"/>
        <v>1+5.31039364090972E-07i</v>
      </c>
      <c r="AQ35" s="585">
        <f t="shared" si="47"/>
        <v>1.000000000000141</v>
      </c>
      <c r="AR35" s="586">
        <f t="shared" si="48"/>
        <v>5.3103936409092215E-7</v>
      </c>
      <c r="AS35" s="580" t="str">
        <f t="shared" si="49"/>
        <v>741.068595593712-1553.91080356535i</v>
      </c>
      <c r="AT35" s="270">
        <f t="shared" si="50"/>
        <v>1721.5752811923005</v>
      </c>
      <c r="AU35" s="581">
        <f t="shared" si="51"/>
        <v>-1.1257944288275927</v>
      </c>
      <c r="AV35" s="580" t="str">
        <f t="shared" si="52"/>
        <v>89.3143696845538-186.201605182945i</v>
      </c>
      <c r="AW35" s="270">
        <f t="shared" si="53"/>
        <v>46.298996308623863</v>
      </c>
      <c r="AX35" s="581">
        <f t="shared" si="54"/>
        <v>-64.374601909209247</v>
      </c>
      <c r="AY35" s="299">
        <f t="shared" si="21"/>
        <v>115.62539809079075</v>
      </c>
      <c r="BB35" s="270">
        <f t="shared" si="57"/>
        <v>24.718520366449273</v>
      </c>
      <c r="BC35" s="270">
        <f t="shared" si="58"/>
        <v>-64.503269371162204</v>
      </c>
      <c r="BD35" s="286"/>
      <c r="BE35" s="270">
        <f t="shared" si="55"/>
        <v>21.580475942174601</v>
      </c>
      <c r="BF35" s="581">
        <f t="shared" si="56"/>
        <v>0.12866746195294876</v>
      </c>
      <c r="BI35" s="286"/>
      <c r="BJ35" s="286"/>
      <c r="BL35" s="253">
        <f t="shared" si="24"/>
        <v>0</v>
      </c>
      <c r="BM35" s="253">
        <f t="shared" si="25"/>
        <v>0</v>
      </c>
      <c r="BN35" s="253">
        <f t="shared" si="26"/>
        <v>0</v>
      </c>
      <c r="BO35" s="253">
        <f t="shared" si="27"/>
        <v>0</v>
      </c>
    </row>
    <row r="36" spans="1:67" ht="13.6" thickBot="1" x14ac:dyDescent="0.25">
      <c r="D36" s="280">
        <v>8.3176000000000005</v>
      </c>
      <c r="E36" s="273" t="str">
        <f t="shared" si="0"/>
        <v>0.0000940698397997945i</v>
      </c>
      <c r="F36" s="579" t="str">
        <f t="shared" si="28"/>
        <v>0.002-294.380300330523i</v>
      </c>
      <c r="G36" s="270" t="str">
        <f t="shared" si="29"/>
        <v>0.002-294.380300330523i</v>
      </c>
      <c r="H36" s="271" t="str">
        <f t="shared" si="30"/>
        <v>1.99990759691078-0.0135872373406933i</v>
      </c>
      <c r="I36" s="271" t="str">
        <f t="shared" si="31"/>
        <v>2.00990759691078-0.0135872373406933i</v>
      </c>
      <c r="J36" s="270" t="str">
        <f t="shared" si="32"/>
        <v>2.00962830830795-0.0273068905087921i</v>
      </c>
      <c r="K36" s="271" t="str">
        <f t="shared" si="1"/>
        <v>0.999999998253012-0.0000656545503906997i</v>
      </c>
      <c r="L36" s="580"/>
      <c r="M36" s="580" t="str">
        <f t="shared" si="2"/>
        <v>23.0404002142605+0.190373812483682i</v>
      </c>
      <c r="N36" s="270" t="str">
        <f t="shared" si="3"/>
        <v>10.6136334940287+0.142780359362761i</v>
      </c>
      <c r="O36" s="581" t="str">
        <f t="shared" si="4"/>
        <v>10.6136231848705+0.0703116609930855i</v>
      </c>
      <c r="P36" s="582" t="str">
        <f t="shared" si="5"/>
        <v>21.3333572112454-0.00288987567610366i</v>
      </c>
      <c r="Q36" s="583" t="str">
        <f t="shared" si="6"/>
        <v>21.2272209793966-0.00359299228603355i</v>
      </c>
      <c r="R36" s="581" t="str">
        <f t="shared" si="33"/>
        <v>1.03163447742983+0.00845625597790686i</v>
      </c>
      <c r="S36" s="253" t="str">
        <f t="shared" si="34"/>
        <v>26.0407110844511+0.106771491316176i</v>
      </c>
      <c r="T36" s="253" t="str">
        <f t="shared" si="35"/>
        <v>11.9956427890043+0.0295368903422534i</v>
      </c>
      <c r="U36" s="253" t="str">
        <f t="shared" si="36"/>
        <v>23.990578468297-0.103916594243784i</v>
      </c>
      <c r="V36" s="582" t="str">
        <f t="shared" si="7"/>
        <v>6000</v>
      </c>
      <c r="W36" s="584" t="str">
        <f t="shared" si="8"/>
        <v>1+29.2705623080157i</v>
      </c>
      <c r="X36" s="585">
        <f t="shared" si="9"/>
        <v>29.287639335177381</v>
      </c>
      <c r="Y36" s="586">
        <f t="shared" si="10"/>
        <v>1.5366455919477946</v>
      </c>
      <c r="Z36" s="273" t="str">
        <f t="shared" si="11"/>
        <v>1+0.00438992585732374i</v>
      </c>
      <c r="AA36" s="585">
        <f t="shared" si="12"/>
        <v>1.0000096356780932</v>
      </c>
      <c r="AB36" s="586">
        <f t="shared" si="13"/>
        <v>4.3898976575723371E-3</v>
      </c>
      <c r="AC36" s="584" t="str">
        <f t="shared" si="14"/>
        <v>1+0.000212232973395692i</v>
      </c>
      <c r="AD36" s="585">
        <f t="shared" si="15"/>
        <v>1.0000000225214172</v>
      </c>
      <c r="AE36" s="586">
        <f t="shared" si="16"/>
        <v>2.1223297020916715E-4</v>
      </c>
      <c r="AF36" s="580" t="str">
        <f t="shared" si="37"/>
        <v>7.8502846185324-204.716088887892i</v>
      </c>
      <c r="AG36" s="270">
        <f t="shared" si="38"/>
        <v>204.86655173099211</v>
      </c>
      <c r="AH36" s="581">
        <f t="shared" si="39"/>
        <v>-1.5324679272604314</v>
      </c>
      <c r="AI36" s="582" t="str">
        <f t="shared" si="17"/>
        <v>4000</v>
      </c>
      <c r="AJ36" s="584" t="str">
        <f t="shared" si="40"/>
        <v>1+2.29956545485792i</v>
      </c>
      <c r="AK36" s="585">
        <f t="shared" si="41"/>
        <v>2.5075887384449458</v>
      </c>
      <c r="AL36" s="586">
        <f t="shared" si="42"/>
        <v>1.1605998901962185</v>
      </c>
      <c r="AM36" s="273" t="str">
        <f t="shared" si="43"/>
        <v>1+0.0000804819740509353i</v>
      </c>
      <c r="AN36" s="585">
        <f t="shared" si="44"/>
        <v>1.000000003238674</v>
      </c>
      <c r="AO36" s="586">
        <f t="shared" si="45"/>
        <v>8.0481973877165384E-5</v>
      </c>
      <c r="AP36" s="584" t="str">
        <f t="shared" si="46"/>
        <v>1+5.82268582715477E-07i</v>
      </c>
      <c r="AQ36" s="585">
        <f t="shared" si="47"/>
        <v>1.0000000000001696</v>
      </c>
      <c r="AR36" s="586">
        <f t="shared" si="48"/>
        <v>5.822685827154112E-7</v>
      </c>
      <c r="AS36" s="580" t="str">
        <f t="shared" si="49"/>
        <v>636.249065434052-1462.77677273591i</v>
      </c>
      <c r="AT36" s="270">
        <f t="shared" si="50"/>
        <v>1595.1579107164871</v>
      </c>
      <c r="AU36" s="581">
        <f t="shared" si="51"/>
        <v>-1.1605199904909242</v>
      </c>
      <c r="AV36" s="580" t="str">
        <f t="shared" si="52"/>
        <v>76.7542239091621-175.281548269164i</v>
      </c>
      <c r="AW36" s="270">
        <f t="shared" si="53"/>
        <v>45.636570464133392</v>
      </c>
      <c r="AX36" s="581">
        <f t="shared" si="54"/>
        <v>-66.351818291671876</v>
      </c>
      <c r="AY36" s="299">
        <f t="shared" si="21"/>
        <v>113.64818170832812</v>
      </c>
      <c r="BB36" s="270">
        <f t="shared" si="57"/>
        <v>24.056073639502959</v>
      </c>
      <c r="BC36" s="270">
        <f t="shared" si="58"/>
        <v>-66.492897495692389</v>
      </c>
      <c r="BD36" s="286"/>
      <c r="BE36" s="270">
        <f t="shared" si="55"/>
        <v>21.580496824630437</v>
      </c>
      <c r="BF36" s="581">
        <f t="shared" si="56"/>
        <v>0.14107920402048732</v>
      </c>
      <c r="BI36" s="286"/>
      <c r="BJ36" s="286"/>
      <c r="BL36" s="253">
        <f t="shared" si="24"/>
        <v>0</v>
      </c>
      <c r="BM36" s="253">
        <f t="shared" si="25"/>
        <v>0</v>
      </c>
      <c r="BN36" s="253">
        <f t="shared" si="26"/>
        <v>0</v>
      </c>
      <c r="BO36" s="253">
        <f t="shared" si="27"/>
        <v>0</v>
      </c>
    </row>
    <row r="37" spans="1:67" ht="13.6" thickBot="1" x14ac:dyDescent="0.25">
      <c r="D37" s="280">
        <v>9.1201000000000008</v>
      </c>
      <c r="E37" s="273" t="str">
        <f t="shared" si="0"/>
        <v>0.000103145900976015i</v>
      </c>
      <c r="F37" s="579" t="str">
        <f t="shared" si="28"/>
        <v>0.002-268.477054640756i</v>
      </c>
      <c r="G37" s="270" t="str">
        <f t="shared" si="29"/>
        <v>0.002-268.477054640756i</v>
      </c>
      <c r="H37" s="271" t="str">
        <f t="shared" si="30"/>
        <v>1.99988890728854-0.0148980239586719i</v>
      </c>
      <c r="I37" s="271" t="str">
        <f t="shared" si="31"/>
        <v>2.00988890728854-0.0148980239586719i</v>
      </c>
      <c r="J37" s="270" t="str">
        <f t="shared" si="32"/>
        <v>2.00955314181207-0.0299403963858619i</v>
      </c>
      <c r="K37" s="271" t="str">
        <f t="shared" si="1"/>
        <v>0.999999997899643-0.0000719890431155886i</v>
      </c>
      <c r="L37" s="580"/>
      <c r="M37" s="580" t="str">
        <f t="shared" si="2"/>
        <v>23.0404096053421+0.208741535504545i</v>
      </c>
      <c r="N37" s="270" t="str">
        <f t="shared" si="3"/>
        <v>10.6136405373399+0.156556151628409i</v>
      </c>
      <c r="O37" s="581" t="str">
        <f t="shared" si="4"/>
        <v>10.6136281429112+0.0770954988554239i</v>
      </c>
      <c r="P37" s="582" t="str">
        <f t="shared" si="5"/>
        <v>21.3333620411117-0.00316869841013279i</v>
      </c>
      <c r="Q37" s="583" t="str">
        <f t="shared" si="6"/>
        <v>21.2272257596826-0.00393965339868682i</v>
      </c>
      <c r="R37" s="581" t="str">
        <f t="shared" si="33"/>
        <v>1.03163501075095+0.00927213586359775i</v>
      </c>
      <c r="S37" s="253" t="str">
        <f t="shared" si="34"/>
        <v>26.0408047535054+0.117072603430368i</v>
      </c>
      <c r="T37" s="253" t="str">
        <f t="shared" si="35"/>
        <v>11.9956701107695+0.0323865472035533i</v>
      </c>
      <c r="U37" s="253" t="str">
        <f t="shared" si="36"/>
        <v>23.9904900855768-0.113942284212806i</v>
      </c>
      <c r="V37" s="582" t="str">
        <f t="shared" si="7"/>
        <v>6000</v>
      </c>
      <c r="W37" s="584" t="str">
        <f t="shared" si="8"/>
        <v>1+32.0946493345838i</v>
      </c>
      <c r="X37" s="585">
        <f t="shared" si="9"/>
        <v>32.110224476168028</v>
      </c>
      <c r="Y37" s="586">
        <f t="shared" si="10"/>
        <v>1.5396485621240608</v>
      </c>
      <c r="Z37" s="273" t="str">
        <f t="shared" si="11"/>
        <v>1+0.00481347537888072i</v>
      </c>
      <c r="AA37" s="585">
        <f t="shared" si="12"/>
        <v>1.0000115847055089</v>
      </c>
      <c r="AB37" s="586">
        <f t="shared" si="13"/>
        <v>4.8134382040523564E-3</v>
      </c>
      <c r="AC37" s="584" t="str">
        <f t="shared" si="14"/>
        <v>1+0.000232709668734497i</v>
      </c>
      <c r="AD37" s="585">
        <f t="shared" si="15"/>
        <v>1.0000000270768945</v>
      </c>
      <c r="AE37" s="586">
        <f t="shared" si="16"/>
        <v>2.3270966453379363E-4</v>
      </c>
      <c r="AF37" s="580" t="str">
        <f t="shared" si="37"/>
        <v>6.67475342945628-186.739277940728i</v>
      </c>
      <c r="AG37" s="270">
        <f t="shared" si="38"/>
        <v>186.85853006798621</v>
      </c>
      <c r="AH37" s="581">
        <f t="shared" si="39"/>
        <v>-1.5350678335845422</v>
      </c>
      <c r="AI37" s="582" t="str">
        <f t="shared" si="17"/>
        <v>4000</v>
      </c>
      <c r="AJ37" s="584" t="str">
        <f t="shared" si="40"/>
        <v>1+2.52143249312899i</v>
      </c>
      <c r="AK37" s="585">
        <f t="shared" si="41"/>
        <v>2.7124936529707631</v>
      </c>
      <c r="AL37" s="586">
        <f t="shared" si="42"/>
        <v>1.193224459606478</v>
      </c>
      <c r="AM37" s="273" t="str">
        <f t="shared" si="43"/>
        <v>1+0.0000882470486128133i</v>
      </c>
      <c r="AN37" s="585">
        <f t="shared" si="44"/>
        <v>1.0000000038937706</v>
      </c>
      <c r="AO37" s="586">
        <f t="shared" si="45"/>
        <v>8.8247048383737443E-5</v>
      </c>
      <c r="AP37" s="584" t="str">
        <f t="shared" si="46"/>
        <v>1+6.38447112294825E-07i</v>
      </c>
      <c r="AQ37" s="585">
        <f t="shared" si="47"/>
        <v>1.0000000000002038</v>
      </c>
      <c r="AR37" s="586">
        <f t="shared" si="48"/>
        <v>6.3844711229473825E-7</v>
      </c>
      <c r="AS37" s="580" t="str">
        <f t="shared" si="49"/>
        <v>543.774020493476-1370.73904978564i</v>
      </c>
      <c r="AT37" s="270">
        <f t="shared" si="50"/>
        <v>1474.6578342011676</v>
      </c>
      <c r="AU37" s="581">
        <f t="shared" si="51"/>
        <v>-1.1931368510052072</v>
      </c>
      <c r="AV37" s="580" t="str">
        <f t="shared" si="52"/>
        <v>65.6732726958619-164.253224861954i</v>
      </c>
      <c r="AW37" s="270">
        <f t="shared" si="53"/>
        <v>44.954347181110272</v>
      </c>
      <c r="AX37" s="581">
        <f t="shared" si="54"/>
        <v>-68.207016131720223</v>
      </c>
      <c r="AY37" s="299">
        <f t="shared" si="21"/>
        <v>111.79298386827978</v>
      </c>
      <c r="BB37" s="270">
        <f t="shared" si="57"/>
        <v>23.373825247545259</v>
      </c>
      <c r="BC37" s="270">
        <f t="shared" si="58"/>
        <v>-68.361705944127706</v>
      </c>
      <c r="BD37" s="286"/>
      <c r="BE37" s="270">
        <f t="shared" si="55"/>
        <v>21.580521933565016</v>
      </c>
      <c r="BF37" s="581">
        <f t="shared" si="56"/>
        <v>0.1546898124074737</v>
      </c>
      <c r="BI37" s="286"/>
      <c r="BJ37" s="286"/>
      <c r="BL37" s="253">
        <f t="shared" si="24"/>
        <v>0</v>
      </c>
      <c r="BM37" s="253">
        <f t="shared" si="25"/>
        <v>0</v>
      </c>
      <c r="BN37" s="253">
        <f t="shared" si="26"/>
        <v>0</v>
      </c>
      <c r="BO37" s="253">
        <f t="shared" si="27"/>
        <v>0</v>
      </c>
    </row>
    <row r="38" spans="1:67" ht="13.6" thickBot="1" x14ac:dyDescent="0.25">
      <c r="D38" s="280">
        <v>10</v>
      </c>
      <c r="E38" s="273" t="str">
        <f t="shared" si="0"/>
        <v>0.000113097335529233i</v>
      </c>
      <c r="F38" s="579" t="str">
        <f t="shared" si="28"/>
        <v>0.002-244.853758602916i</v>
      </c>
      <c r="G38" s="270" t="str">
        <f t="shared" si="29"/>
        <v>0.002-244.853758602916i</v>
      </c>
      <c r="H38" s="271" t="str">
        <f t="shared" si="30"/>
        <v>1.99986643844031-0.016335189758079i</v>
      </c>
      <c r="I38" s="271" t="str">
        <f t="shared" si="31"/>
        <v>2.00986643844031-0.016335189758079i</v>
      </c>
      <c r="J38" s="270" t="str">
        <f t="shared" si="32"/>
        <v>2.00946278150382-0.0328275432976682i</v>
      </c>
      <c r="K38" s="271" t="str">
        <f t="shared" si="1"/>
        <v>0.999999997474811-0.0000789344887836631i</v>
      </c>
      <c r="L38" s="580"/>
      <c r="M38" s="580" t="str">
        <f t="shared" si="2"/>
        <v>23.0404208956337+0.228880814526057i</v>
      </c>
      <c r="N38" s="270" t="str">
        <f t="shared" si="3"/>
        <v>10.6136490050586+0.171660610894543i</v>
      </c>
      <c r="O38" s="581" t="str">
        <f t="shared" si="4"/>
        <v>10.6136341036432+0.084533633797406i</v>
      </c>
      <c r="P38" s="582" t="str">
        <f t="shared" si="5"/>
        <v>21.3333678477469-0.00347441361702094i</v>
      </c>
      <c r="Q38" s="583" t="str">
        <f t="shared" si="6"/>
        <v>21.2272315067106-0.00431974995499462i</v>
      </c>
      <c r="R38" s="581" t="str">
        <f t="shared" si="33"/>
        <v>1.0316356519285+0.0101667068753767i</v>
      </c>
      <c r="S38" s="253" t="str">
        <f t="shared" si="34"/>
        <v>26.0409173647999+0.128367105944143i</v>
      </c>
      <c r="T38" s="253" t="str">
        <f t="shared" si="35"/>
        <v>11.995702957683+0.0355110093534437i</v>
      </c>
      <c r="U38" s="253" t="str">
        <f t="shared" si="36"/>
        <v>23.9903838296457-0.12493480829421i</v>
      </c>
      <c r="V38" s="582" t="str">
        <f t="shared" si="7"/>
        <v>6000</v>
      </c>
      <c r="W38" s="584" t="str">
        <f t="shared" si="8"/>
        <v>1+35.1911155958638i</v>
      </c>
      <c r="X38" s="585">
        <f t="shared" si="9"/>
        <v>35.205320860367799</v>
      </c>
      <c r="Y38" s="586">
        <f t="shared" si="10"/>
        <v>1.5423877085380775</v>
      </c>
      <c r="Z38" s="273" t="str">
        <f t="shared" si="11"/>
        <v>1+0.00527787565803086i</v>
      </c>
      <c r="AA38" s="585">
        <f t="shared" si="12"/>
        <v>1.0000139278887379</v>
      </c>
      <c r="AB38" s="586">
        <f t="shared" si="13"/>
        <v>5.2778266520653533E-3</v>
      </c>
      <c r="AC38" s="584" t="str">
        <f t="shared" si="14"/>
        <v>1+0.000255161312633082i</v>
      </c>
      <c r="AD38" s="585">
        <f t="shared" si="15"/>
        <v>1.0000000325536473</v>
      </c>
      <c r="AE38" s="586">
        <f t="shared" si="16"/>
        <v>2.5516130709546126E-4</v>
      </c>
      <c r="AF38" s="580" t="str">
        <f t="shared" si="37"/>
        <v>5.6966708728467-170.335919087644i</v>
      </c>
      <c r="AG38" s="270">
        <f t="shared" si="38"/>
        <v>170.4311514672888</v>
      </c>
      <c r="AH38" s="581">
        <f t="shared" si="39"/>
        <v>-1.5373650431931076</v>
      </c>
      <c r="AI38" s="582" t="str">
        <f t="shared" si="17"/>
        <v>4000</v>
      </c>
      <c r="AJ38" s="584" t="str">
        <f t="shared" si="40"/>
        <v>1+2.76469829621275i</v>
      </c>
      <c r="AK38" s="585">
        <f t="shared" si="41"/>
        <v>2.9399926307869686</v>
      </c>
      <c r="AL38" s="586">
        <f t="shared" si="42"/>
        <v>1.2237338455933424</v>
      </c>
      <c r="AM38" s="273" t="str">
        <f t="shared" si="43"/>
        <v>1+0.0000967610537305657i</v>
      </c>
      <c r="AN38" s="585">
        <f t="shared" si="44"/>
        <v>1.0000000046813506</v>
      </c>
      <c r="AO38" s="586">
        <f t="shared" si="45"/>
        <v>9.6761053428584071E-5</v>
      </c>
      <c r="AP38" s="584" t="str">
        <f t="shared" si="46"/>
        <v>1+7.00043982297151E-07i</v>
      </c>
      <c r="AQ38" s="585">
        <f t="shared" si="47"/>
        <v>1.0000000000002451</v>
      </c>
      <c r="AR38" s="586">
        <f t="shared" si="48"/>
        <v>7.0004398229703662E-7</v>
      </c>
      <c r="AS38" s="580" t="str">
        <f t="shared" si="49"/>
        <v>462.895364985676-1279.38178286168i</v>
      </c>
      <c r="AT38" s="270">
        <f t="shared" si="50"/>
        <v>1360.5476343162532</v>
      </c>
      <c r="AU38" s="581">
        <f t="shared" si="51"/>
        <v>-1.223637784583895</v>
      </c>
      <c r="AV38" s="580" t="str">
        <f t="shared" si="52"/>
        <v>55.9818743731425-153.306459550439i</v>
      </c>
      <c r="AW38" s="270">
        <f t="shared" si="53"/>
        <v>44.254827150455746</v>
      </c>
      <c r="AX38" s="581">
        <f t="shared" si="54"/>
        <v>-69.939667888374757</v>
      </c>
      <c r="AY38" s="299">
        <f t="shared" si="21"/>
        <v>110.06033211162524</v>
      </c>
      <c r="BB38" s="270">
        <f t="shared" si="57"/>
        <v>22.674275030489738</v>
      </c>
      <c r="BC38" s="270">
        <f t="shared" si="58"/>
        <v>-70.109280709395378</v>
      </c>
      <c r="BD38" s="286"/>
      <c r="BE38" s="270">
        <f t="shared" si="55"/>
        <v>21.580552119966022</v>
      </c>
      <c r="BF38" s="581">
        <f t="shared" si="56"/>
        <v>0.16961282102058411</v>
      </c>
      <c r="BI38" s="286"/>
      <c r="BJ38" s="286"/>
      <c r="BL38" s="253">
        <f t="shared" si="24"/>
        <v>0</v>
      </c>
      <c r="BM38" s="253">
        <f t="shared" si="25"/>
        <v>0</v>
      </c>
      <c r="BN38" s="253">
        <f t="shared" si="26"/>
        <v>0</v>
      </c>
      <c r="BO38" s="253">
        <f t="shared" si="27"/>
        <v>0</v>
      </c>
    </row>
    <row r="39" spans="1:67" ht="13.6" thickBot="1" x14ac:dyDescent="0.25">
      <c r="D39" s="280">
        <v>10.965</v>
      </c>
      <c r="E39" s="273" t="str">
        <f t="shared" si="0"/>
        <v>0.000124011228407803i</v>
      </c>
      <c r="F39" s="579" t="str">
        <f t="shared" si="28"/>
        <v>0.002-223.304841407128i</v>
      </c>
      <c r="G39" s="270" t="str">
        <f t="shared" si="29"/>
        <v>0.002-223.304841407128i</v>
      </c>
      <c r="H39" s="271" t="str">
        <f t="shared" si="30"/>
        <v>1.99983941947236-0.0179112933359625i</v>
      </c>
      <c r="I39" s="271" t="str">
        <f t="shared" si="31"/>
        <v>2.00983941947236-0.0179112933359625i</v>
      </c>
      <c r="J39" s="270" t="str">
        <f t="shared" si="32"/>
        <v>2.00935413060574-0.0359934515824203i</v>
      </c>
      <c r="K39" s="271" t="str">
        <f t="shared" si="1"/>
        <v>0.999999996963935-0.0000865516669512866i</v>
      </c>
      <c r="L39" s="580"/>
      <c r="M39" s="580" t="str">
        <f t="shared" si="2"/>
        <v>23.0404344726469+0.250967894311416i</v>
      </c>
      <c r="N39" s="270" t="str">
        <f t="shared" si="3"/>
        <v>10.6136591878185+0.188225920733562i</v>
      </c>
      <c r="O39" s="581" t="str">
        <f t="shared" si="4"/>
        <v>10.6136412716539+0.0926911591037328i</v>
      </c>
      <c r="P39" s="582" t="str">
        <f t="shared" si="5"/>
        <v>21.3333748304491-0.00380969677600412i</v>
      </c>
      <c r="Q39" s="583" t="str">
        <f t="shared" si="6"/>
        <v>21.2272384177326-0.00473660836704187i</v>
      </c>
      <c r="R39" s="581" t="str">
        <f t="shared" si="33"/>
        <v>1.03163642296931+0.0111477976654896i</v>
      </c>
      <c r="S39" s="253" t="str">
        <f t="shared" si="34"/>
        <v>26.041052782846+0.140753781105601i</v>
      </c>
      <c r="T39" s="253" t="str">
        <f t="shared" si="35"/>
        <v>11.9957424569608+0.0389376026284042i</v>
      </c>
      <c r="U39" s="253" t="str">
        <f t="shared" si="36"/>
        <v>23.990256054091-0.136990309293252i</v>
      </c>
      <c r="V39" s="582" t="str">
        <f t="shared" si="7"/>
        <v>6000</v>
      </c>
      <c r="W39" s="584" t="str">
        <f t="shared" si="8"/>
        <v>1+38.5870582508647i</v>
      </c>
      <c r="X39" s="585">
        <f t="shared" si="9"/>
        <v>38.600013788282837</v>
      </c>
      <c r="Y39" s="586">
        <f t="shared" si="10"/>
        <v>1.5448867015022907</v>
      </c>
      <c r="Z39" s="273" t="str">
        <f t="shared" si="11"/>
        <v>1+0.00578719065903084i</v>
      </c>
      <c r="AA39" s="585">
        <f t="shared" si="12"/>
        <v>1.0000167456476536</v>
      </c>
      <c r="AB39" s="586">
        <f t="shared" si="13"/>
        <v>5.7871260529510282E-3</v>
      </c>
      <c r="AC39" s="584" t="str">
        <f t="shared" si="14"/>
        <v>1+0.000279784379302174i</v>
      </c>
      <c r="AD39" s="585">
        <f t="shared" si="15"/>
        <v>1.0000000391396486</v>
      </c>
      <c r="AE39" s="586">
        <f t="shared" si="16"/>
        <v>2.7978437200173268E-4</v>
      </c>
      <c r="AF39" s="580" t="str">
        <f t="shared" si="37"/>
        <v>4.88274288544865-155.366249053126i</v>
      </c>
      <c r="AG39" s="270">
        <f t="shared" si="38"/>
        <v>155.44295584851497</v>
      </c>
      <c r="AH39" s="581">
        <f t="shared" si="39"/>
        <v>-1.5393793598213414</v>
      </c>
      <c r="AI39" s="582" t="str">
        <f t="shared" si="17"/>
        <v>4000</v>
      </c>
      <c r="AJ39" s="584" t="str">
        <f t="shared" si="40"/>
        <v>1+3.03149168179728i</v>
      </c>
      <c r="AK39" s="585">
        <f t="shared" si="41"/>
        <v>3.1921688264886772</v>
      </c>
      <c r="AL39" s="586">
        <f t="shared" si="42"/>
        <v>1.2521654571259937</v>
      </c>
      <c r="AM39" s="273" t="str">
        <f t="shared" si="43"/>
        <v>1+0.000106098495415565i</v>
      </c>
      <c r="AN39" s="585">
        <f t="shared" si="44"/>
        <v>1.0000000056284453</v>
      </c>
      <c r="AO39" s="586">
        <f t="shared" si="45"/>
        <v>1.0609849501745196E-4</v>
      </c>
      <c r="AP39" s="584" t="str">
        <f t="shared" si="46"/>
        <v>1+7.67598226588826E-07i</v>
      </c>
      <c r="AQ39" s="585">
        <f t="shared" si="47"/>
        <v>1.0000000000002947</v>
      </c>
      <c r="AR39" s="586">
        <f t="shared" si="48"/>
        <v>7.6759822658867518E-7</v>
      </c>
      <c r="AS39" s="580" t="str">
        <f t="shared" si="49"/>
        <v>392.669292054133-1189.95236897058i</v>
      </c>
      <c r="AT39" s="270">
        <f t="shared" si="50"/>
        <v>1253.0665638109531</v>
      </c>
      <c r="AU39" s="581">
        <f t="shared" si="51"/>
        <v>-1.2520601262292042</v>
      </c>
      <c r="AV39" s="580" t="str">
        <f t="shared" si="52"/>
        <v>47.5669359072821-142.590725533631i</v>
      </c>
      <c r="AW39" s="270">
        <f t="shared" si="53"/>
        <v>43.540071252569234</v>
      </c>
      <c r="AX39" s="581">
        <f t="shared" si="54"/>
        <v>-71.551782240216767</v>
      </c>
      <c r="AY39" s="299">
        <f t="shared" si="21"/>
        <v>108.44821775978323</v>
      </c>
      <c r="BB39" s="270">
        <f t="shared" si="57"/>
        <v>21.95948283293907</v>
      </c>
      <c r="BC39" s="270">
        <f t="shared" si="58"/>
        <v>-71.737760929550504</v>
      </c>
      <c r="BD39" s="286"/>
      <c r="BE39" s="270">
        <f t="shared" si="55"/>
        <v>21.580588419630157</v>
      </c>
      <c r="BF39" s="581">
        <f t="shared" si="56"/>
        <v>0.18597868933374151</v>
      </c>
      <c r="BI39" s="286"/>
      <c r="BJ39" s="286"/>
      <c r="BL39" s="253">
        <f t="shared" si="24"/>
        <v>0</v>
      </c>
      <c r="BM39" s="253">
        <f t="shared" si="25"/>
        <v>0</v>
      </c>
      <c r="BN39" s="253">
        <f t="shared" si="26"/>
        <v>0</v>
      </c>
      <c r="BO39" s="253">
        <f t="shared" si="27"/>
        <v>0</v>
      </c>
    </row>
    <row r="40" spans="1:67" ht="13.6" thickBot="1" x14ac:dyDescent="0.25">
      <c r="D40" s="280">
        <v>12.023</v>
      </c>
      <c r="E40" s="273" t="str">
        <f t="shared" si="0"/>
        <v>0.000135976926506796i</v>
      </c>
      <c r="F40" s="579" t="str">
        <f t="shared" si="28"/>
        <v>0.002-203.654461118619i</v>
      </c>
      <c r="G40" s="270" t="str">
        <f t="shared" si="29"/>
        <v>0.002-203.654461118619i</v>
      </c>
      <c r="H40" s="271" t="str">
        <f t="shared" si="30"/>
        <v>1.99980693913749-0.0196392137455985i</v>
      </c>
      <c r="I40" s="271" t="str">
        <f t="shared" si="31"/>
        <v>2.00980693913749-0.0196392137455985i</v>
      </c>
      <c r="J40" s="270" t="str">
        <f t="shared" si="32"/>
        <v>2.00922352969808-0.039463847904488i</v>
      </c>
      <c r="K40" s="271" t="str">
        <f t="shared" si="1"/>
        <v>0.999999996349776-0.0000949029358645982i</v>
      </c>
      <c r="L40" s="580"/>
      <c r="M40" s="580" t="str">
        <f t="shared" si="2"/>
        <v>23.0404507944965+0.275183599334818i</v>
      </c>
      <c r="N40" s="270" t="str">
        <f t="shared" si="3"/>
        <v>10.6136714292057+0.206387699501114i</v>
      </c>
      <c r="O40" s="581" t="str">
        <f t="shared" si="4"/>
        <v>10.6136498888055+0.101634859496689i</v>
      </c>
      <c r="P40" s="582" t="str">
        <f t="shared" si="5"/>
        <v>21.3333832248268-0.00417729291248864i</v>
      </c>
      <c r="Q40" s="583" t="str">
        <f t="shared" si="6"/>
        <v>21.2272467259387-0.00519364150745646i</v>
      </c>
      <c r="R40" s="581" t="str">
        <f t="shared" si="33"/>
        <v>1.03163734988976+0.0122234403126044i</v>
      </c>
      <c r="S40" s="253" t="str">
        <f t="shared" si="34"/>
        <v>26.0412155760526+0.154333959142153i</v>
      </c>
      <c r="T40" s="253" t="str">
        <f t="shared" si="35"/>
        <v>11.9957899411346+0.0426943574321161i</v>
      </c>
      <c r="U40" s="253" t="str">
        <f t="shared" si="36"/>
        <v>23.9901024483279-0.150207410446481i</v>
      </c>
      <c r="V40" s="582" t="str">
        <f t="shared" si="7"/>
        <v>6000</v>
      </c>
      <c r="W40" s="584" t="str">
        <f t="shared" si="8"/>
        <v>1+42.3102782809071i</v>
      </c>
      <c r="X40" s="585">
        <f t="shared" si="9"/>
        <v>42.322094090531472</v>
      </c>
      <c r="Y40" s="586">
        <f t="shared" si="10"/>
        <v>1.547165807217266</v>
      </c>
      <c r="Z40" s="273" t="str">
        <f t="shared" si="11"/>
        <v>1+0.0063455899036505i</v>
      </c>
      <c r="AA40" s="585">
        <f t="shared" si="12"/>
        <v>1.0000201330529428</v>
      </c>
      <c r="AB40" s="586">
        <f t="shared" si="13"/>
        <v>6.3455047341191501E-3</v>
      </c>
      <c r="AC40" s="584" t="str">
        <f t="shared" si="14"/>
        <v>1+0.000306780446178754i</v>
      </c>
      <c r="AD40" s="585">
        <f t="shared" si="15"/>
        <v>1.00000004705712</v>
      </c>
      <c r="AE40" s="586">
        <f t="shared" si="16"/>
        <v>3.0678043655461813E-4</v>
      </c>
      <c r="AF40" s="580" t="str">
        <f t="shared" si="37"/>
        <v>4.20567381058139-141.710375949619i</v>
      </c>
      <c r="AG40" s="270">
        <f t="shared" si="38"/>
        <v>141.77277010760341</v>
      </c>
      <c r="AH40" s="581">
        <f t="shared" si="39"/>
        <v>-1.5411270829197017</v>
      </c>
      <c r="AI40" s="582" t="str">
        <f t="shared" si="17"/>
        <v>4000</v>
      </c>
      <c r="AJ40" s="584" t="str">
        <f t="shared" si="40"/>
        <v>1+3.32399676153659i</v>
      </c>
      <c r="AK40" s="585">
        <f t="shared" si="41"/>
        <v>3.4711603925352885</v>
      </c>
      <c r="AL40" s="586">
        <f t="shared" si="42"/>
        <v>1.2785666367639721</v>
      </c>
      <c r="AM40" s="273" t="str">
        <f t="shared" si="43"/>
        <v>1+0.000116335814900259i</v>
      </c>
      <c r="AN40" s="585">
        <f t="shared" si="44"/>
        <v>1.000000006767011</v>
      </c>
      <c r="AO40" s="586">
        <f t="shared" si="45"/>
        <v>1.1633581437542852E-4</v>
      </c>
      <c r="AP40" s="584" t="str">
        <f t="shared" si="46"/>
        <v>1+8.41662879915864E-07i</v>
      </c>
      <c r="AQ40" s="585">
        <f t="shared" si="47"/>
        <v>1.0000000000003542</v>
      </c>
      <c r="AR40" s="586">
        <f t="shared" si="48"/>
        <v>8.4166287991566522E-7</v>
      </c>
      <c r="AS40" s="580" t="str">
        <f t="shared" si="49"/>
        <v>332.106459433207-1103.45881903328i</v>
      </c>
      <c r="AT40" s="270">
        <f t="shared" si="50"/>
        <v>1152.352405169348</v>
      </c>
      <c r="AU40" s="581">
        <f t="shared" si="51"/>
        <v>-1.2784511426124761</v>
      </c>
      <c r="AV40" s="580" t="str">
        <f t="shared" si="52"/>
        <v>40.3099079068612-132.226811299311i</v>
      </c>
      <c r="AW40" s="270">
        <f t="shared" si="53"/>
        <v>42.812338309138902</v>
      </c>
      <c r="AX40" s="581">
        <f t="shared" si="54"/>
        <v>-73.045933561923263</v>
      </c>
      <c r="AY40" s="299">
        <f t="shared" si="21"/>
        <v>106.95406643807674</v>
      </c>
      <c r="BB40" s="270">
        <f t="shared" si="57"/>
        <v>21.231706252160972</v>
      </c>
      <c r="BC40" s="270">
        <f t="shared" si="58"/>
        <v>-73.249854785372591</v>
      </c>
      <c r="BD40" s="286"/>
      <c r="BE40" s="270">
        <f t="shared" si="55"/>
        <v>21.580632056977947</v>
      </c>
      <c r="BF40" s="581">
        <f t="shared" si="56"/>
        <v>0.2039212234492932</v>
      </c>
      <c r="BI40" s="286"/>
      <c r="BJ40" s="286"/>
      <c r="BL40" s="253">
        <f t="shared" si="24"/>
        <v>0</v>
      </c>
      <c r="BM40" s="253">
        <f t="shared" si="25"/>
        <v>0</v>
      </c>
      <c r="BN40" s="253">
        <f t="shared" si="26"/>
        <v>0</v>
      </c>
      <c r="BO40" s="253">
        <f t="shared" si="27"/>
        <v>0</v>
      </c>
    </row>
    <row r="41" spans="1:67" ht="13.6" thickBot="1" x14ac:dyDescent="0.25">
      <c r="D41" s="280">
        <v>13.183</v>
      </c>
      <c r="E41" s="273" t="str">
        <f t="shared" si="0"/>
        <v>0.000149096217428187i</v>
      </c>
      <c r="F41" s="579" t="str">
        <f t="shared" si="28"/>
        <v>0.002-185.734475159612i</v>
      </c>
      <c r="G41" s="270" t="str">
        <f t="shared" si="29"/>
        <v>0.002-185.734475159612i</v>
      </c>
      <c r="H41" s="271" t="str">
        <f t="shared" si="30"/>
        <v>1.99976789282602-0.0215336184518284i</v>
      </c>
      <c r="I41" s="271" t="str">
        <f t="shared" si="31"/>
        <v>2.00976789282602-0.0215336184518284i</v>
      </c>
      <c r="J41" s="270" t="str">
        <f t="shared" si="32"/>
        <v>2.00906654439721-0.0432680019725444i</v>
      </c>
      <c r="K41" s="271" t="str">
        <f t="shared" si="1"/>
        <v>0.999999995611437-0.000104059336563503i</v>
      </c>
      <c r="L41" s="580"/>
      <c r="M41" s="580" t="str">
        <f t="shared" si="2"/>
        <v>23.0404704165736+0.301733933796562i</v>
      </c>
      <c r="N41" s="270" t="str">
        <f t="shared" si="3"/>
        <v>10.6136861457635+0.226300450347421i</v>
      </c>
      <c r="O41" s="581" t="str">
        <f t="shared" si="4"/>
        <v>10.6136602483173+0.111440819434045i</v>
      </c>
      <c r="P41" s="582" t="str">
        <f t="shared" si="5"/>
        <v>21.3333933165176-0.00458032931583674i</v>
      </c>
      <c r="Q41" s="583" t="str">
        <f t="shared" si="6"/>
        <v>21.2272567140344-0.00569473751017785i</v>
      </c>
      <c r="R41" s="581" t="str">
        <f t="shared" si="33"/>
        <v>1.03163846423056+0.0134027853581111i</v>
      </c>
      <c r="S41" s="253" t="str">
        <f t="shared" si="34"/>
        <v>26.0414112826207+0.16922306444373i</v>
      </c>
      <c r="T41" s="253" t="str">
        <f t="shared" si="35"/>
        <v>11.9958470256085+0.0468132027245666i</v>
      </c>
      <c r="U41" s="253" t="str">
        <f t="shared" si="36"/>
        <v>23.9899177867104-0.16469845308701i</v>
      </c>
      <c r="V41" s="582" t="str">
        <f t="shared" si="7"/>
        <v>6000</v>
      </c>
      <c r="W41" s="584" t="str">
        <f t="shared" si="8"/>
        <v>1+46.3924476900273i</v>
      </c>
      <c r="X41" s="585">
        <f t="shared" si="9"/>
        <v>46.403224054713263</v>
      </c>
      <c r="Y41" s="586">
        <f t="shared" si="10"/>
        <v>1.5492444316712592</v>
      </c>
      <c r="Z41" s="273" t="str">
        <f t="shared" si="11"/>
        <v>1+0.00695782347998208i</v>
      </c>
      <c r="AA41" s="585">
        <f t="shared" si="12"/>
        <v>1.0000242053608395</v>
      </c>
      <c r="AB41" s="586">
        <f t="shared" si="13"/>
        <v>6.9577112041324593E-3</v>
      </c>
      <c r="AC41" s="584" t="str">
        <f t="shared" si="14"/>
        <v>1+0.000336379158444191i</v>
      </c>
      <c r="AD41" s="585">
        <f t="shared" si="15"/>
        <v>1.0000000565754674</v>
      </c>
      <c r="AE41" s="586">
        <f t="shared" si="16"/>
        <v>3.3637914575698611E-4</v>
      </c>
      <c r="AF41" s="580" t="str">
        <f t="shared" si="37"/>
        <v>3.64244267551627-129.25316985392i</v>
      </c>
      <c r="AG41" s="270">
        <f t="shared" si="38"/>
        <v>129.30448293052612</v>
      </c>
      <c r="AH41" s="581">
        <f t="shared" si="39"/>
        <v>-1.5426230996128838</v>
      </c>
      <c r="AI41" s="582" t="str">
        <f t="shared" si="17"/>
        <v>4000</v>
      </c>
      <c r="AJ41" s="584" t="str">
        <f t="shared" si="40"/>
        <v>1+3.64470176389727i</v>
      </c>
      <c r="AK41" s="585">
        <f t="shared" si="41"/>
        <v>3.7793982256115686</v>
      </c>
      <c r="AL41" s="586">
        <f t="shared" si="42"/>
        <v>1.3030151055000121</v>
      </c>
      <c r="AM41" s="273" t="str">
        <f t="shared" si="43"/>
        <v>1+0.000127560097133005i</v>
      </c>
      <c r="AN41" s="585">
        <f t="shared" si="44"/>
        <v>1.0000000081357892</v>
      </c>
      <c r="AO41" s="586">
        <f t="shared" si="45"/>
        <v>1.2756009644113696E-4</v>
      </c>
      <c r="AP41" s="584" t="str">
        <f t="shared" si="46"/>
        <v>1+9.22867981862334E-07i</v>
      </c>
      <c r="AQ41" s="585">
        <f t="shared" si="47"/>
        <v>1.0000000000004259</v>
      </c>
      <c r="AR41" s="586">
        <f t="shared" si="48"/>
        <v>9.22867981862072E-7</v>
      </c>
      <c r="AS41" s="580" t="str">
        <f t="shared" si="49"/>
        <v>280.165778460889-1020.61415802345i</v>
      </c>
      <c r="AT41" s="270">
        <f t="shared" si="50"/>
        <v>1058.3695587924435</v>
      </c>
      <c r="AU41" s="581">
        <f t="shared" si="51"/>
        <v>-1.3028884682715529</v>
      </c>
      <c r="AV41" s="580" t="str">
        <f t="shared" si="52"/>
        <v>34.0860403771046-122.30015854436i</v>
      </c>
      <c r="AW41" s="270">
        <f t="shared" si="53"/>
        <v>42.073431316785573</v>
      </c>
      <c r="AX41" s="581">
        <f t="shared" si="54"/>
        <v>-74.426417583127503</v>
      </c>
      <c r="AY41" s="299">
        <f t="shared" si="21"/>
        <v>105.5735824168725</v>
      </c>
      <c r="BB41" s="270">
        <f t="shared" si="57"/>
        <v>20.492746800486323</v>
      </c>
      <c r="BC41" s="270">
        <f t="shared" si="58"/>
        <v>-74.650010408224446</v>
      </c>
      <c r="BD41" s="286"/>
      <c r="BE41" s="270">
        <f t="shared" si="55"/>
        <v>21.580684516299225</v>
      </c>
      <c r="BF41" s="581">
        <f t="shared" si="56"/>
        <v>0.2235928250970019</v>
      </c>
      <c r="BI41" s="286"/>
      <c r="BJ41" s="286"/>
      <c r="BL41" s="253">
        <f t="shared" si="24"/>
        <v>0</v>
      </c>
      <c r="BM41" s="253">
        <f t="shared" si="25"/>
        <v>0</v>
      </c>
      <c r="BN41" s="253">
        <f t="shared" si="26"/>
        <v>0</v>
      </c>
      <c r="BO41" s="253">
        <f t="shared" si="27"/>
        <v>0</v>
      </c>
    </row>
    <row r="42" spans="1:67" ht="13.6" thickBot="1" x14ac:dyDescent="0.25">
      <c r="D42" s="280">
        <v>14.454000000000001</v>
      </c>
      <c r="E42" s="273" t="str">
        <f t="shared" si="0"/>
        <v>0.000163470888773953i</v>
      </c>
      <c r="F42" s="579" t="str">
        <f t="shared" si="28"/>
        <v>0.002-169.402074583448i</v>
      </c>
      <c r="G42" s="270" t="str">
        <f t="shared" si="29"/>
        <v>0.002-169.402074583448i</v>
      </c>
      <c r="H42" s="271" t="str">
        <f t="shared" si="30"/>
        <v>1.99972098602055-0.0236091643142363i</v>
      </c>
      <c r="I42" s="271" t="str">
        <f t="shared" si="31"/>
        <v>2.00972098602055-0.0236091643142363i</v>
      </c>
      <c r="J42" s="270" t="str">
        <f t="shared" si="32"/>
        <v>2.00887798043705-0.0474350983030755i</v>
      </c>
      <c r="K42" s="271" t="str">
        <f t="shared" si="1"/>
        <v>0.999999994724423-0.000114091910087907i</v>
      </c>
      <c r="L42" s="580"/>
      <c r="M42" s="580" t="str">
        <f t="shared" si="2"/>
        <v>23.0404939898614+0.330824905453614i</v>
      </c>
      <c r="N42" s="270" t="str">
        <f t="shared" si="3"/>
        <v>10.6137038257293+0.24811867909021i</v>
      </c>
      <c r="O42" s="581" t="str">
        <f t="shared" si="4"/>
        <v>10.6136726938763+0.122185124672321i</v>
      </c>
      <c r="P42" s="582" t="str">
        <f t="shared" si="5"/>
        <v>21.3334054403215-0.00502193337374834i</v>
      </c>
      <c r="Q42" s="583" t="str">
        <f t="shared" si="6"/>
        <v>21.2272687133828-0.00624378462047101i</v>
      </c>
      <c r="R42" s="581" t="str">
        <f t="shared" si="33"/>
        <v>1.0316398029611+0.0146949835000928i</v>
      </c>
      <c r="S42" s="253" t="str">
        <f t="shared" si="34"/>
        <v>26.0416463935342+0.185536488526742i</v>
      </c>
      <c r="T42" s="253" t="str">
        <f t="shared" si="35"/>
        <v>11.9959156036984+0.0513260578682813i</v>
      </c>
      <c r="U42" s="253" t="str">
        <f t="shared" si="36"/>
        <v>23.9896959445807-0.180575747538518i</v>
      </c>
      <c r="V42" s="582" t="str">
        <f t="shared" si="7"/>
        <v>6000</v>
      </c>
      <c r="W42" s="584" t="str">
        <f t="shared" si="8"/>
        <v>1+50.8652384822615i</v>
      </c>
      <c r="X42" s="585">
        <f t="shared" si="9"/>
        <v>50.875067428528638</v>
      </c>
      <c r="Y42" s="586">
        <f t="shared" si="10"/>
        <v>1.5511390672616872</v>
      </c>
      <c r="Z42" s="273" t="str">
        <f t="shared" si="11"/>
        <v>1+0.00762864147611779i</v>
      </c>
      <c r="AA42" s="585">
        <f t="shared" si="12"/>
        <v>1.0000290976620485</v>
      </c>
      <c r="AB42" s="586">
        <f t="shared" si="13"/>
        <v>7.6284934953775385E-3</v>
      </c>
      <c r="AC42" s="584" t="str">
        <f t="shared" si="14"/>
        <v>1+0.000368810161279856i</v>
      </c>
      <c r="AD42" s="585">
        <f t="shared" si="15"/>
        <v>1.0000000680104653</v>
      </c>
      <c r="AE42" s="586">
        <f t="shared" si="16"/>
        <v>3.6881014455788971E-4</v>
      </c>
      <c r="AF42" s="580" t="str">
        <f t="shared" si="37"/>
        <v>3.17418437028356-117.896663017046i</v>
      </c>
      <c r="AG42" s="270">
        <f t="shared" si="38"/>
        <v>117.93938526620975</v>
      </c>
      <c r="AH42" s="581">
        <f t="shared" si="39"/>
        <v>-1.5438793839108675</v>
      </c>
      <c r="AI42" s="582" t="str">
        <f t="shared" si="17"/>
        <v>4000</v>
      </c>
      <c r="AJ42" s="584" t="str">
        <f t="shared" si="40"/>
        <v>1+3.99609491734591i</v>
      </c>
      <c r="AK42" s="585">
        <f t="shared" si="41"/>
        <v>4.1193172478504021</v>
      </c>
      <c r="AL42" s="586">
        <f t="shared" si="42"/>
        <v>1.3255877416655046</v>
      </c>
      <c r="AM42" s="273" t="str">
        <f t="shared" si="43"/>
        <v>1+0.00013985842706216i</v>
      </c>
      <c r="AN42" s="585">
        <f t="shared" si="44"/>
        <v>1.0000000097801898</v>
      </c>
      <c r="AO42" s="586">
        <f t="shared" si="45"/>
        <v>1.3985842615026536E-4</v>
      </c>
      <c r="AP42" s="584" t="str">
        <f t="shared" si="46"/>
        <v>1+0.0000010118435720123i</v>
      </c>
      <c r="AQ42" s="585">
        <f t="shared" si="47"/>
        <v>1.000000000000512</v>
      </c>
      <c r="AR42" s="586">
        <f t="shared" si="48"/>
        <v>1.0118435720119547E-6</v>
      </c>
      <c r="AS42" s="580" t="str">
        <f t="shared" si="49"/>
        <v>235.857890398008-941.955130701448i</v>
      </c>
      <c r="AT42" s="270">
        <f t="shared" si="50"/>
        <v>971.03471241649277</v>
      </c>
      <c r="AU42" s="581">
        <f t="shared" si="51"/>
        <v>-1.3254488950829262</v>
      </c>
      <c r="AV42" s="580" t="str">
        <f t="shared" si="52"/>
        <v>28.7767819122856-112.87508594634i</v>
      </c>
      <c r="AW42" s="270">
        <f t="shared" si="53"/>
        <v>41.325442642861823</v>
      </c>
      <c r="AX42" s="581">
        <f t="shared" si="54"/>
        <v>-75.697481829982536</v>
      </c>
      <c r="AY42" s="299">
        <f t="shared" si="21"/>
        <v>104.30251817001746</v>
      </c>
      <c r="BB42" s="270">
        <f t="shared" si="57"/>
        <v>19.744695105708526</v>
      </c>
      <c r="BC42" s="270">
        <f t="shared" si="58"/>
        <v>-75.942627648529921</v>
      </c>
      <c r="BD42" s="286"/>
      <c r="BE42" s="270">
        <f t="shared" si="55"/>
        <v>21.5807475371533</v>
      </c>
      <c r="BF42" s="581">
        <f t="shared" si="56"/>
        <v>0.24514581854737624</v>
      </c>
      <c r="BI42" s="286"/>
      <c r="BJ42" s="286"/>
      <c r="BL42" s="253">
        <f t="shared" si="24"/>
        <v>0</v>
      </c>
      <c r="BM42" s="253">
        <f t="shared" si="25"/>
        <v>0</v>
      </c>
      <c r="BN42" s="253">
        <f t="shared" si="26"/>
        <v>0</v>
      </c>
      <c r="BO42" s="253">
        <f t="shared" si="27"/>
        <v>0</v>
      </c>
    </row>
    <row r="43" spans="1:67" ht="13.6" thickBot="1" x14ac:dyDescent="0.25">
      <c r="D43" s="280">
        <v>15.849</v>
      </c>
      <c r="E43" s="273" t="str">
        <f t="shared" si="0"/>
        <v>0.000179247967080281i</v>
      </c>
      <c r="F43" s="579" t="str">
        <f t="shared" si="28"/>
        <v>0.002-154.491613731413i</v>
      </c>
      <c r="G43" s="270" t="str">
        <f t="shared" si="29"/>
        <v>0.002-154.491613731413i</v>
      </c>
      <c r="H43" s="271" t="str">
        <f t="shared" si="30"/>
        <v>1.99966453955248-0.0258870259141508i</v>
      </c>
      <c r="I43" s="271" t="str">
        <f t="shared" si="31"/>
        <v>2.00966453955248-0.0258870259141508i</v>
      </c>
      <c r="J43" s="270" t="str">
        <f t="shared" si="32"/>
        <v>2.00865110258378-0.052007321080908i</v>
      </c>
      <c r="K43" s="271" t="str">
        <f t="shared" si="1"/>
        <v>0.999999993656958-0.000125103271273228i</v>
      </c>
      <c r="L43" s="580"/>
      <c r="M43" s="580" t="str">
        <f t="shared" si="2"/>
        <v>23.0405223588811+0.362754079873723i</v>
      </c>
      <c r="N43" s="270" t="str">
        <f t="shared" si="3"/>
        <v>10.6137251024941+0.272065559905292i</v>
      </c>
      <c r="O43" s="581" t="str">
        <f t="shared" si="4"/>
        <v>10.6136876713481+0.133977676424437i</v>
      </c>
      <c r="P43" s="582" t="str">
        <f t="shared" si="5"/>
        <v>21.333420030575-0.00550662239106559i</v>
      </c>
      <c r="Q43" s="583" t="str">
        <f t="shared" si="6"/>
        <v>21.2272831538616-0.00684639915530816i</v>
      </c>
      <c r="R43" s="581" t="str">
        <f t="shared" si="33"/>
        <v>1.03164141404178+0.0161132523610298i</v>
      </c>
      <c r="S43" s="253" t="str">
        <f t="shared" si="34"/>
        <v>26.0419293291291+0.203440919054424i</v>
      </c>
      <c r="T43" s="253" t="str">
        <f t="shared" si="35"/>
        <v>11.9959981314807+0.0562790318288838i</v>
      </c>
      <c r="U43" s="253" t="str">
        <f t="shared" si="36"/>
        <v>23.9894289768152-0.198001530227183i</v>
      </c>
      <c r="V43" s="582" t="str">
        <f t="shared" si="7"/>
        <v>6000</v>
      </c>
      <c r="W43" s="584" t="str">
        <f t="shared" si="8"/>
        <v>1+55.7743991078845i</v>
      </c>
      <c r="X43" s="585">
        <f t="shared" si="9"/>
        <v>55.783363073998927</v>
      </c>
      <c r="Y43" s="586">
        <f t="shared" si="10"/>
        <v>1.5528688747287396</v>
      </c>
      <c r="Z43" s="273" t="str">
        <f t="shared" si="11"/>
        <v>1+0.0083649051304131i</v>
      </c>
      <c r="AA43" s="585">
        <f t="shared" si="12"/>
        <v>1.0000349852069381</v>
      </c>
      <c r="AB43" s="586">
        <f t="shared" si="13"/>
        <v>8.3647100365662024E-3</v>
      </c>
      <c r="AC43" s="584" t="str">
        <f t="shared" si="14"/>
        <v>1+0.000404405164392171i</v>
      </c>
      <c r="AD43" s="585">
        <f t="shared" si="15"/>
        <v>1.0000000817717651</v>
      </c>
      <c r="AE43" s="586">
        <f t="shared" si="16"/>
        <v>4.044051423462228E-4</v>
      </c>
      <c r="AF43" s="580" t="str">
        <f t="shared" si="37"/>
        <v>2.78424614896559-107.5266639422i</v>
      </c>
      <c r="AG43" s="270">
        <f t="shared" si="38"/>
        <v>107.56270489884886</v>
      </c>
      <c r="AH43" s="581">
        <f t="shared" si="39"/>
        <v>-1.5449085698345195</v>
      </c>
      <c r="AI43" s="582" t="str">
        <f t="shared" si="17"/>
        <v>4000</v>
      </c>
      <c r="AJ43" s="584" t="str">
        <f t="shared" si="40"/>
        <v>1+4.38177032966759i</v>
      </c>
      <c r="AK43" s="585">
        <f t="shared" si="41"/>
        <v>4.4944311344101404</v>
      </c>
      <c r="AL43" s="586">
        <f t="shared" si="42"/>
        <v>1.3464208176322252</v>
      </c>
      <c r="AM43" s="273" t="str">
        <f t="shared" si="43"/>
        <v>1+0.000153356594057574i</v>
      </c>
      <c r="AN43" s="585">
        <f t="shared" si="44"/>
        <v>1.0000000117591223</v>
      </c>
      <c r="AO43" s="586">
        <f t="shared" si="45"/>
        <v>1.5335659285534804E-4</v>
      </c>
      <c r="AP43" s="584" t="str">
        <f t="shared" si="46"/>
        <v>1+1.10949970754275E-06i</v>
      </c>
      <c r="AQ43" s="585">
        <f t="shared" si="47"/>
        <v>1.0000000000006155</v>
      </c>
      <c r="AR43" s="586">
        <f t="shared" si="48"/>
        <v>1.1094997075422947E-6</v>
      </c>
      <c r="AS43" s="580" t="str">
        <f t="shared" si="49"/>
        <v>198.152774232412-867.650958495508i</v>
      </c>
      <c r="AT43" s="270">
        <f t="shared" si="50"/>
        <v>889.99028517966133</v>
      </c>
      <c r="AU43" s="581">
        <f t="shared" si="51"/>
        <v>-1.3462685705390784</v>
      </c>
      <c r="AV43" s="580" t="str">
        <f t="shared" si="52"/>
        <v>24.2587086534926-103.971874306015i</v>
      </c>
      <c r="AW43" s="270">
        <f t="shared" si="53"/>
        <v>40.568528697379087</v>
      </c>
      <c r="AX43" s="581">
        <f t="shared" si="54"/>
        <v>-76.866706929250753</v>
      </c>
      <c r="AY43" s="299">
        <f t="shared" si="21"/>
        <v>103.13329307074925</v>
      </c>
      <c r="BB43" s="270">
        <f t="shared" si="57"/>
        <v>18.98770532130516</v>
      </c>
      <c r="BC43" s="270">
        <f t="shared" si="58"/>
        <v>-77.135507182999561</v>
      </c>
      <c r="BD43" s="286"/>
      <c r="BE43" s="270">
        <f t="shared" si="55"/>
        <v>21.580823376073958</v>
      </c>
      <c r="BF43" s="581">
        <f t="shared" si="56"/>
        <v>0.2688002537487475</v>
      </c>
      <c r="BI43" s="286"/>
      <c r="BJ43" s="286"/>
      <c r="BL43" s="253">
        <f t="shared" si="24"/>
        <v>0</v>
      </c>
      <c r="BM43" s="253">
        <f t="shared" si="25"/>
        <v>0</v>
      </c>
      <c r="BN43" s="253">
        <f t="shared" si="26"/>
        <v>0</v>
      </c>
      <c r="BO43" s="253">
        <f t="shared" si="27"/>
        <v>0</v>
      </c>
    </row>
    <row r="44" spans="1:67" ht="13.6" thickBot="1" x14ac:dyDescent="0.25">
      <c r="D44" s="280">
        <v>17.378</v>
      </c>
      <c r="E44" s="273" t="str">
        <f t="shared" si="0"/>
        <v>0.0001965405496827i</v>
      </c>
      <c r="F44" s="579" t="str">
        <f t="shared" si="28"/>
        <v>0.002-140.898698701183i</v>
      </c>
      <c r="G44" s="270" t="str">
        <f t="shared" si="29"/>
        <v>0.002-140.898698701183i</v>
      </c>
      <c r="H44" s="271" t="str">
        <f t="shared" si="30"/>
        <v>1.99959670537907-0.0283834601812069i</v>
      </c>
      <c r="I44" s="271" t="str">
        <f t="shared" si="31"/>
        <v>2.00959670537907-0.0283834601812069i</v>
      </c>
      <c r="J44" s="270" t="str">
        <f t="shared" si="32"/>
        <v>2.0083785045584-0.0570168690818524i</v>
      </c>
      <c r="K44" s="271" t="str">
        <f t="shared" si="1"/>
        <v>0.999999992374059-0.00013717235460825i</v>
      </c>
      <c r="L44" s="580"/>
      <c r="M44" s="580" t="str">
        <f t="shared" si="2"/>
        <v>23.04055645336+0.397750364115836i</v>
      </c>
      <c r="N44" s="270" t="str">
        <f t="shared" si="3"/>
        <v>10.6137506733533+0.298312773086877i</v>
      </c>
      <c r="O44" s="581" t="str">
        <f t="shared" si="4"/>
        <v>10.613705671582+0.146903017907564i</v>
      </c>
      <c r="P44" s="582" t="str">
        <f t="shared" si="5"/>
        <v>21.3334375654335-0.00603787150711654i</v>
      </c>
      <c r="Q44" s="583" t="str">
        <f t="shared" si="6"/>
        <v>21.2273005087178-0.00750690168619006i</v>
      </c>
      <c r="R44" s="581" t="str">
        <f t="shared" si="33"/>
        <v>1.03164335027181+0.017667759804026i</v>
      </c>
      <c r="S44" s="253" t="str">
        <f t="shared" si="34"/>
        <v>26.0422693581982+0.223064480554939i</v>
      </c>
      <c r="T44" s="253" t="str">
        <f t="shared" si="35"/>
        <v>11.9960973125131+0.0617075647948174i</v>
      </c>
      <c r="U44" s="253" t="str">
        <f t="shared" si="36"/>
        <v>23.9891081377162-0.217100507138917i</v>
      </c>
      <c r="V44" s="582" t="str">
        <f t="shared" si="7"/>
        <v>6000</v>
      </c>
      <c r="W44" s="584" t="str">
        <f t="shared" si="8"/>
        <v>1+61.1551206824922i</v>
      </c>
      <c r="X44" s="585">
        <f t="shared" si="9"/>
        <v>61.163296066269886</v>
      </c>
      <c r="Y44" s="586">
        <f t="shared" si="10"/>
        <v>1.5544459235031229</v>
      </c>
      <c r="Z44" s="273" t="str">
        <f t="shared" si="11"/>
        <v>1+0.00917189231852603i</v>
      </c>
      <c r="AA44" s="585">
        <f t="shared" si="12"/>
        <v>1.0000420609197909</v>
      </c>
      <c r="AB44" s="586">
        <f t="shared" si="13"/>
        <v>9.1716351406132563E-3</v>
      </c>
      <c r="AC44" s="584" t="str">
        <f t="shared" si="14"/>
        <v>1+0.000443419329093769i</v>
      </c>
      <c r="AD44" s="585">
        <f t="shared" si="15"/>
        <v>1.0000000983103459</v>
      </c>
      <c r="AE44" s="586">
        <f t="shared" si="16"/>
        <v>4.4341930003196592E-4</v>
      </c>
      <c r="AF44" s="580" t="str">
        <f t="shared" si="37"/>
        <v>2.4600089533354-98.0713167818328i</v>
      </c>
      <c r="AG44" s="270">
        <f t="shared" si="38"/>
        <v>98.1021652124615</v>
      </c>
      <c r="AH44" s="581">
        <f t="shared" si="39"/>
        <v>-1.5457177076625415</v>
      </c>
      <c r="AI44" s="582" t="str">
        <f t="shared" si="17"/>
        <v>4000</v>
      </c>
      <c r="AJ44" s="584" t="str">
        <f t="shared" si="40"/>
        <v>1+4.80449269915852i</v>
      </c>
      <c r="AK44" s="585">
        <f t="shared" si="41"/>
        <v>4.9074586189052596</v>
      </c>
      <c r="AL44" s="586">
        <f t="shared" si="42"/>
        <v>1.3655876544340027</v>
      </c>
      <c r="AM44" s="273" t="str">
        <f t="shared" si="43"/>
        <v>1+0.000168151359172977i</v>
      </c>
      <c r="AN44" s="585">
        <f t="shared" si="44"/>
        <v>1.0000000141374397</v>
      </c>
      <c r="AO44" s="586">
        <f t="shared" si="45"/>
        <v>1.681513575881572E-4</v>
      </c>
      <c r="AP44" s="584" t="str">
        <f t="shared" si="46"/>
        <v>1+1.21653643243599E-06i</v>
      </c>
      <c r="AQ44" s="585">
        <f t="shared" si="47"/>
        <v>1.0000000000007399</v>
      </c>
      <c r="AR44" s="586">
        <f t="shared" si="48"/>
        <v>1.2165364324353899E-6</v>
      </c>
      <c r="AS44" s="580" t="str">
        <f t="shared" si="49"/>
        <v>166.224440463921-797.956371339656i</v>
      </c>
      <c r="AT44" s="270">
        <f t="shared" si="50"/>
        <v>815.08584527587936</v>
      </c>
      <c r="AU44" s="581">
        <f t="shared" si="51"/>
        <v>-1.3654207196128467</v>
      </c>
      <c r="AV44" s="580" t="str">
        <f t="shared" si="52"/>
        <v>20.4328450801112-95.6210497629994i</v>
      </c>
      <c r="AW44" s="270">
        <f t="shared" si="53"/>
        <v>39.804981542257806</v>
      </c>
      <c r="AX44" s="581">
        <f t="shared" si="54"/>
        <v>-77.938119321601619</v>
      </c>
      <c r="AY44" s="299">
        <f t="shared" si="21"/>
        <v>102.06188067839838</v>
      </c>
      <c r="BB44" s="270">
        <f t="shared" si="57"/>
        <v>18.224067025505203</v>
      </c>
      <c r="BC44" s="270">
        <f t="shared" si="58"/>
        <v>-78.232844493531871</v>
      </c>
      <c r="BD44" s="286"/>
      <c r="BE44" s="270">
        <f t="shared" si="55"/>
        <v>21.5809145167526</v>
      </c>
      <c r="BF44" s="581">
        <f t="shared" si="56"/>
        <v>0.29472517193022418</v>
      </c>
      <c r="BI44" s="286"/>
      <c r="BJ44" s="286"/>
      <c r="BL44" s="253">
        <f t="shared" si="24"/>
        <v>0</v>
      </c>
      <c r="BM44" s="253">
        <f t="shared" si="25"/>
        <v>0</v>
      </c>
      <c r="BN44" s="253">
        <f t="shared" si="26"/>
        <v>0</v>
      </c>
      <c r="BO44" s="253">
        <f t="shared" si="27"/>
        <v>0</v>
      </c>
    </row>
    <row r="45" spans="1:67" ht="13.6" thickBot="1" x14ac:dyDescent="0.25">
      <c r="D45" s="280">
        <v>19.055</v>
      </c>
      <c r="E45" s="273" t="str">
        <f t="shared" si="0"/>
        <v>0.000215506972850953i</v>
      </c>
      <c r="F45" s="579" t="str">
        <f t="shared" si="28"/>
        <v>0.002-128.498430124857i</v>
      </c>
      <c r="G45" s="270" t="str">
        <f t="shared" si="29"/>
        <v>0.002-128.498430124857i</v>
      </c>
      <c r="H45" s="271" t="str">
        <f t="shared" si="30"/>
        <v>1.99951513256692-0.0311212307536619i</v>
      </c>
      <c r="I45" s="271" t="str">
        <f t="shared" si="31"/>
        <v>2.00951513256692-0.0311212307536619i</v>
      </c>
      <c r="J45" s="270" t="str">
        <f t="shared" si="32"/>
        <v>2.00805077014944-0.062508852567479i</v>
      </c>
      <c r="K45" s="271" t="str">
        <f t="shared" si="1"/>
        <v>0.999999990831216-0.00015040966837727i</v>
      </c>
      <c r="L45" s="580"/>
      <c r="M45" s="580" t="str">
        <f t="shared" si="2"/>
        <v>23.0405974562598+0.436134226747179i</v>
      </c>
      <c r="N45" s="270" t="str">
        <f t="shared" si="3"/>
        <v>10.6137814255281+0.327100670060384i</v>
      </c>
      <c r="O45" s="581" t="str">
        <f t="shared" si="4"/>
        <v>10.6137273191223+0.161079509145443i</v>
      </c>
      <c r="P45" s="582" t="str">
        <f t="shared" si="5"/>
        <v>21.333458653289-0.00662054588063099i</v>
      </c>
      <c r="Q45" s="583" t="str">
        <f t="shared" si="6"/>
        <v>21.2273213800978-0.0082313409720855i</v>
      </c>
      <c r="R45" s="581" t="str">
        <f t="shared" si="33"/>
        <v>1.03164567883159+0.0193727407794804i</v>
      </c>
      <c r="S45" s="253" t="str">
        <f t="shared" si="34"/>
        <v>26.0426782731713+0.244586559542752i</v>
      </c>
      <c r="T45" s="253" t="str">
        <f t="shared" si="35"/>
        <v>11.9962165864569+0.0676612765844124i</v>
      </c>
      <c r="U45" s="253" t="str">
        <f t="shared" si="36"/>
        <v>23.9887223003725-0.238047278138702i</v>
      </c>
      <c r="V45" s="582" t="str">
        <f t="shared" si="7"/>
        <v>6000</v>
      </c>
      <c r="W45" s="584" t="str">
        <f t="shared" si="8"/>
        <v>1+67.0566707679184i</v>
      </c>
      <c r="X45" s="585">
        <f t="shared" si="9"/>
        <v>67.064126733127623</v>
      </c>
      <c r="Y45" s="586">
        <f t="shared" si="10"/>
        <v>1.5558846726923647</v>
      </c>
      <c r="Z45" s="273" t="str">
        <f t="shared" si="11"/>
        <v>1+0.0100569920663778i</v>
      </c>
      <c r="AA45" s="585">
        <f t="shared" si="12"/>
        <v>1.0000505702660356</v>
      </c>
      <c r="AB45" s="586">
        <f t="shared" si="13"/>
        <v>1.0056653021870135E-2</v>
      </c>
      <c r="AC45" s="584" t="str">
        <f t="shared" si="14"/>
        <v>1+0.000486209881222337i</v>
      </c>
      <c r="AD45" s="585">
        <f t="shared" si="15"/>
        <v>1.0000001182000173</v>
      </c>
      <c r="AE45" s="586">
        <f t="shared" si="16"/>
        <v>4.8620984290899589E-4</v>
      </c>
      <c r="AF45" s="580" t="str">
        <f t="shared" si="37"/>
        <v>2.19022192141761-89.4443107574424i</v>
      </c>
      <c r="AG45" s="270">
        <f t="shared" si="38"/>
        <v>89.471122709726757</v>
      </c>
      <c r="AH45" s="581">
        <f t="shared" si="39"/>
        <v>-1.5463142295134036</v>
      </c>
      <c r="AI45" s="582" t="str">
        <f t="shared" si="17"/>
        <v>4000</v>
      </c>
      <c r="AJ45" s="584" t="str">
        <f t="shared" si="40"/>
        <v>1+5.26813260343339i</v>
      </c>
      <c r="AK45" s="585">
        <f t="shared" si="41"/>
        <v>5.3622030106438405</v>
      </c>
      <c r="AL45" s="586">
        <f t="shared" si="42"/>
        <v>1.3832075520804459</v>
      </c>
      <c r="AM45" s="273" t="str">
        <f t="shared" si="43"/>
        <v>1+0.000184378187883593i</v>
      </c>
      <c r="AN45" s="585">
        <f t="shared" si="44"/>
        <v>1.0000000169976579</v>
      </c>
      <c r="AO45" s="586">
        <f t="shared" si="45"/>
        <v>1.8437818579426145E-4</v>
      </c>
      <c r="AP45" s="584" t="str">
        <f t="shared" si="46"/>
        <v>1+1.33393380826722E-06i</v>
      </c>
      <c r="AQ45" s="585">
        <f t="shared" si="47"/>
        <v>1.0000000000008897</v>
      </c>
      <c r="AR45" s="586">
        <f t="shared" si="48"/>
        <v>1.3339338082664288E-6</v>
      </c>
      <c r="AS45" s="580" t="str">
        <f t="shared" si="49"/>
        <v>139.248997142034-732.850004823052i</v>
      </c>
      <c r="AT45" s="270">
        <f t="shared" si="50"/>
        <v>745.96207194079886</v>
      </c>
      <c r="AU45" s="581">
        <f t="shared" si="51"/>
        <v>-1.3830245078284598</v>
      </c>
      <c r="AV45" s="580" t="str">
        <f t="shared" si="52"/>
        <v>17.2004669603398-87.8200561833359i</v>
      </c>
      <c r="AW45" s="270">
        <f t="shared" si="53"/>
        <v>39.0353590500062</v>
      </c>
      <c r="AX45" s="581">
        <f t="shared" si="54"/>
        <v>-78.918310002192896</v>
      </c>
      <c r="AY45" s="299">
        <f t="shared" si="21"/>
        <v>101.0816899978071</v>
      </c>
      <c r="BB45" s="270">
        <f t="shared" si="57"/>
        <v>17.454334931073561</v>
      </c>
      <c r="BC45" s="270">
        <f t="shared" si="58"/>
        <v>-79.24146726172863</v>
      </c>
      <c r="BD45" s="286"/>
      <c r="BE45" s="270">
        <f t="shared" si="55"/>
        <v>21.581024118932636</v>
      </c>
      <c r="BF45" s="581">
        <f t="shared" si="56"/>
        <v>0.32315725953573976</v>
      </c>
      <c r="BI45" s="286"/>
      <c r="BJ45" s="286"/>
      <c r="BL45" s="253">
        <f t="shared" si="24"/>
        <v>0</v>
      </c>
      <c r="BM45" s="253">
        <f t="shared" si="25"/>
        <v>0</v>
      </c>
      <c r="BN45" s="253">
        <f t="shared" si="26"/>
        <v>0</v>
      </c>
      <c r="BO45" s="253">
        <f t="shared" si="27"/>
        <v>0</v>
      </c>
    </row>
    <row r="46" spans="1:67" ht="13.6" thickBot="1" x14ac:dyDescent="0.25">
      <c r="D46" s="280">
        <v>20.893000000000001</v>
      </c>
      <c r="E46" s="273" t="str">
        <f t="shared" si="0"/>
        <v>0.000236294263121226i</v>
      </c>
      <c r="F46" s="579" t="str">
        <f t="shared" si="28"/>
        <v>0.002-117.194160055002i</v>
      </c>
      <c r="G46" s="270" t="str">
        <f t="shared" si="29"/>
        <v>0.002-117.194160055002i</v>
      </c>
      <c r="H46" s="271" t="str">
        <f t="shared" si="30"/>
        <v>1.99941711160969-0.0341214362180321i</v>
      </c>
      <c r="I46" s="271" t="str">
        <f t="shared" si="31"/>
        <v>2.00941711160969-0.0341214362180321i</v>
      </c>
      <c r="J46" s="270" t="str">
        <f t="shared" si="32"/>
        <v>2.00765705848117-0.0685248464168098i</v>
      </c>
      <c r="K46" s="271" t="str">
        <f t="shared" si="1"/>
        <v>0.99999998897711-0.000164917827415707i</v>
      </c>
      <c r="L46" s="580"/>
      <c r="M46" s="580" t="str">
        <f t="shared" si="2"/>
        <v>23.0406467314704+0.478203258838209i</v>
      </c>
      <c r="N46" s="270" t="str">
        <f t="shared" si="3"/>
        <v>10.6138183819361+0.358652444128657i</v>
      </c>
      <c r="O46" s="581" t="str">
        <f t="shared" si="4"/>
        <v>10.6137533340336+0.176617060663524i</v>
      </c>
      <c r="P46" s="582" t="str">
        <f t="shared" si="5"/>
        <v>21.3334839955821-0.00725916352166223i</v>
      </c>
      <c r="Q46" s="583" t="str">
        <f t="shared" si="6"/>
        <v>21.2273464622416-0.00902533412829648i</v>
      </c>
      <c r="R46" s="581" t="str">
        <f t="shared" si="33"/>
        <v>1.03164847717634+0.0212414140334246i</v>
      </c>
      <c r="S46" s="253" t="str">
        <f t="shared" si="34"/>
        <v>26.0431696680697+0.268173608024799i</v>
      </c>
      <c r="T46" s="253" t="str">
        <f t="shared" si="35"/>
        <v>11.9963599184684+0.0741862073631197i</v>
      </c>
      <c r="U46" s="253" t="str">
        <f t="shared" si="36"/>
        <v>23.9882586379572-0.26100385735933i</v>
      </c>
      <c r="V46" s="582" t="str">
        <f t="shared" si="7"/>
        <v>6000</v>
      </c>
      <c r="W46" s="584" t="str">
        <f t="shared" si="8"/>
        <v>1+73.5247978144382i</v>
      </c>
      <c r="X46" s="585">
        <f t="shared" si="9"/>
        <v>73.531597926700982</v>
      </c>
      <c r="Y46" s="586">
        <f t="shared" si="10"/>
        <v>1.5571963118952301</v>
      </c>
      <c r="Z46" s="273" t="str">
        <f t="shared" si="11"/>
        <v>1+0.0110270656123239i</v>
      </c>
      <c r="AA46" s="585">
        <f t="shared" si="12"/>
        <v>1.0000607962399179</v>
      </c>
      <c r="AB46" s="586">
        <f t="shared" si="13"/>
        <v>1.1026618695259104E-2</v>
      </c>
      <c r="AC46" s="584" t="str">
        <f t="shared" si="14"/>
        <v>1+0.000533108530484297i</v>
      </c>
      <c r="AD46" s="585">
        <f t="shared" si="15"/>
        <v>1.0000001421023426</v>
      </c>
      <c r="AE46" s="586">
        <f t="shared" si="16"/>
        <v>5.3310847998032135E-4</v>
      </c>
      <c r="AF46" s="580" t="str">
        <f t="shared" si="37"/>
        <v>1.96590222859151-81.5788392836934i</v>
      </c>
      <c r="AG46" s="270">
        <f t="shared" si="38"/>
        <v>81.602523186768309</v>
      </c>
      <c r="AH46" s="581">
        <f t="shared" si="39"/>
        <v>-1.5467028016799513</v>
      </c>
      <c r="AI46" s="582" t="str">
        <f t="shared" si="17"/>
        <v>4000</v>
      </c>
      <c r="AJ46" s="584" t="str">
        <f t="shared" si="40"/>
        <v>1+5.77628415027729i</v>
      </c>
      <c r="AK46" s="585">
        <f t="shared" si="41"/>
        <v>5.8622059486804661</v>
      </c>
      <c r="AL46" s="586">
        <f t="shared" si="42"/>
        <v>1.399373748268486</v>
      </c>
      <c r="AM46" s="273" t="str">
        <f t="shared" si="43"/>
        <v>1+0.000202162869559271i</v>
      </c>
      <c r="AN46" s="585">
        <f t="shared" si="44"/>
        <v>1.0000000204349127</v>
      </c>
      <c r="AO46" s="586">
        <f t="shared" si="45"/>
        <v>2.0216286680515064E-4</v>
      </c>
      <c r="AP46" s="584" t="str">
        <f t="shared" si="46"/>
        <v>1+1.46260189221344E-06i</v>
      </c>
      <c r="AQ46" s="585">
        <f t="shared" si="47"/>
        <v>1.0000000000010696</v>
      </c>
      <c r="AR46" s="586">
        <f t="shared" si="48"/>
        <v>1.4626018922123972E-6</v>
      </c>
      <c r="AS46" s="580" t="str">
        <f t="shared" si="49"/>
        <v>116.530882263629-672.312687166564i</v>
      </c>
      <c r="AT46" s="270">
        <f t="shared" si="50"/>
        <v>682.33701046203407</v>
      </c>
      <c r="AU46" s="581">
        <f t="shared" si="51"/>
        <v>-1.3991730480035733</v>
      </c>
      <c r="AV46" s="580" t="str">
        <f t="shared" si="52"/>
        <v>14.4782273367415-80.5665998880694i</v>
      </c>
      <c r="AW46" s="270">
        <f t="shared" si="53"/>
        <v>38.261134392118528</v>
      </c>
      <c r="AX46" s="581">
        <f t="shared" si="54"/>
        <v>-79.812394447702133</v>
      </c>
      <c r="AY46" s="299">
        <f t="shared" si="21"/>
        <v>100.18760555229787</v>
      </c>
      <c r="BB46" s="270">
        <f t="shared" si="57"/>
        <v>16.679978567427483</v>
      </c>
      <c r="BC46" s="270">
        <f t="shared" si="58"/>
        <v>-80.166710459060084</v>
      </c>
      <c r="BD46" s="286"/>
      <c r="BE46" s="270">
        <f t="shared" si="55"/>
        <v>21.581155824691045</v>
      </c>
      <c r="BF46" s="581">
        <f t="shared" si="56"/>
        <v>0.35431601135798579</v>
      </c>
      <c r="BI46" s="286"/>
      <c r="BJ46" s="286"/>
      <c r="BL46" s="253">
        <f t="shared" si="24"/>
        <v>0</v>
      </c>
      <c r="BM46" s="253">
        <f t="shared" si="25"/>
        <v>0</v>
      </c>
      <c r="BN46" s="253">
        <f t="shared" si="26"/>
        <v>0</v>
      </c>
      <c r="BO46" s="253">
        <f t="shared" si="27"/>
        <v>0</v>
      </c>
    </row>
    <row r="47" spans="1:67" ht="13.6" thickBot="1" x14ac:dyDescent="0.25">
      <c r="D47" s="280">
        <v>22.909000000000002</v>
      </c>
      <c r="E47" s="273" t="str">
        <f t="shared" si="0"/>
        <v>0.000259094685963919i</v>
      </c>
      <c r="F47" s="579" t="str">
        <f t="shared" si="28"/>
        <v>0.002-106.881033045055i</v>
      </c>
      <c r="G47" s="270" t="str">
        <f t="shared" si="29"/>
        <v>0.002-106.881033045055i</v>
      </c>
      <c r="H47" s="271" t="str">
        <f t="shared" si="30"/>
        <v>1.99929923818056-0.0374116619283788i</v>
      </c>
      <c r="I47" s="271" t="str">
        <f t="shared" si="31"/>
        <v>2.00929923818056-0.0374116619283788i</v>
      </c>
      <c r="J47" s="270" t="str">
        <f t="shared" si="32"/>
        <v>2.00718376085621-0.0751191776823051i</v>
      </c>
      <c r="K47" s="271" t="str">
        <f t="shared" si="1"/>
        <v>0.999999986747247-0.000180831020354494i</v>
      </c>
      <c r="L47" s="580"/>
      <c r="M47" s="580" t="str">
        <f t="shared" si="2"/>
        <v>23.0407059931629+0.524346619667717i</v>
      </c>
      <c r="N47" s="270" t="str">
        <f t="shared" si="3"/>
        <v>10.6138628282055+0.393259964750788i</v>
      </c>
      <c r="O47" s="581" t="str">
        <f t="shared" si="4"/>
        <v>10.6137846213101+0.193659402240413i</v>
      </c>
      <c r="P47" s="582" t="str">
        <f t="shared" si="5"/>
        <v>21.3335144738969-0.00795963264491506i</v>
      </c>
      <c r="Q47" s="583" t="str">
        <f t="shared" si="6"/>
        <v>21.2273766276837-0.0098962266673191i</v>
      </c>
      <c r="R47" s="581" t="str">
        <f t="shared" si="33"/>
        <v>1.03165184265366+0.0232910656943638i</v>
      </c>
      <c r="S47" s="253" t="str">
        <f t="shared" si="34"/>
        <v>26.0437606260812+0.294043278112636i</v>
      </c>
      <c r="T47" s="253" t="str">
        <f t="shared" si="35"/>
        <v>11.9965322914369+0.0813425588598441i</v>
      </c>
      <c r="U47" s="253" t="str">
        <f t="shared" si="36"/>
        <v>23.9877010313908-0.286182094439973i</v>
      </c>
      <c r="V47" s="582" t="str">
        <f t="shared" si="7"/>
        <v>6000</v>
      </c>
      <c r="W47" s="584" t="str">
        <f t="shared" si="8"/>
        <v>1+80.6193267185643i</v>
      </c>
      <c r="X47" s="585">
        <f t="shared" si="9"/>
        <v>80.625528466823795</v>
      </c>
      <c r="Y47" s="586">
        <f t="shared" si="10"/>
        <v>1.5583929892919959</v>
      </c>
      <c r="Z47" s="273" t="str">
        <f t="shared" si="11"/>
        <v>1+0.0120910853449829i</v>
      </c>
      <c r="AA47" s="585">
        <f t="shared" si="12"/>
        <v>1.0000730945010068</v>
      </c>
      <c r="AB47" s="586">
        <f t="shared" si="13"/>
        <v>1.2090496180561483E-2</v>
      </c>
      <c r="AC47" s="584" t="str">
        <f t="shared" si="14"/>
        <v>1+0.000584549051111126i</v>
      </c>
      <c r="AD47" s="585">
        <f t="shared" si="15"/>
        <v>1.000000170848782</v>
      </c>
      <c r="AE47" s="586">
        <f t="shared" si="16"/>
        <v>5.845489845314717E-4</v>
      </c>
      <c r="AF47" s="580" t="str">
        <f t="shared" si="37"/>
        <v>1.77924416487091-74.4022724671224i</v>
      </c>
      <c r="AG47" s="270">
        <f t="shared" si="38"/>
        <v>74.423543708091117</v>
      </c>
      <c r="AH47" s="581">
        <f t="shared" si="39"/>
        <v>-1.5468870420959657</v>
      </c>
      <c r="AI47" s="582" t="str">
        <f t="shared" si="17"/>
        <v>4000</v>
      </c>
      <c r="AJ47" s="584" t="str">
        <f t="shared" si="40"/>
        <v>1+6.33364732679378i</v>
      </c>
      <c r="AK47" s="585">
        <f t="shared" si="41"/>
        <v>6.41210483852237</v>
      </c>
      <c r="AL47" s="586">
        <f t="shared" si="42"/>
        <v>1.414202087122217</v>
      </c>
      <c r="AM47" s="273" t="str">
        <f t="shared" si="43"/>
        <v>1+0.000221669897991353i</v>
      </c>
      <c r="AN47" s="585">
        <f t="shared" si="44"/>
        <v>1.0000000245687715</v>
      </c>
      <c r="AO47" s="586">
        <f t="shared" si="45"/>
        <v>2.2166989436058168E-4</v>
      </c>
      <c r="AP47" s="584" t="str">
        <f t="shared" si="46"/>
        <v>1+1.60373075904454E-06i</v>
      </c>
      <c r="AQ47" s="585">
        <f t="shared" si="47"/>
        <v>1.0000000000012861</v>
      </c>
      <c r="AR47" s="586">
        <f t="shared" si="48"/>
        <v>1.6037307590431651E-6</v>
      </c>
      <c r="AS47" s="580" t="str">
        <f t="shared" si="49"/>
        <v>97.423487030952-616.165743531588i</v>
      </c>
      <c r="AT47" s="270">
        <f t="shared" si="50"/>
        <v>623.82013379427303</v>
      </c>
      <c r="AU47" s="581">
        <f t="shared" si="51"/>
        <v>-1.4139820209586149</v>
      </c>
      <c r="AV47" s="580" t="str">
        <f t="shared" si="52"/>
        <v>12.1886450637184-73.8392756342578i</v>
      </c>
      <c r="AW47" s="270">
        <f t="shared" si="53"/>
        <v>37.482501960520068</v>
      </c>
      <c r="AX47" s="581">
        <f t="shared" si="54"/>
        <v>-80.626713686625294</v>
      </c>
      <c r="AY47" s="299">
        <f t="shared" si="21"/>
        <v>99.373286313374706</v>
      </c>
      <c r="BB47" s="270">
        <f t="shared" si="57"/>
        <v>15.901187750027015</v>
      </c>
      <c r="BC47" s="270">
        <f t="shared" si="58"/>
        <v>-81.015202108307349</v>
      </c>
      <c r="BD47" s="286"/>
      <c r="BE47" s="270">
        <f t="shared" si="55"/>
        <v>21.581314210493048</v>
      </c>
      <c r="BF47" s="581">
        <f t="shared" si="56"/>
        <v>0.3884884216820334</v>
      </c>
      <c r="BI47" s="286"/>
      <c r="BJ47" s="286"/>
      <c r="BL47" s="253">
        <f t="shared" si="24"/>
        <v>0</v>
      </c>
      <c r="BM47" s="253">
        <f t="shared" si="25"/>
        <v>0</v>
      </c>
      <c r="BN47" s="253">
        <f t="shared" si="26"/>
        <v>0</v>
      </c>
      <c r="BO47" s="253">
        <f t="shared" si="27"/>
        <v>0</v>
      </c>
    </row>
    <row r="48" spans="1:67" ht="13.6" thickBot="1" x14ac:dyDescent="0.25">
      <c r="D48" s="280">
        <v>25.119</v>
      </c>
      <c r="E48" s="273" t="str">
        <f t="shared" si="0"/>
        <v>0.000284089197115879i</v>
      </c>
      <c r="F48" s="579" t="str">
        <f t="shared" si="28"/>
        <v>0.002-97.4775104912278i</v>
      </c>
      <c r="G48" s="270" t="str">
        <f t="shared" si="29"/>
        <v>0.002-97.4775104912278i</v>
      </c>
      <c r="H48" s="271" t="str">
        <f t="shared" si="30"/>
        <v>1.99915757343348-0.0410178044337074i</v>
      </c>
      <c r="I48" s="271" t="str">
        <f t="shared" si="31"/>
        <v>2.00915757343348-0.0410178044337074i</v>
      </c>
      <c r="J48" s="270" t="str">
        <f t="shared" si="32"/>
        <v>2.00661515569522-0.0823424487074328i</v>
      </c>
      <c r="K48" s="271" t="str">
        <f t="shared" si="1"/>
        <v>0.999999984066964-0.000198275542375683i</v>
      </c>
      <c r="L48" s="580"/>
      <c r="M48" s="580" t="str">
        <f t="shared" si="2"/>
        <v>23.0407772256868+0.574930599005007i</v>
      </c>
      <c r="N48" s="270" t="str">
        <f t="shared" si="3"/>
        <v>10.6139162525984+0.431197949253755i</v>
      </c>
      <c r="O48" s="581" t="str">
        <f t="shared" si="4"/>
        <v>10.6138222285845+0.212341817073042i</v>
      </c>
      <c r="P48" s="582" t="str">
        <f t="shared" si="5"/>
        <v>21.3335511087629-0.00872751453728804i</v>
      </c>
      <c r="Q48" s="583" t="str">
        <f t="shared" si="6"/>
        <v>21.2274128864771-0.0108509327080169i</v>
      </c>
      <c r="R48" s="581" t="str">
        <f t="shared" si="33"/>
        <v>1.03165588795443+0.0255379660383249i</v>
      </c>
      <c r="S48" s="253" t="str">
        <f t="shared" si="34"/>
        <v>26.044470918802+0.322400213663085i</v>
      </c>
      <c r="T48" s="253" t="str">
        <f t="shared" si="35"/>
        <v>11.9967394724155+0.0891869316200108i</v>
      </c>
      <c r="U48" s="253" t="str">
        <f t="shared" si="36"/>
        <v>23.9870308249071-0.313781183722239i</v>
      </c>
      <c r="V48" s="582" t="str">
        <f t="shared" si="7"/>
        <v>6000</v>
      </c>
      <c r="W48" s="584" t="str">
        <f t="shared" si="8"/>
        <v>1+88.3965632652503i</v>
      </c>
      <c r="X48" s="585">
        <f t="shared" si="9"/>
        <v>88.402219412791879</v>
      </c>
      <c r="Y48" s="586">
        <f t="shared" si="10"/>
        <v>1.5594841523437406</v>
      </c>
      <c r="Z48" s="273" t="str">
        <f t="shared" si="11"/>
        <v>1+0.0132574958654077i</v>
      </c>
      <c r="AA48" s="585">
        <f t="shared" si="12"/>
        <v>1.0000878767371502</v>
      </c>
      <c r="AB48" s="586">
        <f t="shared" si="13"/>
        <v>1.3256719229528357E-2</v>
      </c>
      <c r="AC48" s="584" t="str">
        <f t="shared" si="14"/>
        <v>1+0.000640939701203037i</v>
      </c>
      <c r="AD48" s="585">
        <f t="shared" si="15"/>
        <v>1.0000002054018291</v>
      </c>
      <c r="AE48" s="586">
        <f t="shared" si="16"/>
        <v>6.4093961343625826E-4</v>
      </c>
      <c r="AF48" s="580" t="str">
        <f t="shared" si="37"/>
        <v>1.62401590640825-67.858118926917i</v>
      </c>
      <c r="AG48" s="270">
        <f t="shared" si="38"/>
        <v>67.877549543010758</v>
      </c>
      <c r="AH48" s="581">
        <f t="shared" si="39"/>
        <v>-1.5468683727276484</v>
      </c>
      <c r="AI48" s="582" t="str">
        <f t="shared" si="17"/>
        <v>4000</v>
      </c>
      <c r="AJ48" s="584" t="str">
        <f t="shared" si="40"/>
        <v>1+6.9446456502568i</v>
      </c>
      <c r="AK48" s="585">
        <f t="shared" si="41"/>
        <v>7.0162741685050118</v>
      </c>
      <c r="AL48" s="586">
        <f t="shared" si="42"/>
        <v>1.4277835391605662</v>
      </c>
      <c r="AM48" s="273" t="str">
        <f t="shared" si="43"/>
        <v>1+0.000243054090865808i</v>
      </c>
      <c r="AN48" s="585">
        <f t="shared" si="44"/>
        <v>1.0000000295376452</v>
      </c>
      <c r="AO48" s="586">
        <f t="shared" si="45"/>
        <v>2.4305408607964445E-4</v>
      </c>
      <c r="AP48" s="584" t="str">
        <f t="shared" si="46"/>
        <v>1+1.75844047913221E-06i</v>
      </c>
      <c r="AQ48" s="585">
        <f t="shared" si="47"/>
        <v>1.0000000000015461</v>
      </c>
      <c r="AR48" s="586">
        <f t="shared" si="48"/>
        <v>1.7584404791303975E-6</v>
      </c>
      <c r="AS48" s="580" t="str">
        <f t="shared" si="49"/>
        <v>81.3905592899556-564.263410943416i</v>
      </c>
      <c r="AT48" s="270">
        <f t="shared" si="50"/>
        <v>570.10316616471289</v>
      </c>
      <c r="AU48" s="581">
        <f t="shared" si="51"/>
        <v>-1.4275422435149661</v>
      </c>
      <c r="AV48" s="580" t="str">
        <f t="shared" si="52"/>
        <v>10.2674625756327-67.6206216065878i</v>
      </c>
      <c r="AW48" s="270">
        <f t="shared" si="53"/>
        <v>36.700573630965401</v>
      </c>
      <c r="AX48" s="581">
        <f t="shared" si="54"/>
        <v>-81.366201510522004</v>
      </c>
      <c r="AY48" s="299">
        <f t="shared" si="21"/>
        <v>98.633798489477996</v>
      </c>
      <c r="BB48" s="270">
        <f t="shared" si="57"/>
        <v>15.119069058779193</v>
      </c>
      <c r="BC48" s="270">
        <f t="shared" si="58"/>
        <v>-81.792145630044374</v>
      </c>
      <c r="BD48" s="286"/>
      <c r="BE48" s="270">
        <f t="shared" si="55"/>
        <v>21.581504572186205</v>
      </c>
      <c r="BF48" s="581">
        <f t="shared" si="56"/>
        <v>0.42594411952235428</v>
      </c>
      <c r="BI48" s="286"/>
      <c r="BJ48" s="286"/>
      <c r="BL48" s="253">
        <f t="shared" si="24"/>
        <v>0</v>
      </c>
      <c r="BM48" s="253">
        <f t="shared" si="25"/>
        <v>0</v>
      </c>
      <c r="BN48" s="253">
        <f t="shared" si="26"/>
        <v>0</v>
      </c>
      <c r="BO48" s="253">
        <f t="shared" si="27"/>
        <v>0</v>
      </c>
    </row>
    <row r="49" spans="4:67" ht="13.6" thickBot="1" x14ac:dyDescent="0.25">
      <c r="D49" s="280">
        <v>27.542000000000002</v>
      </c>
      <c r="E49" s="273" t="str">
        <f t="shared" si="0"/>
        <v>0.000311492681514612i</v>
      </c>
      <c r="F49" s="579" t="str">
        <f t="shared" si="28"/>
        <v>0.002-88.9019528730362i</v>
      </c>
      <c r="G49" s="270" t="str">
        <f t="shared" si="29"/>
        <v>0.002-88.9019528730362i</v>
      </c>
      <c r="H49" s="271" t="str">
        <f t="shared" si="30"/>
        <v>1.99898729890068-0.0449705821210564i</v>
      </c>
      <c r="I49" s="271" t="str">
        <f t="shared" si="31"/>
        <v>2.00898729890068-0.0449705821210564i</v>
      </c>
      <c r="J49" s="270" t="str">
        <f t="shared" si="32"/>
        <v>2.00593203861309-0.0902544814150594i</v>
      </c>
      <c r="K49" s="271" t="str">
        <f t="shared" si="1"/>
        <v>0.999999980844884-0.000217401369007965i</v>
      </c>
      <c r="L49" s="580"/>
      <c r="M49" s="580" t="str">
        <f t="shared" si="2"/>
        <v>23.0408628577572+0.630390177315712i</v>
      </c>
      <c r="N49" s="270" t="str">
        <f t="shared" si="3"/>
        <v>10.6139804766512+0.472792632986784i</v>
      </c>
      <c r="O49" s="581" t="str">
        <f t="shared" si="4"/>
        <v>10.6138674380894+0.232824958107633i</v>
      </c>
      <c r="P49" s="582" t="str">
        <f t="shared" si="5"/>
        <v>21.3335951492356-0.00956941354128893i</v>
      </c>
      <c r="Q49" s="583" t="str">
        <f t="shared" si="6"/>
        <v>21.2274564748546-0.0118976631223646i</v>
      </c>
      <c r="R49" s="581" t="str">
        <f t="shared" si="33"/>
        <v>1.03166075100483+0.0280014365187699i</v>
      </c>
      <c r="S49" s="253" t="str">
        <f t="shared" si="34"/>
        <v>26.0453247404838+0.353487324364799i</v>
      </c>
      <c r="T49" s="253" t="str">
        <f t="shared" si="35"/>
        <v>11.9969885184729+0.0977865081681388i</v>
      </c>
      <c r="U49" s="253" t="str">
        <f t="shared" si="36"/>
        <v>23.9862251896805-0.344037569543398i</v>
      </c>
      <c r="V49" s="582" t="str">
        <f t="shared" si="7"/>
        <v>6000</v>
      </c>
      <c r="W49" s="584" t="str">
        <f t="shared" si="8"/>
        <v>1+96.923370574128i</v>
      </c>
      <c r="X49" s="585">
        <f t="shared" si="9"/>
        <v>96.928529151379081</v>
      </c>
      <c r="Y49" s="586">
        <f t="shared" si="10"/>
        <v>1.5604792638076246</v>
      </c>
      <c r="Z49" s="273" t="str">
        <f t="shared" si="11"/>
        <v>1+0.0145363251373486i</v>
      </c>
      <c r="AA49" s="585">
        <f t="shared" si="12"/>
        <v>1.0001056467936269</v>
      </c>
      <c r="AB49" s="586">
        <f t="shared" si="13"/>
        <v>1.4535301402295099E-2</v>
      </c>
      <c r="AC49" s="584" t="str">
        <f t="shared" si="14"/>
        <v>1+0.000702765287254032i</v>
      </c>
      <c r="AD49" s="585">
        <f t="shared" si="15"/>
        <v>1.000000246939494</v>
      </c>
      <c r="AE49" s="586">
        <f t="shared" si="16"/>
        <v>7.0276517156038238E-4</v>
      </c>
      <c r="AF49" s="580" t="str">
        <f t="shared" si="37"/>
        <v>1.49490334334383-61.889752611462i</v>
      </c>
      <c r="AG49" s="270">
        <f t="shared" si="38"/>
        <v>61.907804147085599</v>
      </c>
      <c r="AH49" s="581">
        <f t="shared" si="39"/>
        <v>-1.5466467275768898</v>
      </c>
      <c r="AI49" s="582" t="str">
        <f t="shared" si="17"/>
        <v>4000</v>
      </c>
      <c r="AJ49" s="584" t="str">
        <f t="shared" si="40"/>
        <v>1+7.61453204742915i</v>
      </c>
      <c r="AK49" s="585">
        <f t="shared" si="41"/>
        <v>7.6799152535249728</v>
      </c>
      <c r="AL49" s="586">
        <f t="shared" si="42"/>
        <v>1.4402157786508889</v>
      </c>
      <c r="AM49" s="273" t="str">
        <f t="shared" si="43"/>
        <v>1+0.000266499294184724i</v>
      </c>
      <c r="AN49" s="585">
        <f t="shared" si="44"/>
        <v>1.0000000355109362</v>
      </c>
      <c r="AO49" s="586">
        <f t="shared" si="45"/>
        <v>2.6649928787563122E-4</v>
      </c>
      <c r="AP49" s="584" t="str">
        <f t="shared" si="46"/>
        <v>1+1.92806113604281E-06i</v>
      </c>
      <c r="AQ49" s="585">
        <f t="shared" si="47"/>
        <v>1.0000000000018587</v>
      </c>
      <c r="AR49" s="586">
        <f t="shared" si="48"/>
        <v>1.9280611360404211E-6</v>
      </c>
      <c r="AS49" s="580" t="str">
        <f t="shared" si="49"/>
        <v>67.9549628949828-516.386957813516i</v>
      </c>
      <c r="AT49" s="270">
        <f t="shared" si="50"/>
        <v>520.83909912943022</v>
      </c>
      <c r="AU49" s="581">
        <f t="shared" si="51"/>
        <v>-1.4399512074241498</v>
      </c>
      <c r="AV49" s="580" t="str">
        <f t="shared" si="52"/>
        <v>8.65750587092512-61.8844332544371i</v>
      </c>
      <c r="AW49" s="270">
        <f t="shared" si="53"/>
        <v>35.915804970307569</v>
      </c>
      <c r="AX49" s="581">
        <f t="shared" si="54"/>
        <v>-82.036123847700324</v>
      </c>
      <c r="AY49" s="299">
        <f t="shared" si="21"/>
        <v>97.963876152299676</v>
      </c>
      <c r="BB49" s="270">
        <f t="shared" si="57"/>
        <v>14.334071581048436</v>
      </c>
      <c r="BC49" s="270">
        <f t="shared" si="58"/>
        <v>-82.503126890170762</v>
      </c>
      <c r="BD49" s="286"/>
      <c r="BE49" s="270">
        <f t="shared" si="55"/>
        <v>21.581733389259128</v>
      </c>
      <c r="BF49" s="581">
        <f t="shared" si="56"/>
        <v>0.467003042470442</v>
      </c>
      <c r="BI49" s="286"/>
      <c r="BJ49" s="286"/>
      <c r="BL49" s="253">
        <f t="shared" si="24"/>
        <v>0</v>
      </c>
      <c r="BM49" s="253">
        <f t="shared" si="25"/>
        <v>0</v>
      </c>
      <c r="BN49" s="253">
        <f t="shared" si="26"/>
        <v>0</v>
      </c>
      <c r="BO49" s="253">
        <f t="shared" si="27"/>
        <v>0</v>
      </c>
    </row>
    <row r="50" spans="4:67" ht="13.6" thickBot="1" x14ac:dyDescent="0.25">
      <c r="D50" s="280">
        <v>30.2</v>
      </c>
      <c r="E50" s="273" t="str">
        <f t="shared" si="0"/>
        <v>0.000341553953298282i</v>
      </c>
      <c r="F50" s="579" t="str">
        <f t="shared" si="28"/>
        <v>0.002-81.0774035108995i</v>
      </c>
      <c r="G50" s="270" t="str">
        <f t="shared" si="29"/>
        <v>0.002-81.0774035108995i</v>
      </c>
      <c r="H50" s="271" t="str">
        <f t="shared" si="30"/>
        <v>1.99878252603107-0.0493055086128503i</v>
      </c>
      <c r="I50" s="271" t="str">
        <f t="shared" si="31"/>
        <v>2.00878252603107-0.0493055086128503i</v>
      </c>
      <c r="J50" s="270" t="str">
        <f t="shared" si="32"/>
        <v>2.00511098184012-0.0989241061802346i</v>
      </c>
      <c r="K50" s="271" t="str">
        <f t="shared" si="1"/>
        <v>0.999999976969268-0.000238382156126663i</v>
      </c>
      <c r="L50" s="580"/>
      <c r="M50" s="580" t="str">
        <f t="shared" si="2"/>
        <v>23.0409658592644+0.691229034720416i</v>
      </c>
      <c r="N50" s="270" t="str">
        <f t="shared" si="3"/>
        <v>10.6140577277816+0.518421776040312i</v>
      </c>
      <c r="O50" s="581" t="str">
        <f t="shared" si="4"/>
        <v>10.6139218177663+0.255294851311019i</v>
      </c>
      <c r="P50" s="582" t="str">
        <f t="shared" si="5"/>
        <v>21.333648122679-0.0104929773027178i</v>
      </c>
      <c r="Q50" s="583" t="str">
        <f t="shared" si="6"/>
        <v>21.2275089045013-0.0130459258158312i</v>
      </c>
      <c r="R50" s="581" t="str">
        <f t="shared" si="33"/>
        <v>1.03166660046399+0.030703850161278i</v>
      </c>
      <c r="S50" s="253" t="str">
        <f t="shared" si="34"/>
        <v>26.0463516691745+0.387585703071743i</v>
      </c>
      <c r="T50" s="253" t="str">
        <f t="shared" si="35"/>
        <v>11.9972880570418+0.107219028873252i</v>
      </c>
      <c r="U50" s="253" t="str">
        <f t="shared" si="36"/>
        <v>23.9852562169279-0.377224868257443i</v>
      </c>
      <c r="V50" s="582" t="str">
        <f t="shared" si="7"/>
        <v>6000</v>
      </c>
      <c r="W50" s="584" t="str">
        <f t="shared" si="8"/>
        <v>1+106.277169099508i</v>
      </c>
      <c r="X50" s="585">
        <f t="shared" si="9"/>
        <v>106.28187367470248</v>
      </c>
      <c r="Y50" s="586">
        <f t="shared" si="10"/>
        <v>1.5613872458226579</v>
      </c>
      <c r="Z50" s="273" t="str">
        <f t="shared" si="11"/>
        <v>1+0.0159391844872531i</v>
      </c>
      <c r="AA50" s="585">
        <f t="shared" si="12"/>
        <v>1.0001270207339259</v>
      </c>
      <c r="AB50" s="586">
        <f t="shared" si="13"/>
        <v>1.5937834869312027E-2</v>
      </c>
      <c r="AC50" s="584" t="str">
        <f t="shared" si="14"/>
        <v>1+0.000770587164151904i</v>
      </c>
      <c r="AD50" s="585">
        <f t="shared" si="15"/>
        <v>1.0000002969022448</v>
      </c>
      <c r="AE50" s="586">
        <f t="shared" si="16"/>
        <v>7.7058701162589652E-4</v>
      </c>
      <c r="AF50" s="580" t="str">
        <f t="shared" si="37"/>
        <v>1.38745967566522-56.4437566738766i</v>
      </c>
      <c r="AG50" s="270">
        <f t="shared" si="38"/>
        <v>56.46080686468612</v>
      </c>
      <c r="AH50" s="581">
        <f t="shared" si="39"/>
        <v>-1.5462199979649718</v>
      </c>
      <c r="AI50" s="582" t="str">
        <f t="shared" si="17"/>
        <v>4000</v>
      </c>
      <c r="AJ50" s="584" t="str">
        <f t="shared" si="40"/>
        <v>1+8.34938885456248i</v>
      </c>
      <c r="AK50" s="585">
        <f t="shared" si="41"/>
        <v>8.4090602474171963</v>
      </c>
      <c r="AL50" s="586">
        <f t="shared" si="42"/>
        <v>1.4515948862005184</v>
      </c>
      <c r="AM50" s="273" t="str">
        <f t="shared" si="43"/>
        <v>1+0.000292218382266308i</v>
      </c>
      <c r="AN50" s="585">
        <f t="shared" si="44"/>
        <v>1.0000000426957905</v>
      </c>
      <c r="AO50" s="586">
        <f t="shared" si="45"/>
        <v>2.9221837394864501E-4</v>
      </c>
      <c r="AP50" s="584" t="str">
        <f t="shared" si="46"/>
        <v>1+2.11413282653739E-06i</v>
      </c>
      <c r="AQ50" s="585">
        <f t="shared" si="47"/>
        <v>1.0000000000022347</v>
      </c>
      <c r="AR50" s="586">
        <f t="shared" si="48"/>
        <v>2.1141328265342403E-6</v>
      </c>
      <c r="AS50" s="580" t="str">
        <f t="shared" si="49"/>
        <v>56.704266464978-472.285553431076i</v>
      </c>
      <c r="AT50" s="270">
        <f t="shared" si="50"/>
        <v>475.67743042426235</v>
      </c>
      <c r="AU50" s="581">
        <f t="shared" si="51"/>
        <v>-1.4513047819593965</v>
      </c>
      <c r="AV50" s="580" t="str">
        <f t="shared" si="52"/>
        <v>7.30935417233343-56.6006605330868i</v>
      </c>
      <c r="AW50" s="270">
        <f t="shared" si="53"/>
        <v>35.128259498387003</v>
      </c>
      <c r="AX50" s="581">
        <f t="shared" si="54"/>
        <v>-82.641603551257958</v>
      </c>
      <c r="AY50" s="299">
        <f t="shared" si="21"/>
        <v>97.358396448742042</v>
      </c>
      <c r="BB50" s="270">
        <f t="shared" si="57"/>
        <v>13.546250916784279</v>
      </c>
      <c r="BC50" s="270">
        <f t="shared" si="58"/>
        <v>-83.153638793427604</v>
      </c>
      <c r="BD50" s="286"/>
      <c r="BE50" s="270">
        <f t="shared" si="55"/>
        <v>21.582008581602725</v>
      </c>
      <c r="BF50" s="581">
        <f t="shared" si="56"/>
        <v>0.51203524216963148</v>
      </c>
      <c r="BI50" s="286"/>
      <c r="BJ50" s="286"/>
      <c r="BL50" s="253">
        <f t="shared" si="24"/>
        <v>0</v>
      </c>
      <c r="BM50" s="253">
        <f t="shared" si="25"/>
        <v>0</v>
      </c>
      <c r="BN50" s="253">
        <f t="shared" si="26"/>
        <v>0</v>
      </c>
      <c r="BO50" s="253">
        <f t="shared" si="27"/>
        <v>0</v>
      </c>
    </row>
    <row r="51" spans="4:67" ht="13.6" thickBot="1" x14ac:dyDescent="0.25">
      <c r="D51" s="280">
        <v>33.113</v>
      </c>
      <c r="E51" s="273" t="str">
        <f t="shared" si="0"/>
        <v>0.000374499207137948i</v>
      </c>
      <c r="F51" s="579" t="str">
        <f t="shared" si="28"/>
        <v>0.002-73.9449033922981i</v>
      </c>
      <c r="G51" s="270" t="str">
        <f t="shared" si="29"/>
        <v>0.002-73.9449033922981i</v>
      </c>
      <c r="H51" s="271" t="str">
        <f t="shared" si="30"/>
        <v>1.99853651139311-0.0540547071189401i</v>
      </c>
      <c r="I51" s="271" t="str">
        <f t="shared" si="31"/>
        <v>2.00853651139311-0.0540547071189401i</v>
      </c>
      <c r="J51" s="270" t="str">
        <f t="shared" si="32"/>
        <v>2.00412522971147-0.108412607103835i</v>
      </c>
      <c r="K51" s="271" t="str">
        <f t="shared" si="1"/>
        <v>0.999999972312043-0.000261375772709344i</v>
      </c>
      <c r="L51" s="580"/>
      <c r="M51" s="580" t="str">
        <f t="shared" si="2"/>
        <v>23.0410896344506+0.757905116700032i</v>
      </c>
      <c r="N51" s="270" t="str">
        <f t="shared" si="3"/>
        <v>10.6141505591712+0.568428837525024i</v>
      </c>
      <c r="O51" s="581" t="str">
        <f t="shared" si="4"/>
        <v>10.6139871648656+0.279920631085828i</v>
      </c>
      <c r="P51" s="582" t="str">
        <f t="shared" si="5"/>
        <v>21.3337117798202-0.0115051597329152i</v>
      </c>
      <c r="Q51" s="583" t="str">
        <f t="shared" si="6"/>
        <v>21.2275719081716-0.0143043660437711i</v>
      </c>
      <c r="R51" s="581" t="str">
        <f t="shared" si="33"/>
        <v>1.03167362965738+0.0336655484794071i</v>
      </c>
      <c r="S51" s="253" t="str">
        <f t="shared" si="34"/>
        <v>26.0475855959522+0.4249503859653i</v>
      </c>
      <c r="T51" s="253" t="str">
        <f t="shared" si="35"/>
        <v>11.9976479735919+0.117555020011751i</v>
      </c>
      <c r="U51" s="253" t="str">
        <f t="shared" si="36"/>
        <v>23.984091928242-0.413591347737623i</v>
      </c>
      <c r="V51" s="582" t="str">
        <f t="shared" si="7"/>
        <v>6000</v>
      </c>
      <c r="W51" s="584" t="str">
        <f t="shared" si="8"/>
        <v>1+116.528341072584i</v>
      </c>
      <c r="X51" s="585">
        <f t="shared" si="9"/>
        <v>116.53263179525496</v>
      </c>
      <c r="Y51" s="586">
        <f t="shared" si="10"/>
        <v>1.5622149341147258</v>
      </c>
      <c r="Z51" s="273" t="str">
        <f t="shared" si="11"/>
        <v>1+0.0174766296664376i</v>
      </c>
      <c r="AA51" s="585">
        <f t="shared" si="12"/>
        <v>1.0001527046328964</v>
      </c>
      <c r="AB51" s="586">
        <f t="shared" si="13"/>
        <v>1.7474850681719719E-2</v>
      </c>
      <c r="AC51" s="584" t="str">
        <f t="shared" si="14"/>
        <v>1+0.000844915654521924i</v>
      </c>
      <c r="AD51" s="585">
        <f t="shared" si="15"/>
        <v>1.000000356941168</v>
      </c>
      <c r="AE51" s="586">
        <f t="shared" si="16"/>
        <v>8.4491545346518718E-4</v>
      </c>
      <c r="AF51" s="580" t="str">
        <f t="shared" si="37"/>
        <v>1.298134126955-51.4792034707629i</v>
      </c>
      <c r="AG51" s="270">
        <f t="shared" si="38"/>
        <v>51.495568180143145</v>
      </c>
      <c r="AH51" s="581">
        <f t="shared" si="39"/>
        <v>-1.5455849988864714</v>
      </c>
      <c r="AI51" s="582" t="str">
        <f t="shared" si="17"/>
        <v>4000</v>
      </c>
      <c r="AJ51" s="584" t="str">
        <f t="shared" si="40"/>
        <v>1+9.15474546824929i</v>
      </c>
      <c r="AK51" s="585">
        <f t="shared" si="41"/>
        <v>9.2091999972001322</v>
      </c>
      <c r="AL51" s="586">
        <f t="shared" si="42"/>
        <v>1.4619947269588141</v>
      </c>
      <c r="AM51" s="273" t="str">
        <f t="shared" si="43"/>
        <v>1+0.000320404877218023i</v>
      </c>
      <c r="AN51" s="585">
        <f t="shared" si="44"/>
        <v>1.0000000513296414</v>
      </c>
      <c r="AO51" s="586">
        <f t="shared" si="45"/>
        <v>3.2040486625384507E-4</v>
      </c>
      <c r="AP51" s="584" t="str">
        <f t="shared" si="46"/>
        <v>1+2.31805563858056E-06i</v>
      </c>
      <c r="AQ51" s="585">
        <f t="shared" si="47"/>
        <v>1.0000000000026867</v>
      </c>
      <c r="AR51" s="586">
        <f t="shared" si="48"/>
        <v>2.3180556385764081E-6</v>
      </c>
      <c r="AS51" s="580" t="str">
        <f t="shared" si="49"/>
        <v>47.301946406164-431.764932214888i</v>
      </c>
      <c r="AT51" s="270">
        <f t="shared" si="50"/>
        <v>434.34828286104505</v>
      </c>
      <c r="AU51" s="581">
        <f t="shared" si="51"/>
        <v>-1.4616766401481982</v>
      </c>
      <c r="AV51" s="580" t="str">
        <f t="shared" si="52"/>
        <v>6.1826823669376-51.7460308279962i</v>
      </c>
      <c r="AW51" s="270">
        <f t="shared" si="53"/>
        <v>34.339101399958103</v>
      </c>
      <c r="AX51" s="581">
        <f t="shared" si="54"/>
        <v>-83.186526547660208</v>
      </c>
      <c r="AY51" s="299">
        <f t="shared" si="21"/>
        <v>96.813473452339792</v>
      </c>
      <c r="BB51" s="270">
        <f t="shared" si="57"/>
        <v>12.75676217852279</v>
      </c>
      <c r="BC51" s="270">
        <f t="shared" si="58"/>
        <v>-83.747902493354133</v>
      </c>
      <c r="BD51" s="286"/>
      <c r="BE51" s="270">
        <f t="shared" si="55"/>
        <v>21.582339221435323</v>
      </c>
      <c r="BF51" s="581">
        <f t="shared" si="56"/>
        <v>0.56137594569391136</v>
      </c>
      <c r="BI51" s="286"/>
      <c r="BJ51" s="286"/>
      <c r="BL51" s="253">
        <f t="shared" si="24"/>
        <v>0</v>
      </c>
      <c r="BM51" s="253">
        <f t="shared" si="25"/>
        <v>0</v>
      </c>
      <c r="BN51" s="253">
        <f t="shared" si="26"/>
        <v>0</v>
      </c>
      <c r="BO51" s="253">
        <f t="shared" si="27"/>
        <v>0</v>
      </c>
    </row>
    <row r="52" spans="4:67" ht="13.6" thickBot="1" x14ac:dyDescent="0.25">
      <c r="D52" s="280">
        <v>36.308</v>
      </c>
      <c r="E52" s="273" t="str">
        <f t="shared" si="0"/>
        <v>0.000410633805839538i</v>
      </c>
      <c r="F52" s="579" t="str">
        <f t="shared" si="28"/>
        <v>0.002-67.4379637002631i</v>
      </c>
      <c r="G52" s="270" t="str">
        <f t="shared" si="29"/>
        <v>0.002-67.4379637002631i</v>
      </c>
      <c r="H52" s="271" t="str">
        <f t="shared" si="30"/>
        <v>1.99824072959536-0.0592615452983243i</v>
      </c>
      <c r="I52" s="271" t="str">
        <f t="shared" si="31"/>
        <v>2.00824072959536-0.0592615452983243i</v>
      </c>
      <c r="J52" s="270" t="str">
        <f t="shared" si="32"/>
        <v>2.002941029864-0.118802736960336i</v>
      </c>
      <c r="K52" s="271" t="str">
        <f t="shared" si="1"/>
        <v>0.999999966711172-0.000286595341875724i</v>
      </c>
      <c r="L52" s="580"/>
      <c r="M52" s="580" t="str">
        <f t="shared" si="2"/>
        <v>23.0412384903536+0.831036649332616i</v>
      </c>
      <c r="N52" s="270" t="str">
        <f t="shared" si="3"/>
        <v>10.6142622010985+0.623277486999462i</v>
      </c>
      <c r="O52" s="581" t="str">
        <f t="shared" si="4"/>
        <v>10.6140657532582+0.306930628758291i</v>
      </c>
      <c r="P52" s="582" t="str">
        <f t="shared" si="5"/>
        <v>21.3337883356561-0.0126153486033938i</v>
      </c>
      <c r="Q52" s="583" t="str">
        <f t="shared" si="6"/>
        <v>21.2276476781234-0.0156846548909735i</v>
      </c>
      <c r="R52" s="581" t="str">
        <f t="shared" si="33"/>
        <v>1.03168208317939+0.0369139925023096i</v>
      </c>
      <c r="S52" s="253" t="str">
        <f t="shared" si="34"/>
        <v>26.0490693868001+0.465925675311389i</v>
      </c>
      <c r="T52" s="253" t="str">
        <f t="shared" si="35"/>
        <v>11.9980807714218+0.128889693055525i</v>
      </c>
      <c r="U52" s="253" t="str">
        <f t="shared" si="36"/>
        <v>23.9826918768134-0.453472172839971i</v>
      </c>
      <c r="V52" s="582" t="str">
        <f t="shared" si="7"/>
        <v>6000</v>
      </c>
      <c r="W52" s="584" t="str">
        <f t="shared" si="8"/>
        <v>1+127.771902505462i</v>
      </c>
      <c r="X52" s="585">
        <f t="shared" si="9"/>
        <v>127.77581566894921</v>
      </c>
      <c r="Y52" s="586">
        <f t="shared" si="10"/>
        <v>1.5629700397678954</v>
      </c>
      <c r="Z52" s="273" t="str">
        <f t="shared" si="11"/>
        <v>1+0.0191629109391784i</v>
      </c>
      <c r="AA52" s="585">
        <f t="shared" si="12"/>
        <v>1.0001835917248707</v>
      </c>
      <c r="AB52" s="586">
        <f t="shared" si="13"/>
        <v>1.9160565805977504E-2</v>
      </c>
      <c r="AC52" s="584" t="str">
        <f t="shared" si="14"/>
        <v>1+0.00092643969390819i</v>
      </c>
      <c r="AD52" s="585">
        <f t="shared" si="15"/>
        <v>1.0000004291451612</v>
      </c>
      <c r="AE52" s="586">
        <f t="shared" si="16"/>
        <v>9.2643942885686174E-4</v>
      </c>
      <c r="AF52" s="580" t="str">
        <f t="shared" si="37"/>
        <v>1.22381076501149-46.9498961936218i</v>
      </c>
      <c r="AG52" s="270">
        <f t="shared" si="38"/>
        <v>46.965843603414825</v>
      </c>
      <c r="AH52" s="581">
        <f t="shared" si="39"/>
        <v>-1.5447359133907748</v>
      </c>
      <c r="AI52" s="582" t="str">
        <f t="shared" si="17"/>
        <v>4000</v>
      </c>
      <c r="AJ52" s="584" t="str">
        <f t="shared" si="40"/>
        <v>1+10.0380665738892i</v>
      </c>
      <c r="AK52" s="585">
        <f t="shared" si="41"/>
        <v>10.087753988962639</v>
      </c>
      <c r="AL52" s="586">
        <f t="shared" si="42"/>
        <v>1.4715031558792677</v>
      </c>
      <c r="AM52" s="273" t="str">
        <f t="shared" si="43"/>
        <v>1+0.000351320033884937i</v>
      </c>
      <c r="AN52" s="585">
        <f t="shared" si="44"/>
        <v>1.0000000617128812</v>
      </c>
      <c r="AO52" s="586">
        <f t="shared" si="45"/>
        <v>3.5132001943095659E-4</v>
      </c>
      <c r="AP52" s="584" t="str">
        <f t="shared" si="46"/>
        <v>1+2.54171969092449E-06i</v>
      </c>
      <c r="AQ52" s="585">
        <f t="shared" si="47"/>
        <v>1.0000000000032303</v>
      </c>
      <c r="AR52" s="586">
        <f t="shared" si="48"/>
        <v>2.5417196909190166E-6</v>
      </c>
      <c r="AS52" s="580" t="str">
        <f t="shared" si="49"/>
        <v>39.4447186085436-394.55359812412i</v>
      </c>
      <c r="AT52" s="270">
        <f t="shared" si="50"/>
        <v>396.52040000332488</v>
      </c>
      <c r="AU52" s="581">
        <f t="shared" si="51"/>
        <v>-1.4711543775795277</v>
      </c>
      <c r="AV52" s="580" t="str">
        <f t="shared" si="52"/>
        <v>5.24114812027481-47.2880192127417i</v>
      </c>
      <c r="AW52" s="270">
        <f t="shared" si="53"/>
        <v>33.548047493198695</v>
      </c>
      <c r="AX52" s="581">
        <f t="shared" si="54"/>
        <v>-83.675459128975305</v>
      </c>
      <c r="AY52" s="299">
        <f t="shared" si="21"/>
        <v>96.324540871024695</v>
      </c>
      <c r="BB52" s="270">
        <f t="shared" si="57"/>
        <v>11.965310712314231</v>
      </c>
      <c r="BC52" s="270">
        <f t="shared" si="58"/>
        <v>-84.290936847502479</v>
      </c>
      <c r="BD52" s="286"/>
      <c r="BE52" s="270">
        <f t="shared" si="55"/>
        <v>21.58273678088446</v>
      </c>
      <c r="BF52" s="581">
        <f t="shared" si="56"/>
        <v>0.61547771852718591</v>
      </c>
      <c r="BI52" s="286"/>
      <c r="BJ52" s="286"/>
      <c r="BL52" s="253">
        <f t="shared" si="24"/>
        <v>0</v>
      </c>
      <c r="BM52" s="253">
        <f t="shared" si="25"/>
        <v>0</v>
      </c>
      <c r="BN52" s="253">
        <f t="shared" si="26"/>
        <v>0</v>
      </c>
      <c r="BO52" s="253">
        <f t="shared" si="27"/>
        <v>0</v>
      </c>
    </row>
    <row r="53" spans="4:67" ht="13.6" thickBot="1" x14ac:dyDescent="0.25">
      <c r="D53" s="280">
        <v>39.811</v>
      </c>
      <c r="E53" s="273" t="str">
        <f t="shared" si="0"/>
        <v>0.000450251802475428i</v>
      </c>
      <c r="F53" s="579" t="str">
        <f t="shared" si="28"/>
        <v>0.002-61.5040462693517i</v>
      </c>
      <c r="G53" s="270" t="str">
        <f t="shared" si="29"/>
        <v>0.002-61.5040462693517i</v>
      </c>
      <c r="H53" s="271" t="str">
        <f t="shared" si="30"/>
        <v>1.99788526099646-0.0649675352255003i</v>
      </c>
      <c r="I53" s="271" t="str">
        <f t="shared" si="31"/>
        <v>2.00788526099646-0.0649675352255003i</v>
      </c>
      <c r="J53" s="270" t="str">
        <f t="shared" si="32"/>
        <v>2.00151925636579-0.130172209683295i</v>
      </c>
      <c r="K53" s="271" t="str">
        <f t="shared" si="1"/>
        <v>0.999999959977886-0.000314246093296641i</v>
      </c>
      <c r="L53" s="580"/>
      <c r="M53" s="580" t="str">
        <f t="shared" si="2"/>
        <v>23.0414174448037+0.911219045487059i</v>
      </c>
      <c r="N53" s="270" t="str">
        <f t="shared" si="3"/>
        <v>10.6143964169361+0.683414284115294i</v>
      </c>
      <c r="O53" s="581" t="str">
        <f t="shared" si="4"/>
        <v>10.6141602320627+0.336544749631491i</v>
      </c>
      <c r="P53" s="582" t="str">
        <f t="shared" si="5"/>
        <v>21.3338803706901-0.013832586314819i</v>
      </c>
      <c r="Q53" s="583" t="str">
        <f t="shared" si="6"/>
        <v>21.2277387683695-0.0171980338111383i</v>
      </c>
      <c r="R53" s="581" t="str">
        <f t="shared" si="33"/>
        <v>1.03169224598915+0.0404756298870341i</v>
      </c>
      <c r="S53" s="253" t="str">
        <f t="shared" si="34"/>
        <v>26.0508529561698+0.510842346097046i</v>
      </c>
      <c r="T53" s="253" t="str">
        <f t="shared" si="35"/>
        <v>11.9986010097454+0.141314506763204i</v>
      </c>
      <c r="U53" s="253" t="str">
        <f t="shared" si="36"/>
        <v>23.9810089651437-0.497189363530173i</v>
      </c>
      <c r="V53" s="582" t="str">
        <f t="shared" si="7"/>
        <v>6000</v>
      </c>
      <c r="W53" s="584" t="str">
        <f t="shared" si="8"/>
        <v>1+140.099350298694i</v>
      </c>
      <c r="X53" s="585">
        <f t="shared" si="9"/>
        <v>140.10291914916039</v>
      </c>
      <c r="Y53" s="586">
        <f t="shared" si="10"/>
        <v>1.5636586561654731</v>
      </c>
      <c r="Z53" s="273" t="str">
        <f t="shared" si="11"/>
        <v>1+0.0210117507821867i</v>
      </c>
      <c r="AA53" s="585">
        <f t="shared" si="12"/>
        <v>1.0002207224762607</v>
      </c>
      <c r="AB53" s="586">
        <f t="shared" si="13"/>
        <v>2.100865941604136E-2</v>
      </c>
      <c r="AC53" s="584" t="str">
        <f t="shared" si="14"/>
        <v>1+0.00101582270172356i</v>
      </c>
      <c r="AD53" s="585">
        <f t="shared" si="15"/>
        <v>1.0000005159477476</v>
      </c>
      <c r="AE53" s="586">
        <f t="shared" si="16"/>
        <v>1.0158223523160628E-3</v>
      </c>
      <c r="AF53" s="580" t="str">
        <f t="shared" si="37"/>
        <v>1.1619951929198-42.8193268976447i</v>
      </c>
      <c r="AG53" s="270">
        <f t="shared" si="38"/>
        <v>42.835090624343586</v>
      </c>
      <c r="AH53" s="581">
        <f t="shared" si="39"/>
        <v>-1.5436658191017478</v>
      </c>
      <c r="AI53" s="582" t="str">
        <f t="shared" si="17"/>
        <v>4000</v>
      </c>
      <c r="AJ53" s="584" t="str">
        <f t="shared" si="40"/>
        <v>1+11.0065403870526i</v>
      </c>
      <c r="AK53" s="585">
        <f t="shared" si="41"/>
        <v>11.05187456008346</v>
      </c>
      <c r="AL53" s="586">
        <f t="shared" si="42"/>
        <v>1.4801900177286371</v>
      </c>
      <c r="AM53" s="273" t="str">
        <f t="shared" si="43"/>
        <v>1+0.000385215431006756i</v>
      </c>
      <c r="AN53" s="585">
        <f t="shared" si="44"/>
        <v>1.0000000741954613</v>
      </c>
      <c r="AO53" s="586">
        <f t="shared" si="45"/>
        <v>3.8521541195259926E-4</v>
      </c>
      <c r="AP53" s="584" t="str">
        <f t="shared" si="46"/>
        <v>1+2.78694509792319E-06i</v>
      </c>
      <c r="AQ53" s="585">
        <f t="shared" si="47"/>
        <v>1.0000000000038836</v>
      </c>
      <c r="AR53" s="586">
        <f t="shared" si="48"/>
        <v>2.7869450979159746E-6</v>
      </c>
      <c r="AS53" s="580" t="str">
        <f t="shared" si="49"/>
        <v>32.8860944631587-360.43241293756i</v>
      </c>
      <c r="AT53" s="270">
        <f t="shared" si="50"/>
        <v>361.92957810191689</v>
      </c>
      <c r="AU53" s="581">
        <f t="shared" si="51"/>
        <v>-1.4798075892617824</v>
      </c>
      <c r="AV53" s="580" t="str">
        <f t="shared" si="52"/>
        <v>4.45521454887981-43.2003743159915i</v>
      </c>
      <c r="AW53" s="270">
        <f t="shared" si="53"/>
        <v>32.755696144619996</v>
      </c>
      <c r="AX53" s="581">
        <f t="shared" si="54"/>
        <v>-84.111954815610559</v>
      </c>
      <c r="AY53" s="299">
        <f t="shared" si="21"/>
        <v>95.888045184389441</v>
      </c>
      <c r="BB53" s="270">
        <f t="shared" si="57"/>
        <v>11.172481531273702</v>
      </c>
      <c r="BC53" s="270">
        <f t="shared" si="58"/>
        <v>-84.786729356128973</v>
      </c>
      <c r="BD53" s="286"/>
      <c r="BE53" s="270">
        <f t="shared" si="55"/>
        <v>21.583214613346293</v>
      </c>
      <c r="BF53" s="581">
        <f t="shared" si="56"/>
        <v>0.67477454051841024</v>
      </c>
      <c r="BI53" s="286"/>
      <c r="BJ53" s="286"/>
      <c r="BL53" s="253">
        <f t="shared" si="24"/>
        <v>0</v>
      </c>
      <c r="BM53" s="253">
        <f t="shared" si="25"/>
        <v>0</v>
      </c>
      <c r="BN53" s="253">
        <f t="shared" si="26"/>
        <v>0</v>
      </c>
      <c r="BO53" s="253">
        <f t="shared" si="27"/>
        <v>0</v>
      </c>
    </row>
    <row r="54" spans="4:67" ht="13.6" thickBot="1" x14ac:dyDescent="0.25">
      <c r="D54" s="280">
        <v>43.652000000000001</v>
      </c>
      <c r="E54" s="273" t="str">
        <f t="shared" si="0"/>
        <v>0.000493692489052206i</v>
      </c>
      <c r="F54" s="579" t="str">
        <f t="shared" si="28"/>
        <v>0.002-56.0922199676799i</v>
      </c>
      <c r="G54" s="270" t="str">
        <f t="shared" si="29"/>
        <v>0.002-56.0922199676799i</v>
      </c>
      <c r="H54" s="271" t="str">
        <f t="shared" si="30"/>
        <v>1.99745805629807-0.0712204122249144i</v>
      </c>
      <c r="I54" s="271" t="str">
        <f t="shared" si="31"/>
        <v>2.00745805629807-0.0712204122249144i</v>
      </c>
      <c r="J54" s="270" t="str">
        <f t="shared" si="32"/>
        <v>1.99981256322173-0.142609418594554i</v>
      </c>
      <c r="K54" s="271" t="str">
        <f t="shared" si="1"/>
        <v>0.999999951882601-0.000344564830438446i</v>
      </c>
      <c r="L54" s="580"/>
      <c r="M54" s="580" t="str">
        <f t="shared" si="2"/>
        <v>23.0416326008474+0.999139375250136i</v>
      </c>
      <c r="N54" s="270" t="str">
        <f t="shared" si="3"/>
        <v>10.6145577839688+0.749354531437602i</v>
      </c>
      <c r="O54" s="581" t="str">
        <f t="shared" si="4"/>
        <v>10.6142738233143+0.369016750764194i</v>
      </c>
      <c r="P54" s="582" t="str">
        <f t="shared" si="5"/>
        <v>21.3339910234733-0.0151673079340389i</v>
      </c>
      <c r="Q54" s="583" t="str">
        <f t="shared" si="6"/>
        <v>21.2278482852402-0.0188574754416865i</v>
      </c>
      <c r="R54" s="581" t="str">
        <f t="shared" si="33"/>
        <v>1.03170446467341+0.0443809795945182i</v>
      </c>
      <c r="S54" s="253" t="str">
        <f t="shared" si="34"/>
        <v>26.0529969818151+0.560081553042848i</v>
      </c>
      <c r="T54" s="253" t="str">
        <f t="shared" si="35"/>
        <v>11.9992263872448+0.154934841948425i</v>
      </c>
      <c r="U54" s="253" t="str">
        <f t="shared" si="36"/>
        <v>23.9789859398581-0.545114001428495i</v>
      </c>
      <c r="V54" s="582" t="str">
        <f t="shared" si="7"/>
        <v>6000</v>
      </c>
      <c r="W54" s="584" t="str">
        <f t="shared" si="8"/>
        <v>1+153.616257799064i</v>
      </c>
      <c r="X54" s="585">
        <f t="shared" si="9"/>
        <v>153.61951262840435</v>
      </c>
      <c r="Y54" s="586">
        <f t="shared" si="10"/>
        <v>1.5642866911015889</v>
      </c>
      <c r="Z54" s="273" t="str">
        <f t="shared" si="11"/>
        <v>1+0.0230389828224363i</v>
      </c>
      <c r="AA54" s="585">
        <f t="shared" si="12"/>
        <v>1.0002653621562094</v>
      </c>
      <c r="AB54" s="586">
        <f t="shared" si="13"/>
        <v>2.303490779660726E-2</v>
      </c>
      <c r="AC54" s="584" t="str">
        <f t="shared" si="14"/>
        <v>1+0.00111383016190593i</v>
      </c>
      <c r="AD54" s="585">
        <f t="shared" si="15"/>
        <v>1.0000006203086225</v>
      </c>
      <c r="AE54" s="586">
        <f t="shared" si="16"/>
        <v>1.1138297012938277E-3</v>
      </c>
      <c r="AF54" s="580" t="str">
        <f t="shared" si="37"/>
        <v>1.11057804263243-39.052090144004i</v>
      </c>
      <c r="AG54" s="270">
        <f t="shared" si="38"/>
        <v>39.06787847073592</v>
      </c>
      <c r="AH54" s="581">
        <f t="shared" si="39"/>
        <v>-1.5423656130062755</v>
      </c>
      <c r="AI54" s="582" t="str">
        <f t="shared" si="17"/>
        <v>4000</v>
      </c>
      <c r="AJ54" s="584" t="str">
        <f t="shared" si="40"/>
        <v>1+12.0684610026279i</v>
      </c>
      <c r="AK54" s="585">
        <f t="shared" si="41"/>
        <v>12.109820435165437</v>
      </c>
      <c r="AL54" s="586">
        <f t="shared" si="42"/>
        <v>1.4881245797393479</v>
      </c>
      <c r="AM54" s="273" t="str">
        <f t="shared" si="43"/>
        <v>1+0.000422381351744665i</v>
      </c>
      <c r="AN54" s="585">
        <f t="shared" si="44"/>
        <v>1.0000000892029992</v>
      </c>
      <c r="AO54" s="586">
        <f t="shared" si="45"/>
        <v>4.2238132662621099E-4</v>
      </c>
      <c r="AP54" s="584" t="str">
        <f t="shared" si="46"/>
        <v>1+3.05583199152352E-06i</v>
      </c>
      <c r="AQ54" s="585">
        <f t="shared" si="47"/>
        <v>1.0000000000046692</v>
      </c>
      <c r="AR54" s="586">
        <f t="shared" si="48"/>
        <v>3.0558319915140081E-6</v>
      </c>
      <c r="AS54" s="580" t="str">
        <f t="shared" si="49"/>
        <v>27.4142796818242-329.170863176232i</v>
      </c>
      <c r="AT54" s="270">
        <f t="shared" si="50"/>
        <v>330.31045986262518</v>
      </c>
      <c r="AU54" s="581">
        <f t="shared" si="51"/>
        <v>-1.4877052542447129</v>
      </c>
      <c r="AV54" s="580" t="str">
        <f t="shared" si="52"/>
        <v>3.7995018380569-39.4554828024676i</v>
      </c>
      <c r="AW54" s="270">
        <f t="shared" si="53"/>
        <v>31.9622354775607</v>
      </c>
      <c r="AX54" s="581">
        <f t="shared" si="54"/>
        <v>-84.499466265189852</v>
      </c>
      <c r="AY54" s="299">
        <f t="shared" si="21"/>
        <v>95.500533734810148</v>
      </c>
      <c r="BB54" s="270">
        <f t="shared" si="57"/>
        <v>10.378446532180883</v>
      </c>
      <c r="BC54" s="270">
        <f t="shared" si="58"/>
        <v>-85.239232227659144</v>
      </c>
      <c r="BD54" s="286"/>
      <c r="BE54" s="270">
        <f t="shared" si="55"/>
        <v>21.583788945379816</v>
      </c>
      <c r="BF54" s="581">
        <f t="shared" si="56"/>
        <v>0.73976596246930471</v>
      </c>
      <c r="BI54" s="286"/>
      <c r="BJ54" s="286"/>
      <c r="BL54" s="253">
        <f t="shared" si="24"/>
        <v>0</v>
      </c>
      <c r="BM54" s="253">
        <f t="shared" si="25"/>
        <v>0</v>
      </c>
      <c r="BN54" s="253">
        <f t="shared" si="26"/>
        <v>0</v>
      </c>
      <c r="BO54" s="253">
        <f t="shared" si="27"/>
        <v>0</v>
      </c>
    </row>
    <row r="55" spans="4:67" ht="13.6" thickBot="1" x14ac:dyDescent="0.25">
      <c r="D55" s="280">
        <v>47.863</v>
      </c>
      <c r="E55" s="273" t="str">
        <f t="shared" si="0"/>
        <v>0.000541317777043566i</v>
      </c>
      <c r="F55" s="579" t="str">
        <f t="shared" si="28"/>
        <v>0.002-51.1572109150942i</v>
      </c>
      <c r="G55" s="270" t="str">
        <f t="shared" si="29"/>
        <v>0.002-51.1572109150942i</v>
      </c>
      <c r="H55" s="271" t="str">
        <f t="shared" si="30"/>
        <v>1.99694475714124-0.0780707808802448i</v>
      </c>
      <c r="I55" s="271" t="str">
        <f t="shared" si="31"/>
        <v>2.00694475714124-0.0780707808802448i</v>
      </c>
      <c r="J55" s="270" t="str">
        <f t="shared" si="32"/>
        <v>1.99776480899775-0.156206199876298i</v>
      </c>
      <c r="K55" s="271" t="str">
        <f t="shared" si="1"/>
        <v>0.99999994215129-0.000377804143665247i</v>
      </c>
      <c r="L55" s="580"/>
      <c r="M55" s="580" t="str">
        <f t="shared" si="2"/>
        <v>23.0418912433788+1.09553061932309i</v>
      </c>
      <c r="N55" s="270" t="str">
        <f t="shared" si="3"/>
        <v>10.6147517658674+0.821647964492318i</v>
      </c>
      <c r="O55" s="581" t="str">
        <f t="shared" si="4"/>
        <v>10.6144103729718+0.404617345037934i</v>
      </c>
      <c r="P55" s="582" t="str">
        <f t="shared" si="5"/>
        <v>21.3341240402661-0.0166306471289843i</v>
      </c>
      <c r="Q55" s="583" t="str">
        <f t="shared" si="6"/>
        <v>21.2279799365364-0.0206768205793685i</v>
      </c>
      <c r="R55" s="581" t="str">
        <f t="shared" si="33"/>
        <v>1.03171915293347+0.0486625998504885i</v>
      </c>
      <c r="S55" s="253" t="str">
        <f t="shared" si="34"/>
        <v>26.0555738424329+0.61404888543161i</v>
      </c>
      <c r="T55" s="253" t="str">
        <f t="shared" si="35"/>
        <v>11.9999780155585+0.16986281994012i</v>
      </c>
      <c r="U55" s="253" t="str">
        <f t="shared" si="36"/>
        <v>23.9765545069749-0.597640986507772i</v>
      </c>
      <c r="V55" s="582" t="str">
        <f t="shared" si="7"/>
        <v>6000</v>
      </c>
      <c r="W55" s="584" t="str">
        <f t="shared" si="8"/>
        <v>1+168.435236576483i</v>
      </c>
      <c r="X55" s="585">
        <f t="shared" si="9"/>
        <v>168.43820505032636</v>
      </c>
      <c r="Y55" s="586">
        <f t="shared" si="10"/>
        <v>1.5648593965465076</v>
      </c>
      <c r="Z55" s="273" t="str">
        <f t="shared" si="11"/>
        <v>1+0.0252614962620331i</v>
      </c>
      <c r="AA55" s="585">
        <f t="shared" si="12"/>
        <v>1.0003190207095918</v>
      </c>
      <c r="AB55" s="586">
        <f t="shared" si="13"/>
        <v>2.5256124834562209E-2</v>
      </c>
      <c r="AC55" s="584" t="str">
        <f t="shared" si="14"/>
        <v>1+0.00122127859065572i</v>
      </c>
      <c r="AD55" s="585">
        <f t="shared" si="15"/>
        <v>1.0000007457604199</v>
      </c>
      <c r="AE55" s="586">
        <f t="shared" si="16"/>
        <v>1.2212779834685473E-3</v>
      </c>
      <c r="AF55" s="580" t="str">
        <f t="shared" si="37"/>
        <v>1.06781574207647-35.6167062471518i</v>
      </c>
      <c r="AG55" s="270">
        <f t="shared" si="38"/>
        <v>35.632709612867338</v>
      </c>
      <c r="AH55" s="581">
        <f t="shared" si="39"/>
        <v>-1.540824549695414</v>
      </c>
      <c r="AI55" s="582" t="str">
        <f t="shared" si="17"/>
        <v>4000</v>
      </c>
      <c r="AJ55" s="584" t="str">
        <f t="shared" si="40"/>
        <v>1+13.2326754551631i</v>
      </c>
      <c r="AK55" s="585">
        <f t="shared" si="41"/>
        <v>13.270406915451989</v>
      </c>
      <c r="AL55" s="586">
        <f t="shared" si="42"/>
        <v>1.4953691869166614</v>
      </c>
      <c r="AM55" s="273" t="str">
        <f t="shared" si="43"/>
        <v>1+0.000463127431470607i</v>
      </c>
      <c r="AN55" s="585">
        <f t="shared" si="44"/>
        <v>1.0000001072435032</v>
      </c>
      <c r="AO55" s="586">
        <f t="shared" si="45"/>
        <v>4.6312739835900407E-4</v>
      </c>
      <c r="AP55" s="584" t="str">
        <f t="shared" si="46"/>
        <v>1+3.35062051246886E-06i</v>
      </c>
      <c r="AQ55" s="585">
        <f t="shared" si="47"/>
        <v>1.0000000000056133</v>
      </c>
      <c r="AR55" s="586">
        <f t="shared" si="48"/>
        <v>3.3506205124563212E-6</v>
      </c>
      <c r="AS55" s="580" t="str">
        <f t="shared" si="49"/>
        <v>22.8520827345711-300.555087057303i</v>
      </c>
      <c r="AT55" s="270">
        <f t="shared" si="50"/>
        <v>301.42259046284283</v>
      </c>
      <c r="AU55" s="581">
        <f t="shared" si="51"/>
        <v>-1.4949094101388147</v>
      </c>
      <c r="AV55" s="580" t="str">
        <f t="shared" si="52"/>
        <v>3.25277625059479-36.0277271793711i</v>
      </c>
      <c r="AW55" s="270">
        <f t="shared" si="53"/>
        <v>31.167995080843664</v>
      </c>
      <c r="AX55" s="581">
        <f t="shared" si="54"/>
        <v>-84.841017409278464</v>
      </c>
      <c r="AY55" s="299">
        <f t="shared" si="21"/>
        <v>95.158982590721536</v>
      </c>
      <c r="BB55" s="270">
        <f t="shared" si="57"/>
        <v>9.5835159579599178</v>
      </c>
      <c r="BC55" s="270">
        <f t="shared" si="58"/>
        <v>-85.651999955345474</v>
      </c>
      <c r="BD55" s="286"/>
      <c r="BE55" s="270">
        <f t="shared" si="55"/>
        <v>21.584479122883742</v>
      </c>
      <c r="BF55" s="581">
        <f t="shared" si="56"/>
        <v>0.81098254606702203</v>
      </c>
      <c r="BI55" s="286"/>
      <c r="BJ55" s="286"/>
      <c r="BL55" s="253">
        <f t="shared" si="24"/>
        <v>0</v>
      </c>
      <c r="BM55" s="253">
        <f t="shared" si="25"/>
        <v>0</v>
      </c>
      <c r="BN55" s="253">
        <f t="shared" si="26"/>
        <v>0</v>
      </c>
      <c r="BO55" s="253">
        <f t="shared" si="27"/>
        <v>0</v>
      </c>
    </row>
    <row r="56" spans="4:67" ht="13.6" thickBot="1" x14ac:dyDescent="0.25">
      <c r="D56" s="280">
        <v>52.481000000000002</v>
      </c>
      <c r="E56" s="273" t="str">
        <f t="shared" si="0"/>
        <v>0.000593546126590965i</v>
      </c>
      <c r="F56" s="579" t="str">
        <f t="shared" si="28"/>
        <v>0.002-46.6556960810418i</v>
      </c>
      <c r="G56" s="270" t="str">
        <f t="shared" si="29"/>
        <v>0.002-46.6556960810418i</v>
      </c>
      <c r="H56" s="271" t="str">
        <f t="shared" si="30"/>
        <v>1.99632788902664-0.0855768699045029i</v>
      </c>
      <c r="I56" s="271" t="str">
        <f t="shared" si="31"/>
        <v>2.00632788902664-0.0855768699045029i</v>
      </c>
      <c r="J56" s="270" t="str">
        <f t="shared" si="32"/>
        <v>1.99530803850511-0.171066555405403i</v>
      </c>
      <c r="K56" s="271" t="str">
        <f t="shared" si="1"/>
        <v>0.999999930449853-0.000414256090585543i</v>
      </c>
      <c r="L56" s="580"/>
      <c r="M56" s="580" t="str">
        <f t="shared" si="2"/>
        <v>23.0422022548224+1.20124038277816i</v>
      </c>
      <c r="N56" s="270" t="str">
        <f t="shared" si="3"/>
        <v>10.6149850244501+0.90093028708362i</v>
      </c>
      <c r="O56" s="581" t="str">
        <f t="shared" si="4"/>
        <v>10.6145745703601+0.443659579326905i</v>
      </c>
      <c r="P56" s="582" t="str">
        <f t="shared" si="5"/>
        <v>21.3342839887684-0.0182354798619524i</v>
      </c>
      <c r="Q56" s="583" t="str">
        <f t="shared" si="6"/>
        <v>21.2281382430648-0.0226720756552237i</v>
      </c>
      <c r="R56" s="581" t="str">
        <f t="shared" si="33"/>
        <v>1.03173681519053+0.0533581403388353i</v>
      </c>
      <c r="S56" s="253" t="str">
        <f t="shared" si="34"/>
        <v>26.05867172279+0.673212422010896i</v>
      </c>
      <c r="T56" s="253" t="str">
        <f t="shared" si="35"/>
        <v>12.0008816166705+0.186227822980573i</v>
      </c>
      <c r="U56" s="253" t="str">
        <f t="shared" si="36"/>
        <v>23.9736314584464-0.655226088120321i</v>
      </c>
      <c r="V56" s="582" t="str">
        <f t="shared" si="7"/>
        <v>6000</v>
      </c>
      <c r="W56" s="584" t="str">
        <f t="shared" si="8"/>
        <v>1+184.686493758653i</v>
      </c>
      <c r="X56" s="585">
        <f t="shared" si="9"/>
        <v>184.68920102936437</v>
      </c>
      <c r="Y56" s="586">
        <f t="shared" si="10"/>
        <v>1.5653817986003453</v>
      </c>
      <c r="Z56" s="273" t="str">
        <f t="shared" si="11"/>
        <v>1+0.0276988192409117i</v>
      </c>
      <c r="AA56" s="585">
        <f t="shared" si="12"/>
        <v>1.0003835387426867</v>
      </c>
      <c r="AB56" s="586">
        <f t="shared" si="13"/>
        <v>2.7691738761629385E-2</v>
      </c>
      <c r="AC56" s="584" t="str">
        <f t="shared" si="14"/>
        <v>1+0.00133911208482968i</v>
      </c>
      <c r="AD56" s="585">
        <f t="shared" si="15"/>
        <v>1.0000008966101859</v>
      </c>
      <c r="AE56" s="586">
        <f t="shared" si="16"/>
        <v>1.3391112843891587E-3</v>
      </c>
      <c r="AF56" s="580" t="str">
        <f t="shared" si="37"/>
        <v>1.03224117638181-32.4830442549737i</v>
      </c>
      <c r="AG56" s="270">
        <f t="shared" si="38"/>
        <v>32.49944131699494</v>
      </c>
      <c r="AH56" s="581">
        <f t="shared" si="39"/>
        <v>-1.5390291711231052</v>
      </c>
      <c r="AI56" s="582" t="str">
        <f t="shared" si="17"/>
        <v>4000</v>
      </c>
      <c r="AJ56" s="584" t="str">
        <f t="shared" si="40"/>
        <v>1+14.5094131283541i</v>
      </c>
      <c r="AK56" s="585">
        <f t="shared" si="41"/>
        <v>14.543832690499924</v>
      </c>
      <c r="AL56" s="586">
        <f t="shared" si="42"/>
        <v>1.5019843679098299</v>
      </c>
      <c r="AM56" s="273" t="str">
        <f t="shared" si="43"/>
        <v>1+0.000507811686083382i</v>
      </c>
      <c r="AN56" s="585">
        <f t="shared" si="44"/>
        <v>1.000000128936346</v>
      </c>
      <c r="AO56" s="586">
        <f t="shared" si="45"/>
        <v>5.078116424331304E-4</v>
      </c>
      <c r="AP56" s="584" t="str">
        <f t="shared" si="46"/>
        <v>1+3.67390082349368E-06i</v>
      </c>
      <c r="AQ56" s="585">
        <f t="shared" si="47"/>
        <v>1.0000000000067488</v>
      </c>
      <c r="AR56" s="586">
        <f t="shared" si="48"/>
        <v>3.6739008234771504E-6</v>
      </c>
      <c r="AS56" s="580" t="str">
        <f t="shared" si="49"/>
        <v>19.0487921425541-274.37024365145i</v>
      </c>
      <c r="AT56" s="270">
        <f t="shared" si="50"/>
        <v>275.03070207423434</v>
      </c>
      <c r="AU56" s="581">
        <f t="shared" si="51"/>
        <v>-1.50148023016822</v>
      </c>
      <c r="AV56" s="580" t="str">
        <f t="shared" si="52"/>
        <v>2.79697672609214-32.8913739810697i</v>
      </c>
      <c r="AW56" s="270">
        <f t="shared" si="53"/>
        <v>30.372932252563984</v>
      </c>
      <c r="AX56" s="581">
        <f t="shared" si="54"/>
        <v>-85.139444531269419</v>
      </c>
      <c r="AY56" s="299">
        <f t="shared" si="21"/>
        <v>94.860555468730581</v>
      </c>
      <c r="BB56" s="270">
        <f t="shared" si="57"/>
        <v>8.787623549126188</v>
      </c>
      <c r="BC56" s="270">
        <f t="shared" si="58"/>
        <v>-86.028480210970443</v>
      </c>
      <c r="BD56" s="286"/>
      <c r="BE56" s="270">
        <f t="shared" si="55"/>
        <v>21.585308703437811</v>
      </c>
      <c r="BF56" s="581">
        <f t="shared" si="56"/>
        <v>0.88903567970100028</v>
      </c>
      <c r="BI56" s="286"/>
      <c r="BJ56" s="286"/>
      <c r="BL56" s="253">
        <f t="shared" si="24"/>
        <v>0</v>
      </c>
      <c r="BM56" s="253">
        <f t="shared" si="25"/>
        <v>0</v>
      </c>
      <c r="BN56" s="253">
        <f t="shared" si="26"/>
        <v>0</v>
      </c>
      <c r="BO56" s="253">
        <f t="shared" si="27"/>
        <v>0</v>
      </c>
    </row>
    <row r="57" spans="4:67" ht="13.6" thickBot="1" x14ac:dyDescent="0.25">
      <c r="D57" s="280">
        <v>57.544000000000004</v>
      </c>
      <c r="E57" s="273" t="str">
        <f t="shared" si="0"/>
        <v>0.000650807307569416i</v>
      </c>
      <c r="F57" s="579" t="str">
        <f t="shared" si="28"/>
        <v>0.002-42.5507018286731i</v>
      </c>
      <c r="G57" s="270" t="str">
        <f t="shared" si="29"/>
        <v>0.002-42.5507018286731i</v>
      </c>
      <c r="H57" s="271" t="str">
        <f t="shared" si="30"/>
        <v>1.99558683380389-0.0937978616039164i</v>
      </c>
      <c r="I57" s="271" t="str">
        <f t="shared" si="31"/>
        <v>2.00558683380389-0.0937978616039164i</v>
      </c>
      <c r="J57" s="270" t="str">
        <f t="shared" si="32"/>
        <v>1.99236266396964-0.18729249441228i</v>
      </c>
      <c r="K57" s="271" t="str">
        <f t="shared" si="1"/>
        <v>0.999999916383123-0.000454220622256711i</v>
      </c>
      <c r="L57" s="580"/>
      <c r="M57" s="580" t="str">
        <f t="shared" si="2"/>
        <v>23.0425761421048+1.31713938950596i</v>
      </c>
      <c r="N57" s="270" t="str">
        <f t="shared" si="3"/>
        <v>10.6152654399119+0.98785454212947i</v>
      </c>
      <c r="O57" s="581" t="str">
        <f t="shared" si="4"/>
        <v>10.6147719623892+0.486465038123963i</v>
      </c>
      <c r="P57" s="582" t="str">
        <f t="shared" si="5"/>
        <v>21.3344762719197-0.0199950359179888i</v>
      </c>
      <c r="Q57" s="583" t="str">
        <f t="shared" si="6"/>
        <v>21.2283285522957-0.0248596862992263i</v>
      </c>
      <c r="R57" s="581" t="str">
        <f t="shared" si="33"/>
        <v>1.03175804811571+0.0585062775795028i</v>
      </c>
      <c r="S57" s="253" t="str">
        <f t="shared" si="34"/>
        <v>26.0623948295266+0.738050955546926i</v>
      </c>
      <c r="T57" s="253" t="str">
        <f t="shared" si="35"/>
        <v>12.0019675858451+0.204162164690217i</v>
      </c>
      <c r="U57" s="253" t="str">
        <f t="shared" si="36"/>
        <v>23.9701184685219-0.718335566775094i</v>
      </c>
      <c r="V57" s="582" t="str">
        <f t="shared" si="7"/>
        <v>6000</v>
      </c>
      <c r="W57" s="584" t="str">
        <f t="shared" si="8"/>
        <v>1+202.503755584839i</v>
      </c>
      <c r="X57" s="585">
        <f t="shared" si="9"/>
        <v>202.50622465979711</v>
      </c>
      <c r="Y57" s="586">
        <f t="shared" si="10"/>
        <v>1.5658581869135384</v>
      </c>
      <c r="Z57" s="273" t="str">
        <f t="shared" si="11"/>
        <v>1+0.0303710076865727i</v>
      </c>
      <c r="AA57" s="585">
        <f t="shared" si="12"/>
        <v>1.0004610927506865</v>
      </c>
      <c r="AB57" s="586">
        <f t="shared" si="13"/>
        <v>3.0361674797870105E-2</v>
      </c>
      <c r="AC57" s="584" t="str">
        <f t="shared" si="14"/>
        <v>1+0.0014683002574158i</v>
      </c>
      <c r="AD57" s="585">
        <f t="shared" si="15"/>
        <v>1.0000010779522419</v>
      </c>
      <c r="AE57" s="586">
        <f t="shared" si="16"/>
        <v>1.4682992022448931E-3</v>
      </c>
      <c r="AF57" s="580" t="str">
        <f t="shared" si="37"/>
        <v>1.00265427843847-29.6253862303101i</v>
      </c>
      <c r="AG57" s="270">
        <f t="shared" si="38"/>
        <v>29.642348505088425</v>
      </c>
      <c r="AH57" s="581">
        <f t="shared" si="39"/>
        <v>-1.5369648113179133</v>
      </c>
      <c r="AI57" s="582" t="str">
        <f t="shared" si="17"/>
        <v>4000</v>
      </c>
      <c r="AJ57" s="584" t="str">
        <f t="shared" si="40"/>
        <v>1+15.9091798757266i</v>
      </c>
      <c r="AK57" s="585">
        <f t="shared" si="41"/>
        <v>15.940577289365159</v>
      </c>
      <c r="AL57" s="586">
        <f t="shared" si="42"/>
        <v>1.5080221216512608</v>
      </c>
      <c r="AM57" s="273" t="str">
        <f t="shared" si="43"/>
        <v>1+0.000556801807587167i</v>
      </c>
      <c r="AN57" s="585">
        <f t="shared" si="44"/>
        <v>1.0000001550141144</v>
      </c>
      <c r="AO57" s="586">
        <f t="shared" si="45"/>
        <v>5.5680175004574708E-4</v>
      </c>
      <c r="AP57" s="584" t="str">
        <f t="shared" si="46"/>
        <v>1+4.02833309173072E-06i</v>
      </c>
      <c r="AQ57" s="585">
        <f t="shared" si="47"/>
        <v>1.0000000000081137</v>
      </c>
      <c r="AR57" s="586">
        <f t="shared" si="48"/>
        <v>4.0283330917089301E-6</v>
      </c>
      <c r="AS57" s="580" t="str">
        <f t="shared" si="49"/>
        <v>15.8801451026656-250.428990993i</v>
      </c>
      <c r="AT57" s="270">
        <f t="shared" si="50"/>
        <v>250.93197990342682</v>
      </c>
      <c r="AU57" s="581">
        <f t="shared" si="51"/>
        <v>-1.5074693482343069</v>
      </c>
      <c r="AV57" s="580" t="str">
        <f t="shared" si="52"/>
        <v>2.41721111683027-30.0239850765413i</v>
      </c>
      <c r="AW57" s="270">
        <f t="shared" si="53"/>
        <v>29.577425769478978</v>
      </c>
      <c r="AX57" s="581">
        <f t="shared" si="54"/>
        <v>-85.397082668612171</v>
      </c>
      <c r="AY57" s="299">
        <f t="shared" si="21"/>
        <v>94.602917331387829</v>
      </c>
      <c r="BB57" s="270">
        <f t="shared" si="57"/>
        <v>7.9911202657926843</v>
      </c>
      <c r="BC57" s="270">
        <f t="shared" si="58"/>
        <v>-86.371631399162766</v>
      </c>
      <c r="BD57" s="286"/>
      <c r="BE57" s="270">
        <f t="shared" si="55"/>
        <v>21.586305503686283</v>
      </c>
      <c r="BF57" s="581">
        <f t="shared" si="56"/>
        <v>0.9745487305506052</v>
      </c>
      <c r="BI57" s="286"/>
      <c r="BJ57" s="286"/>
      <c r="BL57" s="253">
        <f t="shared" si="24"/>
        <v>0</v>
      </c>
      <c r="BM57" s="253">
        <f t="shared" si="25"/>
        <v>0</v>
      </c>
      <c r="BN57" s="253">
        <f t="shared" si="26"/>
        <v>0</v>
      </c>
      <c r="BO57" s="253">
        <f t="shared" si="27"/>
        <v>0</v>
      </c>
    </row>
    <row r="58" spans="4:67" ht="13.6" thickBot="1" x14ac:dyDescent="0.25">
      <c r="D58" s="280">
        <v>63.095999999999997</v>
      </c>
      <c r="E58" s="273" t="str">
        <f t="shared" si="0"/>
        <v>0.000713598948255246i</v>
      </c>
      <c r="F58" s="579" t="str">
        <f t="shared" si="28"/>
        <v>0.002-38.8065421901414i</v>
      </c>
      <c r="G58" s="270" t="str">
        <f t="shared" si="29"/>
        <v>0.002-38.8065421901414i</v>
      </c>
      <c r="H58" s="271" t="str">
        <f t="shared" si="30"/>
        <v>1.99469653322284-0.102801801819014i</v>
      </c>
      <c r="I58" s="271" t="str">
        <f t="shared" si="31"/>
        <v>2.00469653322284-0.102801801819014i</v>
      </c>
      <c r="J58" s="270" t="str">
        <f t="shared" si="32"/>
        <v>1.98883271982265-0.204998490648468i</v>
      </c>
      <c r="K58" s="271" t="str">
        <f t="shared" si="1"/>
        <v>0.999999899469579-0.000498045050429401i</v>
      </c>
      <c r="L58" s="580"/>
      <c r="M58" s="580" t="str">
        <f t="shared" si="2"/>
        <v>23.043025709314+1.4442360106979i</v>
      </c>
      <c r="N58" s="270" t="str">
        <f t="shared" si="3"/>
        <v>10.6156026153188+1.08317700802343i</v>
      </c>
      <c r="O58" s="581" t="str">
        <f t="shared" si="4"/>
        <v>10.6150093086499+0.533406142518761i</v>
      </c>
      <c r="P58" s="582" t="str">
        <f t="shared" si="5"/>
        <v>21.3347074737309-0.0219246385476848i</v>
      </c>
      <c r="Q58" s="583" t="str">
        <f t="shared" si="6"/>
        <v>21.2285573806444-0.0272586999728752i</v>
      </c>
      <c r="R58" s="581" t="str">
        <f t="shared" si="33"/>
        <v>1.0317835788277+0.0641518021621698i</v>
      </c>
      <c r="S58" s="253" t="str">
        <f t="shared" si="34"/>
        <v>26.0668700144572+0.809117368451199i</v>
      </c>
      <c r="T58" s="253" t="str">
        <f t="shared" si="35"/>
        <v>12.003272923515+0.223818609697131i</v>
      </c>
      <c r="U58" s="253" t="str">
        <f t="shared" si="36"/>
        <v>23.9658958442204-0.787507879429098i</v>
      </c>
      <c r="V58" s="582" t="str">
        <f t="shared" si="7"/>
        <v>6000</v>
      </c>
      <c r="W58" s="584" t="str">
        <f t="shared" si="8"/>
        <v>1+222.041862963662i</v>
      </c>
      <c r="X58" s="585">
        <f t="shared" si="9"/>
        <v>222.04411477986454</v>
      </c>
      <c r="Y58" s="586">
        <f t="shared" si="10"/>
        <v>1.5662927020019639</v>
      </c>
      <c r="Z58" s="273" t="str">
        <f t="shared" si="11"/>
        <v>1+0.0333012842519115i</v>
      </c>
      <c r="AA58" s="585">
        <f t="shared" si="12"/>
        <v>1.0005543341232532</v>
      </c>
      <c r="AB58" s="586">
        <f t="shared" si="13"/>
        <v>3.3288982333241714E-2</v>
      </c>
      <c r="AC58" s="584" t="str">
        <f t="shared" si="14"/>
        <v>1+0.00160996581818969i</v>
      </c>
      <c r="AD58" s="585">
        <f t="shared" si="15"/>
        <v>1.000001295994128</v>
      </c>
      <c r="AE58" s="586">
        <f t="shared" si="16"/>
        <v>1.6099644271867872E-3</v>
      </c>
      <c r="AF58" s="580" t="str">
        <f t="shared" si="37"/>
        <v>0.978042249493266-27.0189053925174i</v>
      </c>
      <c r="AG58" s="270">
        <f t="shared" si="38"/>
        <v>27.036601399798752</v>
      </c>
      <c r="AH58" s="581">
        <f t="shared" si="39"/>
        <v>-1.534613684095909</v>
      </c>
      <c r="AI58" s="582" t="str">
        <f t="shared" si="17"/>
        <v>4000</v>
      </c>
      <c r="AJ58" s="584" t="str">
        <f t="shared" si="40"/>
        <v>1+17.444140369784i</v>
      </c>
      <c r="AK58" s="585">
        <f t="shared" si="41"/>
        <v>17.472779780010047</v>
      </c>
      <c r="AL58" s="586">
        <f t="shared" si="42"/>
        <v>1.5135331589719341</v>
      </c>
      <c r="AM58" s="273" t="str">
        <f t="shared" si="43"/>
        <v>1+0.000610523544618377i</v>
      </c>
      <c r="AN58" s="585">
        <f t="shared" si="44"/>
        <v>1.0000001863694818</v>
      </c>
      <c r="AO58" s="586">
        <f t="shared" si="45"/>
        <v>6.1052346876308236E-4</v>
      </c>
      <c r="AP58" s="584" t="str">
        <f t="shared" si="46"/>
        <v>1+0.0000044169975107021i</v>
      </c>
      <c r="AQ58" s="585">
        <f t="shared" si="47"/>
        <v>1.0000000000097549</v>
      </c>
      <c r="AR58" s="586">
        <f t="shared" si="48"/>
        <v>4.416997510673375E-6</v>
      </c>
      <c r="AS58" s="580" t="str">
        <f t="shared" si="49"/>
        <v>13.2404784876805-228.544339113821i</v>
      </c>
      <c r="AT58" s="270">
        <f t="shared" si="50"/>
        <v>228.92755450481698</v>
      </c>
      <c r="AU58" s="581">
        <f t="shared" si="51"/>
        <v>-1.5129270525006817</v>
      </c>
      <c r="AV58" s="580" t="str">
        <f t="shared" si="52"/>
        <v>2.10081553160163-27.4031661202072i</v>
      </c>
      <c r="AW58" s="270">
        <f t="shared" si="53"/>
        <v>28.781464737739295</v>
      </c>
      <c r="AX58" s="581">
        <f t="shared" si="54"/>
        <v>-85.616094860392096</v>
      </c>
      <c r="AY58" s="299">
        <f t="shared" si="21"/>
        <v>94.383905139607904</v>
      </c>
      <c r="BB58" s="270">
        <f t="shared" si="57"/>
        <v>7.193961379850319</v>
      </c>
      <c r="BC58" s="270">
        <f t="shared" si="58"/>
        <v>-86.684334819456581</v>
      </c>
      <c r="BD58" s="286"/>
      <c r="BE58" s="270">
        <f t="shared" si="55"/>
        <v>21.587503357888981</v>
      </c>
      <c r="BF58" s="581">
        <f t="shared" si="56"/>
        <v>1.0682399590644889</v>
      </c>
      <c r="BI58" s="286"/>
      <c r="BJ58" s="286"/>
      <c r="BL58" s="253">
        <f t="shared" si="24"/>
        <v>0</v>
      </c>
      <c r="BM58" s="253">
        <f t="shared" si="25"/>
        <v>0</v>
      </c>
      <c r="BN58" s="253">
        <f t="shared" si="26"/>
        <v>0</v>
      </c>
      <c r="BO58" s="253">
        <f t="shared" si="27"/>
        <v>0</v>
      </c>
    </row>
    <row r="59" spans="4:67" ht="13.6" thickBot="1" x14ac:dyDescent="0.25">
      <c r="D59" s="280">
        <v>69.183000000000007</v>
      </c>
      <c r="E59" s="273" t="str">
        <f t="shared" si="0"/>
        <v>0.00078244129639189i</v>
      </c>
      <c r="F59" s="579" t="str">
        <f t="shared" si="28"/>
        <v>0.002-35.3921857396927i</v>
      </c>
      <c r="G59" s="270" t="str">
        <f t="shared" si="29"/>
        <v>0.002-35.3921857396927i</v>
      </c>
      <c r="H59" s="271" t="str">
        <f t="shared" si="30"/>
        <v>1.99362732326434-0.112658820523296i</v>
      </c>
      <c r="I59" s="271" t="str">
        <f t="shared" si="31"/>
        <v>2.00362732326434-0.112658820523296i</v>
      </c>
      <c r="J59" s="270" t="str">
        <f t="shared" si="32"/>
        <v>1.98460579880285-0.224296553362184i</v>
      </c>
      <c r="K59" s="271" t="str">
        <f t="shared" si="1"/>
        <v>0.999999879137206-0.000546092473752017i</v>
      </c>
      <c r="L59" s="580"/>
      <c r="M59" s="580" t="str">
        <f t="shared" si="2"/>
        <v>23.043566168642+1.58358479736055i</v>
      </c>
      <c r="N59" s="270" t="str">
        <f t="shared" si="3"/>
        <v>10.6160079598148+1.18768859802041i</v>
      </c>
      <c r="O59" s="581" t="str">
        <f t="shared" si="4"/>
        <v>10.6152946399398+0.584872367724068i</v>
      </c>
      <c r="P59" s="582" t="str">
        <f t="shared" si="5"/>
        <v>21.3349854161892-0.0240403170486378i</v>
      </c>
      <c r="Q59" s="583" t="str">
        <f t="shared" si="6"/>
        <v>21.2288324697899-0.0298890407258732i</v>
      </c>
      <c r="R59" s="581" t="str">
        <f t="shared" si="33"/>
        <v>1.03181427118959+0.0703415558012136i</v>
      </c>
      <c r="S59" s="253" t="str">
        <f t="shared" si="34"/>
        <v>26.0722477686841+0.886986511238097i</v>
      </c>
      <c r="T59" s="253" t="str">
        <f t="shared" si="35"/>
        <v>12.0048415252212+0.245355943058605i</v>
      </c>
      <c r="U59" s="253" t="str">
        <f t="shared" si="36"/>
        <v>23.9608215872927-0.863302974793588i</v>
      </c>
      <c r="V59" s="582" t="str">
        <f t="shared" si="7"/>
        <v>6000</v>
      </c>
      <c r="W59" s="584" t="str">
        <f t="shared" si="8"/>
        <v>1+243.462695026864i</v>
      </c>
      <c r="X59" s="585">
        <f t="shared" si="9"/>
        <v>243.46474872092628</v>
      </c>
      <c r="Y59" s="586">
        <f t="shared" si="10"/>
        <v>1.5666889444447858</v>
      </c>
      <c r="Z59" s="273" t="str">
        <f t="shared" si="11"/>
        <v>1+0.0365139271649548i</v>
      </c>
      <c r="AA59" s="585">
        <f t="shared" si="12"/>
        <v>1.0006664113864359</v>
      </c>
      <c r="AB59" s="586">
        <f t="shared" si="13"/>
        <v>3.6497712530827633E-2</v>
      </c>
      <c r="AC59" s="584" t="str">
        <f t="shared" si="14"/>
        <v>1+0.00176528250918945i</v>
      </c>
      <c r="AD59" s="585">
        <f t="shared" si="15"/>
        <v>1.0000015581099548</v>
      </c>
      <c r="AE59" s="586">
        <f t="shared" si="16"/>
        <v>1.7652806755219495E-3</v>
      </c>
      <c r="AF59" s="580" t="str">
        <f t="shared" si="37"/>
        <v>0.957572696990922-24.6420112639511i</v>
      </c>
      <c r="AG59" s="270">
        <f t="shared" si="38"/>
        <v>24.66060957484051</v>
      </c>
      <c r="AH59" s="581">
        <f t="shared" si="39"/>
        <v>-1.5319565125894801</v>
      </c>
      <c r="AI59" s="582" t="str">
        <f t="shared" si="17"/>
        <v>4000</v>
      </c>
      <c r="AJ59" s="584" t="str">
        <f t="shared" si="40"/>
        <v>1+19.1270122226887i</v>
      </c>
      <c r="AK59" s="585">
        <f t="shared" si="41"/>
        <v>19.153135423916442</v>
      </c>
      <c r="AL59" s="586">
        <f t="shared" si="42"/>
        <v>1.5185618041674818</v>
      </c>
      <c r="AM59" s="273" t="str">
        <f t="shared" si="43"/>
        <v>1+0.000669421998024172i</v>
      </c>
      <c r="AN59" s="585">
        <f t="shared" si="44"/>
        <v>1.0000002240628805</v>
      </c>
      <c r="AO59" s="586">
        <f t="shared" si="45"/>
        <v>6.6942189802910682E-4</v>
      </c>
      <c r="AP59" s="584" t="str">
        <f t="shared" si="46"/>
        <v>1+4.84311428272637E-06i</v>
      </c>
      <c r="AQ59" s="585">
        <f t="shared" si="47"/>
        <v>1.000000000011728</v>
      </c>
      <c r="AR59" s="586">
        <f t="shared" si="48"/>
        <v>4.8431142826885033E-6</v>
      </c>
      <c r="AS59" s="580" t="str">
        <f t="shared" si="49"/>
        <v>11.0424625834416-208.551001267168i</v>
      </c>
      <c r="AT59" s="270">
        <f t="shared" si="50"/>
        <v>208.84313756847513</v>
      </c>
      <c r="AU59" s="581">
        <f t="shared" si="51"/>
        <v>-1.5178972253837357</v>
      </c>
      <c r="AV59" s="580" t="str">
        <f t="shared" si="52"/>
        <v>1.83732240954123-25.0091238631771i</v>
      </c>
      <c r="AW59" s="270">
        <f t="shared" si="53"/>
        <v>27.985346547163026</v>
      </c>
      <c r="AX59" s="581">
        <f t="shared" si="54"/>
        <v>-85.798251882570725</v>
      </c>
      <c r="AY59" s="299">
        <f t="shared" si="21"/>
        <v>94.201748117429275</v>
      </c>
      <c r="BB59" s="270">
        <f t="shared" si="57"/>
        <v>6.3964041847823241</v>
      </c>
      <c r="BC59" s="270">
        <f t="shared" si="58"/>
        <v>-86.969104749105952</v>
      </c>
      <c r="BD59" s="286"/>
      <c r="BE59" s="270">
        <f t="shared" si="55"/>
        <v>21.588942362380692</v>
      </c>
      <c r="BF59" s="581">
        <f t="shared" si="56"/>
        <v>1.1708528665352442</v>
      </c>
      <c r="BI59" s="286"/>
      <c r="BJ59" s="286"/>
      <c r="BL59" s="253">
        <f t="shared" si="24"/>
        <v>0</v>
      </c>
      <c r="BM59" s="253">
        <f t="shared" si="25"/>
        <v>0</v>
      </c>
      <c r="BN59" s="253">
        <f t="shared" si="26"/>
        <v>0</v>
      </c>
      <c r="BO59" s="253">
        <f t="shared" si="27"/>
        <v>0</v>
      </c>
    </row>
    <row r="60" spans="4:67" ht="13.6" thickBot="1" x14ac:dyDescent="0.25">
      <c r="D60" s="280">
        <v>75.858000000000004</v>
      </c>
      <c r="E60" s="273" t="str">
        <f t="shared" si="0"/>
        <v>0.000857933767857652i</v>
      </c>
      <c r="F60" s="579" t="str">
        <f t="shared" si="28"/>
        <v>0.002-32.2779085400242i</v>
      </c>
      <c r="G60" s="270" t="str">
        <f t="shared" si="29"/>
        <v>0.002-32.2779085400242i</v>
      </c>
      <c r="H60" s="271" t="str">
        <f t="shared" si="30"/>
        <v>1.99234322678231-0.123448863952175i</v>
      </c>
      <c r="I60" s="271" t="str">
        <f t="shared" si="31"/>
        <v>2.00234322678231-0.123448863952175i</v>
      </c>
      <c r="J60" s="270" t="str">
        <f t="shared" si="32"/>
        <v>1.97954713298434-0.245309424619436i</v>
      </c>
      <c r="K60" s="271" t="str">
        <f t="shared" si="1"/>
        <v>0.999999854689625-0.000598781245015112i</v>
      </c>
      <c r="L60" s="580"/>
      <c r="M60" s="580" t="str">
        <f t="shared" si="2"/>
        <v>23.0442160422001+1.73640107098228i</v>
      </c>
      <c r="N60" s="270" t="str">
        <f t="shared" si="3"/>
        <v>10.6164953649834+1.30230080323671i</v>
      </c>
      <c r="O60" s="581" t="str">
        <f t="shared" si="4"/>
        <v>10.6156377343048+0.641312564760818i</v>
      </c>
      <c r="P60" s="582" t="str">
        <f t="shared" si="5"/>
        <v>21.3353196228179-0.0263605481285549i</v>
      </c>
      <c r="Q60" s="583" t="str">
        <f t="shared" si="6"/>
        <v>21.2291632454749-0.0327736737761612i</v>
      </c>
      <c r="R60" s="581" t="str">
        <f t="shared" si="33"/>
        <v>1.03185117701736+0.0771295213089711i</v>
      </c>
      <c r="S60" s="253" t="str">
        <f t="shared" si="34"/>
        <v>26.0787110390492+0.972318012830477i</v>
      </c>
      <c r="T60" s="253" t="str">
        <f t="shared" si="35"/>
        <v>12.0067267531867+0.268956324844438i</v>
      </c>
      <c r="U60" s="253" t="str">
        <f t="shared" si="36"/>
        <v>23.9547230752923-0.946363465361003i</v>
      </c>
      <c r="V60" s="582" t="str">
        <f t="shared" si="7"/>
        <v>6000</v>
      </c>
      <c r="W60" s="584" t="str">
        <f t="shared" si="8"/>
        <v>1+266.952764687104i</v>
      </c>
      <c r="X60" s="585">
        <f t="shared" si="9"/>
        <v>266.95463767106264</v>
      </c>
      <c r="Y60" s="586">
        <f t="shared" si="10"/>
        <v>1.5670503632580386</v>
      </c>
      <c r="Z60" s="273" t="str">
        <f t="shared" si="11"/>
        <v>1+0.0400369091666905i</v>
      </c>
      <c r="AA60" s="585">
        <f t="shared" si="12"/>
        <v>1.0008011561222447</v>
      </c>
      <c r="AB60" s="586">
        <f t="shared" si="13"/>
        <v>4.0015537275316253E-2</v>
      </c>
      <c r="AC60" s="584" t="str">
        <f t="shared" si="14"/>
        <v>1+0.00193560268537203i</v>
      </c>
      <c r="AD60" s="585">
        <f t="shared" si="15"/>
        <v>1.0000018732771232</v>
      </c>
      <c r="AE60" s="586">
        <f t="shared" si="16"/>
        <v>1.9356002680950464E-3</v>
      </c>
      <c r="AF60" s="580" t="str">
        <f t="shared" si="37"/>
        <v>0.940544681559642-22.4740206554501i</v>
      </c>
      <c r="AG60" s="270">
        <f t="shared" si="38"/>
        <v>22.49369308761031</v>
      </c>
      <c r="AH60" s="581">
        <f t="shared" si="39"/>
        <v>-1.5289704262508175</v>
      </c>
      <c r="AI60" s="582" t="str">
        <f t="shared" si="17"/>
        <v>4000</v>
      </c>
      <c r="AJ60" s="584" t="str">
        <f t="shared" si="40"/>
        <v>1+20.9724483354107i</v>
      </c>
      <c r="AK60" s="585">
        <f t="shared" si="41"/>
        <v>20.996275602627026</v>
      </c>
      <c r="AL60" s="586">
        <f t="shared" si="42"/>
        <v>1.5231508077319669</v>
      </c>
      <c r="AM60" s="273" t="str">
        <f t="shared" si="43"/>
        <v>1+0.000734010001389325i</v>
      </c>
      <c r="AN60" s="585">
        <f t="shared" si="44"/>
        <v>1.0000002693853047</v>
      </c>
      <c r="AO60" s="586">
        <f t="shared" si="45"/>
        <v>7.3400986956834451E-4</v>
      </c>
      <c r="AP60" s="584" t="str">
        <f t="shared" si="46"/>
        <v>1+5.31039364090972E-06i</v>
      </c>
      <c r="AQ60" s="585">
        <f t="shared" si="47"/>
        <v>1.0000000000141003</v>
      </c>
      <c r="AR60" s="586">
        <f t="shared" si="48"/>
        <v>5.3103936408598018E-6</v>
      </c>
      <c r="AS60" s="580" t="str">
        <f t="shared" si="49"/>
        <v>9.21217995371012-190.28716970478i</v>
      </c>
      <c r="AT60" s="270">
        <f t="shared" si="50"/>
        <v>190.51002916842799</v>
      </c>
      <c r="AU60" s="581">
        <f t="shared" si="51"/>
        <v>-1.5224221082560394</v>
      </c>
      <c r="AV60" s="580" t="str">
        <f t="shared" si="52"/>
        <v>1.61787065334229-22.822483772184i</v>
      </c>
      <c r="AW60" s="270">
        <f t="shared" si="53"/>
        <v>27.189028074359594</v>
      </c>
      <c r="AX60" s="581">
        <f t="shared" si="54"/>
        <v>-85.945123644959978</v>
      </c>
      <c r="AY60" s="299">
        <f t="shared" si="21"/>
        <v>94.054876355040022</v>
      </c>
      <c r="BB60" s="270">
        <f t="shared" si="57"/>
        <v>5.5983568703489173</v>
      </c>
      <c r="BC60" s="270">
        <f t="shared" si="58"/>
        <v>-87.228361440479972</v>
      </c>
      <c r="BD60" s="286"/>
      <c r="BE60" s="270">
        <f t="shared" si="55"/>
        <v>21.59067120401069</v>
      </c>
      <c r="BF60" s="581">
        <f t="shared" si="56"/>
        <v>1.2832377955199903</v>
      </c>
      <c r="BI60" s="286"/>
      <c r="BJ60" s="286"/>
      <c r="BL60" s="253">
        <f t="shared" si="24"/>
        <v>0</v>
      </c>
      <c r="BM60" s="253">
        <f t="shared" si="25"/>
        <v>0</v>
      </c>
      <c r="BN60" s="253">
        <f t="shared" si="26"/>
        <v>0</v>
      </c>
      <c r="BO60" s="253">
        <f t="shared" si="27"/>
        <v>0</v>
      </c>
    </row>
    <row r="61" spans="4:67" ht="13.6" thickBot="1" x14ac:dyDescent="0.25">
      <c r="D61" s="280">
        <v>83.176000000000002</v>
      </c>
      <c r="E61" s="273" t="str">
        <f t="shared" si="0"/>
        <v>0.000940698397997945i</v>
      </c>
      <c r="F61" s="579" t="str">
        <f t="shared" si="28"/>
        <v>0.002-29.4380300330523i</v>
      </c>
      <c r="G61" s="270" t="str">
        <f t="shared" si="29"/>
        <v>0.002-29.4380300330523i</v>
      </c>
      <c r="H61" s="271" t="str">
        <f t="shared" si="30"/>
        <v>1.99080180525976-0.135253113393105i</v>
      </c>
      <c r="I61" s="271" t="str">
        <f t="shared" si="31"/>
        <v>2.00080180525976-0.135253113393105i</v>
      </c>
      <c r="J61" s="270" t="str">
        <f t="shared" si="32"/>
        <v>1.97350020309365-0.268151268179677i</v>
      </c>
      <c r="K61" s="271" t="str">
        <f t="shared" si="1"/>
        <v>0.999999825301205-0.000656545503906997i</v>
      </c>
      <c r="L61" s="580"/>
      <c r="M61" s="580" t="str">
        <f t="shared" si="2"/>
        <v>23.0449972936547+1.90394662828877i</v>
      </c>
      <c r="N61" s="270" t="str">
        <f t="shared" si="3"/>
        <v>10.6170813035743+1.42795997121658i</v>
      </c>
      <c r="O61" s="581" t="str">
        <f t="shared" si="4"/>
        <v>10.6160501864401+0.703192746647962i</v>
      </c>
      <c r="P61" s="582" t="str">
        <f t="shared" si="5"/>
        <v>21.3357213860572-0.0289045227146638i</v>
      </c>
      <c r="Q61" s="583" t="str">
        <f t="shared" si="6"/>
        <v>21.2295608841927-0.0359364501811443i</v>
      </c>
      <c r="R61" s="581" t="str">
        <f t="shared" si="33"/>
        <v>1.03189554354795+0.0845717456375703i</v>
      </c>
      <c r="S61" s="253" t="str">
        <f t="shared" si="34"/>
        <v>26.0864763080066+1.0657907791531i</v>
      </c>
      <c r="T61" s="253" t="str">
        <f t="shared" si="35"/>
        <v>12.0089917512401+0.294807149883156i</v>
      </c>
      <c r="U61" s="253" t="str">
        <f t="shared" si="36"/>
        <v>23.9473960425905-1.03735091687647i</v>
      </c>
      <c r="V61" s="582" t="str">
        <f t="shared" si="7"/>
        <v>6000</v>
      </c>
      <c r="W61" s="584" t="str">
        <f t="shared" si="8"/>
        <v>1+292.705623080157i</v>
      </c>
      <c r="X61" s="585">
        <f t="shared" si="9"/>
        <v>292.70733127604262</v>
      </c>
      <c r="Y61" s="586">
        <f t="shared" si="10"/>
        <v>1.5673799383466531</v>
      </c>
      <c r="Z61" s="273" t="str">
        <f t="shared" si="11"/>
        <v>1+0.0438992585732374i</v>
      </c>
      <c r="AA61" s="585">
        <f t="shared" si="12"/>
        <v>1.0009631086624922</v>
      </c>
      <c r="AB61" s="586">
        <f t="shared" si="13"/>
        <v>4.3871091058328412E-2</v>
      </c>
      <c r="AC61" s="584" t="str">
        <f t="shared" si="14"/>
        <v>1+0.00212232973395692i</v>
      </c>
      <c r="AD61" s="585">
        <f t="shared" si="15"/>
        <v>1.0000022521392138</v>
      </c>
      <c r="AE61" s="586">
        <f t="shared" si="16"/>
        <v>2.122326547440598E-3</v>
      </c>
      <c r="AF61" s="580" t="str">
        <f t="shared" si="37"/>
        <v>0.926382978747144-20.4970630150541i</v>
      </c>
      <c r="AG61" s="270">
        <f t="shared" si="38"/>
        <v>20.517986686476114</v>
      </c>
      <c r="AH61" s="581">
        <f t="shared" si="39"/>
        <v>-1.5256311738357653</v>
      </c>
      <c r="AI61" s="582" t="str">
        <f t="shared" si="17"/>
        <v>4000</v>
      </c>
      <c r="AJ61" s="584" t="str">
        <f t="shared" si="40"/>
        <v>1+22.9956545485792i</v>
      </c>
      <c r="AK61" s="585">
        <f t="shared" si="41"/>
        <v>23.017387517213837</v>
      </c>
      <c r="AL61" s="586">
        <f t="shared" si="42"/>
        <v>1.5273372308919999</v>
      </c>
      <c r="AM61" s="273" t="str">
        <f t="shared" si="43"/>
        <v>1+0.000804819740509353i</v>
      </c>
      <c r="AN61" s="585">
        <f t="shared" si="44"/>
        <v>1.0000003238673549</v>
      </c>
      <c r="AO61" s="586">
        <f t="shared" si="45"/>
        <v>8.0481956673949867E-4</v>
      </c>
      <c r="AP61" s="584" t="str">
        <f t="shared" si="46"/>
        <v>1+5.82268582715477E-06i</v>
      </c>
      <c r="AQ61" s="585">
        <f t="shared" si="47"/>
        <v>1.0000000000169518</v>
      </c>
      <c r="AR61" s="586">
        <f t="shared" si="48"/>
        <v>5.8226858270889669E-6</v>
      </c>
      <c r="AS61" s="580" t="str">
        <f t="shared" si="49"/>
        <v>7.68873702258116-173.611552267527i</v>
      </c>
      <c r="AT61" s="270">
        <f t="shared" si="50"/>
        <v>173.78172446417568</v>
      </c>
      <c r="AU61" s="581">
        <f t="shared" si="51"/>
        <v>-1.5265382340110873</v>
      </c>
      <c r="AV61" s="580" t="str">
        <f t="shared" si="52"/>
        <v>1.43515906392412-20.8263300445289i</v>
      </c>
      <c r="AW61" s="270">
        <f t="shared" si="53"/>
        <v>26.392829453902596</v>
      </c>
      <c r="AX61" s="581">
        <f t="shared" si="54"/>
        <v>-86.057934010514032</v>
      </c>
      <c r="AY61" s="299">
        <f t="shared" si="21"/>
        <v>93.942065989485968</v>
      </c>
      <c r="BB61" s="270">
        <f t="shared" si="57"/>
        <v>4.8000820496536303</v>
      </c>
      <c r="BC61" s="270">
        <f t="shared" si="58"/>
        <v>-87.464198074189326</v>
      </c>
      <c r="BD61" s="286"/>
      <c r="BE61" s="270">
        <f t="shared" si="55"/>
        <v>21.592747404248978</v>
      </c>
      <c r="BF61" s="581">
        <f t="shared" si="56"/>
        <v>1.4062640636752926</v>
      </c>
      <c r="BI61" s="286"/>
      <c r="BJ61" s="286"/>
      <c r="BL61" s="253">
        <f t="shared" si="24"/>
        <v>0</v>
      </c>
      <c r="BM61" s="253">
        <f t="shared" si="25"/>
        <v>0</v>
      </c>
      <c r="BN61" s="253">
        <f t="shared" si="26"/>
        <v>0</v>
      </c>
      <c r="BO61" s="253">
        <f t="shared" si="27"/>
        <v>0</v>
      </c>
    </row>
    <row r="62" spans="4:67" ht="13.6" thickBot="1" x14ac:dyDescent="0.25">
      <c r="D62" s="280">
        <v>91.201000000000008</v>
      </c>
      <c r="E62" s="273" t="str">
        <f t="shared" si="0"/>
        <v>0.00103145900976015i</v>
      </c>
      <c r="F62" s="579" t="str">
        <f t="shared" si="28"/>
        <v>0.002-26.8477054640756i</v>
      </c>
      <c r="G62" s="270" t="str">
        <f t="shared" si="29"/>
        <v>0.002-26.8477054640756i</v>
      </c>
      <c r="H62" s="271" t="str">
        <f t="shared" si="30"/>
        <v>1.98895154604429-0.148164654163962i</v>
      </c>
      <c r="I62" s="271" t="str">
        <f t="shared" si="31"/>
        <v>1.99895154604429-0.148164654163962i</v>
      </c>
      <c r="J62" s="270" t="str">
        <f t="shared" si="32"/>
        <v>1.96627814936755-0.292945193482595i</v>
      </c>
      <c r="K62" s="271" t="str">
        <f t="shared" si="1"/>
        <v>0.999999789964334-0.000719890431155886i</v>
      </c>
      <c r="L62" s="580"/>
      <c r="M62" s="580" t="str">
        <f t="shared" si="2"/>
        <v>23.0459367329281+2.08769022525053i</v>
      </c>
      <c r="N62" s="270" t="str">
        <f t="shared" si="3"/>
        <v>10.6177858830294+1.5657676689379i</v>
      </c>
      <c r="O62" s="581" t="str">
        <f t="shared" si="4"/>
        <v>10.6165461491495+0.771055359602135i</v>
      </c>
      <c r="P62" s="582" t="str">
        <f t="shared" si="5"/>
        <v>21.3362044891898-0.0316945854420565i</v>
      </c>
      <c r="Q62" s="583" t="str">
        <f t="shared" si="6"/>
        <v>21.2300390276982-0.0394051390380756i</v>
      </c>
      <c r="R62" s="581" t="str">
        <f t="shared" si="33"/>
        <v>1.03194889320026+0.0927334683559313i</v>
      </c>
      <c r="S62" s="253" t="str">
        <f t="shared" si="34"/>
        <v>26.095807229263+1.16819041773779i</v>
      </c>
      <c r="T62" s="253" t="str">
        <f t="shared" si="35"/>
        <v>12.0117134220219+0.32312519533516i</v>
      </c>
      <c r="U62" s="253" t="str">
        <f t="shared" si="36"/>
        <v>23.9385917141899-1.13703100826276i</v>
      </c>
      <c r="V62" s="582" t="str">
        <f t="shared" si="7"/>
        <v>6000</v>
      </c>
      <c r="W62" s="584" t="str">
        <f t="shared" si="8"/>
        <v>1+320.946493345838i</v>
      </c>
      <c r="X62" s="585">
        <f t="shared" si="9"/>
        <v>320.9480512341367</v>
      </c>
      <c r="Y62" s="586">
        <f t="shared" si="10"/>
        <v>1.5676805527181743</v>
      </c>
      <c r="Z62" s="273" t="str">
        <f t="shared" si="11"/>
        <v>1+0.0481347537888072i</v>
      </c>
      <c r="AA62" s="585">
        <f t="shared" si="12"/>
        <v>1.001157807002627</v>
      </c>
      <c r="AB62" s="586">
        <f t="shared" si="13"/>
        <v>4.8097630038425446E-2</v>
      </c>
      <c r="AC62" s="584" t="str">
        <f t="shared" si="14"/>
        <v>1+0.00232709668734497i</v>
      </c>
      <c r="AD62" s="585">
        <f t="shared" si="15"/>
        <v>1.0000027076858304</v>
      </c>
      <c r="AE62" s="586">
        <f t="shared" si="16"/>
        <v>2.3270924866551144E-3</v>
      </c>
      <c r="AF62" s="580" t="str">
        <f t="shared" si="37"/>
        <v>0.91460199249825-18.6938480775405i</v>
      </c>
      <c r="AG62" s="270">
        <f t="shared" si="38"/>
        <v>18.716208289897999</v>
      </c>
      <c r="AH62" s="581">
        <f t="shared" si="39"/>
        <v>-1.5219100151664042</v>
      </c>
      <c r="AI62" s="582" t="str">
        <f t="shared" si="17"/>
        <v>4000</v>
      </c>
      <c r="AJ62" s="584" t="str">
        <f t="shared" si="40"/>
        <v>1+25.2143249312899i</v>
      </c>
      <c r="AK62" s="585">
        <f t="shared" si="41"/>
        <v>25.234147137176393</v>
      </c>
      <c r="AL62" s="586">
        <f t="shared" si="42"/>
        <v>1.5311571061568763</v>
      </c>
      <c r="AM62" s="273" t="str">
        <f t="shared" si="43"/>
        <v>1+0.000882470486128133i</v>
      </c>
      <c r="AN62" s="585">
        <f t="shared" si="44"/>
        <v>1.0000003893770038</v>
      </c>
      <c r="AO62" s="586">
        <f t="shared" si="45"/>
        <v>8.8247025705238632E-4</v>
      </c>
      <c r="AP62" s="584" t="str">
        <f t="shared" si="46"/>
        <v>1+6.38447112294825E-06i</v>
      </c>
      <c r="AQ62" s="585">
        <f t="shared" si="47"/>
        <v>1.0000000000203806</v>
      </c>
      <c r="AR62" s="586">
        <f t="shared" si="48"/>
        <v>6.3844711228615025E-6</v>
      </c>
      <c r="AS62" s="580" t="str">
        <f t="shared" si="49"/>
        <v>6.42054413626476-158.385342027589i</v>
      </c>
      <c r="AT62" s="270">
        <f t="shared" si="50"/>
        <v>158.51542497877634</v>
      </c>
      <c r="AU62" s="581">
        <f t="shared" si="51"/>
        <v>-1.5302810203709467</v>
      </c>
      <c r="AV62" s="580" t="str">
        <f t="shared" si="52"/>
        <v>1.28300030759146-19.0040469910613i</v>
      </c>
      <c r="AW62" s="270">
        <f t="shared" si="53"/>
        <v>25.596671488990278</v>
      </c>
      <c r="AX62" s="581">
        <f t="shared" si="54"/>
        <v>-86.137710899705581</v>
      </c>
      <c r="AY62" s="299">
        <f t="shared" si="21"/>
        <v>93.862289100294419</v>
      </c>
      <c r="BB62" s="270">
        <f t="shared" si="57"/>
        <v>4.0014305875069232</v>
      </c>
      <c r="BC62" s="270">
        <f t="shared" si="58"/>
        <v>-87.678643936228397</v>
      </c>
      <c r="BD62" s="286"/>
      <c r="BE62" s="270">
        <f t="shared" si="55"/>
        <v>21.595240901483361</v>
      </c>
      <c r="BF62" s="581">
        <f t="shared" si="56"/>
        <v>1.5409330365228193</v>
      </c>
      <c r="BI62" s="286"/>
      <c r="BJ62" s="286"/>
      <c r="BL62" s="253">
        <f t="shared" si="24"/>
        <v>0</v>
      </c>
      <c r="BM62" s="253">
        <f t="shared" si="25"/>
        <v>0</v>
      </c>
      <c r="BN62" s="253">
        <f t="shared" si="26"/>
        <v>0</v>
      </c>
      <c r="BO62" s="253">
        <f t="shared" si="27"/>
        <v>0</v>
      </c>
    </row>
    <row r="63" spans="4:67" ht="13.6" thickBot="1" x14ac:dyDescent="0.25">
      <c r="D63" s="280">
        <v>100</v>
      </c>
      <c r="E63" s="273" t="str">
        <f t="shared" si="0"/>
        <v>0.00113097335529233i</v>
      </c>
      <c r="F63" s="579" t="str">
        <f t="shared" si="28"/>
        <v>0.002-24.4853758602916i</v>
      </c>
      <c r="G63" s="270" t="str">
        <f t="shared" si="29"/>
        <v>0.002-24.4853758602916i</v>
      </c>
      <c r="H63" s="271" t="str">
        <f t="shared" si="30"/>
        <v>1.98673165273886-0.162277956910067i</v>
      </c>
      <c r="I63" s="271" t="str">
        <f t="shared" si="31"/>
        <v>1.99673165273886-0.162277956910067i</v>
      </c>
      <c r="J63" s="270" t="str">
        <f t="shared" si="32"/>
        <v>1.95766533678735-0.319798835136317i</v>
      </c>
      <c r="K63" s="271" t="str">
        <f t="shared" si="1"/>
        <v>0.999999747481124-0.000789344887836631i</v>
      </c>
      <c r="L63" s="580"/>
      <c r="M63" s="580" t="str">
        <f t="shared" si="2"/>
        <v>23.0470662407125+2.28917050550027i</v>
      </c>
      <c r="N63" s="270" t="str">
        <f t="shared" si="3"/>
        <v>10.6186330138677+1.7168778791252i</v>
      </c>
      <c r="O63" s="581" t="str">
        <f t="shared" si="4"/>
        <v>10.6171424516739+0.845468656667315i</v>
      </c>
      <c r="P63" s="582" t="str">
        <f t="shared" si="5"/>
        <v>21.3367853211301-0.0347541571145444i</v>
      </c>
      <c r="Q63" s="583" t="str">
        <f t="shared" si="6"/>
        <v>21.2306138966135-0.0432088436812215i</v>
      </c>
      <c r="R63" s="581" t="str">
        <f t="shared" si="33"/>
        <v>1.03201303630948+0.101683032943822i</v>
      </c>
      <c r="S63" s="253" t="str">
        <f t="shared" si="34"/>
        <v>26.1070163778377+1.2803299033056i</v>
      </c>
      <c r="T63" s="253" t="str">
        <f t="shared" si="35"/>
        <v>12.0149829373268+0.354134638466916i</v>
      </c>
      <c r="U63" s="253" t="str">
        <f t="shared" si="36"/>
        <v>23.9280151543061-1.24619638780526i</v>
      </c>
      <c r="V63" s="582" t="str">
        <f t="shared" si="7"/>
        <v>6000</v>
      </c>
      <c r="W63" s="584" t="str">
        <f t="shared" si="8"/>
        <v>1+351.911155958638i</v>
      </c>
      <c r="X63" s="585">
        <f t="shared" si="9"/>
        <v>351.91257676892548</v>
      </c>
      <c r="Y63" s="586">
        <f t="shared" si="10"/>
        <v>1.5679547081321532</v>
      </c>
      <c r="Z63" s="273" t="str">
        <f t="shared" si="11"/>
        <v>1+0.0527787565803086i</v>
      </c>
      <c r="AA63" s="585">
        <f t="shared" si="12"/>
        <v>1.0013918299777382</v>
      </c>
      <c r="AB63" s="586">
        <f t="shared" si="13"/>
        <v>5.2729831541013905E-2</v>
      </c>
      <c r="AC63" s="584" t="str">
        <f t="shared" si="14"/>
        <v>1+0.00255161312633082i</v>
      </c>
      <c r="AD63" s="585">
        <f t="shared" si="15"/>
        <v>1.0000032553594744</v>
      </c>
      <c r="AE63" s="586">
        <f t="shared" si="16"/>
        <v>2.5516075887314612E-3</v>
      </c>
      <c r="AF63" s="580" t="str">
        <f t="shared" si="37"/>
        <v>0.904803002392938-17.049371842385i</v>
      </c>
      <c r="AG63" s="270">
        <f t="shared" si="38"/>
        <v>17.073363719345107</v>
      </c>
      <c r="AH63" s="581">
        <f t="shared" si="39"/>
        <v>-1.5177764841798707</v>
      </c>
      <c r="AI63" s="582" t="str">
        <f t="shared" si="17"/>
        <v>4000</v>
      </c>
      <c r="AJ63" s="584" t="str">
        <f t="shared" si="40"/>
        <v>1+27.6469829621275i</v>
      </c>
      <c r="AK63" s="585">
        <f t="shared" si="41"/>
        <v>27.665062206837131</v>
      </c>
      <c r="AL63" s="586">
        <f t="shared" si="42"/>
        <v>1.5346417761801721</v>
      </c>
      <c r="AM63" s="273" t="str">
        <f t="shared" si="43"/>
        <v>1+0.000967610537305657i</v>
      </c>
      <c r="AN63" s="585">
        <f t="shared" si="44"/>
        <v>1.0000004681349663</v>
      </c>
      <c r="AO63" s="586">
        <f t="shared" si="45"/>
        <v>9.6761023532420515E-4</v>
      </c>
      <c r="AP63" s="584" t="str">
        <f t="shared" si="46"/>
        <v>1+7.00043982297151E-06i</v>
      </c>
      <c r="AQ63" s="585">
        <f t="shared" si="47"/>
        <v>1.0000000000245031</v>
      </c>
      <c r="AR63" s="586">
        <f t="shared" si="48"/>
        <v>7.0004398228571556E-6</v>
      </c>
      <c r="AS63" s="580" t="str">
        <f t="shared" si="49"/>
        <v>5.36512903533472-144.487190639772i</v>
      </c>
      <c r="AT63" s="270">
        <f t="shared" si="50"/>
        <v>144.58676588311812</v>
      </c>
      <c r="AU63" s="581">
        <f t="shared" si="51"/>
        <v>-1.5336811663846708</v>
      </c>
      <c r="AV63" s="580" t="str">
        <f t="shared" si="52"/>
        <v>1.15629852836419-17.3411115216789i</v>
      </c>
      <c r="AW63" s="270">
        <f t="shared" si="53"/>
        <v>24.800805296395559</v>
      </c>
      <c r="AX63" s="581">
        <f t="shared" si="54"/>
        <v>-86.185186931180652</v>
      </c>
      <c r="AY63" s="299">
        <f t="shared" si="21"/>
        <v>93.814813068819348</v>
      </c>
      <c r="BB63" s="270">
        <f t="shared" si="57"/>
        <v>3.2025708706553098</v>
      </c>
      <c r="BC63" s="270">
        <f t="shared" si="58"/>
        <v>-87.873457952543021</v>
      </c>
      <c r="BD63" s="286"/>
      <c r="BE63" s="270">
        <f t="shared" si="55"/>
        <v>21.598234425740237</v>
      </c>
      <c r="BF63" s="581">
        <f t="shared" si="56"/>
        <v>1.6882710213623817</v>
      </c>
      <c r="BI63" s="286"/>
      <c r="BJ63" s="286"/>
      <c r="BL63" s="253">
        <f t="shared" si="24"/>
        <v>0</v>
      </c>
      <c r="BM63" s="253">
        <f t="shared" si="25"/>
        <v>0</v>
      </c>
      <c r="BN63" s="253">
        <f t="shared" si="26"/>
        <v>0</v>
      </c>
      <c r="BO63" s="253">
        <f t="shared" si="27"/>
        <v>0</v>
      </c>
    </row>
    <row r="64" spans="4:67" ht="13.6" thickBot="1" x14ac:dyDescent="0.25">
      <c r="D64" s="280">
        <v>109.65</v>
      </c>
      <c r="E64" s="273" t="str">
        <f t="shared" si="0"/>
        <v>0.00124011228407803i</v>
      </c>
      <c r="F64" s="579" t="str">
        <f t="shared" si="28"/>
        <v>0.002-22.3304841407128i</v>
      </c>
      <c r="G64" s="270" t="str">
        <f t="shared" si="29"/>
        <v>0.002-22.3304841407128i</v>
      </c>
      <c r="H64" s="271" t="str">
        <f t="shared" si="30"/>
        <v>1.98406870750928-0.177699038114403i</v>
      </c>
      <c r="I64" s="271" t="str">
        <f t="shared" si="31"/>
        <v>1.99406870750928-0.177699038114403i</v>
      </c>
      <c r="J64" s="270" t="str">
        <f t="shared" si="32"/>
        <v>1.94740768063693-0.348818777807293i</v>
      </c>
      <c r="K64" s="271" t="str">
        <f t="shared" si="1"/>
        <v>0.999999696393462-0.000865516669512866i</v>
      </c>
      <c r="L64" s="580"/>
      <c r="M64" s="580" t="str">
        <f t="shared" si="2"/>
        <v>23.0484246340597+2.51015667088009i</v>
      </c>
      <c r="N64" s="270" t="str">
        <f t="shared" si="3"/>
        <v>10.6196518088781+1.88261750316007i</v>
      </c>
      <c r="O64" s="581" t="str">
        <f t="shared" si="4"/>
        <v>10.6178595843103+0.927086037029495i</v>
      </c>
      <c r="P64" s="582" t="str">
        <f t="shared" si="5"/>
        <v>21.33748383483-0.0381101793564267i</v>
      </c>
      <c r="Q64" s="583" t="str">
        <f t="shared" si="6"/>
        <v>21.231305238987-0.0473810397267247i</v>
      </c>
      <c r="R64" s="581" t="str">
        <f t="shared" si="33"/>
        <v>1.03209017704897+0.111499023486963i</v>
      </c>
      <c r="S64" s="253" t="str">
        <f t="shared" si="34"/>
        <v>26.1204830822926+1.40313533809183i</v>
      </c>
      <c r="T64" s="253" t="str">
        <f t="shared" si="35"/>
        <v>12.0189109392884+0.388090718335465i</v>
      </c>
      <c r="U64" s="253" t="str">
        <f t="shared" si="36"/>
        <v>23.9153084403324-1.36575026317004i</v>
      </c>
      <c r="V64" s="582" t="str">
        <f t="shared" si="7"/>
        <v>6000</v>
      </c>
      <c r="W64" s="584" t="str">
        <f t="shared" si="8"/>
        <v>1+385.870582508647i</v>
      </c>
      <c r="X64" s="585">
        <f t="shared" si="9"/>
        <v>385.8718782777031</v>
      </c>
      <c r="Y64" s="586">
        <f t="shared" si="10"/>
        <v>1.5682047901330181</v>
      </c>
      <c r="Z64" s="273" t="str">
        <f t="shared" si="11"/>
        <v>1+0.0578719065903084i</v>
      </c>
      <c r="AA64" s="585">
        <f t="shared" si="12"/>
        <v>1.0016731790221787</v>
      </c>
      <c r="AB64" s="586">
        <f t="shared" si="13"/>
        <v>5.7807428730644754E-2</v>
      </c>
      <c r="AC64" s="584" t="str">
        <f t="shared" si="14"/>
        <v>1+0.00279784379302174i</v>
      </c>
      <c r="AD64" s="585">
        <f t="shared" si="15"/>
        <v>1.0000039139572856</v>
      </c>
      <c r="AE64" s="586">
        <f t="shared" si="16"/>
        <v>2.7978364926143427E-3</v>
      </c>
      <c r="AF64" s="580" t="str">
        <f t="shared" si="37"/>
        <v>0.896650672037814-15.5493270174461i</v>
      </c>
      <c r="AG64" s="270">
        <f t="shared" si="38"/>
        <v>15.575158205396988</v>
      </c>
      <c r="AH64" s="581">
        <f t="shared" si="39"/>
        <v>-1.5131951978949876</v>
      </c>
      <c r="AI64" s="582" t="str">
        <f t="shared" si="17"/>
        <v>4000</v>
      </c>
      <c r="AJ64" s="584" t="str">
        <f t="shared" si="40"/>
        <v>1+30.3149168179728i</v>
      </c>
      <c r="AK64" s="585">
        <f t="shared" si="41"/>
        <v>30.331405863899718</v>
      </c>
      <c r="AL64" s="586">
        <f t="shared" si="42"/>
        <v>1.5378212232430535</v>
      </c>
      <c r="AM64" s="273" t="str">
        <f t="shared" si="43"/>
        <v>1+0.00106098495415565i</v>
      </c>
      <c r="AN64" s="585">
        <f t="shared" si="44"/>
        <v>1.000000562844378</v>
      </c>
      <c r="AO64" s="586">
        <f t="shared" si="45"/>
        <v>1.0609845560428624E-3</v>
      </c>
      <c r="AP64" s="584" t="str">
        <f t="shared" si="46"/>
        <v>1+7.67598226588826E-06i</v>
      </c>
      <c r="AQ64" s="585">
        <f t="shared" si="47"/>
        <v>1.0000000000294604</v>
      </c>
      <c r="AR64" s="586">
        <f t="shared" si="48"/>
        <v>7.6759822657375016E-6</v>
      </c>
      <c r="AS64" s="580" t="str">
        <f t="shared" si="49"/>
        <v>4.48668481822208-131.800241165553i</v>
      </c>
      <c r="AT64" s="270">
        <f t="shared" si="50"/>
        <v>131.87658591257204</v>
      </c>
      <c r="AU64" s="581">
        <f t="shared" si="51"/>
        <v>-1.5367679146692763</v>
      </c>
      <c r="AV64" s="580" t="str">
        <f t="shared" si="52"/>
        <v>1.05075515513596-15.8235411961147i</v>
      </c>
      <c r="AW64" s="270">
        <f t="shared" si="53"/>
        <v>24.005182037300109</v>
      </c>
      <c r="AX64" s="581">
        <f t="shared" si="54"/>
        <v>-86.200877070634576</v>
      </c>
      <c r="AY64" s="299">
        <f t="shared" si="21"/>
        <v>93.799122929365424</v>
      </c>
      <c r="BB64" s="270">
        <f t="shared" si="57"/>
        <v>2.4033539076505108</v>
      </c>
      <c r="BC64" s="270">
        <f t="shared" si="58"/>
        <v>-88.050315601670164</v>
      </c>
      <c r="BD64" s="286"/>
      <c r="BE64" s="270">
        <f t="shared" si="55"/>
        <v>21.601828129649569</v>
      </c>
      <c r="BF64" s="581">
        <f t="shared" si="56"/>
        <v>1.8494385310355848</v>
      </c>
      <c r="BI64" s="286"/>
      <c r="BJ64" s="286"/>
      <c r="BL64" s="253">
        <f t="shared" si="24"/>
        <v>0</v>
      </c>
      <c r="BM64" s="253">
        <f t="shared" si="25"/>
        <v>0</v>
      </c>
      <c r="BN64" s="253">
        <f t="shared" si="26"/>
        <v>0</v>
      </c>
      <c r="BO64" s="253">
        <f t="shared" si="27"/>
        <v>0</v>
      </c>
    </row>
    <row r="65" spans="4:67" ht="13.6" thickBot="1" x14ac:dyDescent="0.25">
      <c r="D65" s="280">
        <v>120.23</v>
      </c>
      <c r="E65" s="273" t="str">
        <f t="shared" si="0"/>
        <v>0.00135976926506796i</v>
      </c>
      <c r="F65" s="579" t="str">
        <f t="shared" si="28"/>
        <v>0.002-20.3654461118619i</v>
      </c>
      <c r="G65" s="270" t="str">
        <f t="shared" si="29"/>
        <v>0.002-20.3654461118619i</v>
      </c>
      <c r="H65" s="271" t="str">
        <f t="shared" si="30"/>
        <v>1.98087684715205-0.194531238168699i</v>
      </c>
      <c r="I65" s="271" t="str">
        <f t="shared" si="31"/>
        <v>1.99087684715205-0.194531238168699i</v>
      </c>
      <c r="J65" s="270" t="str">
        <f t="shared" si="32"/>
        <v>1.93521791839636-0.380077494494826i</v>
      </c>
      <c r="K65" s="271" t="str">
        <f t="shared" si="1"/>
        <v>0.999999634977579-0.000949029358645982i</v>
      </c>
      <c r="L65" s="580"/>
      <c r="M65" s="580" t="str">
        <f t="shared" si="2"/>
        <v>23.0500578193099+2.752465803987i</v>
      </c>
      <c r="N65" s="270" t="str">
        <f t="shared" si="3"/>
        <v>10.6208766978157+2.06434935299025i</v>
      </c>
      <c r="O65" s="581" t="str">
        <f t="shared" si="4"/>
        <v>10.6187217787326+1.01657857510038i</v>
      </c>
      <c r="P65" s="582" t="str">
        <f t="shared" si="5"/>
        <v>21.3383236245379-0.0417903469076077i</v>
      </c>
      <c r="Q65" s="583" t="str">
        <f t="shared" si="6"/>
        <v>21.2321364067507-0.051956132658618i</v>
      </c>
      <c r="R65" s="581" t="str">
        <f t="shared" si="33"/>
        <v>1.03218292208236+0.122262150131902i</v>
      </c>
      <c r="S65" s="253" t="str">
        <f t="shared" si="34"/>
        <v>26.1366539493271+1.53753946024298i</v>
      </c>
      <c r="T65" s="253" t="str">
        <f t="shared" si="35"/>
        <v>12.0236276931483+0.425250218173778i</v>
      </c>
      <c r="U65" s="253" t="str">
        <f t="shared" si="36"/>
        <v>23.9000501676065-1.49660287100081i</v>
      </c>
      <c r="V65" s="582" t="str">
        <f t="shared" si="7"/>
        <v>6000</v>
      </c>
      <c r="W65" s="584" t="str">
        <f t="shared" si="8"/>
        <v>1+423.102782809071i</v>
      </c>
      <c r="X65" s="585">
        <f t="shared" si="9"/>
        <v>423.10396455337064</v>
      </c>
      <c r="Y65" s="586">
        <f t="shared" si="10"/>
        <v>1.5684328392958646</v>
      </c>
      <c r="Z65" s="273" t="str">
        <f t="shared" si="11"/>
        <v>1+0.063455899036505i</v>
      </c>
      <c r="AA65" s="585">
        <f t="shared" si="12"/>
        <v>1.0020113028916047</v>
      </c>
      <c r="AB65" s="586">
        <f t="shared" si="13"/>
        <v>6.3370932631246102E-2</v>
      </c>
      <c r="AC65" s="584" t="str">
        <f t="shared" si="14"/>
        <v>1+0.00306780446178754i</v>
      </c>
      <c r="AD65" s="585">
        <f t="shared" si="15"/>
        <v>1.0000047057010359</v>
      </c>
      <c r="AE65" s="586">
        <f t="shared" si="16"/>
        <v>3.0677948377054853E-3</v>
      </c>
      <c r="AF65" s="580" t="str">
        <f t="shared" si="37"/>
        <v>0.889870376822238-14.1814753203017i</v>
      </c>
      <c r="AG65" s="270">
        <f t="shared" si="38"/>
        <v>14.209367035440811</v>
      </c>
      <c r="AH65" s="581">
        <f t="shared" si="39"/>
        <v>-1.5081297015023238</v>
      </c>
      <c r="AI65" s="582" t="str">
        <f t="shared" si="17"/>
        <v>4000</v>
      </c>
      <c r="AJ65" s="584" t="str">
        <f t="shared" si="40"/>
        <v>1+33.2399676153659i</v>
      </c>
      <c r="AK65" s="585">
        <f t="shared" si="41"/>
        <v>33.255006345971033</v>
      </c>
      <c r="AL65" s="586">
        <f t="shared" si="42"/>
        <v>1.5407211327507977</v>
      </c>
      <c r="AM65" s="273" t="str">
        <f t="shared" si="43"/>
        <v>1+0.00116335814900259i</v>
      </c>
      <c r="AN65" s="585">
        <f t="shared" si="44"/>
        <v>1.0000006767008625</v>
      </c>
      <c r="AO65" s="586">
        <f t="shared" si="45"/>
        <v>1.1633576241725301E-3</v>
      </c>
      <c r="AP65" s="584" t="str">
        <f t="shared" si="46"/>
        <v>1+8.41662879915864E-06i</v>
      </c>
      <c r="AQ65" s="585">
        <f t="shared" si="47"/>
        <v>1.0000000000354197</v>
      </c>
      <c r="AR65" s="586">
        <f t="shared" si="48"/>
        <v>8.4166287989598955E-6</v>
      </c>
      <c r="AS65" s="580" t="str">
        <f t="shared" si="49"/>
        <v>3.75583507897716-120.22407031337i</v>
      </c>
      <c r="AT65" s="270">
        <f t="shared" si="50"/>
        <v>120.28272269887562</v>
      </c>
      <c r="AU65" s="581">
        <f t="shared" si="51"/>
        <v>-1.5395661917554242</v>
      </c>
      <c r="AV65" s="580" t="str">
        <f t="shared" si="52"/>
        <v>0.962840747969878-14.4393229151608i</v>
      </c>
      <c r="AW65" s="270">
        <f t="shared" si="53"/>
        <v>23.210204541651827</v>
      </c>
      <c r="AX65" s="581">
        <f t="shared" si="54"/>
        <v>-86.185059141171308</v>
      </c>
      <c r="AY65" s="299">
        <f t="shared" si="21"/>
        <v>93.814940858828692</v>
      </c>
      <c r="BB65" s="270">
        <f t="shared" si="57"/>
        <v>1.6040650030881485</v>
      </c>
      <c r="BC65" s="270">
        <f t="shared" si="58"/>
        <v>-88.21064506861461</v>
      </c>
      <c r="BD65" s="286"/>
      <c r="BE65" s="270">
        <f t="shared" si="55"/>
        <v>21.606139538563703</v>
      </c>
      <c r="BF65" s="581">
        <f t="shared" si="56"/>
        <v>2.0255859274432866</v>
      </c>
      <c r="BI65" s="286"/>
      <c r="BJ65" s="286"/>
      <c r="BL65" s="253">
        <f t="shared" si="24"/>
        <v>0</v>
      </c>
      <c r="BM65" s="253">
        <f t="shared" si="25"/>
        <v>0</v>
      </c>
      <c r="BN65" s="253">
        <f t="shared" si="26"/>
        <v>0</v>
      </c>
      <c r="BO65" s="253">
        <f t="shared" si="27"/>
        <v>0</v>
      </c>
    </row>
    <row r="66" spans="4:67" ht="13.6" thickBot="1" x14ac:dyDescent="0.25">
      <c r="D66" s="280">
        <v>131.83000000000001</v>
      </c>
      <c r="E66" s="273" t="str">
        <f t="shared" si="0"/>
        <v>0.00149096217428187i</v>
      </c>
      <c r="F66" s="579" t="str">
        <f t="shared" si="28"/>
        <v>0.002-18.5734475159612i</v>
      </c>
      <c r="G66" s="270" t="str">
        <f t="shared" si="29"/>
        <v>0.002-18.5734475159612i</v>
      </c>
      <c r="H66" s="271" t="str">
        <f t="shared" si="30"/>
        <v>1.97705318915573-0.212887805631767i</v>
      </c>
      <c r="I66" s="271" t="str">
        <f t="shared" si="31"/>
        <v>1.98705318915573-0.212887805631767i</v>
      </c>
      <c r="J66" s="270" t="str">
        <f t="shared" si="32"/>
        <v>1.92076429708093-0.413629832323137i</v>
      </c>
      <c r="K66" s="271" t="str">
        <f t="shared" si="1"/>
        <v>0.999999561143686-0.00104059336563503i</v>
      </c>
      <c r="L66" s="580"/>
      <c r="M66" s="580" t="str">
        <f t="shared" si="2"/>
        <v>23.0520214729513+3.01816963692971i</v>
      </c>
      <c r="N66" s="270" t="str">
        <f t="shared" si="3"/>
        <v>10.6223494380468+2.26362722769728i</v>
      </c>
      <c r="O66" s="581" t="str">
        <f t="shared" si="4"/>
        <v>10.6197584226889+1.11471138415323i</v>
      </c>
      <c r="P66" s="582" t="str">
        <f t="shared" si="5"/>
        <v>21.3393333023525-0.0458262560758458i</v>
      </c>
      <c r="Q66" s="583" t="str">
        <f t="shared" si="6"/>
        <v>21.2331357181256-0.0569733699173738i</v>
      </c>
      <c r="R66" s="581" t="str">
        <f t="shared" si="33"/>
        <v>1.03229443275786+0.134064433310346i</v>
      </c>
      <c r="S66" s="253" t="str">
        <f t="shared" si="34"/>
        <v>26.1560680121016+1.68459024899546i</v>
      </c>
      <c r="T66" s="253" t="str">
        <f t="shared" si="35"/>
        <v>12.0292904222259+0.465901403473681i</v>
      </c>
      <c r="U66" s="253" t="str">
        <f t="shared" si="36"/>
        <v>23.8817317199683-1.63977738572512i</v>
      </c>
      <c r="V66" s="582" t="str">
        <f t="shared" si="7"/>
        <v>6000</v>
      </c>
      <c r="W66" s="584" t="str">
        <f t="shared" si="8"/>
        <v>1+463.924476900273i</v>
      </c>
      <c r="X66" s="585">
        <f t="shared" si="9"/>
        <v>463.92555466065028</v>
      </c>
      <c r="Y66" s="586">
        <f t="shared" si="10"/>
        <v>1.5686408068750906</v>
      </c>
      <c r="Z66" s="273" t="str">
        <f t="shared" si="11"/>
        <v>1+0.0695782347998208i</v>
      </c>
      <c r="AA66" s="585">
        <f t="shared" si="12"/>
        <v>1.002417642880381</v>
      </c>
      <c r="AB66" s="586">
        <f t="shared" si="13"/>
        <v>6.9466280700151276E-2</v>
      </c>
      <c r="AC66" s="584" t="str">
        <f t="shared" si="14"/>
        <v>1+0.00336379158444191i</v>
      </c>
      <c r="AD66" s="585">
        <f t="shared" si="15"/>
        <v>1.000005657530908</v>
      </c>
      <c r="AE66" s="586">
        <f t="shared" si="16"/>
        <v>3.3637788973222499E-3</v>
      </c>
      <c r="AF66" s="580" t="str">
        <f t="shared" si="37"/>
        <v>0.884230728465762-12.9341141553119i</v>
      </c>
      <c r="AG66" s="270">
        <f t="shared" si="38"/>
        <v>12.964303797882966</v>
      </c>
      <c r="AH66" s="581">
        <f t="shared" si="39"/>
        <v>-1.5025383050722616</v>
      </c>
      <c r="AI66" s="582" t="str">
        <f t="shared" si="17"/>
        <v>4000</v>
      </c>
      <c r="AJ66" s="584" t="str">
        <f t="shared" si="40"/>
        <v>1+36.4470176389727i</v>
      </c>
      <c r="AK66" s="585">
        <f t="shared" si="41"/>
        <v>36.460733601719909</v>
      </c>
      <c r="AL66" s="586">
        <f t="shared" si="42"/>
        <v>1.5433661213407477</v>
      </c>
      <c r="AM66" s="273" t="str">
        <f t="shared" si="43"/>
        <v>1+0.00127560097133005i</v>
      </c>
      <c r="AN66" s="585">
        <f t="shared" si="44"/>
        <v>1.0000008135785881</v>
      </c>
      <c r="AO66" s="586">
        <f t="shared" si="45"/>
        <v>1.2756002794626858E-3</v>
      </c>
      <c r="AP66" s="584" t="str">
        <f t="shared" si="46"/>
        <v>1+9.22867981862333E-06i</v>
      </c>
      <c r="AQ66" s="585">
        <f t="shared" si="47"/>
        <v>1.0000000000425842</v>
      </c>
      <c r="AR66" s="586">
        <f t="shared" si="48"/>
        <v>9.2286798183613321E-6</v>
      </c>
      <c r="AS66" s="580" t="str">
        <f t="shared" si="49"/>
        <v>3.14778767729704-109.661983832572i</v>
      </c>
      <c r="AT66" s="270">
        <f t="shared" si="50"/>
        <v>109.70715229809143</v>
      </c>
      <c r="AU66" s="581">
        <f t="shared" si="51"/>
        <v>-1.5420997497411035</v>
      </c>
      <c r="AV66" s="580" t="str">
        <f t="shared" si="52"/>
        <v>0.889573243330134-13.1768929310276i</v>
      </c>
      <c r="AW66" s="270">
        <f t="shared" si="53"/>
        <v>22.416008832086156</v>
      </c>
      <c r="AX66" s="581">
        <f t="shared" si="54"/>
        <v>-86.13781703070633</v>
      </c>
      <c r="AY66" s="299">
        <f t="shared" si="21"/>
        <v>93.86218296929367</v>
      </c>
      <c r="BB66" s="270">
        <f t="shared" si="57"/>
        <v>0.80469884180200868</v>
      </c>
      <c r="BC66" s="270">
        <f t="shared" si="58"/>
        <v>-88.355807248345698</v>
      </c>
      <c r="BD66" s="286"/>
      <c r="BE66" s="270">
        <f t="shared" si="55"/>
        <v>21.611309990284148</v>
      </c>
      <c r="BF66" s="581">
        <f t="shared" si="56"/>
        <v>2.2179902176393647</v>
      </c>
      <c r="BI66" s="286"/>
      <c r="BJ66" s="286"/>
      <c r="BL66" s="253">
        <f t="shared" si="24"/>
        <v>0</v>
      </c>
      <c r="BM66" s="253">
        <f t="shared" si="25"/>
        <v>0</v>
      </c>
      <c r="BN66" s="253">
        <f t="shared" si="26"/>
        <v>0</v>
      </c>
      <c r="BO66" s="253">
        <f t="shared" si="27"/>
        <v>0</v>
      </c>
    </row>
    <row r="67" spans="4:67" ht="13.6" thickBot="1" x14ac:dyDescent="0.25">
      <c r="D67" s="280">
        <v>144.54</v>
      </c>
      <c r="E67" s="273" t="str">
        <f t="shared" si="0"/>
        <v>0.00163470888773953i</v>
      </c>
      <c r="F67" s="579" t="str">
        <f t="shared" si="28"/>
        <v>0.002-16.9402074583448i</v>
      </c>
      <c r="G67" s="270" t="str">
        <f t="shared" si="29"/>
        <v>0.002-16.9402074583448i</v>
      </c>
      <c r="H67" s="271" t="str">
        <f t="shared" si="30"/>
        <v>1.97247907887662-0.232872184452955i</v>
      </c>
      <c r="I67" s="271" t="str">
        <f t="shared" si="31"/>
        <v>1.98247907887662-0.232872184452955i</v>
      </c>
      <c r="J67" s="270" t="str">
        <f t="shared" si="32"/>
        <v>1.90368369768331-0.449468516373033i</v>
      </c>
      <c r="K67" s="271" t="str">
        <f t="shared" si="1"/>
        <v>0.999999472442322-0.00114091910087907i</v>
      </c>
      <c r="L67" s="580"/>
      <c r="M67" s="580" t="str">
        <f t="shared" si="2"/>
        <v>23.0543808902598+3.30934346507427i</v>
      </c>
      <c r="N67" s="270" t="str">
        <f t="shared" si="3"/>
        <v>10.6241190010281+2.4820075988057i</v>
      </c>
      <c r="O67" s="581" t="str">
        <f t="shared" si="4"/>
        <v>10.6210039792458+1.22225087858853i</v>
      </c>
      <c r="P67" s="582" t="str">
        <f t="shared" si="5"/>
        <v>21.3405464175665-0.0502496017901413i</v>
      </c>
      <c r="Q67" s="583" t="str">
        <f t="shared" si="6"/>
        <v>21.2343363777741-0.0624721105760542i</v>
      </c>
      <c r="R67" s="581" t="str">
        <f t="shared" si="33"/>
        <v>1.03242841644646+0.146998050435434i</v>
      </c>
      <c r="S67" s="253" t="str">
        <f t="shared" si="34"/>
        <v>26.1793532207593+1.84530378049896i</v>
      </c>
      <c r="T67" s="253" t="str">
        <f t="shared" si="35"/>
        <v>12.0360822837655+0.510323225580283i</v>
      </c>
      <c r="U67" s="253" t="str">
        <f t="shared" si="36"/>
        <v>23.8597605806829-1.79626688775404i</v>
      </c>
      <c r="V67" s="582" t="str">
        <f t="shared" si="7"/>
        <v>6000</v>
      </c>
      <c r="W67" s="584" t="str">
        <f t="shared" si="8"/>
        <v>1+508.652384822615i</v>
      </c>
      <c r="X67" s="585">
        <f t="shared" si="9"/>
        <v>508.65336781125677</v>
      </c>
      <c r="Y67" s="586">
        <f t="shared" si="10"/>
        <v>1.5688303501446668</v>
      </c>
      <c r="Z67" s="273" t="str">
        <f t="shared" si="11"/>
        <v>1+0.076286414761178i</v>
      </c>
      <c r="AA67" s="585">
        <f t="shared" si="12"/>
        <v>1.002905587319721</v>
      </c>
      <c r="AB67" s="586">
        <f t="shared" si="13"/>
        <v>7.6138943448286728E-2</v>
      </c>
      <c r="AC67" s="584" t="str">
        <f t="shared" si="14"/>
        <v>1+0.00368810161279856i</v>
      </c>
      <c r="AD67" s="585">
        <f t="shared" si="15"/>
        <v>1.0000068010236263</v>
      </c>
      <c r="AE67" s="586">
        <f t="shared" si="16"/>
        <v>3.6880848909673653E-3</v>
      </c>
      <c r="AF67" s="580" t="str">
        <f t="shared" si="37"/>
        <v>0.87954224068293-11.7973042389949i</v>
      </c>
      <c r="AG67" s="270">
        <f t="shared" si="38"/>
        <v>11.830045725209713</v>
      </c>
      <c r="AH67" s="581">
        <f t="shared" si="39"/>
        <v>-1.4963794915873474</v>
      </c>
      <c r="AI67" s="582" t="str">
        <f t="shared" si="17"/>
        <v>4000</v>
      </c>
      <c r="AJ67" s="584" t="str">
        <f t="shared" si="40"/>
        <v>1+39.9609491734591i</v>
      </c>
      <c r="AK67" s="585">
        <f t="shared" si="41"/>
        <v>39.973459430524422</v>
      </c>
      <c r="AL67" s="586">
        <f t="shared" si="42"/>
        <v>1.5457771178329995</v>
      </c>
      <c r="AM67" s="273" t="str">
        <f t="shared" si="43"/>
        <v>1+0.0013985842706216i</v>
      </c>
      <c r="AN67" s="585">
        <f t="shared" si="44"/>
        <v>1.0000009780185029</v>
      </c>
      <c r="AO67" s="586">
        <f t="shared" si="45"/>
        <v>1.3985833587280281E-3</v>
      </c>
      <c r="AP67" s="584" t="str">
        <f t="shared" si="46"/>
        <v>1+0.000010118435720123i</v>
      </c>
      <c r="AQ67" s="585">
        <f t="shared" si="47"/>
        <v>1.0000000000511915</v>
      </c>
      <c r="AR67" s="586">
        <f t="shared" si="48"/>
        <v>1.0118435719777682E-5</v>
      </c>
      <c r="AS67" s="580" t="str">
        <f t="shared" si="49"/>
        <v>2.64221619964462-100.031603920252i</v>
      </c>
      <c r="AT67" s="270">
        <f t="shared" si="50"/>
        <v>100.06649333969808</v>
      </c>
      <c r="AU67" s="581">
        <f t="shared" si="51"/>
        <v>-1.5443886529099913</v>
      </c>
      <c r="AV67" s="580" t="str">
        <f t="shared" si="52"/>
        <v>0.828503823629731-12.0264023146751i</v>
      </c>
      <c r="AW67" s="270">
        <f t="shared" si="53"/>
        <v>21.623276940061519</v>
      </c>
      <c r="AX67" s="581">
        <f t="shared" si="54"/>
        <v>-86.059096573107212</v>
      </c>
      <c r="AY67" s="299">
        <f t="shared" si="21"/>
        <v>93.940903426892788</v>
      </c>
      <c r="BB67" s="270">
        <f t="shared" si="57"/>
        <v>5.773618779523578E-3</v>
      </c>
      <c r="BC67" s="270">
        <f t="shared" si="58"/>
        <v>-88.486951739637078</v>
      </c>
      <c r="BD67" s="286"/>
      <c r="BE67" s="270">
        <f t="shared" si="55"/>
        <v>21.617503321281998</v>
      </c>
      <c r="BF67" s="581">
        <f t="shared" si="56"/>
        <v>2.4278551665298815</v>
      </c>
      <c r="BI67" s="286"/>
      <c r="BJ67" s="286"/>
      <c r="BL67" s="253">
        <f t="shared" si="24"/>
        <v>0</v>
      </c>
      <c r="BM67" s="253">
        <f t="shared" si="25"/>
        <v>0</v>
      </c>
      <c r="BN67" s="253">
        <f t="shared" si="26"/>
        <v>144.54</v>
      </c>
      <c r="BO67" s="253">
        <f t="shared" si="27"/>
        <v>-88.486951739637078</v>
      </c>
    </row>
    <row r="68" spans="4:67" ht="13.6" thickBot="1" x14ac:dyDescent="0.25">
      <c r="D68" s="280">
        <v>158.49</v>
      </c>
      <c r="E68" s="273" t="str">
        <f t="shared" si="0"/>
        <v>0.00179247967080281i</v>
      </c>
      <c r="F68" s="579" t="str">
        <f t="shared" si="28"/>
        <v>0.002-15.4491613731413i</v>
      </c>
      <c r="G68" s="270" t="str">
        <f t="shared" si="29"/>
        <v>0.002-15.4491613731413i</v>
      </c>
      <c r="H68" s="271" t="str">
        <f t="shared" si="30"/>
        <v>1.96700243735046-0.254637697449058i</v>
      </c>
      <c r="I68" s="271" t="str">
        <f t="shared" si="31"/>
        <v>1.97700243735046-0.254637697449058i</v>
      </c>
      <c r="J68" s="270" t="str">
        <f t="shared" si="32"/>
        <v>1.88352749392387-0.48762024664042i</v>
      </c>
      <c r="K68" s="271" t="str">
        <f t="shared" si="1"/>
        <v>0.999999365695813-0.00125103271273228i</v>
      </c>
      <c r="L68" s="580"/>
      <c r="M68" s="580" t="str">
        <f t="shared" si="2"/>
        <v>23.0572208143267+3.62898374795525i</v>
      </c>
      <c r="N68" s="270" t="str">
        <f t="shared" si="3"/>
        <v>10.6262489440783+2.72173781096644i</v>
      </c>
      <c r="O68" s="581" t="str">
        <f t="shared" si="4"/>
        <v>10.6225031743464+1.34030366712423i</v>
      </c>
      <c r="P68" s="582" t="str">
        <f t="shared" si="5"/>
        <v>21.342006506125-0.0551061327665048i</v>
      </c>
      <c r="Q68" s="583" t="str">
        <f t="shared" si="6"/>
        <v>21.2357814743814-0.0685091694377569i</v>
      </c>
      <c r="R68" s="581" t="str">
        <f t="shared" si="33"/>
        <v>1.03258968460135+0.161196094261323i</v>
      </c>
      <c r="S68" s="253" t="str">
        <f t="shared" si="34"/>
        <v>26.2073204557887+2.02115917594799i</v>
      </c>
      <c r="T68" s="253" t="str">
        <f t="shared" si="35"/>
        <v>12.0442397901369+0.558921958706751i</v>
      </c>
      <c r="U68" s="253" t="str">
        <f t="shared" si="36"/>
        <v>23.8333716238515-1.96751663261991i</v>
      </c>
      <c r="V68" s="582" t="str">
        <f t="shared" si="7"/>
        <v>6000</v>
      </c>
      <c r="W68" s="584" t="str">
        <f t="shared" si="8"/>
        <v>1+557.743991078846i</v>
      </c>
      <c r="X68" s="585">
        <f t="shared" si="9"/>
        <v>557.74488754677066</v>
      </c>
      <c r="Y68" s="586">
        <f t="shared" si="10"/>
        <v>1.5690033914258819</v>
      </c>
      <c r="Z68" s="273" t="str">
        <f t="shared" si="11"/>
        <v>1+0.0836490513041311i</v>
      </c>
      <c r="AA68" s="585">
        <f t="shared" si="12"/>
        <v>1.0034924831726848</v>
      </c>
      <c r="AB68" s="586">
        <f t="shared" si="13"/>
        <v>8.345476429155424E-2</v>
      </c>
      <c r="AC68" s="584" t="str">
        <f t="shared" si="14"/>
        <v>1+0.00404405164392171i</v>
      </c>
      <c r="AD68" s="585">
        <f t="shared" si="15"/>
        <v>1.0000081771434164</v>
      </c>
      <c r="AE68" s="586">
        <f t="shared" si="16"/>
        <v>4.0440295981877157E-3</v>
      </c>
      <c r="AF68" s="580" t="str">
        <f t="shared" si="37"/>
        <v>0.875637768328248-10.7595168876913i</v>
      </c>
      <c r="AG68" s="270">
        <f t="shared" si="38"/>
        <v>10.795088937004509</v>
      </c>
      <c r="AH68" s="581">
        <f t="shared" si="39"/>
        <v>-1.4895926567325151</v>
      </c>
      <c r="AI68" s="582" t="str">
        <f t="shared" si="17"/>
        <v>4000</v>
      </c>
      <c r="AJ68" s="584" t="str">
        <f t="shared" si="40"/>
        <v>1+43.8177032966759i</v>
      </c>
      <c r="AK68" s="585">
        <f t="shared" si="41"/>
        <v>43.829112724255808</v>
      </c>
      <c r="AL68" s="586">
        <f t="shared" si="42"/>
        <v>1.5479784617062036</v>
      </c>
      <c r="AM68" s="273" t="str">
        <f t="shared" si="43"/>
        <v>1+0.00153356594057574i</v>
      </c>
      <c r="AN68" s="585">
        <f t="shared" si="44"/>
        <v>1.0000011759115557</v>
      </c>
      <c r="AO68" s="586">
        <f t="shared" si="45"/>
        <v>1.5335647383514558E-3</v>
      </c>
      <c r="AP68" s="584" t="str">
        <f t="shared" si="46"/>
        <v>1+0.0000110949970754275i</v>
      </c>
      <c r="AQ68" s="585">
        <f t="shared" si="47"/>
        <v>1.0000000000615494</v>
      </c>
      <c r="AR68" s="586">
        <f t="shared" si="48"/>
        <v>1.1094997074972238E-5</v>
      </c>
      <c r="AS68" s="580" t="str">
        <f t="shared" si="49"/>
        <v>2.22116840549382-91.2366143906276i</v>
      </c>
      <c r="AT68" s="270">
        <f t="shared" si="50"/>
        <v>91.263647716654617</v>
      </c>
      <c r="AU68" s="581">
        <f t="shared" si="51"/>
        <v>-1.5464559919649272</v>
      </c>
      <c r="AV68" s="580" t="str">
        <f t="shared" si="52"/>
        <v>0.777464321110257-10.9763420156516i</v>
      </c>
      <c r="AW68" s="270">
        <f t="shared" si="53"/>
        <v>20.830886776324018</v>
      </c>
      <c r="AX68" s="581">
        <f t="shared" si="54"/>
        <v>-85.94845417208424</v>
      </c>
      <c r="AY68" s="299">
        <f t="shared" si="21"/>
        <v>94.05154582791576</v>
      </c>
      <c r="BB68" s="270">
        <f t="shared" si="57"/>
        <v>-0.79404353801379157</v>
      </c>
      <c r="BC68" s="270">
        <f t="shared" si="58"/>
        <v>-88.605401542307476</v>
      </c>
      <c r="BD68" s="286"/>
      <c r="BE68" s="270">
        <f t="shared" si="55"/>
        <v>21.624930314337792</v>
      </c>
      <c r="BF68" s="581">
        <f t="shared" si="56"/>
        <v>2.6569473702232407</v>
      </c>
      <c r="BI68" s="286"/>
      <c r="BJ68" s="286"/>
      <c r="BL68" s="253">
        <f t="shared" si="24"/>
        <v>0</v>
      </c>
      <c r="BM68" s="253">
        <f t="shared" si="25"/>
        <v>0</v>
      </c>
      <c r="BN68" s="253">
        <f t="shared" si="26"/>
        <v>0</v>
      </c>
      <c r="BO68" s="253">
        <f t="shared" si="27"/>
        <v>0</v>
      </c>
    </row>
    <row r="69" spans="4:67" ht="13.6" thickBot="1" x14ac:dyDescent="0.25">
      <c r="D69" s="280">
        <v>173.78</v>
      </c>
      <c r="E69" s="273" t="str">
        <f t="shared" si="0"/>
        <v>0.001965405496827i</v>
      </c>
      <c r="F69" s="579" t="str">
        <f t="shared" si="28"/>
        <v>0.002-14.0898698701183i</v>
      </c>
      <c r="G69" s="270" t="str">
        <f t="shared" si="29"/>
        <v>0.002-14.0898698701183i</v>
      </c>
      <c r="H69" s="271" t="str">
        <f t="shared" si="30"/>
        <v>1.96046065449899-0.278273842586884i</v>
      </c>
      <c r="I69" s="271" t="str">
        <f t="shared" si="31"/>
        <v>1.97046065449899-0.278273842586884i</v>
      </c>
      <c r="J69" s="270" t="str">
        <f t="shared" si="32"/>
        <v>1.85986204992548-0.527932221234976i</v>
      </c>
      <c r="K69" s="271" t="str">
        <f t="shared" si="1"/>
        <v>0.999999237405914-0.0013717235460825i</v>
      </c>
      <c r="L69" s="580"/>
      <c r="M69" s="580" t="str">
        <f t="shared" si="2"/>
        <v>23.0606346296094+3.97940594589143i</v>
      </c>
      <c r="N69" s="270" t="str">
        <f t="shared" si="3"/>
        <v>10.6288093055404+2.98455445941857i</v>
      </c>
      <c r="O69" s="581" t="str">
        <f t="shared" si="4"/>
        <v>10.6243052902006+1.46972481818378i</v>
      </c>
      <c r="P69" s="582" t="str">
        <f t="shared" si="5"/>
        <v>21.343761528427-0.0604313307484707i</v>
      </c>
      <c r="Q69" s="583" t="str">
        <f t="shared" si="6"/>
        <v>21.2375184755251-0.0751285789302973i</v>
      </c>
      <c r="R69" s="581" t="str">
        <f t="shared" si="33"/>
        <v>1.03278353895443+0.176761406035458i</v>
      </c>
      <c r="S69" s="253" t="str">
        <f t="shared" si="34"/>
        <v>26.2408526884342+2.21320084754484i</v>
      </c>
      <c r="T69" s="253" t="str">
        <f t="shared" si="35"/>
        <v>12.0540204779468+0.611982861017383i</v>
      </c>
      <c r="U69" s="253" t="str">
        <f t="shared" si="36"/>
        <v>23.8017316978724-2.15455027676694i</v>
      </c>
      <c r="V69" s="582" t="str">
        <f t="shared" si="7"/>
        <v>6000</v>
      </c>
      <c r="W69" s="584" t="str">
        <f t="shared" si="8"/>
        <v>1+611.551206824922i</v>
      </c>
      <c r="X69" s="585">
        <f t="shared" si="9"/>
        <v>611.55202441739868</v>
      </c>
      <c r="Y69" s="586">
        <f t="shared" si="10"/>
        <v>1.5691611422059961</v>
      </c>
      <c r="Z69" s="273" t="str">
        <f t="shared" si="11"/>
        <v>1+0.0917189231852603i</v>
      </c>
      <c r="AA69" s="585">
        <f t="shared" si="12"/>
        <v>1.0041973714714969</v>
      </c>
      <c r="AB69" s="586">
        <f t="shared" si="13"/>
        <v>9.1463022691666174E-2</v>
      </c>
      <c r="AC69" s="584" t="str">
        <f t="shared" si="14"/>
        <v>1+0.00443419329093769i</v>
      </c>
      <c r="AD69" s="585">
        <f t="shared" si="15"/>
        <v>1.0000098309867465</v>
      </c>
      <c r="AE69" s="586">
        <f t="shared" si="16"/>
        <v>4.4341642294740318E-3</v>
      </c>
      <c r="AF69" s="580" t="str">
        <f t="shared" si="37"/>
        <v>0.872390673706782-9.8134869506811i</v>
      </c>
      <c r="AG69" s="270">
        <f t="shared" si="38"/>
        <v>9.8521871489917796</v>
      </c>
      <c r="AH69" s="581">
        <f t="shared" si="39"/>
        <v>-1.4821322837438038</v>
      </c>
      <c r="AI69" s="582" t="str">
        <f t="shared" si="17"/>
        <v>4000</v>
      </c>
      <c r="AJ69" s="584" t="str">
        <f t="shared" si="40"/>
        <v>1+48.0449269915852i</v>
      </c>
      <c r="AK69" s="585">
        <f t="shared" si="41"/>
        <v>48.055332790718992</v>
      </c>
      <c r="AL69" s="586">
        <f t="shared" si="42"/>
        <v>1.5499854796430137</v>
      </c>
      <c r="AM69" s="273" t="str">
        <f t="shared" si="43"/>
        <v>1+0.00168151359172977i</v>
      </c>
      <c r="AN69" s="585">
        <f t="shared" si="44"/>
        <v>1.0000014137429802</v>
      </c>
      <c r="AO69" s="586">
        <f t="shared" si="45"/>
        <v>1.6815120069126473E-3</v>
      </c>
      <c r="AP69" s="584" t="str">
        <f t="shared" si="46"/>
        <v>1+0.0000121653643243599i</v>
      </c>
      <c r="AQ69" s="585">
        <f t="shared" si="47"/>
        <v>1.0000000000739981</v>
      </c>
      <c r="AR69" s="586">
        <f t="shared" si="48"/>
        <v>1.2165364323759759E-5</v>
      </c>
      <c r="AS69" s="580" t="str">
        <f t="shared" si="49"/>
        <v>1.87103747994982-83.2164662140756i</v>
      </c>
      <c r="AT69" s="270">
        <f t="shared" si="50"/>
        <v>83.237497742362251</v>
      </c>
      <c r="AU69" s="581">
        <f t="shared" si="51"/>
        <v>-1.5483161330004249</v>
      </c>
      <c r="AV69" s="580" t="str">
        <f t="shared" si="52"/>
        <v>0.734805751757675-10.0194794497678i</v>
      </c>
      <c r="AW69" s="270">
        <f t="shared" si="53"/>
        <v>20.040198771132207</v>
      </c>
      <c r="AX69" s="581">
        <f t="shared" si="54"/>
        <v>-85.805567370334401</v>
      </c>
      <c r="AY69" s="299">
        <f t="shared" si="21"/>
        <v>94.194432629665599</v>
      </c>
      <c r="BB69" s="270">
        <f t="shared" si="57"/>
        <v>-1.5936196775740137</v>
      </c>
      <c r="BC69" s="270">
        <f t="shared" si="58"/>
        <v>-88.711979772940595</v>
      </c>
      <c r="BD69" s="286"/>
      <c r="BE69" s="270">
        <f t="shared" si="55"/>
        <v>21.633818448706261</v>
      </c>
      <c r="BF69" s="581">
        <f t="shared" si="56"/>
        <v>2.9064124026061617</v>
      </c>
      <c r="BI69" s="286"/>
      <c r="BJ69" s="286"/>
      <c r="BL69" s="253">
        <f t="shared" si="24"/>
        <v>0</v>
      </c>
      <c r="BM69" s="253">
        <f t="shared" si="25"/>
        <v>0</v>
      </c>
      <c r="BN69" s="253">
        <f t="shared" si="26"/>
        <v>0</v>
      </c>
      <c r="BO69" s="253">
        <f t="shared" si="27"/>
        <v>0</v>
      </c>
    </row>
    <row r="70" spans="4:67" ht="13.6" thickBot="1" x14ac:dyDescent="0.25">
      <c r="D70" s="280">
        <v>190.55</v>
      </c>
      <c r="E70" s="273" t="str">
        <f t="shared" si="0"/>
        <v>0.00215506972850953i</v>
      </c>
      <c r="F70" s="579" t="str">
        <f t="shared" si="28"/>
        <v>0.002-12.8498430124857i</v>
      </c>
      <c r="G70" s="270" t="str">
        <f t="shared" si="29"/>
        <v>0.002-12.8498430124857i</v>
      </c>
      <c r="H70" s="271" t="str">
        <f t="shared" si="30"/>
        <v>1.95265081789826-0.303910867520932i</v>
      </c>
      <c r="I70" s="271" t="str">
        <f t="shared" si="31"/>
        <v>1.96265081789826-0.303910867520932i</v>
      </c>
      <c r="J70" s="270" t="str">
        <f t="shared" si="32"/>
        <v>1.8321787849111-0.570245821271528i</v>
      </c>
      <c r="K70" s="271" t="str">
        <f t="shared" si="1"/>
        <v>0.999999083121575-0.0015040966837727i</v>
      </c>
      <c r="L70" s="580"/>
      <c r="M70" s="580" t="str">
        <f t="shared" si="2"/>
        <v>23.0647412355294+4.36385039708495i</v>
      </c>
      <c r="N70" s="270" t="str">
        <f t="shared" si="3"/>
        <v>10.6318892599804+3.27288779781371i</v>
      </c>
      <c r="O70" s="581" t="str">
        <f t="shared" si="4"/>
        <v>10.6264730702415+1.61171095053756i</v>
      </c>
      <c r="P70" s="582" t="str">
        <f t="shared" si="5"/>
        <v>21.3458725358541-0.0662748341767712i</v>
      </c>
      <c r="Q70" s="583" t="str">
        <f t="shared" si="6"/>
        <v>21.2396078051518-0.0823919436821674i</v>
      </c>
      <c r="R70" s="581" t="str">
        <f t="shared" si="33"/>
        <v>1.03301672949775+0.1938379059533i</v>
      </c>
      <c r="S70" s="253" t="str">
        <f t="shared" si="34"/>
        <v>26.2810651014514+2.4229044337652i</v>
      </c>
      <c r="T70" s="253" t="str">
        <f t="shared" si="35"/>
        <v>12.0657496106821+0.669909224018088i</v>
      </c>
      <c r="U70" s="253" t="str">
        <f t="shared" si="36"/>
        <v>23.7637885392858-2.35881363727627i</v>
      </c>
      <c r="V70" s="582" t="str">
        <f t="shared" si="7"/>
        <v>6000</v>
      </c>
      <c r="W70" s="584" t="str">
        <f t="shared" si="8"/>
        <v>1+670.566707679185i</v>
      </c>
      <c r="X70" s="585">
        <f t="shared" si="9"/>
        <v>670.56745331674244</v>
      </c>
      <c r="Y70" s="586">
        <f t="shared" si="10"/>
        <v>1.5693050519563938</v>
      </c>
      <c r="Z70" s="273" t="str">
        <f t="shared" si="11"/>
        <v>1+0.100569920663778i</v>
      </c>
      <c r="AA70" s="585">
        <f t="shared" si="12"/>
        <v>1.0050444313274507</v>
      </c>
      <c r="AB70" s="586">
        <f t="shared" si="13"/>
        <v>0.10023289847705387</v>
      </c>
      <c r="AC70" s="584" t="str">
        <f t="shared" si="14"/>
        <v>1+0.00486209881222337i</v>
      </c>
      <c r="AD70" s="585">
        <f t="shared" si="15"/>
        <v>1.0000118199325745</v>
      </c>
      <c r="AE70" s="586">
        <f t="shared" si="16"/>
        <v>4.8620604994202808E-3</v>
      </c>
      <c r="AF70" s="580" t="str">
        <f t="shared" si="37"/>
        <v>0.869688089017968-8.95052233058628i</v>
      </c>
      <c r="AG70" s="270">
        <f t="shared" si="38"/>
        <v>8.9926752061054316</v>
      </c>
      <c r="AH70" s="581">
        <f t="shared" si="39"/>
        <v>-1.4739342139787608</v>
      </c>
      <c r="AI70" s="582" t="str">
        <f t="shared" si="17"/>
        <v>4000</v>
      </c>
      <c r="AJ70" s="584" t="str">
        <f t="shared" si="40"/>
        <v>1+52.6813260343339i</v>
      </c>
      <c r="AK70" s="585">
        <f t="shared" si="41"/>
        <v>52.690816208669482</v>
      </c>
      <c r="AL70" s="586">
        <f t="shared" si="42"/>
        <v>1.5518165479045747</v>
      </c>
      <c r="AM70" s="273" t="str">
        <f t="shared" si="43"/>
        <v>1+0.00184378187883593i</v>
      </c>
      <c r="AN70" s="585">
        <f t="shared" si="44"/>
        <v>1.0000016997643637</v>
      </c>
      <c r="AO70" s="586">
        <f t="shared" si="45"/>
        <v>1.8437797895085946E-3</v>
      </c>
      <c r="AP70" s="584" t="str">
        <f t="shared" si="46"/>
        <v>1+0.0000133393380826722i</v>
      </c>
      <c r="AQ70" s="585">
        <f t="shared" si="47"/>
        <v>1.0000000000889688</v>
      </c>
      <c r="AR70" s="586">
        <f t="shared" si="48"/>
        <v>1.3339338081881008E-5</v>
      </c>
      <c r="AS70" s="580" t="str">
        <f t="shared" si="49"/>
        <v>1.57968725551928-75.8982491785832i</v>
      </c>
      <c r="AT70" s="270">
        <f t="shared" si="50"/>
        <v>75.914686590932817</v>
      </c>
      <c r="AU70" s="581">
        <f t="shared" si="51"/>
        <v>-1.549986107453148</v>
      </c>
      <c r="AV70" s="580" t="str">
        <f t="shared" si="52"/>
        <v>0.699050480998374-9.14711023414407i</v>
      </c>
      <c r="AW70" s="270">
        <f t="shared" si="53"/>
        <v>19.250969397429365</v>
      </c>
      <c r="AX70" s="581">
        <f t="shared" si="54"/>
        <v>-85.629774033563905</v>
      </c>
      <c r="AY70" s="299">
        <f t="shared" si="21"/>
        <v>94.370225966436095</v>
      </c>
      <c r="BB70" s="270">
        <f t="shared" si="57"/>
        <v>-2.3934839317923364</v>
      </c>
      <c r="BC70" s="270">
        <f t="shared" si="58"/>
        <v>-88.807662260976301</v>
      </c>
      <c r="BD70" s="286"/>
      <c r="BE70" s="270">
        <f t="shared" si="55"/>
        <v>21.644453329221705</v>
      </c>
      <c r="BF70" s="581">
        <f t="shared" si="56"/>
        <v>3.1778882274123985</v>
      </c>
      <c r="BI70" s="286"/>
      <c r="BJ70" s="286"/>
      <c r="BL70" s="253">
        <f t="shared" si="24"/>
        <v>0</v>
      </c>
      <c r="BM70" s="253">
        <f t="shared" si="25"/>
        <v>0</v>
      </c>
      <c r="BN70" s="253">
        <f t="shared" si="26"/>
        <v>0</v>
      </c>
      <c r="BO70" s="253">
        <f t="shared" si="27"/>
        <v>0</v>
      </c>
    </row>
    <row r="71" spans="4:67" ht="13.6" thickBot="1" x14ac:dyDescent="0.25">
      <c r="D71" s="280">
        <v>208.93</v>
      </c>
      <c r="E71" s="273" t="str">
        <f t="shared" si="0"/>
        <v>0.00236294263121226i</v>
      </c>
      <c r="F71" s="579" t="str">
        <f t="shared" si="28"/>
        <v>0.002-11.7194160055002i</v>
      </c>
      <c r="G71" s="270" t="str">
        <f t="shared" si="29"/>
        <v>0.002-11.7194160055002i</v>
      </c>
      <c r="H71" s="271" t="str">
        <f t="shared" si="30"/>
        <v>1.94334739186928-0.331636105135122i</v>
      </c>
      <c r="I71" s="271" t="str">
        <f t="shared" si="31"/>
        <v>1.95334739186928-0.331636105135122i</v>
      </c>
      <c r="J71" s="270" t="str">
        <f t="shared" si="32"/>
        <v>1.79998363121618-0.614242475635123i</v>
      </c>
      <c r="K71" s="271" t="str">
        <f t="shared" si="1"/>
        <v>0.999998897711045-0.00164917827415707i</v>
      </c>
      <c r="L71" s="580"/>
      <c r="M71" s="580" t="str">
        <f t="shared" si="2"/>
        <v>23.0696778839172+4.78533914905953i</v>
      </c>
      <c r="N71" s="270" t="str">
        <f t="shared" si="3"/>
        <v>10.6355917462712+3.58900436179465i</v>
      </c>
      <c r="O71" s="581" t="str">
        <f t="shared" si="4"/>
        <v>10.6290789342731+1.767378016233i</v>
      </c>
      <c r="P71" s="582" t="str">
        <f t="shared" si="5"/>
        <v>21.3484099758401-0.0726831004802593i</v>
      </c>
      <c r="Q71" s="583" t="str">
        <f t="shared" si="6"/>
        <v>21.2421191864973-0.0903568806426014i</v>
      </c>
      <c r="R71" s="581" t="str">
        <f t="shared" si="33"/>
        <v>1.03329704745747+0.212559814051277i</v>
      </c>
      <c r="S71" s="253" t="str">
        <f t="shared" si="34"/>
        <v>26.3292259701508+2.65152576829631i</v>
      </c>
      <c r="T71" s="253" t="str">
        <f t="shared" si="35"/>
        <v>12.0797970990866+0.733042132867863i</v>
      </c>
      <c r="U71" s="253" t="str">
        <f t="shared" si="36"/>
        <v>23.7183454246644-2.58154134372459i</v>
      </c>
      <c r="V71" s="582" t="str">
        <f t="shared" si="7"/>
        <v>6000</v>
      </c>
      <c r="W71" s="584" t="str">
        <f t="shared" si="8"/>
        <v>1+735.247978144382i</v>
      </c>
      <c r="X71" s="585">
        <f t="shared" si="9"/>
        <v>735.24865818674016</v>
      </c>
      <c r="Y71" s="586">
        <f t="shared" si="10"/>
        <v>1.5694362422885593</v>
      </c>
      <c r="Z71" s="273" t="str">
        <f t="shared" si="11"/>
        <v>1+0.110270656123239i</v>
      </c>
      <c r="AA71" s="585">
        <f t="shared" si="12"/>
        <v>1.0060614382838902</v>
      </c>
      <c r="AB71" s="586">
        <f t="shared" si="13"/>
        <v>0.1098269392384609</v>
      </c>
      <c r="AC71" s="584" t="str">
        <f t="shared" si="14"/>
        <v>1+0.00533108530484297i</v>
      </c>
      <c r="AD71" s="585">
        <f t="shared" si="15"/>
        <v>1.0000142101342997</v>
      </c>
      <c r="AE71" s="586">
        <f t="shared" si="16"/>
        <v>5.3310348017198981E-3</v>
      </c>
      <c r="AF71" s="580" t="str">
        <f t="shared" si="37"/>
        <v>0.867439894110462-8.16389747943732i</v>
      </c>
      <c r="AG71" s="270">
        <f t="shared" si="38"/>
        <v>8.2098522535218255</v>
      </c>
      <c r="AH71" s="581">
        <f t="shared" si="39"/>
        <v>-1.464940337851818</v>
      </c>
      <c r="AI71" s="582" t="str">
        <f t="shared" si="17"/>
        <v>4000</v>
      </c>
      <c r="AJ71" s="584" t="str">
        <f t="shared" si="40"/>
        <v>1+57.7628415027729i</v>
      </c>
      <c r="AK71" s="585">
        <f t="shared" si="41"/>
        <v>57.771496938148168</v>
      </c>
      <c r="AL71" s="586">
        <f t="shared" si="42"/>
        <v>1.5534858883152303</v>
      </c>
      <c r="AM71" s="273" t="str">
        <f t="shared" si="43"/>
        <v>1+0.00202162869559271i</v>
      </c>
      <c r="AN71" s="585">
        <f t="shared" si="44"/>
        <v>1.0000020434892034</v>
      </c>
      <c r="AO71" s="586">
        <f t="shared" si="45"/>
        <v>2.021625941479041E-3</v>
      </c>
      <c r="AP71" s="584" t="str">
        <f t="shared" si="46"/>
        <v>1+0.0000146260189221344i</v>
      </c>
      <c r="AQ71" s="585">
        <f t="shared" si="47"/>
        <v>1.0000000001069602</v>
      </c>
      <c r="AR71" s="586">
        <f t="shared" si="48"/>
        <v>1.4626018921091465E-5</v>
      </c>
      <c r="AS71" s="580" t="str">
        <f t="shared" si="49"/>
        <v>1.33742606592725-69.225519162868i</v>
      </c>
      <c r="AT71" s="270">
        <f t="shared" si="50"/>
        <v>69.23843738741094</v>
      </c>
      <c r="AU71" s="581">
        <f t="shared" si="51"/>
        <v>-1.5514788883926722</v>
      </c>
      <c r="AV71" s="580" t="str">
        <f t="shared" si="52"/>
        <v>0.669010577274647-8.35249835910456i</v>
      </c>
      <c r="AW71" s="270">
        <f t="shared" si="53"/>
        <v>18.464101317502926</v>
      </c>
      <c r="AX71" s="581">
        <f t="shared" si="54"/>
        <v>-85.420552916657783</v>
      </c>
      <c r="AY71" s="299">
        <f t="shared" si="21"/>
        <v>94.579447083342217</v>
      </c>
      <c r="BB71" s="270">
        <f t="shared" si="57"/>
        <v>-3.1930548418377338</v>
      </c>
      <c r="BC71" s="270">
        <f t="shared" si="58"/>
        <v>-88.893192308548606</v>
      </c>
      <c r="BD71" s="286"/>
      <c r="BE71" s="270">
        <f t="shared" si="55"/>
        <v>21.657156159340666</v>
      </c>
      <c r="BF71" s="581">
        <f t="shared" si="56"/>
        <v>3.4726393918908305</v>
      </c>
      <c r="BI71" s="286"/>
      <c r="BJ71" s="286"/>
      <c r="BL71" s="253">
        <f t="shared" si="24"/>
        <v>0</v>
      </c>
      <c r="BM71" s="253">
        <f t="shared" si="25"/>
        <v>0</v>
      </c>
      <c r="BN71" s="253">
        <f t="shared" si="26"/>
        <v>0</v>
      </c>
      <c r="BO71" s="253">
        <f t="shared" si="27"/>
        <v>0</v>
      </c>
    </row>
    <row r="72" spans="4:67" ht="13.6" thickBot="1" x14ac:dyDescent="0.25">
      <c r="D72" s="280">
        <v>229.09</v>
      </c>
      <c r="E72" s="273" t="str">
        <f t="shared" si="0"/>
        <v>0.00259094685963919i</v>
      </c>
      <c r="F72" s="579" t="str">
        <f t="shared" si="28"/>
        <v>0.002-10.6881033045055i</v>
      </c>
      <c r="G72" s="270" t="str">
        <f t="shared" si="29"/>
        <v>0.002-10.6881033045055i</v>
      </c>
      <c r="H72" s="271" t="str">
        <f t="shared" si="30"/>
        <v>1.93227537927547-0.361562308972115i</v>
      </c>
      <c r="I72" s="271" t="str">
        <f t="shared" si="31"/>
        <v>1.94227537927547-0.361562308972115i</v>
      </c>
      <c r="J72" s="270" t="str">
        <f t="shared" si="32"/>
        <v>1.76273410934571-0.659546772046366i</v>
      </c>
      <c r="K72" s="271" t="str">
        <f t="shared" si="1"/>
        <v>0.999998674724676-0.00180831020354494i</v>
      </c>
      <c r="L72" s="580"/>
      <c r="M72" s="580" t="str">
        <f t="shared" si="2"/>
        <v>23.0756172539232+5.24782586835976i</v>
      </c>
      <c r="N72" s="270" t="str">
        <f t="shared" si="3"/>
        <v>10.6400462737757+3.93586940126982i</v>
      </c>
      <c r="O72" s="581" t="str">
        <f t="shared" si="4"/>
        <v>10.6322139863058+1.9381859790831i</v>
      </c>
      <c r="P72" s="582" t="str">
        <f t="shared" si="5"/>
        <v>21.3514624506047-0.0797169307443388i</v>
      </c>
      <c r="Q72" s="583" t="str">
        <f t="shared" si="6"/>
        <v>21.2451403107417-0.0990987905351446i</v>
      </c>
      <c r="R72" s="581" t="str">
        <f t="shared" si="33"/>
        <v>1.03363429444173+0.233102726289685i</v>
      </c>
      <c r="S72" s="253" t="str">
        <f t="shared" si="34"/>
        <v>26.3869111447886+2.90069588297603i</v>
      </c>
      <c r="T72" s="253" t="str">
        <f t="shared" si="35"/>
        <v>12.0966225573039+0.801824348598494i</v>
      </c>
      <c r="U72" s="253" t="str">
        <f t="shared" si="36"/>
        <v>23.6639154027359-2.82433733528251i</v>
      </c>
      <c r="V72" s="582" t="str">
        <f t="shared" si="7"/>
        <v>6000</v>
      </c>
      <c r="W72" s="584" t="str">
        <f t="shared" si="8"/>
        <v>1+806.193267185643i</v>
      </c>
      <c r="X72" s="585">
        <f t="shared" si="9"/>
        <v>806.19388738408429</v>
      </c>
      <c r="Y72" s="586">
        <f t="shared" si="10"/>
        <v>1.5695559300713795</v>
      </c>
      <c r="Z72" s="273" t="str">
        <f t="shared" si="11"/>
        <v>1+0.120910853449829i</v>
      </c>
      <c r="AA72" s="585">
        <f t="shared" si="12"/>
        <v>1.0072831947778966</v>
      </c>
      <c r="AB72" s="586">
        <f t="shared" si="13"/>
        <v>0.12032675238909495</v>
      </c>
      <c r="AC72" s="584" t="str">
        <f t="shared" si="14"/>
        <v>1+0.00584549051111126i</v>
      </c>
      <c r="AD72" s="585">
        <f t="shared" si="15"/>
        <v>1.0000170847337138</v>
      </c>
      <c r="AE72" s="586">
        <f t="shared" si="16"/>
        <v>5.8454239328082852E-3</v>
      </c>
      <c r="AF72" s="580" t="str">
        <f t="shared" si="37"/>
        <v>0.865567764571884-7.4463161869632i</v>
      </c>
      <c r="AG72" s="270">
        <f t="shared" si="38"/>
        <v>7.4964546494523754</v>
      </c>
      <c r="AH72" s="581">
        <f t="shared" si="39"/>
        <v>-1.4550746016150933</v>
      </c>
      <c r="AI72" s="582" t="str">
        <f t="shared" si="17"/>
        <v>4000</v>
      </c>
      <c r="AJ72" s="584" t="str">
        <f t="shared" si="40"/>
        <v>1+63.3364732679378i</v>
      </c>
      <c r="AK72" s="585">
        <f t="shared" si="41"/>
        <v>63.344367121474974</v>
      </c>
      <c r="AL72" s="586">
        <f t="shared" si="42"/>
        <v>1.5550089476343529</v>
      </c>
      <c r="AM72" s="273" t="str">
        <f t="shared" si="43"/>
        <v>1+0.00221669897991353i</v>
      </c>
      <c r="AN72" s="585">
        <f t="shared" si="44"/>
        <v>1.0000024568741657</v>
      </c>
      <c r="AO72" s="586">
        <f t="shared" si="45"/>
        <v>2.2166953491528033E-3</v>
      </c>
      <c r="AP72" s="584" t="str">
        <f t="shared" si="46"/>
        <v>1+0.0000160373075904454i</v>
      </c>
      <c r="AQ72" s="585">
        <f t="shared" si="47"/>
        <v>1.0000000001285976</v>
      </c>
      <c r="AR72" s="586">
        <f t="shared" si="48"/>
        <v>1.6037307589070492E-5</v>
      </c>
      <c r="AS72" s="580" t="str">
        <f t="shared" si="49"/>
        <v>1.1358302031586-63.1368326122432i</v>
      </c>
      <c r="AT72" s="270">
        <f t="shared" si="50"/>
        <v>63.147048565683761</v>
      </c>
      <c r="AU72" s="581">
        <f t="shared" si="51"/>
        <v>-1.5528082895927893</v>
      </c>
      <c r="AV72" s="580" t="str">
        <f t="shared" si="52"/>
        <v>0.643643589386795-7.62831697261216i</v>
      </c>
      <c r="AW72" s="270">
        <f t="shared" si="53"/>
        <v>17.679383525959409</v>
      </c>
      <c r="AX72" s="581">
        <f t="shared" si="54"/>
        <v>-85.177059540545002</v>
      </c>
      <c r="AY72" s="299">
        <f t="shared" si="21"/>
        <v>94.822940459454998</v>
      </c>
      <c r="BB72" s="270">
        <f t="shared" si="57"/>
        <v>-3.992938863088813</v>
      </c>
      <c r="BC72" s="270">
        <f t="shared" si="58"/>
        <v>-88.96936138659494</v>
      </c>
      <c r="BD72" s="286"/>
      <c r="BE72" s="270">
        <f t="shared" si="55"/>
        <v>21.672322389048215</v>
      </c>
      <c r="BF72" s="581">
        <f t="shared" si="56"/>
        <v>3.7923018460499267</v>
      </c>
      <c r="BI72" s="286"/>
      <c r="BJ72" s="286"/>
      <c r="BL72" s="253">
        <f t="shared" si="24"/>
        <v>0</v>
      </c>
      <c r="BM72" s="253">
        <f t="shared" si="25"/>
        <v>0</v>
      </c>
      <c r="BN72" s="253">
        <f t="shared" si="26"/>
        <v>0</v>
      </c>
      <c r="BO72" s="253">
        <f t="shared" si="27"/>
        <v>0</v>
      </c>
    </row>
    <row r="73" spans="4:67" ht="13.6" thickBot="1" x14ac:dyDescent="0.25">
      <c r="D73" s="280">
        <v>251.19</v>
      </c>
      <c r="E73" s="273" t="str">
        <f t="shared" si="0"/>
        <v>0.00284089197115879i</v>
      </c>
      <c r="F73" s="579" t="str">
        <f t="shared" si="28"/>
        <v>0.002-9.74775104912277i</v>
      </c>
      <c r="G73" s="270" t="str">
        <f t="shared" si="29"/>
        <v>0.002-9.74775104912277i</v>
      </c>
      <c r="H73" s="271" t="str">
        <f t="shared" si="30"/>
        <v>1.91913288357396-0.393742516973745i</v>
      </c>
      <c r="I73" s="271" t="str">
        <f t="shared" si="31"/>
        <v>1.92913288357396-0.393742516973745i</v>
      </c>
      <c r="J73" s="270" t="str">
        <f t="shared" si="32"/>
        <v>1.71995495078938-0.705587129178386i</v>
      </c>
      <c r="K73" s="271" t="str">
        <f t="shared" si="1"/>
        <v>0.999998406696394-0.00198275542375683i</v>
      </c>
      <c r="L73" s="580"/>
      <c r="M73" s="580" t="str">
        <f t="shared" si="2"/>
        <v>23.082759588882+5.7550539816392i</v>
      </c>
      <c r="N73" s="270" t="str">
        <f t="shared" si="3"/>
        <v>10.6454030249948+4.3162904862294i</v>
      </c>
      <c r="O73" s="581" t="str">
        <f t="shared" si="4"/>
        <v>10.635983855909+2.12551707573588i</v>
      </c>
      <c r="P73" s="582" t="str">
        <f t="shared" si="5"/>
        <v>21.3551326488666-0.0874341685176301i</v>
      </c>
      <c r="Q73" s="583" t="str">
        <f t="shared" si="6"/>
        <v>21.2487728103076-0.108689339275037i</v>
      </c>
      <c r="R73" s="581" t="str">
        <f t="shared" si="33"/>
        <v>1.03403983532204+0.25563289313674i</v>
      </c>
      <c r="S73" s="253" t="str">
        <f t="shared" si="34"/>
        <v>26.4559094523576+3.17176121571516i</v>
      </c>
      <c r="T73" s="253" t="str">
        <f t="shared" si="35"/>
        <v>12.1167477061206+0.876617510645143i</v>
      </c>
      <c r="U73" s="253" t="str">
        <f t="shared" si="36"/>
        <v>23.59881054985-3.08853324834793i</v>
      </c>
      <c r="V73" s="582" t="str">
        <f t="shared" si="7"/>
        <v>6000</v>
      </c>
      <c r="W73" s="584" t="str">
        <f t="shared" si="8"/>
        <v>1+883.965632652503i</v>
      </c>
      <c r="X73" s="585">
        <f t="shared" si="9"/>
        <v>883.96619828517191</v>
      </c>
      <c r="Y73" s="586">
        <f t="shared" si="10"/>
        <v>1.5696650615777046</v>
      </c>
      <c r="Z73" s="273" t="str">
        <f t="shared" si="11"/>
        <v>1+0.132574958654077i</v>
      </c>
      <c r="AA73" s="585">
        <f t="shared" si="12"/>
        <v>1.0087497805016516</v>
      </c>
      <c r="AB73" s="586">
        <f t="shared" si="13"/>
        <v>0.1318063304385369</v>
      </c>
      <c r="AC73" s="584" t="str">
        <f t="shared" si="14"/>
        <v>1+0.00640939701203037i</v>
      </c>
      <c r="AD73" s="585">
        <f t="shared" si="15"/>
        <v>1.0000205399740836</v>
      </c>
      <c r="AE73" s="586">
        <f t="shared" si="16"/>
        <v>6.4093092473932346E-3</v>
      </c>
      <c r="AF73" s="580" t="str">
        <f t="shared" si="37"/>
        <v>0.864009131864946-6.79210530457668i</v>
      </c>
      <c r="AG73" s="270">
        <f t="shared" si="38"/>
        <v>6.8468391428749582</v>
      </c>
      <c r="AH73" s="581">
        <f t="shared" si="39"/>
        <v>-1.4442680403865618</v>
      </c>
      <c r="AI73" s="582" t="str">
        <f t="shared" si="17"/>
        <v>4000</v>
      </c>
      <c r="AJ73" s="584" t="str">
        <f t="shared" si="40"/>
        <v>1+69.446456502568i</v>
      </c>
      <c r="AK73" s="585">
        <f t="shared" si="41"/>
        <v>69.453655920786971</v>
      </c>
      <c r="AL73" s="586">
        <f t="shared" si="42"/>
        <v>1.5563977391208728</v>
      </c>
      <c r="AM73" s="273" t="str">
        <f t="shared" si="43"/>
        <v>1+0.00243054090865808i</v>
      </c>
      <c r="AN73" s="585">
        <f t="shared" si="44"/>
        <v>1.000002953760192</v>
      </c>
      <c r="AO73" s="586">
        <f t="shared" si="45"/>
        <v>2.4305361225113219E-3</v>
      </c>
      <c r="AP73" s="584" t="str">
        <f t="shared" si="46"/>
        <v>1+0.0000175844047913221i</v>
      </c>
      <c r="AQ73" s="585">
        <f t="shared" si="47"/>
        <v>1.0000000001546057</v>
      </c>
      <c r="AR73" s="586">
        <f t="shared" si="48"/>
        <v>1.7584404789509667E-5</v>
      </c>
      <c r="AS73" s="580" t="str">
        <f t="shared" si="49"/>
        <v>0.96817349242892-57.5843923164216i</v>
      </c>
      <c r="AT73" s="270">
        <f t="shared" si="50"/>
        <v>57.592530751504547</v>
      </c>
      <c r="AU73" s="581">
        <f t="shared" si="51"/>
        <v>-1.5539847874031509</v>
      </c>
      <c r="AV73" s="580" t="str">
        <f t="shared" si="52"/>
        <v>0.622106005879497-6.96886835671544i</v>
      </c>
      <c r="AW73" s="270">
        <f t="shared" si="53"/>
        <v>16.897717004834185</v>
      </c>
      <c r="AX73" s="581">
        <f t="shared" si="54"/>
        <v>-84.898767732237005</v>
      </c>
      <c r="AY73" s="299">
        <f t="shared" si="21"/>
        <v>95.101232267762995</v>
      </c>
      <c r="BB73" s="270">
        <f t="shared" si="57"/>
        <v>-4.7926767425587391</v>
      </c>
      <c r="BC73" s="270">
        <f t="shared" si="58"/>
        <v>-89.036769745735043</v>
      </c>
      <c r="BD73" s="286"/>
      <c r="BE73" s="270">
        <f t="shared" si="55"/>
        <v>21.690393747392932</v>
      </c>
      <c r="BF73" s="581">
        <f t="shared" si="56"/>
        <v>4.1380020134980331</v>
      </c>
      <c r="BI73" s="286"/>
      <c r="BJ73" s="286"/>
      <c r="BL73" s="253">
        <f t="shared" si="24"/>
        <v>0</v>
      </c>
      <c r="BM73" s="253">
        <f t="shared" si="25"/>
        <v>0</v>
      </c>
      <c r="BN73" s="253">
        <f t="shared" si="26"/>
        <v>0</v>
      </c>
      <c r="BO73" s="253">
        <f t="shared" si="27"/>
        <v>0</v>
      </c>
    </row>
    <row r="74" spans="4:67" ht="13.6" thickBot="1" x14ac:dyDescent="0.25">
      <c r="D74" s="280">
        <v>275.42</v>
      </c>
      <c r="E74" s="273" t="str">
        <f t="shared" si="0"/>
        <v>0.00311492681514612i</v>
      </c>
      <c r="F74" s="579" t="str">
        <f t="shared" si="28"/>
        <v>0.002-8.89019528730361i</v>
      </c>
      <c r="G74" s="270" t="str">
        <f t="shared" si="29"/>
        <v>0.002-8.89019528730361i</v>
      </c>
      <c r="H74" s="271" t="str">
        <f t="shared" si="30"/>
        <v>1.90356870016966-0.428218325324808i</v>
      </c>
      <c r="I74" s="271" t="str">
        <f t="shared" si="31"/>
        <v>1.91356870016966-0.428218325324808i</v>
      </c>
      <c r="J74" s="270" t="str">
        <f t="shared" si="32"/>
        <v>1.67120396491338-0.751675520995798i</v>
      </c>
      <c r="K74" s="271" t="str">
        <f t="shared" si="1"/>
        <v>0.999998084488361-0.00217401369007965i</v>
      </c>
      <c r="L74" s="580"/>
      <c r="M74" s="580" t="str">
        <f t="shared" si="2"/>
        <v>23.0913503854871+6.3114802882447i</v>
      </c>
      <c r="N74" s="270" t="str">
        <f t="shared" si="3"/>
        <v>10.6518461224486+4.73361021618352i</v>
      </c>
      <c r="O74" s="581" t="str">
        <f t="shared" si="4"/>
        <v>10.6405180238649+2.33101690383738i</v>
      </c>
      <c r="P74" s="582" t="str">
        <f t="shared" si="5"/>
        <v>21.3595463989241-0.0959038220182409i</v>
      </c>
      <c r="Q74" s="583" t="str">
        <f t="shared" si="6"/>
        <v>21.2531412186854-0.119213991056636i</v>
      </c>
      <c r="R74" s="581" t="str">
        <f t="shared" si="33"/>
        <v>1.03452760175835+0.280348242760662i</v>
      </c>
      <c r="S74" s="253" t="str">
        <f t="shared" si="34"/>
        <v>26.5383693893122+3.46623191971218i</v>
      </c>
      <c r="T74" s="253" t="str">
        <f t="shared" si="35"/>
        <v>12.1407991535833+0.957825157591594i</v>
      </c>
      <c r="U74" s="253" t="str">
        <f t="shared" si="36"/>
        <v>23.5210035487452-3.37562669142582i</v>
      </c>
      <c r="V74" s="582" t="str">
        <f t="shared" si="7"/>
        <v>6000</v>
      </c>
      <c r="W74" s="584" t="str">
        <f t="shared" si="8"/>
        <v>1+969.23370574128i</v>
      </c>
      <c r="X74" s="585">
        <f t="shared" si="9"/>
        <v>969.23422161259577</v>
      </c>
      <c r="Y74" s="586">
        <f t="shared" si="10"/>
        <v>1.5697645842551504</v>
      </c>
      <c r="Z74" s="273" t="str">
        <f t="shared" si="11"/>
        <v>1+0.145363251373486i</v>
      </c>
      <c r="AA74" s="585">
        <f t="shared" si="12"/>
        <v>1.0105100072982311</v>
      </c>
      <c r="AB74" s="586">
        <f t="shared" si="13"/>
        <v>0.14435217462399208</v>
      </c>
      <c r="AC74" s="584" t="str">
        <f t="shared" si="14"/>
        <v>1+0.00702765287254032i</v>
      </c>
      <c r="AD74" s="585">
        <f t="shared" si="15"/>
        <v>1.0000246936475603</v>
      </c>
      <c r="AE74" s="586">
        <f t="shared" si="16"/>
        <v>7.0275371822846149E-3</v>
      </c>
      <c r="AF74" s="580" t="str">
        <f t="shared" si="37"/>
        <v>0.862710593629092-6.19558524756732i</v>
      </c>
      <c r="AG74" s="270">
        <f t="shared" si="38"/>
        <v>6.2553613906978756</v>
      </c>
      <c r="AH74" s="581">
        <f t="shared" si="39"/>
        <v>-1.432439946813443</v>
      </c>
      <c r="AI74" s="582" t="str">
        <f t="shared" si="17"/>
        <v>4000</v>
      </c>
      <c r="AJ74" s="584" t="str">
        <f t="shared" si="40"/>
        <v>1+76.1453204742915i</v>
      </c>
      <c r="AK74" s="585">
        <f t="shared" si="41"/>
        <v>76.151886582884828</v>
      </c>
      <c r="AL74" s="586">
        <f t="shared" si="42"/>
        <v>1.5576642983298488</v>
      </c>
      <c r="AM74" s="273" t="str">
        <f t="shared" si="43"/>
        <v>1+0.00266499294184724i</v>
      </c>
      <c r="AN74" s="585">
        <f t="shared" si="44"/>
        <v>1.000003551087385</v>
      </c>
      <c r="AO74" s="586">
        <f t="shared" si="45"/>
        <v>2.6649866327810453E-3</v>
      </c>
      <c r="AP74" s="584" t="str">
        <f t="shared" si="46"/>
        <v>1+0.0000192806113604281i</v>
      </c>
      <c r="AQ74" s="585">
        <f t="shared" si="47"/>
        <v>1.0000000001858709</v>
      </c>
      <c r="AR74" s="586">
        <f t="shared" si="48"/>
        <v>1.9280611358038963E-5</v>
      </c>
      <c r="AS74" s="580" t="str">
        <f t="shared" si="49"/>
        <v>0.828719372053212-52.5202528502324i</v>
      </c>
      <c r="AT74" s="270">
        <f t="shared" si="50"/>
        <v>52.526790642965814</v>
      </c>
      <c r="AU74" s="581">
        <f t="shared" si="51"/>
        <v>-1.5550185923084259</v>
      </c>
      <c r="AV74" s="580" t="str">
        <f t="shared" si="52"/>
        <v>0.603665349138059-6.36844073086946i</v>
      </c>
      <c r="AW74" s="270">
        <f t="shared" si="53"/>
        <v>16.119510054612412</v>
      </c>
      <c r="AX74" s="581">
        <f t="shared" si="54"/>
        <v>-84.585104632807145</v>
      </c>
      <c r="AY74" s="299">
        <f t="shared" si="21"/>
        <v>95.414895367192855</v>
      </c>
      <c r="BB74" s="270">
        <f t="shared" si="57"/>
        <v>-5.5923826706425359</v>
      </c>
      <c r="BC74" s="270">
        <f t="shared" si="58"/>
        <v>-89.096002403647219</v>
      </c>
      <c r="BD74" s="286"/>
      <c r="BE74" s="270">
        <f t="shared" si="55"/>
        <v>21.711892725254955</v>
      </c>
      <c r="BF74" s="581">
        <f t="shared" si="56"/>
        <v>4.510897770840069</v>
      </c>
      <c r="BI74" s="286"/>
      <c r="BJ74" s="286"/>
      <c r="BL74" s="253">
        <f t="shared" si="24"/>
        <v>0</v>
      </c>
      <c r="BM74" s="253">
        <f t="shared" si="25"/>
        <v>0</v>
      </c>
      <c r="BN74" s="253">
        <f t="shared" si="26"/>
        <v>0</v>
      </c>
      <c r="BO74" s="253">
        <f t="shared" si="27"/>
        <v>0</v>
      </c>
    </row>
    <row r="75" spans="4:67" ht="13.6" thickBot="1" x14ac:dyDescent="0.25">
      <c r="D75" s="280">
        <v>302</v>
      </c>
      <c r="E75" s="273" t="str">
        <f t="shared" si="0"/>
        <v>0.00341553953298282i</v>
      </c>
      <c r="F75" s="579" t="str">
        <f t="shared" si="28"/>
        <v>0.002-8.10774035108995i</v>
      </c>
      <c r="G75" s="270" t="str">
        <f t="shared" si="29"/>
        <v>0.002-8.10774035108995i</v>
      </c>
      <c r="H75" s="271" t="str">
        <f t="shared" si="30"/>
        <v>1.88517919421419-0.465003636470669i</v>
      </c>
      <c r="I75" s="271" t="str">
        <f t="shared" si="31"/>
        <v>1.89517919421419-0.465003636470669i</v>
      </c>
      <c r="J75" s="270" t="str">
        <f t="shared" si="32"/>
        <v>1.61611236536762-0.796990223133942i</v>
      </c>
      <c r="K75" s="271" t="str">
        <f t="shared" si="1"/>
        <v>0.999997696926845-0.00238382156126663i</v>
      </c>
      <c r="L75" s="580"/>
      <c r="M75" s="580" t="str">
        <f t="shared" si="2"/>
        <v>23.1016904526281+6.92228402018518i</v>
      </c>
      <c r="N75" s="270" t="str">
        <f t="shared" si="3"/>
        <v>10.6596011728044+5.19171301513888i</v>
      </c>
      <c r="O75" s="581" t="str">
        <f t="shared" si="4"/>
        <v>10.6459751140244+2.5565977299473i</v>
      </c>
      <c r="P75" s="582" t="str">
        <f t="shared" si="5"/>
        <v>21.3648577796393-0.105206316026255i</v>
      </c>
      <c r="Q75" s="583" t="str">
        <f t="shared" si="6"/>
        <v>21.258398028499-0.130772293325713i</v>
      </c>
      <c r="R75" s="581" t="str">
        <f t="shared" si="33"/>
        <v>1.03511466197808+0.307478780145303i</v>
      </c>
      <c r="S75" s="253" t="str">
        <f t="shared" si="34"/>
        <v>26.6368587697711+3.78571309991798i</v>
      </c>
      <c r="T75" s="253" t="str">
        <f t="shared" si="35"/>
        <v>12.1695257834543+1.04587265160506i</v>
      </c>
      <c r="U75" s="253" t="str">
        <f t="shared" si="36"/>
        <v>23.4280713967028-3.68721638082634i</v>
      </c>
      <c r="V75" s="582" t="str">
        <f t="shared" si="7"/>
        <v>6000</v>
      </c>
      <c r="W75" s="584" t="str">
        <f t="shared" si="8"/>
        <v>1+1062.77169099508i</v>
      </c>
      <c r="X75" s="585">
        <f t="shared" si="9"/>
        <v>1062.7721614629081</v>
      </c>
      <c r="Y75" s="586">
        <f t="shared" si="10"/>
        <v>1.5698553912079281</v>
      </c>
      <c r="Z75" s="273" t="str">
        <f t="shared" si="11"/>
        <v>1+0.159391844872531i</v>
      </c>
      <c r="AA75" s="585">
        <f t="shared" si="12"/>
        <v>1.012623207423111</v>
      </c>
      <c r="AB75" s="586">
        <f t="shared" si="13"/>
        <v>0.15806223102321243</v>
      </c>
      <c r="AC75" s="584" t="str">
        <f t="shared" si="14"/>
        <v>1+0.00770587164151904i</v>
      </c>
      <c r="AD75" s="585">
        <f t="shared" si="15"/>
        <v>1.000029689788136</v>
      </c>
      <c r="AE75" s="586">
        <f t="shared" si="16"/>
        <v>7.705719120891223E-3</v>
      </c>
      <c r="AF75" s="580" t="str">
        <f t="shared" si="37"/>
        <v>0.861627394033776-5.65140306512603i</v>
      </c>
      <c r="AG75" s="270">
        <f t="shared" si="38"/>
        <v>5.716708700875472</v>
      </c>
      <c r="AH75" s="581">
        <f t="shared" si="39"/>
        <v>-1.4194988793056067</v>
      </c>
      <c r="AI75" s="582" t="str">
        <f t="shared" si="17"/>
        <v>4000</v>
      </c>
      <c r="AJ75" s="584" t="str">
        <f t="shared" si="40"/>
        <v>1+83.4938885456248i</v>
      </c>
      <c r="AK75" s="585">
        <f t="shared" si="41"/>
        <v>83.499876793137943</v>
      </c>
      <c r="AL75" s="586">
        <f t="shared" si="42"/>
        <v>1.5588199749210108</v>
      </c>
      <c r="AM75" s="273" t="str">
        <f t="shared" si="43"/>
        <v>1+0.00292218382266308i</v>
      </c>
      <c r="AN75" s="585">
        <f t="shared" si="44"/>
        <v>1.000004269570032</v>
      </c>
      <c r="AO75" s="586">
        <f t="shared" si="45"/>
        <v>2.9221755050422875E-3</v>
      </c>
      <c r="AP75" s="584" t="str">
        <f t="shared" si="46"/>
        <v>1+0.0000211413282653739i</v>
      </c>
      <c r="AQ75" s="585">
        <f t="shared" si="47"/>
        <v>1.0000000002234779</v>
      </c>
      <c r="AR75" s="586">
        <f t="shared" si="48"/>
        <v>2.1141328262224155E-5</v>
      </c>
      <c r="AS75" s="580" t="str">
        <f t="shared" si="49"/>
        <v>0.712666955884952-47.8991654124036i</v>
      </c>
      <c r="AT75" s="270">
        <f t="shared" si="50"/>
        <v>47.904466820901064</v>
      </c>
      <c r="AU75" s="581">
        <f t="shared" si="51"/>
        <v>-1.5559189407442306</v>
      </c>
      <c r="AV75" s="580" t="str">
        <f t="shared" si="52"/>
        <v>0.587692460341977-5.82164769613325i</v>
      </c>
      <c r="AW75" s="270">
        <f t="shared" si="53"/>
        <v>15.344952503104794</v>
      </c>
      <c r="AX75" s="581">
        <f t="shared" si="54"/>
        <v>-84.235547882935776</v>
      </c>
      <c r="AY75" s="299">
        <f t="shared" si="21"/>
        <v>95.764452117064224</v>
      </c>
      <c r="BB75" s="270">
        <f t="shared" si="57"/>
        <v>-6.3924797838076577</v>
      </c>
      <c r="BC75" s="270">
        <f t="shared" si="58"/>
        <v>-89.147588569110042</v>
      </c>
      <c r="BD75" s="286"/>
      <c r="BE75" s="270">
        <f t="shared" si="55"/>
        <v>21.737432286912455</v>
      </c>
      <c r="BF75" s="581">
        <f t="shared" si="56"/>
        <v>4.9120406861742643</v>
      </c>
      <c r="BI75" s="286"/>
      <c r="BJ75" s="286"/>
      <c r="BL75" s="253">
        <f t="shared" si="24"/>
        <v>0</v>
      </c>
      <c r="BM75" s="253">
        <f t="shared" si="25"/>
        <v>0</v>
      </c>
      <c r="BN75" s="253">
        <f t="shared" si="26"/>
        <v>0</v>
      </c>
      <c r="BO75" s="253">
        <f t="shared" si="27"/>
        <v>0</v>
      </c>
    </row>
    <row r="76" spans="4:67" ht="13.6" thickBot="1" x14ac:dyDescent="0.25">
      <c r="D76" s="280">
        <v>331.13</v>
      </c>
      <c r="E76" s="273" t="str">
        <f t="shared" si="0"/>
        <v>0.00374499207137948i</v>
      </c>
      <c r="F76" s="579" t="str">
        <f t="shared" si="28"/>
        <v>0.002-7.39449033922981i</v>
      </c>
      <c r="G76" s="270" t="str">
        <f t="shared" si="29"/>
        <v>0.002-7.39449033922981i</v>
      </c>
      <c r="H76" s="271" t="str">
        <f t="shared" si="30"/>
        <v>1.86354611066179-0.503999483747122i</v>
      </c>
      <c r="I76" s="271" t="str">
        <f t="shared" si="31"/>
        <v>1.87354611066179-0.503999483747122i</v>
      </c>
      <c r="J76" s="270" t="str">
        <f t="shared" si="32"/>
        <v>1.55454132220387-0.840500690743937i</v>
      </c>
      <c r="K76" s="271" t="str">
        <f t="shared" si="1"/>
        <v>0.999997231204341-0.00261375772709344i</v>
      </c>
      <c r="L76" s="580"/>
      <c r="M76" s="580" t="str">
        <f t="shared" si="2"/>
        <v>23.1141256711285+7.59222851554135i</v>
      </c>
      <c r="N76" s="270" t="str">
        <f t="shared" si="3"/>
        <v>10.6689275866797+5.69417138665601i</v>
      </c>
      <c r="O76" s="581" t="str">
        <f t="shared" si="4"/>
        <v>10.6525374649854+2.80401804002581i</v>
      </c>
      <c r="P76" s="582" t="str">
        <f t="shared" si="5"/>
        <v>21.3712437807931-0.115416289833654i</v>
      </c>
      <c r="Q76" s="583" t="str">
        <f t="shared" si="6"/>
        <v>21.2647184061432-0.143456470233923i</v>
      </c>
      <c r="R76" s="581" t="str">
        <f t="shared" si="33"/>
        <v>1.03582063751365+0.337236021260366i</v>
      </c>
      <c r="S76" s="253" t="str">
        <f t="shared" si="34"/>
        <v>26.7542171484454+4.13122787380391i</v>
      </c>
      <c r="T76" s="253" t="str">
        <f t="shared" si="35"/>
        <v>12.203755698258+1.14101937487625i</v>
      </c>
      <c r="U76" s="253" t="str">
        <f t="shared" si="36"/>
        <v>23.3173346428385-4.02434435345766i</v>
      </c>
      <c r="V76" s="582" t="str">
        <f t="shared" si="7"/>
        <v>6000</v>
      </c>
      <c r="W76" s="584" t="str">
        <f t="shared" si="8"/>
        <v>1+1165.28341072584i</v>
      </c>
      <c r="X76" s="585">
        <f t="shared" si="9"/>
        <v>1165.2838398059275</v>
      </c>
      <c r="Y76" s="586">
        <f t="shared" si="10"/>
        <v>1.5699381666723755</v>
      </c>
      <c r="Z76" s="273" t="str">
        <f t="shared" si="11"/>
        <v>1+0.174766296664376i</v>
      </c>
      <c r="AA76" s="585">
        <f t="shared" si="12"/>
        <v>1.0151567654553559</v>
      </c>
      <c r="AB76" s="586">
        <f t="shared" si="13"/>
        <v>0.17301889861150313</v>
      </c>
      <c r="AC76" s="584" t="str">
        <f t="shared" si="14"/>
        <v>1+0.00844915654521924i</v>
      </c>
      <c r="AD76" s="585">
        <f t="shared" si="15"/>
        <v>1.0000356934861503</v>
      </c>
      <c r="AE76" s="586">
        <f t="shared" si="16"/>
        <v>8.4489554970077606E-3</v>
      </c>
      <c r="AF76" s="580" t="str">
        <f t="shared" si="37"/>
        <v>0.86072371442268-5.15545836870626i</v>
      </c>
      <c r="AG76" s="270">
        <f t="shared" si="38"/>
        <v>5.2268151205139235</v>
      </c>
      <c r="AH76" s="581">
        <f t="shared" si="39"/>
        <v>-1.4053682235578793</v>
      </c>
      <c r="AI76" s="582" t="str">
        <f t="shared" si="17"/>
        <v>4000</v>
      </c>
      <c r="AJ76" s="584" t="str">
        <f t="shared" si="40"/>
        <v>1+91.5474546824929i</v>
      </c>
      <c r="AK76" s="585">
        <f t="shared" si="41"/>
        <v>91.55291616788125</v>
      </c>
      <c r="AL76" s="586">
        <f t="shared" si="42"/>
        <v>1.5598734646190733</v>
      </c>
      <c r="AM76" s="273" t="str">
        <f t="shared" si="43"/>
        <v>1+0.00320404877218023i</v>
      </c>
      <c r="AN76" s="585">
        <f t="shared" si="44"/>
        <v>1.0000051329510937</v>
      </c>
      <c r="AO76" s="586">
        <f t="shared" si="45"/>
        <v>3.2040378080691921E-3</v>
      </c>
      <c r="AP76" s="584" t="str">
        <f t="shared" si="46"/>
        <v>1+0.0000231805563858056i</v>
      </c>
      <c r="AQ76" s="585">
        <f t="shared" si="47"/>
        <v>1.0000000002686691</v>
      </c>
      <c r="AR76" s="586">
        <f t="shared" si="48"/>
        <v>2.3180556381653669E-5</v>
      </c>
      <c r="AS76" s="580" t="str">
        <f t="shared" si="49"/>
        <v>0.616182415008408-43.6864588577904i</v>
      </c>
      <c r="AT76" s="270">
        <f t="shared" si="50"/>
        <v>43.69080416176817</v>
      </c>
      <c r="AU76" s="581">
        <f t="shared" si="51"/>
        <v>-1.5566926073673857</v>
      </c>
      <c r="AV76" s="580" t="str">
        <f t="shared" si="52"/>
        <v>0.573668356347983-5.32435795148491i</v>
      </c>
      <c r="AW76" s="270">
        <f t="shared" si="53"/>
        <v>14.575470882565625</v>
      </c>
      <c r="AX76" s="581">
        <f t="shared" si="54"/>
        <v>-83.850438761182787</v>
      </c>
      <c r="AY76" s="299">
        <f t="shared" si="21"/>
        <v>96.149561238817213</v>
      </c>
      <c r="BB76" s="270">
        <f t="shared" si="57"/>
        <v>-7.1921992340739473</v>
      </c>
      <c r="BC76" s="270">
        <f t="shared" si="58"/>
        <v>-89.191916401366967</v>
      </c>
      <c r="BD76" s="286"/>
      <c r="BE76" s="270">
        <f t="shared" si="55"/>
        <v>21.767670116639565</v>
      </c>
      <c r="BF76" s="581">
        <f t="shared" si="56"/>
        <v>5.3414776401841753</v>
      </c>
      <c r="BI76" s="286"/>
      <c r="BJ76" s="286"/>
      <c r="BL76" s="253">
        <f t="shared" si="24"/>
        <v>0</v>
      </c>
      <c r="BM76" s="253">
        <f t="shared" si="25"/>
        <v>0</v>
      </c>
      <c r="BN76" s="253">
        <f t="shared" si="26"/>
        <v>0</v>
      </c>
      <c r="BO76" s="253">
        <f t="shared" si="27"/>
        <v>0</v>
      </c>
    </row>
    <row r="77" spans="4:67" ht="13.6" thickBot="1" x14ac:dyDescent="0.25">
      <c r="D77" s="280">
        <v>363.08</v>
      </c>
      <c r="E77" s="273" t="str">
        <f t="shared" ref="E77:E140" si="59">COMPLEX(0,2*PI()*D77*Lf)</f>
        <v>0.00410633805839538i</v>
      </c>
      <c r="F77" s="579" t="str">
        <f t="shared" si="28"/>
        <v>0.002-6.74379637002631i</v>
      </c>
      <c r="G77" s="270" t="str">
        <f t="shared" si="29"/>
        <v>0.002-6.74379637002631i</v>
      </c>
      <c r="H77" s="271" t="str">
        <f t="shared" si="30"/>
        <v>1.83817904865517-0.545098673463256i</v>
      </c>
      <c r="I77" s="271" t="str">
        <f t="shared" si="31"/>
        <v>1.84817904865517-0.545098673463256i</v>
      </c>
      <c r="J77" s="270" t="str">
        <f t="shared" si="32"/>
        <v>1.48644853219825-0.881139595256541i</v>
      </c>
      <c r="K77" s="271" t="str">
        <f t="shared" ref="K77:K140" si="60">IMSUM(COMPLEX(1,0),COMPLEX(0,2*PI()*D77/(Fsw*PI()*(-2)/PI())),IMPRODUCT(COMPLEX(0,2*PI()*D77/(Fsw*PI())),COMPLEX(0,2*PI()*D77/(Fsw*PI()))))</f>
        <v>0.999996671117234-0.00286595341875724i</v>
      </c>
      <c r="L77" s="580"/>
      <c r="M77" s="580" t="str">
        <f t="shared" ref="M77:M140" si="61">IF(Vin&gt;=Vout,IMDIV(COMPLEX(Vin,0),IMSUM(E77,J77)),IMDIV(IMSUM(COMPLEX(Vout,0),IMPRODUCT(J77,COMPLEX($B$4,0))),IMSUM(E77,IMPRODUCT(J77,COMPLEX((1-$B$11)^2,0)))))</f>
        <v>23.1290947416114+8.32774424466484i</v>
      </c>
      <c r="N77" s="270" t="str">
        <f t="shared" ref="N77:N140" si="62">IF(Vin&gt;=Vout,0,IMSUB(IMPRODUCT(M77,COMPLEX(1-$B$11,0)),COMPLEX($B$4/(1-$B$11),0)))</f>
        <v>10.6801543895419+6.24580818349863i</v>
      </c>
      <c r="O77" s="581" t="str">
        <f t="shared" ref="O77:O140" si="63">IMDIV(IF(Vin&gt;=Vout,M77,N77),IMPRODUCT(I77,IMSUM(IMDIV(COMPLEX(1,0),F77),IMDIV(COMPLEX(1,0),I77))))</f>
        <v>10.6604362938515+3.07565177580026i</v>
      </c>
      <c r="P77" s="582" t="str">
        <f t="shared" ref="P77:P140" si="64">IF(Vin&gt;=Vout,IMDIV(IMPRODUCT(COMPLEX(Vin,0),J77),IMSUM(J77,E77)),IMPRODUCT(N77,J77))</f>
        <v>21.3789287108432-0.126634509324964i</v>
      </c>
      <c r="Q77" s="583" t="str">
        <f t="shared" ref="Q77:Q140" si="65">IF(Vin&gt;=Vout,IMDIV(IMPRODUCT(P77,H77),IMSUM(COMPLEX($B$15,0),H77)),IMPRODUCT(O77,H77))</f>
        <v>21.2723243479046-0.157391027082896i</v>
      </c>
      <c r="R77" s="581" t="str">
        <f t="shared" si="33"/>
        <v>1.03667041130768+0.369905510986241i</v>
      </c>
      <c r="S77" s="253" t="str">
        <f t="shared" si="34"/>
        <v>26.893937818198+4.50419769206056i</v>
      </c>
      <c r="T77" s="253" t="str">
        <f t="shared" si="35"/>
        <v>12.2445076188351+1.24362724221408i</v>
      </c>
      <c r="U77" s="253" t="str">
        <f t="shared" si="36"/>
        <v>23.1854969260548-4.38845531926299i</v>
      </c>
      <c r="V77" s="582" t="str">
        <f t="shared" ref="V77:V140" si="66">COMPLEX(AEA,0)</f>
        <v>6000</v>
      </c>
      <c r="W77" s="584" t="str">
        <f t="shared" ref="W77:W140" si="67">IMSUM(COMPLEX(1,0),IMDIV(COMPLEX(0,2*PI()*D77),COMPLEX(2*PI()*EA_Pole1,0)))</f>
        <v>1+1277.71902505462i</v>
      </c>
      <c r="X77" s="585">
        <f t="shared" ref="X77:X140" si="68">IMABS(W77)</f>
        <v>1277.7194163769009</v>
      </c>
      <c r="Y77" s="586">
        <f t="shared" ref="Y77:Y140" si="69">IMARGUMENT(W77)</f>
        <v>1.5700136822727335</v>
      </c>
      <c r="Z77" s="273" t="str">
        <f t="shared" ref="Z77:Z140" si="70">IMSUM(COMPLEX(1,0),IMDIV(COMPLEX(0,2*PI()*D77),COMPLEX(2*PI()*EA_Zero1,0)))</f>
        <v>1+0.191629109391784i</v>
      </c>
      <c r="AA77" s="585">
        <f t="shared" ref="AA77:AA140" si="71">IMABS(Z77)</f>
        <v>1.0181953228955083</v>
      </c>
      <c r="AB77" s="586">
        <f t="shared" ref="AB77:AB140" si="72">IMARGUMENT(Z77)</f>
        <v>0.18933382326854581</v>
      </c>
      <c r="AC77" s="584" t="str">
        <f t="shared" ref="AC77:AC140" si="73">IMSUM(COMPLEX(1,0),IMDIV(COMPLEX(0,2*PI()*D77),COMPLEX(2*PI()*EA_Pole2,0)))</f>
        <v>1+0.0092643969390819i</v>
      </c>
      <c r="AD77" s="585">
        <f t="shared" ref="AD77:AD140" si="74">IMABS(AC77)</f>
        <v>1.0000429136045337</v>
      </c>
      <c r="AE77" s="586">
        <f t="shared" ref="AE77:AE140" si="75">IMARGUMENT(AC77)</f>
        <v>9.2641319012658398E-3</v>
      </c>
      <c r="AF77" s="580" t="str">
        <f t="shared" si="37"/>
        <v>0.859968018097338-4.70312802633124i</v>
      </c>
      <c r="AG77" s="270">
        <f t="shared" si="38"/>
        <v>4.7811042892006279</v>
      </c>
      <c r="AH77" s="581">
        <f t="shared" si="39"/>
        <v>-1.389943990905453</v>
      </c>
      <c r="AI77" s="582" t="str">
        <f t="shared" ref="AI77:AI140" si="76">COMPLEX(AIL,0)</f>
        <v>4000</v>
      </c>
      <c r="AJ77" s="584" t="str">
        <f t="shared" si="40"/>
        <v>1+100.380665738892i</v>
      </c>
      <c r="AK77" s="585">
        <f t="shared" si="41"/>
        <v>100.38564665420633</v>
      </c>
      <c r="AL77" s="586">
        <f t="shared" si="42"/>
        <v>1.5608345785477504</v>
      </c>
      <c r="AM77" s="273" t="str">
        <f t="shared" si="43"/>
        <v>1+0.00351320033884937i</v>
      </c>
      <c r="AN77" s="585">
        <f t="shared" si="44"/>
        <v>1.0000061712692683</v>
      </c>
      <c r="AO77" s="586">
        <f t="shared" si="45"/>
        <v>3.5131858849749534E-3</v>
      </c>
      <c r="AP77" s="584" t="str">
        <f t="shared" si="46"/>
        <v>1+0.0000254171969092449i</v>
      </c>
      <c r="AQ77" s="585">
        <f t="shared" si="47"/>
        <v>1.0000000003230169</v>
      </c>
      <c r="AR77" s="586">
        <f t="shared" si="48"/>
        <v>2.5417196903771443E-5</v>
      </c>
      <c r="AS77" s="580" t="str">
        <f t="shared" si="49"/>
        <v>0.53590109349176-39.8429759761557i</v>
      </c>
      <c r="AT77" s="270">
        <f t="shared" si="50"/>
        <v>39.84657983589716</v>
      </c>
      <c r="AU77" s="581">
        <f t="shared" si="51"/>
        <v>-1.5573468098596792</v>
      </c>
      <c r="AV77" s="580" t="str">
        <f t="shared" si="52"/>
        <v>0.561116553570303-4.87191161698104i</v>
      </c>
      <c r="AW77" s="270">
        <f t="shared" si="53"/>
        <v>13.81121845003479</v>
      </c>
      <c r="AX77" s="581">
        <f t="shared" si="54"/>
        <v>-83.42997600196118</v>
      </c>
      <c r="AY77" s="299">
        <f t="shared" ref="AY77:AY140" si="77">IF(AX77&gt;0,AX77-180,AX77+180)</f>
        <v>96.57002399803882</v>
      </c>
      <c r="BB77" s="270">
        <f t="shared" si="57"/>
        <v>-7.9921789920785136</v>
      </c>
      <c r="BC77" s="270">
        <f t="shared" si="58"/>
        <v>-89.229399443122318</v>
      </c>
      <c r="BD77" s="286"/>
      <c r="BE77" s="270">
        <f t="shared" si="55"/>
        <v>21.803397442113294</v>
      </c>
      <c r="BF77" s="581">
        <f t="shared" si="56"/>
        <v>5.7994234411611485</v>
      </c>
      <c r="BI77" s="286"/>
      <c r="BJ77" s="286"/>
      <c r="BL77" s="253">
        <f t="shared" ref="BL77:BL140" si="78">SUM((AW78&lt;0)*(AW77&gt;0))*D77</f>
        <v>0</v>
      </c>
      <c r="BM77" s="253">
        <f t="shared" ref="BM77:BM89" si="79">IF(BL77&gt;0,AY75,0)</f>
        <v>0</v>
      </c>
      <c r="BN77" s="253">
        <f t="shared" ref="BN77:BN140" si="80">SUM((BB78&lt;0)*(BB77&gt;0))*D77</f>
        <v>0</v>
      </c>
      <c r="BO77" s="253">
        <f t="shared" ref="BO77:BO140" si="81">IF(BN77&gt;0,BC77,0)</f>
        <v>0</v>
      </c>
    </row>
    <row r="78" spans="4:67" ht="13.6" thickBot="1" x14ac:dyDescent="0.25">
      <c r="D78" s="280">
        <v>398.11</v>
      </c>
      <c r="E78" s="273" t="str">
        <f t="shared" si="59"/>
        <v>0.00450251802475428i</v>
      </c>
      <c r="F78" s="579" t="str">
        <f t="shared" ref="F78:F141" si="82">IMSUM(COMPLEX($B$8,0),IMDIV(COMPLEX(1,0),COMPLEX(0,2*PI()*D78*$B$6)))</f>
        <v>0.002-6.15040462693517i</v>
      </c>
      <c r="G78" s="270" t="str">
        <f t="shared" ref="G78:G141" si="83">IMSUM(COMPLEX($B$9,0),IMDIV(COMPLEX(1,0),COMPLEX(0,2*PI()*D78*$B$7)))</f>
        <v>0.002-6.15040462693517i</v>
      </c>
      <c r="H78" s="271" t="str">
        <f t="shared" ref="H78:H141" si="84">IMDIV(COMPLEX(1,0),IMSUM(IMDIV(COMPLEX(1,0),COMPLEX($B$5,0)), IMDIV(COMPLEX(1,0),G78)))</f>
        <v>1.80858353258472-0.588056307124122i</v>
      </c>
      <c r="I78" s="271" t="str">
        <f t="shared" ref="I78:I141" si="85">IMSUM(H78,COMPLEX($B$15,0))</f>
        <v>1.81858353258472-0.588056307124122i</v>
      </c>
      <c r="J78" s="270" t="str">
        <f t="shared" ref="J78:J141" si="86">IMDIV(COMPLEX(1,0),IMSUM(IMDIV(COMPLEX(1,0),F78),IMDIV(COMPLEX(1,0),IMSUM(COMPLEX($B$15,0),H78))))</f>
        <v>1.41210573366972-0.917717498204996i</v>
      </c>
      <c r="K78" s="271" t="str">
        <f t="shared" si="60"/>
        <v>0.999995997788639-0.00314246093296641i</v>
      </c>
      <c r="L78" s="580"/>
      <c r="M78" s="580" t="str">
        <f t="shared" si="61"/>
        <v>23.1471109402652+9.13510869403534i</v>
      </c>
      <c r="N78" s="270" t="str">
        <f t="shared" si="62"/>
        <v>10.6936665385322+6.85133152052651i</v>
      </c>
      <c r="O78" s="581" t="str">
        <f t="shared" si="63"/>
        <v>10.6699420165286+3.37381605549637i</v>
      </c>
      <c r="P78" s="582" t="str">
        <f t="shared" si="64"/>
        <v>21.388174655404-0.138960378972685i</v>
      </c>
      <c r="Q78" s="583" t="str">
        <f t="shared" si="65"/>
        <v>21.2814752352387-0.172698539527646i</v>
      </c>
      <c r="R78" s="581" t="str">
        <f t="shared" ref="R78:R141" si="87">IMPRODUCT(M78,COMPLEX($B$29,0),K78,COMPLEX($B$34,0))</f>
        <v>1.03769308789696+0.405765970890792i</v>
      </c>
      <c r="S78" s="253" t="str">
        <f t="shared" ref="S78:S141" si="88">IMDIV(IMPRODUCT(COMPLEX($B$34,0),M78),IMSUM(COMPLEX(1,0),R78))</f>
        <v>27.0598937776763+4.90536624544296i</v>
      </c>
      <c r="T78" s="253" t="str">
        <f t="shared" ref="T78:T141" si="89">IMDIV(IMPRODUCT(COMPLEX($B$34,0),O78),IMSUM(COMPLEX(1,0),R78))</f>
        <v>12.2929109311955+1.35386226186804i</v>
      </c>
      <c r="U78" s="253" t="str">
        <f t="shared" ref="U78:U141" si="90">IMDIV(IMPRODUCT(COMPLEX($B$34,0),Q78),IMSUM(COMPLEX(1,0),R78))</f>
        <v>23.0289035197597-4.78035081380214i</v>
      </c>
      <c r="V78" s="582" t="str">
        <f t="shared" si="66"/>
        <v>6000</v>
      </c>
      <c r="W78" s="584" t="str">
        <f t="shared" si="67"/>
        <v>1+1400.99350298694i</v>
      </c>
      <c r="X78" s="585">
        <f t="shared" si="68"/>
        <v>1400.993859876487</v>
      </c>
      <c r="Y78" s="586">
        <f t="shared" si="69"/>
        <v>1.5700825477316525</v>
      </c>
      <c r="Z78" s="273" t="str">
        <f t="shared" si="70"/>
        <v>1+0.210117507821867i</v>
      </c>
      <c r="AA78" s="585">
        <f t="shared" si="71"/>
        <v>1.021836272155805</v>
      </c>
      <c r="AB78" s="586">
        <f t="shared" si="72"/>
        <v>0.20710473616428376</v>
      </c>
      <c r="AC78" s="584" t="str">
        <f t="shared" si="73"/>
        <v>1+0.0101582270172356i</v>
      </c>
      <c r="AD78" s="585">
        <f t="shared" si="74"/>
        <v>1.0000515934571244</v>
      </c>
      <c r="AE78" s="586">
        <f t="shared" si="75"/>
        <v>1.0157877631153753E-2</v>
      </c>
      <c r="AF78" s="580" t="str">
        <f t="shared" ref="AF78:AF141" si="91">IMPRODUCT(V78,IMDIV(Z78,IMPRODUCT(W78,AC78)))</f>
        <v>0.859334931028422-4.29075993955897i</v>
      </c>
      <c r="AG78" s="270">
        <f t="shared" ref="AG78:AG141" si="92">IMABS(AF78)</f>
        <v>4.3759658799640695</v>
      </c>
      <c r="AH78" s="581">
        <f t="shared" ref="AH78:AH141" si="93">IMARGUMENT(AF78)</f>
        <v>-1.3731356891985227</v>
      </c>
      <c r="AI78" s="582" t="str">
        <f t="shared" si="76"/>
        <v>4000</v>
      </c>
      <c r="AJ78" s="584" t="str">
        <f t="shared" ref="AJ78:AJ141" si="94">IMSUM(COMPLEX(1,0),IMDIV(COMPLEX(0,2*PI()*D78),COMPLEX(2*PI()*IL_Pole1,0)))</f>
        <v>1+110.065403870526i</v>
      </c>
      <c r="AK78" s="585">
        <f t="shared" ref="AK78:AK141" si="95">IMABS(AJ78)</f>
        <v>110.06994653029498</v>
      </c>
      <c r="AL78" s="586">
        <f t="shared" ref="AL78:AL141" si="96">IMARGUMENT(AJ78)</f>
        <v>1.5617110697502787</v>
      </c>
      <c r="AM78" s="273" t="str">
        <f t="shared" ref="AM78:AM141" si="97">IMSUM(COMPLEX(1,0),IMDIV(COMPLEX(0,2*PI()*D78),COMPLEX(2*PI()*IL_Zero1,0)))</f>
        <v>1+0.00385215431006756i</v>
      </c>
      <c r="AN78" s="585">
        <f t="shared" ref="AN78:AN141" si="98">IMABS(AM78)</f>
        <v>1.0000074195188897</v>
      </c>
      <c r="AO78" s="586">
        <f t="shared" ref="AO78:AO141" si="99">IMARGUMENT(AM78)</f>
        <v>3.8521352560787407E-3</v>
      </c>
      <c r="AP78" s="584" t="str">
        <f t="shared" ref="AP78:AP141" si="100">IMSUM(COMPLEX(1,0),IMDIV(COMPLEX(0,2*PI()*D78),COMPLEX(2*PI()*IL_Pole2,0)))</f>
        <v>1+0.0000278694509792319i</v>
      </c>
      <c r="AQ78" s="585">
        <f t="shared" ref="AQ78:AQ141" si="101">IMABS(AP78)</f>
        <v>1.0000000003883531</v>
      </c>
      <c r="AR78" s="586">
        <f t="shared" ref="AR78:AR141" si="102">IMARGUMENT(AP78)</f>
        <v>2.7869450972016441E-5</v>
      </c>
      <c r="AS78" s="580" t="str">
        <f t="shared" ref="AS78:AS141" si="103">IMPRODUCT(AI78,IMDIV(AM78,IMPRODUCT(AJ78,AP78)))</f>
        <v>0.469129329485064-36.3377696928109i</v>
      </c>
      <c r="AT78" s="270">
        <f t="shared" ref="AT78:AT141" si="104">IMABS(AS78)</f>
        <v>36.340797852765277</v>
      </c>
      <c r="AU78" s="581">
        <f t="shared" ref="AU78:AU141" si="105">IMARGUMENT(AS78)</f>
        <v>-1.5578868039451721</v>
      </c>
      <c r="AV78" s="580" t="str">
        <f t="shared" ref="AV78:AV141" si="106">IMPRODUCT(T78,AS78,COMPLEX($B$15,0))</f>
        <v>0.549633001301202-4.46061829776894i</v>
      </c>
      <c r="AW78" s="270">
        <f t="shared" ref="AW78:AW141" si="107">20*LOG10(IMABS(AV78))</f>
        <v>13.053344280734212</v>
      </c>
      <c r="AX78" s="581">
        <f t="shared" ref="AX78:AX141" si="108">(180/PI())*IMARGUMENT(AV78)</f>
        <v>-82.975478503349478</v>
      </c>
      <c r="AY78" s="299">
        <f t="shared" si="77"/>
        <v>97.024521496650522</v>
      </c>
      <c r="BB78" s="270">
        <f t="shared" si="57"/>
        <v>-8.7921108420183511</v>
      </c>
      <c r="BC78" s="270">
        <f t="shared" si="58"/>
        <v>-89.260338825183084</v>
      </c>
      <c r="BD78" s="286"/>
      <c r="BE78" s="270">
        <f t="shared" ref="BE78:BE141" si="109">20*LOG10(IMABS(T78))</f>
        <v>21.845455122752568</v>
      </c>
      <c r="BF78" s="581">
        <f t="shared" ref="BF78:BF141" si="110">180/PI()*IMARGUMENT(T78)</f>
        <v>6.2848603218336025</v>
      </c>
      <c r="BI78" s="286"/>
      <c r="BJ78" s="286"/>
      <c r="BL78" s="253">
        <f t="shared" si="78"/>
        <v>0</v>
      </c>
      <c r="BM78" s="253">
        <f t="shared" si="79"/>
        <v>0</v>
      </c>
      <c r="BN78" s="253">
        <f t="shared" si="80"/>
        <v>0</v>
      </c>
      <c r="BO78" s="253">
        <f t="shared" si="81"/>
        <v>0</v>
      </c>
    </row>
    <row r="79" spans="4:67" ht="13.6" thickBot="1" x14ac:dyDescent="0.25">
      <c r="D79" s="280">
        <v>436.52</v>
      </c>
      <c r="E79" s="273" t="str">
        <f t="shared" si="59"/>
        <v>0.00493692489052206i</v>
      </c>
      <c r="F79" s="579" t="str">
        <f t="shared" si="82"/>
        <v>0.002-5.60922199676799i</v>
      </c>
      <c r="G79" s="270" t="str">
        <f t="shared" si="83"/>
        <v>0.002-5.60922199676799i</v>
      </c>
      <c r="H79" s="271" t="str">
        <f t="shared" si="84"/>
        <v>1.77424049934183-0.632535043492078i</v>
      </c>
      <c r="I79" s="271" t="str">
        <f t="shared" si="85"/>
        <v>1.78424049934183-0.632535043492078i</v>
      </c>
      <c r="J79" s="270" t="str">
        <f t="shared" si="86"/>
        <v>1.3320319816743-0.949058163039625i</v>
      </c>
      <c r="K79" s="271" t="str">
        <f t="shared" si="60"/>
        <v>0.999995188260135-0.00344564830438446i</v>
      </c>
      <c r="L79" s="580"/>
      <c r="M79" s="580" t="str">
        <f t="shared" si="61"/>
        <v>23.1688012544766+10.0216216135109i</v>
      </c>
      <c r="N79" s="270" t="str">
        <f t="shared" si="62"/>
        <v>10.7099342741908+7.51621621013317i</v>
      </c>
      <c r="O79" s="581" t="str">
        <f t="shared" si="63"/>
        <v>10.681384825128+3.70120510205408i</v>
      </c>
      <c r="P79" s="582" t="str">
        <f t="shared" si="64"/>
        <v>21.3993013242495-0.152510175462456i</v>
      </c>
      <c r="Q79" s="583" t="str">
        <f t="shared" si="65"/>
        <v>21.2924874759982-0.189522226483001i</v>
      </c>
      <c r="R79" s="581" t="str">
        <f t="shared" si="87"/>
        <v>1.03892420933879+0.445141491392745i</v>
      </c>
      <c r="S79" s="253" t="str">
        <f t="shared" si="88"/>
        <v>27.2565650432519+5.33524343334607i</v>
      </c>
      <c r="T79" s="253" t="str">
        <f t="shared" si="89"/>
        <v>12.350271950304+1.4718143232968i</v>
      </c>
      <c r="U79" s="253" t="str">
        <f t="shared" si="90"/>
        <v>22.8433268091135-5.20062722531993i</v>
      </c>
      <c r="V79" s="582" t="str">
        <f t="shared" si="66"/>
        <v>6000</v>
      </c>
      <c r="W79" s="584" t="str">
        <f t="shared" si="67"/>
        <v>1+1536.16257799064i</v>
      </c>
      <c r="X79" s="585">
        <f t="shared" si="68"/>
        <v>1536.1629034769878</v>
      </c>
      <c r="Y79" s="586">
        <f t="shared" si="69"/>
        <v>1.5701453541224253</v>
      </c>
      <c r="Z79" s="273" t="str">
        <f t="shared" si="70"/>
        <v>1+0.230389828224363i</v>
      </c>
      <c r="AA79" s="585">
        <f t="shared" si="71"/>
        <v>1.0261966054071956</v>
      </c>
      <c r="AB79" s="586">
        <f t="shared" si="72"/>
        <v>0.22643859885271755</v>
      </c>
      <c r="AC79" s="584" t="str">
        <f t="shared" si="73"/>
        <v>1+0.0111383016190593i</v>
      </c>
      <c r="AD79" s="585">
        <f t="shared" si="74"/>
        <v>1.0000620289576827</v>
      </c>
      <c r="AE79" s="586">
        <f t="shared" si="75"/>
        <v>1.1137841040897828E-2</v>
      </c>
      <c r="AF79" s="580" t="str">
        <f t="shared" si="91"/>
        <v>0.858802843619568-3.91481474912056i</v>
      </c>
      <c r="AG79" s="270">
        <f t="shared" si="92"/>
        <v>4.0079067908499226</v>
      </c>
      <c r="AH79" s="581">
        <f t="shared" si="93"/>
        <v>-1.3548445963106053</v>
      </c>
      <c r="AI79" s="582" t="str">
        <f t="shared" si="76"/>
        <v>4000</v>
      </c>
      <c r="AJ79" s="584" t="str">
        <f t="shared" si="94"/>
        <v>1+120.684610026279i</v>
      </c>
      <c r="AK79" s="585">
        <f t="shared" si="95"/>
        <v>120.68875298550003</v>
      </c>
      <c r="AL79" s="586">
        <f t="shared" si="96"/>
        <v>1.5625104557591623</v>
      </c>
      <c r="AM79" s="273" t="str">
        <f t="shared" si="97"/>
        <v>1+0.00422381351744665i</v>
      </c>
      <c r="AN79" s="585">
        <f t="shared" si="98"/>
        <v>1.0000089202605296</v>
      </c>
      <c r="AO79" s="586">
        <f t="shared" si="99"/>
        <v>4.2237883992588231E-3</v>
      </c>
      <c r="AP79" s="584" t="str">
        <f t="shared" si="100"/>
        <v>1+0.0000305583199152352i</v>
      </c>
      <c r="AQ79" s="585">
        <f t="shared" si="101"/>
        <v>1.0000000004669054</v>
      </c>
      <c r="AR79" s="586">
        <f t="shared" si="102"/>
        <v>3.0558319905723305E-5</v>
      </c>
      <c r="AS79" s="580" t="str">
        <f t="shared" si="103"/>
        <v>0.413589111700904-33.140819882276i</v>
      </c>
      <c r="AT79" s="270">
        <f t="shared" si="104"/>
        <v>33.143400525938461</v>
      </c>
      <c r="AU79" s="581">
        <f t="shared" si="105"/>
        <v>-1.5583172256798092</v>
      </c>
      <c r="AV79" s="580" t="str">
        <f t="shared" si="106"/>
        <v>0.53885071393724-4.08689411823589i</v>
      </c>
      <c r="AW79" s="270">
        <f t="shared" si="107"/>
        <v>12.302716835035572</v>
      </c>
      <c r="AX79" s="581">
        <f t="shared" si="108"/>
        <v>-82.488963498468593</v>
      </c>
      <c r="AY79" s="299">
        <f t="shared" si="77"/>
        <v>97.511036501531407</v>
      </c>
      <c r="BB79" s="270">
        <f t="shared" si="57"/>
        <v>-9.5920586969175901</v>
      </c>
      <c r="BC79" s="270">
        <f t="shared" si="58"/>
        <v>-89.285000173988493</v>
      </c>
      <c r="BD79" s="286"/>
      <c r="BE79" s="270">
        <f t="shared" si="109"/>
        <v>21.894775531953169</v>
      </c>
      <c r="BF79" s="581">
        <f t="shared" si="110"/>
        <v>6.7960366755198889</v>
      </c>
      <c r="BI79" s="286"/>
      <c r="BJ79" s="286"/>
      <c r="BL79" s="253">
        <f t="shared" si="78"/>
        <v>0</v>
      </c>
      <c r="BM79" s="253">
        <f t="shared" si="79"/>
        <v>0</v>
      </c>
      <c r="BN79" s="253">
        <f t="shared" si="80"/>
        <v>0</v>
      </c>
      <c r="BO79" s="253">
        <f t="shared" si="81"/>
        <v>0</v>
      </c>
    </row>
    <row r="80" spans="4:67" ht="13.6" thickBot="1" x14ac:dyDescent="0.25">
      <c r="D80" s="280">
        <v>478.63</v>
      </c>
      <c r="E80" s="273" t="str">
        <f t="shared" si="59"/>
        <v>0.00541317777043566i</v>
      </c>
      <c r="F80" s="579" t="str">
        <f t="shared" si="82"/>
        <v>0.002-5.11572109150942i</v>
      </c>
      <c r="G80" s="270" t="str">
        <f t="shared" si="83"/>
        <v>0.002-5.11572109150942i</v>
      </c>
      <c r="H80" s="271" t="str">
        <f t="shared" si="84"/>
        <v>1.73464646034086-0.678059290479991i</v>
      </c>
      <c r="I80" s="271" t="str">
        <f t="shared" si="85"/>
        <v>1.74464646034086-0.678059290479991i</v>
      </c>
      <c r="J80" s="270" t="str">
        <f t="shared" si="86"/>
        <v>1.24705427595802-0.974050703609677i</v>
      </c>
      <c r="K80" s="271" t="str">
        <f t="shared" si="60"/>
        <v>0.999994215128989-0.00377804143665247i</v>
      </c>
      <c r="L80" s="580"/>
      <c r="M80" s="580" t="str">
        <f t="shared" si="61"/>
        <v>23.1949182898322+10.9951777254946i</v>
      </c>
      <c r="N80" s="270" t="str">
        <f t="shared" si="62"/>
        <v>10.7295220507074+8.24638329412095i</v>
      </c>
      <c r="O80" s="581" t="str">
        <f t="shared" si="63"/>
        <v>10.695160862204+4.06073229853487i</v>
      </c>
      <c r="P80" s="582" t="str">
        <f t="shared" si="64"/>
        <v>21.4126918021941-0.167410954764774i</v>
      </c>
      <c r="Q80" s="583" t="str">
        <f t="shared" si="65"/>
        <v>21.305740193572-0.208018277750096i</v>
      </c>
      <c r="R80" s="581" t="str">
        <f t="shared" si="87"/>
        <v>1.04040642264911+0.488382540462181i</v>
      </c>
      <c r="S80" s="253" t="str">
        <f t="shared" si="88"/>
        <v>27.4889551576239+5.79369567640359i</v>
      </c>
      <c r="T80" s="253" t="str">
        <f t="shared" si="89"/>
        <v>12.4180495183977+1.59738152062378i</v>
      </c>
      <c r="U80" s="253" t="str">
        <f t="shared" si="90"/>
        <v>22.6240450219261-5.64928164502622i</v>
      </c>
      <c r="V80" s="582" t="str">
        <f t="shared" si="66"/>
        <v>6000</v>
      </c>
      <c r="W80" s="584" t="str">
        <f t="shared" si="67"/>
        <v>1+1684.35236576483i</v>
      </c>
      <c r="X80" s="585">
        <f t="shared" si="68"/>
        <v>1684.3526626148039</v>
      </c>
      <c r="Y80" s="586">
        <f t="shared" si="69"/>
        <v>1.5702026268643878</v>
      </c>
      <c r="Z80" s="273" t="str">
        <f t="shared" si="70"/>
        <v>1+0.252614962620331i</v>
      </c>
      <c r="AA80" s="585">
        <f t="shared" si="71"/>
        <v>1.0314137478915391</v>
      </c>
      <c r="AB80" s="586">
        <f t="shared" si="72"/>
        <v>0.24743828608358898</v>
      </c>
      <c r="AC80" s="584" t="str">
        <f t="shared" si="73"/>
        <v>1+0.0122127859065572i</v>
      </c>
      <c r="AD80" s="585">
        <f t="shared" si="74"/>
        <v>1.000074573289212</v>
      </c>
      <c r="AE80" s="586">
        <f t="shared" si="75"/>
        <v>1.2212178773173274E-2</v>
      </c>
      <c r="AF80" s="580" t="str">
        <f t="shared" si="91"/>
        <v>0.858353709202686-3.5721473863921i</v>
      </c>
      <c r="AG80" s="270">
        <f t="shared" si="92"/>
        <v>3.673827437456735</v>
      </c>
      <c r="AH80" s="581">
        <f t="shared" si="93"/>
        <v>-1.3349765195539718</v>
      </c>
      <c r="AI80" s="582" t="str">
        <f t="shared" si="76"/>
        <v>4000</v>
      </c>
      <c r="AJ80" s="584" t="str">
        <f t="shared" si="94"/>
        <v>1+132.326754551631i</v>
      </c>
      <c r="AK80" s="585">
        <f t="shared" si="95"/>
        <v>132.33053302306161</v>
      </c>
      <c r="AL80" s="586">
        <f t="shared" si="96"/>
        <v>1.5632394198965007</v>
      </c>
      <c r="AM80" s="273" t="str">
        <f t="shared" si="97"/>
        <v>1+0.00463127431470607i</v>
      </c>
      <c r="AN80" s="585">
        <f t="shared" si="98"/>
        <v>1.0000107242933838</v>
      </c>
      <c r="AO80" s="586">
        <f t="shared" si="99"/>
        <v>4.6312412035249741E-3</v>
      </c>
      <c r="AP80" s="584" t="str">
        <f t="shared" si="100"/>
        <v>1+0.0000335062051246886i</v>
      </c>
      <c r="AQ80" s="585">
        <f t="shared" si="101"/>
        <v>1.0000000005613328</v>
      </c>
      <c r="AR80" s="586">
        <f t="shared" si="102"/>
        <v>3.350620511214984E-5</v>
      </c>
      <c r="AS80" s="580" t="str">
        <f t="shared" si="103"/>
        <v>0.367397385409069-30.2254312242584i</v>
      </c>
      <c r="AT80" s="270">
        <f t="shared" si="104"/>
        <v>30.227664043574059</v>
      </c>
      <c r="AU80" s="581">
        <f t="shared" si="105"/>
        <v>-1.5586416848980877</v>
      </c>
      <c r="AV80" s="580" t="str">
        <f t="shared" si="106"/>
        <v>0.52843904215455-3.74754027863587i</v>
      </c>
      <c r="AW80" s="270">
        <f t="shared" si="107"/>
        <v>11.560432690214807</v>
      </c>
      <c r="AX80" s="581">
        <f t="shared" si="108"/>
        <v>-81.973665353900714</v>
      </c>
      <c r="AY80" s="299">
        <f t="shared" si="77"/>
        <v>98.026334646099286</v>
      </c>
      <c r="BB80" s="270">
        <f t="shared" si="57"/>
        <v>-10.391908265298522</v>
      </c>
      <c r="BC80" s="270">
        <f t="shared" si="58"/>
        <v>-89.303590317819967</v>
      </c>
      <c r="BD80" s="286"/>
      <c r="BE80" s="270">
        <f t="shared" si="109"/>
        <v>21.952340955513321</v>
      </c>
      <c r="BF80" s="581">
        <f t="shared" si="110"/>
        <v>7.3299249639192627</v>
      </c>
      <c r="BI80" s="286"/>
      <c r="BJ80" s="286"/>
      <c r="BL80" s="253">
        <f t="shared" si="78"/>
        <v>0</v>
      </c>
      <c r="BM80" s="253">
        <f t="shared" si="79"/>
        <v>0</v>
      </c>
      <c r="BN80" s="253">
        <f t="shared" si="80"/>
        <v>0</v>
      </c>
      <c r="BO80" s="253">
        <f t="shared" si="81"/>
        <v>0</v>
      </c>
    </row>
    <row r="81" spans="4:67" ht="13.6" thickBot="1" x14ac:dyDescent="0.25">
      <c r="D81" s="280">
        <v>524.80999999999995</v>
      </c>
      <c r="E81" s="273" t="str">
        <f t="shared" si="59"/>
        <v>0.00593546126590965i</v>
      </c>
      <c r="F81" s="579" t="str">
        <f t="shared" si="82"/>
        <v>0.002-4.66556960810418i</v>
      </c>
      <c r="G81" s="270" t="str">
        <f t="shared" si="83"/>
        <v>0.002-4.66556960810418i</v>
      </c>
      <c r="H81" s="271" t="str">
        <f t="shared" si="84"/>
        <v>1.68931790258014-0.724030445306776i</v>
      </c>
      <c r="I81" s="271" t="str">
        <f t="shared" si="85"/>
        <v>1.69931790258014-0.724030445306776i</v>
      </c>
      <c r="J81" s="270" t="str">
        <f t="shared" si="86"/>
        <v>1.15823950738271-0.991752516249002i</v>
      </c>
      <c r="K81" s="271" t="str">
        <f t="shared" si="60"/>
        <v>0.999993044985326-0.00414256090585543i</v>
      </c>
      <c r="L81" s="580"/>
      <c r="M81" s="580" t="str">
        <f t="shared" si="61"/>
        <v>23.2263853715721+12.0650046085305i</v>
      </c>
      <c r="N81" s="270" t="str">
        <f t="shared" si="62"/>
        <v>10.7531223620124+9.04875345639788i</v>
      </c>
      <c r="O81" s="581" t="str">
        <f t="shared" si="63"/>
        <v>10.7117558553625+4.45580249356854i</v>
      </c>
      <c r="P81" s="582" t="str">
        <f t="shared" si="64"/>
        <v>21.4288151567027-0.183812414293332i</v>
      </c>
      <c r="Q81" s="583" t="str">
        <f t="shared" si="65"/>
        <v>21.321697598149-0.228370439229011i</v>
      </c>
      <c r="R81" s="581" t="str">
        <f t="shared" si="87"/>
        <v>1.04219202730053+0.535898720714432i</v>
      </c>
      <c r="S81" s="253" t="str">
        <f t="shared" si="88"/>
        <v>27.762732813265+6.28006258281633i</v>
      </c>
      <c r="T81" s="253" t="str">
        <f t="shared" si="89"/>
        <v>12.4978962405613+1.73029831628599i</v>
      </c>
      <c r="U81" s="253" t="str">
        <f t="shared" si="90"/>
        <v>22.3657085242234-6.1258334579453i</v>
      </c>
      <c r="V81" s="582" t="str">
        <f t="shared" si="66"/>
        <v>6000</v>
      </c>
      <c r="W81" s="584" t="str">
        <f t="shared" si="67"/>
        <v>1+1846.86493758653i</v>
      </c>
      <c r="X81" s="585">
        <f t="shared" si="68"/>
        <v>1846.8652083155655</v>
      </c>
      <c r="Y81" s="586">
        <f t="shared" si="69"/>
        <v>1.5702548687370155</v>
      </c>
      <c r="Z81" s="273" t="str">
        <f t="shared" si="70"/>
        <v>1+0.276988192409117i</v>
      </c>
      <c r="AA81" s="585">
        <f t="shared" si="71"/>
        <v>1.0376523785613707</v>
      </c>
      <c r="AB81" s="586">
        <f t="shared" si="72"/>
        <v>0.2702136763701789</v>
      </c>
      <c r="AC81" s="584" t="str">
        <f t="shared" si="73"/>
        <v>1+0.0133911208482967i</v>
      </c>
      <c r="AD81" s="585">
        <f t="shared" si="74"/>
        <v>1.0000896570395945</v>
      </c>
      <c r="AE81" s="586">
        <f t="shared" si="75"/>
        <v>1.3390320493025376E-2</v>
      </c>
      <c r="AF81" s="580" t="str">
        <f t="shared" si="91"/>
        <v>0.857972115305682-3.25974968152463i</v>
      </c>
      <c r="AG81" s="270">
        <f t="shared" si="92"/>
        <v>3.3707690720133932</v>
      </c>
      <c r="AH81" s="581">
        <f t="shared" si="93"/>
        <v>-1.313431512859861</v>
      </c>
      <c r="AI81" s="582" t="str">
        <f t="shared" si="76"/>
        <v>4000</v>
      </c>
      <c r="AJ81" s="584" t="str">
        <f t="shared" si="94"/>
        <v>1+145.094131283541i</v>
      </c>
      <c r="AK81" s="585">
        <f t="shared" si="95"/>
        <v>145.09757728137791</v>
      </c>
      <c r="AL81" s="586">
        <f t="shared" si="96"/>
        <v>1.5639043584014982</v>
      </c>
      <c r="AM81" s="273" t="str">
        <f t="shared" si="97"/>
        <v>1+0.00507811686083382i</v>
      </c>
      <c r="AN81" s="585">
        <f t="shared" si="98"/>
        <v>1.0000128935523043</v>
      </c>
      <c r="AO81" s="586">
        <f t="shared" si="99"/>
        <v>5.0780732112508768E-3</v>
      </c>
      <c r="AP81" s="584" t="str">
        <f t="shared" si="100"/>
        <v>1+0.0000367390082349368i</v>
      </c>
      <c r="AQ81" s="585">
        <f t="shared" si="101"/>
        <v>1.0000000006748773</v>
      </c>
      <c r="AR81" s="586">
        <f t="shared" si="102"/>
        <v>3.6739008218407253E-5</v>
      </c>
      <c r="AS81" s="580" t="str">
        <f t="shared" si="103"/>
        <v>0.32896960648305-27.5660478881693i</v>
      </c>
      <c r="AT81" s="270">
        <f t="shared" si="104"/>
        <v>27.568010758392283</v>
      </c>
      <c r="AU81" s="581">
        <f t="shared" si="105"/>
        <v>-1.5588630241984658</v>
      </c>
      <c r="AV81" s="580" t="str">
        <f t="shared" si="106"/>
        <v>0.518089142556817-3.43948390712477i</v>
      </c>
      <c r="AW81" s="270">
        <f t="shared" si="107"/>
        <v>10.827303049973775</v>
      </c>
      <c r="AX81" s="581">
        <f t="shared" si="108"/>
        <v>-81.433940797650123</v>
      </c>
      <c r="AY81" s="299">
        <f t="shared" si="77"/>
        <v>98.566059202349877</v>
      </c>
      <c r="BB81" s="270">
        <f t="shared" si="57"/>
        <v>-11.191891408259378</v>
      </c>
      <c r="BC81" s="270">
        <f t="shared" si="58"/>
        <v>-89.316272125572013</v>
      </c>
      <c r="BD81" s="286"/>
      <c r="BE81" s="270">
        <f t="shared" si="109"/>
        <v>22.019194458233152</v>
      </c>
      <c r="BF81" s="581">
        <f t="shared" si="110"/>
        <v>7.8823313279219072</v>
      </c>
      <c r="BI81" s="286"/>
      <c r="BJ81" s="286"/>
      <c r="BL81" s="253">
        <f t="shared" si="78"/>
        <v>0</v>
      </c>
      <c r="BM81" s="253">
        <f t="shared" si="79"/>
        <v>0</v>
      </c>
      <c r="BN81" s="253">
        <f t="shared" si="80"/>
        <v>0</v>
      </c>
      <c r="BO81" s="253">
        <f t="shared" si="81"/>
        <v>0</v>
      </c>
    </row>
    <row r="82" spans="4:67" ht="13.6" thickBot="1" x14ac:dyDescent="0.25">
      <c r="D82" s="280">
        <v>575.44000000000005</v>
      </c>
      <c r="E82" s="273" t="str">
        <f t="shared" si="59"/>
        <v>0.00650807307569416i</v>
      </c>
      <c r="F82" s="579" t="str">
        <f t="shared" si="82"/>
        <v>0.002-4.25507018286731i</v>
      </c>
      <c r="G82" s="270" t="str">
        <f t="shared" si="83"/>
        <v>0.002-4.25507018286731i</v>
      </c>
      <c r="H82" s="271" t="str">
        <f t="shared" si="84"/>
        <v>1.6378703381599-0.769673889324486i</v>
      </c>
      <c r="I82" s="271" t="str">
        <f t="shared" si="85"/>
        <v>1.6478703381599-0.769673889324486i</v>
      </c>
      <c r="J82" s="270" t="str">
        <f t="shared" si="86"/>
        <v>1.06693624310091-1.0014494398567i</v>
      </c>
      <c r="K82" s="271" t="str">
        <f t="shared" si="60"/>
        <v>0.999991638312325-0.00454220622256711i</v>
      </c>
      <c r="L82" s="580"/>
      <c r="M82" s="580" t="str">
        <f t="shared" si="61"/>
        <v>23.2643038549999+13.2407962601248i</v>
      </c>
      <c r="N82" s="270" t="str">
        <f t="shared" si="62"/>
        <v>10.7815612245832+9.9305971950936i</v>
      </c>
      <c r="O82" s="581" t="str">
        <f t="shared" si="63"/>
        <v>10.7317487449349+4.88999178097184i</v>
      </c>
      <c r="P82" s="582" t="str">
        <f t="shared" si="64"/>
        <v>21.4482294261882-0.201874386057961i</v>
      </c>
      <c r="Q82" s="583" t="str">
        <f t="shared" si="65"/>
        <v>21.340911938739-0.250774303867734i</v>
      </c>
      <c r="R82" s="581" t="str">
        <f t="shared" si="87"/>
        <v>1.04434337225497+0.58812026434169i</v>
      </c>
      <c r="S82" s="253" t="str">
        <f t="shared" si="88"/>
        <v>28.083940928869+6.79248441550474i</v>
      </c>
      <c r="T82" s="253" t="str">
        <f t="shared" si="89"/>
        <v>12.5915735411635+1.86994705875443i</v>
      </c>
      <c r="U82" s="253" t="str">
        <f t="shared" si="90"/>
        <v>22.0626142393732-6.62867455867938i</v>
      </c>
      <c r="V82" s="582" t="str">
        <f t="shared" si="66"/>
        <v>6000</v>
      </c>
      <c r="W82" s="584" t="str">
        <f t="shared" si="67"/>
        <v>1+2025.03755584839i</v>
      </c>
      <c r="X82" s="585">
        <f t="shared" si="68"/>
        <v>2025.0378027573761</v>
      </c>
      <c r="Y82" s="586">
        <f t="shared" si="69"/>
        <v>1.5703025088329401</v>
      </c>
      <c r="Z82" s="273" t="str">
        <f t="shared" si="70"/>
        <v>1+0.303710076865727i</v>
      </c>
      <c r="AA82" s="585">
        <f t="shared" si="71"/>
        <v>1.045102775228248</v>
      </c>
      <c r="AB82" s="586">
        <f t="shared" si="72"/>
        <v>0.29485704952844322</v>
      </c>
      <c r="AC82" s="584" t="str">
        <f t="shared" si="73"/>
        <v>1+0.014683002574158i</v>
      </c>
      <c r="AD82" s="585">
        <f t="shared" si="74"/>
        <v>1.000107789473011</v>
      </c>
      <c r="AE82" s="586">
        <f t="shared" si="75"/>
        <v>1.468194753835647E-2</v>
      </c>
      <c r="AF82" s="580" t="str">
        <f t="shared" si="91"/>
        <v>0.857645186868348-2.97505572710573i</v>
      </c>
      <c r="AG82" s="270">
        <f t="shared" si="92"/>
        <v>3.0962092703728938</v>
      </c>
      <c r="AH82" s="581">
        <f t="shared" si="93"/>
        <v>-1.2901274068428537</v>
      </c>
      <c r="AI82" s="582" t="str">
        <f t="shared" si="76"/>
        <v>4000</v>
      </c>
      <c r="AJ82" s="584" t="str">
        <f t="shared" si="94"/>
        <v>1+159.091798757266i</v>
      </c>
      <c r="AK82" s="585">
        <f t="shared" si="95"/>
        <v>159.09494156579089</v>
      </c>
      <c r="AL82" s="586">
        <f t="shared" si="96"/>
        <v>1.5645107304398187</v>
      </c>
      <c r="AM82" s="273" t="str">
        <f t="shared" si="97"/>
        <v>1+0.00556801807587167i</v>
      </c>
      <c r="AN82" s="585">
        <f t="shared" si="98"/>
        <v>1.0000155012925016</v>
      </c>
      <c r="AO82" s="586">
        <f t="shared" si="99"/>
        <v>5.5679605355114696E-3</v>
      </c>
      <c r="AP82" s="584" t="str">
        <f t="shared" si="100"/>
        <v>1+0.0000402833309173072i</v>
      </c>
      <c r="AQ82" s="585">
        <f t="shared" si="101"/>
        <v>1.0000000008113734</v>
      </c>
      <c r="AR82" s="586">
        <f t="shared" si="102"/>
        <v>4.028333089551732E-5</v>
      </c>
      <c r="AS82" s="580" t="str">
        <f t="shared" si="103"/>
        <v>0.297009616740805-25.1408552315639i</v>
      </c>
      <c r="AT82" s="270">
        <f t="shared" si="104"/>
        <v>25.142609579892266</v>
      </c>
      <c r="AU82" s="581">
        <f t="shared" si="105"/>
        <v>-1.5589830532352027</v>
      </c>
      <c r="AV82" s="580" t="str">
        <f t="shared" si="106"/>
        <v>0.507518867264585-3.16007535276736i</v>
      </c>
      <c r="AW82" s="270">
        <f t="shared" si="107"/>
        <v>10.104548006414262</v>
      </c>
      <c r="AX82" s="581">
        <f t="shared" si="108"/>
        <v>-80.876016563632589</v>
      </c>
      <c r="AY82" s="299">
        <f t="shared" si="77"/>
        <v>99.123983436367411</v>
      </c>
      <c r="BB82" s="270">
        <f t="shared" si="57"/>
        <v>-11.991792967901251</v>
      </c>
      <c r="BC82" s="270">
        <f t="shared" si="58"/>
        <v>-89.323149282796052</v>
      </c>
      <c r="BD82" s="286"/>
      <c r="BE82" s="270">
        <f t="shared" si="109"/>
        <v>22.096340974315506</v>
      </c>
      <c r="BF82" s="581">
        <f t="shared" si="110"/>
        <v>8.4471327191634664</v>
      </c>
      <c r="BI82" s="286"/>
      <c r="BJ82" s="286"/>
      <c r="BL82" s="253">
        <f t="shared" si="78"/>
        <v>0</v>
      </c>
      <c r="BM82" s="253">
        <f t="shared" si="79"/>
        <v>0</v>
      </c>
      <c r="BN82" s="253">
        <f t="shared" si="80"/>
        <v>0</v>
      </c>
      <c r="BO82" s="253">
        <f t="shared" si="81"/>
        <v>0</v>
      </c>
    </row>
    <row r="83" spans="4:67" ht="13.6" thickBot="1" x14ac:dyDescent="0.25">
      <c r="D83" s="280">
        <v>630.96</v>
      </c>
      <c r="E83" s="273" t="str">
        <f t="shared" si="59"/>
        <v>0.00713598948255246i</v>
      </c>
      <c r="F83" s="579" t="str">
        <f t="shared" si="82"/>
        <v>0.002-3.88065421901414i</v>
      </c>
      <c r="G83" s="270" t="str">
        <f t="shared" si="83"/>
        <v>0.002-3.88065421901414i</v>
      </c>
      <c r="H83" s="271" t="str">
        <f t="shared" si="84"/>
        <v>1.58001794103631-0.81408848602782i</v>
      </c>
      <c r="I83" s="271" t="str">
        <f t="shared" si="85"/>
        <v>1.59001794103631-0.81408848602782i</v>
      </c>
      <c r="J83" s="270" t="str">
        <f t="shared" si="86"/>
        <v>0.974612416986779-1.00274213758649i</v>
      </c>
      <c r="K83" s="271" t="str">
        <f t="shared" si="60"/>
        <v>0.999989946957865-0.00498045050429401i</v>
      </c>
      <c r="L83" s="580"/>
      <c r="M83" s="580" t="str">
        <f t="shared" si="61"/>
        <v>23.3100278969583+14.5339498557939i</v>
      </c>
      <c r="N83" s="270" t="str">
        <f t="shared" si="62"/>
        <v>10.815854256052+10.9004623918454i</v>
      </c>
      <c r="O83" s="581" t="str">
        <f t="shared" si="63"/>
        <v>10.7558507817822+5.36750387531619i</v>
      </c>
      <c r="P83" s="582" t="str">
        <f t="shared" si="64"/>
        <v>21.4716188177478-0.221786818547589i</v>
      </c>
      <c r="Q83" s="583" t="str">
        <f t="shared" si="65"/>
        <v>21.3640603099299-0.275461857300716i</v>
      </c>
      <c r="R83" s="581" t="str">
        <f t="shared" si="87"/>
        <v>1.04693707270186+0.645552934139843i</v>
      </c>
      <c r="S83" s="253" t="str">
        <f t="shared" si="88"/>
        <v>28.4591681476691+7.32816145661076i</v>
      </c>
      <c r="T83" s="253" t="str">
        <f t="shared" si="89"/>
        <v>12.7010015523326+2.01542387596926i</v>
      </c>
      <c r="U83" s="253" t="str">
        <f t="shared" si="90"/>
        <v>21.7085436937077-7.15533324195112i</v>
      </c>
      <c r="V83" s="582" t="str">
        <f t="shared" si="66"/>
        <v>6000</v>
      </c>
      <c r="W83" s="584" t="str">
        <f t="shared" si="67"/>
        <v>1+2220.41862963662i</v>
      </c>
      <c r="X83" s="585">
        <f t="shared" si="68"/>
        <v>2220.4188548193706</v>
      </c>
      <c r="Y83" s="586">
        <f t="shared" si="69"/>
        <v>1.5703459613011816</v>
      </c>
      <c r="Z83" s="273" t="str">
        <f t="shared" si="70"/>
        <v>1+0.333012842519115i</v>
      </c>
      <c r="AA83" s="585">
        <f t="shared" si="71"/>
        <v>1.053991249148996</v>
      </c>
      <c r="AB83" s="586">
        <f t="shared" si="72"/>
        <v>0.32146208493630291</v>
      </c>
      <c r="AC83" s="584" t="str">
        <f t="shared" si="73"/>
        <v>1+0.0160996581818969i</v>
      </c>
      <c r="AD83" s="585">
        <f t="shared" si="74"/>
        <v>1.0001295910998604</v>
      </c>
      <c r="AE83" s="586">
        <f t="shared" si="75"/>
        <v>1.6098267393119248E-2</v>
      </c>
      <c r="AF83" s="580" t="str">
        <f t="shared" si="91"/>
        <v>0.857361732341436-2.71559055963083i</v>
      </c>
      <c r="AG83" s="270">
        <f t="shared" si="92"/>
        <v>2.8477186005010382</v>
      </c>
      <c r="AH83" s="581">
        <f t="shared" si="93"/>
        <v>-1.2649821437579978</v>
      </c>
      <c r="AI83" s="582" t="str">
        <f t="shared" si="76"/>
        <v>4000</v>
      </c>
      <c r="AJ83" s="584" t="str">
        <f t="shared" si="94"/>
        <v>1+174.44140369784i</v>
      </c>
      <c r="AK83" s="585">
        <f t="shared" si="95"/>
        <v>174.44426996629261</v>
      </c>
      <c r="AL83" s="586">
        <f t="shared" si="96"/>
        <v>1.5650638055880906</v>
      </c>
      <c r="AM83" s="273" t="str">
        <f t="shared" si="97"/>
        <v>1+0.00610523544618377i</v>
      </c>
      <c r="AN83" s="585">
        <f t="shared" si="98"/>
        <v>1.000018636776262</v>
      </c>
      <c r="AO83" s="586">
        <f t="shared" si="99"/>
        <v>6.105159592568645E-3</v>
      </c>
      <c r="AP83" s="584" t="str">
        <f t="shared" si="100"/>
        <v>1+0.000044169975107021i</v>
      </c>
      <c r="AQ83" s="585">
        <f t="shared" si="101"/>
        <v>1.0000000009754932</v>
      </c>
      <c r="AR83" s="586">
        <f t="shared" si="102"/>
        <v>4.4169975078295989E-5</v>
      </c>
      <c r="AS83" s="580" t="str">
        <f t="shared" si="103"/>
        <v>0.270423493251131-22.9287919185938i</v>
      </c>
      <c r="AT83" s="270">
        <f t="shared" si="104"/>
        <v>22.93038655827403</v>
      </c>
      <c r="AU83" s="581">
        <f t="shared" si="105"/>
        <v>-1.5590028159706002</v>
      </c>
      <c r="AV83" s="580" t="str">
        <f t="shared" si="106"/>
        <v>0.496458838874348-2.9067360378625i</v>
      </c>
      <c r="AW83" s="270">
        <f t="shared" si="107"/>
        <v>9.3929884329074174</v>
      </c>
      <c r="AX83" s="581">
        <f t="shared" si="108"/>
        <v>-80.307635061492746</v>
      </c>
      <c r="AY83" s="299">
        <f t="shared" si="77"/>
        <v>99.692364938507254</v>
      </c>
      <c r="BB83" s="270">
        <f t="shared" si="57"/>
        <v>-12.791772478266218</v>
      </c>
      <c r="BC83" s="270">
        <f t="shared" si="58"/>
        <v>-89.324281604125972</v>
      </c>
      <c r="BD83" s="286"/>
      <c r="BE83" s="270">
        <f t="shared" si="109"/>
        <v>22.184760911173626</v>
      </c>
      <c r="BF83" s="581">
        <f t="shared" si="110"/>
        <v>9.0166465426332287</v>
      </c>
      <c r="BI83" s="286"/>
      <c r="BJ83" s="286"/>
      <c r="BL83" s="253">
        <f t="shared" si="78"/>
        <v>0</v>
      </c>
      <c r="BM83" s="253">
        <f t="shared" si="79"/>
        <v>0</v>
      </c>
      <c r="BN83" s="253">
        <f t="shared" si="80"/>
        <v>0</v>
      </c>
      <c r="BO83" s="253">
        <f t="shared" si="81"/>
        <v>0</v>
      </c>
    </row>
    <row r="84" spans="4:67" ht="13.6" thickBot="1" x14ac:dyDescent="0.25">
      <c r="D84" s="280">
        <v>691.83</v>
      </c>
      <c r="E84" s="273" t="str">
        <f t="shared" si="59"/>
        <v>0.0078244129639189i</v>
      </c>
      <c r="F84" s="579" t="str">
        <f t="shared" si="82"/>
        <v>0.002-3.53921857396927i</v>
      </c>
      <c r="G84" s="270" t="str">
        <f t="shared" si="83"/>
        <v>0.002-3.53921857396927i</v>
      </c>
      <c r="H84" s="271" t="str">
        <f t="shared" si="84"/>
        <v>1.51566680339685-0.856224298405484i</v>
      </c>
      <c r="I84" s="271" t="str">
        <f t="shared" si="85"/>
        <v>1.52566680339685-0.856224298405484i</v>
      </c>
      <c r="J84" s="270" t="str">
        <f t="shared" si="86"/>
        <v>0.882839799583812-0.99557627943215i</v>
      </c>
      <c r="K84" s="271" t="str">
        <f t="shared" si="60"/>
        <v>0.999987913720641-0.00546092473752017i</v>
      </c>
      <c r="L84" s="580"/>
      <c r="M84" s="580" t="str">
        <f t="shared" si="61"/>
        <v>23.3651854726425+15.9567411806502i</v>
      </c>
      <c r="N84" s="270" t="str">
        <f t="shared" si="62"/>
        <v>10.8572224378152+11.9675558854877i</v>
      </c>
      <c r="O84" s="581" t="str">
        <f t="shared" si="63"/>
        <v>10.784916120404+5.89286516451849i</v>
      </c>
      <c r="P84" s="582" t="str">
        <f t="shared" si="64"/>
        <v>21.4998028434078-0.243758480155282i</v>
      </c>
      <c r="Q84" s="583" t="str">
        <f t="shared" si="65"/>
        <v>21.3919536822038-0.30268713180052i</v>
      </c>
      <c r="R84" s="581" t="str">
        <f t="shared" si="87"/>
        <v>1.05006516430237+0.708741361784519i</v>
      </c>
      <c r="S84" s="253" t="str">
        <f t="shared" si="88"/>
        <v>28.8950975558487+7.88266740238082i</v>
      </c>
      <c r="T84" s="253" t="str">
        <f t="shared" si="89"/>
        <v>12.828127330654+2.16534608567572i</v>
      </c>
      <c r="U84" s="253" t="str">
        <f t="shared" si="90"/>
        <v>21.2971886778328-7.70181114362143i</v>
      </c>
      <c r="V84" s="582" t="str">
        <f t="shared" si="66"/>
        <v>6000</v>
      </c>
      <c r="W84" s="584" t="str">
        <f t="shared" si="67"/>
        <v>1+2434.62695026864i</v>
      </c>
      <c r="X84" s="585">
        <f t="shared" si="68"/>
        <v>2434.6271556389033</v>
      </c>
      <c r="Y84" s="586">
        <f t="shared" si="69"/>
        <v>1.5703855862731695</v>
      </c>
      <c r="Z84" s="273" t="str">
        <f t="shared" si="70"/>
        <v>1+0.365139271649548i</v>
      </c>
      <c r="AA84" s="585">
        <f t="shared" si="71"/>
        <v>1.0645781735977693</v>
      </c>
      <c r="AB84" s="586">
        <f t="shared" si="72"/>
        <v>0.35009774831369561</v>
      </c>
      <c r="AC84" s="584" t="str">
        <f t="shared" si="73"/>
        <v>1+0.0176528250918945i</v>
      </c>
      <c r="AD84" s="585">
        <f t="shared" si="74"/>
        <v>1.0001557989802015</v>
      </c>
      <c r="AE84" s="586">
        <f t="shared" si="75"/>
        <v>1.7650991763736884E-2</v>
      </c>
      <c r="AF84" s="580" t="str">
        <f t="shared" si="91"/>
        <v>0.857112165867174-2.47920369334368i</v>
      </c>
      <c r="AG84" s="270">
        <f t="shared" si="92"/>
        <v>2.6231836035562703</v>
      </c>
      <c r="AH84" s="581">
        <f t="shared" si="93"/>
        <v>-1.2379388297232117</v>
      </c>
      <c r="AI84" s="582" t="str">
        <f t="shared" si="76"/>
        <v>4000</v>
      </c>
      <c r="AJ84" s="584" t="str">
        <f t="shared" si="94"/>
        <v>1+191.270122226886i</v>
      </c>
      <c r="AK84" s="585">
        <f t="shared" si="95"/>
        <v>191.27273631306659</v>
      </c>
      <c r="AL84" s="586">
        <f t="shared" si="96"/>
        <v>1.5655681663424417</v>
      </c>
      <c r="AM84" s="273" t="str">
        <f t="shared" si="97"/>
        <v>1+0.00669421998024172i</v>
      </c>
      <c r="AN84" s="585">
        <f t="shared" si="98"/>
        <v>1.0000224060395566</v>
      </c>
      <c r="AO84" s="586">
        <f t="shared" si="99"/>
        <v>6.6941199878382367E-3</v>
      </c>
      <c r="AP84" s="584" t="str">
        <f t="shared" si="100"/>
        <v>1+0.0000484311428272637i</v>
      </c>
      <c r="AQ84" s="585">
        <f t="shared" si="101"/>
        <v>1.0000000011727876</v>
      </c>
      <c r="AR84" s="586">
        <f t="shared" si="102"/>
        <v>4.8431142789397396E-5</v>
      </c>
      <c r="AS84" s="580" t="str">
        <f t="shared" si="103"/>
        <v>0.248312154503761-20.9115408550508i</v>
      </c>
      <c r="AT84" s="270">
        <f t="shared" si="104"/>
        <v>20.913015082922236</v>
      </c>
      <c r="AU84" s="581">
        <f t="shared" si="105"/>
        <v>-1.5589224774973929</v>
      </c>
      <c r="AV84" s="580" t="str">
        <f t="shared" si="106"/>
        <v>0.484661030716554-2.67718227016984i</v>
      </c>
      <c r="AW84" s="270">
        <f t="shared" si="107"/>
        <v>8.6936088683760779</v>
      </c>
      <c r="AX84" s="581">
        <f t="shared" si="108"/>
        <v>-79.738651741395486</v>
      </c>
      <c r="AY84" s="299">
        <f t="shared" si="77"/>
        <v>100.26134825860451</v>
      </c>
      <c r="BB84" s="270">
        <f t="shared" si="57"/>
        <v>-13.591666986421451</v>
      </c>
      <c r="BC84" s="270">
        <f t="shared" si="58"/>
        <v>-89.319678548678667</v>
      </c>
      <c r="BD84" s="286"/>
      <c r="BE84" s="270">
        <f t="shared" si="109"/>
        <v>22.28527585479754</v>
      </c>
      <c r="BF84" s="581">
        <f t="shared" si="110"/>
        <v>9.5810268072831555</v>
      </c>
      <c r="BI84" s="286"/>
      <c r="BJ84" s="286"/>
      <c r="BL84" s="253">
        <f t="shared" si="78"/>
        <v>0</v>
      </c>
      <c r="BM84" s="253">
        <f t="shared" si="79"/>
        <v>0</v>
      </c>
      <c r="BN84" s="253">
        <f t="shared" si="80"/>
        <v>0</v>
      </c>
      <c r="BO84" s="253">
        <f t="shared" si="81"/>
        <v>0</v>
      </c>
    </row>
    <row r="85" spans="4:67" ht="13.6" thickBot="1" x14ac:dyDescent="0.25">
      <c r="D85" s="280">
        <v>758.58</v>
      </c>
      <c r="E85" s="273" t="str">
        <f t="shared" si="59"/>
        <v>0.00857933767857652i</v>
      </c>
      <c r="F85" s="579" t="str">
        <f t="shared" si="82"/>
        <v>0.002-3.22779085400242i</v>
      </c>
      <c r="G85" s="270" t="str">
        <f t="shared" si="83"/>
        <v>0.002-3.22779085400242i</v>
      </c>
      <c r="H85" s="271" t="str">
        <f t="shared" si="84"/>
        <v>1.44491570991237-0.894953044328316i</v>
      </c>
      <c r="I85" s="271" t="str">
        <f t="shared" si="85"/>
        <v>1.45491570991237-0.894953044328316i</v>
      </c>
      <c r="J85" s="270" t="str">
        <f t="shared" si="86"/>
        <v>0.793115906232994-0.980248723437143i</v>
      </c>
      <c r="K85" s="271" t="str">
        <f t="shared" si="60"/>
        <v>0.999985468962491-0.00598781245015112i</v>
      </c>
      <c r="L85" s="580"/>
      <c r="M85" s="580" t="str">
        <f t="shared" si="61"/>
        <v>23.4317844409817+17.523629852985i</v>
      </c>
      <c r="N85" s="270" t="str">
        <f t="shared" si="62"/>
        <v>10.9071716640696+13.1427223897388i</v>
      </c>
      <c r="O85" s="581" t="str">
        <f t="shared" si="63"/>
        <v>10.8199970090516+6.47140605962213i</v>
      </c>
      <c r="P85" s="582" t="str">
        <f t="shared" si="64"/>
        <v>21.5337881838176-0.268038921507653i</v>
      </c>
      <c r="Q85" s="583" t="str">
        <f t="shared" si="65"/>
        <v>21.425588213727-0.33275298210388i</v>
      </c>
      <c r="R85" s="581" t="str">
        <f t="shared" si="87"/>
        <v>1.05384106354677+0.778326963094264i</v>
      </c>
      <c r="S85" s="253" t="str">
        <f t="shared" si="88"/>
        <v>29.3985554023066+8.4501483819305i</v>
      </c>
      <c r="T85" s="253" t="str">
        <f t="shared" si="89"/>
        <v>12.9749388383232+2.31790047241424i</v>
      </c>
      <c r="U85" s="253" t="str">
        <f t="shared" si="90"/>
        <v>20.8221050468824-8.26279020672635i</v>
      </c>
      <c r="V85" s="582" t="str">
        <f t="shared" si="66"/>
        <v>6000</v>
      </c>
      <c r="W85" s="584" t="str">
        <f t="shared" si="67"/>
        <v>1+2669.52764687104i</v>
      </c>
      <c r="X85" s="585">
        <f t="shared" si="68"/>
        <v>2669.527834170086</v>
      </c>
      <c r="Y85" s="586">
        <f t="shared" si="69"/>
        <v>1.5704217287065803</v>
      </c>
      <c r="Z85" s="273" t="str">
        <f t="shared" si="70"/>
        <v>1+0.400369091666905i</v>
      </c>
      <c r="AA85" s="585">
        <f t="shared" si="71"/>
        <v>1.0771700931432242</v>
      </c>
      <c r="AB85" s="586">
        <f t="shared" si="72"/>
        <v>0.38082451908222054</v>
      </c>
      <c r="AC85" s="584" t="str">
        <f t="shared" si="73"/>
        <v>1+0.0193560268537203i</v>
      </c>
      <c r="AD85" s="585">
        <f t="shared" si="74"/>
        <v>1.0001873103451984</v>
      </c>
      <c r="AE85" s="586">
        <f t="shared" si="75"/>
        <v>1.9353610114546657E-2</v>
      </c>
      <c r="AF85" s="580" t="str">
        <f t="shared" si="91"/>
        <v>0.856887943092168-2.26383717799018i</v>
      </c>
      <c r="AG85" s="270">
        <f t="shared" si="92"/>
        <v>2.4205816894844241</v>
      </c>
      <c r="AH85" s="581">
        <f t="shared" si="93"/>
        <v>-1.2089508197389047</v>
      </c>
      <c r="AI85" s="582" t="str">
        <f t="shared" si="76"/>
        <v>4000</v>
      </c>
      <c r="AJ85" s="584" t="str">
        <f t="shared" si="94"/>
        <v>1+209.724483354107i</v>
      </c>
      <c r="AK85" s="585">
        <f t="shared" si="95"/>
        <v>209.72686742081262</v>
      </c>
      <c r="AL85" s="586">
        <f t="shared" si="96"/>
        <v>1.5660282024173369</v>
      </c>
      <c r="AM85" s="273" t="str">
        <f t="shared" si="97"/>
        <v>1+0.00734010001389325i</v>
      </c>
      <c r="AN85" s="585">
        <f t="shared" si="98"/>
        <v>1.0000269381712745</v>
      </c>
      <c r="AO85" s="586">
        <f t="shared" si="99"/>
        <v>7.3399681971313153E-3</v>
      </c>
      <c r="AP85" s="584" t="str">
        <f t="shared" si="100"/>
        <v>1+0.0000531039364090972i</v>
      </c>
      <c r="AQ85" s="585">
        <f t="shared" si="101"/>
        <v>1.0000000014100139</v>
      </c>
      <c r="AR85" s="586">
        <f t="shared" si="102"/>
        <v>5.3103936359178999E-5</v>
      </c>
      <c r="AS85" s="580" t="str">
        <f t="shared" si="103"/>
        <v>0.229918494007707-19.0715531415821i</v>
      </c>
      <c r="AT85" s="270">
        <f t="shared" si="104"/>
        <v>19.072938990781594</v>
      </c>
      <c r="AU85" s="581">
        <f t="shared" si="105"/>
        <v>-1.5587413381565649</v>
      </c>
      <c r="AV85" s="580" t="str">
        <f t="shared" si="106"/>
        <v>0.471891404340958-2.46919307377981i</v>
      </c>
      <c r="AW85" s="270">
        <f t="shared" si="107"/>
        <v>8.0068931093460129</v>
      </c>
      <c r="AX85" s="581">
        <f t="shared" si="108"/>
        <v>-79.180575350543847</v>
      </c>
      <c r="AY85" s="299">
        <f t="shared" si="77"/>
        <v>100.81942464945615</v>
      </c>
      <c r="BB85" s="270">
        <f t="shared" si="57"/>
        <v>-14.391647608263847</v>
      </c>
      <c r="BC85" s="270">
        <f t="shared" si="58"/>
        <v>-89.309300028945444</v>
      </c>
      <c r="BD85" s="286"/>
      <c r="BE85" s="270">
        <f t="shared" si="109"/>
        <v>22.398540717609869</v>
      </c>
      <c r="BF85" s="581">
        <f t="shared" si="110"/>
        <v>10.128724678401579</v>
      </c>
      <c r="BI85" s="286"/>
      <c r="BJ85" s="286"/>
      <c r="BL85" s="253">
        <f t="shared" si="78"/>
        <v>0</v>
      </c>
      <c r="BM85" s="253">
        <f t="shared" si="79"/>
        <v>0</v>
      </c>
      <c r="BN85" s="253">
        <f t="shared" si="80"/>
        <v>0</v>
      </c>
      <c r="BO85" s="253">
        <f t="shared" si="81"/>
        <v>0</v>
      </c>
    </row>
    <row r="86" spans="4:67" ht="13.6" thickBot="1" x14ac:dyDescent="0.25">
      <c r="D86" s="280">
        <v>831.76</v>
      </c>
      <c r="E86" s="273" t="str">
        <f t="shared" si="59"/>
        <v>0.00940698397997945i</v>
      </c>
      <c r="F86" s="579" t="str">
        <f t="shared" si="82"/>
        <v>0.002-2.94380300330523i</v>
      </c>
      <c r="G86" s="270" t="str">
        <f t="shared" si="83"/>
        <v>0.002-2.94380300330523i</v>
      </c>
      <c r="H86" s="271" t="str">
        <f t="shared" si="84"/>
        <v>1.36815428754465-0.929085567408397i</v>
      </c>
      <c r="I86" s="271" t="str">
        <f t="shared" si="85"/>
        <v>1.37815428754465-0.929085567408397i</v>
      </c>
      <c r="J86" s="270" t="str">
        <f t="shared" si="86"/>
        <v>0.706845588897664-0.95738477302878i</v>
      </c>
      <c r="K86" s="271" t="str">
        <f t="shared" si="60"/>
        <v>0.999982530120512-0.00656545503906997i</v>
      </c>
      <c r="L86" s="580"/>
      <c r="M86" s="580" t="str">
        <f t="shared" si="61"/>
        <v>23.5122468196683+19.250275775793i</v>
      </c>
      <c r="N86" s="270" t="str">
        <f t="shared" si="62"/>
        <v>10.9675184480845+14.4377068318447i</v>
      </c>
      <c r="O86" s="581" t="str">
        <f t="shared" si="63"/>
        <v>10.8623608028409+7.10889699812618i</v>
      </c>
      <c r="P86" s="582" t="str">
        <f t="shared" si="64"/>
        <v>21.574782714444-0.294905772221242i</v>
      </c>
      <c r="Q86" s="583" t="str">
        <f t="shared" si="65"/>
        <v>21.4661591064156-0.365994742202544i</v>
      </c>
      <c r="R86" s="581" t="str">
        <f t="shared" si="87"/>
        <v>1.05840142961523+0.855004185992291i</v>
      </c>
      <c r="S86" s="253" t="str">
        <f t="shared" si="88"/>
        <v>29.9757497017194+9.02263427418712i</v>
      </c>
      <c r="T86" s="253" t="str">
        <f t="shared" si="89"/>
        <v>13.1432426150162+2.47065205923344i</v>
      </c>
      <c r="U86" s="253" t="str">
        <f t="shared" si="90"/>
        <v>20.2774309062955-8.83096381468722i</v>
      </c>
      <c r="V86" s="582" t="str">
        <f t="shared" si="66"/>
        <v>6000</v>
      </c>
      <c r="W86" s="584" t="str">
        <f t="shared" si="67"/>
        <v>1+2927.05623080157i</v>
      </c>
      <c r="X86" s="585">
        <f t="shared" si="68"/>
        <v>2927.0564016216522</v>
      </c>
      <c r="Y86" s="586">
        <f t="shared" si="69"/>
        <v>1.570454686634188</v>
      </c>
      <c r="Z86" s="273" t="str">
        <f t="shared" si="70"/>
        <v>1+0.438992585732374i</v>
      </c>
      <c r="AA86" s="585">
        <f t="shared" si="71"/>
        <v>1.0921146873511023</v>
      </c>
      <c r="AB86" s="586">
        <f t="shared" si="72"/>
        <v>0.41366254793734297</v>
      </c>
      <c r="AC86" s="584" t="str">
        <f t="shared" si="73"/>
        <v>1+0.0212232973395692i</v>
      </c>
      <c r="AD86" s="585">
        <f t="shared" si="74"/>
        <v>1.0002251888199796</v>
      </c>
      <c r="AE86" s="586">
        <f t="shared" si="75"/>
        <v>2.1220111675539111E-2</v>
      </c>
      <c r="AF86" s="580" t="str">
        <f t="shared" si="91"/>
        <v>0.856681493334702-2.0677149808012i</v>
      </c>
      <c r="AG86" s="270">
        <f t="shared" si="92"/>
        <v>2.2381573722265111</v>
      </c>
      <c r="AH86" s="581">
        <f t="shared" si="93"/>
        <v>-1.1780122503723849</v>
      </c>
      <c r="AI86" s="582" t="str">
        <f t="shared" si="76"/>
        <v>4000</v>
      </c>
      <c r="AJ86" s="584" t="str">
        <f t="shared" si="94"/>
        <v>1+229.956545485792i</v>
      </c>
      <c r="AK86" s="585">
        <f t="shared" si="95"/>
        <v>229.95871979935689</v>
      </c>
      <c r="AL86" s="586">
        <f t="shared" si="96"/>
        <v>1.5664477065180522</v>
      </c>
      <c r="AM86" s="273" t="str">
        <f t="shared" si="97"/>
        <v>1+0.00804819740509353i</v>
      </c>
      <c r="AN86" s="585">
        <f t="shared" si="98"/>
        <v>1.0000323862163021</v>
      </c>
      <c r="AO86" s="586">
        <f t="shared" si="99"/>
        <v>8.0480236419247942E-3</v>
      </c>
      <c r="AP86" s="584" t="str">
        <f t="shared" si="100"/>
        <v>1+0.0000582268582715478i</v>
      </c>
      <c r="AQ86" s="585">
        <f t="shared" si="101"/>
        <v>1.0000000016951835</v>
      </c>
      <c r="AR86" s="586">
        <f t="shared" si="102"/>
        <v>5.8226858205744325E-5</v>
      </c>
      <c r="AS86" s="580" t="str">
        <f t="shared" si="103"/>
        <v>0.214621190753826-17.3936655348647i</v>
      </c>
      <c r="AT86" s="270">
        <f t="shared" si="104"/>
        <v>17.394989594543041</v>
      </c>
      <c r="AU86" s="581">
        <f t="shared" si="105"/>
        <v>-1.5584579097343332</v>
      </c>
      <c r="AV86" s="580" t="str">
        <f t="shared" si="106"/>
        <v>0.457945139517324-2.28078911802281i</v>
      </c>
      <c r="AW86" s="270">
        <f t="shared" si="107"/>
        <v>7.3333473662054152</v>
      </c>
      <c r="AX86" s="581">
        <f t="shared" si="108"/>
        <v>-78.646901709746459</v>
      </c>
      <c r="AY86" s="299">
        <f t="shared" si="77"/>
        <v>101.35309829025354</v>
      </c>
      <c r="BB86" s="270">
        <f t="shared" ref="BB86:BB149" si="111">20*LOG10(IMABS(IMPRODUCT(COMPLEX($B$15,0),AS86)))</f>
        <v>-15.191516534112715</v>
      </c>
      <c r="BC86" s="270">
        <f t="shared" ref="BC86:BC149" si="112">180/PI()*IMARGUMENT(IMPRODUCT(COMPLEX($B$15,0),AS86))</f>
        <v>-89.29306077655751</v>
      </c>
      <c r="BD86" s="286"/>
      <c r="BE86" s="270">
        <f t="shared" si="109"/>
        <v>22.524863900318138</v>
      </c>
      <c r="BF86" s="581">
        <f t="shared" si="110"/>
        <v>10.646159066811032</v>
      </c>
      <c r="BI86" s="286"/>
      <c r="BJ86" s="286"/>
      <c r="BL86" s="253">
        <f t="shared" si="78"/>
        <v>0</v>
      </c>
      <c r="BM86" s="253">
        <f t="shared" si="79"/>
        <v>0</v>
      </c>
      <c r="BN86" s="253">
        <f t="shared" si="80"/>
        <v>0</v>
      </c>
      <c r="BO86" s="253">
        <f t="shared" si="81"/>
        <v>0</v>
      </c>
    </row>
    <row r="87" spans="4:67" ht="13.6" thickBot="1" x14ac:dyDescent="0.25">
      <c r="D87" s="280">
        <v>912.01</v>
      </c>
      <c r="E87" s="273" t="str">
        <f t="shared" si="59"/>
        <v>0.0103145900976015i</v>
      </c>
      <c r="F87" s="579" t="str">
        <f t="shared" si="82"/>
        <v>0.002-2.68477054640756i</v>
      </c>
      <c r="G87" s="270" t="str">
        <f t="shared" si="83"/>
        <v>0.002-2.68477054640756i</v>
      </c>
      <c r="H87" s="271" t="str">
        <f t="shared" si="84"/>
        <v>1.2860197732951-0.957479062624728i</v>
      </c>
      <c r="I87" s="271" t="str">
        <f t="shared" si="85"/>
        <v>1.2960197732951-0.957479062624728i</v>
      </c>
      <c r="J87" s="270" t="str">
        <f t="shared" si="86"/>
        <v>0.625175635080607-0.927863338725171i</v>
      </c>
      <c r="K87" s="271" t="str">
        <f t="shared" si="60"/>
        <v>0.999978996433421-0.00719890431155886i</v>
      </c>
      <c r="L87" s="580"/>
      <c r="M87" s="580" t="str">
        <f t="shared" si="61"/>
        <v>23.6095835923809+21.155435530616i</v>
      </c>
      <c r="N87" s="270" t="str">
        <f t="shared" si="62"/>
        <v>11.040521027619+15.866576647962i</v>
      </c>
      <c r="O87" s="581" t="str">
        <f t="shared" si="63"/>
        <v>10.9135804858123+7.81224750775653i</v>
      </c>
      <c r="P87" s="582" t="str">
        <f t="shared" si="64"/>
        <v>21.6242795277794-0.324697569507249i</v>
      </c>
      <c r="Q87" s="583" t="str">
        <f t="shared" si="65"/>
        <v>21.5151437229213-0.402820044584821i</v>
      </c>
      <c r="R87" s="581" t="str">
        <f t="shared" si="87"/>
        <v>1.06391595350967+0.939604631292475i</v>
      </c>
      <c r="S87" s="253" t="str">
        <f t="shared" si="88"/>
        <v>30.6322900392239+9.59045499845825i</v>
      </c>
      <c r="T87" s="253" t="str">
        <f t="shared" si="89"/>
        <v>13.3346691820087+2.62065188879175i</v>
      </c>
      <c r="U87" s="253" t="str">
        <f t="shared" si="90"/>
        <v>19.6578675523581-9.39745640089128i</v>
      </c>
      <c r="V87" s="582" t="str">
        <f t="shared" si="66"/>
        <v>6000</v>
      </c>
      <c r="W87" s="584" t="str">
        <f t="shared" si="67"/>
        <v>1+3209.46493345837i</v>
      </c>
      <c r="X87" s="585">
        <f t="shared" si="68"/>
        <v>3209.4650892475747</v>
      </c>
      <c r="Y87" s="586">
        <f t="shared" si="69"/>
        <v>1.5704847483890338</v>
      </c>
      <c r="Z87" s="273" t="str">
        <f t="shared" si="70"/>
        <v>1+0.481347537888072i</v>
      </c>
      <c r="AA87" s="585">
        <f t="shared" si="71"/>
        <v>1.1098177563144811</v>
      </c>
      <c r="AB87" s="586">
        <f t="shared" si="72"/>
        <v>0.44861460237195505</v>
      </c>
      <c r="AC87" s="584" t="str">
        <f t="shared" si="73"/>
        <v>1+0.0232709668734496i</v>
      </c>
      <c r="AD87" s="585">
        <f t="shared" si="74"/>
        <v>1.0002707323016231</v>
      </c>
      <c r="AE87" s="586">
        <f t="shared" si="75"/>
        <v>2.3266767534321425E-2</v>
      </c>
      <c r="AF87" s="580" t="str">
        <f t="shared" si="91"/>
        <v>0.856485742922586-1.8891211870443i</v>
      </c>
      <c r="AG87" s="270">
        <f t="shared" si="92"/>
        <v>2.0742098946753966</v>
      </c>
      <c r="AH87" s="581">
        <f t="shared" si="93"/>
        <v>-1.1451369135514016</v>
      </c>
      <c r="AI87" s="582" t="str">
        <f t="shared" si="76"/>
        <v>4000</v>
      </c>
      <c r="AJ87" s="584" t="str">
        <f t="shared" si="94"/>
        <v>1+252.143249312899i</v>
      </c>
      <c r="AK87" s="585">
        <f t="shared" si="95"/>
        <v>252.14523230484997</v>
      </c>
      <c r="AL87" s="586">
        <f t="shared" si="96"/>
        <v>1.5668303480914261</v>
      </c>
      <c r="AM87" s="273" t="str">
        <f t="shared" si="97"/>
        <v>1+0.00882470486128131i</v>
      </c>
      <c r="AN87" s="585">
        <f t="shared" si="98"/>
        <v>1.0000389369499014</v>
      </c>
      <c r="AO87" s="586">
        <f t="shared" si="99"/>
        <v>8.8244757961306181E-3</v>
      </c>
      <c r="AP87" s="584" t="str">
        <f t="shared" si="100"/>
        <v>1+0.0000638447112294824i</v>
      </c>
      <c r="AQ87" s="585">
        <f t="shared" si="101"/>
        <v>1.0000000020380735</v>
      </c>
      <c r="AR87" s="586">
        <f t="shared" si="102"/>
        <v>6.3844711142735581E-5</v>
      </c>
      <c r="AS87" s="580" t="str">
        <f t="shared" si="103"/>
        <v>0.201895734824669-15.8632061437422i</v>
      </c>
      <c r="AT87" s="270">
        <f t="shared" si="104"/>
        <v>15.864490885200212</v>
      </c>
      <c r="AU87" s="581">
        <f t="shared" si="105"/>
        <v>-1.5580697170064381</v>
      </c>
      <c r="AV87" s="580" t="str">
        <f t="shared" si="106"/>
        <v>0.442641539760364-2.11001507654003i</v>
      </c>
      <c r="AW87" s="270">
        <f t="shared" si="107"/>
        <v>6.6727501036333559</v>
      </c>
      <c r="AX87" s="581">
        <f t="shared" si="108"/>
        <v>-78.152227053200988</v>
      </c>
      <c r="AY87" s="299">
        <f t="shared" si="77"/>
        <v>101.84777294679901</v>
      </c>
      <c r="BB87" s="270">
        <f t="shared" si="111"/>
        <v>-15.991477209747229</v>
      </c>
      <c r="BC87" s="270">
        <f t="shared" si="112"/>
        <v>-89.270818971611448</v>
      </c>
      <c r="BD87" s="286"/>
      <c r="BE87" s="270">
        <f t="shared" si="109"/>
        <v>22.664227313380586</v>
      </c>
      <c r="BF87" s="581">
        <f t="shared" si="110"/>
        <v>11.118591918410472</v>
      </c>
      <c r="BI87" s="286"/>
      <c r="BJ87" s="286"/>
      <c r="BL87" s="253">
        <f t="shared" si="78"/>
        <v>0</v>
      </c>
      <c r="BM87" s="253">
        <f t="shared" si="79"/>
        <v>0</v>
      </c>
      <c r="BN87" s="253">
        <f t="shared" si="80"/>
        <v>0</v>
      </c>
      <c r="BO87" s="253">
        <f t="shared" si="81"/>
        <v>0</v>
      </c>
    </row>
    <row r="88" spans="4:67" ht="13.6" thickBot="1" x14ac:dyDescent="0.25">
      <c r="D88" s="280">
        <v>1000</v>
      </c>
      <c r="E88" s="273" t="str">
        <f t="shared" si="59"/>
        <v>0.0113097335529233i</v>
      </c>
      <c r="F88" s="579" t="str">
        <f t="shared" si="82"/>
        <v>0.002-2.44853758602916i</v>
      </c>
      <c r="G88" s="270" t="str">
        <f t="shared" si="83"/>
        <v>0.002-2.44853758602916i</v>
      </c>
      <c r="H88" s="271" t="str">
        <f t="shared" si="84"/>
        <v>1.19946740271981-0.979087988652388i</v>
      </c>
      <c r="I88" s="271" t="str">
        <f t="shared" si="85"/>
        <v>1.20946740271981-0.979087988652388i</v>
      </c>
      <c r="J88" s="270" t="str">
        <f t="shared" si="86"/>
        <v>0.549021118036873-0.892756786490712i</v>
      </c>
      <c r="K88" s="271" t="str">
        <f t="shared" si="60"/>
        <v>0.999974748112421-0.00789344887836631i</v>
      </c>
      <c r="L88" s="580"/>
      <c r="M88" s="580" t="str">
        <f t="shared" si="61"/>
        <v>23.727463154512+23.259886559487i</v>
      </c>
      <c r="N88" s="270" t="str">
        <f t="shared" si="62"/>
        <v>11.1289306992173+17.4449149196153i</v>
      </c>
      <c r="O88" s="581" t="str">
        <f t="shared" si="63"/>
        <v>10.975568409841+8.58910745379446i</v>
      </c>
      <c r="P88" s="582" t="str">
        <f t="shared" si="64"/>
        <v>21.6840841592788-0.357801714885749i</v>
      </c>
      <c r="Q88" s="583" t="str">
        <f t="shared" si="65"/>
        <v>21.5743284751804-0.443692789423711i</v>
      </c>
      <c r="R88" s="581" t="str">
        <f t="shared" si="87"/>
        <v>1.07059105769265+1.03304914414168i</v>
      </c>
      <c r="S88" s="253" t="str">
        <f t="shared" si="88"/>
        <v>31.3721047635349+10.1417186801608i</v>
      </c>
      <c r="T88" s="253" t="str">
        <f t="shared" si="89"/>
        <v>13.5503568525813+2.76429647680578i</v>
      </c>
      <c r="U88" s="253" t="str">
        <f t="shared" si="90"/>
        <v>18.9597008174069-9.95130812093416i</v>
      </c>
      <c r="V88" s="582" t="str">
        <f t="shared" si="66"/>
        <v>6000</v>
      </c>
      <c r="W88" s="584" t="str">
        <f t="shared" si="67"/>
        <v>1+3519.11155958638i</v>
      </c>
      <c r="X88" s="585">
        <f t="shared" si="68"/>
        <v>3519.1117016676922</v>
      </c>
      <c r="Y88" s="586">
        <f t="shared" si="69"/>
        <v>1.5705121641714186</v>
      </c>
      <c r="Z88" s="273" t="str">
        <f t="shared" si="70"/>
        <v>1+0.527787565803086i</v>
      </c>
      <c r="AA88" s="585">
        <f t="shared" si="71"/>
        <v>1.1307341485142945</v>
      </c>
      <c r="AB88" s="586">
        <f t="shared" si="72"/>
        <v>0.48562974883732701</v>
      </c>
      <c r="AC88" s="584" t="str">
        <f t="shared" si="73"/>
        <v>1+0.0255161312633082i</v>
      </c>
      <c r="AD88" s="585">
        <f t="shared" si="74"/>
        <v>1.0003254835075663</v>
      </c>
      <c r="AE88" s="586">
        <f t="shared" si="75"/>
        <v>2.5510595804548931E-2</v>
      </c>
      <c r="AF88" s="580" t="str">
        <f t="shared" si="91"/>
        <v>0.856294070256252-1.72656925299086i</v>
      </c>
      <c r="AG88" s="270">
        <f t="shared" si="92"/>
        <v>1.927246979535689</v>
      </c>
      <c r="AH88" s="581">
        <f t="shared" si="93"/>
        <v>-1.1103930111386395</v>
      </c>
      <c r="AI88" s="582" t="str">
        <f t="shared" si="76"/>
        <v>4000</v>
      </c>
      <c r="AJ88" s="584" t="str">
        <f t="shared" si="94"/>
        <v>1+276.469829621275i</v>
      </c>
      <c r="AK88" s="585">
        <f t="shared" si="95"/>
        <v>276.47163813096057</v>
      </c>
      <c r="AL88" s="586">
        <f t="shared" si="96"/>
        <v>1.567179311367092</v>
      </c>
      <c r="AM88" s="273" t="str">
        <f t="shared" si="97"/>
        <v>1+0.00967610537305657i</v>
      </c>
      <c r="AN88" s="585">
        <f t="shared" si="98"/>
        <v>1.0000468124118944</v>
      </c>
      <c r="AO88" s="586">
        <f t="shared" si="99"/>
        <v>9.6758034083980361E-3</v>
      </c>
      <c r="AP88" s="584" t="str">
        <f t="shared" si="100"/>
        <v>1+0.0000700043982297151i</v>
      </c>
      <c r="AQ88" s="585">
        <f t="shared" si="101"/>
        <v>1.0000000024503077</v>
      </c>
      <c r="AR88" s="586">
        <f t="shared" si="102"/>
        <v>7.000439811536022E-5</v>
      </c>
      <c r="AS88" s="580" t="str">
        <f t="shared" si="103"/>
        <v>0.191311458248877-14.4674425556604i</v>
      </c>
      <c r="AT88" s="270">
        <f t="shared" si="104"/>
        <v>14.468707412045863</v>
      </c>
      <c r="AU88" s="581">
        <f t="shared" si="105"/>
        <v>-1.5575735123568093</v>
      </c>
      <c r="AV88" s="580" t="str">
        <f t="shared" si="106"/>
        <v>0.42584639014262-1.95510167783409i</v>
      </c>
      <c r="AW88" s="270">
        <f t="shared" si="107"/>
        <v>6.0246887364561621</v>
      </c>
      <c r="AX88" s="581">
        <f t="shared" si="108"/>
        <v>-77.712162028068448</v>
      </c>
      <c r="AY88" s="299">
        <f t="shared" si="77"/>
        <v>102.28783797193155</v>
      </c>
      <c r="BB88" s="270">
        <f t="shared" si="111"/>
        <v>-16.791405312505677</v>
      </c>
      <c r="BC88" s="270">
        <f t="shared" si="112"/>
        <v>-89.242388539412957</v>
      </c>
      <c r="BD88" s="286"/>
      <c r="BE88" s="270">
        <f t="shared" si="109"/>
        <v>22.816094048961855</v>
      </c>
      <c r="BF88" s="581">
        <f t="shared" si="110"/>
        <v>11.530226511344505</v>
      </c>
      <c r="BI88" s="286"/>
      <c r="BJ88" s="286"/>
      <c r="BL88" s="253">
        <f t="shared" si="78"/>
        <v>0</v>
      </c>
      <c r="BM88" s="253">
        <f t="shared" si="79"/>
        <v>0</v>
      </c>
      <c r="BN88" s="253">
        <f t="shared" si="80"/>
        <v>0</v>
      </c>
      <c r="BO88" s="253">
        <f t="shared" si="81"/>
        <v>0</v>
      </c>
    </row>
    <row r="89" spans="4:67" ht="13.6" thickBot="1" x14ac:dyDescent="0.25">
      <c r="D89" s="280">
        <v>1096.5</v>
      </c>
      <c r="E89" s="273" t="str">
        <f t="shared" si="59"/>
        <v>0.0124011228407804i</v>
      </c>
      <c r="F89" s="579" t="str">
        <f t="shared" si="82"/>
        <v>0.002-2.23304841407128i</v>
      </c>
      <c r="G89" s="270" t="str">
        <f t="shared" si="83"/>
        <v>0.002-2.23304841407128i</v>
      </c>
      <c r="H89" s="271" t="str">
        <f t="shared" si="84"/>
        <v>1.10967904924018-0.993071821732592i</v>
      </c>
      <c r="I89" s="271" t="str">
        <f t="shared" si="85"/>
        <v>1.11967904924018-0.993071821732592i</v>
      </c>
      <c r="J89" s="270" t="str">
        <f t="shared" si="86"/>
        <v>0.478978411132669-0.85322243006865i</v>
      </c>
      <c r="K89" s="271" t="str">
        <f t="shared" si="60"/>
        <v>0.999969639346229-0.00865516669512866i</v>
      </c>
      <c r="L89" s="580"/>
      <c r="M89" s="580" t="str">
        <f t="shared" si="61"/>
        <v>23.8704719197283+25.5885514953655i</v>
      </c>
      <c r="N89" s="270" t="str">
        <f t="shared" si="62"/>
        <v>11.2361872731295+19.1914136215241i</v>
      </c>
      <c r="O89" s="581" t="str">
        <f t="shared" si="63"/>
        <v>11.0507099980375+9.44864915558657i</v>
      </c>
      <c r="P89" s="582" t="str">
        <f t="shared" si="64"/>
        <v>21.7564356938821-0.394694206058517i</v>
      </c>
      <c r="Q89" s="583" t="str">
        <f t="shared" si="65"/>
        <v>21.6459285939017-0.489180697614334i</v>
      </c>
      <c r="R89" s="581" t="str">
        <f t="shared" si="87"/>
        <v>1.07868439230291+1.13644196271779i</v>
      </c>
      <c r="S89" s="253" t="str">
        <f t="shared" si="88"/>
        <v>32.1973237138213+10.6629275998164i</v>
      </c>
      <c r="T89" s="253" t="str">
        <f t="shared" si="89"/>
        <v>13.7909169923632+2.8974938895877i</v>
      </c>
      <c r="U89" s="253" t="str">
        <f t="shared" si="90"/>
        <v>18.1809111916278-10.4800827963922i</v>
      </c>
      <c r="V89" s="582" t="str">
        <f t="shared" si="66"/>
        <v>6000</v>
      </c>
      <c r="W89" s="584" t="str">
        <f t="shared" si="67"/>
        <v>1+3858.70582508647i</v>
      </c>
      <c r="X89" s="585">
        <f t="shared" si="68"/>
        <v>3858.705954663591</v>
      </c>
      <c r="Y89" s="586">
        <f t="shared" si="69"/>
        <v>1.5705371725543449</v>
      </c>
      <c r="Z89" s="273" t="str">
        <f t="shared" si="70"/>
        <v>1+0.578719065903084i</v>
      </c>
      <c r="AA89" s="585">
        <f t="shared" si="71"/>
        <v>1.1553855448462813</v>
      </c>
      <c r="AB89" s="586">
        <f t="shared" si="72"/>
        <v>0.52462476466292807</v>
      </c>
      <c r="AC89" s="584" t="str">
        <f t="shared" si="73"/>
        <v>1+0.0279784379302174i</v>
      </c>
      <c r="AD89" s="585">
        <f t="shared" si="74"/>
        <v>1.0003913199288641</v>
      </c>
      <c r="AE89" s="586">
        <f t="shared" si="75"/>
        <v>2.7971140915456993E-2</v>
      </c>
      <c r="AF89" s="580" t="str">
        <f t="shared" si="91"/>
        <v>0.856099917935736-1.5786445082811i</v>
      </c>
      <c r="AG89" s="270">
        <f t="shared" si="92"/>
        <v>1.7958356141405731</v>
      </c>
      <c r="AH89" s="581">
        <f t="shared" si="93"/>
        <v>-1.0738835488068721</v>
      </c>
      <c r="AI89" s="582" t="str">
        <f t="shared" si="76"/>
        <v>4000</v>
      </c>
      <c r="AJ89" s="584" t="str">
        <f t="shared" si="94"/>
        <v>1+303.149168179728i</v>
      </c>
      <c r="AK89" s="585">
        <f t="shared" si="95"/>
        <v>303.15081752827427</v>
      </c>
      <c r="AL89" s="586">
        <f t="shared" si="96"/>
        <v>1.5674976326936583</v>
      </c>
      <c r="AM89" s="273" t="str">
        <f t="shared" si="97"/>
        <v>1+0.0106098495415565i</v>
      </c>
      <c r="AN89" s="585">
        <f t="shared" si="98"/>
        <v>1.0000562828697666</v>
      </c>
      <c r="AO89" s="586">
        <f t="shared" si="99"/>
        <v>1.0609451455386946E-2</v>
      </c>
      <c r="AP89" s="584" t="str">
        <f t="shared" si="100"/>
        <v>1+0.0000767598226588826i</v>
      </c>
      <c r="AQ89" s="585">
        <f t="shared" si="101"/>
        <v>1.0000000029460352</v>
      </c>
      <c r="AR89" s="586">
        <f t="shared" si="102"/>
        <v>7.6759822508124504E-5</v>
      </c>
      <c r="AS89" s="580" t="str">
        <f t="shared" si="103"/>
        <v>0.182506163081102-13.1942328983661i</v>
      </c>
      <c r="AT89" s="270">
        <f t="shared" si="104"/>
        <v>13.195495075058338</v>
      </c>
      <c r="AU89" s="581">
        <f t="shared" si="105"/>
        <v>-1.5569649410607793</v>
      </c>
      <c r="AV89" s="580" t="str">
        <f t="shared" si="106"/>
        <v>0.40747136546459-1.81431760186935i</v>
      </c>
      <c r="AW89" s="270">
        <f t="shared" si="107"/>
        <v>5.3879751801707352</v>
      </c>
      <c r="AX89" s="581">
        <f t="shared" si="108"/>
        <v>-77.342164935897983</v>
      </c>
      <c r="AY89" s="299">
        <f t="shared" si="77"/>
        <v>102.65783506410202</v>
      </c>
      <c r="BB89" s="270">
        <f t="shared" si="111"/>
        <v>-17.591486221296183</v>
      </c>
      <c r="BC89" s="270">
        <f t="shared" si="112"/>
        <v>-89.207519972617632</v>
      </c>
      <c r="BD89" s="286"/>
      <c r="BE89" s="270">
        <f t="shared" si="109"/>
        <v>22.979461401466917</v>
      </c>
      <c r="BF89" s="581">
        <f t="shared" si="110"/>
        <v>11.865355036719638</v>
      </c>
      <c r="BI89" s="286"/>
      <c r="BJ89" s="286"/>
      <c r="BL89" s="253">
        <f t="shared" si="78"/>
        <v>0</v>
      </c>
      <c r="BM89" s="253">
        <f t="shared" si="79"/>
        <v>0</v>
      </c>
      <c r="BN89" s="253">
        <f t="shared" si="80"/>
        <v>0</v>
      </c>
      <c r="BO89" s="253">
        <f t="shared" si="81"/>
        <v>0</v>
      </c>
    </row>
    <row r="90" spans="4:67" ht="13.6" thickBot="1" x14ac:dyDescent="0.25">
      <c r="D90" s="280">
        <v>1202.3</v>
      </c>
      <c r="E90" s="273" t="str">
        <f t="shared" si="59"/>
        <v>0.0135976926506796i</v>
      </c>
      <c r="F90" s="579" t="str">
        <f t="shared" si="82"/>
        <v>0.002-2.03654461118619i</v>
      </c>
      <c r="G90" s="270" t="str">
        <f t="shared" si="83"/>
        <v>0.002-2.03654461118619i</v>
      </c>
      <c r="H90" s="271" t="str">
        <f t="shared" si="84"/>
        <v>1.01808811582481-0.99885482336497i</v>
      </c>
      <c r="I90" s="271" t="str">
        <f t="shared" si="85"/>
        <v>1.02808811582481-0.99885482336497i</v>
      </c>
      <c r="J90" s="270" t="str">
        <f t="shared" si="86"/>
        <v>0.415399990998697-0.810455058299393i</v>
      </c>
      <c r="K90" s="271" t="str">
        <f t="shared" si="60"/>
        <v>0.999963497757885-0.00949029358645982i</v>
      </c>
      <c r="L90" s="580"/>
      <c r="M90" s="580" t="str">
        <f t="shared" si="61"/>
        <v>24.0442291248758+28.1691983817389i</v>
      </c>
      <c r="N90" s="270" t="str">
        <f t="shared" si="62"/>
        <v>11.3665051769902+21.1268987863042i</v>
      </c>
      <c r="O90" s="581" t="str">
        <f t="shared" si="63"/>
        <v>11.1419190442038+10.4010846580492i</v>
      </c>
      <c r="P90" s="582" t="str">
        <f t="shared" si="64"/>
        <v>21.8440481357479-0.435928050216798i</v>
      </c>
      <c r="Q90" s="583" t="str">
        <f t="shared" si="65"/>
        <v>21.7326289453058-0.539938896797333i</v>
      </c>
      <c r="R90" s="581" t="str">
        <f t="shared" si="87"/>
        <v>1.08851093965098+1.25101275446868i</v>
      </c>
      <c r="S90" s="253" t="str">
        <f t="shared" si="88"/>
        <v>33.1068996848793+11.1388736342886i</v>
      </c>
      <c r="T90" s="253" t="str">
        <f t="shared" si="89"/>
        <v>14.0560315112614+3.01564896040349i</v>
      </c>
      <c r="U90" s="253" t="str">
        <f t="shared" si="90"/>
        <v>17.3224741469488-10.9697385043072i</v>
      </c>
      <c r="V90" s="582" t="str">
        <f t="shared" si="66"/>
        <v>6000</v>
      </c>
      <c r="W90" s="584" t="str">
        <f t="shared" si="67"/>
        <v>1+4231.02782809071i</v>
      </c>
      <c r="X90" s="585">
        <f t="shared" si="68"/>
        <v>4231.0279462653034</v>
      </c>
      <c r="Y90" s="586">
        <f t="shared" si="69"/>
        <v>1.5705599776093062</v>
      </c>
      <c r="Z90" s="273" t="str">
        <f t="shared" si="70"/>
        <v>1+0.63455899036505i</v>
      </c>
      <c r="AA90" s="585">
        <f t="shared" si="71"/>
        <v>1.1843416366290225</v>
      </c>
      <c r="AB90" s="586">
        <f t="shared" si="72"/>
        <v>0.56544368410961754</v>
      </c>
      <c r="AC90" s="584" t="str">
        <f t="shared" si="73"/>
        <v>1+0.0306780446178754i</v>
      </c>
      <c r="AD90" s="585">
        <f t="shared" si="74"/>
        <v>1.0004704605442263</v>
      </c>
      <c r="AE90" s="586">
        <f t="shared" si="75"/>
        <v>3.0668425912434211E-2</v>
      </c>
      <c r="AF90" s="580" t="str">
        <f t="shared" si="91"/>
        <v>0.855896755986354-1.44413961724352i</v>
      </c>
      <c r="AG90" s="270">
        <f t="shared" si="92"/>
        <v>1.6787193008362729</v>
      </c>
      <c r="AH90" s="581">
        <f t="shared" si="93"/>
        <v>-1.0357847194121219</v>
      </c>
      <c r="AI90" s="582" t="str">
        <f t="shared" si="76"/>
        <v>4000</v>
      </c>
      <c r="AJ90" s="584" t="str">
        <f t="shared" si="94"/>
        <v>1+332.399676153659i</v>
      </c>
      <c r="AK90" s="585">
        <f t="shared" si="95"/>
        <v>332.40118036351407</v>
      </c>
      <c r="AL90" s="586">
        <f t="shared" si="96"/>
        <v>1.5677879093538476</v>
      </c>
      <c r="AM90" s="273" t="str">
        <f t="shared" si="97"/>
        <v>1+0.0116335814900259i</v>
      </c>
      <c r="AN90" s="585">
        <f t="shared" si="98"/>
        <v>1.0000676678196756</v>
      </c>
      <c r="AO90" s="586">
        <f t="shared" si="99"/>
        <v>1.1633056702154086E-2</v>
      </c>
      <c r="AP90" s="584" t="str">
        <f t="shared" si="100"/>
        <v>1+0.0000841662879915864i</v>
      </c>
      <c r="AQ90" s="585">
        <f t="shared" si="101"/>
        <v>1.000000003541982</v>
      </c>
      <c r="AR90" s="586">
        <f t="shared" si="102"/>
        <v>8.4166287792842746E-5</v>
      </c>
      <c r="AS90" s="580" t="str">
        <f t="shared" si="103"/>
        <v>0.175183236923156-12.0331907399322i</v>
      </c>
      <c r="AT90" s="270">
        <f t="shared" si="104"/>
        <v>12.034465860605902</v>
      </c>
      <c r="AU90" s="581">
        <f t="shared" si="105"/>
        <v>-1.5562390189394866</v>
      </c>
      <c r="AV90" s="580" t="str">
        <f t="shared" si="106"/>
        <v>0.387502602436501-1.68610617075198i</v>
      </c>
      <c r="AW90" s="270">
        <f t="shared" si="107"/>
        <v>4.7612300960688252</v>
      </c>
      <c r="AX90" s="581">
        <f t="shared" si="108"/>
        <v>-77.05697665453684</v>
      </c>
      <c r="AY90" s="299">
        <f t="shared" si="77"/>
        <v>102.94302334546316</v>
      </c>
      <c r="BB90" s="270">
        <f t="shared" si="111"/>
        <v>-18.391463614948659</v>
      </c>
      <c r="BC90" s="270">
        <f t="shared" si="112"/>
        <v>-89.165927698812368</v>
      </c>
      <c r="BD90" s="286"/>
      <c r="BE90" s="270">
        <f t="shared" si="109"/>
        <v>23.152693711017506</v>
      </c>
      <c r="BF90" s="581">
        <f t="shared" si="110"/>
        <v>12.108951044275493</v>
      </c>
      <c r="BI90" s="286"/>
      <c r="BJ90" s="286"/>
      <c r="BL90" s="253">
        <f t="shared" si="78"/>
        <v>0</v>
      </c>
      <c r="BM90" s="253">
        <f t="shared" ref="BM90:BM153" si="113">IF(BL90&gt;0,AY90,0)</f>
        <v>0</v>
      </c>
      <c r="BN90" s="253">
        <f t="shared" si="80"/>
        <v>0</v>
      </c>
      <c r="BO90" s="253">
        <f t="shared" si="81"/>
        <v>0</v>
      </c>
    </row>
    <row r="91" spans="4:67" ht="13.6" thickBot="1" x14ac:dyDescent="0.25">
      <c r="D91" s="280">
        <v>1318.3</v>
      </c>
      <c r="E91" s="273" t="str">
        <f t="shared" si="59"/>
        <v>0.0149096217428187i</v>
      </c>
      <c r="F91" s="579" t="str">
        <f t="shared" si="82"/>
        <v>0.002-1.85734475159612i</v>
      </c>
      <c r="G91" s="270" t="str">
        <f t="shared" si="83"/>
        <v>0.002-1.85734475159612i</v>
      </c>
      <c r="H91" s="271" t="str">
        <f t="shared" si="84"/>
        <v>0.926215321078561-0.996197970898632i</v>
      </c>
      <c r="I91" s="271" t="str">
        <f t="shared" si="85"/>
        <v>0.936215321078561-0.996197970898632i</v>
      </c>
      <c r="J91" s="270" t="str">
        <f t="shared" si="86"/>
        <v>0.358356163544249-0.765583731400149i</v>
      </c>
      <c r="K91" s="271" t="str">
        <f t="shared" si="60"/>
        <v>0.999956114368577-0.0104059336563503i</v>
      </c>
      <c r="L91" s="580"/>
      <c r="M91" s="580" t="str">
        <f t="shared" si="61"/>
        <v>24.2558165674998+31.0354514036149i</v>
      </c>
      <c r="N91" s="270" t="str">
        <f t="shared" si="62"/>
        <v>11.5251957589581+23.2765885527112i</v>
      </c>
      <c r="O91" s="581" t="str">
        <f t="shared" si="63"/>
        <v>11.2528558872824+11.4587729554069i</v>
      </c>
      <c r="P91" s="582" t="str">
        <f t="shared" si="64"/>
        <v>21.9503024547273-0.482193400112747i</v>
      </c>
      <c r="Q91" s="583" t="str">
        <f t="shared" si="65"/>
        <v>21.8377738958545-0.596781129666919i</v>
      </c>
      <c r="R91" s="581" t="str">
        <f t="shared" si="87"/>
        <v>1.10046673841873+1.37824994476689i</v>
      </c>
      <c r="S91" s="253" t="str">
        <f t="shared" si="88"/>
        <v>34.0967472471438+11.5537802401453i</v>
      </c>
      <c r="T91" s="253" t="str">
        <f t="shared" si="89"/>
        <v>14.3444926735041+3.11397902150034i</v>
      </c>
      <c r="U91" s="253" t="str">
        <f t="shared" si="90"/>
        <v>16.3882284699382-11.4057394156843i</v>
      </c>
      <c r="V91" s="582" t="str">
        <f t="shared" si="66"/>
        <v>6000</v>
      </c>
      <c r="W91" s="584" t="str">
        <f t="shared" si="67"/>
        <v>1+4639.24476900272i</v>
      </c>
      <c r="X91" s="585">
        <f t="shared" si="68"/>
        <v>4639.2448767788819</v>
      </c>
      <c r="Y91" s="586">
        <f t="shared" si="69"/>
        <v>1.5705807744724165</v>
      </c>
      <c r="Z91" s="273" t="str">
        <f t="shared" si="70"/>
        <v>1+0.695782347998208i</v>
      </c>
      <c r="AA91" s="585">
        <f t="shared" si="71"/>
        <v>1.2182417969294517</v>
      </c>
      <c r="AB91" s="586">
        <f t="shared" si="72"/>
        <v>0.60788971316984841</v>
      </c>
      <c r="AC91" s="584" t="str">
        <f t="shared" si="73"/>
        <v>1+0.0336379158444191i</v>
      </c>
      <c r="AD91" s="585">
        <f t="shared" si="74"/>
        <v>1.0005655947424719</v>
      </c>
      <c r="AE91" s="586">
        <f t="shared" si="75"/>
        <v>3.3625237245085489E-2</v>
      </c>
      <c r="AF91" s="580" t="str">
        <f t="shared" si="91"/>
        <v>0.85567768864629-1.32190314091181i</v>
      </c>
      <c r="AG91" s="270">
        <f t="shared" si="92"/>
        <v>1.5746784499698869</v>
      </c>
      <c r="AH91" s="581">
        <f t="shared" si="93"/>
        <v>-0.99631629854765158</v>
      </c>
      <c r="AI91" s="582" t="str">
        <f t="shared" si="76"/>
        <v>4000</v>
      </c>
      <c r="AJ91" s="584" t="str">
        <f t="shared" si="94"/>
        <v>1+364.470176389727i</v>
      </c>
      <c r="AK91" s="585">
        <f t="shared" si="95"/>
        <v>364.47154824150363</v>
      </c>
      <c r="AL91" s="586">
        <f t="shared" si="96"/>
        <v>1.5680526249628171</v>
      </c>
      <c r="AM91" s="273" t="str">
        <f t="shared" si="97"/>
        <v>1+0.0127560097133005i</v>
      </c>
      <c r="AN91" s="585">
        <f t="shared" si="98"/>
        <v>1.0000813545826188</v>
      </c>
      <c r="AO91" s="586">
        <f t="shared" si="99"/>
        <v>1.2755317912799782E-2</v>
      </c>
      <c r="AP91" s="584" t="str">
        <f t="shared" si="100"/>
        <v>1+0.0000922867981862334i</v>
      </c>
      <c r="AQ91" s="585">
        <f t="shared" si="101"/>
        <v>1.0000000042584265</v>
      </c>
      <c r="AR91" s="586">
        <f t="shared" si="102"/>
        <v>9.2286797924235695E-5</v>
      </c>
      <c r="AS91" s="580" t="str">
        <f t="shared" si="103"/>
        <v>0.169092778980954-10.9743837523807i</v>
      </c>
      <c r="AT91" s="270">
        <f t="shared" si="104"/>
        <v>10.975686361791729</v>
      </c>
      <c r="AU91" s="581">
        <f t="shared" si="105"/>
        <v>-1.5553895938479416</v>
      </c>
      <c r="AV91" s="580" t="str">
        <f t="shared" si="106"/>
        <v>0.365995509080424-1.56895415965813i</v>
      </c>
      <c r="AW91" s="270">
        <f t="shared" si="107"/>
        <v>4.1423272374887183</v>
      </c>
      <c r="AX91" s="581">
        <f t="shared" si="108"/>
        <v>-76.869226122501345</v>
      </c>
      <c r="AY91" s="299">
        <f t="shared" si="77"/>
        <v>103.13077387749865</v>
      </c>
      <c r="BB91" s="270">
        <f t="shared" si="111"/>
        <v>-19.191366234804264</v>
      </c>
      <c r="BC91" s="270">
        <f t="shared" si="112"/>
        <v>-89.11725922605433</v>
      </c>
      <c r="BD91" s="286"/>
      <c r="BE91" s="270">
        <f t="shared" si="109"/>
        <v>23.333693472293007</v>
      </c>
      <c r="BF91" s="581">
        <f t="shared" si="110"/>
        <v>12.248033103552945</v>
      </c>
      <c r="BI91" s="286"/>
      <c r="BJ91" s="286"/>
      <c r="BL91" s="253">
        <f t="shared" si="78"/>
        <v>0</v>
      </c>
      <c r="BM91" s="253">
        <f t="shared" si="113"/>
        <v>0</v>
      </c>
      <c r="BN91" s="253">
        <f t="shared" si="80"/>
        <v>0</v>
      </c>
      <c r="BO91" s="253">
        <f t="shared" si="81"/>
        <v>0</v>
      </c>
    </row>
    <row r="92" spans="4:67" ht="13.6" thickBot="1" x14ac:dyDescent="0.25">
      <c r="D92" s="280">
        <v>1445.4</v>
      </c>
      <c r="E92" s="273" t="str">
        <f t="shared" si="59"/>
        <v>0.0163470888773953i</v>
      </c>
      <c r="F92" s="579" t="str">
        <f t="shared" si="82"/>
        <v>0.002-1.69402074583448i</v>
      </c>
      <c r="G92" s="270" t="str">
        <f t="shared" si="83"/>
        <v>0.002-1.69402074583448i</v>
      </c>
      <c r="H92" s="271" t="str">
        <f t="shared" si="84"/>
        <v>0.835659010707876-0.985223671871279i</v>
      </c>
      <c r="I92" s="271" t="str">
        <f t="shared" si="85"/>
        <v>0.845659010707876-0.985223671871279i</v>
      </c>
      <c r="J92" s="270" t="str">
        <f t="shared" si="86"/>
        <v>0.307737874362251-0.719663645023503i</v>
      </c>
      <c r="K92" s="271" t="str">
        <f t="shared" si="60"/>
        <v>0.999947244232216-0.0114091910087907i</v>
      </c>
      <c r="L92" s="580"/>
      <c r="M92" s="580" t="str">
        <f t="shared" si="61"/>
        <v>24.5139798852732+34.2252221895767i</v>
      </c>
      <c r="N92" s="270" t="str">
        <f t="shared" si="62"/>
        <v>11.7188182472882+25.6689166421825i</v>
      </c>
      <c r="O92" s="581" t="str">
        <f t="shared" si="63"/>
        <v>11.3880217240803+12.6356354422801i</v>
      </c>
      <c r="P92" s="582" t="str">
        <f t="shared" si="64"/>
        <v>22.0793103319755-0.534309610564313i</v>
      </c>
      <c r="Q92" s="583" t="str">
        <f t="shared" si="65"/>
        <v>21.9654301147348-0.660665964987123i</v>
      </c>
      <c r="R92" s="581" t="str">
        <f t="shared" si="87"/>
        <v>1.11503937982853+1.51983059729138i</v>
      </c>
      <c r="S92" s="253" t="str">
        <f t="shared" si="88"/>
        <v>35.1583830856144+11.8917829337519i</v>
      </c>
      <c r="T92" s="253" t="str">
        <f t="shared" si="89"/>
        <v>14.6538061844853+3.18767583134911i</v>
      </c>
      <c r="U92" s="253" t="str">
        <f t="shared" si="90"/>
        <v>15.386158866529-11.773466704286i</v>
      </c>
      <c r="V92" s="582" t="str">
        <f t="shared" si="66"/>
        <v>6000</v>
      </c>
      <c r="W92" s="584" t="str">
        <f t="shared" si="67"/>
        <v>1+5086.52384822615i</v>
      </c>
      <c r="X92" s="585">
        <f t="shared" si="68"/>
        <v>5086.5239465251088</v>
      </c>
      <c r="Y92" s="586">
        <f t="shared" si="69"/>
        <v>1.5705997288791187</v>
      </c>
      <c r="Z92" s="273" t="str">
        <f t="shared" si="70"/>
        <v>1+0.762864147611779i</v>
      </c>
      <c r="AA92" s="585">
        <f t="shared" si="71"/>
        <v>1.2577605923670236</v>
      </c>
      <c r="AB92" s="586">
        <f t="shared" si="72"/>
        <v>0.65168345524943394</v>
      </c>
      <c r="AC92" s="584" t="str">
        <f t="shared" si="73"/>
        <v>1+0.0368810161279856i</v>
      </c>
      <c r="AD92" s="585">
        <f t="shared" si="74"/>
        <v>1.0006798735612867</v>
      </c>
      <c r="AE92" s="586">
        <f t="shared" si="75"/>
        <v>3.6864307794300291E-2</v>
      </c>
      <c r="AF92" s="580" t="str">
        <f t="shared" si="91"/>
        <v>0.855435458980986-1.21095988164968i</v>
      </c>
      <c r="AG92" s="270">
        <f t="shared" si="92"/>
        <v>1.482630655101606</v>
      </c>
      <c r="AH92" s="581">
        <f t="shared" si="93"/>
        <v>-0.9557805814239847</v>
      </c>
      <c r="AI92" s="582" t="str">
        <f t="shared" si="76"/>
        <v>4000</v>
      </c>
      <c r="AJ92" s="584" t="str">
        <f t="shared" si="94"/>
        <v>1+399.609491734591i</v>
      </c>
      <c r="AK92" s="585">
        <f t="shared" si="95"/>
        <v>399.61074295416302</v>
      </c>
      <c r="AL92" s="586">
        <f t="shared" si="96"/>
        <v>1.5682938889567462</v>
      </c>
      <c r="AM92" s="273" t="str">
        <f t="shared" si="97"/>
        <v>1+0.013985842706216i</v>
      </c>
      <c r="AN92" s="585">
        <f t="shared" si="98"/>
        <v>1.0000977971159635</v>
      </c>
      <c r="AO92" s="586">
        <f t="shared" si="99"/>
        <v>1.3984930918580938E-2</v>
      </c>
      <c r="AP92" s="584" t="str">
        <f t="shared" si="100"/>
        <v>1+0.00010118435720123i</v>
      </c>
      <c r="AQ92" s="585">
        <f t="shared" si="101"/>
        <v>1.0000000051191371</v>
      </c>
      <c r="AR92" s="586">
        <f t="shared" si="102"/>
        <v>1.0118435685591228E-4</v>
      </c>
      <c r="AS92" s="580" t="str">
        <f t="shared" si="103"/>
        <v>0.164030159485462-10.00937583369i</v>
      </c>
      <c r="AT92" s="270">
        <f t="shared" si="104"/>
        <v>10.010719777981912</v>
      </c>
      <c r="AU92" s="581">
        <f t="shared" si="105"/>
        <v>-1.554410142395021</v>
      </c>
      <c r="AV92" s="580" t="str">
        <f t="shared" si="106"/>
        <v>0.343103115974536-1.4615257851956i</v>
      </c>
      <c r="AW92" s="270">
        <f t="shared" si="107"/>
        <v>3.5291101366330091</v>
      </c>
      <c r="AX92" s="581">
        <f t="shared" si="108"/>
        <v>-76.788654623333258</v>
      </c>
      <c r="AY92" s="299">
        <f t="shared" si="77"/>
        <v>103.21134537666674</v>
      </c>
      <c r="BB92" s="270">
        <f t="shared" si="111"/>
        <v>-19.990693906222727</v>
      </c>
      <c r="BC92" s="270">
        <f t="shared" si="112"/>
        <v>-89.061140791564014</v>
      </c>
      <c r="BD92" s="286"/>
      <c r="BE92" s="270">
        <f t="shared" si="109"/>
        <v>23.519804042855739</v>
      </c>
      <c r="BF92" s="581">
        <f t="shared" si="110"/>
        <v>12.272486168230774</v>
      </c>
      <c r="BI92" s="286"/>
      <c r="BJ92" s="286"/>
      <c r="BL92" s="253">
        <f t="shared" si="78"/>
        <v>0</v>
      </c>
      <c r="BM92" s="253">
        <f t="shared" si="113"/>
        <v>0</v>
      </c>
      <c r="BN92" s="253">
        <f t="shared" si="80"/>
        <v>0</v>
      </c>
      <c r="BO92" s="253">
        <f t="shared" si="81"/>
        <v>0</v>
      </c>
    </row>
    <row r="93" spans="4:67" ht="13.6" thickBot="1" x14ac:dyDescent="0.25">
      <c r="D93" s="280">
        <v>1584.9</v>
      </c>
      <c r="E93" s="273" t="str">
        <f t="shared" si="59"/>
        <v>0.0179247967080281i</v>
      </c>
      <c r="F93" s="579" t="str">
        <f t="shared" si="82"/>
        <v>0.002-1.54491613731413i</v>
      </c>
      <c r="G93" s="270" t="str">
        <f t="shared" si="83"/>
        <v>0.002-1.54491613731413i</v>
      </c>
      <c r="H93" s="271" t="str">
        <f t="shared" si="84"/>
        <v>0.747726632681787-0.966362304444861i</v>
      </c>
      <c r="I93" s="271" t="str">
        <f t="shared" si="85"/>
        <v>0.757726632681787-0.966362304444861i</v>
      </c>
      <c r="J93" s="270" t="str">
        <f t="shared" si="86"/>
        <v>0.26316284334735-0.673507588032382i</v>
      </c>
      <c r="K93" s="271" t="str">
        <f t="shared" si="60"/>
        <v>0.999936569581324-0.0125103271273228i</v>
      </c>
      <c r="L93" s="580"/>
      <c r="M93" s="580" t="str">
        <f t="shared" si="61"/>
        <v>24.8305432064899+37.7924457443581i</v>
      </c>
      <c r="N93" s="270" t="str">
        <f t="shared" si="62"/>
        <v>11.9562407382007+28.3443343082686i</v>
      </c>
      <c r="O93" s="581" t="str">
        <f t="shared" si="63"/>
        <v>11.5534816814998+13.9514773190861i</v>
      </c>
      <c r="P93" s="582" t="str">
        <f t="shared" si="64"/>
        <v>22.2365625427558-0.593443252168251i</v>
      </c>
      <c r="Q93" s="583" t="str">
        <f t="shared" si="65"/>
        <v>22.1210277259408-0.732958025359061i</v>
      </c>
      <c r="R93" s="581" t="str">
        <f t="shared" si="87"/>
        <v>1.13288648551525+1.6781405977693i</v>
      </c>
      <c r="S93" s="253" t="str">
        <f t="shared" si="88"/>
        <v>36.2820582313306+12.1388901559795i</v>
      </c>
      <c r="T93" s="253" t="str">
        <f t="shared" si="89"/>
        <v>14.981103018711+3.23239946312433i</v>
      </c>
      <c r="U93" s="253" t="str">
        <f t="shared" si="90"/>
        <v>14.3254387081109-12.0602220702431i</v>
      </c>
      <c r="V93" s="582" t="str">
        <f t="shared" si="66"/>
        <v>6000</v>
      </c>
      <c r="W93" s="584" t="str">
        <f t="shared" si="67"/>
        <v>1+5577.43991078846i</v>
      </c>
      <c r="X93" s="585">
        <f t="shared" si="68"/>
        <v>5577.4400004353229</v>
      </c>
      <c r="Y93" s="586">
        <f t="shared" si="69"/>
        <v>1.570617033067796</v>
      </c>
      <c r="Z93" s="273" t="str">
        <f t="shared" si="70"/>
        <v>1+0.836490513041311i</v>
      </c>
      <c r="AA93" s="585">
        <f t="shared" si="71"/>
        <v>1.3037317125881827</v>
      </c>
      <c r="AB93" s="586">
        <f t="shared" si="72"/>
        <v>0.69659863903884478</v>
      </c>
      <c r="AC93" s="584" t="str">
        <f t="shared" si="73"/>
        <v>1+0.0404405164392171i</v>
      </c>
      <c r="AD93" s="585">
        <f t="shared" si="74"/>
        <v>1.0008173836269385</v>
      </c>
      <c r="AE93" s="586">
        <f t="shared" si="75"/>
        <v>4.0418492096494389E-2</v>
      </c>
      <c r="AF93" s="580" t="str">
        <f t="shared" si="91"/>
        <v>0.855161447584524-1.1101841699781i</v>
      </c>
      <c r="AG93" s="270">
        <f t="shared" si="92"/>
        <v>1.4013600510592634</v>
      </c>
      <c r="AH93" s="581">
        <f t="shared" si="93"/>
        <v>-0.9144368861254456</v>
      </c>
      <c r="AI93" s="582" t="str">
        <f t="shared" si="76"/>
        <v>4000</v>
      </c>
      <c r="AJ93" s="584" t="str">
        <f t="shared" si="94"/>
        <v>1+438.177032966759i</v>
      </c>
      <c r="AK93" s="585">
        <f t="shared" si="95"/>
        <v>438.1781740565728</v>
      </c>
      <c r="AL93" s="586">
        <f t="shared" si="96"/>
        <v>1.5685141481578384</v>
      </c>
      <c r="AM93" s="273" t="str">
        <f t="shared" si="97"/>
        <v>1+0.0153356594057574i</v>
      </c>
      <c r="AN93" s="585">
        <f t="shared" si="98"/>
        <v>1.0001175843116694</v>
      </c>
      <c r="AO93" s="586">
        <f t="shared" si="99"/>
        <v>1.5334457349393593E-2</v>
      </c>
      <c r="AP93" s="584" t="str">
        <f t="shared" si="100"/>
        <v>1+0.000110949970754275i</v>
      </c>
      <c r="AQ93" s="585">
        <f t="shared" si="101"/>
        <v>1.0000000061549479</v>
      </c>
      <c r="AR93" s="586">
        <f t="shared" si="102"/>
        <v>1.1094997029901413E-4</v>
      </c>
      <c r="AS93" s="580" t="str">
        <f t="shared" si="103"/>
        <v>0.159814898572539-9.1283810900446i</v>
      </c>
      <c r="AT93" s="270">
        <f t="shared" si="104"/>
        <v>9.129779960485882</v>
      </c>
      <c r="AU93" s="581">
        <f t="shared" si="105"/>
        <v>-1.5532906407787439</v>
      </c>
      <c r="AV93" s="580" t="str">
        <f t="shared" si="106"/>
        <v>0.319007775940945-1.36236631911666i</v>
      </c>
      <c r="AW93" s="270">
        <f t="shared" si="107"/>
        <v>2.9177008738274282</v>
      </c>
      <c r="AX93" s="581">
        <f t="shared" si="108"/>
        <v>-76.821223337087446</v>
      </c>
      <c r="AY93" s="299">
        <f t="shared" si="77"/>
        <v>103.17877666291255</v>
      </c>
      <c r="BB93" s="270">
        <f t="shared" si="111"/>
        <v>-20.790793787974167</v>
      </c>
      <c r="BC93" s="270">
        <f t="shared" si="112"/>
        <v>-88.996998073793264</v>
      </c>
      <c r="BD93" s="286"/>
      <c r="BE93" s="270">
        <f t="shared" si="109"/>
        <v>23.708494661801623</v>
      </c>
      <c r="BF93" s="581">
        <f t="shared" si="110"/>
        <v>12.175774736705785</v>
      </c>
      <c r="BI93" s="286"/>
      <c r="BJ93" s="286"/>
      <c r="BL93" s="253">
        <f t="shared" si="78"/>
        <v>0</v>
      </c>
      <c r="BM93" s="253">
        <f t="shared" si="113"/>
        <v>0</v>
      </c>
      <c r="BN93" s="253">
        <f t="shared" si="80"/>
        <v>0</v>
      </c>
      <c r="BO93" s="253">
        <f t="shared" si="81"/>
        <v>0</v>
      </c>
    </row>
    <row r="94" spans="4:67" ht="13.6" thickBot="1" x14ac:dyDescent="0.25">
      <c r="D94" s="280">
        <v>1737.8</v>
      </c>
      <c r="E94" s="273" t="str">
        <f t="shared" si="59"/>
        <v>0.01965405496827i</v>
      </c>
      <c r="F94" s="579" t="str">
        <f t="shared" si="82"/>
        <v>0.002-1.40898698701183i</v>
      </c>
      <c r="G94" s="270" t="str">
        <f t="shared" si="83"/>
        <v>0.002-1.40898698701183i</v>
      </c>
      <c r="H94" s="271" t="str">
        <f t="shared" si="84"/>
        <v>0.663829769827622-0.940382850522219i</v>
      </c>
      <c r="I94" s="271" t="str">
        <f t="shared" si="85"/>
        <v>0.673829769827622-0.940382850522219i</v>
      </c>
      <c r="J94" s="270" t="str">
        <f t="shared" si="86"/>
        <v>0.224285867809343-0.627920978001847i</v>
      </c>
      <c r="K94" s="271" t="str">
        <f t="shared" si="60"/>
        <v>0.999923740591399-0.013717235460825i</v>
      </c>
      <c r="L94" s="580"/>
      <c r="M94" s="580" t="str">
        <f t="shared" si="61"/>
        <v>25.2197354618485+41.7917098965123i</v>
      </c>
      <c r="N94" s="270" t="str">
        <f t="shared" si="62"/>
        <v>12.2481349297197+31.3437824223842i</v>
      </c>
      <c r="O94" s="581" t="str">
        <f t="shared" si="63"/>
        <v>11.7564849824212+15.4263048363292i</v>
      </c>
      <c r="P94" s="582" t="str">
        <f t="shared" si="64"/>
        <v>22.4285020846987-0.660893422736506i</v>
      </c>
      <c r="Q94" s="583" t="str">
        <f t="shared" si="65"/>
        <v>22.3109372348745-0.815156471099764i</v>
      </c>
      <c r="R94" s="581" t="str">
        <f t="shared" si="87"/>
        <v>1.15479555974886+1.8555914225998i</v>
      </c>
      <c r="S94" s="253" t="str">
        <f t="shared" si="88"/>
        <v>37.4511565399252+12.2824415776035i</v>
      </c>
      <c r="T94" s="253" t="str">
        <f t="shared" si="89"/>
        <v>15.3215069535308+3.24425779790394i</v>
      </c>
      <c r="U94" s="253" t="str">
        <f t="shared" si="90"/>
        <v>13.2217168301965-12.2544474760133i</v>
      </c>
      <c r="V94" s="582" t="str">
        <f t="shared" si="66"/>
        <v>6000</v>
      </c>
      <c r="W94" s="584" t="str">
        <f t="shared" si="67"/>
        <v>1+6115.51206824922i</v>
      </c>
      <c r="X94" s="585">
        <f t="shared" si="68"/>
        <v>6115.5121500085215</v>
      </c>
      <c r="Y94" s="586">
        <f t="shared" si="69"/>
        <v>1.5706328081917238</v>
      </c>
      <c r="Z94" s="273" t="str">
        <f t="shared" si="70"/>
        <v>1+0.917189231852603i</v>
      </c>
      <c r="AA94" s="585">
        <f t="shared" si="71"/>
        <v>1.3569215478524792</v>
      </c>
      <c r="AB94" s="586">
        <f t="shared" si="72"/>
        <v>0.74223115405380402</v>
      </c>
      <c r="AC94" s="584" t="str">
        <f t="shared" si="73"/>
        <v>1+0.0443419329093769i</v>
      </c>
      <c r="AD94" s="585">
        <f t="shared" si="74"/>
        <v>1.0009826207353152</v>
      </c>
      <c r="AE94" s="586">
        <f t="shared" si="75"/>
        <v>4.4312905339713896E-2</v>
      </c>
      <c r="AF94" s="580" t="str">
        <f t="shared" si="91"/>
        <v>0.854846760356454-1.01887001457563i</v>
      </c>
      <c r="AG94" s="270">
        <f t="shared" si="92"/>
        <v>1.3299846203220809</v>
      </c>
      <c r="AH94" s="581">
        <f t="shared" si="93"/>
        <v>-0.87271455947763454</v>
      </c>
      <c r="AI94" s="582" t="str">
        <f t="shared" si="76"/>
        <v>4000</v>
      </c>
      <c r="AJ94" s="584" t="str">
        <f t="shared" si="94"/>
        <v>1+480.449269915852i</v>
      </c>
      <c r="AK94" s="585">
        <f t="shared" si="95"/>
        <v>480.45031060732509</v>
      </c>
      <c r="AL94" s="586">
        <f t="shared" si="96"/>
        <v>1.5687149446000104</v>
      </c>
      <c r="AM94" s="273" t="str">
        <f t="shared" si="97"/>
        <v>1+0.0168151359172977i</v>
      </c>
      <c r="AN94" s="585">
        <f t="shared" si="98"/>
        <v>1.0001413644060109</v>
      </c>
      <c r="AO94" s="586">
        <f t="shared" si="99"/>
        <v>1.6813551366295681E-2</v>
      </c>
      <c r="AP94" s="584" t="str">
        <f t="shared" si="100"/>
        <v>1+0.000121653643243599i</v>
      </c>
      <c r="AQ94" s="585">
        <f t="shared" si="101"/>
        <v>1.0000000073998043</v>
      </c>
      <c r="AR94" s="586">
        <f t="shared" si="102"/>
        <v>1.2165364264345689E-4</v>
      </c>
      <c r="AS94" s="580" t="str">
        <f t="shared" si="103"/>
        <v>0.156310281185328-8.32523236784396i</v>
      </c>
      <c r="AT94" s="270">
        <f t="shared" si="104"/>
        <v>8.3266996392689094</v>
      </c>
      <c r="AU94" s="581">
        <f t="shared" si="105"/>
        <v>-1.5520230468763581</v>
      </c>
      <c r="AV94" s="580" t="str">
        <f t="shared" si="106"/>
        <v>0.294041090888294-1.27047994765053i</v>
      </c>
      <c r="AW94" s="270">
        <f t="shared" si="107"/>
        <v>2.3059692939195435</v>
      </c>
      <c r="AX94" s="581">
        <f t="shared" si="108"/>
        <v>-76.968847661216316</v>
      </c>
      <c r="AY94" s="299">
        <f t="shared" si="77"/>
        <v>103.03115233878368</v>
      </c>
      <c r="BB94" s="270">
        <f t="shared" si="111"/>
        <v>-21.590542018616851</v>
      </c>
      <c r="BC94" s="270">
        <f t="shared" si="112"/>
        <v>-88.924370293050046</v>
      </c>
      <c r="BD94" s="286"/>
      <c r="BE94" s="270">
        <f t="shared" si="109"/>
        <v>23.896511312536383</v>
      </c>
      <c r="BF94" s="581">
        <f t="shared" si="110"/>
        <v>11.955522631833738</v>
      </c>
      <c r="BI94" s="286"/>
      <c r="BJ94" s="286"/>
      <c r="BL94" s="253">
        <f t="shared" si="78"/>
        <v>0</v>
      </c>
      <c r="BM94" s="253">
        <f t="shared" si="113"/>
        <v>0</v>
      </c>
      <c r="BN94" s="253">
        <f t="shared" si="80"/>
        <v>0</v>
      </c>
      <c r="BO94" s="253">
        <f t="shared" si="81"/>
        <v>0</v>
      </c>
    </row>
    <row r="95" spans="4:67" ht="13.6" thickBot="1" x14ac:dyDescent="0.25">
      <c r="D95" s="280">
        <v>1905.5</v>
      </c>
      <c r="E95" s="273" t="str">
        <f t="shared" si="59"/>
        <v>0.0215506972850953i</v>
      </c>
      <c r="F95" s="579" t="str">
        <f t="shared" si="82"/>
        <v>0.002-1.28498430124857i</v>
      </c>
      <c r="G95" s="270" t="str">
        <f t="shared" si="83"/>
        <v>0.002-1.28498430124857i</v>
      </c>
      <c r="H95" s="271" t="str">
        <f t="shared" si="84"/>
        <v>0.584956167931319-0.908246308584852i</v>
      </c>
      <c r="I95" s="271" t="str">
        <f t="shared" si="85"/>
        <v>0.594956167931319-0.908246308584852i</v>
      </c>
      <c r="J95" s="270" t="str">
        <f t="shared" si="86"/>
        <v>0.190597175977048-0.583463722380574i</v>
      </c>
      <c r="K95" s="271" t="str">
        <f t="shared" si="60"/>
        <v>0.999908312157521-0.015040966837727i</v>
      </c>
      <c r="L95" s="580"/>
      <c r="M95" s="580" t="str">
        <f t="shared" si="61"/>
        <v>25.7008634490142+46.2993048962208i</v>
      </c>
      <c r="N95" s="270" t="str">
        <f t="shared" si="62"/>
        <v>12.6089809200939+34.7244786721656i</v>
      </c>
      <c r="O95" s="581" t="str">
        <f t="shared" si="63"/>
        <v>12.0068193349154+17.0880722243091i</v>
      </c>
      <c r="P95" s="582" t="str">
        <f t="shared" si="64"/>
        <v>22.663709739105-0.738495370873624i</v>
      </c>
      <c r="Q95" s="583" t="str">
        <f t="shared" si="65"/>
        <v>22.5436415457559-0.909376093116677i</v>
      </c>
      <c r="R95" s="581" t="str">
        <f t="shared" si="87"/>
        <v>1.18183134759027+2.05555281786536i</v>
      </c>
      <c r="S95" s="253" t="str">
        <f t="shared" si="88"/>
        <v>38.6484933768408+12.3136499869084i</v>
      </c>
      <c r="T95" s="253" t="str">
        <f t="shared" si="89"/>
        <v>15.6699689679911+3.22041110141055i</v>
      </c>
      <c r="U95" s="253" t="str">
        <f t="shared" si="90"/>
        <v>12.0911714941006-12.3483921337725i</v>
      </c>
      <c r="V95" s="582" t="str">
        <f t="shared" si="66"/>
        <v>6000</v>
      </c>
      <c r="W95" s="584" t="str">
        <f t="shared" si="67"/>
        <v>1+6705.66707679185i</v>
      </c>
      <c r="X95" s="585">
        <f t="shared" si="68"/>
        <v>6705.6671513556475</v>
      </c>
      <c r="Y95" s="586">
        <f t="shared" si="69"/>
        <v>1.5706471992016036</v>
      </c>
      <c r="Z95" s="273" t="str">
        <f t="shared" si="70"/>
        <v>1+1.00569920663778i</v>
      </c>
      <c r="AA95" s="585">
        <f t="shared" si="71"/>
        <v>1.4182492355830341</v>
      </c>
      <c r="AB95" s="586">
        <f t="shared" si="72"/>
        <v>0.78823966190342043</v>
      </c>
      <c r="AC95" s="584" t="str">
        <f t="shared" si="73"/>
        <v>1+0.0486209881222337i</v>
      </c>
      <c r="AD95" s="585">
        <f t="shared" si="74"/>
        <v>1.0011813025051868</v>
      </c>
      <c r="AE95" s="586">
        <f t="shared" si="75"/>
        <v>4.8582729027784155E-2</v>
      </c>
      <c r="AF95" s="580" t="str">
        <f t="shared" si="91"/>
        <v>0.854480581628922-0.936177042000288i</v>
      </c>
      <c r="AG95" s="270">
        <f t="shared" si="92"/>
        <v>1.2675032616720596</v>
      </c>
      <c r="AH95" s="581">
        <f t="shared" si="93"/>
        <v>-0.8309902663259674</v>
      </c>
      <c r="AI95" s="582" t="str">
        <f t="shared" si="76"/>
        <v>4000</v>
      </c>
      <c r="AJ95" s="584" t="str">
        <f t="shared" si="94"/>
        <v>1+526.813260343339i</v>
      </c>
      <c r="AK95" s="585">
        <f t="shared" si="95"/>
        <v>526.81420944539707</v>
      </c>
      <c r="AL95" s="586">
        <f t="shared" si="96"/>
        <v>1.56889812324875</v>
      </c>
      <c r="AM95" s="273" t="str">
        <f t="shared" si="97"/>
        <v>1+0.0184378187883593i</v>
      </c>
      <c r="AN95" s="585">
        <f t="shared" si="98"/>
        <v>1.0001699621372722</v>
      </c>
      <c r="AO95" s="586">
        <f t="shared" si="99"/>
        <v>1.8435729882823625E-2</v>
      </c>
      <c r="AP95" s="584" t="str">
        <f t="shared" si="100"/>
        <v>1+0.000133393380826722i</v>
      </c>
      <c r="AQ95" s="585">
        <f t="shared" si="101"/>
        <v>1.000000008896897</v>
      </c>
      <c r="AR95" s="586">
        <f t="shared" si="102"/>
        <v>1.3339338003553057E-4</v>
      </c>
      <c r="AS95" s="580" t="str">
        <f t="shared" si="103"/>
        <v>0.153394489242092-7.59255066901792i</v>
      </c>
      <c r="AT95" s="270">
        <f t="shared" si="104"/>
        <v>7.5941000474667382</v>
      </c>
      <c r="AU95" s="581">
        <f t="shared" si="105"/>
        <v>-1.5505957867459619</v>
      </c>
      <c r="AV95" s="580" t="str">
        <f t="shared" si="106"/>
        <v>0.268548213488118-1.1848104005536i</v>
      </c>
      <c r="AW95" s="270">
        <f t="shared" si="107"/>
        <v>1.6905511665142912</v>
      </c>
      <c r="AX95" s="581">
        <f t="shared" si="108"/>
        <v>-77.229162685080297</v>
      </c>
      <c r="AY95" s="299">
        <f t="shared" si="77"/>
        <v>102.7708373149197</v>
      </c>
      <c r="BB95" s="270">
        <f t="shared" si="111"/>
        <v>-22.390473712066342</v>
      </c>
      <c r="BC95" s="270">
        <f t="shared" si="112"/>
        <v>-88.842594311311046</v>
      </c>
      <c r="BD95" s="286"/>
      <c r="BE95" s="270">
        <f t="shared" si="109"/>
        <v>24.08102487858066</v>
      </c>
      <c r="BF95" s="581">
        <f t="shared" si="110"/>
        <v>11.613431626230714</v>
      </c>
      <c r="BI95" s="286"/>
      <c r="BJ95" s="286"/>
      <c r="BL95" s="253">
        <f t="shared" si="78"/>
        <v>0</v>
      </c>
      <c r="BM95" s="253">
        <f t="shared" si="113"/>
        <v>0</v>
      </c>
      <c r="BN95" s="253">
        <f t="shared" si="80"/>
        <v>0</v>
      </c>
      <c r="BO95" s="253">
        <f t="shared" si="81"/>
        <v>0</v>
      </c>
    </row>
    <row r="96" spans="4:67" ht="13.6" thickBot="1" x14ac:dyDescent="0.25">
      <c r="D96" s="280">
        <v>2089.3000000000002</v>
      </c>
      <c r="E96" s="273" t="str">
        <f t="shared" si="59"/>
        <v>0.0236294263121226i</v>
      </c>
      <c r="F96" s="579" t="str">
        <f t="shared" si="82"/>
        <v>0.002-1.17194160055002i</v>
      </c>
      <c r="G96" s="270" t="str">
        <f t="shared" si="83"/>
        <v>0.002-1.17194160055002i</v>
      </c>
      <c r="H96" s="271" t="str">
        <f t="shared" si="84"/>
        <v>0.511925532960718-0.871097089230586i</v>
      </c>
      <c r="I96" s="271" t="str">
        <f t="shared" si="85"/>
        <v>0.521925532960718-0.871097089230586i</v>
      </c>
      <c r="J96" s="270" t="str">
        <f t="shared" si="86"/>
        <v>0.161605220099219-0.54061637330508i</v>
      </c>
      <c r="K96" s="271" t="str">
        <f t="shared" si="60"/>
        <v>0.999889771104518-0.0164917827415707i</v>
      </c>
      <c r="L96" s="580"/>
      <c r="M96" s="580" t="str">
        <f t="shared" si="61"/>
        <v>26.2987473759443+51.4049002582407i</v>
      </c>
      <c r="N96" s="270" t="str">
        <f t="shared" si="62"/>
        <v>13.0573938652915+38.5536751936805i</v>
      </c>
      <c r="O96" s="581" t="str">
        <f t="shared" si="63"/>
        <v>12.3169696570303+18.9695848165457i</v>
      </c>
      <c r="P96" s="582" t="str">
        <f t="shared" si="64"/>
        <v>22.9528910703122-0.828565750961355i</v>
      </c>
      <c r="Q96" s="583" t="str">
        <f t="shared" si="65"/>
        <v>22.8297213737419-1.01826159912684i</v>
      </c>
      <c r="R96" s="581" t="str">
        <f t="shared" si="87"/>
        <v>1.21535500078236+2.28198119045128i</v>
      </c>
      <c r="S96" s="253" t="str">
        <f t="shared" si="88"/>
        <v>39.8534177180985+12.2277512279743i</v>
      </c>
      <c r="T96" s="253" t="str">
        <f t="shared" si="89"/>
        <v>16.0204231404889+3.15921415047044i</v>
      </c>
      <c r="U96" s="253" t="str">
        <f t="shared" si="90"/>
        <v>10.9532459051819-12.3380615782055i</v>
      </c>
      <c r="V96" s="582" t="str">
        <f t="shared" si="66"/>
        <v>6000</v>
      </c>
      <c r="W96" s="584" t="str">
        <f t="shared" si="67"/>
        <v>1+7352.47978144382i</v>
      </c>
      <c r="X96" s="585">
        <f t="shared" si="68"/>
        <v>7352.4798494480874</v>
      </c>
      <c r="Y96" s="586">
        <f t="shared" si="69"/>
        <v>1.5706603182612373</v>
      </c>
      <c r="Z96" s="273" t="str">
        <f t="shared" si="70"/>
        <v>1+1.10270656123239i</v>
      </c>
      <c r="AA96" s="585">
        <f t="shared" si="71"/>
        <v>1.4886106812007507</v>
      </c>
      <c r="AB96" s="586">
        <f t="shared" si="72"/>
        <v>0.83420430677699009</v>
      </c>
      <c r="AC96" s="584" t="str">
        <f t="shared" si="73"/>
        <v>1+0.0533108530484297i</v>
      </c>
      <c r="AD96" s="585">
        <f t="shared" si="74"/>
        <v>1.0014200153046429</v>
      </c>
      <c r="AE96" s="586">
        <f t="shared" si="75"/>
        <v>5.3260435010544893E-2</v>
      </c>
      <c r="AF96" s="580" t="str">
        <f t="shared" si="91"/>
        <v>0.854050880248662-0.861458983544568i</v>
      </c>
      <c r="AG96" s="270">
        <f t="shared" si="92"/>
        <v>1.213059968172701</v>
      </c>
      <c r="AH96" s="581">
        <f t="shared" si="93"/>
        <v>-0.789716446494791</v>
      </c>
      <c r="AI96" s="582" t="str">
        <f t="shared" si="76"/>
        <v>4000</v>
      </c>
      <c r="AJ96" s="584" t="str">
        <f t="shared" si="94"/>
        <v>1+577.628415027729i</v>
      </c>
      <c r="AK96" s="585">
        <f t="shared" si="95"/>
        <v>577.62928063546644</v>
      </c>
      <c r="AL96" s="586">
        <f t="shared" si="96"/>
        <v>1.5690651117525816</v>
      </c>
      <c r="AM96" s="273" t="str">
        <f t="shared" si="97"/>
        <v>1+0.0202162869559271i</v>
      </c>
      <c r="AN96" s="585">
        <f t="shared" si="98"/>
        <v>1.0002043282541244</v>
      </c>
      <c r="AO96" s="586">
        <f t="shared" si="99"/>
        <v>2.0213533510669918E-2</v>
      </c>
      <c r="AP96" s="584" t="str">
        <f t="shared" si="100"/>
        <v>1+0.000146260189221344i</v>
      </c>
      <c r="AQ96" s="585">
        <f t="shared" si="101"/>
        <v>1.0000000106960214</v>
      </c>
      <c r="AR96" s="586">
        <f t="shared" si="102"/>
        <v>1.4626018817840927E-4</v>
      </c>
      <c r="AS96" s="580" t="str">
        <f t="shared" si="103"/>
        <v>0.15097029358917-6.92462605271556i</v>
      </c>
      <c r="AT96" s="270">
        <f t="shared" si="104"/>
        <v>6.9262715799695203</v>
      </c>
      <c r="AU96" s="581">
        <f t="shared" si="105"/>
        <v>-1.54899783843009</v>
      </c>
      <c r="AV96" s="580" t="str">
        <f t="shared" si="106"/>
        <v>0.242949845973976-1.10458491966349i</v>
      </c>
      <c r="AW96" s="270">
        <f t="shared" si="107"/>
        <v>1.0691552419408294</v>
      </c>
      <c r="AX96" s="581">
        <f t="shared" si="108"/>
        <v>-77.595492505419273</v>
      </c>
      <c r="AY96" s="299">
        <f t="shared" si="77"/>
        <v>102.40450749458073</v>
      </c>
      <c r="BB96" s="270">
        <f t="shared" si="111"/>
        <v>-23.190009674241715</v>
      </c>
      <c r="BC96" s="270">
        <f t="shared" si="112"/>
        <v>-88.751038616931552</v>
      </c>
      <c r="BD96" s="286"/>
      <c r="BE96" s="270">
        <f t="shared" si="109"/>
        <v>24.259164916182549</v>
      </c>
      <c r="BF96" s="581">
        <f t="shared" si="110"/>
        <v>11.155546111512283</v>
      </c>
      <c r="BI96" s="286"/>
      <c r="BJ96" s="286"/>
      <c r="BL96" s="253">
        <f t="shared" si="78"/>
        <v>0</v>
      </c>
      <c r="BM96" s="253">
        <f t="shared" si="113"/>
        <v>0</v>
      </c>
      <c r="BN96" s="253">
        <f t="shared" si="80"/>
        <v>0</v>
      </c>
      <c r="BO96" s="253">
        <f t="shared" si="81"/>
        <v>0</v>
      </c>
    </row>
    <row r="97" spans="4:67" ht="13.6" thickBot="1" x14ac:dyDescent="0.25">
      <c r="D97" s="280">
        <v>2290.9</v>
      </c>
      <c r="E97" s="273" t="str">
        <f t="shared" si="59"/>
        <v>0.0259094685963919i</v>
      </c>
      <c r="F97" s="579" t="str">
        <f t="shared" si="82"/>
        <v>0.002-1.06881033045055i</v>
      </c>
      <c r="G97" s="270" t="str">
        <f t="shared" si="83"/>
        <v>0.002-1.06881033045055i</v>
      </c>
      <c r="H97" s="271" t="str">
        <f t="shared" si="84"/>
        <v>0.445157087568251-0.830085997519917i</v>
      </c>
      <c r="I97" s="271" t="str">
        <f t="shared" si="85"/>
        <v>0.455157087568251-0.830085997519917i</v>
      </c>
      <c r="J97" s="270" t="str">
        <f t="shared" si="86"/>
        <v>0.136768761890424-0.499668660166791i</v>
      </c>
      <c r="K97" s="271" t="str">
        <f t="shared" si="60"/>
        <v>0.999867472467614-0.0180831020354494i</v>
      </c>
      <c r="L97" s="580"/>
      <c r="M97" s="580" t="str">
        <f t="shared" si="61"/>
        <v>27.0477428484072+57.2320501458661i</v>
      </c>
      <c r="N97" s="270" t="str">
        <f t="shared" si="62"/>
        <v>13.6191404696387+42.9240376093996i</v>
      </c>
      <c r="O97" s="581" t="str">
        <f t="shared" si="63"/>
        <v>12.7040985691671+21.1160155558934i</v>
      </c>
      <c r="P97" s="582" t="str">
        <f t="shared" si="64"/>
        <v>23.3104693412819-0.934390191912112i</v>
      </c>
      <c r="Q97" s="583" t="str">
        <f t="shared" si="65"/>
        <v>23.1834283555903-1.14555034747103i</v>
      </c>
      <c r="R97" s="581" t="str">
        <f t="shared" si="87"/>
        <v>1.25724131207438+2.54032566473619i</v>
      </c>
      <c r="S97" s="253" t="str">
        <f t="shared" si="88"/>
        <v>41.0464951626339+12.024468456874i</v>
      </c>
      <c r="T97" s="253" t="str">
        <f t="shared" si="89"/>
        <v>16.3671493109356+3.06025361312487i</v>
      </c>
      <c r="U97" s="253" t="str">
        <f t="shared" si="90"/>
        <v>9.82622619216548-12.2238478766865i</v>
      </c>
      <c r="V97" s="582" t="str">
        <f t="shared" si="66"/>
        <v>6000</v>
      </c>
      <c r="W97" s="584" t="str">
        <f t="shared" si="67"/>
        <v>1+8061.93267185643i</v>
      </c>
      <c r="X97" s="585">
        <f t="shared" si="68"/>
        <v>8061.9327338762978</v>
      </c>
      <c r="Y97" s="586">
        <f t="shared" si="69"/>
        <v>1.570672287059566</v>
      </c>
      <c r="Z97" s="273" t="str">
        <f t="shared" si="70"/>
        <v>1+1.20910853449829i</v>
      </c>
      <c r="AA97" s="585">
        <f t="shared" si="71"/>
        <v>1.5690581404768285</v>
      </c>
      <c r="AB97" s="586">
        <f t="shared" si="72"/>
        <v>0.87977439160666748</v>
      </c>
      <c r="AC97" s="584" t="str">
        <f t="shared" si="73"/>
        <v>1+0.0584549051111126i</v>
      </c>
      <c r="AD97" s="585">
        <f t="shared" si="74"/>
        <v>1.0017070309883769</v>
      </c>
      <c r="AE97" s="586">
        <f t="shared" si="75"/>
        <v>5.8388461611563941E-2</v>
      </c>
      <c r="AF97" s="580" t="str">
        <f t="shared" si="91"/>
        <v>0.853542925277454-0.794020556038212i</v>
      </c>
      <c r="AG97" s="270">
        <f t="shared" si="92"/>
        <v>1.1657633416360391</v>
      </c>
      <c r="AH97" s="581">
        <f t="shared" si="93"/>
        <v>-0.74928635706446234</v>
      </c>
      <c r="AI97" s="582" t="str">
        <f t="shared" si="76"/>
        <v>4000</v>
      </c>
      <c r="AJ97" s="584" t="str">
        <f t="shared" si="94"/>
        <v>1+633.364732679378i</v>
      </c>
      <c r="AK97" s="585">
        <f t="shared" si="95"/>
        <v>633.36552211343167</v>
      </c>
      <c r="AL97" s="586">
        <f t="shared" si="96"/>
        <v>1.5692174590154604</v>
      </c>
      <c r="AM97" s="273" t="str">
        <f t="shared" si="97"/>
        <v>1+0.0221669897991353i</v>
      </c>
      <c r="AN97" s="585">
        <f t="shared" si="98"/>
        <v>1.0002456575445628</v>
      </c>
      <c r="AO97" s="586">
        <f t="shared" si="99"/>
        <v>2.2163360097771513E-2</v>
      </c>
      <c r="AP97" s="584" t="str">
        <f t="shared" si="100"/>
        <v>1+0.000160373075904454i</v>
      </c>
      <c r="AQ97" s="585">
        <f t="shared" si="101"/>
        <v>1.0000000128597617</v>
      </c>
      <c r="AR97" s="586">
        <f t="shared" si="102"/>
        <v>1.6037307452954766E-4</v>
      </c>
      <c r="AS97" s="580" t="str">
        <f t="shared" si="103"/>
        <v>0.14895323853399-6.3152634768838i</v>
      </c>
      <c r="AT97" s="270">
        <f t="shared" si="104"/>
        <v>6.3170198551003631</v>
      </c>
      <c r="AU97" s="581">
        <f t="shared" si="105"/>
        <v>-1.5472144719922185</v>
      </c>
      <c r="AV97" s="580" t="str">
        <f t="shared" si="106"/>
        <v>0.217642477684024-1.02907025577645i</v>
      </c>
      <c r="AW97" s="270">
        <f t="shared" si="107"/>
        <v>0.43894047338946834</v>
      </c>
      <c r="AX97" s="581">
        <f t="shared" si="108"/>
        <v>-78.058245564181348</v>
      </c>
      <c r="AY97" s="299">
        <f t="shared" si="77"/>
        <v>101.94175443581865</v>
      </c>
      <c r="BB97" s="270">
        <f t="shared" si="111"/>
        <v>-23.989755161346533</v>
      </c>
      <c r="BC97" s="270">
        <f t="shared" si="112"/>
        <v>-88.648859246716242</v>
      </c>
      <c r="BD97" s="286"/>
      <c r="BE97" s="270">
        <f t="shared" si="109"/>
        <v>24.428695634736016</v>
      </c>
      <c r="BF97" s="581">
        <f t="shared" si="110"/>
        <v>10.590613682534867</v>
      </c>
      <c r="BI97" s="286"/>
      <c r="BJ97" s="286"/>
      <c r="BL97" s="253">
        <f t="shared" si="78"/>
        <v>2290.9</v>
      </c>
      <c r="BM97" s="253">
        <f t="shared" si="113"/>
        <v>101.94175443581865</v>
      </c>
      <c r="BN97" s="253">
        <f t="shared" si="80"/>
        <v>0</v>
      </c>
      <c r="BO97" s="253">
        <f t="shared" si="81"/>
        <v>0</v>
      </c>
    </row>
    <row r="98" spans="4:67" ht="13.6" thickBot="1" x14ac:dyDescent="0.25">
      <c r="D98" s="280">
        <v>2511.9</v>
      </c>
      <c r="E98" s="273" t="str">
        <f t="shared" si="59"/>
        <v>0.0284089197115879i</v>
      </c>
      <c r="F98" s="579" t="str">
        <f t="shared" si="82"/>
        <v>0.002-0.974775104912278i</v>
      </c>
      <c r="G98" s="270" t="str">
        <f t="shared" si="83"/>
        <v>0.002-0.974775104912278i</v>
      </c>
      <c r="H98" s="271" t="str">
        <f t="shared" si="84"/>
        <v>0.384894652258457-0.786395846548025i</v>
      </c>
      <c r="I98" s="271" t="str">
        <f t="shared" si="85"/>
        <v>0.394894652258457-0.786395846548025i</v>
      </c>
      <c r="J98" s="270" t="str">
        <f t="shared" si="86"/>
        <v>0.115601455748142-0.460858671001615i</v>
      </c>
      <c r="K98" s="271" t="str">
        <f t="shared" si="60"/>
        <v>0.999840669639403-0.0198275542375683i</v>
      </c>
      <c r="L98" s="580"/>
      <c r="M98" s="580" t="str">
        <f t="shared" si="61"/>
        <v>27.9940477680755+63.9347126397035i</v>
      </c>
      <c r="N98" s="270" t="str">
        <f t="shared" si="62"/>
        <v>14.3288691593899+47.9510344797776i</v>
      </c>
      <c r="O98" s="581" t="str">
        <f t="shared" si="63"/>
        <v>13.1910588470614+23.5835548250055i</v>
      </c>
      <c r="P98" s="582" t="str">
        <f t="shared" si="64"/>
        <v>23.755088157553-1.06037420726082i</v>
      </c>
      <c r="Q98" s="583" t="str">
        <f t="shared" si="65"/>
        <v>23.6231775690825-1.29620975551092i</v>
      </c>
      <c r="R98" s="581" t="str">
        <f t="shared" si="87"/>
        <v>1.30999365749847+2.83736812663986i</v>
      </c>
      <c r="S98" s="253" t="str">
        <f t="shared" si="88"/>
        <v>42.2074787003397+11.7081626923209i</v>
      </c>
      <c r="T98" s="253" t="str">
        <f t="shared" si="89"/>
        <v>16.7041828021482+2.92449039031188i</v>
      </c>
      <c r="U98" s="253" t="str">
        <f t="shared" si="90"/>
        <v>8.72915772710538-12.010479263776i</v>
      </c>
      <c r="V98" s="582" t="str">
        <f t="shared" si="66"/>
        <v>6000</v>
      </c>
      <c r="W98" s="584" t="str">
        <f t="shared" si="67"/>
        <v>1+8839.65632652503i</v>
      </c>
      <c r="X98" s="585">
        <f t="shared" si="68"/>
        <v>8839.6563830883151</v>
      </c>
      <c r="Y98" s="586">
        <f t="shared" si="69"/>
        <v>1.5706832002254016</v>
      </c>
      <c r="Z98" s="273" t="str">
        <f t="shared" si="70"/>
        <v>1+1.32574958654077i</v>
      </c>
      <c r="AA98" s="585">
        <f t="shared" si="71"/>
        <v>1.6606059033416154</v>
      </c>
      <c r="AB98" s="586">
        <f t="shared" si="72"/>
        <v>0.92455510142100461</v>
      </c>
      <c r="AC98" s="584" t="str">
        <f t="shared" si="73"/>
        <v>1+0.0640939701203037i</v>
      </c>
      <c r="AD98" s="585">
        <f t="shared" si="74"/>
        <v>1.0020519133287369</v>
      </c>
      <c r="AE98" s="586">
        <f t="shared" si="75"/>
        <v>6.400641901673769E-2</v>
      </c>
      <c r="AF98" s="580" t="str">
        <f t="shared" si="91"/>
        <v>0.852940024530522-0.7333259249835i</v>
      </c>
      <c r="AG98" s="270">
        <f t="shared" si="92"/>
        <v>1.1248438103572573</v>
      </c>
      <c r="AH98" s="581">
        <f t="shared" si="93"/>
        <v>-0.71013451782113457</v>
      </c>
      <c r="AI98" s="582" t="str">
        <f t="shared" si="76"/>
        <v>4000</v>
      </c>
      <c r="AJ98" s="584" t="str">
        <f t="shared" si="94"/>
        <v>1+694.46456502568i</v>
      </c>
      <c r="AK98" s="585">
        <f t="shared" si="95"/>
        <v>694.4652850044464</v>
      </c>
      <c r="AL98" s="586">
        <f t="shared" si="96"/>
        <v>1.5693563695109654</v>
      </c>
      <c r="AM98" s="273" t="str">
        <f t="shared" si="97"/>
        <v>1+0.0243054090865808i</v>
      </c>
      <c r="AN98" s="585">
        <f t="shared" si="98"/>
        <v>1.0002953328446884</v>
      </c>
      <c r="AO98" s="586">
        <f t="shared" si="99"/>
        <v>2.4300624618606808E-2</v>
      </c>
      <c r="AP98" s="584" t="str">
        <f t="shared" si="100"/>
        <v>1+0.000175844047913221i</v>
      </c>
      <c r="AQ98" s="585">
        <f t="shared" si="101"/>
        <v>1.0000000154605644</v>
      </c>
      <c r="AR98" s="586">
        <f t="shared" si="102"/>
        <v>1.7584404610078886E-4</v>
      </c>
      <c r="AS98" s="580" t="str">
        <f t="shared" si="103"/>
        <v>0.147275912704279-5.7596454847202i</v>
      </c>
      <c r="AT98" s="270">
        <f t="shared" si="104"/>
        <v>5.7615281223058057</v>
      </c>
      <c r="AU98" s="581">
        <f t="shared" si="105"/>
        <v>-1.5452315889384594</v>
      </c>
      <c r="AV98" s="580" t="str">
        <f t="shared" si="106"/>
        <v>0.193041516398329-0.957794640609056i</v>
      </c>
      <c r="AW98" s="270">
        <f t="shared" si="107"/>
        <v>-0.20162373793281216</v>
      </c>
      <c r="AX98" s="581">
        <f t="shared" si="108"/>
        <v>-78.6048148791145</v>
      </c>
      <c r="AY98" s="299">
        <f t="shared" si="77"/>
        <v>101.3951851208855</v>
      </c>
      <c r="BB98" s="270">
        <f t="shared" si="111"/>
        <v>-24.789246279219324</v>
      </c>
      <c r="BC98" s="270">
        <f t="shared" si="112"/>
        <v>-88.535248416467823</v>
      </c>
      <c r="BD98" s="286"/>
      <c r="BE98" s="270">
        <f t="shared" si="109"/>
        <v>24.587622541286514</v>
      </c>
      <c r="BF98" s="581">
        <f t="shared" si="110"/>
        <v>9.9304335373533359</v>
      </c>
      <c r="BI98" s="286"/>
      <c r="BJ98" s="286"/>
      <c r="BL98" s="253">
        <f t="shared" si="78"/>
        <v>0</v>
      </c>
      <c r="BM98" s="253">
        <f t="shared" si="113"/>
        <v>0</v>
      </c>
      <c r="BN98" s="253">
        <f t="shared" si="80"/>
        <v>0</v>
      </c>
      <c r="BO98" s="253">
        <f t="shared" si="81"/>
        <v>0</v>
      </c>
    </row>
    <row r="99" spans="4:67" ht="13.6" thickBot="1" x14ac:dyDescent="0.25">
      <c r="D99" s="280">
        <v>2754.2</v>
      </c>
      <c r="E99" s="273" t="str">
        <f t="shared" si="59"/>
        <v>0.0311492681514612i</v>
      </c>
      <c r="F99" s="579" t="str">
        <f t="shared" si="82"/>
        <v>0.002-0.889019528730361i</v>
      </c>
      <c r="G99" s="270" t="str">
        <f t="shared" si="83"/>
        <v>0.002-0.889019528730361i</v>
      </c>
      <c r="H99" s="271" t="str">
        <f t="shared" si="84"/>
        <v>0.331096361427464-0.741102860269801i</v>
      </c>
      <c r="I99" s="271" t="str">
        <f t="shared" si="85"/>
        <v>0.341096361427464-0.741102860269801i</v>
      </c>
      <c r="J99" s="270" t="str">
        <f t="shared" si="86"/>
        <v>0.0976283271173869-0.424304734005518i</v>
      </c>
      <c r="K99" s="271" t="str">
        <f t="shared" si="60"/>
        <v>0.999808448836141-0.0217401369007965i</v>
      </c>
      <c r="L99" s="580"/>
      <c r="M99" s="580" t="str">
        <f t="shared" si="61"/>
        <v>29.2033373587662+71.7244567229992i</v>
      </c>
      <c r="N99" s="270" t="str">
        <f t="shared" si="62"/>
        <v>15.235836352408+53.7933425422494i</v>
      </c>
      <c r="O99" s="581" t="str">
        <f t="shared" si="63"/>
        <v>13.8100279794521+26.4493228535619i</v>
      </c>
      <c r="P99" s="582" t="str">
        <f t="shared" si="64"/>
        <v>24.3122191139767-1.21288344840771i</v>
      </c>
      <c r="Q99" s="583" t="str">
        <f t="shared" si="65"/>
        <v>24.1741188341822-1.47737667694332i</v>
      </c>
      <c r="R99" s="581" t="str">
        <f t="shared" si="87"/>
        <v>1.37714659736089+3.18242043456114i</v>
      </c>
      <c r="S99" s="253" t="str">
        <f t="shared" si="88"/>
        <v>43.3190110140118+11.2870957734065i</v>
      </c>
      <c r="T99" s="253" t="str">
        <f t="shared" si="89"/>
        <v>17.0263906324623+2.75396600700638i</v>
      </c>
      <c r="U99" s="253" t="str">
        <f t="shared" si="90"/>
        <v>7.67834807152914-11.706478673374i</v>
      </c>
      <c r="V99" s="582" t="str">
        <f t="shared" si="66"/>
        <v>6000</v>
      </c>
      <c r="W99" s="584" t="str">
        <f t="shared" si="67"/>
        <v>1+9692.3370574128i</v>
      </c>
      <c r="X99" s="585">
        <f t="shared" si="68"/>
        <v>9692.3371089999455</v>
      </c>
      <c r="Y99" s="586">
        <f t="shared" si="69"/>
        <v>1.5706931525046788</v>
      </c>
      <c r="Z99" s="273" t="str">
        <f t="shared" si="70"/>
        <v>1+1.45363251373486i</v>
      </c>
      <c r="AA99" s="585">
        <f t="shared" si="71"/>
        <v>1.7643830323903955</v>
      </c>
      <c r="AB99" s="586">
        <f t="shared" si="72"/>
        <v>0.96821584289976126</v>
      </c>
      <c r="AC99" s="584" t="str">
        <f t="shared" si="73"/>
        <v>1+0.0702765287254032i</v>
      </c>
      <c r="AD99" s="585">
        <f t="shared" si="74"/>
        <v>1.0024663537943268</v>
      </c>
      <c r="AE99" s="586">
        <f t="shared" si="75"/>
        <v>7.0161176668832356E-2</v>
      </c>
      <c r="AF99" s="580" t="str">
        <f t="shared" si="91"/>
        <v>0.852222073169142-0.678844102985958i</v>
      </c>
      <c r="AG99" s="270">
        <f t="shared" si="92"/>
        <v>1.0895465929254795</v>
      </c>
      <c r="AH99" s="581">
        <f t="shared" si="93"/>
        <v>-0.672638486273751</v>
      </c>
      <c r="AI99" s="582" t="str">
        <f t="shared" si="76"/>
        <v>4000</v>
      </c>
      <c r="AJ99" s="584" t="str">
        <f t="shared" si="94"/>
        <v>1+761.453204742915i</v>
      </c>
      <c r="AK99" s="585">
        <f t="shared" si="95"/>
        <v>761.4538613818014</v>
      </c>
      <c r="AL99" s="586">
        <f t="shared" si="96"/>
        <v>1.5694830492108351</v>
      </c>
      <c r="AM99" s="273" t="str">
        <f t="shared" si="97"/>
        <v>1+0.0266499294184724i</v>
      </c>
      <c r="AN99" s="585">
        <f t="shared" si="98"/>
        <v>1.000355046340053</v>
      </c>
      <c r="AO99" s="586">
        <f t="shared" si="99"/>
        <v>2.6643623012531075E-2</v>
      </c>
      <c r="AP99" s="584" t="str">
        <f t="shared" si="100"/>
        <v>1+0.000192806113604281i</v>
      </c>
      <c r="AQ99" s="585">
        <f t="shared" si="101"/>
        <v>1.0000000185870985</v>
      </c>
      <c r="AR99" s="586">
        <f t="shared" si="102"/>
        <v>1.9280611121514352E-4</v>
      </c>
      <c r="AS99" s="580" t="str">
        <f t="shared" si="103"/>
        <v>0.145880846208558-5.25294857073188i</v>
      </c>
      <c r="AT99" s="270">
        <f t="shared" si="104"/>
        <v>5.2549738256288796</v>
      </c>
      <c r="AU99" s="581">
        <f t="shared" si="105"/>
        <v>-1.5430322323095194</v>
      </c>
      <c r="AV99" s="580" t="str">
        <f t="shared" si="106"/>
        <v>0.169502660736894-0.890370034459838i</v>
      </c>
      <c r="AW99" s="270">
        <f t="shared" si="107"/>
        <v>-0.85397745160060834</v>
      </c>
      <c r="AX99" s="581">
        <f t="shared" si="108"/>
        <v>-79.221392334536489</v>
      </c>
      <c r="AY99" s="299">
        <f t="shared" si="77"/>
        <v>100.77860766546351</v>
      </c>
      <c r="BB99" s="270">
        <f t="shared" si="111"/>
        <v>-25.588588855943151</v>
      </c>
      <c r="BC99" s="270">
        <f t="shared" si="112"/>
        <v>-88.409234563985436</v>
      </c>
      <c r="BD99" s="286"/>
      <c r="BE99" s="270">
        <f t="shared" si="109"/>
        <v>24.734611404342544</v>
      </c>
      <c r="BF99" s="581">
        <f t="shared" si="110"/>
        <v>9.1878422294489557</v>
      </c>
      <c r="BI99" s="286"/>
      <c r="BJ99" s="286"/>
      <c r="BL99" s="253">
        <f t="shared" si="78"/>
        <v>0</v>
      </c>
      <c r="BM99" s="253">
        <f t="shared" si="113"/>
        <v>0</v>
      </c>
      <c r="BN99" s="253">
        <f t="shared" si="80"/>
        <v>0</v>
      </c>
      <c r="BO99" s="253">
        <f t="shared" si="81"/>
        <v>0</v>
      </c>
    </row>
    <row r="100" spans="4:67" ht="13.6" thickBot="1" x14ac:dyDescent="0.25">
      <c r="D100" s="280">
        <v>3020</v>
      </c>
      <c r="E100" s="273" t="str">
        <f t="shared" si="59"/>
        <v>0.0341553953298282i</v>
      </c>
      <c r="F100" s="579" t="str">
        <f t="shared" si="82"/>
        <v>0.002-0.810774035108995i</v>
      </c>
      <c r="G100" s="270" t="str">
        <f t="shared" si="83"/>
        <v>0.002-0.810774035108995i</v>
      </c>
      <c r="H100" s="271" t="str">
        <f t="shared" si="84"/>
        <v>0.283518846794989-0.695144031354928i</v>
      </c>
      <c r="I100" s="271" t="str">
        <f t="shared" si="85"/>
        <v>0.293518846794989-0.695144031354928i</v>
      </c>
      <c r="J100" s="270" t="str">
        <f t="shared" si="86"/>
        <v>0.0824101642734508-0.390042103472118i</v>
      </c>
      <c r="K100" s="271" t="str">
        <f t="shared" si="60"/>
        <v>0.999769692684528-0.0238382156126663i</v>
      </c>
      <c r="L100" s="580"/>
      <c r="M100" s="580" t="str">
        <f t="shared" si="61"/>
        <v>30.7716653797194+80.8969024952466i</v>
      </c>
      <c r="N100" s="270" t="str">
        <f t="shared" si="62"/>
        <v>16.4120823681229+60.6726768714349i</v>
      </c>
      <c r="O100" s="581" t="str">
        <f t="shared" si="63"/>
        <v>14.6075581325349+29.8209095693267i</v>
      </c>
      <c r="P100" s="582" t="str">
        <f t="shared" si="64"/>
        <v>25.017420914245-1.40135786133537i</v>
      </c>
      <c r="Q100" s="583" t="str">
        <f t="shared" si="65"/>
        <v>24.8713453329196-1.69956695702862i</v>
      </c>
      <c r="R100" s="581" t="str">
        <f t="shared" si="87"/>
        <v>1.4638298023319+3.58848027467806i</v>
      </c>
      <c r="S100" s="253" t="str">
        <f t="shared" si="88"/>
        <v>44.3670881766204+10.7723808741043i</v>
      </c>
      <c r="T100" s="253" t="str">
        <f t="shared" si="89"/>
        <v>17.3296042934326+2.55149646396302i</v>
      </c>
      <c r="U100" s="253" t="str">
        <f t="shared" si="90"/>
        <v>6.6869269626346-11.3231736552581i</v>
      </c>
      <c r="V100" s="582" t="str">
        <f t="shared" si="66"/>
        <v>6000</v>
      </c>
      <c r="W100" s="584" t="str">
        <f t="shared" si="67"/>
        <v>1+10627.7169099508i</v>
      </c>
      <c r="X100" s="585">
        <f t="shared" si="68"/>
        <v>10627.71695699759</v>
      </c>
      <c r="Y100" s="586">
        <f t="shared" si="69"/>
        <v>1.5707022332087086</v>
      </c>
      <c r="Z100" s="273" t="str">
        <f t="shared" si="70"/>
        <v>1+1.59391844872531i</v>
      </c>
      <c r="AA100" s="585">
        <f t="shared" si="71"/>
        <v>1.881641841899488</v>
      </c>
      <c r="AB100" s="586">
        <f t="shared" si="72"/>
        <v>1.0104840301422962</v>
      </c>
      <c r="AC100" s="584" t="str">
        <f t="shared" si="73"/>
        <v>1+0.0770587164151904i</v>
      </c>
      <c r="AD100" s="585">
        <f t="shared" si="74"/>
        <v>1.0029646283770712</v>
      </c>
      <c r="AE100" s="586">
        <f t="shared" si="75"/>
        <v>7.6906731483088006E-2</v>
      </c>
      <c r="AF100" s="580" t="str">
        <f t="shared" si="91"/>
        <v>0.851364829655922-0.630081923244096i</v>
      </c>
      <c r="AG100" s="270">
        <f t="shared" si="92"/>
        <v>1.0591625480416289</v>
      </c>
      <c r="AH100" s="581">
        <f t="shared" si="93"/>
        <v>-0.63712493454950103</v>
      </c>
      <c r="AI100" s="582" t="str">
        <f t="shared" si="76"/>
        <v>4000</v>
      </c>
      <c r="AJ100" s="584" t="str">
        <f t="shared" si="94"/>
        <v>1+834.938885456248i</v>
      </c>
      <c r="AK100" s="585">
        <f t="shared" si="95"/>
        <v>834.93948430225885</v>
      </c>
      <c r="AL100" s="586">
        <f t="shared" si="96"/>
        <v>1.5695986349167681</v>
      </c>
      <c r="AM100" s="273" t="str">
        <f t="shared" si="97"/>
        <v>1+0.0292218382266308i</v>
      </c>
      <c r="AN100" s="585">
        <f t="shared" si="98"/>
        <v>1.0004268668070362</v>
      </c>
      <c r="AO100" s="586">
        <f t="shared" si="99"/>
        <v>2.9213524822175829E-2</v>
      </c>
      <c r="AP100" s="584" t="str">
        <f t="shared" si="100"/>
        <v>1+0.000211413282653739i</v>
      </c>
      <c r="AQ100" s="585">
        <f t="shared" si="101"/>
        <v>1.0000000223477878</v>
      </c>
      <c r="AR100" s="586">
        <f t="shared" si="102"/>
        <v>2.1141327950399292E-4</v>
      </c>
      <c r="AS100" s="580" t="str">
        <f t="shared" si="103"/>
        <v>0.144719958011383-4.79062585594136i</v>
      </c>
      <c r="AT100" s="270">
        <f t="shared" si="104"/>
        <v>4.7928112791826782</v>
      </c>
      <c r="AU100" s="581">
        <f t="shared" si="105"/>
        <v>-1.5405965233740961</v>
      </c>
      <c r="AV100" s="580" t="str">
        <f t="shared" si="106"/>
        <v>0.147312045373036-0.826503979402197i</v>
      </c>
      <c r="AW100" s="270">
        <f t="shared" si="107"/>
        <v>-1.5192814807381418</v>
      </c>
      <c r="AX100" s="581">
        <f t="shared" si="108"/>
        <v>-79.894002400115042</v>
      </c>
      <c r="AY100" s="299">
        <f t="shared" si="77"/>
        <v>100.10599759988496</v>
      </c>
      <c r="BB100" s="270">
        <f t="shared" si="111"/>
        <v>-26.388193427354686</v>
      </c>
      <c r="BC100" s="270">
        <f t="shared" si="112"/>
        <v>-88.269678721863386</v>
      </c>
      <c r="BD100" s="286"/>
      <c r="BE100" s="270">
        <f t="shared" si="109"/>
        <v>24.868911946616549</v>
      </c>
      <c r="BF100" s="581">
        <f t="shared" si="110"/>
        <v>8.3756763217483847</v>
      </c>
      <c r="BI100" s="286"/>
      <c r="BJ100" s="286"/>
      <c r="BL100" s="253">
        <f t="shared" si="78"/>
        <v>0</v>
      </c>
      <c r="BM100" s="253">
        <f t="shared" si="113"/>
        <v>0</v>
      </c>
      <c r="BN100" s="253">
        <f t="shared" si="80"/>
        <v>0</v>
      </c>
      <c r="BO100" s="253">
        <f t="shared" si="81"/>
        <v>0</v>
      </c>
    </row>
    <row r="101" spans="4:67" ht="13.6" thickBot="1" x14ac:dyDescent="0.25">
      <c r="D101" s="280">
        <v>3311.3</v>
      </c>
      <c r="E101" s="273" t="str">
        <f t="shared" si="59"/>
        <v>0.0374499207137948i</v>
      </c>
      <c r="F101" s="579" t="str">
        <f t="shared" si="82"/>
        <v>0.002-0.739449033922981i</v>
      </c>
      <c r="G101" s="270" t="str">
        <f t="shared" si="83"/>
        <v>0.002-0.739449033922981i</v>
      </c>
      <c r="H101" s="271" t="str">
        <f t="shared" si="84"/>
        <v>0.241850451923928-0.649381610797692i</v>
      </c>
      <c r="I101" s="271" t="str">
        <f t="shared" si="85"/>
        <v>0.251850451923928-0.649381610797692i</v>
      </c>
      <c r="J101" s="270" t="str">
        <f t="shared" si="86"/>
        <v>0.0695730338606834-0.35810129321789i</v>
      </c>
      <c r="K101" s="271" t="str">
        <f t="shared" si="60"/>
        <v>0.99972312043408-0.0261375772709344i</v>
      </c>
      <c r="L101" s="580"/>
      <c r="M101" s="580" t="str">
        <f t="shared" si="61"/>
        <v>32.8405241610804+91.85551815562i</v>
      </c>
      <c r="N101" s="270" t="str">
        <f t="shared" si="62"/>
        <v>17.9637264541436+68.891638616715i</v>
      </c>
      <c r="O101" s="581" t="str">
        <f t="shared" si="63"/>
        <v>15.6512925109737+33.8447999941411i</v>
      </c>
      <c r="P101" s="582" t="str">
        <f t="shared" si="64"/>
        <v>25.9199758294034-1.63983336804257i</v>
      </c>
      <c r="Q101" s="583" t="str">
        <f t="shared" si="65"/>
        <v>25.7634629042936-1.97828136798397i</v>
      </c>
      <c r="R101" s="581" t="str">
        <f t="shared" si="87"/>
        <v>1.57752676955644+4.07325847204075i</v>
      </c>
      <c r="S101" s="253" t="str">
        <f t="shared" si="88"/>
        <v>45.3397284547548+10.1779615113908i</v>
      </c>
      <c r="T101" s="253" t="str">
        <f t="shared" si="89"/>
        <v>17.6102339945371+2.32076459365586i</v>
      </c>
      <c r="U101" s="253" t="str">
        <f t="shared" si="90"/>
        <v>5.76610490017539-10.874484152112i</v>
      </c>
      <c r="V101" s="582" t="str">
        <f t="shared" si="66"/>
        <v>6000</v>
      </c>
      <c r="W101" s="584" t="str">
        <f t="shared" si="67"/>
        <v>1+11652.8341072584i</v>
      </c>
      <c r="X101" s="585">
        <f t="shared" si="68"/>
        <v>11652.834150166416</v>
      </c>
      <c r="Y101" s="586">
        <f t="shared" si="69"/>
        <v>1.5707105107617891</v>
      </c>
      <c r="Z101" s="273" t="str">
        <f t="shared" si="70"/>
        <v>1+1.74766296664376i</v>
      </c>
      <c r="AA101" s="585">
        <f t="shared" si="71"/>
        <v>2.0135356577369241</v>
      </c>
      <c r="AB101" s="586">
        <f t="shared" si="72"/>
        <v>1.0510743631424315</v>
      </c>
      <c r="AC101" s="584" t="str">
        <f t="shared" si="73"/>
        <v>1+0.0844915654521924i</v>
      </c>
      <c r="AD101" s="585">
        <f t="shared" si="74"/>
        <v>1.0035630646016034</v>
      </c>
      <c r="AE101" s="586">
        <f t="shared" si="75"/>
        <v>8.4291365447851513E-2</v>
      </c>
      <c r="AF101" s="580" t="str">
        <f t="shared" si="91"/>
        <v>0.850340904398538-0.586665607452004i</v>
      </c>
      <c r="AG101" s="270">
        <f t="shared" si="92"/>
        <v>1.0330809206738611</v>
      </c>
      <c r="AH101" s="581">
        <f t="shared" si="93"/>
        <v>-0.6039275130672096</v>
      </c>
      <c r="AI101" s="582" t="str">
        <f t="shared" si="76"/>
        <v>4000</v>
      </c>
      <c r="AJ101" s="584" t="str">
        <f t="shared" si="94"/>
        <v>1+915.474546824929i</v>
      </c>
      <c r="AK101" s="585">
        <f t="shared" si="95"/>
        <v>915.47509298959585</v>
      </c>
      <c r="AL101" s="586">
        <f t="shared" si="96"/>
        <v>1.5697039975698619</v>
      </c>
      <c r="AM101" s="273" t="str">
        <f t="shared" si="97"/>
        <v>1+0.0320404877218023i</v>
      </c>
      <c r="AN101" s="585">
        <f t="shared" si="98"/>
        <v>1.0005131647576913</v>
      </c>
      <c r="AO101" s="586">
        <f t="shared" si="99"/>
        <v>3.2029530291730397E-2</v>
      </c>
      <c r="AP101" s="584" t="str">
        <f t="shared" si="100"/>
        <v>1+0.000231805563858056i</v>
      </c>
      <c r="AQ101" s="585">
        <f t="shared" si="101"/>
        <v>1.0000000268669094</v>
      </c>
      <c r="AR101" s="586">
        <f t="shared" si="102"/>
        <v>2.3180555970612335E-4</v>
      </c>
      <c r="AS101" s="580" t="str">
        <f t="shared" si="103"/>
        <v>0.143754860338283-4.36919382710156i</v>
      </c>
      <c r="AT101" s="270">
        <f t="shared" si="104"/>
        <v>4.3715580927917745</v>
      </c>
      <c r="AU101" s="581">
        <f t="shared" si="105"/>
        <v>-1.5379062728378377</v>
      </c>
      <c r="AV101" s="580" t="str">
        <f t="shared" si="106"/>
        <v>0.126714270651662-0.766089044727065i</v>
      </c>
      <c r="AW101" s="270">
        <f t="shared" si="107"/>
        <v>-2.1971947060390633</v>
      </c>
      <c r="AX101" s="581">
        <f t="shared" si="108"/>
        <v>-80.608076660355351</v>
      </c>
      <c r="AY101" s="299">
        <f t="shared" si="77"/>
        <v>99.391923339644649</v>
      </c>
      <c r="BB101" s="270">
        <f t="shared" si="111"/>
        <v>-27.187274919633836</v>
      </c>
      <c r="BC101" s="270">
        <f t="shared" si="112"/>
        <v>-88.115538720302965</v>
      </c>
      <c r="BD101" s="286"/>
      <c r="BE101" s="270">
        <f t="shared" si="109"/>
        <v>24.990080213594773</v>
      </c>
      <c r="BF101" s="581">
        <f t="shared" si="110"/>
        <v>7.5074620599476223</v>
      </c>
      <c r="BI101" s="286"/>
      <c r="BJ101" s="286"/>
      <c r="BL101" s="253">
        <f t="shared" si="78"/>
        <v>0</v>
      </c>
      <c r="BM101" s="253">
        <f t="shared" si="113"/>
        <v>0</v>
      </c>
      <c r="BN101" s="253">
        <f t="shared" si="80"/>
        <v>0</v>
      </c>
      <c r="BO101" s="253">
        <f t="shared" si="81"/>
        <v>0</v>
      </c>
    </row>
    <row r="102" spans="4:67" ht="13.6" thickBot="1" x14ac:dyDescent="0.25">
      <c r="D102" s="280">
        <v>3630.8</v>
      </c>
      <c r="E102" s="273" t="str">
        <f t="shared" si="59"/>
        <v>0.0410633805839538i</v>
      </c>
      <c r="F102" s="579" t="str">
        <f t="shared" si="82"/>
        <v>0.002-0.674379637002631i</v>
      </c>
      <c r="G102" s="270" t="str">
        <f t="shared" si="83"/>
        <v>0.002-0.674379637002631i</v>
      </c>
      <c r="H102" s="271" t="str">
        <f t="shared" si="84"/>
        <v>0.205607568364543-0.604446411931363i</v>
      </c>
      <c r="I102" s="271" t="str">
        <f t="shared" si="85"/>
        <v>0.215607568364543-0.604446411931363i</v>
      </c>
      <c r="J102" s="270" t="str">
        <f t="shared" si="86"/>
        <v>0.0587611413455973-0.328412144999484i</v>
      </c>
      <c r="K102" s="271" t="str">
        <f t="shared" si="60"/>
        <v>0.999667111723441-0.0286595341875724i</v>
      </c>
      <c r="L102" s="580"/>
      <c r="M102" s="580" t="str">
        <f t="shared" si="61"/>
        <v>35.6356241360447+105.214027566446i</v>
      </c>
      <c r="N102" s="270" t="str">
        <f t="shared" si="62"/>
        <v>20.0600514353668+78.9105206748345i</v>
      </c>
      <c r="O102" s="581" t="str">
        <f t="shared" si="63"/>
        <v>17.0477621738809+38.743382151028i</v>
      </c>
      <c r="P102" s="582" t="str">
        <f t="shared" si="64"/>
        <v>27.0939248756421-1.95109226166016i</v>
      </c>
      <c r="Q102" s="583" t="str">
        <f t="shared" si="65"/>
        <v>26.9234472539032-2.33852608317042i</v>
      </c>
      <c r="R102" s="581" t="str">
        <f t="shared" si="87"/>
        <v>1.73006778339998+4.66366113668735i</v>
      </c>
      <c r="S102" s="253" t="str">
        <f t="shared" si="88"/>
        <v>46.230520316536+9.51775384294968i</v>
      </c>
      <c r="T102" s="253" t="str">
        <f t="shared" si="89"/>
        <v>17.8662919094569+2.06530941778436i</v>
      </c>
      <c r="U102" s="253" t="str">
        <f t="shared" si="90"/>
        <v>4.92181370230234-10.3745727918785i</v>
      </c>
      <c r="V102" s="582" t="str">
        <f t="shared" si="66"/>
        <v>6000</v>
      </c>
      <c r="W102" s="584" t="str">
        <f t="shared" si="67"/>
        <v>1+12777.1902505462i</v>
      </c>
      <c r="X102" s="585">
        <f t="shared" si="68"/>
        <v>12777.190289678434</v>
      </c>
      <c r="Y102" s="586">
        <f t="shared" si="69"/>
        <v>1.5707180623268602</v>
      </c>
      <c r="Z102" s="273" t="str">
        <f t="shared" si="70"/>
        <v>1+1.91629109391784i</v>
      </c>
      <c r="AA102" s="585">
        <f t="shared" si="71"/>
        <v>2.1615206583858577</v>
      </c>
      <c r="AB102" s="586">
        <f t="shared" si="72"/>
        <v>1.0898286739294403</v>
      </c>
      <c r="AC102" s="584" t="str">
        <f t="shared" si="73"/>
        <v>1+0.092643969390819i</v>
      </c>
      <c r="AD102" s="585">
        <f t="shared" si="74"/>
        <v>1.0042822835560163</v>
      </c>
      <c r="AE102" s="586">
        <f t="shared" si="75"/>
        <v>9.2380274560526152E-2</v>
      </c>
      <c r="AF102" s="580" t="str">
        <f t="shared" si="91"/>
        <v>0.849116023448586-0.54818185772931i</v>
      </c>
      <c r="AG102" s="270">
        <f t="shared" si="92"/>
        <v>1.0106935096361791</v>
      </c>
      <c r="AH102" s="581">
        <f t="shared" si="93"/>
        <v>-0.5732696629579449</v>
      </c>
      <c r="AI102" s="582" t="str">
        <f t="shared" si="76"/>
        <v>4000</v>
      </c>
      <c r="AJ102" s="584" t="str">
        <f t="shared" si="94"/>
        <v>1+1003.80665738892i</v>
      </c>
      <c r="AK102" s="585">
        <f t="shared" si="95"/>
        <v>1003.8071554926856</v>
      </c>
      <c r="AL102" s="586">
        <f t="shared" si="96"/>
        <v>1.5698001193461522</v>
      </c>
      <c r="AM102" s="273" t="str">
        <f t="shared" si="97"/>
        <v>1+0.0351320033884937i</v>
      </c>
      <c r="AN102" s="585">
        <f t="shared" si="98"/>
        <v>1.0006169385244732</v>
      </c>
      <c r="AO102" s="586">
        <f t="shared" si="99"/>
        <v>3.5117560101572819E-2</v>
      </c>
      <c r="AP102" s="584" t="str">
        <f t="shared" si="100"/>
        <v>1+0.000254171969092449i</v>
      </c>
      <c r="AQ102" s="585">
        <f t="shared" si="101"/>
        <v>1.0000000323016944</v>
      </c>
      <c r="AR102" s="586">
        <f t="shared" si="102"/>
        <v>2.541719636189923E-4</v>
      </c>
      <c r="AS102" s="580" t="str">
        <f t="shared" si="103"/>
        <v>0.142951871894122-3.98472402882703i</v>
      </c>
      <c r="AT102" s="270">
        <f t="shared" si="104"/>
        <v>3.9872874016791857</v>
      </c>
      <c r="AU102" s="581">
        <f t="shared" si="105"/>
        <v>-1.5349367312081983</v>
      </c>
      <c r="AV102" s="580" t="str">
        <f t="shared" si="106"/>
        <v>0.107837079362718-0.708970028303381i</v>
      </c>
      <c r="AW102" s="270">
        <f t="shared" si="107"/>
        <v>-2.8881105867253871</v>
      </c>
      <c r="AX102" s="581">
        <f t="shared" si="108"/>
        <v>-81.351381038021998</v>
      </c>
      <c r="AY102" s="299">
        <f t="shared" si="77"/>
        <v>98.648618961978002</v>
      </c>
      <c r="BB102" s="270">
        <f t="shared" si="111"/>
        <v>-27.98644918961201</v>
      </c>
      <c r="BC102" s="270">
        <f t="shared" si="112"/>
        <v>-87.94539651783623</v>
      </c>
      <c r="BD102" s="286"/>
      <c r="BE102" s="270">
        <f t="shared" si="109"/>
        <v>25.098338602886614</v>
      </c>
      <c r="BF102" s="581">
        <f t="shared" si="110"/>
        <v>6.5940154798142201</v>
      </c>
      <c r="BI102" s="286"/>
      <c r="BJ102" s="286"/>
      <c r="BL102" s="253">
        <f t="shared" si="78"/>
        <v>0</v>
      </c>
      <c r="BM102" s="253">
        <f t="shared" si="113"/>
        <v>0</v>
      </c>
      <c r="BN102" s="253">
        <f t="shared" si="80"/>
        <v>0</v>
      </c>
      <c r="BO102" s="253">
        <f t="shared" si="81"/>
        <v>0</v>
      </c>
    </row>
    <row r="103" spans="4:67" ht="13.6" thickBot="1" x14ac:dyDescent="0.25">
      <c r="D103" s="280">
        <v>3981.1</v>
      </c>
      <c r="E103" s="273" t="str">
        <f t="shared" si="59"/>
        <v>0.0450251802475428i</v>
      </c>
      <c r="F103" s="579" t="str">
        <f t="shared" si="82"/>
        <v>0.002-0.615040462693518i</v>
      </c>
      <c r="G103" s="270" t="str">
        <f t="shared" si="83"/>
        <v>0.002-0.615040462693518i</v>
      </c>
      <c r="H103" s="271" t="str">
        <f t="shared" si="84"/>
        <v>0.174306646125399-0.560876765785972i</v>
      </c>
      <c r="I103" s="271" t="str">
        <f t="shared" si="85"/>
        <v>0.184306646125399-0.560876765785972i</v>
      </c>
      <c r="J103" s="270" t="str">
        <f t="shared" si="86"/>
        <v>0.0496767671459205-0.300912679530725i</v>
      </c>
      <c r="K103" s="271" t="str">
        <f t="shared" si="60"/>
        <v>0.999599778863918-0.0314246093296641i</v>
      </c>
      <c r="L103" s="580"/>
      <c r="M103" s="580" t="str">
        <f t="shared" si="61"/>
        <v>39.5262505254366+121.894026153984i</v>
      </c>
      <c r="N103" s="270" t="str">
        <f t="shared" si="62"/>
        <v>22.9780212274107+91.420519615488i</v>
      </c>
      <c r="O103" s="581" t="str">
        <f t="shared" si="63"/>
        <v>18.9684572746505+44.8495215412631i</v>
      </c>
      <c r="P103" s="582" t="str">
        <f t="shared" si="64"/>
        <v>28.6510673315758-2.37290207255638i</v>
      </c>
      <c r="Q103" s="583" t="str">
        <f t="shared" si="65"/>
        <v>28.4613827588292-2.82139728796896i</v>
      </c>
      <c r="R103" s="581" t="str">
        <f t="shared" si="87"/>
        <v>1.94058895134937+5.40000579979306i</v>
      </c>
      <c r="S103" s="253" t="str">
        <f t="shared" si="88"/>
        <v>47.0354924549507+8.80623077629012i</v>
      </c>
      <c r="T103" s="253" t="str">
        <f t="shared" si="89"/>
        <v>18.096483570479+1.78885428589769i</v>
      </c>
      <c r="U103" s="253" t="str">
        <f t="shared" si="90"/>
        <v>4.15766416417026-9.83808798612737i</v>
      </c>
      <c r="V103" s="582" t="str">
        <f t="shared" si="66"/>
        <v>6000</v>
      </c>
      <c r="W103" s="584" t="str">
        <f t="shared" si="67"/>
        <v>1+14009.9350298694i</v>
      </c>
      <c r="X103" s="585">
        <f t="shared" si="68"/>
        <v>14009.93506555836</v>
      </c>
      <c r="Y103" s="586">
        <f t="shared" si="69"/>
        <v>1.5707249488765715</v>
      </c>
      <c r="Z103" s="273" t="str">
        <f t="shared" si="70"/>
        <v>1+2.10117507821867i</v>
      </c>
      <c r="AA103" s="585">
        <f t="shared" si="71"/>
        <v>2.3270016564943039</v>
      </c>
      <c r="AB103" s="586">
        <f t="shared" si="72"/>
        <v>1.126594222708206</v>
      </c>
      <c r="AC103" s="584" t="str">
        <f t="shared" si="73"/>
        <v>1+0.101582270172356i</v>
      </c>
      <c r="AD103" s="585">
        <f t="shared" si="74"/>
        <v>1.005146236929418</v>
      </c>
      <c r="AE103" s="586">
        <f t="shared" si="75"/>
        <v>0.10123500995479166</v>
      </c>
      <c r="AF103" s="580" t="str">
        <f t="shared" si="91"/>
        <v>0.84765085023618-0.514309575684686i</v>
      </c>
      <c r="AG103" s="270">
        <f t="shared" si="92"/>
        <v>0.99147682955633443</v>
      </c>
      <c r="AH103" s="581">
        <f t="shared" si="93"/>
        <v>-0.54536573612315842</v>
      </c>
      <c r="AI103" s="582" t="str">
        <f t="shared" si="76"/>
        <v>4000</v>
      </c>
      <c r="AJ103" s="584" t="str">
        <f t="shared" si="94"/>
        <v>1+1100.65403870526i</v>
      </c>
      <c r="AK103" s="585">
        <f t="shared" si="95"/>
        <v>1100.6544929805175</v>
      </c>
      <c r="AL103" s="586">
        <f t="shared" si="96"/>
        <v>1.5698877763424568</v>
      </c>
      <c r="AM103" s="273" t="str">
        <f t="shared" si="97"/>
        <v>1+0.0385215431006756i</v>
      </c>
      <c r="AN103" s="585">
        <f t="shared" si="98"/>
        <v>1.0007416795971162</v>
      </c>
      <c r="AO103" s="586">
        <f t="shared" si="99"/>
        <v>3.8502505889034637E-2</v>
      </c>
      <c r="AP103" s="584" t="str">
        <f t="shared" si="100"/>
        <v>1+0.000278694509792319i</v>
      </c>
      <c r="AQ103" s="585">
        <f t="shared" si="101"/>
        <v>1.0000000388353141</v>
      </c>
      <c r="AR103" s="586">
        <f t="shared" si="102"/>
        <v>2.7869450257685997E-4</v>
      </c>
      <c r="AS103" s="580" t="str">
        <f t="shared" si="103"/>
        <v>0.142284032262701-3.6341122710615i</v>
      </c>
      <c r="AT103" s="270">
        <f t="shared" si="104"/>
        <v>3.6368965814986698</v>
      </c>
      <c r="AU103" s="581">
        <f t="shared" si="105"/>
        <v>-1.5316639649559989</v>
      </c>
      <c r="AV103" s="580" t="str">
        <f t="shared" si="106"/>
        <v>0.0907573796370522-0.655101276056126i</v>
      </c>
      <c r="AW103" s="270">
        <f t="shared" si="107"/>
        <v>-3.59126599028327</v>
      </c>
      <c r="AX103" s="581">
        <f t="shared" si="108"/>
        <v>-82.112479913608198</v>
      </c>
      <c r="AY103" s="299">
        <f t="shared" si="77"/>
        <v>97.887520086391802</v>
      </c>
      <c r="BB103" s="270">
        <f t="shared" si="111"/>
        <v>-28.785380966659595</v>
      </c>
      <c r="BC103" s="270">
        <f t="shared" si="112"/>
        <v>-87.757880824252368</v>
      </c>
      <c r="BD103" s="286"/>
      <c r="BE103" s="270">
        <f t="shared" si="109"/>
        <v>25.194114976376333</v>
      </c>
      <c r="BF103" s="581">
        <f t="shared" si="110"/>
        <v>5.6454009106441703</v>
      </c>
      <c r="BI103" s="286"/>
      <c r="BJ103" s="286"/>
      <c r="BL103" s="253">
        <f t="shared" si="78"/>
        <v>0</v>
      </c>
      <c r="BM103" s="253">
        <f t="shared" si="113"/>
        <v>0</v>
      </c>
      <c r="BN103" s="253">
        <f t="shared" si="80"/>
        <v>0</v>
      </c>
      <c r="BO103" s="253">
        <f t="shared" si="81"/>
        <v>0</v>
      </c>
    </row>
    <row r="104" spans="4:67" ht="13.6" thickBot="1" x14ac:dyDescent="0.25">
      <c r="D104" s="280">
        <v>4365.2</v>
      </c>
      <c r="E104" s="273" t="str">
        <f t="shared" si="59"/>
        <v>0.0493692489052206i</v>
      </c>
      <c r="F104" s="579" t="str">
        <f t="shared" si="82"/>
        <v>0.002-0.560922199676799i</v>
      </c>
      <c r="G104" s="270" t="str">
        <f t="shared" si="83"/>
        <v>0.002-0.560922199676799i</v>
      </c>
      <c r="H104" s="271" t="str">
        <f t="shared" si="84"/>
        <v>0.147427443688659-0.51905548119232i</v>
      </c>
      <c r="I104" s="271" t="str">
        <f t="shared" si="85"/>
        <v>0.157427443688659-0.51905548119232i</v>
      </c>
      <c r="J104" s="270" t="str">
        <f t="shared" si="86"/>
        <v>0.0420559849827995-0.275505476479373i</v>
      </c>
      <c r="K104" s="271" t="str">
        <f t="shared" si="60"/>
        <v>0.999518826013485-0.0344564830438446i</v>
      </c>
      <c r="L104" s="580"/>
      <c r="M104" s="580" t="str">
        <f t="shared" si="61"/>
        <v>45.1647717686361+143.385129904964i</v>
      </c>
      <c r="N104" s="270" t="str">
        <f t="shared" si="62"/>
        <v>27.2069121598104+107.538847428723i</v>
      </c>
      <c r="O104" s="581" t="str">
        <f t="shared" si="63"/>
        <v>21.7111760335596+52.6992218343252i</v>
      </c>
      <c r="P104" s="582" t="str">
        <f t="shared" si="64"/>
        <v>30.7717548901143-2.97300114559107i</v>
      </c>
      <c r="Q104" s="583" t="str">
        <f t="shared" si="65"/>
        <v>30.5546431297787-3.49999336393432i</v>
      </c>
      <c r="R104" s="581" t="str">
        <f t="shared" si="87"/>
        <v>2.24249260580553+6.34730030685841i</v>
      </c>
      <c r="S104" s="253" t="str">
        <f t="shared" si="88"/>
        <v>47.7542934789821+8.05660306297405i</v>
      </c>
      <c r="T104" s="253" t="str">
        <f t="shared" si="89"/>
        <v>18.3005422315839+1.49467837592469i</v>
      </c>
      <c r="U104" s="253" t="str">
        <f t="shared" si="90"/>
        <v>3.4738231629621-9.27864014199586i</v>
      </c>
      <c r="V104" s="582" t="str">
        <f t="shared" si="66"/>
        <v>6000</v>
      </c>
      <c r="W104" s="584" t="str">
        <f t="shared" si="67"/>
        <v>1+15361.6257799064i</v>
      </c>
      <c r="X104" s="585">
        <f t="shared" si="68"/>
        <v>15361.625812455037</v>
      </c>
      <c r="Y104" s="586">
        <f t="shared" si="69"/>
        <v>1.570731229518546</v>
      </c>
      <c r="Z104" s="273" t="str">
        <f t="shared" si="70"/>
        <v>1+2.30389828224363i</v>
      </c>
      <c r="AA104" s="585">
        <f t="shared" si="71"/>
        <v>2.5115627196877144</v>
      </c>
      <c r="AB104" s="586">
        <f t="shared" si="72"/>
        <v>1.1612878627032095</v>
      </c>
      <c r="AC104" s="584" t="str">
        <f t="shared" si="73"/>
        <v>1+0.111383016190593i</v>
      </c>
      <c r="AD104" s="585">
        <f t="shared" si="74"/>
        <v>1.0061839674213229</v>
      </c>
      <c r="AE104" s="586">
        <f t="shared" si="75"/>
        <v>0.1109258023159842</v>
      </c>
      <c r="AF104" s="580" t="str">
        <f t="shared" si="91"/>
        <v>0.845898218822802-0.484743773240526i</v>
      </c>
      <c r="AG104" s="270">
        <f t="shared" si="92"/>
        <v>0.97494631765192674</v>
      </c>
      <c r="AH104" s="581">
        <f t="shared" si="93"/>
        <v>-0.52036916913132092</v>
      </c>
      <c r="AI104" s="582" t="str">
        <f t="shared" si="76"/>
        <v>4000</v>
      </c>
      <c r="AJ104" s="584" t="str">
        <f t="shared" si="94"/>
        <v>1+1206.84610026279i</v>
      </c>
      <c r="AK104" s="585">
        <f t="shared" si="95"/>
        <v>1206.8465145657522</v>
      </c>
      <c r="AL104" s="586">
        <f t="shared" si="96"/>
        <v>1.5699677209180416</v>
      </c>
      <c r="AM104" s="273" t="str">
        <f t="shared" si="97"/>
        <v>1+0.0422381351744665i</v>
      </c>
      <c r="AN104" s="585">
        <f t="shared" si="98"/>
        <v>1.0008916325272266</v>
      </c>
      <c r="AO104" s="586">
        <f t="shared" si="99"/>
        <v>4.2213043571251121E-2</v>
      </c>
      <c r="AP104" s="584" t="str">
        <f t="shared" si="100"/>
        <v>1+0.000305583199152352i</v>
      </c>
      <c r="AQ104" s="585">
        <f t="shared" si="101"/>
        <v>1.0000000466905448</v>
      </c>
      <c r="AR104" s="586">
        <f t="shared" si="102"/>
        <v>3.0558318964045498E-4</v>
      </c>
      <c r="AS104" s="580" t="str">
        <f t="shared" si="103"/>
        <v>0.141728544758658-3.3143492994782i</v>
      </c>
      <c r="AT104" s="270">
        <f t="shared" si="104"/>
        <v>3.3173782207265785</v>
      </c>
      <c r="AU104" s="581">
        <f t="shared" si="105"/>
        <v>-1.5280602605364306</v>
      </c>
      <c r="AV104" s="580" t="str">
        <f t="shared" si="106"/>
        <v>0.0754759544696796-0.604425507342193i</v>
      </c>
      <c r="AW104" s="270">
        <f t="shared" si="107"/>
        <v>-4.3059470334908019</v>
      </c>
      <c r="AX104" s="581">
        <f t="shared" si="108"/>
        <v>-82.882192427082472</v>
      </c>
      <c r="AY104" s="299">
        <f t="shared" si="77"/>
        <v>97.117807572917528</v>
      </c>
      <c r="BB104" s="270">
        <f t="shared" si="111"/>
        <v>-29.584100218025277</v>
      </c>
      <c r="BC104" s="270">
        <f t="shared" si="112"/>
        <v>-87.551403770398466</v>
      </c>
      <c r="BD104" s="286"/>
      <c r="BE104" s="270">
        <f t="shared" si="109"/>
        <v>25.278153184534471</v>
      </c>
      <c r="BF104" s="581">
        <f t="shared" si="110"/>
        <v>4.6692113433160003</v>
      </c>
      <c r="BI104" s="286"/>
      <c r="BJ104" s="286"/>
      <c r="BL104" s="253">
        <f t="shared" si="78"/>
        <v>0</v>
      </c>
      <c r="BM104" s="253">
        <f t="shared" si="113"/>
        <v>0</v>
      </c>
      <c r="BN104" s="253">
        <f t="shared" si="80"/>
        <v>0</v>
      </c>
      <c r="BO104" s="253">
        <f t="shared" si="81"/>
        <v>0</v>
      </c>
    </row>
    <row r="105" spans="4:67" ht="13.6" thickBot="1" x14ac:dyDescent="0.25">
      <c r="D105" s="280">
        <v>4786.3</v>
      </c>
      <c r="E105" s="273" t="str">
        <f t="shared" si="59"/>
        <v>0.0541317777043566i</v>
      </c>
      <c r="F105" s="579" t="str">
        <f t="shared" si="82"/>
        <v>0.002-0.511572109150943i</v>
      </c>
      <c r="G105" s="270" t="str">
        <f t="shared" si="83"/>
        <v>0.002-0.511572109150943i</v>
      </c>
      <c r="H105" s="271" t="str">
        <f t="shared" si="84"/>
        <v>0.124462795570876-0.479257004725708i</v>
      </c>
      <c r="I105" s="271" t="str">
        <f t="shared" si="85"/>
        <v>0.134462795570876-0.479257004725708i</v>
      </c>
      <c r="J105" s="270" t="str">
        <f t="shared" si="86"/>
        <v>0.0356727961955263-0.252085447569436i</v>
      </c>
      <c r="K105" s="271" t="str">
        <f t="shared" si="60"/>
        <v>0.999421512898917-0.0377804143665247i</v>
      </c>
      <c r="L105" s="580"/>
      <c r="M105" s="580" t="str">
        <f t="shared" si="61"/>
        <v>53.7994688689483+172.23070848966i</v>
      </c>
      <c r="N105" s="270" t="str">
        <f t="shared" si="62"/>
        <v>33.6829349850445+129.173031367245i</v>
      </c>
      <c r="O105" s="581" t="str">
        <f t="shared" si="63"/>
        <v>25.8346672083044+63.2028411206337i</v>
      </c>
      <c r="P105" s="582" t="str">
        <f t="shared" si="64"/>
        <v>33.7642059011014-3.8830145192351i</v>
      </c>
      <c r="Q105" s="583" t="str">
        <f t="shared" si="65"/>
        <v>33.5058592290185-4.51504293044145i</v>
      </c>
      <c r="R105" s="581" t="str">
        <f t="shared" si="87"/>
        <v>2.6988262934861+7.61616074136248i</v>
      </c>
      <c r="S105" s="253" t="str">
        <f t="shared" si="88"/>
        <v>48.3889913851737+7.28065204626486i</v>
      </c>
      <c r="T105" s="253" t="str">
        <f t="shared" si="89"/>
        <v>18.4788758233358+1.18560802504158i</v>
      </c>
      <c r="U105" s="253" t="str">
        <f t="shared" si="90"/>
        <v>2.86814349483962-8.70856658854224i</v>
      </c>
      <c r="V105" s="582" t="str">
        <f t="shared" si="66"/>
        <v>6000</v>
      </c>
      <c r="W105" s="584" t="str">
        <f t="shared" si="67"/>
        <v>1+16843.5236576483i</v>
      </c>
      <c r="X105" s="585">
        <f t="shared" si="68"/>
        <v>16843.523687333301</v>
      </c>
      <c r="Y105" s="586">
        <f t="shared" si="69"/>
        <v>1.5707369567949399</v>
      </c>
      <c r="Z105" s="273" t="str">
        <f t="shared" si="70"/>
        <v>1+2.52614962620331i</v>
      </c>
      <c r="AA105" s="585">
        <f t="shared" si="71"/>
        <v>2.7168790797470401</v>
      </c>
      <c r="AB105" s="586">
        <f t="shared" si="72"/>
        <v>1.1938645467696121</v>
      </c>
      <c r="AC105" s="584" t="str">
        <f t="shared" si="73"/>
        <v>1+0.122127859065572i</v>
      </c>
      <c r="AD105" s="585">
        <f t="shared" si="74"/>
        <v>1.0074300044965607</v>
      </c>
      <c r="AE105" s="586">
        <f t="shared" si="75"/>
        <v>0.12152604792350735</v>
      </c>
      <c r="AF105" s="580" t="str">
        <f t="shared" si="91"/>
        <v>0.843802805331744-0.459218404005665i</v>
      </c>
      <c r="AG105" s="270">
        <f t="shared" si="92"/>
        <v>0.96066889033799319</v>
      </c>
      <c r="AH105" s="581">
        <f t="shared" si="93"/>
        <v>-0.49839845794883358</v>
      </c>
      <c r="AI105" s="582" t="str">
        <f t="shared" si="76"/>
        <v>4000</v>
      </c>
      <c r="AJ105" s="584" t="str">
        <f t="shared" si="94"/>
        <v>1+1323.26754551631i</v>
      </c>
      <c r="AK105" s="585">
        <f t="shared" si="95"/>
        <v>1323.2679233687938</v>
      </c>
      <c r="AL105" s="586">
        <f t="shared" si="96"/>
        <v>1.5700406218635508</v>
      </c>
      <c r="AM105" s="273" t="str">
        <f t="shared" si="97"/>
        <v>1+0.0463127431470607i</v>
      </c>
      <c r="AN105" s="585">
        <f t="shared" si="98"/>
        <v>1.0010718606462803</v>
      </c>
      <c r="AO105" s="586">
        <f t="shared" si="99"/>
        <v>4.627967408673541E-2</v>
      </c>
      <c r="AP105" s="584" t="str">
        <f t="shared" si="100"/>
        <v>1+0.000335062051246886i</v>
      </c>
      <c r="AQ105" s="585">
        <f t="shared" si="101"/>
        <v>1.0000000561332876</v>
      </c>
      <c r="AR105" s="586">
        <f t="shared" si="102"/>
        <v>3.3506203870813019E-4</v>
      </c>
      <c r="AS105" s="580" t="str">
        <f t="shared" si="103"/>
        <v>0.141266567356133-3.02276011263437i</v>
      </c>
      <c r="AT105" s="270">
        <f t="shared" si="104"/>
        <v>3.0260593090000625</v>
      </c>
      <c r="AU105" s="581">
        <f t="shared" si="105"/>
        <v>-1.5240960098155234</v>
      </c>
      <c r="AV105" s="580" t="str">
        <f t="shared" si="106"/>
        <v>0.0619425600347778-0.556897219891756i</v>
      </c>
      <c r="AW105" s="270">
        <f t="shared" si="107"/>
        <v>-5.0310991841719854</v>
      </c>
      <c r="AX105" s="581">
        <f t="shared" si="108"/>
        <v>-83.653193172986732</v>
      </c>
      <c r="AY105" s="299">
        <f t="shared" si="77"/>
        <v>96.346806827013268</v>
      </c>
      <c r="BB105" s="270">
        <f t="shared" si="111"/>
        <v>-30.382451286210141</v>
      </c>
      <c r="BC105" s="270">
        <f t="shared" si="112"/>
        <v>-87.324268935158784</v>
      </c>
      <c r="BD105" s="286"/>
      <c r="BE105" s="270">
        <f t="shared" si="109"/>
        <v>25.351352102038149</v>
      </c>
      <c r="BF105" s="581">
        <f t="shared" si="110"/>
        <v>3.6710757621720482</v>
      </c>
      <c r="BI105" s="286"/>
      <c r="BJ105" s="286"/>
      <c r="BL105" s="253">
        <f t="shared" si="78"/>
        <v>0</v>
      </c>
      <c r="BM105" s="253">
        <f t="shared" si="113"/>
        <v>0</v>
      </c>
      <c r="BN105" s="253">
        <f t="shared" si="80"/>
        <v>0</v>
      </c>
      <c r="BO105" s="253">
        <f t="shared" si="81"/>
        <v>0</v>
      </c>
    </row>
    <row r="106" spans="4:67" ht="13.6" thickBot="1" x14ac:dyDescent="0.25">
      <c r="D106" s="280">
        <v>5248.1</v>
      </c>
      <c r="E106" s="273" t="str">
        <f t="shared" si="59"/>
        <v>0.0593546126590965i</v>
      </c>
      <c r="F106" s="579" t="str">
        <f t="shared" si="82"/>
        <v>0.002-0.466556960810418i</v>
      </c>
      <c r="G106" s="270" t="str">
        <f t="shared" si="83"/>
        <v>0.002-0.466556960810418i</v>
      </c>
      <c r="H106" s="271" t="str">
        <f t="shared" si="84"/>
        <v>0.104920121390339-0.441639714613936i</v>
      </c>
      <c r="I106" s="271" t="str">
        <f t="shared" si="85"/>
        <v>0.114920121390339-0.441639714613936i</v>
      </c>
      <c r="J106" s="270" t="str">
        <f t="shared" si="86"/>
        <v>0.0303309536982126-0.230529958140544i</v>
      </c>
      <c r="K106" s="271" t="str">
        <f t="shared" si="60"/>
        <v>0.999304498532613-0.0414256090585543i</v>
      </c>
      <c r="L106" s="580"/>
      <c r="M106" s="580" t="str">
        <f t="shared" si="61"/>
        <v>68.1119243684611+213.167070093347i</v>
      </c>
      <c r="N106" s="270" t="str">
        <f t="shared" si="62"/>
        <v>44.4172766096791+159.87530257001i</v>
      </c>
      <c r="O106" s="581" t="str">
        <f t="shared" si="63"/>
        <v>32.5130340364986+78.0429436272665i</v>
      </c>
      <c r="P106" s="582" t="str">
        <f t="shared" si="64"/>
        <v>38.2032651694201-5.39034251780758i</v>
      </c>
      <c r="Q106" s="583" t="str">
        <f t="shared" si="65"/>
        <v>37.8781348290551-6.17077195408025i</v>
      </c>
      <c r="R106" s="581" t="str">
        <f t="shared" si="87"/>
        <v>3.44297936224287+9.41158115826859i</v>
      </c>
      <c r="S106" s="253" t="str">
        <f t="shared" si="88"/>
        <v>48.9438435394912+6.4878609258526i</v>
      </c>
      <c r="T106" s="253" t="str">
        <f t="shared" si="89"/>
        <v>18.6324886816861+0.863705512412912i</v>
      </c>
      <c r="U106" s="253" t="str">
        <f t="shared" si="90"/>
        <v>2.33636963029915-8.13822689671939i</v>
      </c>
      <c r="V106" s="582" t="str">
        <f t="shared" si="66"/>
        <v>6000</v>
      </c>
      <c r="W106" s="584" t="str">
        <f t="shared" si="67"/>
        <v>1+18468.6493758653i</v>
      </c>
      <c r="X106" s="585">
        <f t="shared" si="68"/>
        <v>18468.649402938205</v>
      </c>
      <c r="Y106" s="586">
        <f t="shared" si="69"/>
        <v>1.57074218098387</v>
      </c>
      <c r="Z106" s="273" t="str">
        <f t="shared" si="70"/>
        <v>1+2.76988192409117i</v>
      </c>
      <c r="AA106" s="585">
        <f t="shared" si="71"/>
        <v>2.9448677174717037</v>
      </c>
      <c r="AB106" s="586">
        <f t="shared" si="72"/>
        <v>1.22433256289681</v>
      </c>
      <c r="AC106" s="584" t="str">
        <f t="shared" si="73"/>
        <v>1+0.133911208482968i</v>
      </c>
      <c r="AD106" s="585">
        <f t="shared" si="74"/>
        <v>1.0089262667595531</v>
      </c>
      <c r="AE106" s="586">
        <f t="shared" si="75"/>
        <v>0.13311927051607883</v>
      </c>
      <c r="AF106" s="580" t="str">
        <f t="shared" si="91"/>
        <v>0.84129840588735-0.437485427830754i</v>
      </c>
      <c r="AG106" s="270">
        <f t="shared" si="92"/>
        <v>0.94824917996951319</v>
      </c>
      <c r="AH106" s="581">
        <f t="shared" si="93"/>
        <v>-0.47952888860313914</v>
      </c>
      <c r="AI106" s="582" t="str">
        <f t="shared" si="76"/>
        <v>4000</v>
      </c>
      <c r="AJ106" s="584" t="str">
        <f t="shared" si="94"/>
        <v>1+1450.94131283541i</v>
      </c>
      <c r="AK106" s="585">
        <f t="shared" si="95"/>
        <v>1450.9416574392449</v>
      </c>
      <c r="AL106" s="586">
        <f t="shared" si="96"/>
        <v>1.5701071191523697</v>
      </c>
      <c r="AM106" s="273" t="str">
        <f t="shared" si="97"/>
        <v>1+0.0507811686083382i</v>
      </c>
      <c r="AN106" s="585">
        <f t="shared" si="98"/>
        <v>1.001288533383474</v>
      </c>
      <c r="AO106" s="586">
        <f t="shared" si="99"/>
        <v>5.0737585763145791E-2</v>
      </c>
      <c r="AP106" s="584" t="str">
        <f t="shared" si="100"/>
        <v>1+0.000367390082349368i</v>
      </c>
      <c r="AQ106" s="585">
        <f t="shared" si="101"/>
        <v>1.0000000674877341</v>
      </c>
      <c r="AR106" s="586">
        <f t="shared" si="102"/>
        <v>3.6739006581981931E-4</v>
      </c>
      <c r="AS106" s="580" t="str">
        <f t="shared" si="103"/>
        <v>0.140882246612844-2.75678497017619i</v>
      </c>
      <c r="AT106" s="270">
        <f t="shared" si="104"/>
        <v>2.7603824335044624</v>
      </c>
      <c r="AU106" s="581">
        <f t="shared" si="105"/>
        <v>-1.5197369234550435</v>
      </c>
      <c r="AV106" s="580" t="str">
        <f t="shared" si="106"/>
        <v>0.0500603724074257-0.512440839816496i</v>
      </c>
      <c r="AW106" s="270">
        <f t="shared" si="107"/>
        <v>-5.7658756068314299</v>
      </c>
      <c r="AX106" s="581">
        <f t="shared" si="108"/>
        <v>-84.420476469961685</v>
      </c>
      <c r="AY106" s="299">
        <f t="shared" si="77"/>
        <v>95.579523530038315</v>
      </c>
      <c r="BB106" s="270">
        <f t="shared" si="111"/>
        <v>-31.180614900326962</v>
      </c>
      <c r="BC106" s="270">
        <f t="shared" si="112"/>
        <v>-87.074511684170247</v>
      </c>
      <c r="BD106" s="286"/>
      <c r="BE106" s="270">
        <f t="shared" si="109"/>
        <v>25.414739293495529</v>
      </c>
      <c r="BF106" s="581">
        <f t="shared" si="110"/>
        <v>2.654035214208545</v>
      </c>
      <c r="BI106" s="286"/>
      <c r="BJ106" s="286"/>
      <c r="BL106" s="253">
        <f t="shared" si="78"/>
        <v>0</v>
      </c>
      <c r="BM106" s="253">
        <f t="shared" si="113"/>
        <v>0</v>
      </c>
      <c r="BN106" s="253">
        <f t="shared" si="80"/>
        <v>0</v>
      </c>
      <c r="BO106" s="253">
        <f t="shared" si="81"/>
        <v>0</v>
      </c>
    </row>
    <row r="107" spans="4:67" ht="13.6" thickBot="1" x14ac:dyDescent="0.25">
      <c r="D107" s="280">
        <v>5370.3</v>
      </c>
      <c r="E107" s="273" t="str">
        <f t="shared" si="59"/>
        <v>0.0607366620992638i</v>
      </c>
      <c r="F107" s="579" t="str">
        <f t="shared" si="82"/>
        <v>0.002-0.455940559378278i</v>
      </c>
      <c r="G107" s="270" t="str">
        <f t="shared" si="83"/>
        <v>0.002-0.455940559378278i</v>
      </c>
      <c r="H107" s="271" t="str">
        <f t="shared" si="84"/>
        <v>0.10051780529895-0.432592894296242i</v>
      </c>
      <c r="I107" s="271" t="str">
        <f t="shared" si="85"/>
        <v>0.11051780529895-0.432592894296242i</v>
      </c>
      <c r="J107" s="270" t="str">
        <f t="shared" si="86"/>
        <v>0.0291388472294963-0.22542116890342i</v>
      </c>
      <c r="K107" s="271" t="str">
        <f t="shared" si="60"/>
        <v>0.99927173247923-0.0423901885114906i</v>
      </c>
      <c r="L107" s="580"/>
      <c r="M107" s="580" t="str">
        <f t="shared" si="61"/>
        <v>73.1927206164771+226.239787983927i</v>
      </c>
      <c r="N107" s="270" t="str">
        <f t="shared" si="62"/>
        <v>48.2278737956911+169.679840987945i</v>
      </c>
      <c r="O107" s="581" t="str">
        <f t="shared" si="63"/>
        <v>34.8464403187407+82.7650687451158i</v>
      </c>
      <c r="P107" s="582" t="str">
        <f t="shared" si="64"/>
        <v>39.6547327415851-5.92730872027835i</v>
      </c>
      <c r="Q107" s="583" t="str">
        <f t="shared" si="65"/>
        <v>39.3062683383977-6.75495940772954i</v>
      </c>
      <c r="R107" s="581" t="str">
        <f t="shared" si="87"/>
        <v>3.70422518295376+9.9835879415167i</v>
      </c>
      <c r="S107" s="253" t="str">
        <f t="shared" si="88"/>
        <v>49.0706209980178+6.2880704267658i</v>
      </c>
      <c r="T107" s="253" t="str">
        <f t="shared" si="89"/>
        <v>18.6671560446654+0.781454287025611i</v>
      </c>
      <c r="U107" s="253" t="str">
        <f t="shared" si="90"/>
        <v>2.21443312856742-7.99672899176813i</v>
      </c>
      <c r="V107" s="582" t="str">
        <f t="shared" si="66"/>
        <v>6000</v>
      </c>
      <c r="W107" s="584" t="str">
        <f t="shared" si="67"/>
        <v>1+18898.6848084467i</v>
      </c>
      <c r="X107" s="585">
        <f t="shared" si="68"/>
        <v>18898.684834903568</v>
      </c>
      <c r="Y107" s="586">
        <f t="shared" si="69"/>
        <v>1.5707434130599356</v>
      </c>
      <c r="Z107" s="273" t="str">
        <f t="shared" si="70"/>
        <v>1+2.83437756463231i</v>
      </c>
      <c r="AA107" s="585">
        <f t="shared" si="71"/>
        <v>3.0056107830008503</v>
      </c>
      <c r="AB107" s="586">
        <f t="shared" si="72"/>
        <v>1.2316193431426206</v>
      </c>
      <c r="AC107" s="584" t="str">
        <f t="shared" si="73"/>
        <v>1+0.137029279723344i</v>
      </c>
      <c r="AD107" s="585">
        <f t="shared" si="74"/>
        <v>1.0093448486525793</v>
      </c>
      <c r="AE107" s="586">
        <f t="shared" si="75"/>
        <v>0.1361811473187878</v>
      </c>
      <c r="AF107" s="580" t="str">
        <f t="shared" si="91"/>
        <v>0.840599989965852-0.432621605115118i</v>
      </c>
      <c r="AG107" s="270">
        <f t="shared" si="92"/>
        <v>0.94539399000785451</v>
      </c>
      <c r="AH107" s="581">
        <f t="shared" si="93"/>
        <v>-0.47530521723610303</v>
      </c>
      <c r="AI107" s="582" t="str">
        <f t="shared" si="76"/>
        <v>4000</v>
      </c>
      <c r="AJ107" s="584" t="str">
        <f t="shared" si="94"/>
        <v>1+1484.72592601513i</v>
      </c>
      <c r="AK107" s="585">
        <f t="shared" si="95"/>
        <v>1484.726262777582</v>
      </c>
      <c r="AL107" s="586">
        <f t="shared" si="96"/>
        <v>1.570122801916489</v>
      </c>
      <c r="AM107" s="273" t="str">
        <f t="shared" si="97"/>
        <v>1+0.0519635886849256i</v>
      </c>
      <c r="AN107" s="585">
        <f t="shared" si="98"/>
        <v>1.0013491971080897</v>
      </c>
      <c r="AO107" s="586">
        <f t="shared" si="99"/>
        <v>5.1916893367974212E-2</v>
      </c>
      <c r="AP107" s="584" t="str">
        <f t="shared" si="100"/>
        <v>1+0.000375944619813038i</v>
      </c>
      <c r="AQ107" s="585">
        <f t="shared" si="101"/>
        <v>1.0000000706671761</v>
      </c>
      <c r="AR107" s="586">
        <f t="shared" si="102"/>
        <v>3.7594460210174245E-4</v>
      </c>
      <c r="AS107" s="580" t="str">
        <f t="shared" si="103"/>
        <v>0.140796763075046-2.69405734050214i</v>
      </c>
      <c r="AT107" s="270">
        <f t="shared" si="104"/>
        <v>2.6977339902973894</v>
      </c>
      <c r="AU107" s="581">
        <f t="shared" si="105"/>
        <v>-1.5185818531506163</v>
      </c>
      <c r="AV107" s="580" t="str">
        <f t="shared" si="106"/>
        <v>0.0473355780513388-0.501803625343254i</v>
      </c>
      <c r="AW107" s="270">
        <f t="shared" si="107"/>
        <v>-5.9508501404244374</v>
      </c>
      <c r="AX107" s="581">
        <f t="shared" si="108"/>
        <v>-84.611184683133857</v>
      </c>
      <c r="AY107" s="299">
        <f t="shared" si="77"/>
        <v>95.388815316866143</v>
      </c>
      <c r="BB107" s="270">
        <f t="shared" si="111"/>
        <v>-31.380017522055674</v>
      </c>
      <c r="BC107" s="270">
        <f t="shared" si="112"/>
        <v>-87.008331030685667</v>
      </c>
      <c r="BD107" s="286"/>
      <c r="BE107" s="270">
        <f t="shared" si="109"/>
        <v>25.429167381631235</v>
      </c>
      <c r="BF107" s="581">
        <f t="shared" si="110"/>
        <v>2.3971463475518271</v>
      </c>
      <c r="BI107" s="286"/>
      <c r="BJ107" s="286"/>
      <c r="BL107" s="253">
        <f t="shared" si="78"/>
        <v>0</v>
      </c>
      <c r="BM107" s="253">
        <f t="shared" si="113"/>
        <v>0</v>
      </c>
      <c r="BN107" s="253">
        <f t="shared" si="80"/>
        <v>0</v>
      </c>
      <c r="BO107" s="253">
        <f t="shared" si="81"/>
        <v>0</v>
      </c>
    </row>
    <row r="108" spans="4:67" ht="13.6" thickBot="1" x14ac:dyDescent="0.25">
      <c r="D108" s="280">
        <v>5432.85</v>
      </c>
      <c r="E108" s="273" t="str">
        <f t="shared" si="59"/>
        <v>0.0614440859329991i</v>
      </c>
      <c r="F108" s="579" t="str">
        <f t="shared" si="82"/>
        <v>0.002-0.450691181613547i</v>
      </c>
      <c r="G108" s="270" t="str">
        <f t="shared" si="83"/>
        <v>0.002-0.450691181613547i</v>
      </c>
      <c r="H108" s="271" t="str">
        <f t="shared" si="84"/>
        <v>0.0983710839171167-0.428095595993947i</v>
      </c>
      <c r="I108" s="271" t="str">
        <f t="shared" si="85"/>
        <v>0.108371083917117-0.428095595993947i</v>
      </c>
      <c r="J108" s="270" t="str">
        <f t="shared" si="86"/>
        <v>0.0285590177669308-0.222891675855715i</v>
      </c>
      <c r="K108" s="271" t="str">
        <f t="shared" si="60"/>
        <v>0.999254668843653-0.0428839237388324i</v>
      </c>
      <c r="L108" s="580"/>
      <c r="M108" s="580" t="str">
        <f t="shared" si="61"/>
        <v>76.0742374003482+233.382219669314i</v>
      </c>
      <c r="N108" s="270" t="str">
        <f t="shared" si="62"/>
        <v>50.3890113835945+175.036664751985i</v>
      </c>
      <c r="O108" s="581" t="str">
        <f t="shared" si="63"/>
        <v>36.1624043878846+85.3414928708575i</v>
      </c>
      <c r="P108" s="582" t="str">
        <f t="shared" si="64"/>
        <v>40.4532762141271-6.23241597348583i</v>
      </c>
      <c r="Q108" s="583" t="str">
        <f t="shared" si="65"/>
        <v>40.0916521702482-7.08583090219444i</v>
      </c>
      <c r="R108" s="581" t="str">
        <f t="shared" si="87"/>
        <v>3.85180887601171+10.2958281576143i</v>
      </c>
      <c r="S108" s="253" t="str">
        <f t="shared" si="88"/>
        <v>49.1326686351078+6.18737648013431i</v>
      </c>
      <c r="T108" s="253" t="str">
        <f t="shared" si="89"/>
        <v>18.6840495122812+0.739813565796817i</v>
      </c>
      <c r="U108" s="253" t="str">
        <f t="shared" si="90"/>
        <v>2.15468113185836-7.92578304917639i</v>
      </c>
      <c r="V108" s="582" t="str">
        <f t="shared" si="66"/>
        <v>6000</v>
      </c>
      <c r="W108" s="584" t="str">
        <f t="shared" si="67"/>
        <v>1+19118.8052364989i</v>
      </c>
      <c r="X108" s="585">
        <f t="shared" si="68"/>
        <v>19118.805262651164</v>
      </c>
      <c r="Y108" s="586">
        <f t="shared" si="69"/>
        <v>1.5707440222713285</v>
      </c>
      <c r="Z108" s="273" t="str">
        <f t="shared" si="70"/>
        <v>1+2.86739067687329i</v>
      </c>
      <c r="AA108" s="585">
        <f t="shared" si="71"/>
        <v>3.0367629630611384</v>
      </c>
      <c r="AB108" s="586">
        <f t="shared" si="72"/>
        <v>1.2352363037695819</v>
      </c>
      <c r="AC108" s="584" t="str">
        <f t="shared" si="73"/>
        <v>1+0.138625313733864i</v>
      </c>
      <c r="AD108" s="585">
        <f t="shared" si="74"/>
        <v>1.0095627655613157</v>
      </c>
      <c r="AE108" s="586">
        <f t="shared" si="75"/>
        <v>0.13774742739558388</v>
      </c>
      <c r="AF108" s="580" t="str">
        <f t="shared" si="91"/>
        <v>0.840236760181062-0.430258158316517i</v>
      </c>
      <c r="AG108" s="270">
        <f t="shared" si="92"/>
        <v>0.94399147027793029</v>
      </c>
      <c r="AH108" s="581">
        <f t="shared" si="93"/>
        <v>-0.47325514589732992</v>
      </c>
      <c r="AI108" s="582" t="str">
        <f t="shared" si="76"/>
        <v>4000</v>
      </c>
      <c r="AJ108" s="584" t="str">
        <f t="shared" si="94"/>
        <v>1+1502.01911385794i</v>
      </c>
      <c r="AK108" s="585">
        <f t="shared" si="95"/>
        <v>1502.0194467431475</v>
      </c>
      <c r="AL108" s="586">
        <f t="shared" si="96"/>
        <v>1.5701305564042114</v>
      </c>
      <c r="AM108" s="273" t="str">
        <f t="shared" si="97"/>
        <v>1+0.0525688290760104i</v>
      </c>
      <c r="AN108" s="585">
        <f t="shared" si="98"/>
        <v>1.0013807876080021</v>
      </c>
      <c r="AO108" s="586">
        <f t="shared" si="99"/>
        <v>5.2520484875754871E-2</v>
      </c>
      <c r="AP108" s="584" t="str">
        <f t="shared" si="100"/>
        <v>1+0.000380323394922307i</v>
      </c>
      <c r="AQ108" s="585">
        <f t="shared" si="101"/>
        <v>1.0000000723229399</v>
      </c>
      <c r="AR108" s="586">
        <f t="shared" si="102"/>
        <v>3.8032337658490395E-4</v>
      </c>
      <c r="AS108" s="580" t="str">
        <f t="shared" si="103"/>
        <v>0.140755221875746-2.66304110373897i</v>
      </c>
      <c r="AT108" s="270">
        <f t="shared" si="104"/>
        <v>2.6667583228872771</v>
      </c>
      <c r="AU108" s="581">
        <f t="shared" si="105"/>
        <v>-1.5179903949050415</v>
      </c>
      <c r="AV108" s="580" t="str">
        <f t="shared" si="106"/>
        <v>0.0460003146945918-0.496522592128985i</v>
      </c>
      <c r="AW108" s="270">
        <f t="shared" si="107"/>
        <v>-6.044102903210451</v>
      </c>
      <c r="AX108" s="581">
        <f t="shared" si="108"/>
        <v>-84.706943996233079</v>
      </c>
      <c r="AY108" s="299">
        <f t="shared" si="77"/>
        <v>95.293056003766921</v>
      </c>
      <c r="BB108" s="270">
        <f t="shared" si="111"/>
        <v>-31.480326816253566</v>
      </c>
      <c r="BC108" s="270">
        <f t="shared" si="112"/>
        <v>-86.974442969456021</v>
      </c>
      <c r="BD108" s="286"/>
      <c r="BE108" s="270">
        <f t="shared" si="109"/>
        <v>25.436223913043108</v>
      </c>
      <c r="BF108" s="581">
        <f t="shared" si="110"/>
        <v>2.2674989732229434</v>
      </c>
      <c r="BI108" s="286"/>
      <c r="BJ108" s="286"/>
      <c r="BL108" s="253">
        <f t="shared" si="78"/>
        <v>0</v>
      </c>
      <c r="BM108" s="253">
        <f t="shared" si="113"/>
        <v>0</v>
      </c>
      <c r="BN108" s="253">
        <f t="shared" si="80"/>
        <v>0</v>
      </c>
      <c r="BO108" s="253">
        <f t="shared" si="81"/>
        <v>0</v>
      </c>
    </row>
    <row r="109" spans="4:67" ht="13.6" thickBot="1" x14ac:dyDescent="0.25">
      <c r="D109" s="280">
        <v>5495.4</v>
      </c>
      <c r="E109" s="273" t="str">
        <f t="shared" si="59"/>
        <v>0.0621515097667345i</v>
      </c>
      <c r="F109" s="579" t="str">
        <f t="shared" si="82"/>
        <v>0.002-0.445561303277133i</v>
      </c>
      <c r="G109" s="270" t="str">
        <f t="shared" si="83"/>
        <v>0.002-0.445561303277133i</v>
      </c>
      <c r="H109" s="271" t="str">
        <f t="shared" si="84"/>
        <v>0.0962926350905301-0.423685481801869i</v>
      </c>
      <c r="I109" s="271" t="str">
        <f t="shared" si="85"/>
        <v>0.10629263509053-0.423685481801869i</v>
      </c>
      <c r="J109" s="270" t="str">
        <f t="shared" si="86"/>
        <v>0.0279985518080633-0.220417619511426i</v>
      </c>
      <c r="K109" s="271" t="str">
        <f t="shared" si="60"/>
        <v>0.999237407611929-0.0433776589661742i</v>
      </c>
      <c r="L109" s="580"/>
      <c r="M109" s="580" t="str">
        <f t="shared" si="61"/>
        <v>79.171069241582+240.858704531936i</v>
      </c>
      <c r="N109" s="270" t="str">
        <f t="shared" si="62"/>
        <v>52.7116352645198+180.644028398952i</v>
      </c>
      <c r="O109" s="581" t="str">
        <f t="shared" si="63"/>
        <v>37.5711402994373+88.0356827547663i</v>
      </c>
      <c r="P109" s="582" t="str">
        <f t="shared" si="64"/>
        <v>41.2929761694928-6.56080197761467i</v>
      </c>
      <c r="Q109" s="583" t="str">
        <f t="shared" si="65"/>
        <v>40.9172647664985-7.44115880516233i</v>
      </c>
      <c r="R109" s="581" t="str">
        <f t="shared" si="87"/>
        <v>4.00998545223249+10.622455560735i</v>
      </c>
      <c r="S109" s="253" t="str">
        <f t="shared" si="88"/>
        <v>49.1928809634316+6.08773201895619i</v>
      </c>
      <c r="T109" s="253" t="str">
        <f t="shared" si="89"/>
        <v>18.7003930433304+0.698480568146756i</v>
      </c>
      <c r="U109" s="253" t="str">
        <f t="shared" si="90"/>
        <v>2.09664619941539-7.85582650198136i</v>
      </c>
      <c r="V109" s="582" t="str">
        <f t="shared" si="66"/>
        <v>6000</v>
      </c>
      <c r="W109" s="584" t="str">
        <f t="shared" si="67"/>
        <v>1+19338.925664551i</v>
      </c>
      <c r="X109" s="585">
        <f t="shared" si="68"/>
        <v>19338.925690405591</v>
      </c>
      <c r="Y109" s="586">
        <f t="shared" si="69"/>
        <v>1.5707446176143323</v>
      </c>
      <c r="Z109" s="273" t="str">
        <f t="shared" si="70"/>
        <v>1+2.90040378911428i</v>
      </c>
      <c r="AA109" s="585">
        <f t="shared" si="71"/>
        <v>3.0679540641783527</v>
      </c>
      <c r="AB109" s="586">
        <f t="shared" si="72"/>
        <v>1.2387797645519498</v>
      </c>
      <c r="AC109" s="584" t="str">
        <f t="shared" si="73"/>
        <v>1+0.140221347744384i</v>
      </c>
      <c r="AD109" s="585">
        <f t="shared" si="74"/>
        <v>1.0097831580905137</v>
      </c>
      <c r="AE109" s="586">
        <f t="shared" si="75"/>
        <v>0.13931302760770245</v>
      </c>
      <c r="AF109" s="580" t="str">
        <f t="shared" si="91"/>
        <v>0.839869660294362-0.427976207246386i</v>
      </c>
      <c r="AG109" s="270">
        <f t="shared" si="92"/>
        <v>0.94262647971079649</v>
      </c>
      <c r="AH109" s="581">
        <f t="shared" si="93"/>
        <v>-0.47127788067008647</v>
      </c>
      <c r="AI109" s="582" t="str">
        <f t="shared" si="76"/>
        <v>4000</v>
      </c>
      <c r="AJ109" s="584" t="str">
        <f t="shared" si="94"/>
        <v>1+1519.31230170075i</v>
      </c>
      <c r="AK109" s="585">
        <f t="shared" si="95"/>
        <v>1519.3126307969769</v>
      </c>
      <c r="AL109" s="586">
        <f t="shared" si="96"/>
        <v>1.5701381343650225</v>
      </c>
      <c r="AM109" s="273" t="str">
        <f t="shared" si="97"/>
        <v>1+0.0531740694670951i</v>
      </c>
      <c r="AN109" s="585">
        <f t="shared" si="98"/>
        <v>1.0014127429105801</v>
      </c>
      <c r="AO109" s="586">
        <f t="shared" si="99"/>
        <v>5.3124038081934361E-2</v>
      </c>
      <c r="AP109" s="584" t="str">
        <f t="shared" si="100"/>
        <v>1+0.000384702170031576i</v>
      </c>
      <c r="AQ109" s="585">
        <f t="shared" si="101"/>
        <v>1.0000000739978772</v>
      </c>
      <c r="AR109" s="586">
        <f t="shared" si="102"/>
        <v>3.8470215105348109E-4</v>
      </c>
      <c r="AS109" s="580" t="str">
        <f t="shared" si="103"/>
        <v>0.14071509106282-2.63273094883515i</v>
      </c>
      <c r="AT109" s="270">
        <f t="shared" si="104"/>
        <v>2.636488760796686</v>
      </c>
      <c r="AU109" s="581">
        <f t="shared" si="105"/>
        <v>-1.5173987984341415</v>
      </c>
      <c r="AV109" s="580" t="str">
        <f t="shared" si="106"/>
        <v>0.0447033891892269-0.491348167638051i</v>
      </c>
      <c r="AW109" s="270">
        <f t="shared" si="107"/>
        <v>-6.1364121764063206</v>
      </c>
      <c r="AX109" s="581">
        <f t="shared" si="108"/>
        <v>-84.801479997290784</v>
      </c>
      <c r="AY109" s="299">
        <f t="shared" si="77"/>
        <v>95.198520002709216</v>
      </c>
      <c r="BB109" s="270">
        <f t="shared" si="111"/>
        <v>-31.579481514030459</v>
      </c>
      <c r="BC109" s="270">
        <f t="shared" si="112"/>
        <v>-86.94054698849861</v>
      </c>
      <c r="BD109" s="286"/>
      <c r="BE109" s="270">
        <f t="shared" si="109"/>
        <v>25.443069337624138</v>
      </c>
      <c r="BF109" s="581">
        <f t="shared" si="110"/>
        <v>2.1390669912078382</v>
      </c>
      <c r="BI109" s="286"/>
      <c r="BJ109" s="286"/>
      <c r="BL109" s="253">
        <f t="shared" si="78"/>
        <v>0</v>
      </c>
      <c r="BM109" s="253">
        <f t="shared" si="113"/>
        <v>0</v>
      </c>
      <c r="BN109" s="253">
        <f t="shared" si="80"/>
        <v>0</v>
      </c>
      <c r="BO109" s="253">
        <f t="shared" si="81"/>
        <v>0</v>
      </c>
    </row>
    <row r="110" spans="4:67" ht="13.6" thickBot="1" x14ac:dyDescent="0.25">
      <c r="D110" s="280">
        <v>5559.4</v>
      </c>
      <c r="E110" s="273" t="str">
        <f t="shared" si="59"/>
        <v>0.0628753327141215i</v>
      </c>
      <c r="F110" s="579" t="str">
        <f t="shared" si="82"/>
        <v>0.002-0.440431986550556i</v>
      </c>
      <c r="G110" s="270" t="str">
        <f t="shared" si="83"/>
        <v>0.002-0.440431986550556i</v>
      </c>
      <c r="H110" s="271" t="str">
        <f t="shared" si="84"/>
        <v>0.0942337329238916-0.41926095050418i</v>
      </c>
      <c r="I110" s="271" t="str">
        <f t="shared" si="85"/>
        <v>0.104233732923892-0.41926095050418i</v>
      </c>
      <c r="J110" s="270" t="str">
        <f t="shared" si="86"/>
        <v>0.0274442499021403-0.217941735806367i</v>
      </c>
      <c r="K110" s="271" t="str">
        <f t="shared" si="60"/>
        <v>0.999219541719654-0.0438828396943897i</v>
      </c>
      <c r="L110" s="580"/>
      <c r="M110" s="580" t="str">
        <f t="shared" si="61"/>
        <v>82.5856687598621+248.879556692651i</v>
      </c>
      <c r="N110" s="270" t="str">
        <f t="shared" si="62"/>
        <v>55.2725849032299+186.659667519488i</v>
      </c>
      <c r="O110" s="581" t="str">
        <f t="shared" si="63"/>
        <v>39.118122239413+90.9228933084023i</v>
      </c>
      <c r="P110" s="582" t="str">
        <f t="shared" si="64"/>
        <v>42.1978465770581-6.92346853425947i</v>
      </c>
      <c r="Q110" s="583" t="str">
        <f t="shared" si="65"/>
        <v>41.8066653546639-7.83269746734352i</v>
      </c>
      <c r="R110" s="581" t="str">
        <f t="shared" si="87"/>
        <v>4.18389939006719+10.9726162561794i</v>
      </c>
      <c r="S110" s="253" t="str">
        <f t="shared" si="88"/>
        <v>49.2526580198785+5.9868513921004i</v>
      </c>
      <c r="T110" s="253" t="str">
        <f t="shared" si="89"/>
        <v>18.7165662457603+0.656504277833232i</v>
      </c>
      <c r="U110" s="253" t="str">
        <f t="shared" si="90"/>
        <v>2.03897851238972-7.78526050559118i</v>
      </c>
      <c r="V110" s="582" t="str">
        <f t="shared" si="66"/>
        <v>6000</v>
      </c>
      <c r="W110" s="584" t="str">
        <f t="shared" si="67"/>
        <v>1+19564.1488043645i</v>
      </c>
      <c r="X110" s="585">
        <f t="shared" si="68"/>
        <v>19564.148829921451</v>
      </c>
      <c r="Y110" s="586">
        <f t="shared" si="69"/>
        <v>1.5707452128921591</v>
      </c>
      <c r="Z110" s="273" t="str">
        <f t="shared" si="70"/>
        <v>1+2.93418219332567i</v>
      </c>
      <c r="AA110" s="585">
        <f t="shared" si="71"/>
        <v>3.0999072798439369</v>
      </c>
      <c r="AB110" s="586">
        <f t="shared" si="72"/>
        <v>1.2423315153340568</v>
      </c>
      <c r="AC110" s="584" t="str">
        <f t="shared" si="73"/>
        <v>1+0.141854380145235i</v>
      </c>
      <c r="AD110" s="585">
        <f t="shared" si="74"/>
        <v>1.0100112203170759</v>
      </c>
      <c r="AE110" s="586">
        <f t="shared" si="75"/>
        <v>0.14091420948445971</v>
      </c>
      <c r="AF110" s="580" t="str">
        <f t="shared" si="91"/>
        <v>0.839490055207914-0.425722761697663i</v>
      </c>
      <c r="AG110" s="270">
        <f t="shared" si="92"/>
        <v>0.94126692421463087</v>
      </c>
      <c r="AH110" s="581">
        <f t="shared" si="93"/>
        <v>-0.46932790704256161</v>
      </c>
      <c r="AI110" s="582" t="str">
        <f t="shared" si="76"/>
        <v>4000</v>
      </c>
      <c r="AJ110" s="584" t="str">
        <f t="shared" si="94"/>
        <v>1+1537.00637079652i</v>
      </c>
      <c r="AK110" s="585">
        <f t="shared" si="95"/>
        <v>1537.0066961041809</v>
      </c>
      <c r="AL110" s="586">
        <f t="shared" si="96"/>
        <v>1.5701457114962876</v>
      </c>
      <c r="AM110" s="273" t="str">
        <f t="shared" si="97"/>
        <v>1+0.0537933402109707i</v>
      </c>
      <c r="AN110" s="585">
        <f t="shared" si="98"/>
        <v>1.0014458165328033</v>
      </c>
      <c r="AO110" s="586">
        <f t="shared" si="99"/>
        <v>5.3741542430983467E-2</v>
      </c>
      <c r="AP110" s="584" t="str">
        <f t="shared" si="100"/>
        <v>1+0.000389182451518278i</v>
      </c>
      <c r="AQ110" s="585">
        <f t="shared" si="101"/>
        <v>1.0000000757314875</v>
      </c>
      <c r="AR110" s="586">
        <f t="shared" si="102"/>
        <v>3.8918243186936846E-4</v>
      </c>
      <c r="AS110" s="580" t="str">
        <f t="shared" si="103"/>
        <v>0.140675423938713-2.60242412549972i</v>
      </c>
      <c r="AT110" s="270">
        <f t="shared" si="104"/>
        <v>2.6062234946150187</v>
      </c>
      <c r="AU110" s="581">
        <f t="shared" si="105"/>
        <v>-1.5167933514971734</v>
      </c>
      <c r="AV110" s="580" t="str">
        <f t="shared" si="106"/>
        <v>0.0434146346242631-0.486160895268786i</v>
      </c>
      <c r="AW110" s="270">
        <f t="shared" si="107"/>
        <v>-6.2299033889387276</v>
      </c>
      <c r="AX110" s="581">
        <f t="shared" si="108"/>
        <v>-84.896968146670119</v>
      </c>
      <c r="AY110" s="299">
        <f t="shared" si="77"/>
        <v>95.103031853329881</v>
      </c>
      <c r="BB110" s="270">
        <f t="shared" si="111"/>
        <v>-31.679766888998525</v>
      </c>
      <c r="BC110" s="270">
        <f t="shared" si="112"/>
        <v>-86.905857434291221</v>
      </c>
      <c r="BD110" s="286"/>
      <c r="BE110" s="270">
        <f t="shared" si="109"/>
        <v>25.449863500059795</v>
      </c>
      <c r="BF110" s="581">
        <f t="shared" si="110"/>
        <v>2.0088892876211055</v>
      </c>
      <c r="BI110" s="286"/>
      <c r="BJ110" s="286"/>
      <c r="BL110" s="253">
        <f t="shared" si="78"/>
        <v>0</v>
      </c>
      <c r="BM110" s="253">
        <f t="shared" si="113"/>
        <v>0</v>
      </c>
      <c r="BN110" s="253">
        <f t="shared" si="80"/>
        <v>0</v>
      </c>
      <c r="BO110" s="253">
        <f t="shared" si="81"/>
        <v>0</v>
      </c>
    </row>
    <row r="111" spans="4:67" ht="13.6" thickBot="1" x14ac:dyDescent="0.25">
      <c r="D111" s="280">
        <v>5623.4</v>
      </c>
      <c r="E111" s="273" t="str">
        <f t="shared" si="59"/>
        <v>0.0635991556615086i</v>
      </c>
      <c r="F111" s="579" t="str">
        <f t="shared" si="82"/>
        <v>0.002-0.435419423485642i</v>
      </c>
      <c r="G111" s="270" t="str">
        <f t="shared" si="83"/>
        <v>0.002-0.435419423485642i</v>
      </c>
      <c r="H111" s="271" t="str">
        <f t="shared" si="84"/>
        <v>0.0922404934443847-0.414922849397452i</v>
      </c>
      <c r="I111" s="271" t="str">
        <f t="shared" si="85"/>
        <v>0.102240493444385-0.414922849397452i</v>
      </c>
      <c r="J111" s="270" t="str">
        <f t="shared" si="86"/>
        <v>0.0269084706803142-0.215520202857791i</v>
      </c>
      <c r="K111" s="271" t="str">
        <f t="shared" si="60"/>
        <v>0.999201468963915-0.0443880204226051i</v>
      </c>
      <c r="L111" s="580"/>
      <c r="M111" s="580" t="str">
        <f t="shared" si="61"/>
        <v>86.2757943249187+257.303905003839i</v>
      </c>
      <c r="N111" s="270" t="str">
        <f t="shared" si="62"/>
        <v>58.0401790770223+192.977928752879i</v>
      </c>
      <c r="O111" s="581" t="str">
        <f t="shared" si="63"/>
        <v>40.7829275974166+93.9517990484614i</v>
      </c>
      <c r="P111" s="582" t="str">
        <f t="shared" si="64"/>
        <v>43.1524148088711-7.31609023078776i</v>
      </c>
      <c r="Q111" s="583" t="str">
        <f t="shared" si="65"/>
        <v>42.7445855328967-8.25560822127232i</v>
      </c>
      <c r="R111" s="581" t="str">
        <f t="shared" si="87"/>
        <v>4.37129868863412+11.3401117794991i</v>
      </c>
      <c r="S111" s="253" t="str">
        <f t="shared" si="88"/>
        <v>49.3106498922847+5.88704356985913i</v>
      </c>
      <c r="T111" s="253" t="str">
        <f t="shared" si="89"/>
        <v>18.7322034866607+0.614842613413276i</v>
      </c>
      <c r="U111" s="253" t="str">
        <f t="shared" si="90"/>
        <v>1.98297994199862-7.71570586012626i</v>
      </c>
      <c r="V111" s="582" t="str">
        <f t="shared" si="66"/>
        <v>6000</v>
      </c>
      <c r="W111" s="584" t="str">
        <f t="shared" si="67"/>
        <v>1+19789.3719441781i</v>
      </c>
      <c r="X111" s="585">
        <f t="shared" si="68"/>
        <v>19789.371969444186</v>
      </c>
      <c r="Y111" s="586">
        <f t="shared" si="69"/>
        <v>1.5707457946202541</v>
      </c>
      <c r="Z111" s="273" t="str">
        <f t="shared" si="70"/>
        <v>1+2.96796059753707i</v>
      </c>
      <c r="AA111" s="585">
        <f t="shared" si="71"/>
        <v>3.1318988024092671</v>
      </c>
      <c r="AB111" s="586">
        <f t="shared" si="72"/>
        <v>1.2458107488624717</v>
      </c>
      <c r="AC111" s="584" t="str">
        <f t="shared" si="73"/>
        <v>1+0.143487412546087i</v>
      </c>
      <c r="AD111" s="585">
        <f t="shared" si="74"/>
        <v>1.0102418708206322</v>
      </c>
      <c r="AE111" s="586">
        <f t="shared" si="75"/>
        <v>0.1425146643242988</v>
      </c>
      <c r="AF111" s="580" t="str">
        <f t="shared" si="91"/>
        <v>0.839106419816562-0.423548784232945i</v>
      </c>
      <c r="AG111" s="270">
        <f t="shared" si="92"/>
        <v>0.93994316658113652</v>
      </c>
      <c r="AH111" s="581">
        <f t="shared" si="93"/>
        <v>-0.46744971008208053</v>
      </c>
      <c r="AI111" s="582" t="str">
        <f t="shared" si="76"/>
        <v>4000</v>
      </c>
      <c r="AJ111" s="584" t="str">
        <f t="shared" si="94"/>
        <v>1+1554.70043989228i</v>
      </c>
      <c r="AK111" s="585">
        <f t="shared" si="95"/>
        <v>1554.7007614976103</v>
      </c>
      <c r="AL111" s="586">
        <f t="shared" si="96"/>
        <v>1.570153116156735</v>
      </c>
      <c r="AM111" s="273" t="str">
        <f t="shared" si="97"/>
        <v>1+0.0544126109548463i</v>
      </c>
      <c r="AN111" s="585">
        <f t="shared" si="98"/>
        <v>1.0014792719926477</v>
      </c>
      <c r="AO111" s="586">
        <f t="shared" si="99"/>
        <v>5.4359005758711533E-2</v>
      </c>
      <c r="AP111" s="584" t="str">
        <f t="shared" si="100"/>
        <v>1+0.00039366273300498i</v>
      </c>
      <c r="AQ111" s="585">
        <f t="shared" si="101"/>
        <v>1.0000000774851707</v>
      </c>
      <c r="AR111" s="586">
        <f t="shared" si="102"/>
        <v>3.9366271266963172E-4</v>
      </c>
      <c r="AS111" s="580" t="str">
        <f t="shared" si="103"/>
        <v>0.140637103426481-2.57280716029624i</v>
      </c>
      <c r="AT111" s="270">
        <f t="shared" si="104"/>
        <v>2.5766481092558591</v>
      </c>
      <c r="AU111" s="581">
        <f t="shared" si="105"/>
        <v>-1.5161877731106932</v>
      </c>
      <c r="AV111" s="580" t="str">
        <f t="shared" si="106"/>
        <v>0.0421631431740432-0.481078775743932i</v>
      </c>
      <c r="AW111" s="270">
        <f t="shared" si="107"/>
        <v>-6.3224441542832732</v>
      </c>
      <c r="AX111" s="581">
        <f t="shared" si="108"/>
        <v>-84.991229656955397</v>
      </c>
      <c r="AY111" s="299">
        <f t="shared" si="77"/>
        <v>95.008770343044603</v>
      </c>
      <c r="BB111" s="270">
        <f t="shared" si="111"/>
        <v>-31.778897772897135</v>
      </c>
      <c r="BC111" s="270">
        <f t="shared" si="112"/>
        <v>-86.871160348581569</v>
      </c>
      <c r="BD111" s="286"/>
      <c r="BE111" s="270">
        <f t="shared" si="109"/>
        <v>25.456453618613871</v>
      </c>
      <c r="BF111" s="581">
        <f t="shared" si="110"/>
        <v>1.879930691626168</v>
      </c>
      <c r="BI111" s="286"/>
      <c r="BJ111" s="286"/>
      <c r="BL111" s="253">
        <f t="shared" si="78"/>
        <v>0</v>
      </c>
      <c r="BM111" s="253">
        <f t="shared" si="113"/>
        <v>0</v>
      </c>
      <c r="BN111" s="253">
        <f t="shared" si="80"/>
        <v>0</v>
      </c>
      <c r="BO111" s="253">
        <f t="shared" si="81"/>
        <v>0</v>
      </c>
    </row>
    <row r="112" spans="4:67" ht="13.6" thickBot="1" x14ac:dyDescent="0.25">
      <c r="D112" s="280">
        <v>5688.9</v>
      </c>
      <c r="E112" s="273" t="str">
        <f t="shared" si="59"/>
        <v>0.0643399432092251i</v>
      </c>
      <c r="F112" s="579" t="str">
        <f t="shared" si="82"/>
        <v>0.002-0.430406156907162i</v>
      </c>
      <c r="G112" s="270" t="str">
        <f t="shared" si="83"/>
        <v>0.002-0.430406156907162i</v>
      </c>
      <c r="H112" s="271" t="str">
        <f t="shared" si="84"/>
        <v>0.0902656906925646-0.410570132259124i</v>
      </c>
      <c r="I112" s="271" t="str">
        <f t="shared" si="85"/>
        <v>0.100265690692565-0.410570132259124i</v>
      </c>
      <c r="J112" s="270" t="str">
        <f t="shared" si="86"/>
        <v>0.0263784649217455-0.213096368623452i</v>
      </c>
      <c r="K112" s="271" t="str">
        <f t="shared" si="60"/>
        <v>0.99918275843514-0.0449050413241381i</v>
      </c>
      <c r="L112" s="580"/>
      <c r="M112" s="580" t="str">
        <f t="shared" si="61"/>
        <v>90.3697267335768+266.375986487278i</v>
      </c>
      <c r="N112" s="270" t="str">
        <f t="shared" si="62"/>
        <v>61.1106283835159+199.781989865459i</v>
      </c>
      <c r="O112" s="581" t="str">
        <f t="shared" si="63"/>
        <v>42.6219155911533+97.2094708859153i</v>
      </c>
      <c r="P112" s="582" t="str">
        <f t="shared" si="64"/>
        <v>44.184821123857-7.75251078116197i</v>
      </c>
      <c r="Q112" s="583" t="str">
        <f t="shared" si="65"/>
        <v>43.7586019679453-8.72460549002113i</v>
      </c>
      <c r="R112" s="581" t="str">
        <f t="shared" si="87"/>
        <v>4.57857945135298+11.7355380958165i</v>
      </c>
      <c r="S112" s="253" t="str">
        <f t="shared" si="88"/>
        <v>49.3682198157889+5.78599297660392i</v>
      </c>
      <c r="T112" s="253" t="str">
        <f t="shared" si="89"/>
        <v>18.747671924612+0.572526107402918i</v>
      </c>
      <c r="U112" s="253" t="str">
        <f t="shared" si="90"/>
        <v>1.92733367479092-7.64555467711437i</v>
      </c>
      <c r="V112" s="582" t="str">
        <f t="shared" si="66"/>
        <v>6000</v>
      </c>
      <c r="W112" s="584" t="str">
        <f t="shared" si="67"/>
        <v>1+20019.8737513309i</v>
      </c>
      <c r="X112" s="585">
        <f t="shared" si="68"/>
        <v>20019.873776306082</v>
      </c>
      <c r="Y112" s="586">
        <f t="shared" si="69"/>
        <v>1.5707463764299947</v>
      </c>
      <c r="Z112" s="273" t="str">
        <f t="shared" si="70"/>
        <v>1+3.00253068309717i</v>
      </c>
      <c r="AA112" s="585">
        <f t="shared" si="71"/>
        <v>3.1646785781402755</v>
      </c>
      <c r="AB112" s="586">
        <f t="shared" si="72"/>
        <v>1.249298648717629</v>
      </c>
      <c r="AC112" s="584" t="str">
        <f t="shared" si="73"/>
        <v>1+0.145158719143833i</v>
      </c>
      <c r="AD112" s="585">
        <f t="shared" si="74"/>
        <v>1.0104806053277213</v>
      </c>
      <c r="AE112" s="586">
        <f t="shared" si="75"/>
        <v>0.14415186899475463</v>
      </c>
      <c r="AF112" s="580" t="str">
        <f t="shared" si="91"/>
        <v>0.838709631330546-0.42140325614419i</v>
      </c>
      <c r="AG112" s="270">
        <f t="shared" si="92"/>
        <v>0.93862375314901658</v>
      </c>
      <c r="AH112" s="581">
        <f t="shared" si="93"/>
        <v>-0.46559959670712076</v>
      </c>
      <c r="AI112" s="582" t="str">
        <f t="shared" si="76"/>
        <v>4000</v>
      </c>
      <c r="AJ112" s="584" t="str">
        <f t="shared" si="94"/>
        <v>1+1572.80921373247i</v>
      </c>
      <c r="AK112" s="585">
        <f t="shared" si="95"/>
        <v>1572.80953163495</v>
      </c>
      <c r="AL112" s="586">
        <f t="shared" si="96"/>
        <v>1.5701605218564976</v>
      </c>
      <c r="AM112" s="273" t="str">
        <f t="shared" si="97"/>
        <v>1+0.0550463958567814i</v>
      </c>
      <c r="AN112" s="585">
        <f t="shared" si="98"/>
        <v>1.0015139068913728</v>
      </c>
      <c r="AO112" s="586">
        <f t="shared" si="99"/>
        <v>5.4990897921435383E-2</v>
      </c>
      <c r="AP112" s="584" t="str">
        <f t="shared" si="100"/>
        <v>1+0.000398248021089025i</v>
      </c>
      <c r="AQ112" s="585">
        <f t="shared" si="101"/>
        <v>1.00000007930074</v>
      </c>
      <c r="AR112" s="586">
        <f t="shared" si="102"/>
        <v>3.9824800003478427E-4</v>
      </c>
      <c r="AS112" s="580" t="str">
        <f t="shared" si="103"/>
        <v>0.140599216227182-2.54318605200979i</v>
      </c>
      <c r="AT112" s="270">
        <f t="shared" si="104"/>
        <v>2.5470695779151464</v>
      </c>
      <c r="AU112" s="581">
        <f t="shared" si="105"/>
        <v>-1.5155678719350969</v>
      </c>
      <c r="AV112" s="580" t="str">
        <f t="shared" si="106"/>
        <v>0.0409194838944335-0.475983210243583i</v>
      </c>
      <c r="AW112" s="270">
        <f t="shared" si="107"/>
        <v>-6.4161885795629985</v>
      </c>
      <c r="AX112" s="581">
        <f t="shared" si="108"/>
        <v>-85.086458090022944</v>
      </c>
      <c r="AY112" s="299">
        <f t="shared" si="77"/>
        <v>94.913541909977056</v>
      </c>
      <c r="BB112" s="270">
        <f t="shared" si="111"/>
        <v>-31.879183826350896</v>
      </c>
      <c r="BC112" s="270">
        <f t="shared" si="112"/>
        <v>-86.835642627504697</v>
      </c>
      <c r="BD112" s="286"/>
      <c r="BE112" s="270">
        <f t="shared" si="109"/>
        <v>25.462995246787901</v>
      </c>
      <c r="BF112" s="581">
        <f t="shared" si="110"/>
        <v>1.7491845374817492</v>
      </c>
      <c r="BI112" s="286"/>
      <c r="BJ112" s="286"/>
      <c r="BL112" s="253">
        <f t="shared" si="78"/>
        <v>0</v>
      </c>
      <c r="BM112" s="253">
        <f t="shared" si="113"/>
        <v>0</v>
      </c>
      <c r="BN112" s="253">
        <f t="shared" si="80"/>
        <v>0</v>
      </c>
      <c r="BO112" s="253">
        <f t="shared" si="81"/>
        <v>0</v>
      </c>
    </row>
    <row r="113" spans="4:67" ht="13.6" thickBot="1" x14ac:dyDescent="0.25">
      <c r="D113" s="280">
        <v>5754.4</v>
      </c>
      <c r="E113" s="273" t="str">
        <f t="shared" si="59"/>
        <v>0.0650807307569416i</v>
      </c>
      <c r="F113" s="579" t="str">
        <f t="shared" si="82"/>
        <v>0.002-0.425507018286731i</v>
      </c>
      <c r="G113" s="270" t="str">
        <f t="shared" si="83"/>
        <v>0.002-0.425507018286731i</v>
      </c>
      <c r="H113" s="271" t="str">
        <f t="shared" si="84"/>
        <v>0.0883540521152534-0.406303080571604i</v>
      </c>
      <c r="I113" s="271" t="str">
        <f t="shared" si="85"/>
        <v>0.0983540521152534-0.406303080571604i</v>
      </c>
      <c r="J113" s="270" t="str">
        <f t="shared" si="86"/>
        <v>0.0258661848978889-0.210725838672012i</v>
      </c>
      <c r="K113" s="271" t="str">
        <f t="shared" si="60"/>
        <v>0.999163831232545-0.0454220622256711i</v>
      </c>
      <c r="L113" s="580"/>
      <c r="M113" s="580" t="str">
        <f t="shared" si="61"/>
        <v>94.8220538286393+275.939964938531i</v>
      </c>
      <c r="N113" s="270" t="str">
        <f t="shared" si="62"/>
        <v>64.4498737048128+206.954973703898i</v>
      </c>
      <c r="O113" s="581" t="str">
        <f t="shared" si="63"/>
        <v>44.6129509328118+100.639080049321i</v>
      </c>
      <c r="P113" s="582" t="str">
        <f t="shared" si="64"/>
        <v>45.2778327509924-8.22811807338917i</v>
      </c>
      <c r="Q113" s="583" t="str">
        <f t="shared" si="65"/>
        <v>44.8317032416643-9.23450887388238i</v>
      </c>
      <c r="R113" s="581" t="str">
        <f t="shared" si="87"/>
        <v>4.80330657911321+12.1520343704464i</v>
      </c>
      <c r="S113" s="253" t="str">
        <f t="shared" si="88"/>
        <v>49.4240536197124+5.68603657893906i</v>
      </c>
      <c r="T113" s="253" t="str">
        <f t="shared" si="89"/>
        <v>18.7626180281286+0.530530574128123i</v>
      </c>
      <c r="U113" s="253" t="str">
        <f t="shared" si="90"/>
        <v>1.87330953768156-7.57643497842172i</v>
      </c>
      <c r="V113" s="582" t="str">
        <f t="shared" si="66"/>
        <v>6000</v>
      </c>
      <c r="W113" s="584" t="str">
        <f t="shared" si="67"/>
        <v>1+20250.3755584839i</v>
      </c>
      <c r="X113" s="585">
        <f t="shared" si="68"/>
        <v>20250.375583174799</v>
      </c>
      <c r="Y113" s="586">
        <f t="shared" si="69"/>
        <v>1.5707469449947271</v>
      </c>
      <c r="Z113" s="273" t="str">
        <f t="shared" si="70"/>
        <v>1+3.03710076865727i</v>
      </c>
      <c r="AA113" s="585">
        <f t="shared" si="71"/>
        <v>3.1974960639504437</v>
      </c>
      <c r="AB113" s="586">
        <f t="shared" si="72"/>
        <v>1.2527149933389705</v>
      </c>
      <c r="AC113" s="584" t="str">
        <f t="shared" si="73"/>
        <v>1+0.14683002574158i</v>
      </c>
      <c r="AD113" s="585">
        <f t="shared" si="74"/>
        <v>1.0107220470828135</v>
      </c>
      <c r="AE113" s="586">
        <f t="shared" si="75"/>
        <v>0.14578829585738262</v>
      </c>
      <c r="AF113" s="580" t="str">
        <f t="shared" si="91"/>
        <v>0.83830864483104-0.419335243480939i</v>
      </c>
      <c r="AG113" s="270">
        <f t="shared" si="92"/>
        <v>0.93733848231237848</v>
      </c>
      <c r="AH113" s="581">
        <f t="shared" si="93"/>
        <v>-0.46382024751313949</v>
      </c>
      <c r="AI113" s="582" t="str">
        <f t="shared" si="76"/>
        <v>4000</v>
      </c>
      <c r="AJ113" s="584" t="str">
        <f t="shared" si="94"/>
        <v>1+1590.91798757266i</v>
      </c>
      <c r="AK113" s="585">
        <f t="shared" si="95"/>
        <v>1590.9183018565859</v>
      </c>
      <c r="AL113" s="586">
        <f t="shared" si="96"/>
        <v>1.5701677589641774</v>
      </c>
      <c r="AM113" s="273" t="str">
        <f t="shared" si="97"/>
        <v>1+0.0556801807587167i</v>
      </c>
      <c r="AN113" s="585">
        <f t="shared" si="98"/>
        <v>1.0015489416545371</v>
      </c>
      <c r="AO113" s="586">
        <f t="shared" si="99"/>
        <v>5.5622746128524955E-2</v>
      </c>
      <c r="AP113" s="584" t="str">
        <f t="shared" si="100"/>
        <v>1+0.000402833309173072i</v>
      </c>
      <c r="AQ113" s="585">
        <f t="shared" si="101"/>
        <v>1.0000000811373342</v>
      </c>
      <c r="AR113" s="586">
        <f t="shared" si="102"/>
        <v>4.0283328738319267E-4</v>
      </c>
      <c r="AS113" s="580" t="str">
        <f t="shared" si="103"/>
        <v>0.14056261539066-2.51423928753251i</v>
      </c>
      <c r="AT113" s="270">
        <f t="shared" si="104"/>
        <v>2.5181654123225199</v>
      </c>
      <c r="AU113" s="581">
        <f t="shared" si="105"/>
        <v>-1.5149478461230357</v>
      </c>
      <c r="AV113" s="580" t="str">
        <f t="shared" si="106"/>
        <v>0.0397120347431981-0.470991386182425i</v>
      </c>
      <c r="AW113" s="270">
        <f t="shared" si="107"/>
        <v>-6.5089752447699789</v>
      </c>
      <c r="AX113" s="581">
        <f t="shared" si="108"/>
        <v>-85.18045757149828</v>
      </c>
      <c r="AY113" s="299">
        <f t="shared" si="77"/>
        <v>94.81954242850172</v>
      </c>
      <c r="BB113" s="270">
        <f t="shared" si="111"/>
        <v>-31.978314910302327</v>
      </c>
      <c r="BC113" s="270">
        <f t="shared" si="112"/>
        <v>-86.800117765284412</v>
      </c>
      <c r="BD113" s="286"/>
      <c r="BE113" s="270">
        <f t="shared" si="109"/>
        <v>25.469339665532349</v>
      </c>
      <c r="BF113" s="581">
        <f t="shared" si="110"/>
        <v>1.6196601937861304</v>
      </c>
      <c r="BI113" s="286"/>
      <c r="BJ113" s="286"/>
      <c r="BL113" s="253">
        <f t="shared" si="78"/>
        <v>0</v>
      </c>
      <c r="BM113" s="253">
        <f t="shared" si="113"/>
        <v>0</v>
      </c>
      <c r="BN113" s="253">
        <f t="shared" si="80"/>
        <v>0</v>
      </c>
      <c r="BO113" s="253">
        <f t="shared" si="81"/>
        <v>0</v>
      </c>
    </row>
    <row r="114" spans="4:67" ht="13.6" thickBot="1" x14ac:dyDescent="0.25">
      <c r="D114" s="280">
        <v>5821.4</v>
      </c>
      <c r="E114" s="273" t="str">
        <f t="shared" si="59"/>
        <v>0.0658384829049874i</v>
      </c>
      <c r="F114" s="579" t="str">
        <f t="shared" si="82"/>
        <v>0.002-0.420609747831992i</v>
      </c>
      <c r="G114" s="270" t="str">
        <f t="shared" si="83"/>
        <v>0.002-0.420609747831992i</v>
      </c>
      <c r="H114" s="271" t="str">
        <f t="shared" si="84"/>
        <v>0.0864612507220613-0.402024500899371i</v>
      </c>
      <c r="I114" s="271" t="str">
        <f t="shared" si="85"/>
        <v>0.0964612507220613-0.402024500899371i</v>
      </c>
      <c r="J114" s="270" t="str">
        <f t="shared" si="86"/>
        <v>0.0253597008321468-0.208354380540707i</v>
      </c>
      <c r="K114" s="271" t="str">
        <f t="shared" si="60"/>
        <v>0.999144246408929-0.0459509233005217i</v>
      </c>
      <c r="L114" s="580"/>
      <c r="M114" s="580" t="str">
        <f t="shared" si="61"/>
        <v>99.7923810744464+286.273985361267i</v>
      </c>
      <c r="N114" s="270" t="str">
        <f t="shared" si="62"/>
        <v>68.1776191391681+214.70548902095i</v>
      </c>
      <c r="O114" s="581" t="str">
        <f t="shared" si="63"/>
        <v>46.8253536998066+104.339314920461i</v>
      </c>
      <c r="P114" s="582" t="str">
        <f t="shared" si="64"/>
        <v>46.463793188467-8.76023863389055i</v>
      </c>
      <c r="Q114" s="583" t="str">
        <f t="shared" si="65"/>
        <v>45.9955396514688-9.80363178309517i</v>
      </c>
      <c r="R114" s="581" t="str">
        <f t="shared" si="87"/>
        <v>5.05337533396198+12.6016306224718i</v>
      </c>
      <c r="S114" s="253" t="str">
        <f t="shared" si="88"/>
        <v>49.4794358114433+5.58490712566215i</v>
      </c>
      <c r="T114" s="253" t="str">
        <f t="shared" si="89"/>
        <v>18.7773852545712+0.487900726913353i</v>
      </c>
      <c r="U114" s="253" t="str">
        <f t="shared" si="90"/>
        <v>1.81966426062599-7.50678442808707i</v>
      </c>
      <c r="V114" s="582" t="str">
        <f t="shared" si="66"/>
        <v>6000</v>
      </c>
      <c r="W114" s="584" t="str">
        <f t="shared" si="67"/>
        <v>1+20486.1560329761i</v>
      </c>
      <c r="X114" s="585">
        <f t="shared" si="68"/>
        <v>20486.156057382828</v>
      </c>
      <c r="Y114" s="586">
        <f t="shared" si="69"/>
        <v>1.5707475133426514</v>
      </c>
      <c r="Z114" s="273" t="str">
        <f t="shared" si="70"/>
        <v>1+3.07246253556608i</v>
      </c>
      <c r="AA114" s="585">
        <f t="shared" si="71"/>
        <v>3.2311029126998023</v>
      </c>
      <c r="AB114" s="586">
        <f t="shared" si="72"/>
        <v>1.2561377340125797</v>
      </c>
      <c r="AC114" s="584" t="str">
        <f t="shared" si="73"/>
        <v>1+0.148539606536222i</v>
      </c>
      <c r="AD114" s="585">
        <f t="shared" si="74"/>
        <v>1.0109718169711437</v>
      </c>
      <c r="AE114" s="586">
        <f t="shared" si="75"/>
        <v>0.14746138486144839</v>
      </c>
      <c r="AF114" s="580" t="str">
        <f t="shared" si="91"/>
        <v>0.837894144694728-0.417297254060485i</v>
      </c>
      <c r="AG114" s="270">
        <f t="shared" si="92"/>
        <v>0.93605747470982303</v>
      </c>
      <c r="AH114" s="581">
        <f t="shared" si="93"/>
        <v>-0.46207116419152044</v>
      </c>
      <c r="AI114" s="582" t="str">
        <f t="shared" si="76"/>
        <v>4000</v>
      </c>
      <c r="AJ114" s="584" t="str">
        <f t="shared" si="94"/>
        <v>1+1609.44146615729i</v>
      </c>
      <c r="AK114" s="585">
        <f t="shared" si="95"/>
        <v>1609.4417768240414</v>
      </c>
      <c r="AL114" s="586">
        <f t="shared" si="96"/>
        <v>1.5701749933122304</v>
      </c>
      <c r="AM114" s="273" t="str">
        <f t="shared" si="97"/>
        <v>1+0.0563284798187114i</v>
      </c>
      <c r="AN114" s="585">
        <f t="shared" si="98"/>
        <v>1.0015851924018679</v>
      </c>
      <c r="AO114" s="586">
        <f t="shared" si="99"/>
        <v>5.6269018143678899E-2</v>
      </c>
      <c r="AP114" s="584" t="str">
        <f t="shared" si="100"/>
        <v>1+0.000407523603854463i</v>
      </c>
      <c r="AQ114" s="585">
        <f t="shared" si="101"/>
        <v>1.0000000830377405</v>
      </c>
      <c r="AR114" s="586">
        <f t="shared" si="102"/>
        <v>4.0752358129457147E-4</v>
      </c>
      <c r="AS114" s="580" t="str">
        <f t="shared" si="103"/>
        <v>0.140526447244008-2.48530357523741i</v>
      </c>
      <c r="AT114" s="270">
        <f t="shared" si="104"/>
        <v>2.4892732962579416</v>
      </c>
      <c r="AU114" s="581">
        <f t="shared" si="105"/>
        <v>-1.5143134987498461</v>
      </c>
      <c r="AV114" s="580" t="str">
        <f t="shared" si="106"/>
        <v>0.038513006593156-0.465989397510351i</v>
      </c>
      <c r="AW114" s="270">
        <f t="shared" si="107"/>
        <v>-6.6029149614242799</v>
      </c>
      <c r="AX114" s="581">
        <f t="shared" si="108"/>
        <v>-85.275366814231333</v>
      </c>
      <c r="AY114" s="299">
        <f t="shared" si="77"/>
        <v>94.724633185768667</v>
      </c>
      <c r="BB114" s="270">
        <f t="shared" si="111"/>
        <v>-32.078548395341272</v>
      </c>
      <c r="BC114" s="270">
        <f t="shared" si="112"/>
        <v>-86.763772338055446</v>
      </c>
      <c r="BD114" s="286"/>
      <c r="BE114" s="270">
        <f t="shared" si="109"/>
        <v>25.475633433917004</v>
      </c>
      <c r="BF114" s="581">
        <f t="shared" si="110"/>
        <v>1.4884055238241067</v>
      </c>
      <c r="BI114" s="286"/>
      <c r="BJ114" s="286"/>
      <c r="BL114" s="253">
        <f t="shared" si="78"/>
        <v>0</v>
      </c>
      <c r="BM114" s="253">
        <f t="shared" si="113"/>
        <v>0</v>
      </c>
      <c r="BN114" s="253">
        <f t="shared" si="80"/>
        <v>0</v>
      </c>
      <c r="BO114" s="253">
        <f t="shared" si="81"/>
        <v>0</v>
      </c>
    </row>
    <row r="115" spans="4:67" ht="13.6" thickBot="1" x14ac:dyDescent="0.25">
      <c r="D115" s="280">
        <v>5888.4</v>
      </c>
      <c r="E115" s="273" t="str">
        <f t="shared" si="59"/>
        <v>0.0665962350530333i</v>
      </c>
      <c r="F115" s="579" t="str">
        <f t="shared" si="82"/>
        <v>0.002-0.415823922632491i</v>
      </c>
      <c r="G115" s="270" t="str">
        <f t="shared" si="83"/>
        <v>0.002-0.415823922632491i</v>
      </c>
      <c r="H115" s="271" t="str">
        <f t="shared" si="84"/>
        <v>0.0846291286188875-0.39783068383302i</v>
      </c>
      <c r="I115" s="271" t="str">
        <f t="shared" si="85"/>
        <v>0.0946291286188875-0.39783068383302i</v>
      </c>
      <c r="J115" s="270" t="str">
        <f t="shared" si="86"/>
        <v>0.0248701608822266-0.206035138104441i</v>
      </c>
      <c r="K115" s="271" t="str">
        <f t="shared" si="60"/>
        <v>0.999124434873867-0.0464797843753722i</v>
      </c>
      <c r="L115" s="580"/>
      <c r="M115" s="580" t="str">
        <f t="shared" si="61"/>
        <v>105.23682855+297.212589982415i</v>
      </c>
      <c r="N115" s="270" t="str">
        <f t="shared" si="62"/>
        <v>72.2609547458333+222.909442486811i</v>
      </c>
      <c r="O115" s="581" t="str">
        <f t="shared" si="63"/>
        <v>49.2372153791821+108.24968083334i</v>
      </c>
      <c r="P115" s="582" t="str">
        <f t="shared" si="64"/>
        <v>47.7243193375862-9.3445020938021i</v>
      </c>
      <c r="Q115" s="583" t="str">
        <f t="shared" si="65"/>
        <v>47.2319471837945-10.4269989021355i</v>
      </c>
      <c r="R115" s="581" t="str">
        <f t="shared" si="87"/>
        <v>5.32639208831493+13.0770301961118i</v>
      </c>
      <c r="S115" s="253" t="str">
        <f t="shared" si="88"/>
        <v>49.5331324419273+5.48488972513612i</v>
      </c>
      <c r="T115" s="253" t="str">
        <f t="shared" si="89"/>
        <v>18.7916441940065+0.445597173149477i</v>
      </c>
      <c r="U115" s="253" t="str">
        <f t="shared" si="90"/>
        <v>1.76759270156304-7.43818215956972i</v>
      </c>
      <c r="V115" s="582" t="str">
        <f t="shared" si="66"/>
        <v>6000</v>
      </c>
      <c r="W115" s="584" t="str">
        <f t="shared" si="67"/>
        <v>1+20721.9365074685i</v>
      </c>
      <c r="X115" s="585">
        <f t="shared" si="68"/>
        <v>20721.936531597519</v>
      </c>
      <c r="Y115" s="586">
        <f t="shared" si="69"/>
        <v>1.5707480687569058</v>
      </c>
      <c r="Z115" s="273" t="str">
        <f t="shared" si="70"/>
        <v>1+3.10782430247489i</v>
      </c>
      <c r="AA115" s="585">
        <f t="shared" si="71"/>
        <v>3.2647468347566457</v>
      </c>
      <c r="AB115" s="586">
        <f t="shared" si="72"/>
        <v>1.259489969121282</v>
      </c>
      <c r="AC115" s="584" t="str">
        <f t="shared" si="73"/>
        <v>1+0.150249187330864i</v>
      </c>
      <c r="AD115" s="585">
        <f t="shared" si="74"/>
        <v>1.0112244153962981</v>
      </c>
      <c r="AE115" s="586">
        <f t="shared" si="75"/>
        <v>0.14913364268731852</v>
      </c>
      <c r="AF115" s="580" t="str">
        <f t="shared" si="91"/>
        <v>0.837475277764566-0.415334781669782i</v>
      </c>
      <c r="AG115" s="270">
        <f t="shared" si="92"/>
        <v>0.93480897606490843</v>
      </c>
      <c r="AH115" s="581">
        <f t="shared" si="93"/>
        <v>-0.46039174232294272</v>
      </c>
      <c r="AI115" s="582" t="str">
        <f t="shared" si="76"/>
        <v>4000</v>
      </c>
      <c r="AJ115" s="584" t="str">
        <f t="shared" si="94"/>
        <v>1+1627.96494474192i</v>
      </c>
      <c r="AK115" s="585">
        <f t="shared" si="95"/>
        <v>1627.9652518738114</v>
      </c>
      <c r="AL115" s="586">
        <f t="shared" si="96"/>
        <v>1.5701820630311365</v>
      </c>
      <c r="AM115" s="273" t="str">
        <f t="shared" si="97"/>
        <v>1+0.0569767788787063i</v>
      </c>
      <c r="AN115" s="585">
        <f t="shared" si="98"/>
        <v>1.0016218614484176</v>
      </c>
      <c r="AO115" s="586">
        <f t="shared" si="99"/>
        <v>5.691524310911248E-2</v>
      </c>
      <c r="AP115" s="584" t="str">
        <f t="shared" si="100"/>
        <v>1+0.000412213898535854i</v>
      </c>
      <c r="AQ115" s="585">
        <f t="shared" si="101"/>
        <v>1.0000000849601454</v>
      </c>
      <c r="AR115" s="586">
        <f t="shared" si="102"/>
        <v>4.1221387518802018E-4</v>
      </c>
      <c r="AS115" s="580" t="str">
        <f t="shared" si="103"/>
        <v>0.14049150663174-2.45702635563263i</v>
      </c>
      <c r="AT115" s="270">
        <f t="shared" si="104"/>
        <v>2.4610396940539214</v>
      </c>
      <c r="AU115" s="581">
        <f t="shared" si="105"/>
        <v>-1.5136790337972121</v>
      </c>
      <c r="AV115" s="580" t="str">
        <f t="shared" si="106"/>
        <v>0.0373491040332722-0.461089624321383i</v>
      </c>
      <c r="AW115" s="270">
        <f t="shared" si="107"/>
        <v>-6.6958907346265564</v>
      </c>
      <c r="AX115" s="581">
        <f t="shared" si="108"/>
        <v>-85.369047615153036</v>
      </c>
      <c r="AY115" s="299">
        <f t="shared" si="77"/>
        <v>94.630952384846964</v>
      </c>
      <c r="BB115" s="270">
        <f t="shared" si="111"/>
        <v>-32.177627630295362</v>
      </c>
      <c r="BC115" s="270">
        <f t="shared" si="112"/>
        <v>-86.727420174020551</v>
      </c>
      <c r="BD115" s="286"/>
      <c r="BE115" s="270">
        <f t="shared" si="109"/>
        <v>25.481736895668799</v>
      </c>
      <c r="BF115" s="581">
        <f t="shared" si="110"/>
        <v>1.3583725588675248</v>
      </c>
      <c r="BI115" s="286"/>
      <c r="BJ115" s="286"/>
      <c r="BL115" s="253">
        <f t="shared" si="78"/>
        <v>0</v>
      </c>
      <c r="BM115" s="253">
        <f t="shared" si="113"/>
        <v>0</v>
      </c>
      <c r="BN115" s="253">
        <f t="shared" si="80"/>
        <v>0</v>
      </c>
      <c r="BO115" s="253">
        <f t="shared" si="81"/>
        <v>0</v>
      </c>
    </row>
    <row r="116" spans="4:67" ht="13.6" thickBot="1" x14ac:dyDescent="0.25">
      <c r="D116" s="280">
        <v>5957</v>
      </c>
      <c r="E116" s="273" t="str">
        <f t="shared" si="59"/>
        <v>0.0673720827747638i</v>
      </c>
      <c r="F116" s="579" t="str">
        <f t="shared" si="82"/>
        <v>0.002-0.411035351020507i</v>
      </c>
      <c r="G116" s="270" t="str">
        <f t="shared" si="83"/>
        <v>0.002-0.411035351020507i</v>
      </c>
      <c r="H116" s="271" t="str">
        <f t="shared" si="84"/>
        <v>0.082813484329922-0.393622094125991i</v>
      </c>
      <c r="I116" s="271" t="str">
        <f t="shared" si="85"/>
        <v>0.092813484329922-0.393622094125991i</v>
      </c>
      <c r="J116" s="270" t="str">
        <f t="shared" si="86"/>
        <v>0.0243857086762535-0.203712851544486i</v>
      </c>
      <c r="K116" s="271" t="str">
        <f t="shared" si="60"/>
        <v>0.999103915330421-0.0470212749684281i</v>
      </c>
      <c r="L116" s="580"/>
      <c r="M116" s="580" t="str">
        <f t="shared" si="61"/>
        <v>111.367942664253+309.093873555905i</v>
      </c>
      <c r="N116" s="270" t="str">
        <f t="shared" si="62"/>
        <v>76.859290331523+231.820405166929i</v>
      </c>
      <c r="O116" s="581" t="str">
        <f t="shared" si="63"/>
        <v>51.9398225950395+112.48948876621i</v>
      </c>
      <c r="P116" s="582" t="str">
        <f t="shared" si="64"/>
        <v>49.0990640458413-10.0041203355083i</v>
      </c>
      <c r="Q116" s="583" t="str">
        <f t="shared" si="65"/>
        <v>48.579665819891-11.1290152231704i</v>
      </c>
      <c r="R116" s="581" t="str">
        <f t="shared" si="87"/>
        <v>5.63279062049053+13.5928050946456i</v>
      </c>
      <c r="S116" s="253" t="str">
        <f t="shared" si="88"/>
        <v>49.5864296141138+5.3836183813279i</v>
      </c>
      <c r="T116" s="253" t="str">
        <f t="shared" si="89"/>
        <v>18.80573588402+0.402616319787959i</v>
      </c>
      <c r="U116" s="253" t="str">
        <f t="shared" si="90"/>
        <v>1.71584719286819-7.36901107995851i</v>
      </c>
      <c r="V116" s="582" t="str">
        <f t="shared" si="66"/>
        <v>6000</v>
      </c>
      <c r="W116" s="584" t="str">
        <f t="shared" si="67"/>
        <v>1+20963.3475604561i</v>
      </c>
      <c r="X116" s="585">
        <f t="shared" si="68"/>
        <v>20963.347584307252</v>
      </c>
      <c r="Y116" s="586">
        <f t="shared" si="69"/>
        <v>1.5707486244898923</v>
      </c>
      <c r="Z116" s="273" t="str">
        <f t="shared" si="70"/>
        <v>1+3.14403052948898i</v>
      </c>
      <c r="AA116" s="585">
        <f t="shared" si="71"/>
        <v>3.2992314211583822</v>
      </c>
      <c r="AB116" s="586">
        <f t="shared" si="72"/>
        <v>1.2628513815284366</v>
      </c>
      <c r="AC116" s="584" t="str">
        <f t="shared" si="73"/>
        <v>1+0.151999593935527i</v>
      </c>
      <c r="AD116" s="585">
        <f t="shared" si="74"/>
        <v>1.0114859744734799</v>
      </c>
      <c r="AE116" s="586">
        <f t="shared" si="75"/>
        <v>0.1508449647262961</v>
      </c>
      <c r="AF116" s="580" t="str">
        <f t="shared" si="91"/>
        <v>0.837041897391174-0.413400932466922i</v>
      </c>
      <c r="AG116" s="270">
        <f t="shared" si="92"/>
        <v>0.93356278254477199</v>
      </c>
      <c r="AH116" s="581">
        <f t="shared" si="93"/>
        <v>-0.45874220768775276</v>
      </c>
      <c r="AI116" s="582" t="str">
        <f t="shared" si="76"/>
        <v>4000</v>
      </c>
      <c r="AJ116" s="584" t="str">
        <f t="shared" si="94"/>
        <v>1+1646.93077505393i</v>
      </c>
      <c r="AK116" s="585">
        <f t="shared" si="95"/>
        <v>1646.9310786489332</v>
      </c>
      <c r="AL116" s="586">
        <f t="shared" si="96"/>
        <v>1.5701891368071608</v>
      </c>
      <c r="AM116" s="273" t="str">
        <f t="shared" si="97"/>
        <v>1+0.057640559707298i</v>
      </c>
      <c r="AN116" s="585">
        <f t="shared" si="98"/>
        <v>1.0016598395280558</v>
      </c>
      <c r="AO116" s="586">
        <f t="shared" si="99"/>
        <v>5.7576851005781082E-2</v>
      </c>
      <c r="AP116" s="584" t="str">
        <f t="shared" si="100"/>
        <v>1+0.000417016200254413i</v>
      </c>
      <c r="AQ116" s="585">
        <f t="shared" si="101"/>
        <v>1.0000000869512518</v>
      </c>
      <c r="AR116" s="586">
        <f t="shared" si="102"/>
        <v>4.170161760810274E-4</v>
      </c>
      <c r="AS116" s="580" t="str">
        <f t="shared" si="103"/>
        <v>0.140456946126677-2.42873292320681i</v>
      </c>
      <c r="AT116" s="270">
        <f t="shared" si="104"/>
        <v>2.4327909416930851</v>
      </c>
      <c r="AU116" s="581">
        <f t="shared" si="105"/>
        <v>-1.5130293019774608</v>
      </c>
      <c r="AV116" s="580" t="str">
        <f t="shared" si="106"/>
        <v>0.0361924374322369-0.456175596279129i</v>
      </c>
      <c r="AW116" s="270">
        <f t="shared" si="107"/>
        <v>-6.7901073956562747</v>
      </c>
      <c r="AX116" s="581">
        <f t="shared" si="108"/>
        <v>-85.46372214030562</v>
      </c>
      <c r="AY116" s="299">
        <f t="shared" si="77"/>
        <v>94.53627785969438</v>
      </c>
      <c r="BB116" s="270">
        <f t="shared" si="111"/>
        <v>-32.27790419844942</v>
      </c>
      <c r="BC116" s="270">
        <f t="shared" si="112"/>
        <v>-86.69019328293345</v>
      </c>
      <c r="BD116" s="286"/>
      <c r="BE116" s="270">
        <f t="shared" si="109"/>
        <v>25.487796802793149</v>
      </c>
      <c r="BF116" s="581">
        <f t="shared" si="110"/>
        <v>1.2264711426278203</v>
      </c>
      <c r="BI116" s="286"/>
      <c r="BJ116" s="286"/>
      <c r="BL116" s="253">
        <f t="shared" si="78"/>
        <v>0</v>
      </c>
      <c r="BM116" s="253">
        <f t="shared" si="113"/>
        <v>0</v>
      </c>
      <c r="BN116" s="253">
        <f t="shared" si="80"/>
        <v>0</v>
      </c>
      <c r="BO116" s="253">
        <f t="shared" si="81"/>
        <v>0</v>
      </c>
    </row>
    <row r="117" spans="4:67" ht="13.6" thickBot="1" x14ac:dyDescent="0.25">
      <c r="D117" s="280">
        <v>6025.6</v>
      </c>
      <c r="E117" s="273" t="str">
        <f t="shared" si="59"/>
        <v>0.0681479304964944i</v>
      </c>
      <c r="F117" s="579" t="str">
        <f t="shared" si="82"/>
        <v>0.002-0.406355812869947i</v>
      </c>
      <c r="G117" s="270" t="str">
        <f t="shared" si="83"/>
        <v>0.002-0.406355812869947i</v>
      </c>
      <c r="H117" s="271" t="str">
        <f t="shared" si="84"/>
        <v>0.0810562265208812-0.389497480980934i</v>
      </c>
      <c r="I117" s="271" t="str">
        <f t="shared" si="85"/>
        <v>0.0910562265208812-0.389497480980934i</v>
      </c>
      <c r="J117" s="270" t="str">
        <f t="shared" si="86"/>
        <v>0.0239174830934285-0.201441804670538i</v>
      </c>
      <c r="K117" s="271" t="str">
        <f t="shared" si="60"/>
        <v>0.999083158118229-0.0475627655614841i</v>
      </c>
      <c r="L117" s="580"/>
      <c r="M117" s="580" t="str">
        <f t="shared" si="61"/>
        <v>118.140461270328+321.726801577593i</v>
      </c>
      <c r="N117" s="270" t="str">
        <f t="shared" si="62"/>
        <v>81.9386792860793+241.295101183195i</v>
      </c>
      <c r="O117" s="581" t="str">
        <f t="shared" si="63"/>
        <v>54.9098627034956+116.988696834977i</v>
      </c>
      <c r="P117" s="582" t="str">
        <f t="shared" si="64"/>
        <v>50.5666876170255-10.7347039246321i</v>
      </c>
      <c r="Q117" s="583" t="str">
        <f t="shared" si="65"/>
        <v>50.0175889899907-11.9045908929819i</v>
      </c>
      <c r="R117" s="581" t="str">
        <f t="shared" si="87"/>
        <v>5.97004604000352+14.1405155189617i</v>
      </c>
      <c r="S117" s="253" t="str">
        <f t="shared" si="88"/>
        <v>49.6380881911122+5.28347678678119i</v>
      </c>
      <c r="T117" s="253" t="str">
        <f t="shared" si="89"/>
        <v>18.8193322204932+0.359967044604747i</v>
      </c>
      <c r="U117" s="253" t="str">
        <f t="shared" si="90"/>
        <v>1.66563031254572-7.30090492331792i</v>
      </c>
      <c r="V117" s="582" t="str">
        <f t="shared" si="66"/>
        <v>6000</v>
      </c>
      <c r="W117" s="584" t="str">
        <f t="shared" si="67"/>
        <v>1+21204.7586134437i</v>
      </c>
      <c r="X117" s="585">
        <f t="shared" si="68"/>
        <v>21204.758637023315</v>
      </c>
      <c r="Y117" s="586">
        <f t="shared" si="69"/>
        <v>1.5707491675691074</v>
      </c>
      <c r="Z117" s="273" t="str">
        <f t="shared" si="70"/>
        <v>1+3.18023675650307i</v>
      </c>
      <c r="AA117" s="585">
        <f t="shared" si="71"/>
        <v>3.3337525144217239</v>
      </c>
      <c r="AB117" s="586">
        <f t="shared" si="72"/>
        <v>1.266143215467038</v>
      </c>
      <c r="AC117" s="584" t="str">
        <f t="shared" si="73"/>
        <v>1+0.153750000540189i</v>
      </c>
      <c r="AD117" s="585">
        <f t="shared" si="74"/>
        <v>1.0117504942751983</v>
      </c>
      <c r="AE117" s="586">
        <f t="shared" si="75"/>
        <v>0.15255539693001885</v>
      </c>
      <c r="AF117" s="580" t="str">
        <f t="shared" si="91"/>
        <v>0.836603967389502-0.411540777816635i</v>
      </c>
      <c r="AG117" s="270">
        <f t="shared" si="92"/>
        <v>0.93234758006752827</v>
      </c>
      <c r="AH117" s="581">
        <f t="shared" si="93"/>
        <v>-0.45716134903208921</v>
      </c>
      <c r="AI117" s="582" t="str">
        <f t="shared" si="76"/>
        <v>4000</v>
      </c>
      <c r="AJ117" s="584" t="str">
        <f t="shared" si="94"/>
        <v>1+1665.89660536595i</v>
      </c>
      <c r="AK117" s="585">
        <f t="shared" si="95"/>
        <v>1665.896905504598</v>
      </c>
      <c r="AL117" s="586">
        <f t="shared" si="96"/>
        <v>1.5701960495167822</v>
      </c>
      <c r="AM117" s="273" t="str">
        <f t="shared" si="97"/>
        <v>1+0.0583043405358896i</v>
      </c>
      <c r="AN117" s="585">
        <f t="shared" si="98"/>
        <v>1.0016982560258978</v>
      </c>
      <c r="AO117" s="586">
        <f t="shared" si="99"/>
        <v>5.823840844487637E-2</v>
      </c>
      <c r="AP117" s="584" t="str">
        <f t="shared" si="100"/>
        <v>1+0.000421818501972971i</v>
      </c>
      <c r="AQ117" s="585">
        <f t="shared" si="101"/>
        <v>1.0000000889654204</v>
      </c>
      <c r="AR117" s="586">
        <f t="shared" si="102"/>
        <v>4.2181847695479903E-4</v>
      </c>
      <c r="AS117" s="580" t="str">
        <f t="shared" si="103"/>
        <v>0.140423559252645-2.40108373305655i</v>
      </c>
      <c r="AT117" s="270">
        <f t="shared" si="104"/>
        <v>2.4051864520535529</v>
      </c>
      <c r="AU117" s="581">
        <f t="shared" si="105"/>
        <v>-1.5123794595488607</v>
      </c>
      <c r="AV117" s="580" t="str">
        <f t="shared" si="106"/>
        <v>0.0350698862839654-0.451362446079962i</v>
      </c>
      <c r="AW117" s="270">
        <f t="shared" si="107"/>
        <v>-6.8833522154927049</v>
      </c>
      <c r="AX117" s="581">
        <f t="shared" si="108"/>
        <v>-85.55716784034216</v>
      </c>
      <c r="AY117" s="299">
        <f t="shared" si="77"/>
        <v>94.44283215965784</v>
      </c>
      <c r="BB117" s="270">
        <f t="shared" si="111"/>
        <v>-32.37702502231619</v>
      </c>
      <c r="BC117" s="270">
        <f t="shared" si="112"/>
        <v>-86.652960054426131</v>
      </c>
      <c r="BD117" s="286"/>
      <c r="BE117" s="270">
        <f t="shared" si="109"/>
        <v>25.493672806823472</v>
      </c>
      <c r="BF117" s="581">
        <f t="shared" si="110"/>
        <v>1.0957922140839533</v>
      </c>
      <c r="BI117" s="286"/>
      <c r="BJ117" s="286"/>
      <c r="BL117" s="253">
        <f t="shared" si="78"/>
        <v>0</v>
      </c>
      <c r="BM117" s="253">
        <f t="shared" si="113"/>
        <v>0</v>
      </c>
      <c r="BN117" s="253">
        <f t="shared" si="80"/>
        <v>0</v>
      </c>
      <c r="BO117" s="253">
        <f t="shared" si="81"/>
        <v>0</v>
      </c>
    </row>
    <row r="118" spans="4:67" ht="13.6" thickBot="1" x14ac:dyDescent="0.25">
      <c r="D118" s="280">
        <v>6095.8</v>
      </c>
      <c r="E118" s="273" t="str">
        <f t="shared" si="59"/>
        <v>0.0689418737919096i</v>
      </c>
      <c r="F118" s="579" t="str">
        <f t="shared" si="82"/>
        <v>0.002-0.401676168186154i</v>
      </c>
      <c r="G118" s="270" t="str">
        <f t="shared" si="83"/>
        <v>0.002-0.401676168186154i</v>
      </c>
      <c r="H118" s="271" t="str">
        <f t="shared" si="84"/>
        <v>0.0793158806785263-0.385361157515009i</v>
      </c>
      <c r="I118" s="271" t="str">
        <f t="shared" si="85"/>
        <v>0.0893158806785263-0.385361157515009i</v>
      </c>
      <c r="J118" s="270" t="str">
        <f t="shared" si="86"/>
        <v>0.0234543905393072-0.199169104902716i</v>
      </c>
      <c r="K118" s="271" t="str">
        <f t="shared" si="60"/>
        <v>0.999061670724477-0.0481168856727454i</v>
      </c>
      <c r="L118" s="580"/>
      <c r="M118" s="580" t="str">
        <f t="shared" si="61"/>
        <v>125.831976991945+335.504940921519i</v>
      </c>
      <c r="N118" s="270" t="str">
        <f t="shared" si="62"/>
        <v>87.707316077292+251.628705691139i</v>
      </c>
      <c r="O118" s="581" t="str">
        <f t="shared" si="63"/>
        <v>58.264999643701+121.885133083305i</v>
      </c>
      <c r="P118" s="582" t="str">
        <f t="shared" si="64"/>
        <v>52.1737857247644-11.5667897023535i</v>
      </c>
      <c r="Q118" s="583" t="str">
        <f t="shared" si="65"/>
        <v>51.5911357283275-12.7856410331865i</v>
      </c>
      <c r="R118" s="581" t="str">
        <f t="shared" si="87"/>
        <v>6.35166320664839+14.7370412944197i</v>
      </c>
      <c r="S118" s="253" t="str">
        <f t="shared" si="88"/>
        <v>49.6893185726769+5.18214990711195i</v>
      </c>
      <c r="T118" s="253" t="str">
        <f t="shared" si="89"/>
        <v>18.8327513390883+0.316660717593532i</v>
      </c>
      <c r="U118" s="253" t="str">
        <f t="shared" si="90"/>
        <v>1.61576499873084-7.23229463153113i</v>
      </c>
      <c r="V118" s="582" t="str">
        <f t="shared" si="66"/>
        <v>6000</v>
      </c>
      <c r="W118" s="584" t="str">
        <f t="shared" si="67"/>
        <v>1+21451.8002449266i</v>
      </c>
      <c r="X118" s="585">
        <f t="shared" si="68"/>
        <v>21451.800268234667</v>
      </c>
      <c r="Y118" s="586">
        <f t="shared" si="69"/>
        <v>1.570749710660686</v>
      </c>
      <c r="Z118" s="273" t="str">
        <f t="shared" si="70"/>
        <v>1+3.21728744362245i</v>
      </c>
      <c r="AA118" s="585">
        <f t="shared" si="71"/>
        <v>3.3691153875892526</v>
      </c>
      <c r="AB118" s="586">
        <f t="shared" si="72"/>
        <v>1.2694419533860208</v>
      </c>
      <c r="AC118" s="584" t="str">
        <f t="shared" si="73"/>
        <v>1+0.155541232954874i</v>
      </c>
      <c r="AD118" s="585">
        <f t="shared" si="74"/>
        <v>1.0120242463247224</v>
      </c>
      <c r="AE118" s="586">
        <f t="shared" si="75"/>
        <v>0.15430479167854436</v>
      </c>
      <c r="AF118" s="580" t="str">
        <f t="shared" si="91"/>
        <v>0.836151128388186-0.409710834075779i</v>
      </c>
      <c r="AG118" s="270">
        <f t="shared" si="92"/>
        <v>0.93113461812130438</v>
      </c>
      <c r="AH118" s="581">
        <f t="shared" si="93"/>
        <v>-0.45561254895320835</v>
      </c>
      <c r="AI118" s="582" t="str">
        <f t="shared" si="76"/>
        <v>4000</v>
      </c>
      <c r="AJ118" s="584" t="str">
        <f t="shared" si="94"/>
        <v>1+1685.30478740537i</v>
      </c>
      <c r="AK118" s="585">
        <f t="shared" si="95"/>
        <v>1685.3050840875844</v>
      </c>
      <c r="AL118" s="586">
        <f t="shared" si="96"/>
        <v>1.5702029623838341</v>
      </c>
      <c r="AM118" s="273" t="str">
        <f t="shared" si="97"/>
        <v>1+0.0589836031330782i</v>
      </c>
      <c r="AN118" s="585">
        <f t="shared" si="98"/>
        <v>1.0017380223584211</v>
      </c>
      <c r="AO118" s="586">
        <f t="shared" si="99"/>
        <v>5.8915342960454462E-2</v>
      </c>
      <c r="AP118" s="584" t="str">
        <f t="shared" si="100"/>
        <v>1+0.000426732810728697i</v>
      </c>
      <c r="AQ118" s="585">
        <f t="shared" si="101"/>
        <v>1.0000000910504416</v>
      </c>
      <c r="AR118" s="586">
        <f t="shared" si="102"/>
        <v>4.2673278482589138E-4</v>
      </c>
      <c r="AS118" s="580" t="str">
        <f t="shared" si="103"/>
        <v>0.140390553882511-2.37343392831486i</v>
      </c>
      <c r="AT118" s="270">
        <f t="shared" si="104"/>
        <v>2.3775824107053674</v>
      </c>
      <c r="AU118" s="581">
        <f t="shared" si="105"/>
        <v>-1.5117143522082057</v>
      </c>
      <c r="AV118" s="580" t="str">
        <f t="shared" si="106"/>
        <v>0.0339551368252723-0.446538348181735i</v>
      </c>
      <c r="AW118" s="270">
        <f t="shared" si="107"/>
        <v>-6.977785296694937</v>
      </c>
      <c r="AX118" s="581">
        <f t="shared" si="108"/>
        <v>-85.651550950469854</v>
      </c>
      <c r="AY118" s="299">
        <f t="shared" si="77"/>
        <v>94.348449049530146</v>
      </c>
      <c r="BB118" s="270">
        <f t="shared" si="111"/>
        <v>-32.47728841614488</v>
      </c>
      <c r="BC118" s="270">
        <f t="shared" si="112"/>
        <v>-86.614852210883427</v>
      </c>
      <c r="BD118" s="286"/>
      <c r="BE118" s="270">
        <f t="shared" si="109"/>
        <v>25.49950311944994</v>
      </c>
      <c r="BF118" s="581">
        <f t="shared" si="110"/>
        <v>0.96330126041357855</v>
      </c>
      <c r="BI118" s="286"/>
      <c r="BJ118" s="286"/>
      <c r="BL118" s="253">
        <f t="shared" si="78"/>
        <v>0</v>
      </c>
      <c r="BM118" s="253">
        <f t="shared" si="113"/>
        <v>0</v>
      </c>
      <c r="BN118" s="253">
        <f t="shared" si="80"/>
        <v>0</v>
      </c>
      <c r="BO118" s="253">
        <f t="shared" si="81"/>
        <v>0</v>
      </c>
    </row>
    <row r="119" spans="4:67" ht="13.6" thickBot="1" x14ac:dyDescent="0.25">
      <c r="D119" s="280">
        <v>6166</v>
      </c>
      <c r="E119" s="273" t="str">
        <f t="shared" si="59"/>
        <v>0.0697358170873248i</v>
      </c>
      <c r="F119" s="579" t="str">
        <f t="shared" si="82"/>
        <v>0.002-0.39710307914842i</v>
      </c>
      <c r="G119" s="270" t="str">
        <f t="shared" si="83"/>
        <v>0.002-0.39710307914842i</v>
      </c>
      <c r="H119" s="271" t="str">
        <f t="shared" si="84"/>
        <v>0.0776316370157872-0.381307890209061i</v>
      </c>
      <c r="I119" s="271" t="str">
        <f t="shared" si="85"/>
        <v>0.0876316370157872-0.381307890209061i</v>
      </c>
      <c r="J119" s="270" t="str">
        <f t="shared" si="86"/>
        <v>0.0230068190415796-0.196946624494949i</v>
      </c>
      <c r="K119" s="271" t="str">
        <f t="shared" si="60"/>
        <v>0.9990399344461-0.0486710057840067i</v>
      </c>
      <c r="L119" s="580"/>
      <c r="M119" s="580" t="str">
        <f t="shared" si="61"/>
        <v>134.410846387319+350.225292197409i</v>
      </c>
      <c r="N119" s="270" t="str">
        <f t="shared" si="62"/>
        <v>94.1414681238223+262.668969148057i</v>
      </c>
      <c r="O119" s="581" t="str">
        <f t="shared" si="63"/>
        <v>61.9865995932124+127.103783068175i</v>
      </c>
      <c r="P119" s="582" t="str">
        <f t="shared" si="64"/>
        <v>53.8976625547111-12.497666930958i</v>
      </c>
      <c r="Q119" s="583" t="str">
        <f t="shared" si="65"/>
        <v>53.2777965587792-13.7687047616397i</v>
      </c>
      <c r="R119" s="581" t="str">
        <f t="shared" si="87"/>
        <v>6.77569420277768+15.373368277512i</v>
      </c>
      <c r="S119" s="253" t="str">
        <f t="shared" si="88"/>
        <v>49.7389587100067+5.08196704757562i</v>
      </c>
      <c r="T119" s="253" t="str">
        <f t="shared" si="89"/>
        <v>18.8456884239892+0.273690259926227i</v>
      </c>
      <c r="U119" s="253" t="str">
        <f t="shared" si="90"/>
        <v>1.56738189862698-7.16476266957526i</v>
      </c>
      <c r="V119" s="582" t="str">
        <f t="shared" si="66"/>
        <v>6000</v>
      </c>
      <c r="W119" s="584" t="str">
        <f t="shared" si="67"/>
        <v>1+21698.8418764096i</v>
      </c>
      <c r="X119" s="585">
        <f t="shared" si="68"/>
        <v>21698.841899452302</v>
      </c>
      <c r="Y119" s="586">
        <f t="shared" si="69"/>
        <v>1.5707502413860537</v>
      </c>
      <c r="Z119" s="273" t="str">
        <f t="shared" si="70"/>
        <v>1+3.25433813074182i</v>
      </c>
      <c r="AA119" s="585">
        <f t="shared" si="71"/>
        <v>3.4045141605227851</v>
      </c>
      <c r="AB119" s="586">
        <f t="shared" si="72"/>
        <v>1.272672127940403</v>
      </c>
      <c r="AC119" s="584" t="str">
        <f t="shared" si="73"/>
        <v>1+0.157332465369558i</v>
      </c>
      <c r="AD119" s="585">
        <f t="shared" si="74"/>
        <v>1.0123010938743784</v>
      </c>
      <c r="AE119" s="586">
        <f t="shared" si="75"/>
        <v>0.15605323491468295</v>
      </c>
      <c r="AF119" s="580" t="str">
        <f t="shared" si="91"/>
        <v>0.835693555989174-0.407952709475884i</v>
      </c>
      <c r="AG119" s="270">
        <f t="shared" si="92"/>
        <v>0.92995114532460565</v>
      </c>
      <c r="AH119" s="581">
        <f t="shared" si="93"/>
        <v>-0.45413134836033436</v>
      </c>
      <c r="AI119" s="582" t="str">
        <f t="shared" si="76"/>
        <v>4000</v>
      </c>
      <c r="AJ119" s="584" t="str">
        <f t="shared" si="94"/>
        <v>1+1704.71296944478i</v>
      </c>
      <c r="AK119" s="585">
        <f t="shared" si="95"/>
        <v>1704.7132627492633</v>
      </c>
      <c r="AL119" s="586">
        <f t="shared" si="96"/>
        <v>1.5702097178447563</v>
      </c>
      <c r="AM119" s="273" t="str">
        <f t="shared" si="97"/>
        <v>1+0.0596628657302668i</v>
      </c>
      <c r="AN119" s="585">
        <f t="shared" si="98"/>
        <v>1.0017782476911485</v>
      </c>
      <c r="AO119" s="586">
        <f t="shared" si="99"/>
        <v>5.9592223423024761E-2</v>
      </c>
      <c r="AP119" s="584" t="str">
        <f t="shared" si="100"/>
        <v>1+0.000431647119484423i</v>
      </c>
      <c r="AQ119" s="585">
        <f t="shared" si="101"/>
        <v>1.0000000931596136</v>
      </c>
      <c r="AR119" s="586">
        <f t="shared" si="102"/>
        <v>4.3164709267637223E-4</v>
      </c>
      <c r="AS119" s="580" t="str">
        <f t="shared" si="103"/>
        <v>0.140358669355777-2.34641372532876i</v>
      </c>
      <c r="AT119" s="270">
        <f t="shared" si="104"/>
        <v>2.3506079908131241</v>
      </c>
      <c r="AU119" s="581">
        <f t="shared" si="105"/>
        <v>-1.5110491415144081</v>
      </c>
      <c r="AV119" s="580" t="str">
        <f t="shared" si="106"/>
        <v>0.0328734633266439-0.441813671806187i</v>
      </c>
      <c r="AW119" s="270">
        <f t="shared" si="107"/>
        <v>-7.0712398346908696</v>
      </c>
      <c r="AX119" s="581">
        <f t="shared" si="108"/>
        <v>-85.744707578249788</v>
      </c>
      <c r="AY119" s="299">
        <f t="shared" si="77"/>
        <v>94.255292421750212</v>
      </c>
      <c r="BB119" s="270">
        <f t="shared" si="111"/>
        <v>-32.57639583623321</v>
      </c>
      <c r="BC119" s="270">
        <f t="shared" si="112"/>
        <v>-86.576738445641851</v>
      </c>
      <c r="BD119" s="286"/>
      <c r="BE119" s="270">
        <f t="shared" si="109"/>
        <v>25.505156001542339</v>
      </c>
      <c r="BF119" s="581">
        <f t="shared" si="110"/>
        <v>0.83203086739206322</v>
      </c>
      <c r="BI119" s="286"/>
      <c r="BJ119" s="286"/>
      <c r="BL119" s="253">
        <f t="shared" si="78"/>
        <v>0</v>
      </c>
      <c r="BM119" s="253">
        <f t="shared" si="113"/>
        <v>0</v>
      </c>
      <c r="BN119" s="253">
        <f t="shared" si="80"/>
        <v>0</v>
      </c>
      <c r="BO119" s="253">
        <f t="shared" si="81"/>
        <v>0</v>
      </c>
    </row>
    <row r="120" spans="4:67" ht="13.6" thickBot="1" x14ac:dyDescent="0.25">
      <c r="D120" s="280">
        <v>6237.8</v>
      </c>
      <c r="E120" s="273" t="str">
        <f t="shared" si="59"/>
        <v>0.0705478559564247i</v>
      </c>
      <c r="F120" s="579" t="str">
        <f t="shared" si="82"/>
        <v>0.002-0.392532236690686i</v>
      </c>
      <c r="G120" s="270" t="str">
        <f t="shared" si="83"/>
        <v>0.002-0.392532236690686i</v>
      </c>
      <c r="H120" s="271" t="str">
        <f t="shared" si="84"/>
        <v>0.0759645877925505-0.377245716196741i</v>
      </c>
      <c r="I120" s="271" t="str">
        <f t="shared" si="85"/>
        <v>0.0859645877925505-0.377245716196741i</v>
      </c>
      <c r="J120" s="270" t="str">
        <f t="shared" si="86"/>
        <v>0.0225643897277697-0.19472374113086i</v>
      </c>
      <c r="K120" s="271" t="str">
        <f t="shared" si="60"/>
        <v>0.999017445295826-0.0492377554134734i</v>
      </c>
      <c r="L120" s="580"/>
      <c r="M120" s="580" t="str">
        <f t="shared" si="61"/>
        <v>144.251032128699+366.351045317251i</v>
      </c>
      <c r="N120" s="270" t="str">
        <f t="shared" si="62"/>
        <v>101.521607429857+274.763283987938i</v>
      </c>
      <c r="O120" s="581" t="str">
        <f t="shared" si="63"/>
        <v>66.2309579855535+132.805194455561i</v>
      </c>
      <c r="P120" s="582" t="str">
        <f t="shared" si="64"/>
        <v>55.7937076993691-13.5688013815746i</v>
      </c>
      <c r="Q120" s="583" t="str">
        <f t="shared" si="65"/>
        <v>55.1313981195139-14.8968533261302i</v>
      </c>
      <c r="R120" s="581" t="str">
        <f t="shared" si="87"/>
        <v>7.26015882417677+16.0692320652535i</v>
      </c>
      <c r="S120" s="253" t="str">
        <f t="shared" si="88"/>
        <v>49.7881470470279+4.98066364409557i</v>
      </c>
      <c r="T120" s="253" t="str">
        <f t="shared" si="89"/>
        <v>18.8584397847413+0.230081865153262i</v>
      </c>
      <c r="U120" s="253" t="str">
        <f t="shared" si="90"/>
        <v>1.51937100266214-7.09678754890294i</v>
      </c>
      <c r="V120" s="582" t="str">
        <f t="shared" si="66"/>
        <v>6000</v>
      </c>
      <c r="W120" s="584" t="str">
        <f t="shared" si="67"/>
        <v>1+21951.5140863879i</v>
      </c>
      <c r="X120" s="585">
        <f t="shared" si="68"/>
        <v>21951.514109165371</v>
      </c>
      <c r="Y120" s="586">
        <f t="shared" si="69"/>
        <v>1.5707507718506968</v>
      </c>
      <c r="Z120" s="273" t="str">
        <f t="shared" si="70"/>
        <v>1+3.29223327796648i</v>
      </c>
      <c r="AA120" s="585">
        <f t="shared" si="71"/>
        <v>3.440755724626483</v>
      </c>
      <c r="AB120" s="586">
        <f t="shared" si="72"/>
        <v>1.2759071360235439</v>
      </c>
      <c r="AC120" s="584" t="str">
        <f t="shared" si="73"/>
        <v>1+0.159164523594263i</v>
      </c>
      <c r="AD120" s="585">
        <f t="shared" si="74"/>
        <v>1.0125874508263415</v>
      </c>
      <c r="AE120" s="586">
        <f t="shared" si="75"/>
        <v>0.15784053409488955</v>
      </c>
      <c r="AF120" s="580" t="str">
        <f t="shared" si="91"/>
        <v>0.835220674710426-0.406226172306755i</v>
      </c>
      <c r="AG120" s="270">
        <f t="shared" si="92"/>
        <v>0.92876976615883478</v>
      </c>
      <c r="AH120" s="581">
        <f t="shared" si="93"/>
        <v>-0.45268416992204186</v>
      </c>
      <c r="AI120" s="582" t="str">
        <f t="shared" si="76"/>
        <v>4000</v>
      </c>
      <c r="AJ120" s="584" t="str">
        <f t="shared" si="94"/>
        <v>1+1724.56350321159i</v>
      </c>
      <c r="AK120" s="585">
        <f t="shared" si="95"/>
        <v>1724.563793140002</v>
      </c>
      <c r="AL120" s="586">
        <f t="shared" si="96"/>
        <v>1.5702164699870378</v>
      </c>
      <c r="AM120" s="273" t="str">
        <f t="shared" si="97"/>
        <v>1+0.0603576100960522i</v>
      </c>
      <c r="AN120" s="585">
        <f t="shared" si="98"/>
        <v>1.0018198645946821</v>
      </c>
      <c r="AO120" s="586">
        <f t="shared" si="99"/>
        <v>6.0284474805849871E-2</v>
      </c>
      <c r="AP120" s="584" t="str">
        <f t="shared" si="100"/>
        <v>1+0.000436673435277316i</v>
      </c>
      <c r="AQ120" s="585">
        <f t="shared" si="101"/>
        <v>1.00000009534184</v>
      </c>
      <c r="AR120" s="586">
        <f t="shared" si="102"/>
        <v>4.3667340752181864E-4</v>
      </c>
      <c r="AS120" s="580" t="str">
        <f t="shared" si="103"/>
        <v>0.140327165279925-2.31940681157336i</v>
      </c>
      <c r="AT120" s="270">
        <f t="shared" si="104"/>
        <v>2.3236479231777776</v>
      </c>
      <c r="AU120" s="581">
        <f t="shared" si="105"/>
        <v>-1.5103686685887099</v>
      </c>
      <c r="AV120" s="580" t="str">
        <f t="shared" si="106"/>
        <v>0.0318000484185089-0.437081069564557i</v>
      </c>
      <c r="AW120" s="270">
        <f t="shared" si="107"/>
        <v>-7.1658319094271921</v>
      </c>
      <c r="AX120" s="581">
        <f t="shared" si="108"/>
        <v>-85.838749350594568</v>
      </c>
      <c r="AY120" s="299">
        <f t="shared" si="77"/>
        <v>94.161250649405432</v>
      </c>
      <c r="BB120" s="270">
        <f t="shared" si="111"/>
        <v>-32.676593503297823</v>
      </c>
      <c r="BC120" s="270">
        <f t="shared" si="112"/>
        <v>-86.537750218926433</v>
      </c>
      <c r="BD120" s="286"/>
      <c r="BE120" s="270">
        <f t="shared" si="109"/>
        <v>25.51076159387064</v>
      </c>
      <c r="BF120" s="581">
        <f t="shared" si="110"/>
        <v>0.69900086833185127</v>
      </c>
      <c r="BI120" s="286"/>
      <c r="BJ120" s="286"/>
      <c r="BL120" s="253">
        <f t="shared" si="78"/>
        <v>0</v>
      </c>
      <c r="BM120" s="253">
        <f t="shared" si="113"/>
        <v>0</v>
      </c>
      <c r="BN120" s="253">
        <f t="shared" si="80"/>
        <v>0</v>
      </c>
      <c r="BO120" s="253">
        <f t="shared" si="81"/>
        <v>0</v>
      </c>
    </row>
    <row r="121" spans="4:67" ht="13.6" thickBot="1" x14ac:dyDescent="0.25">
      <c r="D121" s="280">
        <v>6309.6</v>
      </c>
      <c r="E121" s="273" t="str">
        <f t="shared" si="59"/>
        <v>0.0713598948255246i</v>
      </c>
      <c r="F121" s="579" t="str">
        <f t="shared" si="82"/>
        <v>0.002-0.388065421901414i</v>
      </c>
      <c r="G121" s="270" t="str">
        <f t="shared" si="83"/>
        <v>0.002-0.388065421901414i</v>
      </c>
      <c r="H121" s="271" t="str">
        <f t="shared" si="84"/>
        <v>0.0743513765879529-0.373265557181955i</v>
      </c>
      <c r="I121" s="271" t="str">
        <f t="shared" si="85"/>
        <v>0.0843513765879529-0.373265557181955i</v>
      </c>
      <c r="J121" s="270" t="str">
        <f t="shared" si="86"/>
        <v>0.0221367904407506-0.19255002033439i</v>
      </c>
      <c r="K121" s="271" t="str">
        <f t="shared" si="60"/>
        <v>0.99899469578647-0.0498045050429401i</v>
      </c>
      <c r="L121" s="580"/>
      <c r="M121" s="580" t="str">
        <f t="shared" si="61"/>
        <v>155.350922895764+383.66597873199i</v>
      </c>
      <c r="N121" s="270" t="str">
        <f t="shared" si="62"/>
        <v>109.846525505156+287.749484048992i</v>
      </c>
      <c r="O121" s="581" t="str">
        <f t="shared" si="63"/>
        <v>70.9902343940937+138.908328206338i</v>
      </c>
      <c r="P121" s="582" t="str">
        <f t="shared" si="64"/>
        <v>57.8378185205958-14.7811006918532i</v>
      </c>
      <c r="Q121" s="583" t="str">
        <f t="shared" si="65"/>
        <v>57.1279161766549-16.1701839739166i</v>
      </c>
      <c r="R121" s="581" t="str">
        <f t="shared" si="87"/>
        <v>7.80441871141388+16.8149423868649i</v>
      </c>
      <c r="S121" s="253" t="str">
        <f t="shared" si="88"/>
        <v>49.8357944875056+4.8805152277785i</v>
      </c>
      <c r="T121" s="253" t="str">
        <f t="shared" si="89"/>
        <v>18.8707227047431+0.18681267315163i</v>
      </c>
      <c r="U121" s="253" t="str">
        <f t="shared" si="90"/>
        <v>1.47279494683979-7.0299010453992i</v>
      </c>
      <c r="V121" s="582" t="str">
        <f t="shared" si="66"/>
        <v>6000</v>
      </c>
      <c r="W121" s="584" t="str">
        <f t="shared" si="67"/>
        <v>1+22204.1862963662i</v>
      </c>
      <c r="X121" s="585">
        <f t="shared" si="68"/>
        <v>22204.186318884473</v>
      </c>
      <c r="Y121" s="586">
        <f t="shared" si="69"/>
        <v>1.5707512902425107</v>
      </c>
      <c r="Z121" s="273" t="str">
        <f t="shared" si="70"/>
        <v>1+3.33012842519115i</v>
      </c>
      <c r="AA121" s="585">
        <f t="shared" si="71"/>
        <v>3.4770325463340273</v>
      </c>
      <c r="AB121" s="586">
        <f t="shared" si="72"/>
        <v>1.279074673252127</v>
      </c>
      <c r="AC121" s="584" t="str">
        <f t="shared" si="73"/>
        <v>1+0.160996581818969i</v>
      </c>
      <c r="AD121" s="585">
        <f t="shared" si="74"/>
        <v>1.0128770405914984</v>
      </c>
      <c r="AE121" s="586">
        <f t="shared" si="75"/>
        <v>0.1596268169718843</v>
      </c>
      <c r="AF121" s="580" t="str">
        <f t="shared" si="91"/>
        <v>0.834742875634044-0.404569536807117i</v>
      </c>
      <c r="AG121" s="270">
        <f t="shared" si="92"/>
        <v>0.92761639621888869</v>
      </c>
      <c r="AH121" s="581">
        <f t="shared" si="93"/>
        <v>-0.45130343396226758</v>
      </c>
      <c r="AI121" s="582" t="str">
        <f t="shared" si="76"/>
        <v>4000</v>
      </c>
      <c r="AJ121" s="584" t="str">
        <f t="shared" si="94"/>
        <v>1+1744.4140369784i</v>
      </c>
      <c r="AK121" s="585">
        <f t="shared" si="95"/>
        <v>1744.4143236075763</v>
      </c>
      <c r="AL121" s="586">
        <f t="shared" si="96"/>
        <v>1.5702230684575638</v>
      </c>
      <c r="AM121" s="273" t="str">
        <f t="shared" si="97"/>
        <v>1+0.0610523544618377i</v>
      </c>
      <c r="AN121" s="585">
        <f t="shared" si="98"/>
        <v>1.0018619615422744</v>
      </c>
      <c r="AO121" s="586">
        <f t="shared" si="99"/>
        <v>6.0976668345338693E-2</v>
      </c>
      <c r="AP121" s="584" t="str">
        <f t="shared" si="100"/>
        <v>1+0.00044169975107021i</v>
      </c>
      <c r="AQ121" s="585">
        <f t="shared" si="101"/>
        <v>1.0000000975493304</v>
      </c>
      <c r="AR121" s="586">
        <f t="shared" si="102"/>
        <v>4.4169972234520198E-4</v>
      </c>
      <c r="AS121" s="580" t="str">
        <f t="shared" si="103"/>
        <v>0.14029673054536-2.29301456265597i</v>
      </c>
      <c r="AT121" s="270">
        <f t="shared" si="104"/>
        <v>2.2973025393173767</v>
      </c>
      <c r="AU121" s="581">
        <f t="shared" si="105"/>
        <v>-1.5096880998345705</v>
      </c>
      <c r="AV121" s="580" t="str">
        <f t="shared" si="106"/>
        <v>0.0307586487852893-0.43244632762551i</v>
      </c>
      <c r="AW121" s="270">
        <f t="shared" si="107"/>
        <v>-7.2594398913413807</v>
      </c>
      <c r="AX121" s="581">
        <f t="shared" si="108"/>
        <v>-85.931569528401923</v>
      </c>
      <c r="AY121" s="299">
        <f t="shared" si="77"/>
        <v>94.068430471598077</v>
      </c>
      <c r="BB121" s="270">
        <f t="shared" si="111"/>
        <v>-32.775636147435577</v>
      </c>
      <c r="BC121" s="270">
        <f t="shared" si="112"/>
        <v>-86.498756501645772</v>
      </c>
      <c r="BD121" s="286"/>
      <c r="BE121" s="270">
        <f t="shared" si="109"/>
        <v>25.51619625609419</v>
      </c>
      <c r="BF121" s="581">
        <f t="shared" si="110"/>
        <v>0.56718697324384015</v>
      </c>
      <c r="BI121" s="286"/>
      <c r="BJ121" s="286"/>
      <c r="BL121" s="253">
        <f t="shared" si="78"/>
        <v>0</v>
      </c>
      <c r="BM121" s="253">
        <f t="shared" si="113"/>
        <v>0</v>
      </c>
      <c r="BN121" s="253">
        <f t="shared" si="80"/>
        <v>0</v>
      </c>
      <c r="BO121" s="253">
        <f t="shared" si="81"/>
        <v>0</v>
      </c>
    </row>
    <row r="122" spans="4:67" ht="13.6" thickBot="1" x14ac:dyDescent="0.25">
      <c r="D122" s="280">
        <v>6383.05</v>
      </c>
      <c r="E122" s="273" t="str">
        <f t="shared" si="59"/>
        <v>0.0721905947549868i</v>
      </c>
      <c r="F122" s="579" t="str">
        <f t="shared" si="82"/>
        <v>0.002-0.383599938278591i</v>
      </c>
      <c r="G122" s="270" t="str">
        <f t="shared" si="83"/>
        <v>0.002-0.383599938278591i</v>
      </c>
      <c r="H122" s="271" t="str">
        <f t="shared" si="84"/>
        <v>0.0727544404863-0.369276362476095i</v>
      </c>
      <c r="I122" s="271" t="str">
        <f t="shared" si="85"/>
        <v>0.0827544404863-0.369276362476095i</v>
      </c>
      <c r="J122" s="270" t="str">
        <f t="shared" si="86"/>
        <v>0.0217140286942923-0.19037555197529i</v>
      </c>
      <c r="K122" s="271" t="str">
        <f t="shared" si="60"/>
        <v>0.998971154079379-0.0503842788630561i</v>
      </c>
      <c r="L122" s="580"/>
      <c r="M122" s="580" t="str">
        <f t="shared" si="61"/>
        <v>168.242091828654+402.733182698125i</v>
      </c>
      <c r="N122" s="270" t="str">
        <f t="shared" si="62"/>
        <v>119.514902204823+302.049887023594i</v>
      </c>
      <c r="O122" s="581" t="str">
        <f t="shared" si="63"/>
        <v>76.4833936037778+145.605646614786i</v>
      </c>
      <c r="P122" s="582" t="str">
        <f t="shared" si="64"/>
        <v>60.0980639820618-16.1939955625779i</v>
      </c>
      <c r="Q122" s="583" t="str">
        <f t="shared" si="65"/>
        <v>59.3332300460242-17.6500520287258i</v>
      </c>
      <c r="R122" s="581" t="str">
        <f t="shared" si="87"/>
        <v>8.43383769908183+17.6342789455036i</v>
      </c>
      <c r="S122" s="253" t="str">
        <f t="shared" si="88"/>
        <v>49.8830027735817+4.77923855758078i</v>
      </c>
      <c r="T122" s="253" t="str">
        <f t="shared" si="89"/>
        <v>18.882820788397+0.142893748939795i</v>
      </c>
      <c r="U122" s="253" t="str">
        <f t="shared" si="90"/>
        <v>1.42657634509197-6.96258321927416i</v>
      </c>
      <c r="V122" s="582" t="str">
        <f t="shared" si="66"/>
        <v>6000</v>
      </c>
      <c r="W122" s="584" t="str">
        <f t="shared" si="67"/>
        <v>1+22462.6650404179i</v>
      </c>
      <c r="X122" s="585">
        <f t="shared" si="68"/>
        <v>22462.665062677061</v>
      </c>
      <c r="Y122" s="586">
        <f t="shared" si="69"/>
        <v>1.5707518084798373</v>
      </c>
      <c r="Z122" s="273" t="str">
        <f t="shared" si="70"/>
        <v>1+3.36889442189939i</v>
      </c>
      <c r="AA122" s="585">
        <f t="shared" si="71"/>
        <v>3.5141783713842449</v>
      </c>
      <c r="AB122" s="586">
        <f t="shared" si="72"/>
        <v>1.2822473010548809</v>
      </c>
      <c r="AC122" s="584" t="str">
        <f t="shared" si="73"/>
        <v>1+0.162870741660259i</v>
      </c>
      <c r="AD122" s="585">
        <f t="shared" si="74"/>
        <v>1.0131766274884961</v>
      </c>
      <c r="AE122" s="586">
        <f t="shared" si="75"/>
        <v>0.16145308694904328</v>
      </c>
      <c r="AF122" s="580" t="str">
        <f t="shared" si="91"/>
        <v>0.834249025993404-0.402944587120951i</v>
      </c>
      <c r="AG122" s="270">
        <f t="shared" si="92"/>
        <v>0.92646412648359822</v>
      </c>
      <c r="AH122" s="581">
        <f t="shared" si="93"/>
        <v>-0.44995759437399985</v>
      </c>
      <c r="AI122" s="582" t="str">
        <f t="shared" si="76"/>
        <v>4000</v>
      </c>
      <c r="AJ122" s="584" t="str">
        <f t="shared" si="94"/>
        <v>1+1764.72074596408i</v>
      </c>
      <c r="AK122" s="585">
        <f t="shared" si="95"/>
        <v>1764.7210292950042</v>
      </c>
      <c r="AL122" s="586">
        <f t="shared" si="96"/>
        <v>1.5702296649617131</v>
      </c>
      <c r="AM122" s="273" t="str">
        <f t="shared" si="97"/>
        <v>1+0.0617630644014888i</v>
      </c>
      <c r="AN122" s="585">
        <f t="shared" si="98"/>
        <v>1.0019055225540294</v>
      </c>
      <c r="AO122" s="586">
        <f t="shared" si="99"/>
        <v>6.1684708302959516E-2</v>
      </c>
      <c r="AP122" s="584" t="str">
        <f t="shared" si="100"/>
        <v>1+0.000446841574120183i</v>
      </c>
      <c r="AQ122" s="585">
        <f t="shared" si="101"/>
        <v>1.0000000998336913</v>
      </c>
      <c r="AR122" s="586">
        <f t="shared" si="102"/>
        <v>4.4684154438028923E-4</v>
      </c>
      <c r="AS122" s="580" t="str">
        <f t="shared" si="103"/>
        <v>0.14026665300944-2.2666301946204i</v>
      </c>
      <c r="AT122" s="270">
        <f t="shared" si="104"/>
        <v>2.2709661320925472</v>
      </c>
      <c r="AU122" s="581">
        <f t="shared" si="105"/>
        <v>-1.508991798203134</v>
      </c>
      <c r="AV122" s="580" t="str">
        <f t="shared" si="106"/>
        <v>0.0297251735733497-0.427803285306867i</v>
      </c>
      <c r="AW122" s="270">
        <f t="shared" si="107"/>
        <v>-7.3542007297366343</v>
      </c>
      <c r="AX122" s="581">
        <f t="shared" si="108"/>
        <v>-86.025289882128135</v>
      </c>
      <c r="AY122" s="299">
        <f t="shared" si="77"/>
        <v>93.974710117871865</v>
      </c>
      <c r="BB122" s="270">
        <f t="shared" si="111"/>
        <v>-32.875786851096251</v>
      </c>
      <c r="BC122" s="270">
        <f t="shared" si="112"/>
        <v>-86.458861356896378</v>
      </c>
      <c r="BD122" s="286"/>
      <c r="BE122" s="270">
        <f t="shared" si="109"/>
        <v>25.521586121359615</v>
      </c>
      <c r="BF122" s="581">
        <f t="shared" si="110"/>
        <v>0.4335714747682452</v>
      </c>
      <c r="BI122" s="286"/>
      <c r="BJ122" s="286"/>
      <c r="BL122" s="253">
        <f t="shared" si="78"/>
        <v>0</v>
      </c>
      <c r="BM122" s="253">
        <f t="shared" si="113"/>
        <v>0</v>
      </c>
      <c r="BN122" s="253">
        <f t="shared" si="80"/>
        <v>0</v>
      </c>
      <c r="BO122" s="253">
        <f t="shared" si="81"/>
        <v>0</v>
      </c>
    </row>
    <row r="123" spans="4:67" ht="13.6" thickBot="1" x14ac:dyDescent="0.25">
      <c r="D123" s="280">
        <v>6456.5</v>
      </c>
      <c r="E123" s="273" t="str">
        <f t="shared" si="59"/>
        <v>0.073021294684449i</v>
      </c>
      <c r="F123" s="579" t="str">
        <f t="shared" si="82"/>
        <v>0.002-0.379236054523219i</v>
      </c>
      <c r="G123" s="270" t="str">
        <f t="shared" si="83"/>
        <v>0.002-0.379236054523219i</v>
      </c>
      <c r="H123" s="271" t="str">
        <f t="shared" si="84"/>
        <v>0.0712091772592549-0.365368142665731i</v>
      </c>
      <c r="I123" s="271" t="str">
        <f t="shared" si="85"/>
        <v>0.0812091772592549-0.365368142665731i</v>
      </c>
      <c r="J123" s="270" t="str">
        <f t="shared" si="86"/>
        <v>0.0213054414936478-0.188249224629031i</v>
      </c>
      <c r="K123" s="271" t="str">
        <f t="shared" si="60"/>
        <v>0.998947339909346-0.0509640526831721i</v>
      </c>
      <c r="L123" s="580"/>
      <c r="M123" s="580" t="str">
        <f t="shared" si="61"/>
        <v>182.978398680933+423.307736759801i</v>
      </c>
      <c r="N123" s="270" t="str">
        <f t="shared" si="62"/>
        <v>130.567132344033+317.480802569851i</v>
      </c>
      <c r="O123" s="581" t="str">
        <f t="shared" si="63"/>
        <v>82.7223997844106+152.803380400902i</v>
      </c>
      <c r="P123" s="582" t="str">
        <f t="shared" si="64"/>
        <v>62.5473053175261-17.815092761292i</v>
      </c>
      <c r="Q123" s="583" t="str">
        <f t="shared" si="65"/>
        <v>61.7200813196818-19.343126565301i</v>
      </c>
      <c r="R123" s="581" t="str">
        <f t="shared" si="87"/>
        <v>9.15018597488286+18.5161109744136i</v>
      </c>
      <c r="S123" s="253" t="str">
        <f t="shared" si="88"/>
        <v>49.9287181585287+4.67912624967544i</v>
      </c>
      <c r="T123" s="253" t="str">
        <f t="shared" si="89"/>
        <v>18.8944635851411+0.0993169061972505i</v>
      </c>
      <c r="U123" s="253" t="str">
        <f t="shared" si="90"/>
        <v>1.38174644020545-6.89636279159006i</v>
      </c>
      <c r="V123" s="582" t="str">
        <f t="shared" si="66"/>
        <v>6000</v>
      </c>
      <c r="W123" s="584" t="str">
        <f t="shared" si="67"/>
        <v>1+22721.1437844695i</v>
      </c>
      <c r="X123" s="585">
        <f t="shared" si="68"/>
        <v>22721.143806475429</v>
      </c>
      <c r="Y123" s="586">
        <f t="shared" si="69"/>
        <v>1.5707523149260911</v>
      </c>
      <c r="Z123" s="273" t="str">
        <f t="shared" si="70"/>
        <v>1+3.40766041860762i</v>
      </c>
      <c r="AA123" s="585">
        <f t="shared" si="71"/>
        <v>3.5513588284690494</v>
      </c>
      <c r="AB123" s="586">
        <f t="shared" si="72"/>
        <v>1.2853535288099085</v>
      </c>
      <c r="AC123" s="584" t="str">
        <f t="shared" si="73"/>
        <v>1+0.164744901501549i</v>
      </c>
      <c r="AD123" s="585">
        <f t="shared" si="74"/>
        <v>1.0134795915906523</v>
      </c>
      <c r="AE123" s="586">
        <f t="shared" si="75"/>
        <v>0.16327827114013324</v>
      </c>
      <c r="AF123" s="580" t="str">
        <f t="shared" si="91"/>
        <v>0.833750066900088-0.401387680399546i</v>
      </c>
      <c r="AG123" s="270">
        <f t="shared" si="92"/>
        <v>0.92533844837034052</v>
      </c>
      <c r="AH123" s="581">
        <f t="shared" si="93"/>
        <v>-0.44867705725631651</v>
      </c>
      <c r="AI123" s="582" t="str">
        <f t="shared" si="76"/>
        <v>4000</v>
      </c>
      <c r="AJ123" s="584" t="str">
        <f t="shared" si="94"/>
        <v>1+1785.02745494976i</v>
      </c>
      <c r="AK123" s="585">
        <f t="shared" si="95"/>
        <v>1785.0277350574747</v>
      </c>
      <c r="AL123" s="586">
        <f t="shared" si="96"/>
        <v>1.5702361113804988</v>
      </c>
      <c r="AM123" s="273" t="str">
        <f t="shared" si="97"/>
        <v>1+0.0624737743411397i</v>
      </c>
      <c r="AN123" s="585">
        <f t="shared" si="98"/>
        <v>1.0019495857978222</v>
      </c>
      <c r="AO123" s="586">
        <f t="shared" si="99"/>
        <v>6.2392686339815442E-2</v>
      </c>
      <c r="AP123" s="584" t="str">
        <f t="shared" si="100"/>
        <v>1+0.000451983397170155i</v>
      </c>
      <c r="AQ123" s="585">
        <f t="shared" si="101"/>
        <v>1.0000001021444904</v>
      </c>
      <c r="AR123" s="586">
        <f t="shared" si="102"/>
        <v>4.5198336639174798E-4</v>
      </c>
      <c r="AS123" s="580" t="str">
        <f t="shared" si="103"/>
        <v>0.14023759609225-2.24084614640992i</v>
      </c>
      <c r="AT123" s="270">
        <f t="shared" si="104"/>
        <v>2.2452300628750548</v>
      </c>
      <c r="AU123" s="581">
        <f t="shared" si="105"/>
        <v>-1.5082954084070752</v>
      </c>
      <c r="AV123" s="580" t="str">
        <f t="shared" si="106"/>
        <v>0.0287226805915821-0.423256579490696i</v>
      </c>
      <c r="AW123" s="270">
        <f t="shared" si="107"/>
        <v>-7.4479716985537774</v>
      </c>
      <c r="AX123" s="581">
        <f t="shared" si="108"/>
        <v>-86.117794253982652</v>
      </c>
      <c r="AY123" s="299">
        <f t="shared" si="77"/>
        <v>93.882205746017348</v>
      </c>
      <c r="BB123" s="270">
        <f t="shared" si="111"/>
        <v>-32.974783027129099</v>
      </c>
      <c r="BC123" s="270">
        <f t="shared" si="112"/>
        <v>-86.418961160686237</v>
      </c>
      <c r="BD123" s="286"/>
      <c r="BE123" s="270">
        <f t="shared" si="109"/>
        <v>25.526811328575324</v>
      </c>
      <c r="BF123" s="581">
        <f t="shared" si="110"/>
        <v>0.30116690670358642</v>
      </c>
      <c r="BI123" s="286"/>
      <c r="BJ123" s="286"/>
      <c r="BL123" s="253">
        <f t="shared" si="78"/>
        <v>0</v>
      </c>
      <c r="BM123" s="253">
        <f t="shared" si="113"/>
        <v>0</v>
      </c>
      <c r="BN123" s="253">
        <f t="shared" si="80"/>
        <v>0</v>
      </c>
      <c r="BO123" s="253">
        <f t="shared" si="81"/>
        <v>0</v>
      </c>
    </row>
    <row r="124" spans="4:67" ht="13.6" thickBot="1" x14ac:dyDescent="0.25">
      <c r="D124" s="280">
        <v>6531.7</v>
      </c>
      <c r="E124" s="273" t="str">
        <f t="shared" si="59"/>
        <v>0.0738717866476288i</v>
      </c>
      <c r="F124" s="579" t="str">
        <f t="shared" si="82"/>
        <v>0.002-0.374869878596561i</v>
      </c>
      <c r="G124" s="270" t="str">
        <f t="shared" si="83"/>
        <v>0.002-0.374869878596561i</v>
      </c>
      <c r="H124" s="271" t="str">
        <f t="shared" si="84"/>
        <v>0.0696783565275161-0.361448271798624i</v>
      </c>
      <c r="I124" s="271" t="str">
        <f t="shared" si="85"/>
        <v>0.0796783565275161-0.361448271798624i</v>
      </c>
      <c r="J124" s="270" t="str">
        <f t="shared" si="86"/>
        <v>0.0209011522501028-0.186120476246307i</v>
      </c>
      <c r="K124" s="271" t="str">
        <f t="shared" si="60"/>
        <v>0.998922676071564-0.0515576400388253i</v>
      </c>
      <c r="L124" s="580"/>
      <c r="M124" s="580" t="str">
        <f t="shared" si="61"/>
        <v>200.358040681847+446.089518624203i</v>
      </c>
      <c r="N124" s="270" t="str">
        <f t="shared" si="62"/>
        <v>143.601863844718+334.567138968152i</v>
      </c>
      <c r="O124" s="581" t="str">
        <f t="shared" si="63"/>
        <v>90.0310857750762+160.735892914038i</v>
      </c>
      <c r="P124" s="582" t="str">
        <f t="shared" si="64"/>
        <v>65.2712396607338-19.7344085791816i</v>
      </c>
      <c r="Q124" s="583" t="str">
        <f t="shared" si="65"/>
        <v>64.3709288029829-21.341767508322i</v>
      </c>
      <c r="R124" s="581" t="str">
        <f t="shared" si="87"/>
        <v>9.99116124442661+19.4896148954108i</v>
      </c>
      <c r="S124" s="253" t="str">
        <f t="shared" si="88"/>
        <v>49.9740349320865+4.57781186198327i</v>
      </c>
      <c r="T124" s="253" t="str">
        <f t="shared" si="89"/>
        <v>18.9059292810212+0.0550494883218359i</v>
      </c>
      <c r="U124" s="253" t="str">
        <f t="shared" si="90"/>
        <v>1.33723162334432-6.82967970749817i</v>
      </c>
      <c r="V124" s="582" t="str">
        <f t="shared" si="66"/>
        <v>6000</v>
      </c>
      <c r="W124" s="584" t="str">
        <f t="shared" si="67"/>
        <v>1+22985.7809737504i</v>
      </c>
      <c r="X124" s="585">
        <f t="shared" si="68"/>
        <v>22985.780995502977</v>
      </c>
      <c r="Y124" s="586">
        <f t="shared" si="69"/>
        <v>1.5707528216383604</v>
      </c>
      <c r="Z124" s="273" t="str">
        <f t="shared" si="70"/>
        <v>1+3.44735004355601i</v>
      </c>
      <c r="AA124" s="585">
        <f t="shared" si="71"/>
        <v>3.5894598929094643</v>
      </c>
      <c r="AB124" s="586">
        <f t="shared" si="72"/>
        <v>1.2884670658459108</v>
      </c>
      <c r="AC124" s="584" t="str">
        <f t="shared" si="73"/>
        <v>1+0.16666371457255i</v>
      </c>
      <c r="AD124" s="585">
        <f t="shared" si="74"/>
        <v>1.013793269732602</v>
      </c>
      <c r="AE124" s="586">
        <f t="shared" si="75"/>
        <v>0.16514580510546262</v>
      </c>
      <c r="AF124" s="580" t="str">
        <f t="shared" si="91"/>
        <v>0.833233946052198-0.399861654676129i</v>
      </c>
      <c r="AG124" s="270">
        <f t="shared" si="92"/>
        <v>0.92421217895786734</v>
      </c>
      <c r="AH124" s="581">
        <f t="shared" si="93"/>
        <v>-0.44743156089791269</v>
      </c>
      <c r="AI124" s="582" t="str">
        <f t="shared" si="76"/>
        <v>4000</v>
      </c>
      <c r="AJ124" s="584" t="str">
        <f t="shared" si="94"/>
        <v>1+1805.81798613728i</v>
      </c>
      <c r="AK124" s="585">
        <f t="shared" si="95"/>
        <v>1805.818263020092</v>
      </c>
      <c r="AL124" s="586">
        <f t="shared" si="96"/>
        <v>1.5702425611853734</v>
      </c>
      <c r="AM124" s="273" t="str">
        <f t="shared" si="97"/>
        <v>1+0.0632014174651936i</v>
      </c>
      <c r="AN124" s="585">
        <f t="shared" si="98"/>
        <v>1.0019952191351063</v>
      </c>
      <c r="AO124" s="586">
        <f t="shared" si="99"/>
        <v>6.311746758764275E-2</v>
      </c>
      <c r="AP124" s="584" t="str">
        <f t="shared" si="100"/>
        <v>1+0.00045724772791703i</v>
      </c>
      <c r="AQ124" s="585">
        <f t="shared" si="101"/>
        <v>1.0000001045377369</v>
      </c>
      <c r="AR124" s="586">
        <f t="shared" si="102"/>
        <v>4.5724769605060391E-4</v>
      </c>
      <c r="AS124" s="580" t="str">
        <f t="shared" si="103"/>
        <v>0.140208856590586-2.21504857097571i</v>
      </c>
      <c r="AT124" s="270">
        <f t="shared" si="104"/>
        <v>2.2194816275986549</v>
      </c>
      <c r="AU124" s="581">
        <f t="shared" si="105"/>
        <v>-1.507582341293781</v>
      </c>
      <c r="AV124" s="580" t="str">
        <f t="shared" si="106"/>
        <v>0.0277271601771469-0.418698332110803i</v>
      </c>
      <c r="AW124" s="270">
        <f t="shared" si="107"/>
        <v>-7.5429715106361588</v>
      </c>
      <c r="AX124" s="581">
        <f t="shared" si="108"/>
        <v>-86.211274459308811</v>
      </c>
      <c r="AY124" s="299">
        <f t="shared" si="77"/>
        <v>93.788725540691189</v>
      </c>
      <c r="BB124" s="270">
        <f t="shared" si="111"/>
        <v>-33.074968912439317</v>
      </c>
      <c r="BC124" s="270">
        <f t="shared" si="112"/>
        <v>-86.378105424584902</v>
      </c>
      <c r="BD124" s="286"/>
      <c r="BE124" s="270">
        <f t="shared" si="109"/>
        <v>25.531997401803164</v>
      </c>
      <c r="BF124" s="581">
        <f t="shared" si="110"/>
        <v>0.16683096527608532</v>
      </c>
      <c r="BI124" s="286"/>
      <c r="BJ124" s="286"/>
      <c r="BL124" s="253">
        <f t="shared" si="78"/>
        <v>0</v>
      </c>
      <c r="BM124" s="253">
        <f t="shared" si="113"/>
        <v>0</v>
      </c>
      <c r="BN124" s="253">
        <f t="shared" si="80"/>
        <v>0</v>
      </c>
      <c r="BO124" s="253">
        <f t="shared" si="81"/>
        <v>0</v>
      </c>
    </row>
    <row r="125" spans="4:67" ht="13.6" thickBot="1" x14ac:dyDescent="0.25">
      <c r="D125" s="280">
        <v>6606.9</v>
      </c>
      <c r="E125" s="273" t="str">
        <f t="shared" si="59"/>
        <v>0.0747222786108087i</v>
      </c>
      <c r="F125" s="579" t="str">
        <f t="shared" si="82"/>
        <v>0.002-0.370603094647893i</v>
      </c>
      <c r="G125" s="270" t="str">
        <f t="shared" si="83"/>
        <v>0.002-0.370603094647893i</v>
      </c>
      <c r="H125" s="271" t="str">
        <f t="shared" si="84"/>
        <v>0.0681971999808009-0.357608439528762i</v>
      </c>
      <c r="I125" s="271" t="str">
        <f t="shared" si="85"/>
        <v>0.0781971999808009-0.357608439528762i</v>
      </c>
      <c r="J125" s="270" t="str">
        <f t="shared" si="86"/>
        <v>0.0205104324332393-0.184038940504657i</v>
      </c>
      <c r="K125" s="271" t="str">
        <f t="shared" si="60"/>
        <v>0.998897726632913-0.0521512273944784i</v>
      </c>
      <c r="L125" s="580"/>
      <c r="M125" s="580" t="str">
        <f t="shared" si="61"/>
        <v>220.543504905788+470.774028100104i</v>
      </c>
      <c r="N125" s="270" t="str">
        <f t="shared" si="62"/>
        <v>158.740962012674+353.080521075078i</v>
      </c>
      <c r="O125" s="581" t="str">
        <f t="shared" si="63"/>
        <v>98.4600868127145+169.283218730492i</v>
      </c>
      <c r="P125" s="582" t="str">
        <f t="shared" si="64"/>
        <v>68.2364107872379-21.9726842924992i</v>
      </c>
      <c r="Q125" s="583" t="str">
        <f t="shared" si="65"/>
        <v>67.251809919111-23.6655164798042i</v>
      </c>
      <c r="R125" s="581" t="str">
        <f t="shared" si="87"/>
        <v>10.9632415418813+20.5406876021641i</v>
      </c>
      <c r="S125" s="253" t="str">
        <f t="shared" si="88"/>
        <v>50.0179036329671+4.4776712117642i</v>
      </c>
      <c r="T125" s="253" t="str">
        <f t="shared" si="89"/>
        <v>18.9169518461492+0.0111270444490755i</v>
      </c>
      <c r="U125" s="253" t="str">
        <f t="shared" si="90"/>
        <v>1.294062273081-6.76410279706663i</v>
      </c>
      <c r="V125" s="582" t="str">
        <f t="shared" si="66"/>
        <v>6000</v>
      </c>
      <c r="W125" s="584" t="str">
        <f t="shared" si="67"/>
        <v>1+23250.4181630312i</v>
      </c>
      <c r="X125" s="585">
        <f t="shared" si="68"/>
        <v>23250.418184536189</v>
      </c>
      <c r="Y125" s="586">
        <f t="shared" si="69"/>
        <v>1.5707533168157912</v>
      </c>
      <c r="Z125" s="273" t="str">
        <f t="shared" si="70"/>
        <v>1+3.4870396685044i</v>
      </c>
      <c r="AA125" s="585">
        <f t="shared" si="71"/>
        <v>3.6275950228385856</v>
      </c>
      <c r="AB125" s="586">
        <f t="shared" si="72"/>
        <v>1.2915151697351137</v>
      </c>
      <c r="AC125" s="584" t="str">
        <f t="shared" si="73"/>
        <v>1+0.168582527643551i</v>
      </c>
      <c r="AD125" s="585">
        <f t="shared" si="74"/>
        <v>1.0141104814696911</v>
      </c>
      <c r="AE125" s="586">
        <f t="shared" si="75"/>
        <v>0.16701217725492729</v>
      </c>
      <c r="AF125" s="580" t="str">
        <f t="shared" si="91"/>
        <v>0.832712509840134-0.398401950847631i</v>
      </c>
      <c r="AG125" s="270">
        <f t="shared" si="92"/>
        <v>0.92311117341491067</v>
      </c>
      <c r="AH125" s="581">
        <f t="shared" si="93"/>
        <v>-0.44625032433560491</v>
      </c>
      <c r="AI125" s="582" t="str">
        <f t="shared" si="76"/>
        <v>4000</v>
      </c>
      <c r="AJ125" s="584" t="str">
        <f t="shared" si="94"/>
        <v>1+1826.6085173248i</v>
      </c>
      <c r="AK125" s="585">
        <f t="shared" si="95"/>
        <v>1826.6087910561209</v>
      </c>
      <c r="AL125" s="586">
        <f t="shared" si="96"/>
        <v>1.5702488641664187</v>
      </c>
      <c r="AM125" s="273" t="str">
        <f t="shared" si="97"/>
        <v>1+0.0639290605892474i</v>
      </c>
      <c r="AN125" s="585">
        <f t="shared" si="98"/>
        <v>1.0020413787802496</v>
      </c>
      <c r="AO125" s="586">
        <f t="shared" si="99"/>
        <v>6.3842182441161882E-2</v>
      </c>
      <c r="AP125" s="584" t="str">
        <f t="shared" si="100"/>
        <v>1+0.000462512058663904i</v>
      </c>
      <c r="AQ125" s="585">
        <f t="shared" si="101"/>
        <v>1.0000001069586966</v>
      </c>
      <c r="AR125" s="586">
        <f t="shared" si="102"/>
        <v>4.625120256841152E-4</v>
      </c>
      <c r="AS125" s="580" t="str">
        <f t="shared" si="103"/>
        <v>0.140181092805093-2.18983826973302i</v>
      </c>
      <c r="AT125" s="270">
        <f t="shared" si="104"/>
        <v>2.1943204839693169</v>
      </c>
      <c r="AU125" s="581">
        <f t="shared" si="105"/>
        <v>-1.5068691937509409</v>
      </c>
      <c r="AV125" s="580" t="str">
        <f t="shared" si="106"/>
        <v>0.0267616541009812-0.414235052981437i</v>
      </c>
      <c r="AW125" s="270">
        <f t="shared" si="107"/>
        <v>-7.6369741854585893</v>
      </c>
      <c r="AX125" s="581">
        <f t="shared" si="108"/>
        <v>-86.303543423777967</v>
      </c>
      <c r="AY125" s="299">
        <f t="shared" si="77"/>
        <v>93.696456576222033</v>
      </c>
      <c r="BB125" s="270">
        <f t="shared" si="111"/>
        <v>-33.173998854689543</v>
      </c>
      <c r="BC125" s="270">
        <f t="shared" si="112"/>
        <v>-86.337245080210039</v>
      </c>
      <c r="BD125" s="286"/>
      <c r="BE125" s="270">
        <f t="shared" si="109"/>
        <v>25.537024669230949</v>
      </c>
      <c r="BF125" s="581">
        <f t="shared" si="110"/>
        <v>3.3701656432069314E-2</v>
      </c>
      <c r="BI125" s="286"/>
      <c r="BJ125" s="286"/>
      <c r="BL125" s="253">
        <f t="shared" si="78"/>
        <v>0</v>
      </c>
      <c r="BM125" s="253">
        <f t="shared" si="113"/>
        <v>0</v>
      </c>
      <c r="BN125" s="253">
        <f t="shared" si="80"/>
        <v>0</v>
      </c>
      <c r="BO125" s="253">
        <f t="shared" si="81"/>
        <v>0</v>
      </c>
    </row>
    <row r="126" spans="4:67" ht="13.6" thickBot="1" x14ac:dyDescent="0.25">
      <c r="D126" s="280">
        <v>6683.85</v>
      </c>
      <c r="E126" s="273" t="str">
        <f t="shared" si="59"/>
        <v>0.0755925626077061i</v>
      </c>
      <c r="F126" s="579" t="str">
        <f t="shared" si="82"/>
        <v>0.002-0.366336405818377i</v>
      </c>
      <c r="G126" s="270" t="str">
        <f t="shared" si="83"/>
        <v>0.002-0.366336405818377i</v>
      </c>
      <c r="H126" s="271" t="str">
        <f t="shared" si="84"/>
        <v>0.0667307952052834-0.353759686295629i</v>
      </c>
      <c r="I126" s="271" t="str">
        <f t="shared" si="85"/>
        <v>0.0767307952052834-0.353759686295629i</v>
      </c>
      <c r="J126" s="270" t="str">
        <f t="shared" si="86"/>
        <v>0.0201240422661501-0.181956232919233i</v>
      </c>
      <c r="K126" s="271" t="str">
        <f t="shared" si="60"/>
        <v>0.998871900941327-0.0527586282856687i</v>
      </c>
      <c r="L126" s="580"/>
      <c r="M126" s="580" t="str">
        <f t="shared" si="61"/>
        <v>244.751453217607+498.175483738676i</v>
      </c>
      <c r="N126" s="270" t="str">
        <f t="shared" si="62"/>
        <v>176.896923246538+373.631612804007i</v>
      </c>
      <c r="O126" s="581" t="str">
        <f t="shared" si="63"/>
        <v>108.494311435566+178.707833546041i</v>
      </c>
      <c r="P126" s="582" t="str">
        <f t="shared" si="64"/>
        <v>71.5444819255198-24.6685194009051i</v>
      </c>
      <c r="Q126" s="583" t="str">
        <f t="shared" si="65"/>
        <v>70.4595388111639-26.4555977363654i</v>
      </c>
      <c r="R126" s="581" t="str">
        <f t="shared" si="87"/>
        <v>12.1232075615424+21.7024757007401i</v>
      </c>
      <c r="S126" s="253" t="str">
        <f t="shared" si="88"/>
        <v>50.0613516076804+4.37639090633116i</v>
      </c>
      <c r="T126" s="253" t="str">
        <f t="shared" si="89"/>
        <v>18.9277889639459-0.0334674828656085i</v>
      </c>
      <c r="U126" s="253" t="str">
        <f t="shared" si="90"/>
        <v>1.25122696280224-6.69812199790048i</v>
      </c>
      <c r="V126" s="582" t="str">
        <f t="shared" si="66"/>
        <v>6000</v>
      </c>
      <c r="W126" s="584" t="str">
        <f t="shared" si="67"/>
        <v>1+23521.2137975414i</v>
      </c>
      <c r="X126" s="585">
        <f t="shared" si="68"/>
        <v>23521.213818798806</v>
      </c>
      <c r="Y126" s="586">
        <f t="shared" si="69"/>
        <v>1.5707538119821831</v>
      </c>
      <c r="Z126" s="273" t="str">
        <f t="shared" si="70"/>
        <v>1+3.52765292169296i</v>
      </c>
      <c r="AA126" s="585">
        <f t="shared" si="71"/>
        <v>3.6666517609297005</v>
      </c>
      <c r="AB126" s="586">
        <f t="shared" si="72"/>
        <v>1.2945685436502696</v>
      </c>
      <c r="AC126" s="584" t="str">
        <f t="shared" si="73"/>
        <v>1+0.170545993944262i</v>
      </c>
      <c r="AD126" s="585">
        <f t="shared" si="74"/>
        <v>1.0144387295694286</v>
      </c>
      <c r="AE126" s="586">
        <f t="shared" si="75"/>
        <v>0.16892076716050092</v>
      </c>
      <c r="AF126" s="580" t="str">
        <f t="shared" si="91"/>
        <v>0.832173458462634-0.396974467988616i</v>
      </c>
      <c r="AG126" s="270">
        <f t="shared" si="92"/>
        <v>0.92200943227523757</v>
      </c>
      <c r="AH126" s="581">
        <f t="shared" si="93"/>
        <v>-0.44510603549241395</v>
      </c>
      <c r="AI126" s="582" t="str">
        <f t="shared" si="76"/>
        <v>4000</v>
      </c>
      <c r="AJ126" s="584" t="str">
        <f t="shared" si="94"/>
        <v>1+1847.88287071416i</v>
      </c>
      <c r="AK126" s="585">
        <f t="shared" si="95"/>
        <v>1847.8831412940606</v>
      </c>
      <c r="AL126" s="586">
        <f t="shared" si="96"/>
        <v>1.5702551670069953</v>
      </c>
      <c r="AM126" s="273" t="str">
        <f t="shared" si="97"/>
        <v>1+0.0646736368977042i</v>
      </c>
      <c r="AN126" s="585">
        <f t="shared" si="98"/>
        <v>1.0020891573655391</v>
      </c>
      <c r="AO126" s="586">
        <f t="shared" si="99"/>
        <v>6.4583692820063918E-2</v>
      </c>
      <c r="AP126" s="584" t="str">
        <f t="shared" si="100"/>
        <v>1+0.000467898897107681i</v>
      </c>
      <c r="AQ126" s="585">
        <f t="shared" si="101"/>
        <v>1.0000001094646831</v>
      </c>
      <c r="AR126" s="586">
        <f t="shared" si="102"/>
        <v>4.6789886296208066E-4</v>
      </c>
      <c r="AS126" s="580" t="str">
        <f t="shared" si="103"/>
        <v>0.140153647413399-2.16462854702278i</v>
      </c>
      <c r="AT126" s="270">
        <f t="shared" si="104"/>
        <v>2.16916108011121</v>
      </c>
      <c r="AU126" s="581">
        <f t="shared" si="105"/>
        <v>-1.5061393730498935</v>
      </c>
      <c r="AV126" s="580" t="str">
        <f t="shared" si="106"/>
        <v>0.0258035399196021-0.409763229131734i</v>
      </c>
      <c r="AW126" s="270">
        <f t="shared" si="107"/>
        <v>-7.7321526483717573</v>
      </c>
      <c r="AX126" s="581">
        <f t="shared" si="108"/>
        <v>-86.396737808102998</v>
      </c>
      <c r="AY126" s="299">
        <f t="shared" si="77"/>
        <v>93.603262191897002</v>
      </c>
      <c r="BB126" s="270">
        <f t="shared" si="111"/>
        <v>-33.274163928771614</v>
      </c>
      <c r="BC126" s="270">
        <f t="shared" si="112"/>
        <v>-86.295429434238741</v>
      </c>
      <c r="BD126" s="286"/>
      <c r="BE126" s="270">
        <f t="shared" si="109"/>
        <v>25.542011280399851</v>
      </c>
      <c r="BF126" s="581">
        <f t="shared" si="110"/>
        <v>-0.1013083738642569</v>
      </c>
      <c r="BI126" s="286"/>
      <c r="BJ126" s="286"/>
      <c r="BL126" s="253">
        <f t="shared" si="78"/>
        <v>0</v>
      </c>
      <c r="BM126" s="253">
        <f t="shared" si="113"/>
        <v>0</v>
      </c>
      <c r="BN126" s="253">
        <f t="shared" si="80"/>
        <v>0</v>
      </c>
      <c r="BO126" s="253">
        <f t="shared" si="81"/>
        <v>0</v>
      </c>
    </row>
    <row r="127" spans="4:67" ht="13.6" thickBot="1" x14ac:dyDescent="0.25">
      <c r="D127" s="280">
        <v>6760.8</v>
      </c>
      <c r="E127" s="273" t="str">
        <f t="shared" si="59"/>
        <v>0.0764628466046035i</v>
      </c>
      <c r="F127" s="579" t="str">
        <f t="shared" si="82"/>
        <v>0.002-0.362166842094007i</v>
      </c>
      <c r="G127" s="270" t="str">
        <f t="shared" si="83"/>
        <v>0.002-0.362166842094007i</v>
      </c>
      <c r="H127" s="271" t="str">
        <f t="shared" si="84"/>
        <v>0.0653120601459102-0.349989920886272i</v>
      </c>
      <c r="I127" s="271" t="str">
        <f t="shared" si="85"/>
        <v>0.0753120601459102-0.349989920886272i</v>
      </c>
      <c r="J127" s="270" t="str">
        <f t="shared" si="86"/>
        <v>0.0197506270859142-0.179919771350335i</v>
      </c>
      <c r="K127" s="271" t="str">
        <f t="shared" si="60"/>
        <v>0.998845776201611-0.053366029176859i</v>
      </c>
      <c r="L127" s="580"/>
      <c r="M127" s="580" t="str">
        <f t="shared" si="61"/>
        <v>273.399055746735+527.901987772265i</v>
      </c>
      <c r="N127" s="270" t="str">
        <f t="shared" si="62"/>
        <v>198.382625143384+395.926490829199i</v>
      </c>
      <c r="O127" s="581" t="str">
        <f t="shared" si="63"/>
        <v>120.276863287689+188.84797145474i</v>
      </c>
      <c r="P127" s="582" t="str">
        <f t="shared" si="64"/>
        <v>75.1531849510617-27.8731600818747i</v>
      </c>
      <c r="Q127" s="583" t="str">
        <f t="shared" si="65"/>
        <v>73.9504163181844-29.7616397964221i</v>
      </c>
      <c r="R127" s="581" t="str">
        <f t="shared" si="87"/>
        <v>13.4887161288353+22.95625214273i</v>
      </c>
      <c r="S127" s="253" t="str">
        <f t="shared" si="88"/>
        <v>50.1033971810469+4.2762906091301i</v>
      </c>
      <c r="T127" s="253" t="str">
        <f t="shared" si="89"/>
        <v>18.9381953319051-0.0777150413686566i</v>
      </c>
      <c r="U127" s="253" t="str">
        <f t="shared" si="90"/>
        <v>1.2096930713921-6.63325321539835i</v>
      </c>
      <c r="V127" s="582" t="str">
        <f t="shared" si="66"/>
        <v>6000</v>
      </c>
      <c r="W127" s="584" t="str">
        <f t="shared" si="67"/>
        <v>1+23792.0094320516i</v>
      </c>
      <c r="X127" s="585">
        <f t="shared" si="68"/>
        <v>23792.009453067058</v>
      </c>
      <c r="Y127" s="586">
        <f t="shared" si="69"/>
        <v>1.5707542958768161</v>
      </c>
      <c r="Z127" s="273" t="str">
        <f t="shared" si="70"/>
        <v>1+3.5682661748815i</v>
      </c>
      <c r="AA127" s="585">
        <f t="shared" si="71"/>
        <v>3.7057419627928021</v>
      </c>
      <c r="AB127" s="586">
        <f t="shared" si="72"/>
        <v>1.2975575276136557</v>
      </c>
      <c r="AC127" s="584" t="str">
        <f t="shared" si="73"/>
        <v>1+0.172509460244973i</v>
      </c>
      <c r="AD127" s="585">
        <f t="shared" si="74"/>
        <v>1.0147706705822808</v>
      </c>
      <c r="AE127" s="586">
        <f t="shared" si="75"/>
        <v>0.17082811537488152</v>
      </c>
      <c r="AF127" s="580" t="str">
        <f t="shared" si="91"/>
        <v>0.831628885665048-0.395611536223822i</v>
      </c>
      <c r="AG127" s="270">
        <f t="shared" si="92"/>
        <v>0.92093164299304109</v>
      </c>
      <c r="AH127" s="581">
        <f t="shared" si="93"/>
        <v>-0.44402488363804271</v>
      </c>
      <c r="AI127" s="582" t="str">
        <f t="shared" si="76"/>
        <v>4000</v>
      </c>
      <c r="AJ127" s="584" t="str">
        <f t="shared" si="94"/>
        <v>1+1869.15722410351i</v>
      </c>
      <c r="AK127" s="585">
        <f t="shared" si="95"/>
        <v>1869.1574916037275</v>
      </c>
      <c r="AL127" s="586">
        <f t="shared" si="96"/>
        <v>1.5702613263724088</v>
      </c>
      <c r="AM127" s="273" t="str">
        <f t="shared" si="97"/>
        <v>1+0.0654182132061608i</v>
      </c>
      <c r="AN127" s="585">
        <f t="shared" si="98"/>
        <v>1.0021374868844528</v>
      </c>
      <c r="AO127" s="586">
        <f t="shared" si="99"/>
        <v>6.5325132085799376E-2</v>
      </c>
      <c r="AP127" s="584" t="str">
        <f t="shared" si="100"/>
        <v>1+0.000473285735551457i</v>
      </c>
      <c r="AQ127" s="585">
        <f t="shared" si="101"/>
        <v>1.0000001119996875</v>
      </c>
      <c r="AR127" s="586">
        <f t="shared" si="102"/>
        <v>4.732857002128901E-4</v>
      </c>
      <c r="AS127" s="580" t="str">
        <f t="shared" si="103"/>
        <v>0.140127133779198-2.13999270435275i</v>
      </c>
      <c r="AT127" s="270">
        <f t="shared" si="104"/>
        <v>2.1445755729990421</v>
      </c>
      <c r="AU127" s="581">
        <f t="shared" si="105"/>
        <v>-1.5054094799868223</v>
      </c>
      <c r="AV127" s="580" t="str">
        <f t="shared" si="106"/>
        <v>0.0248744540926305-0.405384898298827i</v>
      </c>
      <c r="AW127" s="270">
        <f t="shared" si="107"/>
        <v>-7.8263279341938468</v>
      </c>
      <c r="AX127" s="581">
        <f t="shared" si="108"/>
        <v>-86.488728078970752</v>
      </c>
      <c r="AY127" s="299">
        <f t="shared" si="77"/>
        <v>93.511271921029248</v>
      </c>
      <c r="BB127" s="270">
        <f t="shared" si="111"/>
        <v>-33.373172899823246</v>
      </c>
      <c r="BC127" s="270">
        <f t="shared" si="112"/>
        <v>-86.253609642228881</v>
      </c>
      <c r="BD127" s="286"/>
      <c r="BE127" s="270">
        <f t="shared" si="109"/>
        <v>25.546844965629415</v>
      </c>
      <c r="BF127" s="581">
        <f t="shared" si="110"/>
        <v>-0.23511843674186256</v>
      </c>
      <c r="BI127" s="286"/>
      <c r="BJ127" s="286"/>
      <c r="BL127" s="253">
        <f t="shared" si="78"/>
        <v>0</v>
      </c>
      <c r="BM127" s="253">
        <f t="shared" si="113"/>
        <v>0</v>
      </c>
      <c r="BN127" s="253">
        <f t="shared" si="80"/>
        <v>0</v>
      </c>
      <c r="BO127" s="253">
        <f t="shared" si="81"/>
        <v>0</v>
      </c>
    </row>
    <row r="128" spans="4:67" ht="13.6" thickBot="1" x14ac:dyDescent="0.25">
      <c r="D128" s="280">
        <v>6839.55</v>
      </c>
      <c r="E128" s="273" t="str">
        <f t="shared" si="59"/>
        <v>0.0773534881218963i</v>
      </c>
      <c r="F128" s="579" t="str">
        <f t="shared" si="82"/>
        <v>0.002-0.357996883717373i</v>
      </c>
      <c r="G128" s="270" t="str">
        <f t="shared" si="83"/>
        <v>0.002-0.357996883717373i</v>
      </c>
      <c r="H128" s="271" t="str">
        <f t="shared" si="84"/>
        <v>0.0639073848296216-0.346211350059548i</v>
      </c>
      <c r="I128" s="271" t="str">
        <f t="shared" si="85"/>
        <v>0.0739073848296216-0.346211350059548i</v>
      </c>
      <c r="J128" s="270" t="str">
        <f t="shared" si="86"/>
        <v>0.0193813131431631-0.177881979287091i</v>
      </c>
      <c r="K128" s="271" t="str">
        <f t="shared" si="60"/>
        <v>0.998818730734009-0.0539876382760303i</v>
      </c>
      <c r="L128" s="580"/>
      <c r="M128" s="580" t="str">
        <f t="shared" si="61"/>
        <v>308.4644354196+560.843891704157i</v>
      </c>
      <c r="N128" s="270" t="str">
        <f t="shared" si="62"/>
        <v>224.681659898033+420.632918778118i</v>
      </c>
      <c r="O128" s="581" t="str">
        <f t="shared" si="63"/>
        <v>134.581070067827+199.967756127505i</v>
      </c>
      <c r="P128" s="582" t="str">
        <f t="shared" si="64"/>
        <v>79.1776417535673-31.8144000550097i</v>
      </c>
      <c r="Q128" s="583" t="str">
        <f t="shared" si="65"/>
        <v>77.8318310528888-33.8140776162846i</v>
      </c>
      <c r="R128" s="581" t="str">
        <f t="shared" si="87"/>
        <v>15.1509059798377+24.3364714696331i</v>
      </c>
      <c r="S128" s="253" t="str">
        <f t="shared" si="88"/>
        <v>50.1450301937456+4.17504519304293i</v>
      </c>
      <c r="T128" s="253" t="str">
        <f t="shared" si="89"/>
        <v>18.948415467906-0.122645757024147i</v>
      </c>
      <c r="U128" s="253" t="str">
        <f t="shared" si="90"/>
        <v>1.16848232610061-6.56799447022481i</v>
      </c>
      <c r="V128" s="582" t="str">
        <f t="shared" si="66"/>
        <v>6000</v>
      </c>
      <c r="W128" s="584" t="str">
        <f t="shared" si="67"/>
        <v>1+24069.139467369i</v>
      </c>
      <c r="X128" s="585">
        <f t="shared" si="68"/>
        <v>24069.139488142489</v>
      </c>
      <c r="Y128" s="586">
        <f t="shared" si="69"/>
        <v>1.5707547798172501</v>
      </c>
      <c r="Z128" s="273" t="str">
        <f t="shared" si="70"/>
        <v>1+3.60982944568849i</v>
      </c>
      <c r="AA128" s="585">
        <f t="shared" si="71"/>
        <v>3.7457801092642464</v>
      </c>
      <c r="AB128" s="586">
        <f t="shared" si="72"/>
        <v>1.3005518110736951</v>
      </c>
      <c r="AC128" s="584" t="str">
        <f t="shared" si="73"/>
        <v>1+0.174518855581959i</v>
      </c>
      <c r="AD128" s="585">
        <f t="shared" si="74"/>
        <v>1.01511419601621</v>
      </c>
      <c r="AE128" s="586">
        <f t="shared" si="75"/>
        <v>0.17277878112069417</v>
      </c>
      <c r="AF128" s="580" t="str">
        <f t="shared" si="91"/>
        <v>0.831065881321578-0.394281145442584i</v>
      </c>
      <c r="AG128" s="270">
        <f t="shared" si="92"/>
        <v>0.91985222766938346</v>
      </c>
      <c r="AH128" s="581">
        <f t="shared" si="93"/>
        <v>-0.44298174986424882</v>
      </c>
      <c r="AI128" s="582" t="str">
        <f t="shared" si="76"/>
        <v>4000</v>
      </c>
      <c r="AJ128" s="584" t="str">
        <f t="shared" si="94"/>
        <v>1+1890.92922318619i</v>
      </c>
      <c r="AK128" s="585">
        <f t="shared" si="95"/>
        <v>1890.9294876064332</v>
      </c>
      <c r="AL128" s="586">
        <f t="shared" si="96"/>
        <v>1.5702674863208512</v>
      </c>
      <c r="AM128" s="273" t="str">
        <f t="shared" si="97"/>
        <v>1+0.066180206504289i</v>
      </c>
      <c r="AN128" s="585">
        <f t="shared" si="98"/>
        <v>1.0021875172506143</v>
      </c>
      <c r="AO128" s="586">
        <f t="shared" si="99"/>
        <v>6.6083840492476092E-2</v>
      </c>
      <c r="AP128" s="584" t="str">
        <f t="shared" si="100"/>
        <v>1+0.000478798581912047i</v>
      </c>
      <c r="AQ128" s="585">
        <f t="shared" si="101"/>
        <v>1.0000001146240345</v>
      </c>
      <c r="AR128" s="586">
        <f t="shared" si="102"/>
        <v>4.7879854532416647E-4</v>
      </c>
      <c r="AS128" s="580" t="str">
        <f t="shared" si="103"/>
        <v>0.140100921145152-2.11535454683696i</v>
      </c>
      <c r="AT128" s="270">
        <f t="shared" si="104"/>
        <v>2.1199889450017237</v>
      </c>
      <c r="AU128" s="581">
        <f t="shared" si="105"/>
        <v>-1.5046624443736993</v>
      </c>
      <c r="AV128" s="580" t="str">
        <f t="shared" si="106"/>
        <v>0.0239525120152339-0.400997995989244i</v>
      </c>
      <c r="AW128" s="270">
        <f t="shared" si="107"/>
        <v>-7.921688160249718</v>
      </c>
      <c r="AX128" s="581">
        <f t="shared" si="108"/>
        <v>-86.581655873103927</v>
      </c>
      <c r="AY128" s="299">
        <f t="shared" si="77"/>
        <v>93.418344126896073</v>
      </c>
      <c r="BB128" s="270">
        <f t="shared" si="111"/>
        <v>-33.473328075172773</v>
      </c>
      <c r="BC128" s="270">
        <f t="shared" si="112"/>
        <v>-86.210807654450974</v>
      </c>
      <c r="BD128" s="286"/>
      <c r="BE128" s="270">
        <f t="shared" si="109"/>
        <v>25.551639914923051</v>
      </c>
      <c r="BF128" s="581">
        <f t="shared" si="110"/>
        <v>-0.37084821865295226</v>
      </c>
      <c r="BI128" s="286"/>
      <c r="BJ128" s="286"/>
      <c r="BL128" s="253">
        <f t="shared" si="78"/>
        <v>0</v>
      </c>
      <c r="BM128" s="253">
        <f t="shared" si="113"/>
        <v>0</v>
      </c>
      <c r="BN128" s="253">
        <f t="shared" si="80"/>
        <v>0</v>
      </c>
      <c r="BO128" s="253">
        <f t="shared" si="81"/>
        <v>0</v>
      </c>
    </row>
    <row r="129" spans="4:67" ht="13.6" thickBot="1" x14ac:dyDescent="0.25">
      <c r="D129" s="280">
        <v>6918.3</v>
      </c>
      <c r="E129" s="273" t="str">
        <f t="shared" si="59"/>
        <v>0.078244129639189i</v>
      </c>
      <c r="F129" s="579" t="str">
        <f t="shared" si="82"/>
        <v>0.002-0.353921857396927i</v>
      </c>
      <c r="G129" s="270" t="str">
        <f t="shared" si="83"/>
        <v>0.002-0.353921857396927i</v>
      </c>
      <c r="H129" s="271" t="str">
        <f t="shared" si="84"/>
        <v>0.0625484652521867-0.342510712185052i</v>
      </c>
      <c r="I129" s="271" t="str">
        <f t="shared" si="85"/>
        <v>0.0725484652521867-0.342510712185052i</v>
      </c>
      <c r="J129" s="270" t="str">
        <f t="shared" si="86"/>
        <v>0.0190244079458819-0.175889492061803i</v>
      </c>
      <c r="K129" s="271" t="str">
        <f t="shared" si="60"/>
        <v>0.998791372064089-0.0546092473752017i</v>
      </c>
      <c r="L129" s="580"/>
      <c r="M129" s="580" t="str">
        <f t="shared" si="61"/>
        <v>350.876190466339+596.331717294739i</v>
      </c>
      <c r="N129" s="270" t="str">
        <f t="shared" si="62"/>
        <v>256.490476183087+447.248787971054i</v>
      </c>
      <c r="O129" s="581" t="str">
        <f t="shared" si="63"/>
        <v>151.73213301337+211.783181180841i</v>
      </c>
      <c r="P129" s="582" t="str">
        <f t="shared" si="64"/>
        <v>83.5459415946263-36.6053361788706i</v>
      </c>
      <c r="Q129" s="583" t="str">
        <f t="shared" si="65"/>
        <v>82.0286202644927-38.723167990679i</v>
      </c>
      <c r="R129" s="581" t="str">
        <f t="shared" si="87"/>
        <v>17.1496013075138+25.8105437996269i</v>
      </c>
      <c r="S129" s="253" t="str">
        <f t="shared" si="88"/>
        <v>50.1853052982855+4.07498459595287i</v>
      </c>
      <c r="T129" s="253" t="str">
        <f t="shared" si="89"/>
        <v>18.9582168414296-0.167227922973787i</v>
      </c>
      <c r="U129" s="253" t="str">
        <f t="shared" si="90"/>
        <v>1.12853001235461-6.50385220204604i</v>
      </c>
      <c r="V129" s="582" t="str">
        <f t="shared" si="66"/>
        <v>6000</v>
      </c>
      <c r="W129" s="584" t="str">
        <f t="shared" si="67"/>
        <v>1+24346.2695026864i</v>
      </c>
      <c r="X129" s="585">
        <f t="shared" si="68"/>
        <v>24346.269523223425</v>
      </c>
      <c r="Y129" s="586">
        <f t="shared" si="69"/>
        <v>1.5707552527404371</v>
      </c>
      <c r="Z129" s="273" t="str">
        <f t="shared" si="70"/>
        <v>1+3.65139271649548i</v>
      </c>
      <c r="AA129" s="585">
        <f t="shared" si="71"/>
        <v>3.7858511288845258</v>
      </c>
      <c r="AB129" s="586">
        <f t="shared" si="72"/>
        <v>1.3034827348724223</v>
      </c>
      <c r="AC129" s="584" t="str">
        <f t="shared" si="73"/>
        <v>1+0.176528250918945i</v>
      </c>
      <c r="AD129" s="585">
        <f t="shared" si="74"/>
        <v>1.015461581436</v>
      </c>
      <c r="AE129" s="586">
        <f t="shared" si="75"/>
        <v>0.17472811964953663</v>
      </c>
      <c r="AF129" s="580" t="str">
        <f t="shared" si="91"/>
        <v>0.830497142508306-0.393013573334851i</v>
      </c>
      <c r="AG129" s="270">
        <f t="shared" si="92"/>
        <v>0.91879550093581208</v>
      </c>
      <c r="AH129" s="581">
        <f t="shared" si="93"/>
        <v>-0.44200063751755259</v>
      </c>
      <c r="AI129" s="582" t="str">
        <f t="shared" si="76"/>
        <v>4000</v>
      </c>
      <c r="AJ129" s="584" t="str">
        <f t="shared" si="94"/>
        <v>1+1912.70122226886i</v>
      </c>
      <c r="AK129" s="585">
        <f t="shared" si="95"/>
        <v>1912.7014836792462</v>
      </c>
      <c r="AL129" s="586">
        <f t="shared" si="96"/>
        <v>1.5702735060337429</v>
      </c>
      <c r="AM129" s="273" t="str">
        <f t="shared" si="97"/>
        <v>1+0.0669421998024172i</v>
      </c>
      <c r="AN129" s="585">
        <f t="shared" si="98"/>
        <v>1.0022381244566516</v>
      </c>
      <c r="AO129" s="586">
        <f t="shared" si="99"/>
        <v>6.684247271507554E-2</v>
      </c>
      <c r="AP129" s="584" t="str">
        <f t="shared" si="100"/>
        <v>1+0.000484311428272637i</v>
      </c>
      <c r="AQ129" s="585">
        <f t="shared" si="101"/>
        <v>1.0000001172787729</v>
      </c>
      <c r="AR129" s="586">
        <f t="shared" si="102"/>
        <v>4.8431139040634009E-4</v>
      </c>
      <c r="AS129" s="580" t="str">
        <f t="shared" si="103"/>
        <v>0.140075598496971-2.09127731140666i</v>
      </c>
      <c r="AT129" s="270">
        <f t="shared" si="104"/>
        <v>2.0959632550449334</v>
      </c>
      <c r="AU129" s="581">
        <f t="shared" si="105"/>
        <v>-1.5039153447090738</v>
      </c>
      <c r="AV129" s="580" t="str">
        <f t="shared" si="106"/>
        <v>0.0230586360934986-0.396703132966053i</v>
      </c>
      <c r="AW129" s="270">
        <f t="shared" si="107"/>
        <v>-8.0160390787250542</v>
      </c>
      <c r="AX129" s="581">
        <f t="shared" si="108"/>
        <v>-86.673387381462973</v>
      </c>
      <c r="AY129" s="299">
        <f t="shared" si="77"/>
        <v>93.326612618537027</v>
      </c>
      <c r="BB129" s="270">
        <f t="shared" si="111"/>
        <v>-33.572326707345475</v>
      </c>
      <c r="BC129" s="270">
        <f t="shared" si="112"/>
        <v>-86.168001996792299</v>
      </c>
      <c r="BD129" s="286"/>
      <c r="BE129" s="270">
        <f t="shared" si="109"/>
        <v>25.556287628620421</v>
      </c>
      <c r="BF129" s="581">
        <f t="shared" si="110"/>
        <v>-0.50538538467067429</v>
      </c>
      <c r="BI129" s="286"/>
      <c r="BJ129" s="286"/>
      <c r="BL129" s="253">
        <f t="shared" si="78"/>
        <v>0</v>
      </c>
      <c r="BM129" s="253">
        <f t="shared" si="113"/>
        <v>0</v>
      </c>
      <c r="BN129" s="253">
        <f t="shared" si="80"/>
        <v>0</v>
      </c>
      <c r="BO129" s="253">
        <f t="shared" si="81"/>
        <v>0</v>
      </c>
    </row>
    <row r="130" spans="4:67" ht="13.6" thickBot="1" x14ac:dyDescent="0.25">
      <c r="D130" s="280">
        <v>6998.9</v>
      </c>
      <c r="E130" s="273" t="str">
        <f t="shared" si="59"/>
        <v>0.0791556941635546i</v>
      </c>
      <c r="F130" s="579" t="str">
        <f t="shared" si="82"/>
        <v>0.002-0.349846059527805i</v>
      </c>
      <c r="G130" s="270" t="str">
        <f t="shared" si="83"/>
        <v>0.002-0.349846059527805i</v>
      </c>
      <c r="H130" s="271" t="str">
        <f t="shared" si="84"/>
        <v>0.061202972909379-0.338801448627311i</v>
      </c>
      <c r="I130" s="271" t="str">
        <f t="shared" si="85"/>
        <v>0.071202972909379-0.338801448627311i</v>
      </c>
      <c r="J130" s="270" t="str">
        <f t="shared" si="86"/>
        <v>0.018671395617421-0.17389556495621i</v>
      </c>
      <c r="K130" s="271" t="str">
        <f t="shared" si="60"/>
        <v>0.998763046357163-0.055245459354798i</v>
      </c>
      <c r="L130" s="580"/>
      <c r="M130" s="580" t="str">
        <f t="shared" si="61"/>
        <v>404.010790978866+635.03819156894i</v>
      </c>
      <c r="N130" s="270" t="str">
        <f t="shared" si="62"/>
        <v>296.341426567482+476.278643676705i</v>
      </c>
      <c r="O130" s="581" t="str">
        <f t="shared" si="63"/>
        <v>173.020398989928+224.427272545705i</v>
      </c>
      <c r="P130" s="582" t="str">
        <f t="shared" si="64"/>
        <v>88.3558518320104-42.6396728126651i</v>
      </c>
      <c r="Q130" s="583" t="str">
        <f t="shared" si="65"/>
        <v>86.6256478421117-44.8839455381223i</v>
      </c>
      <c r="R130" s="581" t="str">
        <f t="shared" si="87"/>
        <v>19.6380474675968+27.3992963601354i</v>
      </c>
      <c r="S130" s="253" t="str">
        <f t="shared" si="88"/>
        <v>50.2251748379809+3.97377397396337i</v>
      </c>
      <c r="T130" s="253" t="str">
        <f t="shared" si="89"/>
        <v>18.9678307272831-0.212504132232369i</v>
      </c>
      <c r="U130" s="253" t="str">
        <f t="shared" si="90"/>
        <v>1.08889092231199-6.43933441236927i</v>
      </c>
      <c r="V130" s="582" t="str">
        <f t="shared" si="66"/>
        <v>6000</v>
      </c>
      <c r="W130" s="584" t="str">
        <f t="shared" si="67"/>
        <v>1+24629.9098943891i</v>
      </c>
      <c r="X130" s="585">
        <f t="shared" si="68"/>
        <v>24629.909914689619</v>
      </c>
      <c r="Y130" s="586">
        <f t="shared" si="69"/>
        <v>1.5707557257531657</v>
      </c>
      <c r="Z130" s="273" t="str">
        <f t="shared" si="70"/>
        <v>1+3.69393239429921i</v>
      </c>
      <c r="AA130" s="585">
        <f t="shared" si="71"/>
        <v>3.8268964623638686</v>
      </c>
      <c r="AB130" s="586">
        <f t="shared" si="72"/>
        <v>1.3064189277146652</v>
      </c>
      <c r="AC130" s="584" t="str">
        <f t="shared" si="73"/>
        <v>1+0.178584851098767i</v>
      </c>
      <c r="AD130" s="585">
        <f t="shared" si="74"/>
        <v>1.015821120592582</v>
      </c>
      <c r="AE130" s="586">
        <f t="shared" si="75"/>
        <v>0.17672186377954124</v>
      </c>
      <c r="AF130" s="580" t="str">
        <f t="shared" si="91"/>
        <v>0.829909130559552-0.391778913167i</v>
      </c>
      <c r="AG130" s="270">
        <f t="shared" si="92"/>
        <v>0.91773628117691153</v>
      </c>
      <c r="AH130" s="581">
        <f t="shared" si="93"/>
        <v>-0.44105866181804054</v>
      </c>
      <c r="AI130" s="582" t="str">
        <f t="shared" si="76"/>
        <v>4000</v>
      </c>
      <c r="AJ130" s="584" t="str">
        <f t="shared" si="94"/>
        <v>1+1934.98469053634i</v>
      </c>
      <c r="AK130" s="585">
        <f t="shared" si="95"/>
        <v>1934.9849489362998</v>
      </c>
      <c r="AL130" s="586">
        <f t="shared" si="96"/>
        <v>1.57027952688642</v>
      </c>
      <c r="AM130" s="273" t="str">
        <f t="shared" si="97"/>
        <v>1+0.0677220938954856i</v>
      </c>
      <c r="AN130" s="585">
        <f t="shared" si="98"/>
        <v>1.0022905177649786</v>
      </c>
      <c r="AO130" s="586">
        <f t="shared" si="99"/>
        <v>6.7618846985137912E-2</v>
      </c>
      <c r="AP130" s="584" t="str">
        <f t="shared" si="100"/>
        <v>1+0.000489953782769952i</v>
      </c>
      <c r="AQ130" s="585">
        <f t="shared" si="101"/>
        <v>1.0000001200273474</v>
      </c>
      <c r="AR130" s="586">
        <f t="shared" si="102"/>
        <v>4.8995374356472011E-4</v>
      </c>
      <c r="AS130" s="580" t="str">
        <f t="shared" si="103"/>
        <v>0.140050560995854-2.06719553469136i</v>
      </c>
      <c r="AT130" s="270">
        <f t="shared" si="104"/>
        <v>2.0719342504730092</v>
      </c>
      <c r="AU130" s="581">
        <f t="shared" si="105"/>
        <v>-1.5031506336448466</v>
      </c>
      <c r="AV130" s="580" t="str">
        <f t="shared" si="106"/>
        <v>0.0221716774097618-0.392399763051543i</v>
      </c>
      <c r="AW130" s="270">
        <f t="shared" si="107"/>
        <v>-8.1115822265989639</v>
      </c>
      <c r="AX130" s="581">
        <f t="shared" si="108"/>
        <v>-86.766067773009524</v>
      </c>
      <c r="AY130" s="299">
        <f t="shared" si="77"/>
        <v>93.233932226990476</v>
      </c>
      <c r="BB130" s="270">
        <f t="shared" si="111"/>
        <v>-33.672480607009291</v>
      </c>
      <c r="BC130" s="270">
        <f t="shared" si="112"/>
        <v>-86.124187280265119</v>
      </c>
      <c r="BD130" s="286"/>
      <c r="BE130" s="270">
        <f t="shared" si="109"/>
        <v>25.560898380410318</v>
      </c>
      <c r="BF130" s="581">
        <f t="shared" si="110"/>
        <v>-0.64188049274439862</v>
      </c>
      <c r="BI130" s="286"/>
      <c r="BJ130" s="286"/>
      <c r="BL130" s="253">
        <f t="shared" si="78"/>
        <v>0</v>
      </c>
      <c r="BM130" s="253">
        <f t="shared" si="113"/>
        <v>0</v>
      </c>
      <c r="BN130" s="253">
        <f t="shared" si="80"/>
        <v>0</v>
      </c>
      <c r="BO130" s="253">
        <f t="shared" si="81"/>
        <v>0</v>
      </c>
    </row>
    <row r="131" spans="4:67" ht="13.6" thickBot="1" x14ac:dyDescent="0.25">
      <c r="D131" s="280">
        <v>7079.5</v>
      </c>
      <c r="E131" s="273" t="str">
        <f t="shared" si="59"/>
        <v>0.0800672586879202i</v>
      </c>
      <c r="F131" s="579" t="str">
        <f t="shared" si="82"/>
        <v>0.002-0.345863067452385i</v>
      </c>
      <c r="G131" s="270" t="str">
        <f t="shared" si="83"/>
        <v>0.002-0.345863067452385i</v>
      </c>
      <c r="H131" s="271" t="str">
        <f t="shared" si="84"/>
        <v>0.0599013978244798-0.335169057796458i</v>
      </c>
      <c r="I131" s="271" t="str">
        <f t="shared" si="85"/>
        <v>0.0699013978244798-0.335169057796458i</v>
      </c>
      <c r="J131" s="270" t="str">
        <f t="shared" si="86"/>
        <v>0.0183302520137111-0.171946024350074i</v>
      </c>
      <c r="K131" s="271" t="str">
        <f t="shared" si="60"/>
        <v>0.998734392559531-0.0558816713343943i</v>
      </c>
      <c r="L131" s="580"/>
      <c r="M131" s="580" t="str">
        <f t="shared" si="61"/>
        <v>469.831575779517+675.418616481316i</v>
      </c>
      <c r="N131" s="270" t="str">
        <f t="shared" si="62"/>
        <v>345.707015167971+506.563962360987i</v>
      </c>
      <c r="O131" s="581" t="str">
        <f t="shared" si="63"/>
        <v>199.128405295927+237.251024196497i</v>
      </c>
      <c r="P131" s="582" t="str">
        <f t="shared" si="64"/>
        <v>93.438556117929-50.1575017569224i</v>
      </c>
      <c r="Q131" s="583" t="str">
        <f t="shared" si="65"/>
        <v>91.4472720649701-52.5300119988874i</v>
      </c>
      <c r="R131" s="581" t="str">
        <f t="shared" si="87"/>
        <v>22.7000507493546+29.0280277716688i</v>
      </c>
      <c r="S131" s="253" t="str">
        <f t="shared" si="88"/>
        <v>50.2637298272867+3.87375156425998i</v>
      </c>
      <c r="T131" s="253" t="str">
        <f t="shared" si="89"/>
        <v>18.9770374550902-0.257430611527068i</v>
      </c>
      <c r="U131" s="253" t="str">
        <f t="shared" si="90"/>
        <v>1.05046829461392-6.37593621706394i</v>
      </c>
      <c r="V131" s="582" t="str">
        <f t="shared" si="66"/>
        <v>6000</v>
      </c>
      <c r="W131" s="584" t="str">
        <f t="shared" si="67"/>
        <v>1+24913.5502860918i</v>
      </c>
      <c r="X131" s="585">
        <f t="shared" si="68"/>
        <v>24913.5503061612</v>
      </c>
      <c r="Y131" s="586">
        <f t="shared" si="69"/>
        <v>1.5707561879954088</v>
      </c>
      <c r="Z131" s="273" t="str">
        <f t="shared" si="70"/>
        <v>1+3.73647207210295i</v>
      </c>
      <c r="AA131" s="585">
        <f t="shared" si="71"/>
        <v>3.8679740880214424</v>
      </c>
      <c r="AB131" s="586">
        <f t="shared" si="72"/>
        <v>1.3092927805540167</v>
      </c>
      <c r="AC131" s="584" t="str">
        <f t="shared" si="73"/>
        <v>1+0.18064145127859i</v>
      </c>
      <c r="AD131" s="585">
        <f t="shared" si="74"/>
        <v>1.0161846947873381</v>
      </c>
      <c r="AE131" s="586">
        <f t="shared" si="75"/>
        <v>0.17871418916656123</v>
      </c>
      <c r="AF131" s="580" t="str">
        <f t="shared" si="91"/>
        <v>0.829315164260148-0.390605372005917i</v>
      </c>
      <c r="AG131" s="270">
        <f t="shared" si="92"/>
        <v>0.91669853185860239</v>
      </c>
      <c r="AH131" s="581">
        <f t="shared" si="93"/>
        <v>-0.44017759660795208</v>
      </c>
      <c r="AI131" s="582" t="str">
        <f t="shared" si="76"/>
        <v>4000</v>
      </c>
      <c r="AJ131" s="584" t="str">
        <f t="shared" si="94"/>
        <v>1+1957.26815880382i</v>
      </c>
      <c r="AK131" s="585">
        <f t="shared" si="95"/>
        <v>1957.2684142619009</v>
      </c>
      <c r="AL131" s="586">
        <f t="shared" si="96"/>
        <v>1.5702854106445008</v>
      </c>
      <c r="AM131" s="273" t="str">
        <f t="shared" si="97"/>
        <v>1+0.068501987988554i</v>
      </c>
      <c r="AN131" s="585">
        <f t="shared" si="98"/>
        <v>1.0023435151475686</v>
      </c>
      <c r="AO131" s="586">
        <f t="shared" si="99"/>
        <v>6.8395139623867382E-2</v>
      </c>
      <c r="AP131" s="584" t="str">
        <f t="shared" si="100"/>
        <v>1+0.000495596137267268i</v>
      </c>
      <c r="AQ131" s="585">
        <f t="shared" si="101"/>
        <v>1.0000001228077582</v>
      </c>
      <c r="AR131" s="586">
        <f t="shared" si="102"/>
        <v>4.9559609669190454E-4</v>
      </c>
      <c r="AS131" s="580" t="str">
        <f t="shared" si="103"/>
        <v>0.140026373736994-2.043662116722i</v>
      </c>
      <c r="AT131" s="270">
        <f t="shared" si="104"/>
        <v>2.0484536198475611</v>
      </c>
      <c r="AU131" s="581">
        <f t="shared" si="105"/>
        <v>-1.5023858671173251</v>
      </c>
      <c r="AV131" s="580" t="str">
        <f t="shared" si="106"/>
        <v>0.0213118455064495-0.388186996096034i</v>
      </c>
      <c r="AW131" s="270">
        <f t="shared" si="107"/>
        <v>-8.2061098861785524</v>
      </c>
      <c r="AX131" s="581">
        <f t="shared" si="108"/>
        <v>-86.857560396376925</v>
      </c>
      <c r="AY131" s="299">
        <f t="shared" si="77"/>
        <v>93.142439603623075</v>
      </c>
      <c r="BB131" s="270">
        <f t="shared" si="111"/>
        <v>-33.77147729394148</v>
      </c>
      <c r="BC131" s="270">
        <f t="shared" si="112"/>
        <v>-86.080369385925252</v>
      </c>
      <c r="BD131" s="286"/>
      <c r="BE131" s="270">
        <f t="shared" si="109"/>
        <v>25.565367407762913</v>
      </c>
      <c r="BF131" s="581">
        <f t="shared" si="110"/>
        <v>-0.77719101045165795</v>
      </c>
      <c r="BI131" s="286"/>
      <c r="BJ131" s="286"/>
      <c r="BL131" s="253">
        <f t="shared" si="78"/>
        <v>0</v>
      </c>
      <c r="BM131" s="253">
        <f t="shared" si="113"/>
        <v>0</v>
      </c>
      <c r="BN131" s="253">
        <f t="shared" si="80"/>
        <v>0</v>
      </c>
      <c r="BO131" s="253">
        <f t="shared" si="81"/>
        <v>0</v>
      </c>
    </row>
    <row r="132" spans="4:67" ht="13.6" thickBot="1" x14ac:dyDescent="0.25">
      <c r="D132" s="280">
        <v>7161.95</v>
      </c>
      <c r="E132" s="273" t="str">
        <f t="shared" si="59"/>
        <v>0.0809997462193587i</v>
      </c>
      <c r="F132" s="579" t="str">
        <f t="shared" si="82"/>
        <v>0.002-0.341881413027061i</v>
      </c>
      <c r="G132" s="270" t="str">
        <f t="shared" si="83"/>
        <v>0.002-0.341881413027061i</v>
      </c>
      <c r="H132" s="271" t="str">
        <f t="shared" si="84"/>
        <v>0.0586134376467756-0.33153046012441i</v>
      </c>
      <c r="I132" s="271" t="str">
        <f t="shared" si="85"/>
        <v>0.0686134376467756-0.33153046012441i</v>
      </c>
      <c r="J132" s="270" t="str">
        <f t="shared" si="86"/>
        <v>0.0179930115599974-0.169996146871725i</v>
      </c>
      <c r="K132" s="271" t="str">
        <f t="shared" si="60"/>
        <v>0.998704741602422-0.0565324861944156i</v>
      </c>
      <c r="L132" s="580"/>
      <c r="M132" s="580" t="str">
        <f t="shared" si="61"/>
        <v>554.199272694989+716.734873466663i</v>
      </c>
      <c r="N132" s="270" t="str">
        <f t="shared" si="62"/>
        <v>408.982787854575+537.551155099997i</v>
      </c>
      <c r="O132" s="581" t="str">
        <f t="shared" si="63"/>
        <v>232.228821504457+249.770230307036i</v>
      </c>
      <c r="P132" s="582" t="str">
        <f t="shared" si="64"/>
        <v>98.7404571431519-59.8533339243297i</v>
      </c>
      <c r="Q132" s="583" t="str">
        <f t="shared" si="65"/>
        <v>96.4181689281072-62.3510362273999i</v>
      </c>
      <c r="R132" s="581" t="str">
        <f t="shared" si="87"/>
        <v>26.5963610044597+30.6474242670465i</v>
      </c>
      <c r="S132" s="253" t="str">
        <f t="shared" si="88"/>
        <v>50.3018624951278+3.77263564045381i</v>
      </c>
      <c r="T132" s="253" t="str">
        <f t="shared" si="89"/>
        <v>18.9860496643692-0.30303431106565i</v>
      </c>
      <c r="U132" s="253" t="str">
        <f t="shared" si="90"/>
        <v>1.01237253358002-6.3122156638697i</v>
      </c>
      <c r="V132" s="582" t="str">
        <f t="shared" si="66"/>
        <v>6000</v>
      </c>
      <c r="W132" s="584" t="str">
        <f t="shared" si="67"/>
        <v>1+25203.7010341797i</v>
      </c>
      <c r="X132" s="585">
        <f t="shared" si="68"/>
        <v>25203.701054018056</v>
      </c>
      <c r="Y132" s="586">
        <f t="shared" si="69"/>
        <v>1.5707566500824122</v>
      </c>
      <c r="Z132" s="273" t="str">
        <f t="shared" si="70"/>
        <v>1+3.7799881569034i</v>
      </c>
      <c r="AA132" s="585">
        <f t="shared" si="71"/>
        <v>3.9100269137603085</v>
      </c>
      <c r="AB132" s="586">
        <f t="shared" si="72"/>
        <v>1.3121700935734975</v>
      </c>
      <c r="AC132" s="584" t="str">
        <f t="shared" si="73"/>
        <v>1+0.18274525630125i</v>
      </c>
      <c r="AD132" s="585">
        <f t="shared" si="74"/>
        <v>1.0165607845577211</v>
      </c>
      <c r="AE132" s="586">
        <f t="shared" si="75"/>
        <v>0.18075076124949693</v>
      </c>
      <c r="AF132" s="580" t="str">
        <f t="shared" si="91"/>
        <v>0.828701431984866-0.38946582655604i</v>
      </c>
      <c r="AG132" s="270">
        <f t="shared" si="92"/>
        <v>0.91565806578042386</v>
      </c>
      <c r="AH132" s="581">
        <f t="shared" si="93"/>
        <v>-0.43933731775841317</v>
      </c>
      <c r="AI132" s="582" t="str">
        <f t="shared" si="76"/>
        <v>4000</v>
      </c>
      <c r="AJ132" s="584" t="str">
        <f t="shared" si="94"/>
        <v>1+1980.06309625609i</v>
      </c>
      <c r="AK132" s="585">
        <f t="shared" si="95"/>
        <v>1980.0633487732791</v>
      </c>
      <c r="AL132" s="586">
        <f t="shared" si="96"/>
        <v>1.5702912924266126</v>
      </c>
      <c r="AM132" s="273" t="str">
        <f t="shared" si="97"/>
        <v>1+0.0692997828765624i</v>
      </c>
      <c r="AN132" s="585">
        <f t="shared" si="98"/>
        <v>1.0023983539026482</v>
      </c>
      <c r="AO132" s="586">
        <f t="shared" si="99"/>
        <v>6.9189164968618266E-2</v>
      </c>
      <c r="AP132" s="584" t="str">
        <f t="shared" si="100"/>
        <v>1+0.000501367999901307i</v>
      </c>
      <c r="AQ132" s="585">
        <f t="shared" si="101"/>
        <v>1.0000001256849278</v>
      </c>
      <c r="AR132" s="586">
        <f t="shared" si="102"/>
        <v>5.0136795789171014E-4</v>
      </c>
      <c r="AS132" s="580" t="str">
        <f t="shared" si="103"/>
        <v>0.140002471373508-2.0201366200662i</v>
      </c>
      <c r="AT132" s="270">
        <f t="shared" si="104"/>
        <v>2.0249821371368144</v>
      </c>
      <c r="AU132" s="581">
        <f t="shared" si="105"/>
        <v>-1.5016034954158861</v>
      </c>
      <c r="AV132" s="580" t="str">
        <f t="shared" si="106"/>
        <v>0.020459231657116-0.38396839749848i</v>
      </c>
      <c r="AW132" s="270">
        <f t="shared" si="107"/>
        <v>-8.3017775925978761</v>
      </c>
      <c r="AX132" s="581">
        <f t="shared" si="108"/>
        <v>-86.949956963527669</v>
      </c>
      <c r="AY132" s="299">
        <f t="shared" si="77"/>
        <v>93.050043036472331</v>
      </c>
      <c r="BB132" s="270">
        <f t="shared" si="111"/>
        <v>-33.871576069007283</v>
      </c>
      <c r="BC132" s="270">
        <f t="shared" si="112"/>
        <v>-86.035542789422337</v>
      </c>
      <c r="BD132" s="286"/>
      <c r="BE132" s="270">
        <f t="shared" si="109"/>
        <v>25.569798476409392</v>
      </c>
      <c r="BF132" s="581">
        <f t="shared" si="110"/>
        <v>-0.91441417410533554</v>
      </c>
      <c r="BI132" s="286"/>
      <c r="BJ132" s="286"/>
      <c r="BL132" s="253">
        <f t="shared" si="78"/>
        <v>0</v>
      </c>
      <c r="BM132" s="253">
        <f t="shared" si="113"/>
        <v>0</v>
      </c>
      <c r="BN132" s="253">
        <f t="shared" si="80"/>
        <v>0</v>
      </c>
      <c r="BO132" s="253">
        <f t="shared" si="81"/>
        <v>0</v>
      </c>
    </row>
    <row r="133" spans="4:67" ht="13.6" thickBot="1" x14ac:dyDescent="0.25">
      <c r="D133" s="280">
        <v>7244.4</v>
      </c>
      <c r="E133" s="273" t="str">
        <f t="shared" si="59"/>
        <v>0.0819322337507972i</v>
      </c>
      <c r="F133" s="579" t="str">
        <f t="shared" si="82"/>
        <v>0.002-0.337990390650593i</v>
      </c>
      <c r="G133" s="270" t="str">
        <f t="shared" si="83"/>
        <v>0.002-0.337990390650593i</v>
      </c>
      <c r="H133" s="271" t="str">
        <f t="shared" si="84"/>
        <v>0.0573675773495889-0.327967578132927i</v>
      </c>
      <c r="I133" s="271" t="str">
        <f t="shared" si="85"/>
        <v>0.0673675773495889-0.327967578132927i</v>
      </c>
      <c r="J133" s="270" t="str">
        <f t="shared" si="86"/>
        <v>0.017667110824469-0.168089706292299i</v>
      </c>
      <c r="K133" s="271" t="str">
        <f t="shared" si="60"/>
        <v>0.998674747320522-0.0571833010544369i</v>
      </c>
      <c r="L133" s="580"/>
      <c r="M133" s="580" t="str">
        <f t="shared" si="61"/>
        <v>660.856712701455+754.536084144198i</v>
      </c>
      <c r="N133" s="270" t="str">
        <f t="shared" si="62"/>
        <v>488.975867859424+565.902063108148i</v>
      </c>
      <c r="O133" s="581" t="str">
        <f t="shared" si="63"/>
        <v>273.569167629188+260.182457214446i</v>
      </c>
      <c r="P133" s="582" t="str">
        <f t="shared" si="64"/>
        <v>103.761102426018-72.1939555477853i</v>
      </c>
      <c r="Q133" s="583" t="str">
        <f t="shared" si="65"/>
        <v>101.025410749726-74.7957801199297i</v>
      </c>
      <c r="R133" s="581" t="str">
        <f t="shared" si="87"/>
        <v>31.4825461089799+32.0475345298456i</v>
      </c>
      <c r="S133" s="253" t="str">
        <f t="shared" si="88"/>
        <v>50.3387243810095+3.67270852107885i</v>
      </c>
      <c r="T133" s="253" t="str">
        <f t="shared" si="89"/>
        <v>18.9946664162519-0.348287907760204i</v>
      </c>
      <c r="U133" s="253" t="str">
        <f t="shared" si="90"/>
        <v>0.975450853262877-6.24961517546934i</v>
      </c>
      <c r="V133" s="582" t="str">
        <f t="shared" si="66"/>
        <v>6000</v>
      </c>
      <c r="W133" s="584" t="str">
        <f t="shared" si="67"/>
        <v>1+25493.8517822676i</v>
      </c>
      <c r="X133" s="585">
        <f t="shared" si="68"/>
        <v>25493.851801880173</v>
      </c>
      <c r="Y133" s="586">
        <f t="shared" si="69"/>
        <v>1.5707571016512021</v>
      </c>
      <c r="Z133" s="273" t="str">
        <f t="shared" si="70"/>
        <v>1+3.82350424170387i</v>
      </c>
      <c r="AA133" s="585">
        <f t="shared" si="71"/>
        <v>3.9521114212946333</v>
      </c>
      <c r="AB133" s="586">
        <f t="shared" si="72"/>
        <v>1.3149861507057983</v>
      </c>
      <c r="AC133" s="584" t="str">
        <f t="shared" si="73"/>
        <v>1+0.18484906132391i</v>
      </c>
      <c r="AD133" s="585">
        <f t="shared" si="74"/>
        <v>1.016941087513102</v>
      </c>
      <c r="AE133" s="586">
        <f t="shared" si="75"/>
        <v>0.18278581854415696</v>
      </c>
      <c r="AF133" s="580" t="str">
        <f t="shared" si="91"/>
        <v>0.828081526325784-0.388385657432224i</v>
      </c>
      <c r="AG133" s="270">
        <f t="shared" si="92"/>
        <v>0.91463786994695384</v>
      </c>
      <c r="AH133" s="581">
        <f t="shared" si="93"/>
        <v>-0.43855676948956146</v>
      </c>
      <c r="AI133" s="582" t="str">
        <f t="shared" si="76"/>
        <v>4000</v>
      </c>
      <c r="AJ133" s="584" t="str">
        <f t="shared" si="94"/>
        <v>1+2002.85803370836i</v>
      </c>
      <c r="AK133" s="585">
        <f t="shared" si="95"/>
        <v>2002.8582833516</v>
      </c>
      <c r="AL133" s="586">
        <f t="shared" si="96"/>
        <v>1.5702970403252248</v>
      </c>
      <c r="AM133" s="273" t="str">
        <f t="shared" si="97"/>
        <v>1+0.070097577764571i</v>
      </c>
      <c r="AN133" s="585">
        <f t="shared" si="98"/>
        <v>1.0024538245767034</v>
      </c>
      <c r="AO133" s="586">
        <f t="shared" si="99"/>
        <v>6.9983102939269168E-2</v>
      </c>
      <c r="AP133" s="584" t="str">
        <f t="shared" si="100"/>
        <v>1+0.000507139862535348i</v>
      </c>
      <c r="AQ133" s="585">
        <f t="shared" si="101"/>
        <v>1.0000001285954119</v>
      </c>
      <c r="AR133" s="586">
        <f t="shared" si="102"/>
        <v>5.0713981905811233E-4</v>
      </c>
      <c r="AS133" s="580" t="str">
        <f t="shared" si="103"/>
        <v>0.139979380433285-1.99714663825552i</v>
      </c>
      <c r="AT133" s="270">
        <f t="shared" si="104"/>
        <v>2.0020461836935257</v>
      </c>
      <c r="AU133" s="581">
        <f t="shared" si="105"/>
        <v>-1.5008210772050137</v>
      </c>
      <c r="AV133" s="580" t="str">
        <f t="shared" si="106"/>
        <v>0.0196327961235553-0.379838873035432i</v>
      </c>
      <c r="AW133" s="270">
        <f t="shared" si="107"/>
        <v>-8.3964248431900206</v>
      </c>
      <c r="AX133" s="581">
        <f t="shared" si="108"/>
        <v>-87.041176366724983</v>
      </c>
      <c r="AY133" s="299">
        <f t="shared" si="77"/>
        <v>92.958823633275017</v>
      </c>
      <c r="BB133" s="270">
        <f t="shared" si="111"/>
        <v>-33.970518166585485</v>
      </c>
      <c r="BC133" s="270">
        <f t="shared" si="112"/>
        <v>-85.99071352812517</v>
      </c>
      <c r="BD133" s="286"/>
      <c r="BE133" s="270">
        <f t="shared" si="109"/>
        <v>25.574093323395459</v>
      </c>
      <c r="BF133" s="581">
        <f t="shared" si="110"/>
        <v>-1.0504628385998249</v>
      </c>
      <c r="BI133" s="286"/>
      <c r="BJ133" s="286"/>
      <c r="BL133" s="253">
        <f t="shared" si="78"/>
        <v>0</v>
      </c>
      <c r="BM133" s="253">
        <f t="shared" si="113"/>
        <v>0</v>
      </c>
      <c r="BN133" s="253">
        <f t="shared" si="80"/>
        <v>0</v>
      </c>
      <c r="BO133" s="253">
        <f t="shared" si="81"/>
        <v>0</v>
      </c>
    </row>
    <row r="134" spans="4:67" ht="13.6" thickBot="1" x14ac:dyDescent="0.25">
      <c r="D134" s="280">
        <v>7328.75</v>
      </c>
      <c r="E134" s="273" t="str">
        <f t="shared" si="59"/>
        <v>0.0828862097759863i</v>
      </c>
      <c r="F134" s="579" t="str">
        <f t="shared" si="82"/>
        <v>0.002-0.334100301692534i</v>
      </c>
      <c r="G134" s="270" t="str">
        <f t="shared" si="83"/>
        <v>0.002-0.334100301692534i</v>
      </c>
      <c r="H134" s="271" t="str">
        <f t="shared" si="84"/>
        <v>0.056134699217047-0.324398593127489i</v>
      </c>
      <c r="I134" s="271" t="str">
        <f t="shared" si="85"/>
        <v>0.066134699217047-0.324398593127489i</v>
      </c>
      <c r="J134" s="270" t="str">
        <f t="shared" si="86"/>
        <v>0.0173449117146235-0.166182797932599i</v>
      </c>
      <c r="K134" s="271" t="str">
        <f t="shared" si="60"/>
        <v>0.998643706558862-0.0578491134673271i</v>
      </c>
      <c r="L134" s="580"/>
      <c r="M134" s="580" t="str">
        <f t="shared" si="61"/>
        <v>799.293973695619+782.54386856265i</v>
      </c>
      <c r="N134" s="270" t="str">
        <f t="shared" si="62"/>
        <v>592.803813605047+586.907901421988i</v>
      </c>
      <c r="O134" s="581" t="str">
        <f t="shared" si="63"/>
        <v>326.488118996799+265.796261996885i</v>
      </c>
      <c r="P134" s="582" t="str">
        <f t="shared" si="64"/>
        <v>107.816126998128-88.3339306352223i</v>
      </c>
      <c r="Q134" s="583" t="str">
        <f t="shared" si="65"/>
        <v>104.55124580816-90.9918932551913i</v>
      </c>
      <c r="R134" s="581" t="str">
        <f t="shared" si="87"/>
        <v>37.7667885932713+32.9205528611958i</v>
      </c>
      <c r="S134" s="253" t="str">
        <f t="shared" si="88"/>
        <v>50.3751720093572+3.57168095637404i</v>
      </c>
      <c r="T134" s="253" t="str">
        <f t="shared" si="89"/>
        <v>19.003087493785-0.394230155300146i</v>
      </c>
      <c r="U134" s="253" t="str">
        <f t="shared" si="90"/>
        <v>0.938844892911054-6.1867048392525i</v>
      </c>
      <c r="V134" s="582" t="str">
        <f t="shared" si="66"/>
        <v>6000</v>
      </c>
      <c r="W134" s="584" t="str">
        <f t="shared" si="67"/>
        <v>1+25790.6888423187i</v>
      </c>
      <c r="X134" s="585">
        <f t="shared" si="68"/>
        <v>25790.688861705541</v>
      </c>
      <c r="Y134" s="586">
        <f t="shared" si="69"/>
        <v>1.5707575531116649</v>
      </c>
      <c r="Z134" s="273" t="str">
        <f t="shared" si="70"/>
        <v>1+3.86802312287936i</v>
      </c>
      <c r="AA134" s="585">
        <f t="shared" si="71"/>
        <v>3.9951974768626144</v>
      </c>
      <c r="AB134" s="586">
        <f t="shared" si="72"/>
        <v>1.3178056850301023</v>
      </c>
      <c r="AC134" s="584" t="str">
        <f t="shared" si="73"/>
        <v>1+0.18700134699597i</v>
      </c>
      <c r="AD134" s="585">
        <f t="shared" si="74"/>
        <v>1.0173345092831105</v>
      </c>
      <c r="AE134" s="586">
        <f t="shared" si="75"/>
        <v>0.18486618890032372</v>
      </c>
      <c r="AF134" s="580" t="str">
        <f t="shared" si="91"/>
        <v>0.827440977659454-0.387339785457674i</v>
      </c>
      <c r="AG134" s="270">
        <f t="shared" si="92"/>
        <v>0.91361407657086258</v>
      </c>
      <c r="AH134" s="581">
        <f t="shared" si="93"/>
        <v>-0.43781805698188536</v>
      </c>
      <c r="AI134" s="582" t="str">
        <f t="shared" si="76"/>
        <v>4000</v>
      </c>
      <c r="AJ134" s="584" t="str">
        <f t="shared" si="94"/>
        <v>1+2026.17826383692i</v>
      </c>
      <c r="AK134" s="585">
        <f t="shared" si="95"/>
        <v>2026.1785106068999</v>
      </c>
      <c r="AL134" s="586">
        <f t="shared" si="96"/>
        <v>1.5703027868450048</v>
      </c>
      <c r="AM134" s="273" t="str">
        <f t="shared" si="97"/>
        <v>1+0.0709137572527883i</v>
      </c>
      <c r="AN134" s="585">
        <f t="shared" si="98"/>
        <v>1.0025112273524459</v>
      </c>
      <c r="AO134" s="586">
        <f t="shared" si="99"/>
        <v>7.0795245184277114E-2</v>
      </c>
      <c r="AP134" s="584" t="str">
        <f t="shared" si="100"/>
        <v>1+0.000513044733526024i</v>
      </c>
      <c r="AQ134" s="585">
        <f t="shared" si="101"/>
        <v>1.0000001316074405</v>
      </c>
      <c r="AR134" s="586">
        <f t="shared" si="102"/>
        <v>5.1304468851235861E-4</v>
      </c>
      <c r="AS134" s="580" t="str">
        <f t="shared" si="103"/>
        <v>0.1399565592061-1.97416218980024i</v>
      </c>
      <c r="AT134" s="270">
        <f t="shared" si="104"/>
        <v>1.9791170228416732</v>
      </c>
      <c r="AU134" s="581">
        <f t="shared" si="105"/>
        <v>-1.5000205863492395</v>
      </c>
      <c r="AV134" s="580" t="str">
        <f t="shared" si="106"/>
        <v>0.0188133247324999-0.375703519157672i</v>
      </c>
      <c r="AW134" s="270">
        <f t="shared" si="107"/>
        <v>-8.492218444394128</v>
      </c>
      <c r="AX134" s="581">
        <f t="shared" si="108"/>
        <v>-87.133312732525297</v>
      </c>
      <c r="AY134" s="299">
        <f t="shared" si="77"/>
        <v>92.866687267474703</v>
      </c>
      <c r="BB134" s="270">
        <f t="shared" si="111"/>
        <v>-34.070570514337639</v>
      </c>
      <c r="BC134" s="270">
        <f t="shared" si="112"/>
        <v>-85.944848780550487</v>
      </c>
      <c r="BD134" s="286"/>
      <c r="BE134" s="270">
        <f t="shared" si="109"/>
        <v>25.57835206994352</v>
      </c>
      <c r="BF134" s="581">
        <f t="shared" si="110"/>
        <v>-1.1884639519748013</v>
      </c>
      <c r="BI134" s="286"/>
      <c r="BJ134" s="286"/>
      <c r="BL134" s="253">
        <f t="shared" si="78"/>
        <v>0</v>
      </c>
      <c r="BM134" s="253">
        <f t="shared" si="113"/>
        <v>0</v>
      </c>
      <c r="BN134" s="253">
        <f t="shared" si="80"/>
        <v>0</v>
      </c>
      <c r="BO134" s="253">
        <f t="shared" si="81"/>
        <v>0</v>
      </c>
    </row>
    <row r="135" spans="4:67" ht="13.6" thickBot="1" x14ac:dyDescent="0.25">
      <c r="D135" s="280">
        <v>7413.1</v>
      </c>
      <c r="E135" s="273" t="str">
        <f t="shared" si="59"/>
        <v>0.0838401858011754i</v>
      </c>
      <c r="F135" s="579" t="str">
        <f t="shared" si="82"/>
        <v>0.002-0.330298739532606i</v>
      </c>
      <c r="G135" s="270" t="str">
        <f t="shared" si="83"/>
        <v>0.002-0.330298739532606i</v>
      </c>
      <c r="H135" s="271" t="str">
        <f t="shared" si="84"/>
        <v>0.0549421791049117-0.320904169110732i</v>
      </c>
      <c r="I135" s="271" t="str">
        <f t="shared" si="85"/>
        <v>0.0649421791049117-0.320904169110732i</v>
      </c>
      <c r="J135" s="270" t="str">
        <f t="shared" si="86"/>
        <v>0.017033548562826-0.164318401604552i</v>
      </c>
      <c r="K135" s="271" t="str">
        <f t="shared" si="60"/>
        <v>0.998612306466756-0.0585149258802173i</v>
      </c>
      <c r="L135" s="580"/>
      <c r="M135" s="580" t="str">
        <f t="shared" si="61"/>
        <v>973.440039651925+786.860439538332i</v>
      </c>
      <c r="N135" s="270" t="str">
        <f t="shared" si="62"/>
        <v>723.413363072277+590.145329653749i</v>
      </c>
      <c r="O135" s="581" t="str">
        <f t="shared" si="63"/>
        <v>391.969066144522+261.257773213634i</v>
      </c>
      <c r="P135" s="582" t="str">
        <f t="shared" si="64"/>
        <v>109.294033933984-108.817858387628i</v>
      </c>
      <c r="Q135" s="583" t="str">
        <f t="shared" si="65"/>
        <v>105.374343272539-111.430436119763i</v>
      </c>
      <c r="R135" s="581" t="str">
        <f t="shared" si="87"/>
        <v>45.5868729937824+32.6323668551681i</v>
      </c>
      <c r="S135" s="253" t="str">
        <f t="shared" si="88"/>
        <v>50.4103913268076+3.47184155426933i</v>
      </c>
      <c r="T135" s="253" t="str">
        <f t="shared" si="89"/>
        <v>19.011124381889-0.439822272675239i</v>
      </c>
      <c r="U135" s="253" t="str">
        <f t="shared" si="90"/>
        <v>0.903371799806275-6.12491386771053i</v>
      </c>
      <c r="V135" s="582" t="str">
        <f t="shared" si="66"/>
        <v>6000</v>
      </c>
      <c r="W135" s="584" t="str">
        <f t="shared" si="67"/>
        <v>1+26087.5259023698i</v>
      </c>
      <c r="X135" s="585">
        <f t="shared" si="68"/>
        <v>26087.525921536049</v>
      </c>
      <c r="Y135" s="586">
        <f t="shared" si="69"/>
        <v>1.570757994298237</v>
      </c>
      <c r="Z135" s="273" t="str">
        <f t="shared" si="70"/>
        <v>1+3.91254200405485i</v>
      </c>
      <c r="AA135" s="585">
        <f t="shared" si="71"/>
        <v>4.0383146154668959</v>
      </c>
      <c r="AB135" s="586">
        <f t="shared" si="72"/>
        <v>1.3205650324914266</v>
      </c>
      <c r="AC135" s="584" t="str">
        <f t="shared" si="73"/>
        <v>1+0.18915363266803i</v>
      </c>
      <c r="AD135" s="585">
        <f t="shared" si="74"/>
        <v>1.0177323306014758</v>
      </c>
      <c r="AE135" s="586">
        <f t="shared" si="75"/>
        <v>0.18694494185573782</v>
      </c>
      <c r="AF135" s="580" t="str">
        <f t="shared" si="91"/>
        <v>0.826794030367806-0.386351579971852i</v>
      </c>
      <c r="AG135" s="270">
        <f t="shared" si="92"/>
        <v>0.91260939727716306</v>
      </c>
      <c r="AH135" s="581">
        <f t="shared" si="93"/>
        <v>-0.43713790366254757</v>
      </c>
      <c r="AI135" s="582" t="str">
        <f t="shared" si="76"/>
        <v>4000</v>
      </c>
      <c r="AJ135" s="584" t="str">
        <f t="shared" si="94"/>
        <v>1+2049.49849396547i</v>
      </c>
      <c r="AK135" s="585">
        <f t="shared" si="95"/>
        <v>2049.4987379275767</v>
      </c>
      <c r="AL135" s="586">
        <f t="shared" si="96"/>
        <v>1.5703084025912011</v>
      </c>
      <c r="AM135" s="273" t="str">
        <f t="shared" si="97"/>
        <v>1+0.0717299367410057i</v>
      </c>
      <c r="AN135" s="585">
        <f t="shared" si="98"/>
        <v>1.0025692912835844</v>
      </c>
      <c r="AO135" s="586">
        <f t="shared" si="99"/>
        <v>7.1607293894192875E-2</v>
      </c>
      <c r="AP135" s="584" t="str">
        <f t="shared" si="100"/>
        <v>1+0.000518949604516701i</v>
      </c>
      <c r="AQ135" s="585">
        <f t="shared" si="101"/>
        <v>1.000000134654337</v>
      </c>
      <c r="AR135" s="586">
        <f t="shared" si="102"/>
        <v>5.1894955793082881E-4</v>
      </c>
      <c r="AS135" s="580" t="str">
        <f t="shared" si="103"/>
        <v>0.139934512514383-1.95170081699486i</v>
      </c>
      <c r="AT135" s="270">
        <f t="shared" si="104"/>
        <v>1.9567109512779455</v>
      </c>
      <c r="AU135" s="581">
        <f t="shared" si="105"/>
        <v>-1.4992200582549393</v>
      </c>
      <c r="AV135" s="580" t="str">
        <f t="shared" si="106"/>
        <v>0.0180191093381714-0.371655733034434i</v>
      </c>
      <c r="AW135" s="270">
        <f t="shared" si="107"/>
        <v>-8.5869865775912828</v>
      </c>
      <c r="AX135" s="581">
        <f t="shared" si="108"/>
        <v>-87.224283075096366</v>
      </c>
      <c r="AY135" s="299">
        <f t="shared" si="77"/>
        <v>92.775716924903634</v>
      </c>
      <c r="BB135" s="270">
        <f t="shared" si="111"/>
        <v>-34.169466486701545</v>
      </c>
      <c r="BC135" s="270">
        <f t="shared" si="112"/>
        <v>-85.898981899365438</v>
      </c>
      <c r="BD135" s="286"/>
      <c r="BE135" s="270">
        <f t="shared" si="109"/>
        <v>25.582479909110273</v>
      </c>
      <c r="BF135" s="581">
        <f t="shared" si="110"/>
        <v>-1.325301175730933</v>
      </c>
      <c r="BI135" s="286"/>
      <c r="BJ135" s="286"/>
      <c r="BL135" s="253">
        <f t="shared" si="78"/>
        <v>0</v>
      </c>
      <c r="BM135" s="253">
        <f t="shared" si="113"/>
        <v>0</v>
      </c>
      <c r="BN135" s="253">
        <f t="shared" si="80"/>
        <v>0</v>
      </c>
      <c r="BO135" s="253">
        <f t="shared" si="81"/>
        <v>0</v>
      </c>
    </row>
    <row r="136" spans="4:67" ht="13.6" thickBot="1" x14ac:dyDescent="0.25">
      <c r="D136" s="280">
        <v>7499.45</v>
      </c>
      <c r="E136" s="273" t="str">
        <f t="shared" si="59"/>
        <v>0.0848167812934703i</v>
      </c>
      <c r="F136" s="579" t="str">
        <f t="shared" si="82"/>
        <v>0.002-0.326495621149438i</v>
      </c>
      <c r="G136" s="270" t="str">
        <f t="shared" si="83"/>
        <v>0.002-0.326495621149438i</v>
      </c>
      <c r="H136" s="271" t="str">
        <f t="shared" si="84"/>
        <v>0.0537613860337723-0.317401790795167i</v>
      </c>
      <c r="I136" s="271" t="str">
        <f t="shared" si="85"/>
        <v>0.0637613860337723-0.317401790795167i</v>
      </c>
      <c r="J136" s="270" t="str">
        <f t="shared" si="86"/>
        <v>0.0167255267149999-0.162452378198822i</v>
      </c>
      <c r="K136" s="271" t="str">
        <f t="shared" si="60"/>
        <v>0.998579789644138-0.0591965251908643i</v>
      </c>
      <c r="L136" s="580"/>
      <c r="M136" s="580" t="str">
        <f t="shared" si="61"/>
        <v>1190.49694861413+744.101764536978i</v>
      </c>
      <c r="N136" s="270" t="str">
        <f t="shared" si="62"/>
        <v>886.20604479393+558.076323402733i</v>
      </c>
      <c r="O136" s="581" t="str">
        <f t="shared" si="63"/>
        <v>471.887360115063+237.53771681246i</v>
      </c>
      <c r="P136" s="582" t="str">
        <f t="shared" si="64"/>
        <v>105.483088830424-134.632159094864i</v>
      </c>
      <c r="Q136" s="583" t="str">
        <f t="shared" si="65"/>
        <v>100.764215229274-137.007536262989i</v>
      </c>
      <c r="R136" s="581" t="str">
        <f t="shared" si="87"/>
        <v>55.2010571645052+30.114397907658i</v>
      </c>
      <c r="S136" s="253" t="str">
        <f t="shared" si="88"/>
        <v>50.4452232310069+3.37083701286532i</v>
      </c>
      <c r="T136" s="253" t="str">
        <f t="shared" si="89"/>
        <v>19.0189684281939-0.486141050591068i</v>
      </c>
      <c r="U136" s="253" t="str">
        <f t="shared" si="90"/>
        <v>0.868184063595632-6.06279025487316i</v>
      </c>
      <c r="V136" s="582" t="str">
        <f t="shared" si="66"/>
        <v>6000</v>
      </c>
      <c r="W136" s="584" t="str">
        <f t="shared" si="67"/>
        <v>1+26391.4011855401i</v>
      </c>
      <c r="X136" s="585">
        <f t="shared" si="68"/>
        <v>26391.401204485664</v>
      </c>
      <c r="Y136" s="586">
        <f t="shared" si="69"/>
        <v>1.570758435665415</v>
      </c>
      <c r="Z136" s="273" t="str">
        <f t="shared" si="70"/>
        <v>1+3.95811646036195i</v>
      </c>
      <c r="AA136" s="585">
        <f t="shared" si="71"/>
        <v>4.0824852619192891</v>
      </c>
      <c r="AB136" s="586">
        <f t="shared" si="72"/>
        <v>1.3233294095053232</v>
      </c>
      <c r="AC136" s="584" t="str">
        <f t="shared" si="73"/>
        <v>1+0.191356950602616i</v>
      </c>
      <c r="AD136" s="585">
        <f t="shared" si="74"/>
        <v>1.0181441364285964</v>
      </c>
      <c r="AE136" s="586">
        <f t="shared" si="75"/>
        <v>0.18907129141376169</v>
      </c>
      <c r="AF136" s="580" t="str">
        <f t="shared" si="91"/>
        <v>0.826125148927134-0.38539746908469i</v>
      </c>
      <c r="AG136" s="270">
        <f t="shared" si="92"/>
        <v>0.91159967686850563</v>
      </c>
      <c r="AH136" s="581">
        <f t="shared" si="93"/>
        <v>-0.43650031757385371</v>
      </c>
      <c r="AI136" s="582" t="str">
        <f t="shared" si="76"/>
        <v>4000</v>
      </c>
      <c r="AJ136" s="584" t="str">
        <f t="shared" si="94"/>
        <v>1+2073.37166375327i</v>
      </c>
      <c r="AK136" s="585">
        <f t="shared" si="95"/>
        <v>2073.3719049063538</v>
      </c>
      <c r="AL136" s="586">
        <f t="shared" si="96"/>
        <v>1.5703140206363133</v>
      </c>
      <c r="AM136" s="273" t="str">
        <f t="shared" si="97"/>
        <v>1+0.0725654684399692i</v>
      </c>
      <c r="AN136" s="585">
        <f t="shared" si="98"/>
        <v>1.0026294166888943</v>
      </c>
      <c r="AO136" s="586">
        <f t="shared" si="99"/>
        <v>7.243849888196878E-2</v>
      </c>
      <c r="AP136" s="584" t="str">
        <f t="shared" si="100"/>
        <v>1+0.000524994484303837i</v>
      </c>
      <c r="AQ136" s="585">
        <f t="shared" si="101"/>
        <v>1.0000001378095948</v>
      </c>
      <c r="AR136" s="586">
        <f t="shared" si="102"/>
        <v>5.2499443607099028E-4</v>
      </c>
      <c r="AS136" s="580" t="str">
        <f t="shared" si="103"/>
        <v>0.13991270920654-1.92923026806206i</v>
      </c>
      <c r="AT136" s="270">
        <f t="shared" si="104"/>
        <v>1.9342970282261001</v>
      </c>
      <c r="AU136" s="581">
        <f t="shared" si="105"/>
        <v>-1.4984005161904159</v>
      </c>
      <c r="AV136" s="580" t="str">
        <f t="shared" si="106"/>
        <v>0.0172311736975448-0.367599868704331i</v>
      </c>
      <c r="AW136" s="270">
        <f t="shared" si="107"/>
        <v>-8.6829609907057943</v>
      </c>
      <c r="AX136" s="581">
        <f t="shared" si="108"/>
        <v>-87.316235750140052</v>
      </c>
      <c r="AY136" s="299">
        <f t="shared" si="77"/>
        <v>92.683764249859948</v>
      </c>
      <c r="BB136" s="270">
        <f t="shared" si="111"/>
        <v>-34.269536708321006</v>
      </c>
      <c r="BC136" s="270">
        <f t="shared" si="112"/>
        <v>-85.852025597934812</v>
      </c>
      <c r="BD136" s="286"/>
      <c r="BE136" s="270">
        <f t="shared" si="109"/>
        <v>25.586575717615212</v>
      </c>
      <c r="BF136" s="581">
        <f t="shared" si="110"/>
        <v>-1.4642101522052471</v>
      </c>
      <c r="BI136" s="286"/>
      <c r="BJ136" s="286"/>
      <c r="BL136" s="253">
        <f t="shared" si="78"/>
        <v>0</v>
      </c>
      <c r="BM136" s="253">
        <f t="shared" si="113"/>
        <v>0</v>
      </c>
      <c r="BN136" s="253">
        <f t="shared" si="80"/>
        <v>0</v>
      </c>
      <c r="BO136" s="253">
        <f t="shared" si="81"/>
        <v>0</v>
      </c>
    </row>
    <row r="137" spans="4:67" ht="13.6" thickBot="1" x14ac:dyDescent="0.25">
      <c r="D137" s="280">
        <v>7585.8</v>
      </c>
      <c r="E137" s="273" t="str">
        <f t="shared" si="59"/>
        <v>0.0857933767857652i</v>
      </c>
      <c r="F137" s="579" t="str">
        <f t="shared" si="82"/>
        <v>0.002-0.322779085400242i</v>
      </c>
      <c r="G137" s="270" t="str">
        <f t="shared" si="83"/>
        <v>0.002-0.322779085400242i</v>
      </c>
      <c r="H137" s="271" t="str">
        <f t="shared" si="84"/>
        <v>0.0526193240486906-0.313972903850983i</v>
      </c>
      <c r="I137" s="271" t="str">
        <f t="shared" si="85"/>
        <v>0.0626193240486906-0.313972903850983i</v>
      </c>
      <c r="J137" s="270" t="str">
        <f t="shared" si="86"/>
        <v>0.0164278723538747-0.160628011896313i</v>
      </c>
      <c r="K137" s="271" t="str">
        <f t="shared" si="60"/>
        <v>0.998546896249085-0.0598781245015112i</v>
      </c>
      <c r="L137" s="580"/>
      <c r="M137" s="580" t="str">
        <f t="shared" si="61"/>
        <v>1434.05832819092+620.732977772919i</v>
      </c>
      <c r="N137" s="270" t="str">
        <f t="shared" si="62"/>
        <v>1068.87707947652+465.549733329689i</v>
      </c>
      <c r="O137" s="581" t="str">
        <f t="shared" si="63"/>
        <v>558.901525054195+182.632539035179i</v>
      </c>
      <c r="P137" s="582" t="str">
        <f t="shared" si="64"/>
        <v>92.3397043272293-164.04360864433i</v>
      </c>
      <c r="Q137" s="583" t="str">
        <f t="shared" si="65"/>
        <v>86.7506890766872-165.869934034681i</v>
      </c>
      <c r="R137" s="581" t="str">
        <f t="shared" si="87"/>
        <v>65.7808697288059+23.9081604259758i</v>
      </c>
      <c r="S137" s="253" t="str">
        <f t="shared" si="88"/>
        <v>50.4788666929375+3.27102016219172i</v>
      </c>
      <c r="T137" s="253" t="str">
        <f t="shared" si="89"/>
        <v>19.0264387063843-0.53210960164291i</v>
      </c>
      <c r="U137" s="253" t="str">
        <f t="shared" si="90"/>
        <v>0.834090346988972-6.00178545814448i</v>
      </c>
      <c r="V137" s="582" t="str">
        <f t="shared" si="66"/>
        <v>6000</v>
      </c>
      <c r="W137" s="584" t="str">
        <f t="shared" si="67"/>
        <v>1+26695.2764687104i</v>
      </c>
      <c r="X137" s="585">
        <f t="shared" si="68"/>
        <v>26695.2764874403</v>
      </c>
      <c r="Y137" s="586">
        <f t="shared" si="69"/>
        <v>1.5707588669843304</v>
      </c>
      <c r="Z137" s="273" t="str">
        <f t="shared" si="70"/>
        <v>1+4.00369091666905i</v>
      </c>
      <c r="AA137" s="585">
        <f t="shared" si="71"/>
        <v>4.1266864378358399</v>
      </c>
      <c r="AB137" s="586">
        <f t="shared" si="72"/>
        <v>1.3260345880216975</v>
      </c>
      <c r="AC137" s="584" t="str">
        <f t="shared" si="73"/>
        <v>1+0.193560268537203i</v>
      </c>
      <c r="AD137" s="585">
        <f t="shared" si="74"/>
        <v>1.0185605419199166</v>
      </c>
      <c r="AE137" s="586">
        <f t="shared" si="75"/>
        <v>0.19119591199314523</v>
      </c>
      <c r="AF137" s="580" t="str">
        <f t="shared" si="91"/>
        <v>0.825449630040192-0.384499406468749i</v>
      </c>
      <c r="AG137" s="270">
        <f t="shared" si="92"/>
        <v>0.91060797564501372</v>
      </c>
      <c r="AH137" s="581">
        <f t="shared" si="93"/>
        <v>-0.43592019095577961</v>
      </c>
      <c r="AI137" s="582" t="str">
        <f t="shared" si="76"/>
        <v>4000</v>
      </c>
      <c r="AJ137" s="584" t="str">
        <f t="shared" si="94"/>
        <v>1+2097.24483354107i</v>
      </c>
      <c r="AK137" s="585">
        <f t="shared" si="95"/>
        <v>2097.2450719490821</v>
      </c>
      <c r="AL137" s="586">
        <f t="shared" si="96"/>
        <v>1.5703195107797978</v>
      </c>
      <c r="AM137" s="273" t="str">
        <f t="shared" si="97"/>
        <v>1+0.0734010001389325i</v>
      </c>
      <c r="AN137" s="585">
        <f t="shared" si="98"/>
        <v>1.0026902347292486</v>
      </c>
      <c r="AO137" s="586">
        <f t="shared" si="99"/>
        <v>7.3269603610646578E-2</v>
      </c>
      <c r="AP137" s="584" t="str">
        <f t="shared" si="100"/>
        <v>1+0.000531039364090972i</v>
      </c>
      <c r="AQ137" s="585">
        <f t="shared" si="101"/>
        <v>1.0000001410013932</v>
      </c>
      <c r="AR137" s="586">
        <f t="shared" si="102"/>
        <v>5.3103931417278346E-4</v>
      </c>
      <c r="AS137" s="580" t="str">
        <f t="shared" si="103"/>
        <v>0.139891646180994-1.90727130738804i</v>
      </c>
      <c r="AT137" s="270">
        <f t="shared" si="104"/>
        <v>1.912394706292849</v>
      </c>
      <c r="AU137" s="581">
        <f t="shared" si="105"/>
        <v>-1.4975809464833236</v>
      </c>
      <c r="AV137" s="580" t="str">
        <f t="shared" si="106"/>
        <v>0.0164676245599868-0.363630183145865i</v>
      </c>
      <c r="AW137" s="270">
        <f t="shared" si="107"/>
        <v>-8.7779037314347406</v>
      </c>
      <c r="AX137" s="581">
        <f t="shared" si="108"/>
        <v>-87.407032748255659</v>
      </c>
      <c r="AY137" s="299">
        <f t="shared" si="77"/>
        <v>92.592967251744341</v>
      </c>
      <c r="BB137" s="270">
        <f t="shared" si="111"/>
        <v>-34.368449342936238</v>
      </c>
      <c r="BC137" s="270">
        <f t="shared" si="112"/>
        <v>-85.805067712701643</v>
      </c>
      <c r="BD137" s="286"/>
      <c r="BE137" s="270">
        <f t="shared" si="109"/>
        <v>25.590545611501515</v>
      </c>
      <c r="BF137" s="581">
        <f t="shared" si="110"/>
        <v>-1.6019650355540049</v>
      </c>
      <c r="BI137" s="286"/>
      <c r="BJ137" s="286"/>
      <c r="BL137" s="253">
        <f t="shared" si="78"/>
        <v>0</v>
      </c>
      <c r="BM137" s="253">
        <f t="shared" si="113"/>
        <v>0</v>
      </c>
      <c r="BN137" s="253">
        <f t="shared" si="80"/>
        <v>0</v>
      </c>
      <c r="BO137" s="253">
        <f t="shared" si="81"/>
        <v>0</v>
      </c>
    </row>
    <row r="138" spans="4:67" ht="13.6" thickBot="1" x14ac:dyDescent="0.25">
      <c r="D138" s="280">
        <v>7674.15</v>
      </c>
      <c r="E138" s="273" t="str">
        <f t="shared" si="59"/>
        <v>0.086792591745166i</v>
      </c>
      <c r="F138" s="579" t="str">
        <f t="shared" si="82"/>
        <v>0.002-0.319063034476673i</v>
      </c>
      <c r="G138" s="270" t="str">
        <f t="shared" si="83"/>
        <v>0.002-0.319063034476673i</v>
      </c>
      <c r="H138" s="271" t="str">
        <f t="shared" si="84"/>
        <v>0.051489165206836-0.310538351478412i</v>
      </c>
      <c r="I138" s="271" t="str">
        <f t="shared" si="85"/>
        <v>0.061489165206836-0.310538351478412i</v>
      </c>
      <c r="J138" s="270" t="str">
        <f t="shared" si="86"/>
        <v>0.0161335755420593-0.158803077450296i</v>
      </c>
      <c r="K138" s="271" t="str">
        <f t="shared" si="60"/>
        <v>0.998512851235512-0.0605755107099148i</v>
      </c>
      <c r="L138" s="580"/>
      <c r="M138" s="580" t="str">
        <f t="shared" si="61"/>
        <v>1666.43911098233+377.842645853994i</v>
      </c>
      <c r="N138" s="270" t="str">
        <f t="shared" si="62"/>
        <v>1243.16266657008+283.381984390496i</v>
      </c>
      <c r="O138" s="581" t="str">
        <f t="shared" si="63"/>
        <v>637.494541881242+83.2733949930962i</v>
      </c>
      <c r="P138" s="582" t="str">
        <f t="shared" si="64"/>
        <v>65.0585900073588-192.846092570222i</v>
      </c>
      <c r="Q138" s="583" t="str">
        <f t="shared" si="65"/>
        <v>58.6836445885462-193.678826520153i</v>
      </c>
      <c r="R138" s="581" t="str">
        <f t="shared" si="87"/>
        <v>75.5286585732514+12.3729147327705i</v>
      </c>
      <c r="S138" s="253" t="str">
        <f t="shared" si="88"/>
        <v>50.5121077096183+3.1700914059895i</v>
      </c>
      <c r="T138" s="253" t="str">
        <f t="shared" si="89"/>
        <v>19.0337092805272-0.578788869508561i</v>
      </c>
      <c r="U138" s="253" t="str">
        <f t="shared" si="90"/>
        <v>0.800293660252707-5.94049805821629i</v>
      </c>
      <c r="V138" s="582" t="str">
        <f t="shared" si="66"/>
        <v>6000</v>
      </c>
      <c r="W138" s="584" t="str">
        <f t="shared" si="67"/>
        <v>1+27006.1899749998i</v>
      </c>
      <c r="X138" s="585">
        <f t="shared" si="68"/>
        <v>27006.189993514075</v>
      </c>
      <c r="Y138" s="586">
        <f t="shared" si="69"/>
        <v>1.5707592982469798</v>
      </c>
      <c r="Z138" s="273" t="str">
        <f t="shared" si="70"/>
        <v>1+4.05032094810775i</v>
      </c>
      <c r="AA138" s="585">
        <f t="shared" si="71"/>
        <v>4.1719419677987446</v>
      </c>
      <c r="AB138" s="586">
        <f t="shared" si="72"/>
        <v>1.3287430734900911</v>
      </c>
      <c r="AC138" s="584" t="str">
        <f t="shared" si="73"/>
        <v>1+0.195814618734316i</v>
      </c>
      <c r="AD138" s="585">
        <f t="shared" si="74"/>
        <v>1.0189913468278646</v>
      </c>
      <c r="AE138" s="586">
        <f t="shared" si="75"/>
        <v>0.1933679347887915</v>
      </c>
      <c r="AF138" s="580" t="str">
        <f t="shared" si="91"/>
        <v>0.824751631682646-0.383636392911944i</v>
      </c>
      <c r="AG138" s="270">
        <f t="shared" si="92"/>
        <v>0.90961098054590039</v>
      </c>
      <c r="AH138" s="581">
        <f t="shared" si="93"/>
        <v>-0.43538415954568077</v>
      </c>
      <c r="AI138" s="582" t="str">
        <f t="shared" si="76"/>
        <v>4000</v>
      </c>
      <c r="AJ138" s="584" t="str">
        <f t="shared" si="94"/>
        <v>1+2121.67094298811i</v>
      </c>
      <c r="AK138" s="585">
        <f t="shared" si="95"/>
        <v>2121.6711786514079</v>
      </c>
      <c r="AL138" s="586">
        <f t="shared" si="96"/>
        <v>1.5703250002071167</v>
      </c>
      <c r="AM138" s="273" t="str">
        <f t="shared" si="97"/>
        <v>1+0.074255884048642i</v>
      </c>
      <c r="AN138" s="585">
        <f t="shared" si="98"/>
        <v>1.0027531781629242</v>
      </c>
      <c r="AO138" s="586">
        <f t="shared" si="99"/>
        <v>7.4119853066967861E-2</v>
      </c>
      <c r="AP138" s="584" t="str">
        <f t="shared" si="100"/>
        <v>1+0.000537224252674567i</v>
      </c>
      <c r="AQ138" s="585">
        <f t="shared" si="101"/>
        <v>1.0000001443049384</v>
      </c>
      <c r="AR138" s="586">
        <f t="shared" si="102"/>
        <v>5.3722420099183048E-4</v>
      </c>
      <c r="AS138" s="580" t="str">
        <f t="shared" si="103"/>
        <v>0.139870826949588-1.88531523050482i</v>
      </c>
      <c r="AT138" s="270">
        <f t="shared" si="104"/>
        <v>1.8904965925928043</v>
      </c>
      <c r="AU138" s="581">
        <f t="shared" si="105"/>
        <v>-1.496742371341141</v>
      </c>
      <c r="AV138" s="580" t="str">
        <f t="shared" si="106"/>
        <v>0.0157106118605423-0.359654976773863i</v>
      </c>
      <c r="AW138" s="270">
        <f t="shared" si="107"/>
        <v>-8.87399939118567</v>
      </c>
      <c r="AX138" s="581">
        <f t="shared" si="108"/>
        <v>-87.49876987020842</v>
      </c>
      <c r="AY138" s="299">
        <f t="shared" si="77"/>
        <v>92.50123012979158</v>
      </c>
      <c r="BB138" s="270">
        <f t="shared" si="111"/>
        <v>-34.468482021352649</v>
      </c>
      <c r="BC138" s="270">
        <f t="shared" si="112"/>
        <v>-85.757020896249998</v>
      </c>
      <c r="BD138" s="286"/>
      <c r="BE138" s="270">
        <f t="shared" si="109"/>
        <v>25.594482630166965</v>
      </c>
      <c r="BF138" s="581">
        <f t="shared" si="110"/>
        <v>-1.7417489739584149</v>
      </c>
      <c r="BI138" s="286"/>
      <c r="BJ138" s="286"/>
      <c r="BL138" s="253">
        <f t="shared" si="78"/>
        <v>0</v>
      </c>
      <c r="BM138" s="253">
        <f t="shared" si="113"/>
        <v>0</v>
      </c>
      <c r="BN138" s="253">
        <f t="shared" si="80"/>
        <v>0</v>
      </c>
      <c r="BO138" s="253">
        <f t="shared" si="81"/>
        <v>0</v>
      </c>
    </row>
    <row r="139" spans="4:67" ht="13.6" thickBot="1" x14ac:dyDescent="0.25">
      <c r="D139" s="280">
        <v>7762.5</v>
      </c>
      <c r="E139" s="273" t="str">
        <f t="shared" si="59"/>
        <v>0.0877918067045668i</v>
      </c>
      <c r="F139" s="579" t="str">
        <f t="shared" si="82"/>
        <v>0.002-0.315431573079441i</v>
      </c>
      <c r="G139" s="270" t="str">
        <f t="shared" si="83"/>
        <v>0.002-0.315431573079441i</v>
      </c>
      <c r="H139" s="271" t="str">
        <f t="shared" si="84"/>
        <v>0.0503961291051064-0.307176131807265i</v>
      </c>
      <c r="I139" s="271" t="str">
        <f t="shared" si="85"/>
        <v>0.0603961291051064-0.307176131807265i</v>
      </c>
      <c r="J139" s="270" t="str">
        <f t="shared" si="86"/>
        <v>0.0158491867723762-0.157018914714624i</v>
      </c>
      <c r="K139" s="271" t="str">
        <f t="shared" si="60"/>
        <v>0.998478412003485-0.0612728969183185i</v>
      </c>
      <c r="L139" s="580"/>
      <c r="M139" s="580" t="str">
        <f t="shared" si="61"/>
        <v>1802.42932773133+19.3597357730331i</v>
      </c>
      <c r="N139" s="270" t="str">
        <f t="shared" si="62"/>
        <v>1345.15532913183+14.5198018297748i</v>
      </c>
      <c r="O139" s="581" t="str">
        <f t="shared" si="63"/>
        <v>675.83156370481-56.0528863328963i</v>
      </c>
      <c r="P139" s="582" t="str">
        <f t="shared" si="64"/>
        <v>23.5995015744502-210.984702851775i</v>
      </c>
      <c r="Q139" s="583" t="str">
        <f t="shared" si="65"/>
        <v>16.8411859374022-210.424173988445i</v>
      </c>
      <c r="R139" s="581" t="str">
        <f t="shared" si="87"/>
        <v>80.6340885748244-4.07944076527463i</v>
      </c>
      <c r="S139" s="253" t="str">
        <f t="shared" si="88"/>
        <v>50.5442004117395+3.07034729901953i</v>
      </c>
      <c r="T139" s="253" t="str">
        <f t="shared" si="89"/>
        <v>19.0406165560185-0.625118551056586i</v>
      </c>
      <c r="U139" s="253" t="str">
        <f t="shared" si="90"/>
        <v>0.767551871763409-5.88032649610816i</v>
      </c>
      <c r="V139" s="582" t="str">
        <f t="shared" si="66"/>
        <v>6000</v>
      </c>
      <c r="W139" s="584" t="str">
        <f t="shared" si="67"/>
        <v>1+27317.1034812893i</v>
      </c>
      <c r="X139" s="585">
        <f t="shared" si="68"/>
        <v>27317.103499592849</v>
      </c>
      <c r="Y139" s="586">
        <f t="shared" si="69"/>
        <v>1.5707597196926744</v>
      </c>
      <c r="Z139" s="273" t="str">
        <f t="shared" si="70"/>
        <v>1+4.09695097954645i</v>
      </c>
      <c r="AA139" s="585">
        <f t="shared" si="71"/>
        <v>4.2172274457048928</v>
      </c>
      <c r="AB139" s="586">
        <f t="shared" si="72"/>
        <v>1.3313934094781092</v>
      </c>
      <c r="AC139" s="584" t="str">
        <f t="shared" si="73"/>
        <v>1+0.198068968931429i</v>
      </c>
      <c r="AD139" s="585">
        <f t="shared" si="74"/>
        <v>1.019426954937704</v>
      </c>
      <c r="AE139" s="586">
        <f t="shared" si="75"/>
        <v>0.19553811157499928</v>
      </c>
      <c r="AF139" s="580" t="str">
        <f t="shared" si="91"/>
        <v>0.824046759103512-0.382827763612994i</v>
      </c>
      <c r="AG139" s="270">
        <f t="shared" si="92"/>
        <v>0.90863092495354125</v>
      </c>
      <c r="AH139" s="581">
        <f t="shared" si="93"/>
        <v>-0.43490442178956557</v>
      </c>
      <c r="AI139" s="582" t="str">
        <f t="shared" si="76"/>
        <v>4000</v>
      </c>
      <c r="AJ139" s="584" t="str">
        <f t="shared" si="94"/>
        <v>1+2146.09705243515i</v>
      </c>
      <c r="AK139" s="585">
        <f t="shared" si="95"/>
        <v>2146.0972854162133</v>
      </c>
      <c r="AL139" s="586">
        <f t="shared" si="96"/>
        <v>1.5703303646770643</v>
      </c>
      <c r="AM139" s="273" t="str">
        <f t="shared" si="97"/>
        <v>1+0.0751107679583516i</v>
      </c>
      <c r="AN139" s="585">
        <f t="shared" si="98"/>
        <v>1.0028168464197704</v>
      </c>
      <c r="AO139" s="586">
        <f t="shared" si="99"/>
        <v>7.4969995174128376E-2</v>
      </c>
      <c r="AP139" s="584" t="str">
        <f t="shared" si="100"/>
        <v>1+0.000543409141258163i</v>
      </c>
      <c r="AQ139" s="585">
        <f t="shared" si="101"/>
        <v>1.0000001476467364</v>
      </c>
      <c r="AR139" s="586">
        <f t="shared" si="102"/>
        <v>5.4340908776977757E-4</v>
      </c>
      <c r="AS139" s="580" t="str">
        <f t="shared" si="103"/>
        <v>0.139850714494069-1.86385896529542i</v>
      </c>
      <c r="AT139" s="270">
        <f t="shared" si="104"/>
        <v>1.8690983026199066</v>
      </c>
      <c r="AU139" s="581">
        <f t="shared" si="105"/>
        <v>-1.4959037785907057</v>
      </c>
      <c r="AV139" s="580" t="str">
        <f t="shared" si="106"/>
        <v>0.0149771101400749-0.355764471486962i</v>
      </c>
      <c r="AW139" s="270">
        <f t="shared" si="107"/>
        <v>-8.9690584241147846</v>
      </c>
      <c r="AX139" s="581">
        <f t="shared" si="108"/>
        <v>-87.58936357313496</v>
      </c>
      <c r="AY139" s="299">
        <f t="shared" si="77"/>
        <v>92.41063642686504</v>
      </c>
      <c r="BB139" s="270">
        <f t="shared" si="111"/>
        <v>-34.567357138151642</v>
      </c>
      <c r="BC139" s="270">
        <f t="shared" si="112"/>
        <v>-85.708973070919782</v>
      </c>
      <c r="BD139" s="286"/>
      <c r="BE139" s="270">
        <f t="shared" si="109"/>
        <v>25.598298714036872</v>
      </c>
      <c r="BF139" s="581">
        <f t="shared" si="110"/>
        <v>-1.8803905022151695</v>
      </c>
      <c r="BI139" s="286"/>
      <c r="BJ139" s="286"/>
      <c r="BL139" s="253">
        <f t="shared" si="78"/>
        <v>0</v>
      </c>
      <c r="BM139" s="253">
        <f t="shared" si="113"/>
        <v>0</v>
      </c>
      <c r="BN139" s="253">
        <f t="shared" si="80"/>
        <v>0</v>
      </c>
      <c r="BO139" s="253">
        <f t="shared" si="81"/>
        <v>0</v>
      </c>
    </row>
    <row r="140" spans="4:67" ht="13.6" thickBot="1" x14ac:dyDescent="0.25">
      <c r="D140" s="280">
        <v>7852.9</v>
      </c>
      <c r="E140" s="273" t="str">
        <f t="shared" si="59"/>
        <v>0.088814206617751i</v>
      </c>
      <c r="F140" s="579" t="str">
        <f t="shared" si="82"/>
        <v>0.002-0.311800428635174i</v>
      </c>
      <c r="G140" s="270" t="str">
        <f t="shared" si="83"/>
        <v>0.002-0.311800428635174i</v>
      </c>
      <c r="H140" s="271" t="str">
        <f t="shared" si="84"/>
        <v>0.0493144926784873-0.303808480177457i</v>
      </c>
      <c r="I140" s="271" t="str">
        <f t="shared" si="85"/>
        <v>0.0593144926784873-0.303808480177457i</v>
      </c>
      <c r="J140" s="270" t="str">
        <f t="shared" si="86"/>
        <v>0.0155679970863471-0.155234155699053i</v>
      </c>
      <c r="K140" s="271" t="str">
        <f t="shared" si="60"/>
        <v>0.998442765626878-0.0619864646969228i</v>
      </c>
      <c r="L140" s="580"/>
      <c r="M140" s="580" t="str">
        <f t="shared" si="61"/>
        <v>1769.30054637376-390.689184122032i</v>
      </c>
      <c r="N140" s="270" t="str">
        <f t="shared" si="62"/>
        <v>1320.30874311365-293.016888091524i</v>
      </c>
      <c r="O140" s="581" t="str">
        <f t="shared" si="63"/>
        <v>648.885147570961-208.749801389062i</v>
      </c>
      <c r="P140" s="582" t="str">
        <f t="shared" si="64"/>
        <v>-24.9316665625797-209.518699059385i</v>
      </c>
      <c r="Q140" s="583" t="str">
        <f t="shared" si="65"/>
        <v>-31.4205180382896-207.431201045495i</v>
      </c>
      <c r="R140" s="581" t="str">
        <f t="shared" si="87"/>
        <v>78.012731249117-22.3764618588569i</v>
      </c>
      <c r="S140" s="253" t="str">
        <f t="shared" si="88"/>
        <v>50.5758960491369+2.96948520117298i</v>
      </c>
      <c r="T140" s="253" t="str">
        <f t="shared" si="89"/>
        <v>19.0473217513158-0.672170039208045i</v>
      </c>
      <c r="U140" s="253" t="str">
        <f t="shared" si="90"/>
        <v>0.735098051017437-5.81988559719549i</v>
      </c>
      <c r="V140" s="582" t="str">
        <f t="shared" si="66"/>
        <v>6000</v>
      </c>
      <c r="W140" s="584" t="str">
        <f t="shared" si="67"/>
        <v>1+27635.2311662759i</v>
      </c>
      <c r="X140" s="585">
        <f t="shared" si="68"/>
        <v>27635.231184368742</v>
      </c>
      <c r="Y140" s="586">
        <f t="shared" si="69"/>
        <v>1.5707601411015855</v>
      </c>
      <c r="Z140" s="273" t="str">
        <f t="shared" si="70"/>
        <v>1+4.14466297549505i</v>
      </c>
      <c r="AA140" s="585">
        <f t="shared" si="71"/>
        <v>4.2635936931700567</v>
      </c>
      <c r="AB140" s="586">
        <f t="shared" si="72"/>
        <v>1.3340469471596224</v>
      </c>
      <c r="AC140" s="584" t="str">
        <f t="shared" si="73"/>
        <v>1+0.200375627197633i</v>
      </c>
      <c r="AD140" s="585">
        <f t="shared" si="74"/>
        <v>1.0198776357852175</v>
      </c>
      <c r="AE140" s="586">
        <f t="shared" si="75"/>
        <v>0.19775671374358914</v>
      </c>
      <c r="AF140" s="580" t="str">
        <f t="shared" si="91"/>
        <v>0.823318455545244-0.382054549350574i</v>
      </c>
      <c r="AG140" s="270">
        <f t="shared" si="92"/>
        <v>0.90764473111503052</v>
      </c>
      <c r="AH140" s="581">
        <f t="shared" si="93"/>
        <v>-0.43446990768555122</v>
      </c>
      <c r="AI140" s="582" t="str">
        <f t="shared" si="76"/>
        <v>4000</v>
      </c>
      <c r="AJ140" s="584" t="str">
        <f t="shared" si="94"/>
        <v>1+2171.08992503291i</v>
      </c>
      <c r="AK140" s="585">
        <f t="shared" si="95"/>
        <v>2171.0901553319718</v>
      </c>
      <c r="AL140" s="586">
        <f t="shared" si="96"/>
        <v>1.5703357286788291</v>
      </c>
      <c r="AM140" s="273" t="str">
        <f t="shared" si="97"/>
        <v>1+0.075985487884076i</v>
      </c>
      <c r="AN140" s="585">
        <f t="shared" si="98"/>
        <v>1.0028827420835305</v>
      </c>
      <c r="AO140" s="586">
        <f t="shared" si="99"/>
        <v>7.5839750897786787E-2</v>
      </c>
      <c r="AP140" s="584" t="str">
        <f t="shared" si="100"/>
        <v>1+0.00054973753885813i</v>
      </c>
      <c r="AQ140" s="585">
        <f t="shared" si="101"/>
        <v>1.0000001511056695</v>
      </c>
      <c r="AR140" s="586">
        <f t="shared" si="102"/>
        <v>5.4973748347916329E-4</v>
      </c>
      <c r="AS140" s="580" t="str">
        <f t="shared" si="103"/>
        <v>0.139830833943286-1.84240459248146i</v>
      </c>
      <c r="AT140" s="270">
        <f t="shared" si="104"/>
        <v>1.8477032620304727</v>
      </c>
      <c r="AU140" s="581">
        <f t="shared" si="105"/>
        <v>-1.4950457152645211</v>
      </c>
      <c r="AV140" s="580" t="str">
        <f t="shared" si="106"/>
        <v>0.0142499371770723-0.351868631662304i</v>
      </c>
      <c r="AW140" s="270">
        <f t="shared" si="107"/>
        <v>-9.0652720188440821</v>
      </c>
      <c r="AX140" s="581">
        <f t="shared" si="108"/>
        <v>-87.680909094527152</v>
      </c>
      <c r="AY140" s="299">
        <f t="shared" si="77"/>
        <v>92.319090905472848</v>
      </c>
      <c r="BB140" s="270">
        <f t="shared" si="111"/>
        <v>-34.667355489271344</v>
      </c>
      <c r="BC140" s="270">
        <f t="shared" si="112"/>
        <v>-85.659809663774453</v>
      </c>
      <c r="BD140" s="286"/>
      <c r="BE140" s="270">
        <f t="shared" si="109"/>
        <v>25.602083470427264</v>
      </c>
      <c r="BF140" s="581">
        <f t="shared" si="110"/>
        <v>-2.0210994307526833</v>
      </c>
      <c r="BI140" s="286"/>
      <c r="BJ140" s="286"/>
      <c r="BL140" s="253">
        <f t="shared" si="78"/>
        <v>0</v>
      </c>
      <c r="BM140" s="253">
        <f t="shared" si="113"/>
        <v>0</v>
      </c>
      <c r="BN140" s="253">
        <f t="shared" si="80"/>
        <v>0</v>
      </c>
      <c r="BO140" s="253">
        <f t="shared" si="81"/>
        <v>0</v>
      </c>
    </row>
    <row r="141" spans="4:67" ht="13.6" thickBot="1" x14ac:dyDescent="0.25">
      <c r="D141" s="280">
        <v>7943.3</v>
      </c>
      <c r="E141" s="273" t="str">
        <f t="shared" ref="E141:E204" si="114">COMPLEX(0,2*PI()*D141*Lf)</f>
        <v>0.0898366065309353i</v>
      </c>
      <c r="F141" s="579" t="str">
        <f t="shared" si="82"/>
        <v>0.002-0.308251933834699i</v>
      </c>
      <c r="G141" s="270" t="str">
        <f t="shared" si="83"/>
        <v>0.002-0.308251933834699i</v>
      </c>
      <c r="H141" s="271" t="str">
        <f t="shared" si="84"/>
        <v>0.0482684345496169-0.300512002685467i</v>
      </c>
      <c r="I141" s="271" t="str">
        <f t="shared" si="85"/>
        <v>0.0582684345496169-0.300512002685467i</v>
      </c>
      <c r="J141" s="270" t="str">
        <f t="shared" si="86"/>
        <v>0.0152962768010232-0.153489302093989i</v>
      </c>
      <c r="K141" s="271" t="str">
        <f t="shared" ref="K141:K204" si="115">IMSUM(COMPLEX(1,0),COMPLEX(0,2*PI()*D141/(Fsw*PI()*(-2)/PI())),IMPRODUCT(COMPLEX(0,2*PI()*D141/(Fsw*PI())),COMPLEX(0,2*PI()*D141/(Fsw*PI()))))</f>
        <v>0.99840670652534-0.0627000324755271i</v>
      </c>
      <c r="L141" s="580"/>
      <c r="M141" s="580" t="str">
        <f t="shared" ref="M141:M204" si="116">IF(Vin&gt;=Vout,IMDIV(COMPLEX(Vin,0),IMSUM(E141,J141)),IMDIV(IMSUM(COMPLEX(Vout,0),IMPRODUCT(J141,COMPLEX($B$4,0))),IMSUM(E141,IMPRODUCT(J141,COMPLEX((1-$B$11)^2,0)))))</f>
        <v>1572.19967818468-728.528802529746i</v>
      </c>
      <c r="N141" s="270" t="str">
        <f t="shared" ref="N141:N204" si="117">IF(Vin&gt;=Vout,0,IMSUB(IMPRODUCT(M141,COMPLEX(1-$B$11,0)),COMPLEX($B$4/(1-$B$11),0)))</f>
        <v>1172.48309197184-546.39660189731i</v>
      </c>
      <c r="O141" s="581" t="str">
        <f t="shared" ref="O141:O204" si="118">IMDIV(IF(Vin&gt;=Vout,M141,N141),IMPRODUCT(I141,IMSUM(IMDIV(COMPLEX(1,0),F141),IMDIV(COMPLEX(1,0),I141))))</f>
        <v>562.96295906606-328.553856832016i</v>
      </c>
      <c r="P141" s="582" t="str">
        <f t="shared" ref="P141:P204" si="119">IF(Vin&gt;=Vout,IMDIV(IMPRODUCT(COMPLEX(Vin,0),J141),IMSUM(J141,E141)),IMPRODUCT(N141,J141))</f>
        <v>-65.9314071724245-188.32144516952i</v>
      </c>
      <c r="Q141" s="583" t="str">
        <f t="shared" ref="Q141:Q204" si="120">IF(Vin&gt;=Vout,IMDIV(IMPRODUCT(P141,H141),IMSUM(COMPLEX($B$15,0),H141)),IMPRODUCT(O141,H141))</f>
        <v>-71.5610367630846-185.035906601199i</v>
      </c>
      <c r="R141" s="581" t="str">
        <f t="shared" si="87"/>
        <v>68.2378129576352-36.9816879670494i</v>
      </c>
      <c r="S141" s="253" t="str">
        <f t="shared" si="88"/>
        <v>50.6064823047982+2.86980361244373i</v>
      </c>
      <c r="T141" s="253" t="str">
        <f t="shared" si="89"/>
        <v>19.0536737087318-0.718872884411853i</v>
      </c>
      <c r="U141" s="253" t="str">
        <f t="shared" si="90"/>
        <v>0.703661072168786-5.76055651349715i</v>
      </c>
      <c r="V141" s="582" t="str">
        <f t="shared" ref="V141:V204" si="121">COMPLEX(AEA,0)</f>
        <v>6000</v>
      </c>
      <c r="W141" s="584" t="str">
        <f t="shared" ref="W141:W204" si="122">IMSUM(COMPLEX(1,0),IMDIV(COMPLEX(0,2*PI()*D141),COMPLEX(2*PI()*EA_Pole1,0)))</f>
        <v>1+27953.3588512625i</v>
      </c>
      <c r="X141" s="585">
        <f t="shared" ref="X141:X204" si="123">IMABS(W141)</f>
        <v>27953.358869149437</v>
      </c>
      <c r="Y141" s="586">
        <f t="shared" ref="Y141:Y204" si="124">IMARGUMENT(W141)</f>
        <v>1.5707605529186732</v>
      </c>
      <c r="Z141" s="273" t="str">
        <f t="shared" ref="Z141:Z204" si="125">IMSUM(COMPLEX(1,0),IMDIV(COMPLEX(0,2*PI()*D141),COMPLEX(2*PI()*EA_Zero1,0)))</f>
        <v>1+4.19237497144365i</v>
      </c>
      <c r="AA141" s="585">
        <f t="shared" ref="AA141:AA204" si="126">IMABS(Z141)</f>
        <v>4.3099893156697195</v>
      </c>
      <c r="AB141" s="586">
        <f t="shared" ref="AB141:AB204" si="127">IMARGUMENT(Z141)</f>
        <v>1.3366433738697281</v>
      </c>
      <c r="AC141" s="584" t="str">
        <f t="shared" ref="AC141:AC204" si="128">IMSUM(COMPLEX(1,0),IMDIV(COMPLEX(0,2*PI()*D141),COMPLEX(2*PI()*EA_Pole2,0)))</f>
        <v>1+0.202682285463836i</v>
      </c>
      <c r="AD141" s="585">
        <f t="shared" ref="AD141:AD204" si="129">IMABS(AC141)</f>
        <v>1.0203333322208208</v>
      </c>
      <c r="AE141" s="586">
        <f t="shared" ref="AE141:AE204" si="130">IMARGUMENT(AC141)</f>
        <v>0.1999733450916262</v>
      </c>
      <c r="AF141" s="580" t="str">
        <f t="shared" si="91"/>
        <v>0.822583035833148-0.381334075183901i</v>
      </c>
      <c r="AG141" s="270">
        <f t="shared" si="92"/>
        <v>0.90667443315494389</v>
      </c>
      <c r="AH141" s="581">
        <f t="shared" si="93"/>
        <v>-0.43409052414056948</v>
      </c>
      <c r="AI141" s="582" t="str">
        <f t="shared" ref="AI141:AI204" si="131">COMPLEX(AIL,0)</f>
        <v>4000</v>
      </c>
      <c r="AJ141" s="584" t="str">
        <f t="shared" si="94"/>
        <v>1+2196.08279763067i</v>
      </c>
      <c r="AK141" s="585">
        <f t="shared" si="95"/>
        <v>2196.083025308777</v>
      </c>
      <c r="AL141" s="586">
        <f t="shared" si="96"/>
        <v>1.5703409705888545</v>
      </c>
      <c r="AM141" s="273" t="str">
        <f t="shared" si="97"/>
        <v>1+0.0768602078098002i</v>
      </c>
      <c r="AN141" s="585">
        <f t="shared" si="98"/>
        <v>1.0029493963030067</v>
      </c>
      <c r="AO141" s="586">
        <f t="shared" si="99"/>
        <v>7.6709391674420646E-2</v>
      </c>
      <c r="AP141" s="584" t="str">
        <f t="shared" si="100"/>
        <v>1+0.000556065936458095i</v>
      </c>
      <c r="AQ141" s="585">
        <f t="shared" si="101"/>
        <v>1.0000001546046509</v>
      </c>
      <c r="AR141" s="586">
        <f t="shared" si="102"/>
        <v>5.5606587914451458E-4</v>
      </c>
      <c r="AS141" s="580" t="str">
        <f t="shared" si="103"/>
        <v>0.139811628240106-1.82143856924306i</v>
      </c>
      <c r="AT141" s="270">
        <f t="shared" si="104"/>
        <v>1.8267965822491992</v>
      </c>
      <c r="AU141" s="581">
        <f t="shared" si="105"/>
        <v>-1.4941876447935785</v>
      </c>
      <c r="AV141" s="580" t="str">
        <f t="shared" si="106"/>
        <v>0.0135454234712273-0.348056029673238i</v>
      </c>
      <c r="AW141" s="270">
        <f t="shared" si="107"/>
        <v>-9.1604440836786996</v>
      </c>
      <c r="AX141" s="581">
        <f t="shared" si="108"/>
        <v>-87.771323949657472</v>
      </c>
      <c r="AY141" s="299">
        <f t="shared" ref="AY141:AY204" si="132">IF(AX141&gt;0,AX141-180,AX141+180)</f>
        <v>92.228676050342528</v>
      </c>
      <c r="BB141" s="270">
        <f t="shared" si="111"/>
        <v>-34.766196191702555</v>
      </c>
      <c r="BC141" s="270">
        <f t="shared" si="112"/>
        <v>-85.610645847264635</v>
      </c>
      <c r="BD141" s="286"/>
      <c r="BE141" s="270">
        <f t="shared" si="109"/>
        <v>25.605752108023868</v>
      </c>
      <c r="BF141" s="581">
        <f t="shared" si="110"/>
        <v>-2.1606781023928274</v>
      </c>
      <c r="BI141" s="286"/>
      <c r="BJ141" s="286"/>
      <c r="BL141" s="253">
        <f t="shared" ref="BL141:BL204" si="133">SUM((AW142&lt;0)*(AW141&gt;0))*D141</f>
        <v>0</v>
      </c>
      <c r="BM141" s="253">
        <f t="shared" si="113"/>
        <v>0</v>
      </c>
      <c r="BN141" s="253">
        <f t="shared" ref="BN141:BN204" si="134">SUM((BB142&lt;0)*(BB141&gt;0))*D141</f>
        <v>0</v>
      </c>
      <c r="BO141" s="253">
        <f t="shared" ref="BO141:BO204" si="135">IF(BN141&gt;0,BC141,0)</f>
        <v>0</v>
      </c>
    </row>
    <row r="142" spans="4:67" ht="13.6" thickBot="1" x14ac:dyDescent="0.25">
      <c r="D142" s="280">
        <v>8035.8</v>
      </c>
      <c r="E142" s="273" t="str">
        <f t="shared" si="114"/>
        <v>0.0908827568845807i</v>
      </c>
      <c r="F142" s="579" t="str">
        <f t="shared" ref="F142:F205" si="136">IMSUM(COMPLEX($B$8,0),IMDIV(COMPLEX(1,0),COMPLEX(0,2*PI()*D142*$B$6)))</f>
        <v>0.002-0.304703649422479i</v>
      </c>
      <c r="G142" s="270" t="str">
        <f t="shared" ref="G142:G205" si="137">IMSUM(COMPLEX($B$9,0),IMDIV(COMPLEX(1,0),COMPLEX(0,2*PI()*D142*$B$7)))</f>
        <v>0.002-0.304703649422479i</v>
      </c>
      <c r="H142" s="271" t="str">
        <f t="shared" ref="H142:H205" si="138">IMDIV(COMPLEX(1,0),IMSUM(IMDIV(COMPLEX(1,0),COMPLEX($B$5,0)), IMDIV(COMPLEX(1,0),G142)))</f>
        <v>0.0472333071386326-0.297210358534227i</v>
      </c>
      <c r="I142" s="271" t="str">
        <f t="shared" ref="I142:I205" si="139">IMSUM(H142,COMPLEX($B$15,0))</f>
        <v>0.0572333071386326-0.297210358534227i</v>
      </c>
      <c r="J142" s="270" t="str">
        <f t="shared" ref="J142:J205" si="140">IMDIV(COMPLEX(1,0),IMSUM(IMDIV(COMPLEX(1,0),F142),IMDIV(COMPLEX(1,0),IMSUM(COMPLEX($B$15,0),H142))))</f>
        <v>0.0150276086751071-0.151743850500397i</v>
      </c>
      <c r="K142" s="271" t="str">
        <f t="shared" si="115"/>
        <v>0.998369382549936-0.063430176496776i</v>
      </c>
      <c r="L142" s="580"/>
      <c r="M142" s="580" t="str">
        <f t="shared" si="116"/>
        <v>1291.08537051305-933.906882714587i</v>
      </c>
      <c r="N142" s="270" t="str">
        <f t="shared" si="117"/>
        <v>961.64736121812-700.43016203594i</v>
      </c>
      <c r="O142" s="581" t="str">
        <f t="shared" si="118"/>
        <v>450.198386008733-395.68288482895i</v>
      </c>
      <c r="P142" s="582" t="str">
        <f t="shared" si="119"/>
        <v>-91.8347095661153-156.449863794102i</v>
      </c>
      <c r="Q142" s="583" t="str">
        <f t="shared" si="120"/>
        <v>-96.3366934262023-152.493034945812i</v>
      </c>
      <c r="R142" s="581" t="str">
        <f t="shared" ref="R142:R205" si="141">IMPRODUCT(M142,COMPLEX($B$29,0),K142,COMPLEX($B$34,0))</f>
        <v>55.0617081591307-45.4142889776274i</v>
      </c>
      <c r="S142" s="253" t="str">
        <f t="shared" ref="S142:S205" si="142">IMDIV(IMPRODUCT(COMPLEX($B$34,0),M142),IMSUM(COMPLEX(1,0),R142))</f>
        <v>50.6366761422686+2.7689980843294i</v>
      </c>
      <c r="T142" s="253" t="str">
        <f t="shared" ref="T142:T205" si="143">IMDIV(IMPRODUCT(COMPLEX($B$34,0),O142),IMSUM(COMPLEX(1,0),R142))</f>
        <v>19.0598208407271-0.766308550797573i</v>
      </c>
      <c r="U142" s="253" t="str">
        <f t="shared" ref="U142:U205" si="144">IMDIV(IMPRODUCT(COMPLEX($B$34,0),Q142),IMSUM(COMPLEX(1,0),R142))</f>
        <v>0.672503532646977-5.70097147281341i</v>
      </c>
      <c r="V142" s="582" t="str">
        <f t="shared" si="121"/>
        <v>6000</v>
      </c>
      <c r="W142" s="584" t="str">
        <f t="shared" si="122"/>
        <v>1+28278.8766705242i</v>
      </c>
      <c r="X142" s="585">
        <f t="shared" si="123"/>
        <v>28278.876688205244</v>
      </c>
      <c r="Y142" s="586">
        <f t="shared" si="124"/>
        <v>1.5707609647113445</v>
      </c>
      <c r="Z142" s="273" t="str">
        <f t="shared" si="125"/>
        <v>1+4.24119532128043i</v>
      </c>
      <c r="AA142" s="585">
        <f t="shared" si="126"/>
        <v>4.3574921403544735</v>
      </c>
      <c r="AB142" s="586">
        <f t="shared" si="127"/>
        <v>1.3392428663788103</v>
      </c>
      <c r="AC142" s="584" t="str">
        <f t="shared" si="128"/>
        <v>1+0.205042527605691i</v>
      </c>
      <c r="AD142" s="585">
        <f t="shared" si="129"/>
        <v>1.0208047992280065</v>
      </c>
      <c r="AE142" s="586">
        <f t="shared" si="130"/>
        <v>0.20223940900335846</v>
      </c>
      <c r="AF142" s="580" t="str">
        <f t="shared" ref="AF142:AF205" si="145">IMPRODUCT(V142,IMDIV(Z142,IMPRODUCT(W142,AC142)))</f>
        <v>0.82182320931249-0.380649388116292i</v>
      </c>
      <c r="AG142" s="270">
        <f t="shared" ref="AG142:AG205" si="146">IMABS(AF142)</f>
        <v>0.90569715911997217</v>
      </c>
      <c r="AH142" s="581">
        <f t="shared" ref="AH142:AH205" si="147">IMARGUMENT(AF142)</f>
        <v>-0.43375750733589424</v>
      </c>
      <c r="AI142" s="582" t="str">
        <f t="shared" si="131"/>
        <v>4000</v>
      </c>
      <c r="AJ142" s="584" t="str">
        <f t="shared" ref="AJ142:AJ205" si="148">IMSUM(COMPLEX(1,0),IMDIV(COMPLEX(0,2*PI()*D142),COMPLEX(2*PI()*IL_Pole1,0)))</f>
        <v>1+2221.65625687064i</v>
      </c>
      <c r="AK142" s="585">
        <f t="shared" ref="AK142:AK205" si="149">IMABS(AJ142)</f>
        <v>2221.6564819279474</v>
      </c>
      <c r="AL142" s="586">
        <f t="shared" ref="AL142:AL205" si="150">IMARGUMENT(AJ142)</f>
        <v>1.5703462121881149</v>
      </c>
      <c r="AM142" s="273" t="str">
        <f t="shared" ref="AM142:AM205" si="151">IMSUM(COMPLEX(1,0),IMDIV(COMPLEX(0,2*PI()*D142),COMPLEX(2*PI()*IL_Zero1,0)))</f>
        <v>1+0.0777552475568079i</v>
      </c>
      <c r="AN142" s="585">
        <f t="shared" ref="AN142:AN205" si="152">IMABS(AM142)</f>
        <v>1.003018383940504</v>
      </c>
      <c r="AO142" s="586">
        <f t="shared" ref="AO142:AO205" si="153">IMARGUMENT(AM142)</f>
        <v>7.7599113951812682E-2</v>
      </c>
      <c r="AP142" s="584" t="str">
        <f t="shared" ref="AP142:AP205" si="154">IMSUM(COMPLEX(1,0),IMDIV(COMPLEX(0,2*PI()*D142),COMPLEX(2*PI()*IL_Pole2,0)))</f>
        <v>1+0.000562541343294344i</v>
      </c>
      <c r="AQ142" s="585">
        <f t="shared" ref="AQ142:AQ205" si="155">IMABS(AP142)</f>
        <v>1.0000001582263689</v>
      </c>
      <c r="AR142" s="586">
        <f t="shared" ref="AR142:AR205" si="156">IMARGUMENT(AP142)</f>
        <v>5.6254128395510114E-4</v>
      </c>
      <c r="AS142" s="580" t="str">
        <f t="shared" ref="AS142:AS205" si="157">IMPRODUCT(AI142,IMDIV(AM142,IMPRODUCT(AJ142,AP142)))</f>
        <v>0.139792643435046-1.8004738092519i</v>
      </c>
      <c r="AT142" s="270">
        <f t="shared" ref="AT142:AT205" si="158">IMABS(AS142)</f>
        <v>1.8058925552093636</v>
      </c>
      <c r="AU142" s="581">
        <f t="shared" ref="AU142:AU205" si="159">IMARGUMENT(AS142)</f>
        <v>-1.4933096395202576</v>
      </c>
      <c r="AV142" s="580" t="str">
        <f t="shared" ref="AV142:AV205" si="160">IMPRODUCT(T142,AS142,COMPLEX($B$15,0))</f>
        <v>0.0128470426320681-0.344238325307655i</v>
      </c>
      <c r="AW142" s="270">
        <f t="shared" ref="AW142:AW205" si="161">20*LOG10(IMABS(AV142))</f>
        <v>-9.2567709616200382</v>
      </c>
      <c r="AX142" s="581">
        <f t="shared" ref="AX142:AX205" si="162">(180/PI())*IMARGUMENT(AV142)</f>
        <v>-87.862702041254295</v>
      </c>
      <c r="AY142" s="299">
        <f t="shared" si="132"/>
        <v>92.137297958745705</v>
      </c>
      <c r="BB142" s="270">
        <f t="shared" si="111"/>
        <v>-34.866161847535473</v>
      </c>
      <c r="BC142" s="270">
        <f t="shared" si="112"/>
        <v>-85.56033985071312</v>
      </c>
      <c r="BD142" s="286"/>
      <c r="BE142" s="270">
        <f t="shared" ref="BE142:BE205" si="163">20*LOG10(IMABS(T142))</f>
        <v>25.609390885915442</v>
      </c>
      <c r="BF142" s="581">
        <f t="shared" ref="BF142:BF205" si="164">180/PI()*IMARGUMENT(T142)</f>
        <v>-2.302362190541162</v>
      </c>
      <c r="BI142" s="286"/>
      <c r="BJ142" s="286"/>
      <c r="BL142" s="253">
        <f t="shared" si="133"/>
        <v>0</v>
      </c>
      <c r="BM142" s="253">
        <f t="shared" si="113"/>
        <v>0</v>
      </c>
      <c r="BN142" s="253">
        <f t="shared" si="134"/>
        <v>0</v>
      </c>
      <c r="BO142" s="253">
        <f t="shared" si="135"/>
        <v>0</v>
      </c>
    </row>
    <row r="143" spans="4:67" ht="13.6" thickBot="1" x14ac:dyDescent="0.25">
      <c r="D143" s="280">
        <v>8128.3</v>
      </c>
      <c r="E143" s="273" t="str">
        <f t="shared" si="114"/>
        <v>0.0919289072382261i</v>
      </c>
      <c r="F143" s="579" t="str">
        <f t="shared" si="136"/>
        <v>0.002-0.301236123916337i</v>
      </c>
      <c r="G143" s="270" t="str">
        <f t="shared" si="137"/>
        <v>0.002-0.301236123916337i</v>
      </c>
      <c r="H143" s="271" t="str">
        <f t="shared" si="138"/>
        <v>0.0462322742411467-0.293978729640576i</v>
      </c>
      <c r="I143" s="271" t="str">
        <f t="shared" si="139"/>
        <v>0.0562322742411467-0.293978729640576i</v>
      </c>
      <c r="J143" s="270" t="str">
        <f t="shared" si="140"/>
        <v>0.0147679908789733-0.150037455623761i</v>
      </c>
      <c r="K143" s="271" t="str">
        <f t="shared" si="115"/>
        <v>0.998331626451605-0.0641603205180249i</v>
      </c>
      <c r="L143" s="580"/>
      <c r="M143" s="580" t="str">
        <f t="shared" si="116"/>
        <v>1016.89423974214-1012.43439280885i</v>
      </c>
      <c r="N143" s="270" t="str">
        <f t="shared" si="117"/>
        <v>756.004013139938-759.325794606637i</v>
      </c>
      <c r="O143" s="581" t="str">
        <f t="shared" si="118"/>
        <v>344.516518549762-415.457258907042i</v>
      </c>
      <c r="P143" s="582" t="str">
        <f t="shared" si="119"/>
        <v>-102.762649841753-124.642634981789i</v>
      </c>
      <c r="Q143" s="583" t="str">
        <f t="shared" si="120"/>
        <v>-106.20781502725-120.488062392718i</v>
      </c>
      <c r="R143" s="581" t="str">
        <f t="shared" si="141"/>
        <v>42.5469765293653-48.177431402903i</v>
      </c>
      <c r="S143" s="253" t="str">
        <f t="shared" si="142"/>
        <v>50.6657983630722+2.66936787231046i</v>
      </c>
      <c r="T143" s="253" t="str">
        <f t="shared" si="143"/>
        <v>19.0656243927874-0.81339680588444i</v>
      </c>
      <c r="U143" s="253" t="str">
        <f t="shared" si="144"/>
        <v>0.642325815818424-5.64249322299252i</v>
      </c>
      <c r="V143" s="582" t="str">
        <f t="shared" si="121"/>
        <v>6000</v>
      </c>
      <c r="W143" s="584" t="str">
        <f t="shared" si="122"/>
        <v>1+28604.394489786i</v>
      </c>
      <c r="X143" s="585">
        <f t="shared" si="123"/>
        <v>28604.394507265828</v>
      </c>
      <c r="Y143" s="586">
        <f t="shared" si="124"/>
        <v>1.5707613671316201</v>
      </c>
      <c r="Z143" s="273" t="str">
        <f t="shared" si="125"/>
        <v>1+4.29001567111722i</v>
      </c>
      <c r="AA143" s="585">
        <f t="shared" si="126"/>
        <v>4.4050237750131762</v>
      </c>
      <c r="AB143" s="586">
        <f t="shared" si="127"/>
        <v>1.3417862770330933</v>
      </c>
      <c r="AC143" s="584" t="str">
        <f t="shared" si="128"/>
        <v>1+0.207402769747547i</v>
      </c>
      <c r="AD143" s="585">
        <f t="shared" si="129"/>
        <v>1.0212815032589957</v>
      </c>
      <c r="AE143" s="586">
        <f t="shared" si="130"/>
        <v>0.20450336906827024</v>
      </c>
      <c r="AF143" s="580" t="str">
        <f t="shared" si="145"/>
        <v>0.821056020014274-0.380015813179192i</v>
      </c>
      <c r="AG143" s="270">
        <f t="shared" si="146"/>
        <v>0.90473477122741464</v>
      </c>
      <c r="AH143" s="581">
        <f t="shared" si="147"/>
        <v>-0.43347845916679639</v>
      </c>
      <c r="AI143" s="582" t="str">
        <f t="shared" si="131"/>
        <v>4000</v>
      </c>
      <c r="AJ143" s="584" t="str">
        <f t="shared" si="148"/>
        <v>1+2247.22971611061i</v>
      </c>
      <c r="AK143" s="585">
        <f t="shared" si="149"/>
        <v>2247.2299386067666</v>
      </c>
      <c r="AL143" s="586">
        <f t="shared" si="150"/>
        <v>1.5703513344886697</v>
      </c>
      <c r="AM143" s="273" t="str">
        <f t="shared" si="151"/>
        <v>1+0.0786502873038157i</v>
      </c>
      <c r="AN143" s="585">
        <f t="shared" si="152"/>
        <v>1.0030881654635213</v>
      </c>
      <c r="AO143" s="586">
        <f t="shared" si="153"/>
        <v>7.848871314326844E-2</v>
      </c>
      <c r="AP143" s="584" t="str">
        <f t="shared" si="154"/>
        <v>1+0.000569016750130592i</v>
      </c>
      <c r="AQ143" s="585">
        <f t="shared" si="155"/>
        <v>1.0000001618900178</v>
      </c>
      <c r="AR143" s="586">
        <f t="shared" si="156"/>
        <v>5.6901668871851103E-4</v>
      </c>
      <c r="AS143" s="580" t="str">
        <f t="shared" si="157"/>
        <v>0.139774303029817-1.779986227116i</v>
      </c>
      <c r="AT143" s="270">
        <f t="shared" si="158"/>
        <v>1.7854657164197032</v>
      </c>
      <c r="AU143" s="581">
        <f t="shared" si="159"/>
        <v>-1.4924316380341196</v>
      </c>
      <c r="AV143" s="580" t="str">
        <f t="shared" si="160"/>
        <v>0.0121704924967569-0.340502408021576i</v>
      </c>
      <c r="AW143" s="270">
        <f t="shared" si="161"/>
        <v>-9.3520514856586221</v>
      </c>
      <c r="AX143" s="581">
        <f t="shared" si="162"/>
        <v>-87.952962698073804</v>
      </c>
      <c r="AY143" s="299">
        <f t="shared" si="132"/>
        <v>92.047037301926196</v>
      </c>
      <c r="BB143" s="270">
        <f t="shared" si="111"/>
        <v>-34.964969689739739</v>
      </c>
      <c r="BC143" s="270">
        <f t="shared" si="112"/>
        <v>-85.510034071151196</v>
      </c>
      <c r="BD143" s="286"/>
      <c r="BE143" s="270">
        <f t="shared" si="163"/>
        <v>25.612918204081119</v>
      </c>
      <c r="BF143" s="581">
        <f t="shared" si="164"/>
        <v>-2.4429286269225967</v>
      </c>
      <c r="BI143" s="286"/>
      <c r="BJ143" s="286"/>
      <c r="BL143" s="253">
        <f t="shared" si="133"/>
        <v>0</v>
      </c>
      <c r="BM143" s="253">
        <f t="shared" si="113"/>
        <v>0</v>
      </c>
      <c r="BN143" s="253">
        <f t="shared" si="134"/>
        <v>0</v>
      </c>
      <c r="BO143" s="253">
        <f t="shared" si="135"/>
        <v>0</v>
      </c>
    </row>
    <row r="144" spans="4:67" ht="13.6" thickBot="1" x14ac:dyDescent="0.25">
      <c r="D144" s="280">
        <v>8222.9500000000007</v>
      </c>
      <c r="E144" s="273" t="str">
        <f t="shared" si="114"/>
        <v>0.0929993735190103i</v>
      </c>
      <c r="F144" s="579" t="str">
        <f t="shared" si="136"/>
        <v>0.002-0.297768755255615i</v>
      </c>
      <c r="G144" s="270" t="str">
        <f t="shared" si="137"/>
        <v>0.002-0.297768755255615i</v>
      </c>
      <c r="H144" s="271" t="str">
        <f t="shared" si="138"/>
        <v>0.0452417335872007-0.290742225681999i</v>
      </c>
      <c r="I144" s="271" t="str">
        <f t="shared" si="139"/>
        <v>0.0552417335872007-0.290742225681999i</v>
      </c>
      <c r="J144" s="270" t="str">
        <f t="shared" si="140"/>
        <v>0.0145112885627389-0.148330483739216i</v>
      </c>
      <c r="K144" s="271" t="str">
        <f t="shared" si="115"/>
        <v>0.998292545473536-0.0649074354543623i</v>
      </c>
      <c r="L144" s="580"/>
      <c r="M144" s="580" t="str">
        <f t="shared" si="116"/>
        <v>785.012012765335-1010.59668172188i</v>
      </c>
      <c r="N144" s="270" t="str">
        <f t="shared" si="117"/>
        <v>582.092342907334-757.94751129141i</v>
      </c>
      <c r="O144" s="581" t="str">
        <f t="shared" si="118"/>
        <v>257.551639793956-406.571181168692i</v>
      </c>
      <c r="P144" s="582" t="str">
        <f t="shared" si="119"/>
        <v>-103.979811040701-97.3408338560979i</v>
      </c>
      <c r="Q144" s="583" t="str">
        <f t="shared" si="120"/>
        <v>-106.55532743864-93.2751220444107i</v>
      </c>
      <c r="R144" s="581" t="str">
        <f t="shared" si="141"/>
        <v>32.1518708799187-47.4536308113336i</v>
      </c>
      <c r="S144" s="253" t="str">
        <f t="shared" si="142"/>
        <v>50.6945321551802+2.56860783838207i</v>
      </c>
      <c r="T144" s="253" t="str">
        <f t="shared" si="143"/>
        <v>19.0712200226163-0.861228839973412i</v>
      </c>
      <c r="U144" s="253" t="str">
        <f t="shared" si="144"/>
        <v>0.612419465690689-5.58377244158224i</v>
      </c>
      <c r="V144" s="582" t="str">
        <f t="shared" si="121"/>
        <v>6000</v>
      </c>
      <c r="W144" s="584" t="str">
        <f t="shared" si="122"/>
        <v>1+28937.4783989008i</v>
      </c>
      <c r="X144" s="585">
        <f t="shared" si="123"/>
        <v>28937.47841617943</v>
      </c>
      <c r="Y144" s="586">
        <f t="shared" si="124"/>
        <v>1.5707617695336931</v>
      </c>
      <c r="Z144" s="273" t="str">
        <f t="shared" si="125"/>
        <v>1+4.33997076422048i</v>
      </c>
      <c r="AA144" s="585">
        <f t="shared" si="126"/>
        <v>4.4536890590036142</v>
      </c>
      <c r="AB144" s="586">
        <f t="shared" si="127"/>
        <v>1.3443325918221425</v>
      </c>
      <c r="AC144" s="584" t="str">
        <f t="shared" si="128"/>
        <v>1+0.20981787157162i</v>
      </c>
      <c r="AD144" s="585">
        <f t="shared" si="129"/>
        <v>1.021774700817575</v>
      </c>
      <c r="AE144" s="586">
        <f t="shared" si="130"/>
        <v>0.20681775202231303</v>
      </c>
      <c r="AF144" s="580" t="str">
        <f t="shared" si="145"/>
        <v>0.820263424122102-0.379418395962846i</v>
      </c>
      <c r="AG144" s="270">
        <f t="shared" si="146"/>
        <v>0.90376457340810512</v>
      </c>
      <c r="AH144" s="581">
        <f t="shared" si="147"/>
        <v>-0.43324692973386431</v>
      </c>
      <c r="AI144" s="582" t="str">
        <f t="shared" si="131"/>
        <v>4000</v>
      </c>
      <c r="AJ144" s="584" t="str">
        <f t="shared" si="148"/>
        <v>1+2273.39758548426i</v>
      </c>
      <c r="AK144" s="585">
        <f t="shared" si="149"/>
        <v>2273.3978054193822</v>
      </c>
      <c r="AL144" s="586">
        <f t="shared" si="150"/>
        <v>1.5703564565575525</v>
      </c>
      <c r="AM144" s="273" t="str">
        <f t="shared" si="151"/>
        <v>1+0.0795661306773755i</v>
      </c>
      <c r="AN144" s="585">
        <f t="shared" si="152"/>
        <v>1.0031603905412978</v>
      </c>
      <c r="AO144" s="586">
        <f t="shared" si="153"/>
        <v>7.9398860652719658E-2</v>
      </c>
      <c r="AP144" s="584" t="str">
        <f t="shared" si="154"/>
        <v>1+0.000575642666423035i</v>
      </c>
      <c r="AQ144" s="585">
        <f t="shared" si="155"/>
        <v>1.0000001656822259</v>
      </c>
      <c r="AR144" s="586">
        <f t="shared" si="156"/>
        <v>5.7564260284053684E-4</v>
      </c>
      <c r="AS144" s="580" t="str">
        <f t="shared" si="157"/>
        <v>0.139756173300397-1.7594995923667i</v>
      </c>
      <c r="AT144" s="270">
        <f t="shared" si="158"/>
        <v>1.7650412469724761</v>
      </c>
      <c r="AU144" s="581">
        <f t="shared" si="159"/>
        <v>-1.4915332385076736</v>
      </c>
      <c r="AV144" s="580" t="str">
        <f t="shared" si="160"/>
        <v>0.011499889376631-0.336761659027396i</v>
      </c>
      <c r="AW144" s="270">
        <f t="shared" si="161"/>
        <v>-9.4484857623667775</v>
      </c>
      <c r="AX144" s="581">
        <f t="shared" si="162"/>
        <v>-88.044197813737583</v>
      </c>
      <c r="AY144" s="299">
        <f t="shared" si="132"/>
        <v>91.955802186262417</v>
      </c>
      <c r="BB144" s="270">
        <f t="shared" si="111"/>
        <v>-35.064902823956793</v>
      </c>
      <c r="BC144" s="270">
        <f t="shared" si="112"/>
        <v>-85.458559569969296</v>
      </c>
      <c r="BD144" s="286"/>
      <c r="BE144" s="270">
        <f t="shared" si="163"/>
        <v>25.616417061590028</v>
      </c>
      <c r="BF144" s="581">
        <f t="shared" si="164"/>
        <v>-2.585638243768297</v>
      </c>
      <c r="BI144" s="286"/>
      <c r="BJ144" s="286"/>
      <c r="BL144" s="253">
        <f t="shared" si="133"/>
        <v>0</v>
      </c>
      <c r="BM144" s="253">
        <f t="shared" si="113"/>
        <v>0</v>
      </c>
      <c r="BN144" s="253">
        <f t="shared" si="134"/>
        <v>0</v>
      </c>
      <c r="BO144" s="253">
        <f t="shared" si="135"/>
        <v>0</v>
      </c>
    </row>
    <row r="145" spans="4:67" ht="13.6" thickBot="1" x14ac:dyDescent="0.25">
      <c r="D145" s="280">
        <v>8270.2750000000015</v>
      </c>
      <c r="E145" s="273" t="str">
        <f t="shared" si="114"/>
        <v>0.0935346066594024i</v>
      </c>
      <c r="F145" s="579" t="str">
        <f t="shared" si="136"/>
        <v>0.002-0.296064832914161i</v>
      </c>
      <c r="G145" s="270" t="str">
        <f t="shared" si="137"/>
        <v>0.002-0.296064832914161i</v>
      </c>
      <c r="H145" s="271" t="str">
        <f t="shared" si="138"/>
        <v>0.0447588039167159-0.289149929083558i</v>
      </c>
      <c r="I145" s="271" t="str">
        <f t="shared" si="139"/>
        <v>0.0547588039167159-0.289149929083558i</v>
      </c>
      <c r="J145" s="270" t="str">
        <f t="shared" si="140"/>
        <v>0.0143862055367819-0.147491412140653i</v>
      </c>
      <c r="K145" s="271" t="str">
        <f t="shared" si="115"/>
        <v>0.998272835317905-0.065280992922531i</v>
      </c>
      <c r="L145" s="580"/>
      <c r="M145" s="580" t="str">
        <f t="shared" si="116"/>
        <v>689.876375156315-992.299277990142i</v>
      </c>
      <c r="N145" s="270" t="str">
        <f t="shared" si="117"/>
        <v>510.740614700569-744.224458492606i</v>
      </c>
      <c r="O145" s="581" t="str">
        <f t="shared" si="118"/>
        <v>222.490720632756-396.342558275097i</v>
      </c>
      <c r="P145" s="582" t="str">
        <f t="shared" si="119"/>
        <v>-102.419096873623-86.0364205251469i</v>
      </c>
      <c r="Q145" s="583" t="str">
        <f t="shared" si="120"/>
        <v>-104.64400407995-82.0729949423957i</v>
      </c>
      <c r="R145" s="581" t="str">
        <f t="shared" si="141"/>
        <v>27.9354163539651-46.3699405055113i</v>
      </c>
      <c r="S145" s="253" t="str">
        <f t="shared" si="142"/>
        <v>50.7085083311491+2.5186681212511i</v>
      </c>
      <c r="T145" s="253" t="str">
        <f t="shared" si="143"/>
        <v>19.0738917090045-0.885014596280661i</v>
      </c>
      <c r="U145" s="253" t="str">
        <f t="shared" si="144"/>
        <v>0.597822671179534-5.55482662978446i</v>
      </c>
      <c r="V145" s="582" t="str">
        <f t="shared" si="121"/>
        <v>6000</v>
      </c>
      <c r="W145" s="584" t="str">
        <f t="shared" si="122"/>
        <v>1+29104.0203534583i</v>
      </c>
      <c r="X145" s="585">
        <f t="shared" si="123"/>
        <v>29104.020370638056</v>
      </c>
      <c r="Y145" s="586">
        <f t="shared" si="124"/>
        <v>1.5707619672807311</v>
      </c>
      <c r="Z145" s="273" t="str">
        <f t="shared" si="125"/>
        <v>1+4.36494831077212i</v>
      </c>
      <c r="AA145" s="585">
        <f t="shared" si="126"/>
        <v>4.4780323531337274</v>
      </c>
      <c r="AB145" s="586">
        <f t="shared" si="127"/>
        <v>1.345584990991159</v>
      </c>
      <c r="AC145" s="584" t="str">
        <f t="shared" si="128"/>
        <v>1+0.211025422483656i</v>
      </c>
      <c r="AD145" s="585">
        <f t="shared" si="129"/>
        <v>1.0220233504839338</v>
      </c>
      <c r="AE145" s="586">
        <f t="shared" si="130"/>
        <v>0.20797410276418798</v>
      </c>
      <c r="AF145" s="580" t="str">
        <f t="shared" si="145"/>
        <v>0.81986426804895-0.379138369449899i</v>
      </c>
      <c r="AG145" s="270">
        <f t="shared" si="146"/>
        <v>0.90328473983155977</v>
      </c>
      <c r="AH145" s="581">
        <f t="shared" si="147"/>
        <v>-0.43315107905376099</v>
      </c>
      <c r="AI145" s="582" t="str">
        <f t="shared" si="131"/>
        <v>4000</v>
      </c>
      <c r="AJ145" s="584" t="str">
        <f t="shared" si="148"/>
        <v>1+2286.48152017109i</v>
      </c>
      <c r="AK145" s="585">
        <f t="shared" si="149"/>
        <v>2286.4817388476772</v>
      </c>
      <c r="AL145" s="586">
        <f t="shared" si="150"/>
        <v>1.5703589736269752</v>
      </c>
      <c r="AM145" s="273" t="str">
        <f t="shared" si="151"/>
        <v>1+0.0800240523641555i</v>
      </c>
      <c r="AN145" s="585">
        <f t="shared" si="152"/>
        <v>1.003196814666385</v>
      </c>
      <c r="AO145" s="586">
        <f t="shared" si="153"/>
        <v>7.9853885074482961E-2</v>
      </c>
      <c r="AP145" s="584" t="str">
        <f t="shared" si="154"/>
        <v>1+0.000578955624569257i</v>
      </c>
      <c r="AQ145" s="585">
        <f t="shared" si="155"/>
        <v>1.0000001675947936</v>
      </c>
      <c r="AR145" s="586">
        <f t="shared" si="156"/>
        <v>5.7895555988263236E-4</v>
      </c>
      <c r="AS145" s="580" t="str">
        <f t="shared" si="157"/>
        <v>0.139747340947941-1.74943212881969i</v>
      </c>
      <c r="AT145" s="270">
        <f t="shared" si="158"/>
        <v>1.7550048696937033</v>
      </c>
      <c r="AU145" s="581">
        <f t="shared" si="159"/>
        <v>-1.4910840441123745</v>
      </c>
      <c r="AV145" s="580" t="str">
        <f t="shared" si="160"/>
        <v>0.0111725267865458-0.334921574138903i</v>
      </c>
      <c r="AW145" s="270">
        <f t="shared" si="161"/>
        <v>-9.496307389473893</v>
      </c>
      <c r="AX145" s="581">
        <f t="shared" si="162"/>
        <v>-88.089399457255311</v>
      </c>
      <c r="AY145" s="299">
        <f t="shared" si="132"/>
        <v>91.910600542744689</v>
      </c>
      <c r="BB145" s="270">
        <f t="shared" si="111"/>
        <v>-35.114433482787419</v>
      </c>
      <c r="BC145" s="270">
        <f t="shared" si="112"/>
        <v>-85.432822626937721</v>
      </c>
      <c r="BD145" s="286"/>
      <c r="BE145" s="270">
        <f t="shared" si="163"/>
        <v>25.618126093313531</v>
      </c>
      <c r="BF145" s="581">
        <f t="shared" si="164"/>
        <v>-2.656576830317583</v>
      </c>
      <c r="BI145" s="286"/>
      <c r="BJ145" s="286"/>
      <c r="BL145" s="253">
        <f t="shared" si="133"/>
        <v>0</v>
      </c>
      <c r="BM145" s="253">
        <f t="shared" si="113"/>
        <v>0</v>
      </c>
      <c r="BN145" s="253">
        <f t="shared" si="134"/>
        <v>0</v>
      </c>
      <c r="BO145" s="253">
        <f t="shared" si="135"/>
        <v>0</v>
      </c>
    </row>
    <row r="146" spans="4:67" ht="13.6" thickBot="1" x14ac:dyDescent="0.25">
      <c r="D146" s="280">
        <v>8317.6</v>
      </c>
      <c r="E146" s="273" t="str">
        <f t="shared" si="114"/>
        <v>0.0940698397997945i</v>
      </c>
      <c r="F146" s="579" t="str">
        <f t="shared" si="136"/>
        <v>0.002-0.294380300330523i</v>
      </c>
      <c r="G146" s="270" t="str">
        <f t="shared" si="137"/>
        <v>0.002-0.294380300330523i</v>
      </c>
      <c r="H146" s="271" t="str">
        <f t="shared" si="138"/>
        <v>0.0442838613911567-0.287574577544916i</v>
      </c>
      <c r="I146" s="271" t="str">
        <f t="shared" si="139"/>
        <v>0.0542838613911567-0.287574577544916i</v>
      </c>
      <c r="J146" s="270" t="str">
        <f t="shared" si="140"/>
        <v>0.0142632359629913-0.146661736198235i</v>
      </c>
      <c r="K146" s="271" t="str">
        <f t="shared" si="115"/>
        <v>0.998253012051211-0.0656545503906997i</v>
      </c>
      <c r="L146" s="580"/>
      <c r="M146" s="580" t="str">
        <f t="shared" si="116"/>
        <v>607.453447089612-967.601209050105i</v>
      </c>
      <c r="N146" s="270" t="str">
        <f t="shared" si="117"/>
        <v>448.923418650542-725.700906787579i</v>
      </c>
      <c r="O146" s="581" t="str">
        <f t="shared" si="118"/>
        <v>192.426456923278-384.161584655146i</v>
      </c>
      <c r="P146" s="582" t="str">
        <f t="shared" si="119"/>
        <v>-100.029454300574-76.1907312714036i</v>
      </c>
      <c r="Q146" s="583" t="str">
        <f t="shared" si="120"/>
        <v>-101.953718869807-72.3491154248522i</v>
      </c>
      <c r="R146" s="581" t="str">
        <f t="shared" si="141"/>
        <v>24.3067719080661-45.0343772922986i</v>
      </c>
      <c r="S146" s="253" t="str">
        <f t="shared" si="142"/>
        <v>50.7222309509836+2.46901692073475i</v>
      </c>
      <c r="T146" s="253" t="str">
        <f t="shared" si="143"/>
        <v>19.0764813322704-0.908714967956323i</v>
      </c>
      <c r="U146" s="253" t="str">
        <f t="shared" si="144"/>
        <v>0.583456932130465-5.52615246785617i</v>
      </c>
      <c r="V146" s="582" t="str">
        <f t="shared" si="121"/>
        <v>6000</v>
      </c>
      <c r="W146" s="584" t="str">
        <f t="shared" si="122"/>
        <v>1+29270.5623080157i</v>
      </c>
      <c r="X146" s="585">
        <f t="shared" si="123"/>
        <v>29270.562325097708</v>
      </c>
      <c r="Y146" s="586">
        <f t="shared" si="124"/>
        <v>1.5707621627775099</v>
      </c>
      <c r="Z146" s="273" t="str">
        <f t="shared" si="125"/>
        <v>1+4.38992585732374i</v>
      </c>
      <c r="AA146" s="585">
        <f t="shared" si="126"/>
        <v>4.5023825951155656</v>
      </c>
      <c r="AB146" s="586">
        <f t="shared" si="127"/>
        <v>1.3468238453815502</v>
      </c>
      <c r="AC146" s="584" t="str">
        <f t="shared" si="128"/>
        <v>1+0.212232973395692i</v>
      </c>
      <c r="AD146" s="585">
        <f t="shared" si="129"/>
        <v>1.022273366079923</v>
      </c>
      <c r="AE146" s="586">
        <f t="shared" si="130"/>
        <v>0.20912988943756425</v>
      </c>
      <c r="AF146" s="580" t="str">
        <f t="shared" si="145"/>
        <v>0.819463214667534-0.378870475794095i</v>
      </c>
      <c r="AG146" s="270">
        <f t="shared" si="146"/>
        <v>0.90280828397932467</v>
      </c>
      <c r="AH146" s="581">
        <f t="shared" si="147"/>
        <v>-0.43306820683352365</v>
      </c>
      <c r="AI146" s="582" t="str">
        <f t="shared" si="131"/>
        <v>4000</v>
      </c>
      <c r="AJ146" s="584" t="str">
        <f t="shared" si="148"/>
        <v>1+2299.56545485792i</v>
      </c>
      <c r="AK146" s="585">
        <f t="shared" si="149"/>
        <v>2299.5656722902941</v>
      </c>
      <c r="AL146" s="586">
        <f t="shared" si="150"/>
        <v>1.570361462053451</v>
      </c>
      <c r="AM146" s="273" t="str">
        <f t="shared" si="151"/>
        <v>1+0.0804819740509353i</v>
      </c>
      <c r="AN146" s="585">
        <f t="shared" si="152"/>
        <v>1.0032334464854804</v>
      </c>
      <c r="AO146" s="586">
        <f t="shared" si="153"/>
        <v>8.0308876361145615E-2</v>
      </c>
      <c r="AP146" s="584" t="str">
        <f t="shared" si="154"/>
        <v>1+0.000582268582715477i</v>
      </c>
      <c r="AQ146" s="585">
        <f t="shared" si="155"/>
        <v>1.0000001695183369</v>
      </c>
      <c r="AR146" s="586">
        <f t="shared" si="156"/>
        <v>5.8226851691201703E-4</v>
      </c>
      <c r="AS146" s="580" t="str">
        <f t="shared" si="157"/>
        <v>0.139738658915465-1.73947923299195i</v>
      </c>
      <c r="AT146" s="270">
        <f t="shared" si="158"/>
        <v>1.7450830624373601</v>
      </c>
      <c r="AU146" s="581">
        <f t="shared" si="159"/>
        <v>-1.4906348542092174</v>
      </c>
      <c r="AV146" s="580" t="str">
        <f t="shared" si="160"/>
        <v>0.010850311027284-0.333101257270016i</v>
      </c>
      <c r="AW146" s="270">
        <f t="shared" si="161"/>
        <v>-9.5438689657300468</v>
      </c>
      <c r="AX146" s="581">
        <f t="shared" si="162"/>
        <v>-88.134329187276819</v>
      </c>
      <c r="AY146" s="299">
        <f t="shared" si="132"/>
        <v>91.865670812723181</v>
      </c>
      <c r="BB146" s="270">
        <f t="shared" si="111"/>
        <v>-35.163677933412117</v>
      </c>
      <c r="BC146" s="270">
        <f t="shared" si="112"/>
        <v>-85.407085941286937</v>
      </c>
      <c r="BD146" s="286"/>
      <c r="BE146" s="270">
        <f t="shared" si="163"/>
        <v>25.619808967682069</v>
      </c>
      <c r="BF146" s="581">
        <f t="shared" si="164"/>
        <v>-2.7272432459898908</v>
      </c>
      <c r="BI146" s="286"/>
      <c r="BJ146" s="286"/>
      <c r="BL146" s="253">
        <f t="shared" si="133"/>
        <v>0</v>
      </c>
      <c r="BM146" s="253">
        <f t="shared" si="113"/>
        <v>0</v>
      </c>
      <c r="BN146" s="253">
        <f t="shared" si="134"/>
        <v>0</v>
      </c>
      <c r="BO146" s="253">
        <f t="shared" si="135"/>
        <v>0</v>
      </c>
    </row>
    <row r="147" spans="4:67" ht="13.6" thickBot="1" x14ac:dyDescent="0.25">
      <c r="D147" s="280">
        <v>8366.0499999999993</v>
      </c>
      <c r="E147" s="273" t="str">
        <f t="shared" si="114"/>
        <v>0.0946177963904336i</v>
      </c>
      <c r="F147" s="579" t="str">
        <f t="shared" si="136"/>
        <v>0.002-0.292675466442246i</v>
      </c>
      <c r="G147" s="270" t="str">
        <f t="shared" si="137"/>
        <v>0.002-0.292675466442246i</v>
      </c>
      <c r="H147" s="271" t="str">
        <f t="shared" si="138"/>
        <v>0.0438057212915662-0.285979057428893i</v>
      </c>
      <c r="I147" s="271" t="str">
        <f t="shared" si="139"/>
        <v>0.0538057212915662-0.285979057428893i</v>
      </c>
      <c r="J147" s="270" t="str">
        <f t="shared" si="140"/>
        <v>0.0141394832445615-0.14582190782816i</v>
      </c>
      <c r="K147" s="271" t="str">
        <f t="shared" si="115"/>
        <v>0.998232600373665-0.0660369879888565i</v>
      </c>
      <c r="L147" s="580"/>
      <c r="M147" s="580" t="str">
        <f t="shared" si="116"/>
        <v>534.78055882759-938.407615998315i</v>
      </c>
      <c r="N147" s="270" t="str">
        <f t="shared" si="117"/>
        <v>394.418752454025-703.805711998736i</v>
      </c>
      <c r="O147" s="581" t="str">
        <f t="shared" si="118"/>
        <v>166.179569082699-370.63841965812i</v>
      </c>
      <c r="P147" s="582" t="str">
        <f t="shared" si="119"/>
        <v>-97.0534143223477-67.4663440382815i</v>
      </c>
      <c r="Q147" s="583" t="str">
        <f t="shared" si="120"/>
        <v>-98.7152100131744-63.7599598417i</v>
      </c>
      <c r="R147" s="581" t="str">
        <f t="shared" si="141"/>
        <v>21.1277900935984-43.5241822593636i</v>
      </c>
      <c r="S147" s="253" t="str">
        <f t="shared" si="142"/>
        <v>50.7360223643055+2.41848045097202i</v>
      </c>
      <c r="T147" s="253" t="str">
        <f t="shared" si="143"/>
        <v>19.079049037013-0.932891405819123i</v>
      </c>
      <c r="U147" s="253" t="str">
        <f t="shared" si="144"/>
        <v>0.568984099703841-5.49707444116321i</v>
      </c>
      <c r="V147" s="582" t="str">
        <f t="shared" si="121"/>
        <v>6000</v>
      </c>
      <c r="W147" s="584" t="str">
        <f t="shared" si="122"/>
        <v>1+29441.0632630776i</v>
      </c>
      <c r="X147" s="585">
        <f t="shared" si="123"/>
        <v>29441.063280060684</v>
      </c>
      <c r="Y147" s="586">
        <f t="shared" si="124"/>
        <v>1.5707623606303367</v>
      </c>
      <c r="Z147" s="273" t="str">
        <f t="shared" si="125"/>
        <v>1+4.41549716488691i</v>
      </c>
      <c r="AA147" s="585">
        <f t="shared" si="126"/>
        <v>4.5273187664581709</v>
      </c>
      <c r="AB147" s="586">
        <f t="shared" si="127"/>
        <v>1.3480783422419904</v>
      </c>
      <c r="AC147" s="584" t="str">
        <f t="shared" si="128"/>
        <v>1+0.213469229955399i</v>
      </c>
      <c r="AD147" s="585">
        <f t="shared" si="129"/>
        <v>1.022530738969617</v>
      </c>
      <c r="AE147" s="586">
        <f t="shared" si="130"/>
        <v>0.21031256409774535</v>
      </c>
      <c r="AF147" s="580" t="str">
        <f t="shared" si="145"/>
        <v>0.81905066840922-0.378608537719762i</v>
      </c>
      <c r="AG147" s="270">
        <f t="shared" si="146"/>
        <v>0.9023239009667684</v>
      </c>
      <c r="AH147" s="581">
        <f t="shared" si="147"/>
        <v>-0.43299658248608991</v>
      </c>
      <c r="AI147" s="582" t="str">
        <f t="shared" si="131"/>
        <v>4000</v>
      </c>
      <c r="AJ147" s="584" t="str">
        <f t="shared" si="148"/>
        <v>1+2312.96041810307i</v>
      </c>
      <c r="AK147" s="585">
        <f t="shared" si="149"/>
        <v>2312.9606342762359</v>
      </c>
      <c r="AL147" s="586">
        <f t="shared" si="150"/>
        <v>1.5703639804694405</v>
      </c>
      <c r="AM147" s="273" t="str">
        <f t="shared" si="151"/>
        <v>1+0.0809507813562599i</v>
      </c>
      <c r="AN147" s="585">
        <f t="shared" si="152"/>
        <v>1.003271164243341</v>
      </c>
      <c r="AO147" s="586">
        <f t="shared" si="153"/>
        <v>8.0774649086613012E-2</v>
      </c>
      <c r="AP147" s="584" t="str">
        <f t="shared" si="154"/>
        <v>1+0.000585660295809708i</v>
      </c>
      <c r="AQ147" s="585">
        <f t="shared" si="155"/>
        <v>1.0000001714989764</v>
      </c>
      <c r="AR147" s="586">
        <f t="shared" si="156"/>
        <v>5.8566022884962187E-4</v>
      </c>
      <c r="AS147" s="580" t="str">
        <f t="shared" si="157"/>
        <v>0.13972992267668-1.72940639422424i</v>
      </c>
      <c r="AT147" s="270">
        <f t="shared" si="158"/>
        <v>1.7350420535753357</v>
      </c>
      <c r="AU147" s="581">
        <f t="shared" si="159"/>
        <v>-1.4901749916116773</v>
      </c>
      <c r="AV147" s="580" t="str">
        <f t="shared" si="160"/>
        <v>0.0105256568434598-0.33125782244329i</v>
      </c>
      <c r="AW147" s="270">
        <f t="shared" si="161"/>
        <v>-9.592294552381853</v>
      </c>
      <c r="AX147" s="581">
        <f t="shared" si="162"/>
        <v>-88.180049397100134</v>
      </c>
      <c r="AY147" s="299">
        <f t="shared" si="132"/>
        <v>91.819950602899866</v>
      </c>
      <c r="BB147" s="270">
        <f t="shared" si="111"/>
        <v>-35.213799888189804</v>
      </c>
      <c r="BC147" s="270">
        <f t="shared" si="112"/>
        <v>-85.38073775529196</v>
      </c>
      <c r="BD147" s="286"/>
      <c r="BE147" s="270">
        <f t="shared" si="163"/>
        <v>25.621505335807942</v>
      </c>
      <c r="BF147" s="581">
        <f t="shared" si="164"/>
        <v>-2.7993116418081661</v>
      </c>
      <c r="BI147" s="286"/>
      <c r="BJ147" s="286"/>
      <c r="BL147" s="253">
        <f t="shared" si="133"/>
        <v>0</v>
      </c>
      <c r="BM147" s="253">
        <f t="shared" si="113"/>
        <v>0</v>
      </c>
      <c r="BN147" s="253">
        <f t="shared" si="134"/>
        <v>0</v>
      </c>
      <c r="BO147" s="253">
        <f t="shared" si="135"/>
        <v>0</v>
      </c>
    </row>
    <row r="148" spans="4:67" ht="13.6" thickBot="1" x14ac:dyDescent="0.25">
      <c r="D148" s="280">
        <v>8414.5</v>
      </c>
      <c r="E148" s="273" t="str">
        <f t="shared" si="114"/>
        <v>0.0951657529810727i</v>
      </c>
      <c r="F148" s="579" t="str">
        <f t="shared" si="136"/>
        <v>0.002-0.290990265141026i</v>
      </c>
      <c r="G148" s="270" t="str">
        <f t="shared" si="137"/>
        <v>0.002-0.290990265141026i</v>
      </c>
      <c r="H148" s="271" t="str">
        <f t="shared" si="138"/>
        <v>0.0433355888213984-0.284400747153282i</v>
      </c>
      <c r="I148" s="271" t="str">
        <f t="shared" si="139"/>
        <v>0.0533355888213984-0.284400747153282i</v>
      </c>
      <c r="J148" s="270" t="str">
        <f t="shared" si="140"/>
        <v>0.0140178468189168-0.144991599917201i</v>
      </c>
      <c r="K148" s="271" t="str">
        <f t="shared" si="115"/>
        <v>0.998212070143431-0.0664194255870134i</v>
      </c>
      <c r="L148" s="580"/>
      <c r="M148" s="580" t="str">
        <f t="shared" si="116"/>
        <v>472.397972064926-907.20405731132i</v>
      </c>
      <c r="N148" s="270" t="str">
        <f t="shared" si="117"/>
        <v>347.631812382028-680.40304298349i</v>
      </c>
      <c r="O148" s="581" t="str">
        <f t="shared" si="118"/>
        <v>143.86512681307-356.724827766066i</v>
      </c>
      <c r="P148" s="582" t="str">
        <f t="shared" si="119"/>
        <v>-93.7796762953546-59.9414782910539i</v>
      </c>
      <c r="Q148" s="583" t="str">
        <f t="shared" si="120"/>
        <v>-95.2183275634855-56.3742300133932i</v>
      </c>
      <c r="R148" s="581" t="str">
        <f t="shared" si="141"/>
        <v>18.4158404245537-41.9523142425325i</v>
      </c>
      <c r="S148" s="253" t="str">
        <f t="shared" si="142"/>
        <v>50.7495585553725+2.36823859990485i</v>
      </c>
      <c r="T148" s="253" t="str">
        <f t="shared" si="143"/>
        <v>19.0815338073422-0.956980608214902i</v>
      </c>
      <c r="U148" s="253" t="str">
        <f t="shared" si="144"/>
        <v>0.554743503169087-5.46827378978639i</v>
      </c>
      <c r="V148" s="582" t="str">
        <f t="shared" si="121"/>
        <v>6000</v>
      </c>
      <c r="W148" s="584" t="str">
        <f t="shared" si="122"/>
        <v>1+29611.5642181396i</v>
      </c>
      <c r="X148" s="585">
        <f t="shared" si="123"/>
        <v>29611.564235024893</v>
      </c>
      <c r="Y148" s="586">
        <f t="shared" si="124"/>
        <v>1.5707625562047227</v>
      </c>
      <c r="Z148" s="273" t="str">
        <f t="shared" si="125"/>
        <v>1+4.44106847245006i</v>
      </c>
      <c r="AA148" s="585">
        <f t="shared" si="126"/>
        <v>4.5522619846610217</v>
      </c>
      <c r="AB148" s="586">
        <f t="shared" si="127"/>
        <v>1.3493190935029709</v>
      </c>
      <c r="AC148" s="584" t="str">
        <f t="shared" si="128"/>
        <v>1+0.214705486515106i</v>
      </c>
      <c r="AD148" s="585">
        <f t="shared" si="129"/>
        <v>1.0227895413718739</v>
      </c>
      <c r="AE148" s="586">
        <f t="shared" si="130"/>
        <v>0.21149464189249351</v>
      </c>
      <c r="AF148" s="580" t="str">
        <f t="shared" si="145"/>
        <v>0.818636146544592-0.378358824039456i</v>
      </c>
      <c r="AG148" s="270">
        <f t="shared" si="146"/>
        <v>0.90184285779613449</v>
      </c>
      <c r="AH148" s="581">
        <f t="shared" si="147"/>
        <v>-0.4329381045942467</v>
      </c>
      <c r="AI148" s="582" t="str">
        <f t="shared" si="131"/>
        <v>4000</v>
      </c>
      <c r="AJ148" s="584" t="str">
        <f t="shared" si="148"/>
        <v>1+2326.35538134822i</v>
      </c>
      <c r="AK148" s="585">
        <f t="shared" si="149"/>
        <v>2326.3555962766786</v>
      </c>
      <c r="AL148" s="586">
        <f t="shared" si="150"/>
        <v>1.5703664698837707</v>
      </c>
      <c r="AM148" s="273" t="str">
        <f t="shared" si="151"/>
        <v>1+0.0814195886615845i</v>
      </c>
      <c r="AN148" s="585">
        <f t="shared" si="152"/>
        <v>1.0033090996387013</v>
      </c>
      <c r="AO148" s="586">
        <f t="shared" si="153"/>
        <v>8.1240386691121241E-2</v>
      </c>
      <c r="AP148" s="584" t="str">
        <f t="shared" si="154"/>
        <v>1+0.000589052008903937i</v>
      </c>
      <c r="AQ148" s="585">
        <f t="shared" si="155"/>
        <v>1.0000001734911195</v>
      </c>
      <c r="AR148" s="586">
        <f t="shared" si="156"/>
        <v>5.8905194077375029E-4</v>
      </c>
      <c r="AS148" s="580" t="str">
        <f t="shared" si="157"/>
        <v>0.139721336897938-1.71944955797717i</v>
      </c>
      <c r="AT148" s="270">
        <f t="shared" si="158"/>
        <v>1.7251170494816961</v>
      </c>
      <c r="AU148" s="581">
        <f t="shared" si="159"/>
        <v>-1.4897151351334235</v>
      </c>
      <c r="AV148" s="580" t="str">
        <f t="shared" si="160"/>
        <v>0.0102061752983722-0.329434454805262i</v>
      </c>
      <c r="AW148" s="270">
        <f t="shared" si="161"/>
        <v>-9.6404531892799774</v>
      </c>
      <c r="AX148" s="581">
        <f t="shared" si="162"/>
        <v>-88.225492877505957</v>
      </c>
      <c r="AY148" s="299">
        <f t="shared" si="132"/>
        <v>91.774507122494043</v>
      </c>
      <c r="BB148" s="270">
        <f t="shared" si="111"/>
        <v>-35.263628652748338</v>
      </c>
      <c r="BC148" s="270">
        <f t="shared" si="112"/>
        <v>-85.354389919906268</v>
      </c>
      <c r="BD148" s="286"/>
      <c r="BE148" s="270">
        <f t="shared" si="163"/>
        <v>25.62317546346835</v>
      </c>
      <c r="BF148" s="581">
        <f t="shared" si="164"/>
        <v>-2.8711029575997058</v>
      </c>
      <c r="BI148" s="286"/>
      <c r="BJ148" s="286"/>
      <c r="BL148" s="253">
        <f t="shared" si="133"/>
        <v>0</v>
      </c>
      <c r="BM148" s="253">
        <f t="shared" si="113"/>
        <v>0</v>
      </c>
      <c r="BN148" s="253">
        <f t="shared" si="134"/>
        <v>0</v>
      </c>
      <c r="BO148" s="253">
        <f t="shared" si="135"/>
        <v>0</v>
      </c>
    </row>
    <row r="149" spans="4:67" ht="13.6" thickBot="1" x14ac:dyDescent="0.25">
      <c r="D149" s="280">
        <v>8462.9500000000007</v>
      </c>
      <c r="E149" s="273" t="str">
        <f t="shared" si="114"/>
        <v>0.0957137095717119i</v>
      </c>
      <c r="F149" s="579" t="str">
        <f t="shared" si="136"/>
        <v>0.002-0.289324359239882i</v>
      </c>
      <c r="G149" s="270" t="str">
        <f t="shared" si="137"/>
        <v>0.002-0.289324359239882i</v>
      </c>
      <c r="H149" s="271" t="str">
        <f t="shared" si="138"/>
        <v>0.0428732874221629-0.282839376657262i</v>
      </c>
      <c r="I149" s="271" t="str">
        <f t="shared" si="139"/>
        <v>0.0528732874221629-0.282839376657262i</v>
      </c>
      <c r="J149" s="270" t="str">
        <f t="shared" si="140"/>
        <v>0.01389827878124-0.144170652411622i</v>
      </c>
      <c r="K149" s="271" t="str">
        <f t="shared" si="115"/>
        <v>0.998191421360509-0.0668018631851702i</v>
      </c>
      <c r="L149" s="580"/>
      <c r="M149" s="580" t="str">
        <f t="shared" si="116"/>
        <v>418.82271877854-875.32316044759i</v>
      </c>
      <c r="N149" s="270" t="str">
        <f t="shared" si="117"/>
        <v>307.450372417238-656.492370335692i</v>
      </c>
      <c r="O149" s="581" t="str">
        <f t="shared" si="118"/>
        <v>124.879547667745-342.868435471764i</v>
      </c>
      <c r="P149" s="582" t="str">
        <f t="shared" si="119"/>
        <v>-90.373902347298-53.4494347562719i</v>
      </c>
      <c r="Q149" s="583" t="str">
        <f t="shared" si="120"/>
        <v>-91.6226978239755-50.0207504015541i</v>
      </c>
      <c r="R149" s="581" t="str">
        <f t="shared" si="141"/>
        <v>16.1007330066233-40.3744327468857i</v>
      </c>
      <c r="S149" s="253" t="str">
        <f t="shared" si="142"/>
        <v>50.7628446508214+2.3182875196379i</v>
      </c>
      <c r="T149" s="253" t="str">
        <f t="shared" si="143"/>
        <v>19.0839371408979-0.980983691504287i</v>
      </c>
      <c r="U149" s="253" t="str">
        <f t="shared" si="144"/>
        <v>0.540730306372192-5.43974688086025i</v>
      </c>
      <c r="V149" s="582" t="str">
        <f t="shared" si="121"/>
        <v>6000</v>
      </c>
      <c r="W149" s="584" t="str">
        <f t="shared" si="122"/>
        <v>1+29782.0651732016i</v>
      </c>
      <c r="X149" s="585">
        <f t="shared" si="123"/>
        <v>29782.065189990226</v>
      </c>
      <c r="Y149" s="586">
        <f t="shared" si="124"/>
        <v>1.5707627495398</v>
      </c>
      <c r="Z149" s="273" t="str">
        <f t="shared" si="125"/>
        <v>1+4.46663978001322i</v>
      </c>
      <c r="AA149" s="585">
        <f t="shared" si="126"/>
        <v>4.577212134519935</v>
      </c>
      <c r="AB149" s="586">
        <f t="shared" si="127"/>
        <v>1.3505463200924337</v>
      </c>
      <c r="AC149" s="584" t="str">
        <f t="shared" si="128"/>
        <v>1+0.215941743074814i</v>
      </c>
      <c r="AD149" s="585">
        <f t="shared" si="129"/>
        <v>1.0230497722018166</v>
      </c>
      <c r="AE149" s="586">
        <f t="shared" si="130"/>
        <v>0.21267611997258482</v>
      </c>
      <c r="AF149" s="580" t="str">
        <f t="shared" si="145"/>
        <v>0.818219655672576-0.378121094094877i</v>
      </c>
      <c r="AG149" s="270">
        <f t="shared" si="146"/>
        <v>0.90136505741483874</v>
      </c>
      <c r="AH149" s="581">
        <f t="shared" si="147"/>
        <v>-0.43289254941995009</v>
      </c>
      <c r="AI149" s="582" t="str">
        <f t="shared" si="131"/>
        <v>4000</v>
      </c>
      <c r="AJ149" s="584" t="str">
        <f t="shared" si="148"/>
        <v>1+2339.75034459337i</v>
      </c>
      <c r="AK149" s="585">
        <f t="shared" si="149"/>
        <v>2339.7505582913732</v>
      </c>
      <c r="AL149" s="586">
        <f t="shared" si="150"/>
        <v>1.5703689307945405</v>
      </c>
      <c r="AM149" s="273" t="str">
        <f t="shared" si="151"/>
        <v>1+0.0818883959669091i</v>
      </c>
      <c r="AN149" s="585">
        <f t="shared" si="152"/>
        <v>1.0033472526468756</v>
      </c>
      <c r="AO149" s="586">
        <f t="shared" si="153"/>
        <v>8.1706088976617783E-2</v>
      </c>
      <c r="AP149" s="584" t="str">
        <f t="shared" si="154"/>
        <v>1+0.000592443721998167i</v>
      </c>
      <c r="AQ149" s="585">
        <f t="shared" si="155"/>
        <v>1.0000001754947665</v>
      </c>
      <c r="AR149" s="586">
        <f t="shared" si="156"/>
        <v>5.9244365268432706E-4</v>
      </c>
      <c r="AS149" s="580" t="str">
        <f t="shared" si="157"/>
        <v>0.13971289814354-1.70960673192487i</v>
      </c>
      <c r="AT149" s="270">
        <f t="shared" si="158"/>
        <v>1.7153060577490249</v>
      </c>
      <c r="AU149" s="581">
        <f t="shared" si="159"/>
        <v>-1.4892552854706069</v>
      </c>
      <c r="AV149" s="580" t="str">
        <f t="shared" si="160"/>
        <v>0.00989175843039749-0.327630834822817i</v>
      </c>
      <c r="AW149" s="270">
        <f t="shared" si="161"/>
        <v>-9.6883476507850688</v>
      </c>
      <c r="AX149" s="581">
        <f t="shared" si="162"/>
        <v>-88.270663697322576</v>
      </c>
      <c r="AY149" s="299">
        <f t="shared" si="132"/>
        <v>91.729336302677424</v>
      </c>
      <c r="BB149" s="270">
        <f t="shared" si="111"/>
        <v>-35.313167572685195</v>
      </c>
      <c r="BC149" s="270">
        <f t="shared" si="112"/>
        <v>-85.32804247501636</v>
      </c>
      <c r="BD149" s="286"/>
      <c r="BE149" s="270">
        <f t="shared" si="163"/>
        <v>25.624819921900123</v>
      </c>
      <c r="BF149" s="581">
        <f t="shared" si="164"/>
        <v>-2.9426212223062143</v>
      </c>
      <c r="BI149" s="286"/>
      <c r="BJ149" s="286"/>
      <c r="BL149" s="253">
        <f t="shared" si="133"/>
        <v>0</v>
      </c>
      <c r="BM149" s="253">
        <f t="shared" si="113"/>
        <v>0</v>
      </c>
      <c r="BN149" s="253">
        <f t="shared" si="134"/>
        <v>0</v>
      </c>
      <c r="BO149" s="253">
        <f t="shared" si="135"/>
        <v>0</v>
      </c>
    </row>
    <row r="150" spans="4:67" ht="13.6" thickBot="1" x14ac:dyDescent="0.25">
      <c r="D150" s="280">
        <v>8511.4</v>
      </c>
      <c r="E150" s="273" t="str">
        <f t="shared" si="114"/>
        <v>0.096261666162351i</v>
      </c>
      <c r="F150" s="579" t="str">
        <f t="shared" si="136"/>
        <v>0.002-0.287677419229405i</v>
      </c>
      <c r="G150" s="270" t="str">
        <f t="shared" si="137"/>
        <v>0.002-0.287677419229405i</v>
      </c>
      <c r="H150" s="271" t="str">
        <f t="shared" si="138"/>
        <v>0.0424186453399077-0.28129468133877i</v>
      </c>
      <c r="I150" s="271" t="str">
        <f t="shared" si="139"/>
        <v>0.0524186453399077-0.28129468133877i</v>
      </c>
      <c r="J150" s="270" t="str">
        <f t="shared" si="140"/>
        <v>0.013780732572186-0.143358908805427i</v>
      </c>
      <c r="K150" s="271" t="str">
        <f t="shared" si="115"/>
        <v>0.998170654024898-0.067184300783327i</v>
      </c>
      <c r="L150" s="580"/>
      <c r="M150" s="580" t="str">
        <f t="shared" si="116"/>
        <v>372.727342252845-843.644288485042i</v>
      </c>
      <c r="N150" s="270" t="str">
        <f t="shared" si="117"/>
        <v>272.878840022967-632.733216363781i</v>
      </c>
      <c r="O150" s="581" t="str">
        <f t="shared" si="118"/>
        <v>108.693627820694-329.352284339004i</v>
      </c>
      <c r="P150" s="582" t="str">
        <f t="shared" si="119"/>
        <v>-86.947473143895-47.8391399860316i</v>
      </c>
      <c r="Q150" s="583" t="str">
        <f t="shared" si="120"/>
        <v>-88.0344094221022-44.5456171426416i</v>
      </c>
      <c r="R150" s="581" t="str">
        <f t="shared" si="141"/>
        <v>14.1205056363441-38.8263008289691i</v>
      </c>
      <c r="S150" s="253" t="str">
        <f t="shared" si="142"/>
        <v>50.7758856471948+2.26862341972273i</v>
      </c>
      <c r="T150" s="253" t="str">
        <f t="shared" si="143"/>
        <v>19.0862604973436-1.00490175527624i</v>
      </c>
      <c r="U150" s="253" t="str">
        <f t="shared" si="144"/>
        <v>0.526939795874694-5.41149013570755i</v>
      </c>
      <c r="V150" s="582" t="str">
        <f t="shared" si="121"/>
        <v>6000</v>
      </c>
      <c r="W150" s="584" t="str">
        <f t="shared" si="122"/>
        <v>1+29952.5661282635i</v>
      </c>
      <c r="X150" s="585">
        <f t="shared" si="123"/>
        <v>29952.56614495656</v>
      </c>
      <c r="Y150" s="586">
        <f t="shared" si="124"/>
        <v>1.5707629406738095</v>
      </c>
      <c r="Z150" s="273" t="str">
        <f t="shared" si="125"/>
        <v>1+4.49221108757638i</v>
      </c>
      <c r="AA150" s="585">
        <f t="shared" si="126"/>
        <v>4.602169103297288</v>
      </c>
      <c r="AB150" s="586">
        <f t="shared" si="127"/>
        <v>1.3517602383110245</v>
      </c>
      <c r="AC150" s="584" t="str">
        <f t="shared" si="128"/>
        <v>1+0.217177999634521i</v>
      </c>
      <c r="AD150" s="585">
        <f t="shared" si="129"/>
        <v>1.0233114303696857</v>
      </c>
      <c r="AE150" s="586">
        <f t="shared" si="130"/>
        <v>0.21385699549837983</v>
      </c>
      <c r="AF150" s="580" t="str">
        <f t="shared" si="145"/>
        <v>0.81780120241404-0.377895112610405i</v>
      </c>
      <c r="AG150" s="270">
        <f t="shared" si="146"/>
        <v>0.90089040554591349</v>
      </c>
      <c r="AH150" s="581">
        <f t="shared" si="147"/>
        <v>-0.43285969786116441</v>
      </c>
      <c r="AI150" s="582" t="str">
        <f t="shared" si="131"/>
        <v>4000</v>
      </c>
      <c r="AJ150" s="584" t="str">
        <f t="shared" si="148"/>
        <v>1+2353.14530783852i</v>
      </c>
      <c r="AK150" s="585">
        <f t="shared" si="149"/>
        <v>2353.1455203200762</v>
      </c>
      <c r="AL150" s="586">
        <f t="shared" si="150"/>
        <v>1.5703713636885084</v>
      </c>
      <c r="AM150" s="273" t="str">
        <f t="shared" si="151"/>
        <v>1+0.0823572032722336i</v>
      </c>
      <c r="AN150" s="585">
        <f t="shared" si="152"/>
        <v>1.0033856232430403</v>
      </c>
      <c r="AO150" s="586">
        <f t="shared" si="153"/>
        <v>8.2171755745141295E-2</v>
      </c>
      <c r="AP150" s="584" t="str">
        <f t="shared" si="154"/>
        <v>1+0.000595835435092396i</v>
      </c>
      <c r="AQ150" s="585">
        <f t="shared" si="155"/>
        <v>1.0000001775099172</v>
      </c>
      <c r="AR150" s="586">
        <f t="shared" si="156"/>
        <v>5.9583536458127225E-4</v>
      </c>
      <c r="AS150" s="580" t="str">
        <f t="shared" si="157"/>
        <v>0.139704603075295-1.69987596910567i</v>
      </c>
      <c r="AT150" s="270">
        <f t="shared" si="158"/>
        <v>1.7056071313357501</v>
      </c>
      <c r="AU150" s="581">
        <f t="shared" si="159"/>
        <v>-1.4887954433079482</v>
      </c>
      <c r="AV150" s="580" t="str">
        <f t="shared" si="160"/>
        <v>0.00958230101866883-0.325846649603758i</v>
      </c>
      <c r="AW150" s="270">
        <f t="shared" si="161"/>
        <v>-9.7359806690062083</v>
      </c>
      <c r="AX150" s="581">
        <f t="shared" si="162"/>
        <v>-88.31556585176736</v>
      </c>
      <c r="AY150" s="299">
        <f t="shared" si="132"/>
        <v>91.68443414823264</v>
      </c>
      <c r="BB150" s="270">
        <f t="shared" ref="BB150:BB213" si="165">20*LOG10(IMABS(IMPRODUCT(COMPLEX($B$15,0),AS150)))</f>
        <v>-35.362419936310459</v>
      </c>
      <c r="BC150" s="270">
        <f t="shared" ref="BC150:BC213" si="166">180/PI()*IMARGUMENT(IMPRODUCT(COMPLEX($B$15,0),AS150))</f>
        <v>-85.30169545985386</v>
      </c>
      <c r="BD150" s="286"/>
      <c r="BE150" s="270">
        <f t="shared" si="163"/>
        <v>25.626439267304249</v>
      </c>
      <c r="BF150" s="581">
        <f t="shared" si="164"/>
        <v>-3.0138703919135108</v>
      </c>
      <c r="BI150" s="286"/>
      <c r="BJ150" s="286"/>
      <c r="BL150" s="253">
        <f t="shared" si="133"/>
        <v>0</v>
      </c>
      <c r="BM150" s="253">
        <f t="shared" si="113"/>
        <v>0</v>
      </c>
      <c r="BN150" s="253">
        <f t="shared" si="134"/>
        <v>0</v>
      </c>
      <c r="BO150" s="253">
        <f t="shared" si="135"/>
        <v>0</v>
      </c>
    </row>
    <row r="151" spans="4:67" ht="13.6" thickBot="1" x14ac:dyDescent="0.25">
      <c r="D151" s="280">
        <v>8560.9500000000007</v>
      </c>
      <c r="E151" s="273" t="str">
        <f t="shared" si="114"/>
        <v>0.0968220634598984i</v>
      </c>
      <c r="F151" s="579" t="str">
        <f t="shared" si="136"/>
        <v>0.002-0.286012368490548i</v>
      </c>
      <c r="G151" s="270" t="str">
        <f t="shared" si="137"/>
        <v>0.002-0.286012368490548i</v>
      </c>
      <c r="H151" s="271" t="str">
        <f t="shared" si="138"/>
        <v>0.0419614291615702-0.279731892727946i</v>
      </c>
      <c r="I151" s="271" t="str">
        <f t="shared" si="139"/>
        <v>0.0519614291615702-0.279731892727946i</v>
      </c>
      <c r="J151" s="270" t="str">
        <f t="shared" si="140"/>
        <v>0.0136625616612464-0.14253809575144i</v>
      </c>
      <c r="K151" s="271" t="str">
        <f t="shared" si="115"/>
        <v>0.998149292570832-0.0675754211752501i</v>
      </c>
      <c r="L151" s="580"/>
      <c r="M151" s="580" t="str">
        <f t="shared" si="116"/>
        <v>332.122945286488-812.038707655194i</v>
      </c>
      <c r="N151" s="270" t="str">
        <f t="shared" si="117"/>
        <v>242.425542298199-609.029030741395i</v>
      </c>
      <c r="O151" s="581" t="str">
        <f t="shared" si="118"/>
        <v>94.5654006370214-316.057768327598i</v>
      </c>
      <c r="P151" s="582" t="str">
        <f t="shared" si="119"/>
        <v>-83.4976843793134-42.8757718466889i</v>
      </c>
      <c r="Q151" s="583" t="str">
        <f t="shared" si="120"/>
        <v>-84.4433383856838-39.715194163413i</v>
      </c>
      <c r="R151" s="581" t="str">
        <f t="shared" si="141"/>
        <v>12.3863063885021-37.2966441051774i</v>
      </c>
      <c r="S151" s="253" t="str">
        <f t="shared" si="142"/>
        <v>50.7889742895199+2.21812469199504i</v>
      </c>
      <c r="T151" s="253" t="str">
        <f t="shared" si="143"/>
        <v>19.0885553640088-1.02927604216813i</v>
      </c>
      <c r="U151" s="253" t="str">
        <f t="shared" si="144"/>
        <v>0.513061728288347-5.3828676151475i</v>
      </c>
      <c r="V151" s="582" t="str">
        <f t="shared" si="121"/>
        <v>6000</v>
      </c>
      <c r="W151" s="584" t="str">
        <f t="shared" si="122"/>
        <v>1+30126.938106041i</v>
      </c>
      <c r="X151" s="585">
        <f t="shared" si="123"/>
        <v>30126.938122637443</v>
      </c>
      <c r="Y151" s="586">
        <f t="shared" si="124"/>
        <v>1.5707631339096417</v>
      </c>
      <c r="Z151" s="273" t="str">
        <f t="shared" si="125"/>
        <v>1+4.51836296146193i</v>
      </c>
      <c r="AA151" s="585">
        <f t="shared" si="126"/>
        <v>4.6276996284883296</v>
      </c>
      <c r="AB151" s="586">
        <f t="shared" si="127"/>
        <v>1.3529881727718898</v>
      </c>
      <c r="AC151" s="584" t="str">
        <f t="shared" si="128"/>
        <v>1+0.218442323938618i</v>
      </c>
      <c r="AD151" s="585">
        <f t="shared" si="129"/>
        <v>1.0235805043511252</v>
      </c>
      <c r="AE151" s="586">
        <f t="shared" si="130"/>
        <v>0.2150640552283892</v>
      </c>
      <c r="AF151" s="580" t="str">
        <f t="shared" si="145"/>
        <v>0.817371225868542-0.37767591236555i</v>
      </c>
      <c r="AG151" s="270">
        <f t="shared" si="146"/>
        <v>0.90040813837892075</v>
      </c>
      <c r="AH151" s="581">
        <f t="shared" si="147"/>
        <v>-0.43283901636614003</v>
      </c>
      <c r="AI151" s="582" t="str">
        <f t="shared" si="131"/>
        <v>4000</v>
      </c>
      <c r="AJ151" s="584" t="str">
        <f t="shared" si="148"/>
        <v>1+2366.84438789625i</v>
      </c>
      <c r="AK151" s="585">
        <f t="shared" si="149"/>
        <v>2366.8445991479825</v>
      </c>
      <c r="AL151" s="586">
        <f t="shared" si="150"/>
        <v>1.5703738233360252</v>
      </c>
      <c r="AM151" s="273" t="str">
        <f t="shared" si="151"/>
        <v>1+0.0828366542934687i</v>
      </c>
      <c r="AN151" s="585">
        <f t="shared" si="152"/>
        <v>1.0034250900264232</v>
      </c>
      <c r="AO151" s="586">
        <f t="shared" si="153"/>
        <v>8.2647957985507878E-2</v>
      </c>
      <c r="AP151" s="584" t="str">
        <f t="shared" si="154"/>
        <v>1+0.000599304153024679i</v>
      </c>
      <c r="AQ151" s="585">
        <f t="shared" si="155"/>
        <v>1.0000001795827178</v>
      </c>
      <c r="AR151" s="586">
        <f t="shared" si="156"/>
        <v>5.9930408127490894E-4</v>
      </c>
      <c r="AS151" s="580" t="str">
        <f t="shared" si="157"/>
        <v>0.139696264913702-1.69003820650904i</v>
      </c>
      <c r="AT151" s="270">
        <f t="shared" si="158"/>
        <v>1.6958019300293097</v>
      </c>
      <c r="AU151" s="581">
        <f t="shared" si="159"/>
        <v>-1.4883251694317916</v>
      </c>
      <c r="AV151" s="580" t="str">
        <f t="shared" si="160"/>
        <v>0.00927084050641891-0.32404173890894i</v>
      </c>
      <c r="AW151" s="270">
        <f t="shared" si="161"/>
        <v>-9.7844275281546071</v>
      </c>
      <c r="AX151" s="581">
        <f t="shared" si="162"/>
        <v>-88.3612136603778</v>
      </c>
      <c r="AY151" s="299">
        <f t="shared" si="132"/>
        <v>91.6387863396222</v>
      </c>
      <c r="BB151" s="270">
        <f t="shared" si="165"/>
        <v>-35.412497495816318</v>
      </c>
      <c r="BC151" s="270">
        <f t="shared" si="166"/>
        <v>-85.274750751534825</v>
      </c>
      <c r="BD151" s="286"/>
      <c r="BE151" s="270">
        <f t="shared" si="163"/>
        <v>25.628069967661705</v>
      </c>
      <c r="BF151" s="581">
        <f t="shared" si="164"/>
        <v>-3.0864629088429756</v>
      </c>
      <c r="BI151" s="286"/>
      <c r="BJ151" s="286"/>
      <c r="BL151" s="253">
        <f t="shared" si="133"/>
        <v>0</v>
      </c>
      <c r="BM151" s="253">
        <f t="shared" si="113"/>
        <v>0</v>
      </c>
      <c r="BN151" s="253">
        <f t="shared" si="134"/>
        <v>0</v>
      </c>
      <c r="BO151" s="253">
        <f t="shared" si="135"/>
        <v>0</v>
      </c>
    </row>
    <row r="152" spans="4:67" ht="13.6" thickBot="1" x14ac:dyDescent="0.25">
      <c r="D152" s="280">
        <v>8610.5</v>
      </c>
      <c r="E152" s="273" t="str">
        <f t="shared" si="114"/>
        <v>0.0973824607574457i</v>
      </c>
      <c r="F152" s="579" t="str">
        <f t="shared" si="136"/>
        <v>0.002-0.284366481160114i</v>
      </c>
      <c r="G152" s="270" t="str">
        <f t="shared" si="137"/>
        <v>0.002-0.284366481160114i</v>
      </c>
      <c r="H152" s="271" t="str">
        <f t="shared" si="138"/>
        <v>0.041511875400124-0.278186002190978i</v>
      </c>
      <c r="I152" s="271" t="str">
        <f t="shared" si="139"/>
        <v>0.051511875400124-0.278186002190978i</v>
      </c>
      <c r="J152" s="270" t="str">
        <f t="shared" si="140"/>
        <v>0.0135464110427505-0.141726589108891i</v>
      </c>
      <c r="K152" s="271" t="str">
        <f t="shared" si="115"/>
        <v>0.99812780711977-0.0679665415671731i</v>
      </c>
      <c r="L152" s="580"/>
      <c r="M152" s="580" t="str">
        <f t="shared" si="116"/>
        <v>297.091282814211-781.59449485138i</v>
      </c>
      <c r="N152" s="270" t="str">
        <f t="shared" si="117"/>
        <v>216.151795443991-586.195871138535i</v>
      </c>
      <c r="O152" s="581" t="str">
        <f t="shared" si="118"/>
        <v>82.4872822161078-303.396052412213i</v>
      </c>
      <c r="P152" s="582" t="str">
        <f t="shared" si="119"/>
        <v>-80.1514602974667-38.5753069200454i</v>
      </c>
      <c r="Q152" s="583" t="str">
        <f t="shared" si="120"/>
        <v>-80.976333119628-35.5413463959233i</v>
      </c>
      <c r="R152" s="581" t="str">
        <f t="shared" si="141"/>
        <v>10.8988079367251-35.8344832002481i</v>
      </c>
      <c r="S152" s="253" t="str">
        <f t="shared" si="142"/>
        <v>50.8018167476434+2.16791828534536i</v>
      </c>
      <c r="T152" s="253" t="str">
        <f t="shared" si="143"/>
        <v>19.0907695520368-1.05356367869732i</v>
      </c>
      <c r="U152" s="253" t="str">
        <f t="shared" si="144"/>
        <v>0.499406979106208-5.35452026458653i</v>
      </c>
      <c r="V152" s="582" t="str">
        <f t="shared" si="121"/>
        <v>6000</v>
      </c>
      <c r="W152" s="584" t="str">
        <f t="shared" si="122"/>
        <v>1+30301.3100838185i</v>
      </c>
      <c r="X152" s="585">
        <f t="shared" si="123"/>
        <v>30301.310100319432</v>
      </c>
      <c r="Y152" s="586">
        <f t="shared" si="124"/>
        <v>1.5707633249214836</v>
      </c>
      <c r="Z152" s="273" t="str">
        <f t="shared" si="125"/>
        <v>1+4.54451483534747i</v>
      </c>
      <c r="AA152" s="585">
        <f t="shared" si="126"/>
        <v>4.6532370548568922</v>
      </c>
      <c r="AB152" s="586">
        <f t="shared" si="127"/>
        <v>1.3542026309950674</v>
      </c>
      <c r="AC152" s="584" t="str">
        <f t="shared" si="128"/>
        <v>1+0.219706648242715i</v>
      </c>
      <c r="AD152" s="585">
        <f t="shared" si="129"/>
        <v>1.0238510688972533</v>
      </c>
      <c r="AE152" s="586">
        <f t="shared" si="130"/>
        <v>0.21627047875624839</v>
      </c>
      <c r="AF152" s="580" t="str">
        <f t="shared" si="145"/>
        <v>0.816939210893838-0.377468518946835i</v>
      </c>
      <c r="AG152" s="270">
        <f t="shared" si="146"/>
        <v>0.89992897335943334</v>
      </c>
      <c r="AH152" s="581">
        <f t="shared" si="147"/>
        <v>-0.43283117268266513</v>
      </c>
      <c r="AI152" s="582" t="str">
        <f t="shared" si="131"/>
        <v>4000</v>
      </c>
      <c r="AJ152" s="584" t="str">
        <f t="shared" si="148"/>
        <v>1+2380.54346795399i</v>
      </c>
      <c r="AK152" s="585">
        <f t="shared" si="149"/>
        <v>2380.5436779900529</v>
      </c>
      <c r="AL152" s="586">
        <f t="shared" si="150"/>
        <v>1.570376254674962</v>
      </c>
      <c r="AM152" s="273" t="str">
        <f t="shared" si="151"/>
        <v>1+0.0833161053147035i</v>
      </c>
      <c r="AN152" s="585">
        <f t="shared" si="152"/>
        <v>1.003464784337154</v>
      </c>
      <c r="AO152" s="586">
        <f t="shared" si="153"/>
        <v>8.3124122659340882E-2</v>
      </c>
      <c r="AP152" s="584" t="str">
        <f t="shared" si="154"/>
        <v>1+0.000602772870956961i</v>
      </c>
      <c r="AQ152" s="585">
        <f t="shared" si="155"/>
        <v>1.0000001816675506</v>
      </c>
      <c r="AR152" s="586">
        <f t="shared" si="156"/>
        <v>6.0277279795412292E-4</v>
      </c>
      <c r="AS152" s="580" t="str">
        <f t="shared" si="157"/>
        <v>0.13968807027263-1.68031367421602i</v>
      </c>
      <c r="AT152" s="270">
        <f t="shared" si="158"/>
        <v>1.6861099610446031</v>
      </c>
      <c r="AU152" s="581">
        <f t="shared" si="159"/>
        <v>-1.4878549048135752</v>
      </c>
      <c r="AV152" s="580" t="str">
        <f t="shared" si="160"/>
        <v>0.00896435302771061-0.322256514067808i</v>
      </c>
      <c r="AW152" s="270">
        <f t="shared" si="161"/>
        <v>-9.8326065860672163</v>
      </c>
      <c r="AX152" s="581">
        <f t="shared" si="162"/>
        <v>-88.406588688702257</v>
      </c>
      <c r="AY152" s="299">
        <f t="shared" si="132"/>
        <v>91.593411311297743</v>
      </c>
      <c r="BB152" s="270">
        <f t="shared" si="165"/>
        <v>-35.462282118334009</v>
      </c>
      <c r="BC152" s="270">
        <f t="shared" si="166"/>
        <v>-85.247806573656689</v>
      </c>
      <c r="BD152" s="286"/>
      <c r="BE152" s="270">
        <f t="shared" si="163"/>
        <v>25.629675532266806</v>
      </c>
      <c r="BF152" s="581">
        <f t="shared" si="164"/>
        <v>-3.1587821150455677</v>
      </c>
      <c r="BI152" s="286"/>
      <c r="BJ152" s="286"/>
      <c r="BL152" s="253">
        <f t="shared" si="133"/>
        <v>0</v>
      </c>
      <c r="BM152" s="253">
        <f t="shared" si="113"/>
        <v>0</v>
      </c>
      <c r="BN152" s="253">
        <f t="shared" si="134"/>
        <v>0</v>
      </c>
      <c r="BO152" s="253">
        <f t="shared" si="135"/>
        <v>0</v>
      </c>
    </row>
    <row r="153" spans="4:67" ht="13.6" thickBot="1" x14ac:dyDescent="0.25">
      <c r="D153" s="280">
        <v>8660.0499999999993</v>
      </c>
      <c r="E153" s="273" t="str">
        <f t="shared" si="114"/>
        <v>0.097942858054993i</v>
      </c>
      <c r="F153" s="579" t="str">
        <f t="shared" si="136"/>
        <v>0.002-0.282739428297661i</v>
      </c>
      <c r="G153" s="270" t="str">
        <f t="shared" si="137"/>
        <v>0.002-0.282739428297661i</v>
      </c>
      <c r="H153" s="271" t="str">
        <f t="shared" si="138"/>
        <v>0.0410698149389252-0.276656743556043i</v>
      </c>
      <c r="I153" s="271" t="str">
        <f t="shared" si="139"/>
        <v>0.0510698149389252-0.276656743556043i</v>
      </c>
      <c r="J153" s="270" t="str">
        <f t="shared" si="140"/>
        <v>0.0134322349929575-0.140924232359172i</v>
      </c>
      <c r="K153" s="271" t="str">
        <f t="shared" si="115"/>
        <v>0.998106197671713-0.0683576619590962i</v>
      </c>
      <c r="L153" s="580"/>
      <c r="M153" s="580" t="str">
        <f t="shared" si="116"/>
        <v>266.754094770426-752.513382618129i</v>
      </c>
      <c r="N153" s="270" t="str">
        <f t="shared" si="117"/>
        <v>193.398904411152-564.385036963597i</v>
      </c>
      <c r="O153" s="581" t="str">
        <f t="shared" si="118"/>
        <v>72.1225819372632-291.411784993373i</v>
      </c>
      <c r="P153" s="582" t="str">
        <f t="shared" si="119"/>
        <v>-76.9377485576667-34.8355445862505i</v>
      </c>
      <c r="Q153" s="583" t="str">
        <f t="shared" si="120"/>
        <v>-77.6589743770395-31.9214267363168i</v>
      </c>
      <c r="R153" s="581" t="str">
        <f t="shared" si="141"/>
        <v>9.61806669825979-34.446435411253i</v>
      </c>
      <c r="S153" s="253" t="str">
        <f t="shared" si="142"/>
        <v>50.8144179686719+2.11800032684829i</v>
      </c>
      <c r="T153" s="253" t="str">
        <f t="shared" si="143"/>
        <v>19.0929045067376-1.07776578804214i</v>
      </c>
      <c r="U153" s="253" t="str">
        <f t="shared" si="144"/>
        <v>0.485970881502428-5.32644442732293i</v>
      </c>
      <c r="V153" s="582" t="str">
        <f t="shared" si="121"/>
        <v>6000</v>
      </c>
      <c r="W153" s="584" t="str">
        <f t="shared" si="122"/>
        <v>1+30475.682061596i</v>
      </c>
      <c r="X153" s="585">
        <f t="shared" si="123"/>
        <v>30475.682078002523</v>
      </c>
      <c r="Y153" s="586">
        <f t="shared" si="124"/>
        <v>1.5707635137475096</v>
      </c>
      <c r="Z153" s="273" t="str">
        <f t="shared" si="125"/>
        <v>1+4.57066670923301i</v>
      </c>
      <c r="AA153" s="585">
        <f t="shared" si="126"/>
        <v>4.6787812694002824</v>
      </c>
      <c r="AB153" s="586">
        <f t="shared" si="127"/>
        <v>1.3554038300925693</v>
      </c>
      <c r="AC153" s="584" t="str">
        <f t="shared" si="128"/>
        <v>1+0.220970972546812i</v>
      </c>
      <c r="AD153" s="585">
        <f t="shared" si="129"/>
        <v>1.0241231228266863</v>
      </c>
      <c r="AE153" s="586">
        <f t="shared" si="130"/>
        <v>0.21747626307579529</v>
      </c>
      <c r="AF153" s="580" t="str">
        <f t="shared" si="145"/>
        <v>0.81650516464155-0.377272697188043i</v>
      </c>
      <c r="AG153" s="270">
        <f t="shared" si="146"/>
        <v>0.89945281806766575</v>
      </c>
      <c r="AH153" s="581">
        <f t="shared" si="147"/>
        <v>-0.43283594673073728</v>
      </c>
      <c r="AI153" s="582" t="str">
        <f t="shared" si="131"/>
        <v>4000</v>
      </c>
      <c r="AJ153" s="584" t="str">
        <f t="shared" si="148"/>
        <v>1+2394.24254801172i</v>
      </c>
      <c r="AK153" s="585">
        <f t="shared" si="149"/>
        <v>2394.2427568460248</v>
      </c>
      <c r="AL153" s="586">
        <f t="shared" si="150"/>
        <v>1.5703786581912369</v>
      </c>
      <c r="AM153" s="273" t="str">
        <f t="shared" si="151"/>
        <v>1+0.0837955563359386i</v>
      </c>
      <c r="AN153" s="585">
        <f t="shared" si="152"/>
        <v>1.0035047061482321</v>
      </c>
      <c r="AO153" s="586">
        <f t="shared" si="153"/>
        <v>8.3600249555187384E-2</v>
      </c>
      <c r="AP153" s="584" t="str">
        <f t="shared" si="154"/>
        <v>1+0.000606241588889244i</v>
      </c>
      <c r="AQ153" s="585">
        <f t="shared" si="155"/>
        <v>1.000000183764415</v>
      </c>
      <c r="AR153" s="586">
        <f t="shared" si="156"/>
        <v>6.0624151461883288E-4</v>
      </c>
      <c r="AS153" s="580" t="str">
        <f t="shared" si="157"/>
        <v>0.13968001587671-1.67070042862667i</v>
      </c>
      <c r="AT153" s="270">
        <f t="shared" si="158"/>
        <v>1.6765292807012517</v>
      </c>
      <c r="AU153" s="581">
        <f t="shared" si="159"/>
        <v>-1.4873846501506685</v>
      </c>
      <c r="AV153" s="580" t="str">
        <f t="shared" si="160"/>
        <v>0.00866273440592452-0.320490660855197i</v>
      </c>
      <c r="AW153" s="270">
        <f t="shared" si="161"/>
        <v>-9.8805206334560776</v>
      </c>
      <c r="AX153" s="581">
        <f t="shared" si="162"/>
        <v>-88.451694981130416</v>
      </c>
      <c r="AY153" s="299">
        <f t="shared" si="132"/>
        <v>91.548305018869584</v>
      </c>
      <c r="BB153" s="270">
        <f t="shared" si="165"/>
        <v>-35.511777143707903</v>
      </c>
      <c r="BC153" s="270">
        <f t="shared" si="166"/>
        <v>-85.220862966175787</v>
      </c>
      <c r="BD153" s="286"/>
      <c r="BE153" s="270">
        <f t="shared" si="163"/>
        <v>25.631256510251823</v>
      </c>
      <c r="BF153" s="581">
        <f t="shared" si="164"/>
        <v>-3.2308320149546428</v>
      </c>
      <c r="BI153" s="286"/>
      <c r="BJ153" s="286"/>
      <c r="BL153" s="253">
        <f t="shared" si="133"/>
        <v>0</v>
      </c>
      <c r="BM153" s="253">
        <f t="shared" si="113"/>
        <v>0</v>
      </c>
      <c r="BN153" s="253">
        <f t="shared" si="134"/>
        <v>0</v>
      </c>
      <c r="BO153" s="253">
        <f t="shared" si="135"/>
        <v>0</v>
      </c>
    </row>
    <row r="154" spans="4:67" ht="13.6" thickBot="1" x14ac:dyDescent="0.25">
      <c r="D154" s="280">
        <v>8709.6</v>
      </c>
      <c r="E154" s="273" t="str">
        <f t="shared" si="114"/>
        <v>0.0985032553525404i</v>
      </c>
      <c r="F154" s="579" t="str">
        <f t="shared" si="136"/>
        <v>0.002-0.281130888448282i</v>
      </c>
      <c r="G154" s="270" t="str">
        <f t="shared" si="137"/>
        <v>0.002-0.281130888448282i</v>
      </c>
      <c r="H154" s="271" t="str">
        <f t="shared" si="138"/>
        <v>0.0406350832695376-0.275143856061353i</v>
      </c>
      <c r="I154" s="271" t="str">
        <f t="shared" si="139"/>
        <v>0.0506350832695376-0.275143856061353i</v>
      </c>
      <c r="J154" s="270" t="str">
        <f t="shared" si="140"/>
        <v>0.013319989072215-0.140130872455401i</v>
      </c>
      <c r="K154" s="271" t="str">
        <f t="shared" si="115"/>
        <v>0.998084464226661-0.0687487823510193i</v>
      </c>
      <c r="L154" s="580"/>
      <c r="M154" s="580" t="str">
        <f t="shared" si="116"/>
        <v>240.379123492862-724.889333989546i</v>
      </c>
      <c r="N154" s="270" t="str">
        <f t="shared" si="117"/>
        <v>173.61767595298-543.66700049216i</v>
      </c>
      <c r="O154" s="581" t="str">
        <f t="shared" si="118"/>
        <v>63.193205150806-280.11433679055i</v>
      </c>
      <c r="P154" s="582" t="str">
        <f t="shared" si="119"/>
        <v>-73.8719455577402-31.5708349104497i</v>
      </c>
      <c r="Q154" s="583" t="str">
        <f t="shared" si="120"/>
        <v>-74.5038776092485-28.7696915425442i</v>
      </c>
      <c r="R154" s="581" t="str">
        <f t="shared" si="141"/>
        <v>8.51098466625602-33.1346889813785i</v>
      </c>
      <c r="S154" s="253" t="str">
        <f t="shared" si="142"/>
        <v>50.8267827735925+2.06836700314217i</v>
      </c>
      <c r="T154" s="253" t="str">
        <f t="shared" si="143"/>
        <v>19.0949616366062-1.10188347599144i</v>
      </c>
      <c r="U154" s="253" t="str">
        <f t="shared" si="144"/>
        <v>0.472748887617548-5.29863650283969i</v>
      </c>
      <c r="V154" s="582" t="str">
        <f t="shared" si="121"/>
        <v>6000</v>
      </c>
      <c r="W154" s="584" t="str">
        <f t="shared" si="122"/>
        <v>1+30650.0540393735i</v>
      </c>
      <c r="X154" s="585">
        <f t="shared" si="123"/>
        <v>30650.054055686684</v>
      </c>
      <c r="Y154" s="586">
        <f t="shared" si="124"/>
        <v>1.5707637004250259</v>
      </c>
      <c r="Z154" s="273" t="str">
        <f t="shared" si="125"/>
        <v>1+4.59681858311855i</v>
      </c>
      <c r="AA154" s="585">
        <f t="shared" si="126"/>
        <v>4.7043321615404707</v>
      </c>
      <c r="AB154" s="586">
        <f t="shared" si="127"/>
        <v>1.3565919826144961</v>
      </c>
      <c r="AC154" s="584" t="str">
        <f t="shared" si="128"/>
        <v>1+0.222235296850908i</v>
      </c>
      <c r="AD154" s="585">
        <f t="shared" si="129"/>
        <v>1.024396664952796</v>
      </c>
      <c r="AE154" s="586">
        <f t="shared" si="130"/>
        <v>0.21868140519148641</v>
      </c>
      <c r="AF154" s="580" t="str">
        <f t="shared" si="145"/>
        <v>0.8160690942861-0.377088217175768i</v>
      </c>
      <c r="AG154" s="270">
        <f t="shared" si="146"/>
        <v>0.89897958273908229</v>
      </c>
      <c r="AH154" s="581">
        <f t="shared" si="147"/>
        <v>-0.4328531230020175</v>
      </c>
      <c r="AI154" s="582" t="str">
        <f t="shared" si="131"/>
        <v>4000</v>
      </c>
      <c r="AJ154" s="584" t="str">
        <f t="shared" si="148"/>
        <v>1+2407.94162806945i</v>
      </c>
      <c r="AK154" s="585">
        <f t="shared" si="149"/>
        <v>2407.9418357156705</v>
      </c>
      <c r="AL154" s="586">
        <f t="shared" si="150"/>
        <v>1.5703810343597089</v>
      </c>
      <c r="AM154" s="273" t="str">
        <f t="shared" si="151"/>
        <v>1+0.0842750073571735i</v>
      </c>
      <c r="AN154" s="585">
        <f t="shared" si="152"/>
        <v>1.0035448554325073</v>
      </c>
      <c r="AO154" s="586">
        <f t="shared" si="153"/>
        <v>8.4076338461695432E-2</v>
      </c>
      <c r="AP154" s="584" t="str">
        <f t="shared" si="154"/>
        <v>1+0.000609710306821526i</v>
      </c>
      <c r="AQ154" s="585">
        <f t="shared" si="155"/>
        <v>1.0000001858733119</v>
      </c>
      <c r="AR154" s="586">
        <f t="shared" si="156"/>
        <v>6.0971023126895317E-4</v>
      </c>
      <c r="AS154" s="580" t="str">
        <f t="shared" si="157"/>
        <v>0.139672098543472-1.6611965703705i</v>
      </c>
      <c r="AT154" s="270">
        <f t="shared" si="158"/>
        <v>1.6670579895499285</v>
      </c>
      <c r="AU154" s="581">
        <f t="shared" si="159"/>
        <v>-1.4869144061292825</v>
      </c>
      <c r="AV154" s="580" t="str">
        <f t="shared" si="160"/>
        <v>0.00836588312126973-0.318743871595286i</v>
      </c>
      <c r="AW154" s="270">
        <f t="shared" si="161"/>
        <v>-9.9281724183740785</v>
      </c>
      <c r="AX154" s="581">
        <f t="shared" si="162"/>
        <v>-88.496536507981659</v>
      </c>
      <c r="AY154" s="299">
        <f t="shared" si="132"/>
        <v>91.503463492018341</v>
      </c>
      <c r="BB154" s="270">
        <f t="shared" si="165"/>
        <v>-35.560985854627567</v>
      </c>
      <c r="BC154" s="270">
        <f t="shared" si="166"/>
        <v>-85.193919968409119</v>
      </c>
      <c r="BD154" s="286"/>
      <c r="BE154" s="270">
        <f t="shared" si="163"/>
        <v>25.632813436253482</v>
      </c>
      <c r="BF154" s="581">
        <f t="shared" si="164"/>
        <v>-3.3026165395725462</v>
      </c>
      <c r="BI154" s="286"/>
      <c r="BJ154" s="286"/>
      <c r="BL154" s="253">
        <f t="shared" si="133"/>
        <v>0</v>
      </c>
      <c r="BM154" s="253">
        <f t="shared" ref="BM154:BM217" si="167">IF(BL154&gt;0,AY154,0)</f>
        <v>0</v>
      </c>
      <c r="BN154" s="253">
        <f t="shared" si="134"/>
        <v>0</v>
      </c>
      <c r="BO154" s="253">
        <f t="shared" si="135"/>
        <v>0</v>
      </c>
    </row>
    <row r="155" spans="4:67" ht="13.6" thickBot="1" x14ac:dyDescent="0.25">
      <c r="D155" s="280">
        <v>8760.3250000000007</v>
      </c>
      <c r="E155" s="273" t="str">
        <f t="shared" si="114"/>
        <v>0.0990769415870124i</v>
      </c>
      <c r="F155" s="579" t="str">
        <f t="shared" si="136"/>
        <v>0.002-0.279503053371782i</v>
      </c>
      <c r="G155" s="270" t="str">
        <f t="shared" si="137"/>
        <v>0.002-0.279503053371782i</v>
      </c>
      <c r="H155" s="271" t="str">
        <f t="shared" si="138"/>
        <v>0.0401974670930495-0.27361178419243i</v>
      </c>
      <c r="I155" s="271" t="str">
        <f t="shared" si="139"/>
        <v>0.0501974670930495-0.27361178419243i</v>
      </c>
      <c r="J155" s="270" t="str">
        <f t="shared" si="140"/>
        <v>0.0132070356499197-0.139327862427639i</v>
      </c>
      <c r="K155" s="271" t="str">
        <f t="shared" si="115"/>
        <v>0.998062086964834-0.0691491775453744i</v>
      </c>
      <c r="L155" s="580"/>
      <c r="M155" s="580" t="str">
        <f t="shared" si="116"/>
        <v>216.84797339519-698.143807950456i</v>
      </c>
      <c r="N155" s="270" t="str">
        <f t="shared" si="117"/>
        <v>155.969313379725-523.607855962842i</v>
      </c>
      <c r="O155" s="581" t="str">
        <f t="shared" si="118"/>
        <v>55.2997257304587-269.24709189543i</v>
      </c>
      <c r="P155" s="582" t="str">
        <f t="shared" si="119"/>
        <v>-70.8932710395223-28.6461786577829i</v>
      </c>
      <c r="Q155" s="583" t="str">
        <f t="shared" si="120"/>
        <v>-71.446268296827-25.9537077388287i</v>
      </c>
      <c r="R155" s="581" t="str">
        <f t="shared" si="141"/>
        <v>7.52899105795342-31.8702058358572i</v>
      </c>
      <c r="S155" s="253" t="str">
        <f t="shared" si="142"/>
        <v>50.8392008032115+2.01784762323654i</v>
      </c>
      <c r="T155" s="253" t="str">
        <f t="shared" si="143"/>
        <v>19.096988366124-1.12648676529329i</v>
      </c>
      <c r="U155" s="253" t="str">
        <f t="shared" si="144"/>
        <v>0.459430507702567-5.27044297423589i</v>
      </c>
      <c r="V155" s="582" t="str">
        <f t="shared" si="121"/>
        <v>6000</v>
      </c>
      <c r="W155" s="584" t="str">
        <f t="shared" si="122"/>
        <v>1+30828.5609732335i</v>
      </c>
      <c r="X155" s="585">
        <f t="shared" si="123"/>
        <v>30828.560989452224</v>
      </c>
      <c r="Y155" s="586">
        <f t="shared" si="124"/>
        <v>1.570763889341831</v>
      </c>
      <c r="Z155" s="273" t="str">
        <f t="shared" si="125"/>
        <v>1+4.62359060739391i</v>
      </c>
      <c r="AA155" s="585">
        <f t="shared" si="126"/>
        <v>4.7304957567660066</v>
      </c>
      <c r="AB155" s="586">
        <f t="shared" si="127"/>
        <v>1.3577950132280605</v>
      </c>
      <c r="AC155" s="584" t="str">
        <f t="shared" si="128"/>
        <v>1+0.22352960260924i</v>
      </c>
      <c r="AD155" s="585">
        <f t="shared" si="129"/>
        <v>1.0246782340045313</v>
      </c>
      <c r="AE155" s="586">
        <f t="shared" si="130"/>
        <v>0.21991445700530549</v>
      </c>
      <c r="AF155" s="580" t="str">
        <f t="shared" si="145"/>
        <v>0.815620594054938-0.376910876196757i</v>
      </c>
      <c r="AG155" s="270">
        <f t="shared" si="146"/>
        <v>0.8984980590084416</v>
      </c>
      <c r="AH155" s="581">
        <f t="shared" si="147"/>
        <v>-0.43288333311907706</v>
      </c>
      <c r="AI155" s="582" t="str">
        <f t="shared" si="131"/>
        <v>4000</v>
      </c>
      <c r="AJ155" s="584" t="str">
        <f t="shared" si="148"/>
        <v>1+2421.965560177i</v>
      </c>
      <c r="AK155" s="585">
        <f t="shared" si="149"/>
        <v>2421.965766620885</v>
      </c>
      <c r="AL155" s="586">
        <f t="shared" si="150"/>
        <v>1.5703834390314961</v>
      </c>
      <c r="AM155" s="273" t="str">
        <f t="shared" si="151"/>
        <v>1+0.0847658278022218i</v>
      </c>
      <c r="AN155" s="585">
        <f t="shared" si="152"/>
        <v>1.0035861923935561</v>
      </c>
      <c r="AO155" s="586">
        <f t="shared" si="153"/>
        <v>8.4563677492919029E-2</v>
      </c>
      <c r="AP155" s="584" t="str">
        <f t="shared" si="154"/>
        <v>1+0.000613261279921728i</v>
      </c>
      <c r="AQ155" s="585">
        <f t="shared" si="155"/>
        <v>1.0000001880446809</v>
      </c>
      <c r="AR155" s="586">
        <f t="shared" si="156"/>
        <v>6.1326120304139027E-4</v>
      </c>
      <c r="AS155" s="580" t="str">
        <f t="shared" si="157"/>
        <v>0.13966413221137-1.65157871424912i</v>
      </c>
      <c r="AT155" s="270">
        <f t="shared" si="158"/>
        <v>1.6574734746556674</v>
      </c>
      <c r="AU155" s="581">
        <f t="shared" si="159"/>
        <v>-1.4864330227416185</v>
      </c>
      <c r="AV155" s="580" t="str">
        <f t="shared" si="160"/>
        <v>0.00806682744563595-0.316975092882758i</v>
      </c>
      <c r="AW155" s="270">
        <f t="shared" si="161"/>
        <v>-9.9766853503648729</v>
      </c>
      <c r="AX155" s="581">
        <f t="shared" si="162"/>
        <v>-88.542171192074079</v>
      </c>
      <c r="AY155" s="299">
        <f t="shared" si="132"/>
        <v>91.457828807925921</v>
      </c>
      <c r="BB155" s="270">
        <f t="shared" si="165"/>
        <v>-35.611068261816449</v>
      </c>
      <c r="BC155" s="270">
        <f t="shared" si="166"/>
        <v>-85.166338731968253</v>
      </c>
      <c r="BD155" s="286"/>
      <c r="BE155" s="270">
        <f t="shared" si="163"/>
        <v>25.634382911451567</v>
      </c>
      <c r="BF155" s="581">
        <f t="shared" si="164"/>
        <v>-3.3758324601058112</v>
      </c>
      <c r="BI155" s="286"/>
      <c r="BJ155" s="286"/>
      <c r="BL155" s="253">
        <f t="shared" si="133"/>
        <v>0</v>
      </c>
      <c r="BM155" s="253">
        <f t="shared" si="167"/>
        <v>0</v>
      </c>
      <c r="BN155" s="253">
        <f t="shared" si="134"/>
        <v>0</v>
      </c>
      <c r="BO155" s="253">
        <f t="shared" si="135"/>
        <v>0</v>
      </c>
    </row>
    <row r="156" spans="4:67" ht="13.6" thickBot="1" x14ac:dyDescent="0.25">
      <c r="D156" s="280">
        <v>8811.0499999999993</v>
      </c>
      <c r="E156" s="273" t="str">
        <f t="shared" si="114"/>
        <v>0.0996506278214844i</v>
      </c>
      <c r="F156" s="579" t="str">
        <f t="shared" si="136"/>
        <v>0.002-0.277893961108967i</v>
      </c>
      <c r="G156" s="270" t="str">
        <f t="shared" si="137"/>
        <v>0.002-0.277893961108967i</v>
      </c>
      <c r="H156" s="271" t="str">
        <f t="shared" si="138"/>
        <v>0.0397671966759549-0.272096332872854i</v>
      </c>
      <c r="I156" s="271" t="str">
        <f t="shared" si="139"/>
        <v>0.0497671966759549-0.272096332872854i</v>
      </c>
      <c r="J156" s="270" t="str">
        <f t="shared" si="140"/>
        <v>0.0130960146722449-0.138533967149677i</v>
      </c>
      <c r="K156" s="271" t="str">
        <f t="shared" si="115"/>
        <v>0.998039579755499-0.0695495727397295i</v>
      </c>
      <c r="L156" s="580"/>
      <c r="M156" s="580" t="str">
        <f t="shared" si="116"/>
        <v>196.289768492808-672.926458409429i</v>
      </c>
      <c r="N156" s="270" t="str">
        <f t="shared" si="117"/>
        <v>140.550659702939-504.694843807072i</v>
      </c>
      <c r="O156" s="581" t="str">
        <f t="shared" si="118"/>
        <v>48.4678432364066-259.05837595636i</v>
      </c>
      <c r="P156" s="582" t="str">
        <f t="shared" si="119"/>
        <v>-68.0767254109169-26.0805315536561i</v>
      </c>
      <c r="Q156" s="583" t="str">
        <f t="shared" si="120"/>
        <v>-68.5614038432812-23.4899477940926i</v>
      </c>
      <c r="R156" s="581" t="str">
        <f t="shared" si="141"/>
        <v>6.67609624517784-30.6824766184221i</v>
      </c>
      <c r="S156" s="253" t="str">
        <f t="shared" si="142"/>
        <v>50.8513809069465+1.9676186376442i</v>
      </c>
      <c r="T156" s="253" t="str">
        <f t="shared" si="143"/>
        <v>19.0989364097284-1.15100387229971i</v>
      </c>
      <c r="U156" s="253" t="str">
        <f t="shared" si="144"/>
        <v>0.446327227732018-5.24252275622344i</v>
      </c>
      <c r="V156" s="582" t="str">
        <f t="shared" si="121"/>
        <v>6000</v>
      </c>
      <c r="W156" s="584" t="str">
        <f t="shared" si="122"/>
        <v>1+31007.0679070936i</v>
      </c>
      <c r="X156" s="585">
        <f t="shared" si="123"/>
        <v>31007.067923218954</v>
      </c>
      <c r="Y156" s="586">
        <f t="shared" si="124"/>
        <v>1.5707640760834571</v>
      </c>
      <c r="Z156" s="273" t="str">
        <f t="shared" si="125"/>
        <v>1+4.65036263166928i</v>
      </c>
      <c r="AA156" s="585">
        <f t="shared" si="126"/>
        <v>4.7566661230347069</v>
      </c>
      <c r="AB156" s="586">
        <f t="shared" si="127"/>
        <v>1.3589848078090656</v>
      </c>
      <c r="AC156" s="584" t="str">
        <f t="shared" si="128"/>
        <v>1+0.224823908367571i</v>
      </c>
      <c r="AD156" s="585">
        <f t="shared" si="129"/>
        <v>1.024961360136893</v>
      </c>
      <c r="AE156" s="586">
        <f t="shared" si="130"/>
        <v>0.22114682947763747</v>
      </c>
      <c r="AF156" s="580" t="str">
        <f t="shared" si="145"/>
        <v>0.81516998787321-0.37674494987269i</v>
      </c>
      <c r="AG156" s="270">
        <f t="shared" si="146"/>
        <v>0.898019413144162</v>
      </c>
      <c r="AH156" s="581">
        <f t="shared" si="147"/>
        <v>-0.43292609775202773</v>
      </c>
      <c r="AI156" s="582" t="str">
        <f t="shared" si="131"/>
        <v>4000</v>
      </c>
      <c r="AJ156" s="584" t="str">
        <f t="shared" si="148"/>
        <v>1+2435.98949228454i</v>
      </c>
      <c r="AK156" s="585">
        <f t="shared" si="149"/>
        <v>2435.9896975399324</v>
      </c>
      <c r="AL156" s="586">
        <f t="shared" si="150"/>
        <v>1.5703858160160142</v>
      </c>
      <c r="AM156" s="273" t="str">
        <f t="shared" si="151"/>
        <v>1+0.0852566482472701i</v>
      </c>
      <c r="AN156" s="585">
        <f t="shared" si="152"/>
        <v>1.0036277676859877</v>
      </c>
      <c r="AO156" s="586">
        <f t="shared" si="153"/>
        <v>8.5050976263817232E-2</v>
      </c>
      <c r="AP156" s="584" t="str">
        <f t="shared" si="154"/>
        <v>1+0.000616812253021931i</v>
      </c>
      <c r="AQ156" s="585">
        <f t="shared" si="155"/>
        <v>1.0000001902286597</v>
      </c>
      <c r="AR156" s="586">
        <f t="shared" si="156"/>
        <v>6.1681217479836264E-4</v>
      </c>
      <c r="AS156" s="580" t="str">
        <f t="shared" si="157"/>
        <v>0.139656303054854-1.64207160328014i</v>
      </c>
      <c r="AT156" s="270">
        <f t="shared" si="158"/>
        <v>1.6479997066995973</v>
      </c>
      <c r="AU156" s="581">
        <f t="shared" si="159"/>
        <v>-1.4859516519269955</v>
      </c>
      <c r="AV156" s="580" t="str">
        <f t="shared" si="160"/>
        <v>0.0077725607729358-0.315225660768754i</v>
      </c>
      <c r="AW156" s="270">
        <f t="shared" si="161"/>
        <v>-10.024929128946013</v>
      </c>
      <c r="AX156" s="581">
        <f t="shared" si="162"/>
        <v>-88.587536593913029</v>
      </c>
      <c r="AY156" s="299">
        <f t="shared" si="132"/>
        <v>91.412463406086971</v>
      </c>
      <c r="BB156" s="270">
        <f t="shared" si="165"/>
        <v>-35.660857398636772</v>
      </c>
      <c r="BC156" s="270">
        <f t="shared" si="166"/>
        <v>-85.13875821590959</v>
      </c>
      <c r="BD156" s="286"/>
      <c r="BE156" s="270">
        <f t="shared" si="163"/>
        <v>25.635928269690744</v>
      </c>
      <c r="BF156" s="581">
        <f t="shared" si="164"/>
        <v>-3.4487783780034396</v>
      </c>
      <c r="BI156" s="286"/>
      <c r="BJ156" s="286"/>
      <c r="BL156" s="253">
        <f t="shared" si="133"/>
        <v>0</v>
      </c>
      <c r="BM156" s="253">
        <f t="shared" si="167"/>
        <v>0</v>
      </c>
      <c r="BN156" s="253">
        <f t="shared" si="134"/>
        <v>0</v>
      </c>
      <c r="BO156" s="253">
        <f t="shared" si="135"/>
        <v>0</v>
      </c>
    </row>
    <row r="157" spans="4:67" ht="13.6" thickBot="1" x14ac:dyDescent="0.25">
      <c r="D157" s="280">
        <v>8861.7749999999996</v>
      </c>
      <c r="E157" s="273" t="str">
        <f t="shared" si="114"/>
        <v>0.100224314055956i</v>
      </c>
      <c r="F157" s="579" t="str">
        <f t="shared" si="136"/>
        <v>0.002-0.27630328980697i</v>
      </c>
      <c r="G157" s="270" t="str">
        <f t="shared" si="137"/>
        <v>0.002-0.27630328980697i</v>
      </c>
      <c r="H157" s="271" t="str">
        <f t="shared" si="138"/>
        <v>0.0393441095800987-0.270597239112104i</v>
      </c>
      <c r="I157" s="271" t="str">
        <f t="shared" si="139"/>
        <v>0.0493441095800987-0.270597239112104i</v>
      </c>
      <c r="J157" s="270" t="str">
        <f t="shared" si="140"/>
        <v>0.012986882369176-0.137749033120448i</v>
      </c>
      <c r="K157" s="271" t="str">
        <f t="shared" si="115"/>
        <v>0.998016942598656-0.0699499679340846i</v>
      </c>
      <c r="L157" s="580"/>
      <c r="M157" s="580" t="str">
        <f t="shared" si="116"/>
        <v>178.255744991773-649.183863626327i</v>
      </c>
      <c r="N157" s="270" t="str">
        <f t="shared" si="117"/>
        <v>127.025142077163-486.887897719745i</v>
      </c>
      <c r="O157" s="581" t="str">
        <f t="shared" si="118"/>
        <v>42.5310517827477-249.512277627533i</v>
      </c>
      <c r="P157" s="582" t="str">
        <f t="shared" si="119"/>
        <v>-65.4186765708585-23.8207463577785i</v>
      </c>
      <c r="Q157" s="583" t="str">
        <f t="shared" si="120"/>
        <v>-65.8439870886859-21.3256235815031i</v>
      </c>
      <c r="R157" s="581" t="str">
        <f t="shared" si="141"/>
        <v>5.93232317358668-29.5678642956722i</v>
      </c>
      <c r="S157" s="253" t="str">
        <f t="shared" si="142"/>
        <v>50.8633278703613+1.91767614371581i</v>
      </c>
      <c r="T157" s="253" t="str">
        <f t="shared" si="143"/>
        <v>19.1008071656625-1.17543592831948i</v>
      </c>
      <c r="U157" s="253" t="str">
        <f t="shared" si="144"/>
        <v>0.433434533237731-5.21487216380916i</v>
      </c>
      <c r="V157" s="582" t="str">
        <f t="shared" si="121"/>
        <v>6000</v>
      </c>
      <c r="W157" s="584" t="str">
        <f t="shared" si="122"/>
        <v>1+31185.5748409536i</v>
      </c>
      <c r="X157" s="585">
        <f t="shared" si="123"/>
        <v>31185.574856986652</v>
      </c>
      <c r="Y157" s="586">
        <f t="shared" si="124"/>
        <v>1.5707642606872569</v>
      </c>
      <c r="Z157" s="273" t="str">
        <f t="shared" si="125"/>
        <v>1+4.67713465594464i</v>
      </c>
      <c r="AA157" s="585">
        <f t="shared" si="126"/>
        <v>4.7828431491988512</v>
      </c>
      <c r="AB157" s="586">
        <f t="shared" si="127"/>
        <v>1.360161580287774</v>
      </c>
      <c r="AC157" s="584" t="str">
        <f t="shared" si="128"/>
        <v>1+0.226118214125903i</v>
      </c>
      <c r="AD157" s="585">
        <f t="shared" si="129"/>
        <v>1.0252460420598988</v>
      </c>
      <c r="AE157" s="586">
        <f t="shared" si="130"/>
        <v>0.22237851942953901</v>
      </c>
      <c r="AF157" s="580" t="str">
        <f t="shared" si="145"/>
        <v>0.814717283510178-0.376590207702815i</v>
      </c>
      <c r="AG157" s="270">
        <f t="shared" si="146"/>
        <v>0.89754355693072252</v>
      </c>
      <c r="AH157" s="581">
        <f t="shared" si="147"/>
        <v>-0.43298119982902172</v>
      </c>
      <c r="AI157" s="582" t="str">
        <f t="shared" si="131"/>
        <v>4000</v>
      </c>
      <c r="AJ157" s="584" t="str">
        <f t="shared" si="148"/>
        <v>1+2450.01342439207i</v>
      </c>
      <c r="AK157" s="585">
        <f t="shared" si="149"/>
        <v>2450.0136284725759</v>
      </c>
      <c r="AL157" s="586">
        <f t="shared" si="150"/>
        <v>1.5703881657887109</v>
      </c>
      <c r="AM157" s="273" t="str">
        <f t="shared" si="151"/>
        <v>1+0.0857474686923184i</v>
      </c>
      <c r="AN157" s="585">
        <f t="shared" si="152"/>
        <v>1.0036695812801841</v>
      </c>
      <c r="AO157" s="586">
        <f t="shared" si="153"/>
        <v>8.5538234547979639E-2</v>
      </c>
      <c r="AP157" s="584" t="str">
        <f t="shared" si="154"/>
        <v>1+0.000620363226122133i</v>
      </c>
      <c r="AQ157" s="585">
        <f t="shared" si="155"/>
        <v>1.0000001924252477</v>
      </c>
      <c r="AR157" s="586">
        <f t="shared" si="156"/>
        <v>6.2036314653977876E-4</v>
      </c>
      <c r="AS157" s="580" t="str">
        <f t="shared" si="157"/>
        <v>0.139648607942067-1.63267333574158i</v>
      </c>
      <c r="AT157" s="270">
        <f t="shared" si="158"/>
        <v>1.6386347838800732</v>
      </c>
      <c r="AU157" s="581">
        <f t="shared" si="159"/>
        <v>-1.4854702943872709</v>
      </c>
      <c r="AV157" s="580" t="str">
        <f t="shared" si="160"/>
        <v>0.0074829823321476-0.313495265416338i</v>
      </c>
      <c r="AW157" s="270">
        <f t="shared" si="161"/>
        <v>-10.072906568888932</v>
      </c>
      <c r="AX157" s="581">
        <f t="shared" si="162"/>
        <v>-88.632636741830325</v>
      </c>
      <c r="AY157" s="299">
        <f t="shared" si="132"/>
        <v>91.367363258169675</v>
      </c>
      <c r="BB157" s="270">
        <f t="shared" si="165"/>
        <v>-35.710356609124318</v>
      </c>
      <c r="BC157" s="270">
        <f t="shared" si="166"/>
        <v>-85.111178460446567</v>
      </c>
      <c r="BD157" s="286"/>
      <c r="BE157" s="270">
        <f t="shared" si="163"/>
        <v>25.637450040235379</v>
      </c>
      <c r="BF157" s="581">
        <f t="shared" si="164"/>
        <v>-3.5214582813837665</v>
      </c>
      <c r="BI157" s="286"/>
      <c r="BJ157" s="286"/>
      <c r="BL157" s="253">
        <f t="shared" si="133"/>
        <v>0</v>
      </c>
      <c r="BM157" s="253">
        <f t="shared" si="167"/>
        <v>0</v>
      </c>
      <c r="BN157" s="253">
        <f t="shared" si="134"/>
        <v>0</v>
      </c>
      <c r="BO157" s="253">
        <f t="shared" si="135"/>
        <v>0</v>
      </c>
    </row>
    <row r="158" spans="4:67" ht="13.6" thickBot="1" x14ac:dyDescent="0.25">
      <c r="D158" s="280">
        <v>8912.5</v>
      </c>
      <c r="E158" s="273" t="str">
        <f t="shared" si="114"/>
        <v>0.100798000290429i</v>
      </c>
      <c r="F158" s="579" t="str">
        <f t="shared" si="136"/>
        <v>0.002-0.274730724940158i</v>
      </c>
      <c r="G158" s="270" t="str">
        <f t="shared" si="137"/>
        <v>0.002-0.274730724940158i</v>
      </c>
      <c r="H158" s="271" t="str">
        <f t="shared" si="138"/>
        <v>0.0389280478034304-0.269114245298089i</v>
      </c>
      <c r="I158" s="271" t="str">
        <f t="shared" si="139"/>
        <v>0.0489280478034304-0.269114245298089i</v>
      </c>
      <c r="J158" s="270" t="str">
        <f t="shared" si="140"/>
        <v>0.0128795962009711-0.136972910249109i</v>
      </c>
      <c r="K158" s="271" t="str">
        <f t="shared" si="115"/>
        <v>0.997994175494306-0.0703503631284398i</v>
      </c>
      <c r="L158" s="580"/>
      <c r="M158" s="580" t="str">
        <f t="shared" si="116"/>
        <v>162.373377726268-626.845345512998i</v>
      </c>
      <c r="N158" s="270" t="str">
        <f t="shared" si="117"/>
        <v>115.113366628034-470.134009134749i</v>
      </c>
      <c r="O158" s="581" t="str">
        <f t="shared" si="118"/>
        <v>37.3520633328766-240.569105612974i</v>
      </c>
      <c r="P158" s="582" t="str">
        <f t="shared" si="119"/>
        <v>-62.9130097587643-21.8225490336137i</v>
      </c>
      <c r="Q158" s="583" t="str">
        <f t="shared" si="120"/>
        <v>-63.2865303920928-19.4168579774839i</v>
      </c>
      <c r="R158" s="581" t="str">
        <f t="shared" si="141"/>
        <v>5.28116143977995-28.5221688612258i</v>
      </c>
      <c r="S158" s="253" t="str">
        <f t="shared" si="142"/>
        <v>50.8750463563648+1.86801630050571i</v>
      </c>
      <c r="T158" s="253" t="str">
        <f t="shared" si="143"/>
        <v>19.1026019963667-1.19978404664715i</v>
      </c>
      <c r="U158" s="253" t="str">
        <f t="shared" si="144"/>
        <v>0.420748025450335-5.18748757020364i</v>
      </c>
      <c r="V158" s="582" t="str">
        <f t="shared" si="121"/>
        <v>6000</v>
      </c>
      <c r="W158" s="584" t="str">
        <f t="shared" si="122"/>
        <v>1+31364.0817748136i</v>
      </c>
      <c r="X158" s="585">
        <f t="shared" si="123"/>
        <v>31364.081790755401</v>
      </c>
      <c r="Y158" s="586">
        <f t="shared" si="124"/>
        <v>1.5707644431897319</v>
      </c>
      <c r="Z158" s="273" t="str">
        <f t="shared" si="125"/>
        <v>1+4.70390668022i</v>
      </c>
      <c r="AA158" s="585">
        <f t="shared" si="126"/>
        <v>4.8090267265028119</v>
      </c>
      <c r="AB158" s="586">
        <f t="shared" si="127"/>
        <v>1.3613255400813775</v>
      </c>
      <c r="AC158" s="584" t="str">
        <f t="shared" si="128"/>
        <v>1+0.227412519884234i</v>
      </c>
      <c r="AD158" s="585">
        <f t="shared" si="129"/>
        <v>1.0255322784779117</v>
      </c>
      <c r="AE158" s="586">
        <f t="shared" si="130"/>
        <v>0.22360952369386639</v>
      </c>
      <c r="AF158" s="580" t="str">
        <f t="shared" si="145"/>
        <v>0.814262488758804-0.376446424333341i</v>
      </c>
      <c r="AG158" s="270">
        <f t="shared" si="146"/>
        <v>0.89707040470246213</v>
      </c>
      <c r="AH158" s="581">
        <f t="shared" si="147"/>
        <v>-0.43304842680222078</v>
      </c>
      <c r="AI158" s="582" t="str">
        <f t="shared" si="131"/>
        <v>4000</v>
      </c>
      <c r="AJ158" s="584" t="str">
        <f t="shared" si="148"/>
        <v>1+2464.03735649961i</v>
      </c>
      <c r="AK158" s="585">
        <f t="shared" si="149"/>
        <v>2464.037559418603</v>
      </c>
      <c r="AL158" s="586">
        <f t="shared" si="150"/>
        <v>1.57039048881421</v>
      </c>
      <c r="AM158" s="273" t="str">
        <f t="shared" si="151"/>
        <v>1+0.0862382891373667i</v>
      </c>
      <c r="AN158" s="585">
        <f t="shared" si="152"/>
        <v>1.0037116331463634</v>
      </c>
      <c r="AO158" s="586">
        <f t="shared" si="153"/>
        <v>8.6025452119110321E-2</v>
      </c>
      <c r="AP158" s="584" t="str">
        <f t="shared" si="154"/>
        <v>1+0.000623914199222336i</v>
      </c>
      <c r="AQ158" s="585">
        <f t="shared" si="155"/>
        <v>1.000000194634445</v>
      </c>
      <c r="AR158" s="586">
        <f t="shared" si="156"/>
        <v>6.2391411826555115E-4</v>
      </c>
      <c r="AS158" s="580" t="str">
        <f t="shared" si="157"/>
        <v>0.139641043830021-1.62338205320564i</v>
      </c>
      <c r="AT158" s="270">
        <f t="shared" si="158"/>
        <v>1.6293768476911956</v>
      </c>
      <c r="AU158" s="581">
        <f t="shared" si="159"/>
        <v>-1.4849889508133653</v>
      </c>
      <c r="AV158" s="580" t="str">
        <f t="shared" si="160"/>
        <v>0.00719799393592667-0.311783603470763i</v>
      </c>
      <c r="AW158" s="270">
        <f t="shared" si="161"/>
        <v>-10.120620441738621</v>
      </c>
      <c r="AX158" s="581">
        <f t="shared" si="162"/>
        <v>-88.677475589468273</v>
      </c>
      <c r="AY158" s="299">
        <f t="shared" si="132"/>
        <v>91.322524410531727</v>
      </c>
      <c r="BB158" s="270">
        <f t="shared" si="165"/>
        <v>-35.759569180065554</v>
      </c>
      <c r="BC158" s="270">
        <f t="shared" si="166"/>
        <v>-85.083599505166035</v>
      </c>
      <c r="BD158" s="286"/>
      <c r="BE158" s="270">
        <f t="shared" si="163"/>
        <v>25.638948738326949</v>
      </c>
      <c r="BF158" s="581">
        <f t="shared" si="164"/>
        <v>-3.5938760843022441</v>
      </c>
      <c r="BI158" s="286"/>
      <c r="BJ158" s="286"/>
      <c r="BL158" s="253">
        <f t="shared" si="133"/>
        <v>0</v>
      </c>
      <c r="BM158" s="253">
        <f t="shared" si="167"/>
        <v>0</v>
      </c>
      <c r="BN158" s="253">
        <f t="shared" si="134"/>
        <v>0</v>
      </c>
      <c r="BO158" s="253">
        <f t="shared" si="135"/>
        <v>0</v>
      </c>
    </row>
    <row r="159" spans="4:67" ht="13.6" thickBot="1" x14ac:dyDescent="0.25">
      <c r="D159" s="280">
        <v>8964.4</v>
      </c>
      <c r="E159" s="273" t="str">
        <f t="shared" si="114"/>
        <v>0.101384975461825i</v>
      </c>
      <c r="F159" s="579" t="str">
        <f t="shared" si="136"/>
        <v>0.002-0.27314015282999i</v>
      </c>
      <c r="G159" s="270" t="str">
        <f t="shared" si="137"/>
        <v>0.002-0.27314015282999i</v>
      </c>
      <c r="H159" s="271" t="str">
        <f t="shared" si="138"/>
        <v>0.0385094593339591-0.267613299726324i</v>
      </c>
      <c r="I159" s="271" t="str">
        <f t="shared" si="139"/>
        <v>0.0485094593339591-0.267613299726324i</v>
      </c>
      <c r="J159" s="270" t="str">
        <f t="shared" si="140"/>
        <v>0.012771692497343-0.136187775783215i</v>
      </c>
      <c r="K159" s="271" t="str">
        <f t="shared" si="115"/>
        <v>0.997970746512462-0.070760033125227i</v>
      </c>
      <c r="L159" s="580"/>
      <c r="M159" s="580" t="str">
        <f t="shared" si="116"/>
        <v>148.026956537062-605.359722732666i</v>
      </c>
      <c r="N159" s="270" t="str">
        <f t="shared" si="117"/>
        <v>104.35355073613-454.0197920495i</v>
      </c>
      <c r="O159" s="581" t="str">
        <f t="shared" si="118"/>
        <v>32.7191172127372-232.000281485033i</v>
      </c>
      <c r="P159" s="582" t="str">
        <f t="shared" si="119"/>
        <v>-60.4991741797715-20.0102791415983i</v>
      </c>
      <c r="Q159" s="583" t="str">
        <f t="shared" si="120"/>
        <v>-60.8263653518987-17.6902763267479i</v>
      </c>
      <c r="R159" s="581" t="str">
        <f t="shared" si="141"/>
        <v>4.69650788075646-27.5189696243246i</v>
      </c>
      <c r="S159" s="253" t="str">
        <f t="shared" si="142"/>
        <v>50.8868045520065+1.81749473591465i</v>
      </c>
      <c r="T159" s="253" t="str">
        <f t="shared" si="143"/>
        <v>19.1043612036383-1.22461043355235i</v>
      </c>
      <c r="U159" s="253" t="str">
        <f t="shared" si="144"/>
        <v>0.407976581870548-5.15974022656001i</v>
      </c>
      <c r="V159" s="582" t="str">
        <f t="shared" si="121"/>
        <v>6000</v>
      </c>
      <c r="W159" s="584" t="str">
        <f t="shared" si="122"/>
        <v>1+31546.7236647562i</v>
      </c>
      <c r="X159" s="585">
        <f t="shared" si="123"/>
        <v>31546.723680605704</v>
      </c>
      <c r="Y159" s="586">
        <f t="shared" si="124"/>
        <v>1.57076462778202</v>
      </c>
      <c r="Z159" s="273" t="str">
        <f t="shared" si="125"/>
        <v>1+4.73129885488518i</v>
      </c>
      <c r="AA159" s="585">
        <f t="shared" si="126"/>
        <v>4.8358234928745913</v>
      </c>
      <c r="AB159" s="586">
        <f t="shared" si="127"/>
        <v>1.3625034144768213</v>
      </c>
      <c r="AC159" s="584" t="str">
        <f t="shared" si="128"/>
        <v>1+0.2287368070968i</v>
      </c>
      <c r="AD159" s="585">
        <f t="shared" si="129"/>
        <v>1.0258267528783009</v>
      </c>
      <c r="AE159" s="586">
        <f t="shared" si="130"/>
        <v>0.2248683301015201</v>
      </c>
      <c r="AF159" s="580" t="str">
        <f t="shared" si="145"/>
        <v>0.813795003657534-0.376310423067567i</v>
      </c>
      <c r="AG159" s="270">
        <f t="shared" si="146"/>
        <v>0.89658900421946797</v>
      </c>
      <c r="AH159" s="581">
        <f t="shared" si="147"/>
        <v>-0.43312954340671722</v>
      </c>
      <c r="AI159" s="582" t="str">
        <f t="shared" si="131"/>
        <v>4000</v>
      </c>
      <c r="AJ159" s="584" t="str">
        <f t="shared" si="148"/>
        <v>1+2478.38614065696i</v>
      </c>
      <c r="AK159" s="585">
        <f t="shared" si="149"/>
        <v>2478.3863424011397</v>
      </c>
      <c r="AL159" s="586">
        <f t="shared" si="150"/>
        <v>1.5703928384403874</v>
      </c>
      <c r="AM159" s="273" t="str">
        <f t="shared" si="151"/>
        <v>1+0.0867404790062283i</v>
      </c>
      <c r="AN159" s="585">
        <f t="shared" si="152"/>
        <v>1.0037549056907418</v>
      </c>
      <c r="AO159" s="586">
        <f t="shared" si="153"/>
        <v>8.6523913282165466E-2</v>
      </c>
      <c r="AP159" s="584" t="str">
        <f t="shared" si="154"/>
        <v>1+0.000627547427490458i</v>
      </c>
      <c r="AQ159" s="585">
        <f t="shared" si="155"/>
        <v>1.0000001969078676</v>
      </c>
      <c r="AR159" s="586">
        <f t="shared" si="156"/>
        <v>6.2754734511111883E-4</v>
      </c>
      <c r="AS159" s="580" t="str">
        <f t="shared" si="157"/>
        <v>0.139633437005838-1.61398438308418i</v>
      </c>
      <c r="AT159" s="270">
        <f t="shared" si="158"/>
        <v>1.6200132979607558</v>
      </c>
      <c r="AU159" s="581">
        <f t="shared" si="159"/>
        <v>-1.4844964725033329</v>
      </c>
      <c r="AV159" s="580" t="str">
        <f t="shared" si="160"/>
        <v>0.00691105501549564-0.310051371953016i</v>
      </c>
      <c r="AW159" s="270">
        <f t="shared" si="161"/>
        <v>-10.169169615023621</v>
      </c>
      <c r="AX159" s="581">
        <f t="shared" si="162"/>
        <v>-88.723086686994222</v>
      </c>
      <c r="AY159" s="299">
        <f t="shared" si="132"/>
        <v>91.276913313005778</v>
      </c>
      <c r="BB159" s="270">
        <f t="shared" si="165"/>
        <v>-35.809628410292149</v>
      </c>
      <c r="BC159" s="270">
        <f t="shared" si="166"/>
        <v>-85.05538257649944</v>
      </c>
      <c r="BD159" s="286"/>
      <c r="BE159" s="270">
        <f t="shared" si="163"/>
        <v>25.640458795268543</v>
      </c>
      <c r="BF159" s="581">
        <f t="shared" si="164"/>
        <v>-3.6677041104947823</v>
      </c>
      <c r="BI159" s="286"/>
      <c r="BJ159" s="286"/>
      <c r="BL159" s="253">
        <f t="shared" si="133"/>
        <v>0</v>
      </c>
      <c r="BM159" s="253">
        <f t="shared" si="167"/>
        <v>0</v>
      </c>
      <c r="BN159" s="253">
        <f t="shared" si="134"/>
        <v>0</v>
      </c>
      <c r="BO159" s="253">
        <f t="shared" si="135"/>
        <v>0</v>
      </c>
    </row>
    <row r="160" spans="4:67" ht="13.6" thickBot="1" x14ac:dyDescent="0.25">
      <c r="D160" s="280">
        <v>9016.2999999999993</v>
      </c>
      <c r="E160" s="273" t="str">
        <f t="shared" si="114"/>
        <v>0.101971950633222i</v>
      </c>
      <c r="F160" s="579" t="str">
        <f t="shared" si="136"/>
        <v>0.002-0.271567892154117i</v>
      </c>
      <c r="G160" s="270" t="str">
        <f t="shared" si="137"/>
        <v>0.002-0.271567892154117i</v>
      </c>
      <c r="H160" s="271" t="str">
        <f t="shared" si="138"/>
        <v>0.0380979043867778-0.266128679679534i</v>
      </c>
      <c r="I160" s="271" t="str">
        <f t="shared" si="139"/>
        <v>0.0480979043867778-0.266128679679534i</v>
      </c>
      <c r="J160" s="270" t="str">
        <f t="shared" si="140"/>
        <v>0.0126656351171826-0.135411558050959i</v>
      </c>
      <c r="K160" s="271" t="str">
        <f t="shared" si="115"/>
        <v>0.997947181493144-0.0711697031220142i</v>
      </c>
      <c r="L160" s="580"/>
      <c r="M160" s="580" t="str">
        <f t="shared" si="116"/>
        <v>135.331611533789-585.17221557824i</v>
      </c>
      <c r="N160" s="270" t="str">
        <f t="shared" si="117"/>
        <v>94.8320419836753-438.87916168368i</v>
      </c>
      <c r="O160" s="581" t="str">
        <f t="shared" si="118"/>
        <v>28.6598842028973-223.976925299473i</v>
      </c>
      <c r="P160" s="582" t="str">
        <f t="shared" si="119"/>
        <v>-58.2282030385033-18.4000378805839i</v>
      </c>
      <c r="Q160" s="583" t="str">
        <f t="shared" si="120"/>
        <v>-58.5148018805323-16.1602686275892i</v>
      </c>
      <c r="R160" s="581" t="str">
        <f t="shared" si="141"/>
        <v>4.18231039958639-26.5785507661989i</v>
      </c>
      <c r="S160" s="253" t="str">
        <f t="shared" si="142"/>
        <v>50.8983330611388+1.76726112715265i</v>
      </c>
      <c r="T160" s="253" t="str">
        <f t="shared" si="143"/>
        <v>19.1060437028873-1.2493512504018i</v>
      </c>
      <c r="U160" s="253" t="str">
        <f t="shared" si="144"/>
        <v>0.39541202747679-5.13226384903219i</v>
      </c>
      <c r="V160" s="582" t="str">
        <f t="shared" si="121"/>
        <v>6000</v>
      </c>
      <c r="W160" s="584" t="str">
        <f t="shared" si="122"/>
        <v>1+31729.3655546987i</v>
      </c>
      <c r="X160" s="585">
        <f t="shared" si="123"/>
        <v>31729.365570456972</v>
      </c>
      <c r="Y160" s="586">
        <f t="shared" si="124"/>
        <v>1.5707648102491925</v>
      </c>
      <c r="Z160" s="273" t="str">
        <f t="shared" si="125"/>
        <v>1+4.75869102955036i</v>
      </c>
      <c r="AA160" s="585">
        <f t="shared" si="126"/>
        <v>4.8626268944597291</v>
      </c>
      <c r="AB160" s="586">
        <f t="shared" si="127"/>
        <v>1.3636683052945584</v>
      </c>
      <c r="AC160" s="584" t="str">
        <f t="shared" si="128"/>
        <v>1+0.230061094309365i</v>
      </c>
      <c r="AD160" s="585">
        <f t="shared" si="129"/>
        <v>1.0261228518626913</v>
      </c>
      <c r="AE160" s="586">
        <f t="shared" si="130"/>
        <v>0.22612641201702074</v>
      </c>
      <c r="AF160" s="580" t="str">
        <f t="shared" si="145"/>
        <v>0.81332534678205-0.376185432772988i</v>
      </c>
      <c r="AG160" s="270">
        <f t="shared" si="146"/>
        <v>0.89611026082103451</v>
      </c>
      <c r="AH160" s="581">
        <f t="shared" si="147"/>
        <v>-0.43322291697165566</v>
      </c>
      <c r="AI160" s="582" t="str">
        <f t="shared" si="131"/>
        <v>4000</v>
      </c>
      <c r="AJ160" s="584" t="str">
        <f t="shared" si="148"/>
        <v>1+2492.7349248143i</v>
      </c>
      <c r="AK160" s="585">
        <f t="shared" si="149"/>
        <v>2492.7351253971915</v>
      </c>
      <c r="AL160" s="586">
        <f t="shared" si="150"/>
        <v>1.5703951610165379</v>
      </c>
      <c r="AM160" s="273" t="str">
        <f t="shared" si="151"/>
        <v>1+0.0872426688750899i</v>
      </c>
      <c r="AN160" s="585">
        <f t="shared" si="152"/>
        <v>1.0037984276100698</v>
      </c>
      <c r="AO160" s="586">
        <f t="shared" si="153"/>
        <v>8.7022331345259774E-2</v>
      </c>
      <c r="AP160" s="584" t="str">
        <f t="shared" si="154"/>
        <v>1+0.00063118065575858i</v>
      </c>
      <c r="AQ160" s="585">
        <f t="shared" si="155"/>
        <v>1.0000001991944902</v>
      </c>
      <c r="AR160" s="586">
        <f t="shared" si="156"/>
        <v>6.3118057194011903E-4</v>
      </c>
      <c r="AS160" s="580" t="str">
        <f t="shared" si="157"/>
        <v>0.139625961148791-1.60469490924048i</v>
      </c>
      <c r="AT160" s="270">
        <f t="shared" si="158"/>
        <v>1.6107579460518071</v>
      </c>
      <c r="AU160" s="581">
        <f t="shared" si="159"/>
        <v>-1.4840040102432184</v>
      </c>
      <c r="AV160" s="580" t="str">
        <f t="shared" si="160"/>
        <v>0.00662872124393448-0.308338129348992i</v>
      </c>
      <c r="AW160" s="270">
        <f t="shared" si="161"/>
        <v>-10.217448604391357</v>
      </c>
      <c r="AX160" s="581">
        <f t="shared" si="162"/>
        <v>-88.768432379581043</v>
      </c>
      <c r="AY160" s="299">
        <f t="shared" si="132"/>
        <v>91.231567620418957</v>
      </c>
      <c r="BB160" s="270">
        <f t="shared" si="165"/>
        <v>-35.859394351046994</v>
      </c>
      <c r="BC160" s="270">
        <f t="shared" si="166"/>
        <v>-85.027166567425397</v>
      </c>
      <c r="BD160" s="286"/>
      <c r="BE160" s="270">
        <f t="shared" si="163"/>
        <v>25.641945746655633</v>
      </c>
      <c r="BF160" s="581">
        <f t="shared" si="164"/>
        <v>-3.741265812155635</v>
      </c>
      <c r="BI160" s="286"/>
      <c r="BJ160" s="286"/>
      <c r="BL160" s="253">
        <f t="shared" si="133"/>
        <v>0</v>
      </c>
      <c r="BM160" s="253">
        <f t="shared" si="167"/>
        <v>0</v>
      </c>
      <c r="BN160" s="253">
        <f t="shared" si="134"/>
        <v>0</v>
      </c>
      <c r="BO160" s="253">
        <f t="shared" si="135"/>
        <v>0</v>
      </c>
    </row>
    <row r="161" spans="4:67" ht="13.6" thickBot="1" x14ac:dyDescent="0.25">
      <c r="D161" s="280">
        <v>9068.2000000000007</v>
      </c>
      <c r="E161" s="273" t="str">
        <f t="shared" si="114"/>
        <v>0.102558925804619i</v>
      </c>
      <c r="F161" s="579" t="str">
        <f t="shared" si="136"/>
        <v>0.002-0.270013628507218i</v>
      </c>
      <c r="G161" s="270" t="str">
        <f t="shared" si="137"/>
        <v>0.002-0.270013628507218i</v>
      </c>
      <c r="H161" s="271" t="str">
        <f t="shared" si="138"/>
        <v>0.0376932272243995-0.26466012585486i</v>
      </c>
      <c r="I161" s="271" t="str">
        <f t="shared" si="139"/>
        <v>0.0476932272243995-0.26466012585486i</v>
      </c>
      <c r="J161" s="270" t="str">
        <f t="shared" si="140"/>
        <v>0.0125613822312592-0.134644106771543i</v>
      </c>
      <c r="K161" s="271" t="str">
        <f t="shared" si="115"/>
        <v>0.997923480436353-0.0715793731188014i</v>
      </c>
      <c r="L161" s="580"/>
      <c r="M161" s="580" t="str">
        <f t="shared" si="116"/>
        <v>124.05608322055-566.194608594536i</v>
      </c>
      <c r="N161" s="270" t="str">
        <f t="shared" si="117"/>
        <v>86.3753957487458-424.645956445902i</v>
      </c>
      <c r="O161" s="581" t="str">
        <f t="shared" si="118"/>
        <v>25.0907047621402-216.457759312363i</v>
      </c>
      <c r="P161" s="582" t="str">
        <f t="shared" si="119"/>
        <v>-56.0910811384298-16.964078179504i</v>
      </c>
      <c r="Q161" s="583" t="str">
        <f t="shared" si="120"/>
        <v>-56.3419881860513-14.7995005863804i</v>
      </c>
      <c r="R161" s="581" t="str">
        <f t="shared" si="141"/>
        <v>3.72844215334619-25.6963165796724i</v>
      </c>
      <c r="S161" s="253" t="str">
        <f t="shared" si="142"/>
        <v>50.9096365031528+1.71731155458745i</v>
      </c>
      <c r="T161" s="253" t="str">
        <f t="shared" si="143"/>
        <v>19.1076508439463-1.27400763288912i</v>
      </c>
      <c r="U161" s="253" t="str">
        <f t="shared" si="144"/>
        <v>0.383050004524872-5.10505473634164i</v>
      </c>
      <c r="V161" s="582" t="str">
        <f t="shared" si="121"/>
        <v>6000</v>
      </c>
      <c r="W161" s="584" t="str">
        <f t="shared" si="122"/>
        <v>1+31912.0074446412i</v>
      </c>
      <c r="X161" s="585">
        <f t="shared" si="123"/>
        <v>31912.007460309283</v>
      </c>
      <c r="Y161" s="586">
        <f t="shared" si="124"/>
        <v>1.5707649906277374</v>
      </c>
      <c r="Z161" s="273" t="str">
        <f t="shared" si="125"/>
        <v>1+4.78608320421554i</v>
      </c>
      <c r="AA161" s="585">
        <f t="shared" si="126"/>
        <v>4.8894368221375046</v>
      </c>
      <c r="AB161" s="586">
        <f t="shared" si="127"/>
        <v>1.3648204229228618</v>
      </c>
      <c r="AC161" s="584" t="str">
        <f t="shared" si="128"/>
        <v>1+0.231385381521931i</v>
      </c>
      <c r="AD161" s="585">
        <f t="shared" si="129"/>
        <v>1.0264205740251164</v>
      </c>
      <c r="AE161" s="586">
        <f t="shared" si="130"/>
        <v>0.22738376608659003</v>
      </c>
      <c r="AF161" s="580" t="str">
        <f t="shared" si="145"/>
        <v>0.812853526554294-0.376071227874985i</v>
      </c>
      <c r="AG161" s="270">
        <f t="shared" si="146"/>
        <v>0.89563409050077558</v>
      </c>
      <c r="AH161" s="581">
        <f t="shared" si="147"/>
        <v>-0.4333283337914644</v>
      </c>
      <c r="AI161" s="582" t="str">
        <f t="shared" si="131"/>
        <v>4000</v>
      </c>
      <c r="AJ161" s="584" t="str">
        <f t="shared" si="148"/>
        <v>1+2507.08370897164i</v>
      </c>
      <c r="AK161" s="585">
        <f t="shared" si="149"/>
        <v>2507.0839084065365</v>
      </c>
      <c r="AL161" s="586">
        <f t="shared" si="150"/>
        <v>1.5703974570071073</v>
      </c>
      <c r="AM161" s="273" t="str">
        <f t="shared" si="151"/>
        <v>1+0.0877448587439515i</v>
      </c>
      <c r="AN161" s="585">
        <f t="shared" si="152"/>
        <v>1.0038421988719124</v>
      </c>
      <c r="AO161" s="586">
        <f t="shared" si="153"/>
        <v>8.7520706066380682E-2</v>
      </c>
      <c r="AP161" s="584" t="str">
        <f t="shared" si="154"/>
        <v>1+0.000634813884026702i</v>
      </c>
      <c r="AQ161" s="585">
        <f t="shared" si="155"/>
        <v>1.0000002014943135</v>
      </c>
      <c r="AR161" s="586">
        <f t="shared" si="156"/>
        <v>6.3481379875245558E-4</v>
      </c>
      <c r="AS161" s="580" t="str">
        <f t="shared" si="157"/>
        <v>0.139618613269139-1.59551177395749i</v>
      </c>
      <c r="AT161" s="270">
        <f t="shared" si="158"/>
        <v>1.6016089341684423</v>
      </c>
      <c r="AU161" s="581">
        <f t="shared" si="159"/>
        <v>-1.4835115647394792</v>
      </c>
      <c r="AV161" s="580" t="str">
        <f t="shared" si="160"/>
        <v>0.00635089535276373-0.306643570731834i</v>
      </c>
      <c r="AW161" s="270">
        <f t="shared" si="161"/>
        <v>-10.2654602435403</v>
      </c>
      <c r="AX161" s="581">
        <f t="shared" si="162"/>
        <v>-88.813516669551831</v>
      </c>
      <c r="AY161" s="299">
        <f t="shared" si="132"/>
        <v>91.186483330448169</v>
      </c>
      <c r="BB161" s="270">
        <f t="shared" si="165"/>
        <v>-35.908870345131881</v>
      </c>
      <c r="BC161" s="270">
        <f t="shared" si="166"/>
        <v>-84.998951518420952</v>
      </c>
      <c r="BD161" s="286"/>
      <c r="BE161" s="270">
        <f t="shared" si="163"/>
        <v>25.643410101591574</v>
      </c>
      <c r="BF161" s="581">
        <f t="shared" si="164"/>
        <v>-3.8145651511308789</v>
      </c>
      <c r="BI161" s="286"/>
      <c r="BJ161" s="286"/>
      <c r="BL161" s="253">
        <f t="shared" si="133"/>
        <v>0</v>
      </c>
      <c r="BM161" s="253">
        <f t="shared" si="167"/>
        <v>0</v>
      </c>
      <c r="BN161" s="253">
        <f t="shared" si="134"/>
        <v>0</v>
      </c>
      <c r="BO161" s="253">
        <f t="shared" si="135"/>
        <v>0</v>
      </c>
    </row>
    <row r="162" spans="4:67" ht="13.6" thickBot="1" x14ac:dyDescent="0.25">
      <c r="D162" s="280">
        <v>9120.1</v>
      </c>
      <c r="E162" s="273" t="str">
        <f t="shared" si="114"/>
        <v>0.103145900976015i</v>
      </c>
      <c r="F162" s="579" t="str">
        <f t="shared" si="136"/>
        <v>0.002-0.268477054640756i</v>
      </c>
      <c r="G162" s="270" t="str">
        <f t="shared" si="137"/>
        <v>0.002-0.268477054640756i</v>
      </c>
      <c r="H162" s="271" t="str">
        <f t="shared" si="138"/>
        <v>0.0372952763693142-0.263207384280652i</v>
      </c>
      <c r="I162" s="271" t="str">
        <f t="shared" si="139"/>
        <v>0.0472952763693142-0.263207384280652i</v>
      </c>
      <c r="J162" s="270" t="str">
        <f t="shared" si="140"/>
        <v>0.0124588931864194-0.133885275006198i</v>
      </c>
      <c r="K162" s="271" t="str">
        <f t="shared" si="115"/>
        <v>0.997899643342087-0.0719890431155886i</v>
      </c>
      <c r="L162" s="580"/>
      <c r="M162" s="580" t="str">
        <f t="shared" si="116"/>
        <v>114.006502012187-548.341458994345i</v>
      </c>
      <c r="N162" s="270" t="str">
        <f t="shared" si="117"/>
        <v>78.8382098424735-411.256094245759i</v>
      </c>
      <c r="O162" s="581" t="str">
        <f t="shared" si="118"/>
        <v>21.9418515137925-209.40386806649i</v>
      </c>
      <c r="P162" s="582" t="str">
        <f t="shared" si="119"/>
        <v>-54.0788984406324-15.6790711562279i</v>
      </c>
      <c r="Q162" s="583" t="str">
        <f t="shared" si="120"/>
        <v>-54.2983169557702-13.5850324755629i</v>
      </c>
      <c r="R162" s="581" t="str">
        <f t="shared" si="141"/>
        <v>3.32644537841475-24.8678991234992i</v>
      </c>
      <c r="S162" s="253" t="str">
        <f t="shared" si="142"/>
        <v>50.9207193784997+1.66764216209874i</v>
      </c>
      <c r="T162" s="253" t="str">
        <f t="shared" si="143"/>
        <v>19.1091839419292-1.29858069816562i</v>
      </c>
      <c r="U162" s="253" t="str">
        <f t="shared" si="144"/>
        <v>0.37088626746479-5.07810924711899i</v>
      </c>
      <c r="V162" s="582" t="str">
        <f t="shared" si="121"/>
        <v>6000</v>
      </c>
      <c r="W162" s="584" t="str">
        <f t="shared" si="122"/>
        <v>1+32094.6493345837i</v>
      </c>
      <c r="X162" s="585">
        <f t="shared" si="123"/>
        <v>32094.649350162621</v>
      </c>
      <c r="Y162" s="586">
        <f t="shared" si="124"/>
        <v>1.5707651689533122</v>
      </c>
      <c r="Z162" s="273" t="str">
        <f t="shared" si="125"/>
        <v>1+4.81347537888072i</v>
      </c>
      <c r="AA162" s="585">
        <f t="shared" si="126"/>
        <v>4.916253169141199</v>
      </c>
      <c r="AB162" s="586">
        <f t="shared" si="127"/>
        <v>1.3659599732969643</v>
      </c>
      <c r="AC162" s="584" t="str">
        <f t="shared" si="128"/>
        <v>1+0.232709668734496i</v>
      </c>
      <c r="AD162" s="585">
        <f t="shared" si="129"/>
        <v>1.0267199179535376</v>
      </c>
      <c r="AE162" s="586">
        <f t="shared" si="130"/>
        <v>0.22864038896953065</v>
      </c>
      <c r="AF162" s="580" t="str">
        <f t="shared" si="145"/>
        <v>0.81237955142064-0.375967587831932i</v>
      </c>
      <c r="AG162" s="270">
        <f t="shared" si="146"/>
        <v>0.895160411695335</v>
      </c>
      <c r="AH162" s="581">
        <f t="shared" si="147"/>
        <v>-0.43344558462587801</v>
      </c>
      <c r="AI162" s="582" t="str">
        <f t="shared" si="131"/>
        <v>4000</v>
      </c>
      <c r="AJ162" s="584" t="str">
        <f t="shared" si="148"/>
        <v>1+2521.43249312899i</v>
      </c>
      <c r="AK162" s="585">
        <f t="shared" si="149"/>
        <v>2521.4326914289568</v>
      </c>
      <c r="AL162" s="586">
        <f t="shared" si="150"/>
        <v>1.5703997268659695</v>
      </c>
      <c r="AM162" s="273" t="str">
        <f t="shared" si="151"/>
        <v>1+0.0882470486128131i</v>
      </c>
      <c r="AN162" s="585">
        <f t="shared" si="152"/>
        <v>1.003886219443654</v>
      </c>
      <c r="AO162" s="586">
        <f t="shared" si="153"/>
        <v>8.8019037203643832E-2</v>
      </c>
      <c r="AP162" s="584" t="str">
        <f t="shared" si="154"/>
        <v>1+0.000638447112294824i</v>
      </c>
      <c r="AQ162" s="585">
        <f t="shared" si="155"/>
        <v>1.0000002038073368</v>
      </c>
      <c r="AR162" s="586">
        <f t="shared" si="156"/>
        <v>6.3844702554803265E-4</v>
      </c>
      <c r="AS162" s="580" t="str">
        <f t="shared" si="157"/>
        <v>0.139611390461964-1.58643316180516i</v>
      </c>
      <c r="AT162" s="270">
        <f t="shared" si="158"/>
        <v>1.5925644468032809</v>
      </c>
      <c r="AU162" s="581">
        <f t="shared" si="159"/>
        <v>-1.4830191366878738</v>
      </c>
      <c r="AV162" s="580" t="str">
        <f t="shared" si="160"/>
        <v>0.00607748257876133-0.304967397574091i</v>
      </c>
      <c r="AW162" s="270">
        <f t="shared" si="161"/>
        <v>-10.313207322479583</v>
      </c>
      <c r="AX162" s="581">
        <f t="shared" si="162"/>
        <v>-88.858343484206003</v>
      </c>
      <c r="AY162" s="299">
        <f t="shared" si="132"/>
        <v>91.141656515793997</v>
      </c>
      <c r="BB162" s="270">
        <f t="shared" si="165"/>
        <v>-35.958059678128961</v>
      </c>
      <c r="BC162" s="270">
        <f t="shared" si="166"/>
        <v>-84.970737469350112</v>
      </c>
      <c r="BD162" s="286"/>
      <c r="BE162" s="270">
        <f t="shared" si="163"/>
        <v>25.644852355649377</v>
      </c>
      <c r="BF162" s="581">
        <f t="shared" si="164"/>
        <v>-3.8876060148558915</v>
      </c>
      <c r="BI162" s="286"/>
      <c r="BJ162" s="286"/>
      <c r="BL162" s="253">
        <f t="shared" si="133"/>
        <v>0</v>
      </c>
      <c r="BM162" s="253">
        <f t="shared" si="167"/>
        <v>0</v>
      </c>
      <c r="BN162" s="253">
        <f t="shared" si="134"/>
        <v>0</v>
      </c>
      <c r="BO162" s="253">
        <f t="shared" si="135"/>
        <v>0</v>
      </c>
    </row>
    <row r="163" spans="4:67" ht="13.6" thickBot="1" x14ac:dyDescent="0.25">
      <c r="D163" s="280">
        <v>9173.2000000000007</v>
      </c>
      <c r="E163" s="273" t="str">
        <f t="shared" si="114"/>
        <v>0.103746447827676i</v>
      </c>
      <c r="F163" s="579" t="str">
        <f t="shared" si="136"/>
        <v>0.002-0.266922947938468i</v>
      </c>
      <c r="G163" s="270" t="str">
        <f t="shared" si="137"/>
        <v>0.002-0.266922947938468i</v>
      </c>
      <c r="H163" s="271" t="str">
        <f t="shared" si="138"/>
        <v>0.0368949320690634-0.261737158763772i</v>
      </c>
      <c r="I163" s="271" t="str">
        <f t="shared" si="139"/>
        <v>0.0468949320690634-0.261737158763772i</v>
      </c>
      <c r="J163" s="270" t="str">
        <f t="shared" si="140"/>
        <v>0.0123558187328312-0.133117668920994i</v>
      </c>
      <c r="K163" s="271" t="str">
        <f t="shared" si="115"/>
        <v>0.997875114309235-0.0724081852510299i</v>
      </c>
      <c r="L163" s="580"/>
      <c r="M163" s="580" t="str">
        <f t="shared" si="116"/>
        <v>104.823321502108-531.154547182063i</v>
      </c>
      <c r="N163" s="270" t="str">
        <f t="shared" si="117"/>
        <v>71.9508244599143-398.365910386547i</v>
      </c>
      <c r="O163" s="581" t="str">
        <f t="shared" si="118"/>
        <v>19.0944008393851-202.63061196317i</v>
      </c>
      <c r="P163" s="582" t="str">
        <f t="shared" si="119"/>
        <v>-52.1405300235423-14.5000630071229i</v>
      </c>
      <c r="Q163" s="583" t="str">
        <f t="shared" si="120"/>
        <v>-52.3314740319359-12.4737568874911i</v>
      </c>
      <c r="R163" s="581" t="str">
        <f t="shared" si="141"/>
        <v>2.96144747286838-24.071755100053i</v>
      </c>
      <c r="S163" s="253" t="str">
        <f t="shared" si="142"/>
        <v>50.9318348026157+1.61711036044187i</v>
      </c>
      <c r="T163" s="253" t="str">
        <f t="shared" si="143"/>
        <v>19.1106771926801-1.32363684367653i</v>
      </c>
      <c r="U163" s="253" t="str">
        <f t="shared" si="144"/>
        <v>0.358642190118787-5.05080984189526i</v>
      </c>
      <c r="V163" s="582" t="str">
        <f t="shared" si="121"/>
        <v>6000</v>
      </c>
      <c r="W163" s="584" t="str">
        <f t="shared" si="122"/>
        <v>1+32281.5141583978i</v>
      </c>
      <c r="X163" s="585">
        <f t="shared" si="123"/>
        <v>32281.514173886542</v>
      </c>
      <c r="Y163" s="586">
        <f t="shared" si="124"/>
        <v>1.5707653493136431</v>
      </c>
      <c r="Z163" s="273" t="str">
        <f t="shared" si="125"/>
        <v>1+4.84150089862487i</v>
      </c>
      <c r="AA163" s="585">
        <f t="shared" si="126"/>
        <v>4.9436960820205593</v>
      </c>
      <c r="AB163" s="586">
        <f t="shared" si="127"/>
        <v>1.3671130754103207</v>
      </c>
      <c r="AC163" s="584" t="str">
        <f t="shared" si="128"/>
        <v>1+0.234064575304578i</v>
      </c>
      <c r="AD163" s="585">
        <f t="shared" si="129"/>
        <v>1.0270278600955831</v>
      </c>
      <c r="AE163" s="586">
        <f t="shared" si="130"/>
        <v>0.22992530650533663</v>
      </c>
      <c r="AF163" s="580" t="str">
        <f t="shared" si="145"/>
        <v>0.811892395940058-0.375872260699744i</v>
      </c>
      <c r="AG163" s="270">
        <f t="shared" si="146"/>
        <v>0.89467827678379674</v>
      </c>
      <c r="AH163" s="581">
        <f t="shared" si="147"/>
        <v>-0.43357758040865835</v>
      </c>
      <c r="AI163" s="582" t="str">
        <f t="shared" si="131"/>
        <v>4000</v>
      </c>
      <c r="AJ163" s="584" t="str">
        <f t="shared" si="148"/>
        <v>1+2536.11304108188i</v>
      </c>
      <c r="AK163" s="585">
        <f t="shared" si="149"/>
        <v>2536.1132382339679</v>
      </c>
      <c r="AL163" s="586">
        <f t="shared" si="150"/>
        <v>1.5704020226247055</v>
      </c>
      <c r="AM163" s="273" t="str">
        <f t="shared" si="151"/>
        <v>1+0.0887608498081225i</v>
      </c>
      <c r="AN163" s="585">
        <f t="shared" si="152"/>
        <v>1.0039315158210047</v>
      </c>
      <c r="AO163" s="586">
        <f t="shared" si="153"/>
        <v>8.8528845088908223E-2</v>
      </c>
      <c r="AP163" s="584" t="str">
        <f t="shared" si="154"/>
        <v>1+0.000642164345840822i</v>
      </c>
      <c r="AQ163" s="585">
        <f t="shared" si="155"/>
        <v>1.0000002061875022</v>
      </c>
      <c r="AR163" s="586">
        <f t="shared" si="156"/>
        <v>6.4216425756999308E-4</v>
      </c>
      <c r="AS163" s="580" t="str">
        <f t="shared" si="157"/>
        <v>0.139604127153494-1.57725096543218i</v>
      </c>
      <c r="AT163" s="270">
        <f t="shared" si="158"/>
        <v>1.5834171655868305</v>
      </c>
      <c r="AU163" s="581">
        <f t="shared" si="159"/>
        <v>-1.4825153417933676</v>
      </c>
      <c r="AV163" s="580" t="str">
        <f t="shared" si="160"/>
        <v>0.0058022191922588-0.303271192184471i</v>
      </c>
      <c r="AW163" s="270">
        <f t="shared" si="161"/>
        <v>-10.361787438563573</v>
      </c>
      <c r="AX163" s="581">
        <f t="shared" si="162"/>
        <v>-88.903944301987821</v>
      </c>
      <c r="AY163" s="299">
        <f t="shared" si="132"/>
        <v>91.096055698012179</v>
      </c>
      <c r="BB163" s="270">
        <f t="shared" si="165"/>
        <v>-36.008093024995354</v>
      </c>
      <c r="BC163" s="270">
        <f t="shared" si="166"/>
        <v>-84.941872148154673</v>
      </c>
      <c r="BD163" s="286"/>
      <c r="BE163" s="270">
        <f t="shared" si="163"/>
        <v>25.646305586431776</v>
      </c>
      <c r="BF163" s="581">
        <f t="shared" si="164"/>
        <v>-3.9620721538331463</v>
      </c>
      <c r="BI163" s="286"/>
      <c r="BJ163" s="286"/>
      <c r="BL163" s="253">
        <f t="shared" si="133"/>
        <v>0</v>
      </c>
      <c r="BM163" s="253">
        <f t="shared" si="167"/>
        <v>0</v>
      </c>
      <c r="BN163" s="253">
        <f t="shared" si="134"/>
        <v>0</v>
      </c>
      <c r="BO163" s="253">
        <f t="shared" si="135"/>
        <v>0</v>
      </c>
    </row>
    <row r="164" spans="4:67" ht="13.6" thickBot="1" x14ac:dyDescent="0.25">
      <c r="D164" s="280">
        <v>9226.2999999999993</v>
      </c>
      <c r="E164" s="273" t="str">
        <f t="shared" si="114"/>
        <v>0.104346994679336i</v>
      </c>
      <c r="F164" s="579" t="str">
        <f t="shared" si="136"/>
        <v>0.002-0.265386729894883i</v>
      </c>
      <c r="G164" s="270" t="str">
        <f t="shared" si="137"/>
        <v>0.002-0.265386729894883i</v>
      </c>
      <c r="H164" s="271" t="str">
        <f t="shared" si="138"/>
        <v>0.0365013209873418-0.260282963824222i</v>
      </c>
      <c r="I164" s="271" t="str">
        <f t="shared" si="139"/>
        <v>0.0465013209873418-0.260282963824222i</v>
      </c>
      <c r="J164" s="270" t="str">
        <f t="shared" si="140"/>
        <v>0.0122545081362909-0.132358784686802i</v>
      </c>
      <c r="K164" s="271" t="str">
        <f t="shared" si="115"/>
        <v>0.997850442875432-0.0728273273864711i</v>
      </c>
      <c r="L164" s="580"/>
      <c r="M164" s="580" t="str">
        <f t="shared" si="116"/>
        <v>96.6052688397746-514.977925034339i</v>
      </c>
      <c r="N164" s="270" t="str">
        <f t="shared" si="117"/>
        <v>65.7872849631643-386.233443775754i</v>
      </c>
      <c r="O164" s="581" t="str">
        <f t="shared" si="118"/>
        <v>16.5734443885346-196.2705691971i</v>
      </c>
      <c r="P164" s="582" t="str">
        <f t="shared" si="119"/>
        <v>-50.3151984047115-13.4406259648264i</v>
      </c>
      <c r="Q164" s="583" t="str">
        <f t="shared" si="120"/>
        <v>-50.4809328485965-11.4779202728553i</v>
      </c>
      <c r="R164" s="581" t="str">
        <f t="shared" si="141"/>
        <v>2.63694053838713-23.3235864826696i</v>
      </c>
      <c r="S164" s="253" t="str">
        <f t="shared" si="142"/>
        <v>50.9427285074734+1.56686387779383i</v>
      </c>
      <c r="T164" s="253" t="str">
        <f t="shared" si="143"/>
        <v>19.1120956150953-1.34860808232439i</v>
      </c>
      <c r="U164" s="253" t="str">
        <f t="shared" si="144"/>
        <v>0.346597028082661-5.02377886808795i</v>
      </c>
      <c r="V164" s="582" t="str">
        <f t="shared" si="121"/>
        <v>6000</v>
      </c>
      <c r="W164" s="584" t="str">
        <f t="shared" si="122"/>
        <v>1+32468.3789822118i</v>
      </c>
      <c r="X164" s="585">
        <f t="shared" si="123"/>
        <v>32468.378997611399</v>
      </c>
      <c r="Y164" s="586">
        <f t="shared" si="124"/>
        <v>1.5707655275979231</v>
      </c>
      <c r="Z164" s="273" t="str">
        <f t="shared" si="125"/>
        <v>1+4.86952641836901i</v>
      </c>
      <c r="AA164" s="585">
        <f t="shared" si="126"/>
        <v>4.9711454956774022</v>
      </c>
      <c r="AB164" s="586">
        <f t="shared" si="127"/>
        <v>1.3682534447470194</v>
      </c>
      <c r="AC164" s="584" t="str">
        <f t="shared" si="128"/>
        <v>1+0.23541948187466i</v>
      </c>
      <c r="AD164" s="585">
        <f t="shared" si="129"/>
        <v>1.0273374968558937</v>
      </c>
      <c r="AE164" s="586">
        <f t="shared" si="130"/>
        <v>0.23120945161883727</v>
      </c>
      <c r="AF164" s="580" t="str">
        <f t="shared" si="145"/>
        <v>0.811403002716936-0.375787541095386i</v>
      </c>
      <c r="AG164" s="270">
        <f t="shared" si="146"/>
        <v>0.89419858468942803</v>
      </c>
      <c r="AH164" s="581">
        <f t="shared" si="147"/>
        <v>-0.43372153446973927</v>
      </c>
      <c r="AI164" s="582" t="str">
        <f t="shared" si="131"/>
        <v>4000</v>
      </c>
      <c r="AJ164" s="584" t="str">
        <f t="shared" si="148"/>
        <v>1+2550.79358903477i</v>
      </c>
      <c r="AK164" s="585">
        <f t="shared" si="149"/>
        <v>2550.7937850521907</v>
      </c>
      <c r="AL164" s="586">
        <f t="shared" si="150"/>
        <v>1.5704042919579468</v>
      </c>
      <c r="AM164" s="273" t="str">
        <f t="shared" si="151"/>
        <v>1+0.0892746510034318i</v>
      </c>
      <c r="AN164" s="585">
        <f t="shared" si="152"/>
        <v>1.0039770731006683</v>
      </c>
      <c r="AO164" s="586">
        <f t="shared" si="153"/>
        <v>8.9038606839737786E-2</v>
      </c>
      <c r="AP164" s="584" t="str">
        <f t="shared" si="154"/>
        <v>1+0.00064588157938682i</v>
      </c>
      <c r="AQ164" s="585">
        <f t="shared" si="155"/>
        <v>1.0000002085814856</v>
      </c>
      <c r="AR164" s="586">
        <f t="shared" si="156"/>
        <v>6.4588148957420697E-4</v>
      </c>
      <c r="AS164" s="580" t="str">
        <f t="shared" si="157"/>
        <v>0.139596988875805-1.56817446729884i</v>
      </c>
      <c r="AT164" s="270">
        <f t="shared" si="158"/>
        <v>1.5743755839034066</v>
      </c>
      <c r="AU164" s="581">
        <f t="shared" si="159"/>
        <v>-1.4820115666077833</v>
      </c>
      <c r="AV164" s="580" t="str">
        <f t="shared" si="160"/>
        <v>0.00553138237879819-0.301593619876326i</v>
      </c>
      <c r="AW164" s="270">
        <f t="shared" si="161"/>
        <v>-10.410096391278516</v>
      </c>
      <c r="AX164" s="581">
        <f t="shared" si="162"/>
        <v>-88.949283684015953</v>
      </c>
      <c r="AY164" s="299">
        <f t="shared" si="132"/>
        <v>91.050716315984047</v>
      </c>
      <c r="BB164" s="270">
        <f t="shared" si="165"/>
        <v>-36.057833081738465</v>
      </c>
      <c r="BC164" s="270">
        <f t="shared" si="166"/>
        <v>-84.913007956197276</v>
      </c>
      <c r="BD164" s="286"/>
      <c r="BE164" s="270">
        <f t="shared" si="163"/>
        <v>25.647736690459951</v>
      </c>
      <c r="BF164" s="581">
        <f t="shared" si="164"/>
        <v>-4.0362757278186931</v>
      </c>
      <c r="BI164" s="286"/>
      <c r="BJ164" s="286"/>
      <c r="BL164" s="253">
        <f t="shared" si="133"/>
        <v>0</v>
      </c>
      <c r="BM164" s="253">
        <f t="shared" si="167"/>
        <v>0</v>
      </c>
      <c r="BN164" s="253">
        <f t="shared" si="134"/>
        <v>0</v>
      </c>
      <c r="BO164" s="253">
        <f t="shared" si="135"/>
        <v>0</v>
      </c>
    </row>
    <row r="165" spans="4:67" ht="13.6" thickBot="1" x14ac:dyDescent="0.25">
      <c r="D165" s="280">
        <v>9279.4</v>
      </c>
      <c r="E165" s="273" t="str">
        <f t="shared" si="114"/>
        <v>0.104947541530996i</v>
      </c>
      <c r="F165" s="579" t="str">
        <f t="shared" si="136"/>
        <v>0.002-0.263868093414354i</v>
      </c>
      <c r="G165" s="270" t="str">
        <f t="shared" si="137"/>
        <v>0.002-0.263868093414354i</v>
      </c>
      <c r="H165" s="271" t="str">
        <f t="shared" si="138"/>
        <v>0.0361142938559615-0.258844543938027i</v>
      </c>
      <c r="I165" s="271" t="str">
        <f t="shared" si="139"/>
        <v>0.0461142938559615-0.258844543938027i</v>
      </c>
      <c r="J165" s="270" t="str">
        <f t="shared" si="140"/>
        <v>0.0121549214286049-0.131608475206921i</v>
      </c>
      <c r="K165" s="271" t="str">
        <f t="shared" si="115"/>
        <v>0.997825629040681-0.0732464695219124i</v>
      </c>
      <c r="L165" s="580"/>
      <c r="M165" s="580" t="str">
        <f t="shared" si="116"/>
        <v>89.2276864054083-499.735589471933i</v>
      </c>
      <c r="N165" s="270" t="str">
        <f t="shared" si="117"/>
        <v>60.2540981373895-374.80169210395i</v>
      </c>
      <c r="O165" s="581" t="str">
        <f t="shared" si="118"/>
        <v>14.3348921227254-190.290813368263i</v>
      </c>
      <c r="P165" s="582" t="str">
        <f t="shared" si="119"/>
        <v>-48.5946953741633-12.4856350996617i</v>
      </c>
      <c r="Q165" s="583" t="str">
        <f t="shared" si="120"/>
        <v>-48.7380442953906-10.582726965979i</v>
      </c>
      <c r="R165" s="581" t="str">
        <f t="shared" si="141"/>
        <v>2.34754450508656-22.6196401037397i</v>
      </c>
      <c r="S165" s="253" t="str">
        <f t="shared" si="142"/>
        <v>50.9534049493903+1.51689878406746i</v>
      </c>
      <c r="T165" s="253" t="str">
        <f t="shared" si="143"/>
        <v>19.1134405115108-1.3734955522424i</v>
      </c>
      <c r="U165" s="253" t="str">
        <f t="shared" si="144"/>
        <v>0.334746577410039-4.99701261427215i</v>
      </c>
      <c r="V165" s="582" t="str">
        <f t="shared" si="121"/>
        <v>6000</v>
      </c>
      <c r="W165" s="584" t="str">
        <f t="shared" si="122"/>
        <v>1+32655.2438060258i</v>
      </c>
      <c r="X165" s="585">
        <f t="shared" si="123"/>
        <v>32655.24382133727</v>
      </c>
      <c r="Y165" s="586">
        <f t="shared" si="124"/>
        <v>1.5707657038417921</v>
      </c>
      <c r="Z165" s="273" t="str">
        <f t="shared" si="125"/>
        <v>1+4.89755193811315i</v>
      </c>
      <c r="AA165" s="585">
        <f t="shared" si="126"/>
        <v>4.9986013030162617</v>
      </c>
      <c r="AB165" s="586">
        <f t="shared" si="127"/>
        <v>1.3693812881282863</v>
      </c>
      <c r="AC165" s="584" t="str">
        <f t="shared" si="128"/>
        <v>1+0.236774388444741i</v>
      </c>
      <c r="AD165" s="585">
        <f t="shared" si="129"/>
        <v>1.0276488267026733</v>
      </c>
      <c r="AE165" s="586">
        <f t="shared" si="130"/>
        <v>0.23249282077497549</v>
      </c>
      <c r="AF165" s="580" t="str">
        <f t="shared" si="145"/>
        <v>0.810911380874214-0.375713208277109i</v>
      </c>
      <c r="AG165" s="270">
        <f t="shared" si="146"/>
        <v>0.89372125548473047</v>
      </c>
      <c r="AH165" s="581">
        <f t="shared" si="147"/>
        <v>-0.43387723648848248</v>
      </c>
      <c r="AI165" s="582" t="str">
        <f t="shared" si="131"/>
        <v>4000</v>
      </c>
      <c r="AJ165" s="584" t="str">
        <f t="shared" si="148"/>
        <v>1+2565.47413698766i</v>
      </c>
      <c r="AK165" s="585">
        <f t="shared" si="149"/>
        <v>2565.4743318834003</v>
      </c>
      <c r="AL165" s="586">
        <f t="shared" si="150"/>
        <v>1.5704065353193417</v>
      </c>
      <c r="AM165" s="273" t="str">
        <f t="shared" si="151"/>
        <v>1+0.089788452198741i</v>
      </c>
      <c r="AN165" s="585">
        <f t="shared" si="152"/>
        <v>1.0040228912471296</v>
      </c>
      <c r="AO165" s="586">
        <f t="shared" si="153"/>
        <v>8.9548322197500252E-2</v>
      </c>
      <c r="AP165" s="584" t="str">
        <f t="shared" si="154"/>
        <v>1+0.000649598812932817i</v>
      </c>
      <c r="AQ165" s="585">
        <f t="shared" si="155"/>
        <v>1.0000002109892867</v>
      </c>
      <c r="AR165" s="586">
        <f t="shared" si="156"/>
        <v>6.4959872156057045E-4</v>
      </c>
      <c r="AS165" s="580" t="str">
        <f t="shared" si="157"/>
        <v>0.139589972775133-1.55920185287844i</v>
      </c>
      <c r="AT165" s="270">
        <f t="shared" si="158"/>
        <v>1.5654378871481689</v>
      </c>
      <c r="AU165" s="581">
        <f t="shared" si="159"/>
        <v>-1.481507811843402</v>
      </c>
      <c r="AV165" s="580" t="str">
        <f t="shared" si="160"/>
        <v>0.0052648783066427-0.299934380671738i</v>
      </c>
      <c r="AW165" s="270">
        <f t="shared" si="161"/>
        <v>-10.458137032321424</v>
      </c>
      <c r="AX165" s="581">
        <f t="shared" si="162"/>
        <v>-88.994365603052913</v>
      </c>
      <c r="AY165" s="299">
        <f t="shared" si="132"/>
        <v>91.005634396947087</v>
      </c>
      <c r="BB165" s="270">
        <f t="shared" si="165"/>
        <v>-36.107283189545029</v>
      </c>
      <c r="BC165" s="270">
        <f t="shared" si="166"/>
        <v>-84.884144934288614</v>
      </c>
      <c r="BD165" s="286"/>
      <c r="BE165" s="270">
        <f t="shared" si="163"/>
        <v>25.649146157223591</v>
      </c>
      <c r="BF165" s="581">
        <f t="shared" si="164"/>
        <v>-4.1102206687643115</v>
      </c>
      <c r="BI165" s="286"/>
      <c r="BJ165" s="286"/>
      <c r="BL165" s="253">
        <f t="shared" si="133"/>
        <v>0</v>
      </c>
      <c r="BM165" s="253">
        <f t="shared" si="167"/>
        <v>0</v>
      </c>
      <c r="BN165" s="253">
        <f t="shared" si="134"/>
        <v>0</v>
      </c>
      <c r="BO165" s="253">
        <f t="shared" si="135"/>
        <v>0</v>
      </c>
    </row>
    <row r="166" spans="4:67" ht="13.6" thickBot="1" x14ac:dyDescent="0.25">
      <c r="D166" s="280">
        <v>9332.5</v>
      </c>
      <c r="E166" s="273" t="str">
        <f t="shared" si="114"/>
        <v>0.105548088382656i</v>
      </c>
      <c r="F166" s="579" t="str">
        <f t="shared" si="136"/>
        <v>0.002-0.26236673839048i</v>
      </c>
      <c r="G166" s="270" t="str">
        <f t="shared" si="137"/>
        <v>0.002-0.26236673839048i</v>
      </c>
      <c r="H166" s="271" t="str">
        <f t="shared" si="138"/>
        <v>0.0357337054958633-0.257421648860841i</v>
      </c>
      <c r="I166" s="271" t="str">
        <f t="shared" si="139"/>
        <v>0.0457337054958633-0.257421648860841i</v>
      </c>
      <c r="J166" s="270" t="str">
        <f t="shared" si="140"/>
        <v>0.0120570197656073-0.130866596658856i</v>
      </c>
      <c r="K166" s="271" t="str">
        <f t="shared" si="115"/>
        <v>0.99780067280498-0.0736656116573536i</v>
      </c>
      <c r="L166" s="580"/>
      <c r="M166" s="580" t="str">
        <f t="shared" si="116"/>
        <v>82.5847484268107-485.357274663634i</v>
      </c>
      <c r="N166" s="270" t="str">
        <f t="shared" si="117"/>
        <v>55.2718946534413-364.017955997725i</v>
      </c>
      <c r="O166" s="581" t="str">
        <f t="shared" si="118"/>
        <v>12.3415176354731-184.661236695078i</v>
      </c>
      <c r="P166" s="582" t="str">
        <f t="shared" si="119"/>
        <v>-46.9713766978164-11.6222164346832i</v>
      </c>
      <c r="Q166" s="583" t="str">
        <f t="shared" si="120"/>
        <v>-47.094791874171-9.77560406773246i</v>
      </c>
      <c r="R166" s="581" t="str">
        <f t="shared" si="141"/>
        <v>2.08870794666417-21.9564721737231i</v>
      </c>
      <c r="S166" s="253" t="str">
        <f t="shared" si="142"/>
        <v>50.9638684694455+1.46721121429061i</v>
      </c>
      <c r="T166" s="253" t="str">
        <f t="shared" si="143"/>
        <v>19.1147131506252-1.39830037255338i</v>
      </c>
      <c r="U166" s="253" t="str">
        <f t="shared" si="144"/>
        <v>0.323086742856925-4.97050743044352i</v>
      </c>
      <c r="V166" s="582" t="str">
        <f t="shared" si="121"/>
        <v>6000</v>
      </c>
      <c r="W166" s="584" t="str">
        <f t="shared" si="122"/>
        <v>1+32842.1086298399i</v>
      </c>
      <c r="X166" s="585">
        <f t="shared" si="123"/>
        <v>32842.108645064262</v>
      </c>
      <c r="Y166" s="586">
        <f t="shared" si="124"/>
        <v>1.5707658780800786</v>
      </c>
      <c r="Z166" s="273" t="str">
        <f t="shared" si="125"/>
        <v>1+4.9255774578573i</v>
      </c>
      <c r="AA166" s="585">
        <f t="shared" si="126"/>
        <v>5.0260633992571151</v>
      </c>
      <c r="AB166" s="586">
        <f t="shared" si="127"/>
        <v>1.3704968079841662</v>
      </c>
      <c r="AC166" s="584" t="str">
        <f t="shared" si="128"/>
        <v>1+0.238129295014823i</v>
      </c>
      <c r="AD166" s="585">
        <f t="shared" si="129"/>
        <v>1.0279618480976114</v>
      </c>
      <c r="AE166" s="586">
        <f t="shared" si="130"/>
        <v>0.2337754104531922</v>
      </c>
      <c r="AF166" s="580" t="str">
        <f t="shared" si="145"/>
        <v>0.81041753955999-0.375649046424641i</v>
      </c>
      <c r="AG166" s="270">
        <f t="shared" si="146"/>
        <v>0.89324621158234419</v>
      </c>
      <c r="AH166" s="581">
        <f t="shared" si="147"/>
        <v>-0.43404448054910411</v>
      </c>
      <c r="AI166" s="582" t="str">
        <f t="shared" si="131"/>
        <v>4000</v>
      </c>
      <c r="AJ166" s="584" t="str">
        <f t="shared" si="148"/>
        <v>1+2580.15468494055i</v>
      </c>
      <c r="AK166" s="585">
        <f t="shared" si="149"/>
        <v>2580.1548787273737</v>
      </c>
      <c r="AL166" s="586">
        <f t="shared" si="150"/>
        <v>1.5704087531522133</v>
      </c>
      <c r="AM166" s="273" t="str">
        <f t="shared" si="151"/>
        <v>1+0.0903022533940504i</v>
      </c>
      <c r="AN166" s="585">
        <f t="shared" si="152"/>
        <v>1.004068970224677</v>
      </c>
      <c r="AO166" s="586">
        <f t="shared" si="153"/>
        <v>9.0057990903707225E-2</v>
      </c>
      <c r="AP166" s="584" t="str">
        <f t="shared" si="154"/>
        <v>1+0.000653316046478816i</v>
      </c>
      <c r="AQ166" s="585">
        <f t="shared" si="155"/>
        <v>1.0000002134109054</v>
      </c>
      <c r="AR166" s="586">
        <f t="shared" si="156"/>
        <v>6.5331595352898387E-4</v>
      </c>
      <c r="AS166" s="580" t="str">
        <f t="shared" si="157"/>
        <v>0.139583076078668-1.55033134894134i</v>
      </c>
      <c r="AT166" s="270">
        <f t="shared" si="158"/>
        <v>1.5566023020148265</v>
      </c>
      <c r="AU166" s="581">
        <f t="shared" si="159"/>
        <v>-1.4810040782020353</v>
      </c>
      <c r="AV166" s="580" t="str">
        <f t="shared" si="160"/>
        <v>0.00500261557119773-0.298293180907185i</v>
      </c>
      <c r="AW166" s="270">
        <f t="shared" si="161"/>
        <v>-10.505912169254625</v>
      </c>
      <c r="AX166" s="581">
        <f t="shared" si="162"/>
        <v>-89.039193956632786</v>
      </c>
      <c r="AY166" s="299">
        <f t="shared" si="132"/>
        <v>90.960806043367214</v>
      </c>
      <c r="BB166" s="270">
        <f t="shared" si="165"/>
        <v>-36.156446632420568</v>
      </c>
      <c r="BC166" s="270">
        <f t="shared" si="166"/>
        <v>-84.855283122639548</v>
      </c>
      <c r="BD166" s="286"/>
      <c r="BE166" s="270">
        <f t="shared" si="163"/>
        <v>25.650534463165936</v>
      </c>
      <c r="BF166" s="581">
        <f t="shared" si="164"/>
        <v>-4.1839108339932451</v>
      </c>
      <c r="BI166" s="286"/>
      <c r="BJ166" s="286"/>
      <c r="BL166" s="253">
        <f t="shared" si="133"/>
        <v>0</v>
      </c>
      <c r="BM166" s="253">
        <f t="shared" si="167"/>
        <v>0</v>
      </c>
      <c r="BN166" s="253">
        <f t="shared" si="134"/>
        <v>0</v>
      </c>
      <c r="BO166" s="253">
        <f t="shared" si="135"/>
        <v>0</v>
      </c>
    </row>
    <row r="167" spans="4:67" ht="13.6" thickBot="1" x14ac:dyDescent="0.25">
      <c r="D167" s="280">
        <v>9386.85</v>
      </c>
      <c r="E167" s="273" t="str">
        <f t="shared" si="114"/>
        <v>0.106162772401258i</v>
      </c>
      <c r="F167" s="579" t="str">
        <f t="shared" si="136"/>
        <v>0.002-0.260847631104061i</v>
      </c>
      <c r="G167" s="270" t="str">
        <f t="shared" si="137"/>
        <v>0.002-0.260847631104061i</v>
      </c>
      <c r="H167" s="271" t="str">
        <f t="shared" si="138"/>
        <v>0.0353506784399339-0.255981079659912i</v>
      </c>
      <c r="I167" s="271" t="str">
        <f t="shared" si="139"/>
        <v>0.0453506784399339-0.255981079659912i</v>
      </c>
      <c r="J167" s="270" t="str">
        <f t="shared" si="140"/>
        <v>0.011958519059415-0.130115838129548i</v>
      </c>
      <c r="K167" s="271" t="str">
        <f t="shared" si="115"/>
        <v>0.997774981618583-0.0740946206038928i</v>
      </c>
      <c r="L167" s="580"/>
      <c r="M167" s="580" t="str">
        <f t="shared" si="116"/>
        <v>76.4521580676139-471.467765536524i</v>
      </c>
      <c r="N167" s="270" t="str">
        <f t="shared" si="117"/>
        <v>50.6724518840437-353.600824152393i</v>
      </c>
      <c r="O167" s="581" t="str">
        <f t="shared" si="118"/>
        <v>10.5222105170968-179.23312755317i</v>
      </c>
      <c r="P167" s="582" t="str">
        <f t="shared" si="119"/>
        <v>-45.4031001162449-10.8218307420228i</v>
      </c>
      <c r="Q167" s="583" t="str">
        <f t="shared" si="120"/>
        <v>-45.508322221416-9.02949946649109i</v>
      </c>
      <c r="R167" s="581" t="str">
        <f t="shared" si="141"/>
        <v>1.85139365711578-21.3166357904087i</v>
      </c>
      <c r="S167" s="253" t="str">
        <f t="shared" si="142"/>
        <v>50.9743622201463+1.41663740848141i</v>
      </c>
      <c r="T167" s="253" t="str">
        <f t="shared" si="143"/>
        <v>19.1159422094278-1.42360466798125i</v>
      </c>
      <c r="U167" s="253" t="str">
        <f t="shared" si="144"/>
        <v>0.311345666203114-4.9436449163292i</v>
      </c>
      <c r="V167" s="582" t="str">
        <f t="shared" si="121"/>
        <v>6000</v>
      </c>
      <c r="W167" s="584" t="str">
        <f t="shared" si="122"/>
        <v>1+33033.3723431034i</v>
      </c>
      <c r="X167" s="585">
        <f t="shared" si="123"/>
        <v>33033.372358239605</v>
      </c>
      <c r="Y167" s="586">
        <f t="shared" si="124"/>
        <v>1.5707660543785866</v>
      </c>
      <c r="Z167" s="273" t="str">
        <f t="shared" si="125"/>
        <v>1+4.95426271205869i</v>
      </c>
      <c r="AA167" s="585">
        <f t="shared" si="126"/>
        <v>5.0541783724058575</v>
      </c>
      <c r="AB167" s="586">
        <f t="shared" si="127"/>
        <v>1.3716260324203289</v>
      </c>
      <c r="AC167" s="584" t="str">
        <f t="shared" si="128"/>
        <v>1+0.239516096748984i</v>
      </c>
      <c r="AD167" s="585">
        <f t="shared" si="129"/>
        <v>1.0282839883037509</v>
      </c>
      <c r="AE167" s="586">
        <f t="shared" si="130"/>
        <v>0.23508738204340762</v>
      </c>
      <c r="AF167" s="580" t="str">
        <f t="shared" si="145"/>
        <v>0.809909784095712-0.375593686866105i</v>
      </c>
      <c r="AG167" s="270">
        <f t="shared" si="146"/>
        <v>0.89276227294147947</v>
      </c>
      <c r="AH167" s="581">
        <f t="shared" si="147"/>
        <v>-0.43422740400166454</v>
      </c>
      <c r="AI167" s="582" t="str">
        <f t="shared" si="131"/>
        <v>4000</v>
      </c>
      <c r="AJ167" s="584" t="str">
        <f t="shared" si="148"/>
        <v>1+2595.18082018046i</v>
      </c>
      <c r="AK167" s="585">
        <f t="shared" si="149"/>
        <v>2595.1810128452557</v>
      </c>
      <c r="AL167" s="586">
        <f t="shared" si="150"/>
        <v>1.5704109972091003</v>
      </c>
      <c r="AM167" s="273" t="str">
        <f t="shared" si="151"/>
        <v>1+0.0908281497210761i</v>
      </c>
      <c r="AN167" s="585">
        <f t="shared" si="152"/>
        <v>1.0041164039999317</v>
      </c>
      <c r="AO167" s="586">
        <f t="shared" si="153"/>
        <v>9.0579608879394272E-2</v>
      </c>
      <c r="AP167" s="584" t="str">
        <f t="shared" si="154"/>
        <v>1+0.000657120785522601i</v>
      </c>
      <c r="AQ167" s="585">
        <f t="shared" si="155"/>
        <v>1.0000002159038401</v>
      </c>
      <c r="AR167" s="586">
        <f t="shared" si="156"/>
        <v>6.5712069093934802E-4</v>
      </c>
      <c r="AS167" s="580" t="str">
        <f t="shared" si="157"/>
        <v>0.139576137872218-1.54135596474973i</v>
      </c>
      <c r="AT167" s="270">
        <f t="shared" si="158"/>
        <v>1.547662659733346</v>
      </c>
      <c r="AU167" s="581">
        <f t="shared" si="159"/>
        <v>-1.480488509020645</v>
      </c>
      <c r="AV167" s="580" t="str">
        <f t="shared" si="160"/>
        <v>0.00473847838941988-0.296631727877264i</v>
      </c>
      <c r="AW167" s="270">
        <f t="shared" si="161"/>
        <v>-10.554539888375686</v>
      </c>
      <c r="AX167" s="581">
        <f t="shared" si="162"/>
        <v>-89.084818992995707</v>
      </c>
      <c r="AY167" s="299">
        <f t="shared" si="132"/>
        <v>90.915181007004293</v>
      </c>
      <c r="BB167" s="270">
        <f t="shared" si="165"/>
        <v>-36.206473909003648</v>
      </c>
      <c r="BC167" s="270">
        <f t="shared" si="166"/>
        <v>-84.825743184498862</v>
      </c>
      <c r="BD167" s="286"/>
      <c r="BE167" s="270">
        <f t="shared" si="163"/>
        <v>25.651934020627941</v>
      </c>
      <c r="BF167" s="581">
        <f t="shared" si="164"/>
        <v>-4.2590758084968314</v>
      </c>
      <c r="BI167" s="286"/>
      <c r="BJ167" s="286"/>
      <c r="BL167" s="253">
        <f t="shared" si="133"/>
        <v>0</v>
      </c>
      <c r="BM167" s="253">
        <f t="shared" si="167"/>
        <v>0</v>
      </c>
      <c r="BN167" s="253">
        <f t="shared" si="134"/>
        <v>0</v>
      </c>
      <c r="BO167" s="253">
        <f t="shared" si="135"/>
        <v>0</v>
      </c>
    </row>
    <row r="168" spans="4:67" ht="13.6" thickBot="1" x14ac:dyDescent="0.25">
      <c r="D168" s="280">
        <v>9441.2000000000007</v>
      </c>
      <c r="E168" s="273" t="str">
        <f t="shared" si="114"/>
        <v>0.106777456419859i</v>
      </c>
      <c r="F168" s="579" t="str">
        <f t="shared" si="136"/>
        <v>0.002-0.25934601385726i</v>
      </c>
      <c r="G168" s="270" t="str">
        <f t="shared" si="137"/>
        <v>0.002-0.25934601385726i</v>
      </c>
      <c r="H168" s="271" t="str">
        <f t="shared" si="138"/>
        <v>0.0349741016520313-0.254556260670743i</v>
      </c>
      <c r="I168" s="271" t="str">
        <f t="shared" si="139"/>
        <v>0.0449741016520313-0.254556260670743i</v>
      </c>
      <c r="J168" s="270" t="str">
        <f t="shared" si="140"/>
        <v>0.011861704764511-0.129373617368207i</v>
      </c>
      <c r="K168" s="271" t="str">
        <f t="shared" si="115"/>
        <v>0.997749141247948-0.0745236295504321i</v>
      </c>
      <c r="L168" s="580"/>
      <c r="M168" s="580" t="str">
        <f t="shared" si="116"/>
        <v>70.9121282754448-458.35204217238i</v>
      </c>
      <c r="N168" s="270" t="str">
        <f t="shared" si="117"/>
        <v>46.5174295399169-343.764031629285i</v>
      </c>
      <c r="O168" s="581" t="str">
        <f t="shared" si="118"/>
        <v>8.89795738169465-174.116314406667i</v>
      </c>
      <c r="P168" s="582" t="str">
        <f t="shared" si="119"/>
        <v>-43.9222202773529-10.0957555820943i</v>
      </c>
      <c r="Q168" s="583" t="str">
        <f t="shared" si="120"/>
        <v>-44.0111998511697-8.35459243802764i</v>
      </c>
      <c r="R168" s="581" t="str">
        <f t="shared" si="141"/>
        <v>1.63851682544411-20.7131382322535i</v>
      </c>
      <c r="S168" s="253" t="str">
        <f t="shared" si="142"/>
        <v>50.9846417543382+1.36634635723557i</v>
      </c>
      <c r="T168" s="253" t="str">
        <f t="shared" si="143"/>
        <v>19.1170981549146-1.44882468962564i</v>
      </c>
      <c r="U168" s="253" t="str">
        <f t="shared" si="144"/>
        <v>0.299795938803292-4.91704836316156i</v>
      </c>
      <c r="V168" s="582" t="str">
        <f t="shared" si="121"/>
        <v>6000</v>
      </c>
      <c r="W168" s="584" t="str">
        <f t="shared" si="122"/>
        <v>1+33224.6360563669i</v>
      </c>
      <c r="X168" s="585">
        <f t="shared" si="123"/>
        <v>33224.636071415975</v>
      </c>
      <c r="Y168" s="586">
        <f t="shared" si="124"/>
        <v>1.5707662286473052</v>
      </c>
      <c r="Z168" s="273" t="str">
        <f t="shared" si="125"/>
        <v>1+4.98294796626009i</v>
      </c>
      <c r="AA168" s="585">
        <f t="shared" si="126"/>
        <v>5.0822997190696624</v>
      </c>
      <c r="AB168" s="586">
        <f t="shared" si="127"/>
        <v>1.3727427618332568</v>
      </c>
      <c r="AC168" s="584" t="str">
        <f t="shared" si="128"/>
        <v>1+0.240902898483145i</v>
      </c>
      <c r="AD168" s="585">
        <f t="shared" si="129"/>
        <v>1.0286078973533017</v>
      </c>
      <c r="AE168" s="586">
        <f t="shared" si="130"/>
        <v>0.23639852960849417</v>
      </c>
      <c r="AF168" s="580" t="str">
        <f t="shared" si="145"/>
        <v>0.809399722907298-0.375548540449517i</v>
      </c>
      <c r="AG168" s="270">
        <f t="shared" si="146"/>
        <v>0.89228057116367454</v>
      </c>
      <c r="AH168" s="581">
        <f t="shared" si="147"/>
        <v>-0.43442199642254331</v>
      </c>
      <c r="AI168" s="582" t="str">
        <f t="shared" si="131"/>
        <v>4000</v>
      </c>
      <c r="AJ168" s="584" t="str">
        <f t="shared" si="148"/>
        <v>1+2610.20695542038i</v>
      </c>
      <c r="AK168" s="585">
        <f t="shared" si="149"/>
        <v>2610.2071469760649</v>
      </c>
      <c r="AL168" s="586">
        <f t="shared" si="150"/>
        <v>1.5704132154293404</v>
      </c>
      <c r="AM168" s="273" t="str">
        <f t="shared" si="151"/>
        <v>1+0.0913540460481017i</v>
      </c>
      <c r="AN168" s="585">
        <f t="shared" si="152"/>
        <v>1.004164110954658</v>
      </c>
      <c r="AO168" s="586">
        <f t="shared" si="153"/>
        <v>9.1101177433757619E-2</v>
      </c>
      <c r="AP168" s="584" t="str">
        <f t="shared" si="154"/>
        <v>1+0.000660925524566386i</v>
      </c>
      <c r="AQ168" s="585">
        <f t="shared" si="155"/>
        <v>1.0000002184112506</v>
      </c>
      <c r="AR168" s="586">
        <f t="shared" si="156"/>
        <v>6.6092542833068714E-4</v>
      </c>
      <c r="AS168" s="580" t="str">
        <f t="shared" si="157"/>
        <v>0.139569319127736-1.53248392349217i</v>
      </c>
      <c r="AT168" s="270">
        <f t="shared" si="158"/>
        <v>1.5388263614208508</v>
      </c>
      <c r="AU168" s="581">
        <f t="shared" si="159"/>
        <v>-1.4799729634239136</v>
      </c>
      <c r="AV168" s="580" t="str">
        <f t="shared" si="160"/>
        <v>0.00447859828369703-0.29498857061695i</v>
      </c>
      <c r="AW168" s="270">
        <f t="shared" si="161"/>
        <v>-10.602895270075985</v>
      </c>
      <c r="AX168" s="581">
        <f t="shared" si="162"/>
        <v>-89.13018641350294</v>
      </c>
      <c r="AY168" s="299">
        <f t="shared" si="132"/>
        <v>90.86981358649706</v>
      </c>
      <c r="BB168" s="270">
        <f t="shared" si="165"/>
        <v>-36.256207649259892</v>
      </c>
      <c r="BC168" s="270">
        <f t="shared" si="166"/>
        <v>-84.796204597659596</v>
      </c>
      <c r="BD168" s="286"/>
      <c r="BE168" s="270">
        <f t="shared" si="163"/>
        <v>25.653312379183895</v>
      </c>
      <c r="BF168" s="581">
        <f t="shared" si="164"/>
        <v>-4.3339818158433356</v>
      </c>
      <c r="BI168" s="286"/>
      <c r="BJ168" s="286"/>
      <c r="BL168" s="253">
        <f t="shared" si="133"/>
        <v>0</v>
      </c>
      <c r="BM168" s="253">
        <f t="shared" si="167"/>
        <v>0</v>
      </c>
      <c r="BN168" s="253">
        <f t="shared" si="134"/>
        <v>0</v>
      </c>
      <c r="BO168" s="253">
        <f t="shared" si="135"/>
        <v>0</v>
      </c>
    </row>
    <row r="169" spans="4:67" ht="13.6" thickBot="1" x14ac:dyDescent="0.25">
      <c r="D169" s="280">
        <v>9495.5499999999993</v>
      </c>
      <c r="E169" s="273" t="str">
        <f t="shared" si="114"/>
        <v>0.10739214043846i</v>
      </c>
      <c r="F169" s="579" t="str">
        <f t="shared" si="136"/>
        <v>0.002-0.257861586325085i</v>
      </c>
      <c r="G169" s="270" t="str">
        <f t="shared" si="137"/>
        <v>0.002-0.257861586325085i</v>
      </c>
      <c r="H169" s="271" t="str">
        <f t="shared" si="138"/>
        <v>0.0346038319147683-0.253146939889961i</v>
      </c>
      <c r="I169" s="271" t="str">
        <f t="shared" si="139"/>
        <v>0.0446038319147683-0.253146939889961i</v>
      </c>
      <c r="J169" s="270" t="str">
        <f t="shared" si="140"/>
        <v>0.0117665386457178-0.128639790231478i</v>
      </c>
      <c r="K169" s="271" t="str">
        <f t="shared" si="115"/>
        <v>0.997723151693076-0.0749526384969713i</v>
      </c>
      <c r="L169" s="580"/>
      <c r="M169" s="580" t="str">
        <f t="shared" si="116"/>
        <v>65.8939257717891-445.951894506927i</v>
      </c>
      <c r="N169" s="270" t="str">
        <f t="shared" si="117"/>
        <v>42.7537776621751-334.463920880195i</v>
      </c>
      <c r="O169" s="581" t="str">
        <f t="shared" si="118"/>
        <v>7.44427368928698-169.2864539303i</v>
      </c>
      <c r="P169" s="582" t="str">
        <f t="shared" si="119"/>
        <v>-42.5223046449135-9.43531964070057i</v>
      </c>
      <c r="Q169" s="583" t="str">
        <f t="shared" si="120"/>
        <v>-42.5967473818067-7.74245510139762i</v>
      </c>
      <c r="R169" s="581" t="str">
        <f t="shared" si="141"/>
        <v>1.44706639687334-20.1431734209912i</v>
      </c>
      <c r="S169" s="253" t="str">
        <f t="shared" si="142"/>
        <v>50.9947113743007+1.31633412087554i</v>
      </c>
      <c r="T169" s="253" t="str">
        <f t="shared" si="143"/>
        <v>19.1181822445759-1.47396157775139i</v>
      </c>
      <c r="U169" s="253" t="str">
        <f t="shared" si="144"/>
        <v>0.288433501984068-4.89071405015831i</v>
      </c>
      <c r="V169" s="582" t="str">
        <f t="shared" si="121"/>
        <v>6000</v>
      </c>
      <c r="W169" s="584" t="str">
        <f t="shared" si="122"/>
        <v>1+33415.8997696304i</v>
      </c>
      <c r="X169" s="585">
        <f t="shared" si="123"/>
        <v>33415.899784593334</v>
      </c>
      <c r="Y169" s="586">
        <f t="shared" si="124"/>
        <v>1.5707664009210882</v>
      </c>
      <c r="Z169" s="273" t="str">
        <f t="shared" si="125"/>
        <v>1+5.01163322046149i</v>
      </c>
      <c r="AA169" s="585">
        <f t="shared" si="126"/>
        <v>5.1104273340331527</v>
      </c>
      <c r="AB169" s="586">
        <f t="shared" si="127"/>
        <v>1.3738471997309216</v>
      </c>
      <c r="AC169" s="584" t="str">
        <f t="shared" si="128"/>
        <v>1+0.242289700217306i</v>
      </c>
      <c r="AD169" s="585">
        <f t="shared" si="129"/>
        <v>1.0289335735757639</v>
      </c>
      <c r="AE169" s="586">
        <f t="shared" si="130"/>
        <v>0.23770884942079162</v>
      </c>
      <c r="AF169" s="580" t="str">
        <f t="shared" si="145"/>
        <v>0.8088873658833-0.375513390885853i</v>
      </c>
      <c r="AG169" s="270">
        <f t="shared" si="146"/>
        <v>0.89180103017445267</v>
      </c>
      <c r="AH169" s="581">
        <f t="shared" si="147"/>
        <v>-0.43462805061095883</v>
      </c>
      <c r="AI169" s="582" t="str">
        <f t="shared" si="131"/>
        <v>4000</v>
      </c>
      <c r="AJ169" s="584" t="str">
        <f t="shared" si="148"/>
        <v>1+2625.2330906603i</v>
      </c>
      <c r="AK169" s="585">
        <f t="shared" si="149"/>
        <v>2625.233281119572</v>
      </c>
      <c r="AL169" s="586">
        <f t="shared" si="150"/>
        <v>1.5704154082565804</v>
      </c>
      <c r="AM169" s="273" t="str">
        <f t="shared" si="151"/>
        <v>1+0.0918799423751273i</v>
      </c>
      <c r="AN169" s="585">
        <f t="shared" si="152"/>
        <v>1.0042120910499219</v>
      </c>
      <c r="AO169" s="586">
        <f t="shared" si="153"/>
        <v>9.1622696290092717E-2</v>
      </c>
      <c r="AP169" s="584" t="str">
        <f t="shared" si="154"/>
        <v>1+0.00066473026361017i</v>
      </c>
      <c r="AQ169" s="585">
        <f t="shared" si="155"/>
        <v>1.0000002209331373</v>
      </c>
      <c r="AR169" s="586">
        <f t="shared" si="156"/>
        <v>6.6473016570289009E-4</v>
      </c>
      <c r="AS169" s="580" t="str">
        <f t="shared" si="157"/>
        <v>0.1395626171179-1.52371345064738i</v>
      </c>
      <c r="AT169" s="270">
        <f t="shared" si="158"/>
        <v>1.5300916324784417</v>
      </c>
      <c r="AU169" s="581">
        <f t="shared" si="159"/>
        <v>-1.4794574421321909</v>
      </c>
      <c r="AV169" s="580" t="str">
        <f t="shared" si="160"/>
        <v>0.00422288466832754-0.293363413733104i</v>
      </c>
      <c r="AW169" s="270">
        <f t="shared" si="161"/>
        <v>-10.650981186984232</v>
      </c>
      <c r="AX169" s="581">
        <f t="shared" si="162"/>
        <v>-89.175300163375042</v>
      </c>
      <c r="AY169" s="299">
        <f t="shared" si="132"/>
        <v>90.824699836624958</v>
      </c>
      <c r="BB169" s="270">
        <f t="shared" si="165"/>
        <v>-36.305651196875317</v>
      </c>
      <c r="BC169" s="270">
        <f t="shared" si="166"/>
        <v>-84.766667403394763</v>
      </c>
      <c r="BD169" s="286"/>
      <c r="BE169" s="270">
        <f t="shared" si="163"/>
        <v>25.654670009891092</v>
      </c>
      <c r="BF169" s="581">
        <f t="shared" si="164"/>
        <v>-4.4086327599802821</v>
      </c>
      <c r="BI169" s="286"/>
      <c r="BJ169" s="286"/>
      <c r="BL169" s="253">
        <f t="shared" si="133"/>
        <v>0</v>
      </c>
      <c r="BM169" s="253">
        <f t="shared" si="167"/>
        <v>0</v>
      </c>
      <c r="BN169" s="253">
        <f t="shared" si="134"/>
        <v>0</v>
      </c>
      <c r="BO169" s="253">
        <f t="shared" si="135"/>
        <v>0</v>
      </c>
    </row>
    <row r="170" spans="4:67" ht="13.6" thickBot="1" x14ac:dyDescent="0.25">
      <c r="D170" s="280">
        <v>9549.9</v>
      </c>
      <c r="E170" s="273" t="str">
        <f t="shared" si="114"/>
        <v>0.108006824457062i</v>
      </c>
      <c r="F170" s="579" t="str">
        <f t="shared" si="136"/>
        <v>0.002-0.256394055019336i</v>
      </c>
      <c r="G170" s="270" t="str">
        <f t="shared" si="137"/>
        <v>0.002-0.256394055019336i</v>
      </c>
      <c r="H170" s="271" t="str">
        <f t="shared" si="138"/>
        <v>0.034239729941285-0.251752870547582i</v>
      </c>
      <c r="I170" s="271" t="str">
        <f t="shared" si="139"/>
        <v>0.044239729941285-0.251752870547582i</v>
      </c>
      <c r="J170" s="270" t="str">
        <f t="shared" si="140"/>
        <v>0.0116729835438264-0.127914215788531i</v>
      </c>
      <c r="K170" s="271" t="str">
        <f t="shared" si="115"/>
        <v>0.997697012953966-0.0753816474435105i</v>
      </c>
      <c r="L170" s="580"/>
      <c r="M170" s="580" t="str">
        <f t="shared" si="116"/>
        <v>61.3367699342603-434.214131711111i</v>
      </c>
      <c r="N170" s="270" t="str">
        <f t="shared" si="117"/>
        <v>39.3359107840285-325.660598783333i</v>
      </c>
      <c r="O170" s="581" t="str">
        <f t="shared" si="118"/>
        <v>6.1402320906045-164.721438077735i</v>
      </c>
      <c r="P170" s="582" t="str">
        <f t="shared" si="119"/>
        <v>-41.1974526673301-8.83305299073712i</v>
      </c>
      <c r="Q170" s="583" t="str">
        <f t="shared" si="120"/>
        <v>-41.2588549882365-7.18583860995981i</v>
      </c>
      <c r="R170" s="581" t="str">
        <f t="shared" si="141"/>
        <v>1.27446375952076-19.6041878960534i</v>
      </c>
      <c r="S170" s="253" t="str">
        <f t="shared" si="142"/>
        <v>51.0045752705526+1.26659682636403i</v>
      </c>
      <c r="T170" s="253" t="str">
        <f t="shared" si="143"/>
        <v>19.1191957032805-1.49901645316784i</v>
      </c>
      <c r="U170" s="253" t="str">
        <f t="shared" si="144"/>
        <v>0.277254402491846-4.86463831939589i</v>
      </c>
      <c r="V170" s="582" t="str">
        <f t="shared" si="121"/>
        <v>6000</v>
      </c>
      <c r="W170" s="584" t="str">
        <f t="shared" si="122"/>
        <v>1+33607.1634828939i</v>
      </c>
      <c r="X170" s="585">
        <f t="shared" si="123"/>
        <v>33607.163497771675</v>
      </c>
      <c r="Y170" s="586">
        <f t="shared" si="124"/>
        <v>1.5707665712339962</v>
      </c>
      <c r="Z170" s="273" t="str">
        <f t="shared" si="125"/>
        <v>1+5.04031847466288i</v>
      </c>
      <c r="AA170" s="585">
        <f t="shared" si="126"/>
        <v>5.138561114361484</v>
      </c>
      <c r="AB170" s="586">
        <f t="shared" si="127"/>
        <v>1.3749395452858846</v>
      </c>
      <c r="AC170" s="584" t="str">
        <f t="shared" si="128"/>
        <v>1+0.243676501951466i</v>
      </c>
      <c r="AD170" s="585">
        <f t="shared" si="129"/>
        <v>1.0292610152936439</v>
      </c>
      <c r="AE170" s="586">
        <f t="shared" si="130"/>
        <v>0.23901833776871359</v>
      </c>
      <c r="AF170" s="580" t="str">
        <f t="shared" si="145"/>
        <v>0.808372722938004-0.375488026707121i</v>
      </c>
      <c r="AG170" s="270">
        <f t="shared" si="146"/>
        <v>0.89132357614427016</v>
      </c>
      <c r="AH170" s="581">
        <f t="shared" si="147"/>
        <v>-0.43484536371682353</v>
      </c>
      <c r="AI170" s="582" t="str">
        <f t="shared" si="131"/>
        <v>4000</v>
      </c>
      <c r="AJ170" s="584" t="str">
        <f t="shared" si="148"/>
        <v>1+2640.25922590021i</v>
      </c>
      <c r="AK170" s="585">
        <f t="shared" si="149"/>
        <v>2640.2594152755478</v>
      </c>
      <c r="AL170" s="586">
        <f t="shared" si="150"/>
        <v>1.5704175761243666</v>
      </c>
      <c r="AM170" s="273" t="str">
        <f t="shared" si="151"/>
        <v>1+0.0924058387021529i</v>
      </c>
      <c r="AN170" s="585">
        <f t="shared" si="152"/>
        <v>1.0042603442465745</v>
      </c>
      <c r="AO170" s="586">
        <f t="shared" si="153"/>
        <v>9.2144165171855807E-2</v>
      </c>
      <c r="AP170" s="584" t="str">
        <f t="shared" si="154"/>
        <v>1+0.000668535002653955i</v>
      </c>
      <c r="AQ170" s="585">
        <f t="shared" si="155"/>
        <v>1.0000002234695</v>
      </c>
      <c r="AR170" s="586">
        <f t="shared" si="156"/>
        <v>6.6853490305584878E-4</v>
      </c>
      <c r="AS170" s="580" t="str">
        <f t="shared" si="157"/>
        <v>0.139556029192776-1.51504281209039i</v>
      </c>
      <c r="AT170" s="270">
        <f t="shared" si="158"/>
        <v>1.521456738704986</v>
      </c>
      <c r="AU170" s="581">
        <f t="shared" si="159"/>
        <v>-1.4789419458555666</v>
      </c>
      <c r="AV170" s="580" t="str">
        <f t="shared" si="160"/>
        <v>0.00397124931132244-0.291755968071033i</v>
      </c>
      <c r="AW170" s="270">
        <f t="shared" si="161"/>
        <v>-10.698800467087384</v>
      </c>
      <c r="AX170" s="581">
        <f t="shared" si="162"/>
        <v>-89.220164112388062</v>
      </c>
      <c r="AY170" s="299">
        <f t="shared" si="132"/>
        <v>90.779835887611938</v>
      </c>
      <c r="BB170" s="270">
        <f t="shared" si="165"/>
        <v>-36.35480783829918</v>
      </c>
      <c r="BC170" s="270">
        <f t="shared" si="166"/>
        <v>-84.737131642389485</v>
      </c>
      <c r="BD170" s="286"/>
      <c r="BE170" s="270">
        <f t="shared" si="163"/>
        <v>25.656007371211807</v>
      </c>
      <c r="BF170" s="581">
        <f t="shared" si="164"/>
        <v>-4.4830324699985855</v>
      </c>
      <c r="BI170" s="286"/>
      <c r="BJ170" s="286"/>
      <c r="BL170" s="253">
        <f t="shared" si="133"/>
        <v>0</v>
      </c>
      <c r="BM170" s="253">
        <f t="shared" si="167"/>
        <v>0</v>
      </c>
      <c r="BN170" s="253">
        <f t="shared" si="134"/>
        <v>0</v>
      </c>
      <c r="BO170" s="253">
        <f t="shared" si="135"/>
        <v>0</v>
      </c>
    </row>
    <row r="171" spans="4:67" ht="13.6" thickBot="1" x14ac:dyDescent="0.25">
      <c r="D171" s="280">
        <v>9605.5249999999996</v>
      </c>
      <c r="E171" s="273" t="str">
        <f t="shared" si="114"/>
        <v>0.108635928385943i</v>
      </c>
      <c r="F171" s="579" t="str">
        <f t="shared" si="136"/>
        <v>0.002-0.254909292936009i</v>
      </c>
      <c r="G171" s="270" t="str">
        <f t="shared" si="137"/>
        <v>0.002-0.254909292936009i</v>
      </c>
      <c r="H171" s="271" t="str">
        <f t="shared" si="138"/>
        <v>0.0338733316095475-0.250341637793227i</v>
      </c>
      <c r="I171" s="271" t="str">
        <f t="shared" si="139"/>
        <v>0.0438733316095475-0.250341637793227i</v>
      </c>
      <c r="J171" s="270" t="str">
        <f t="shared" si="140"/>
        <v>0.01157886419013-0.127180021624119i</v>
      </c>
      <c r="K171" s="271" t="str">
        <f t="shared" si="115"/>
        <v>0.997670106549693-0.0758207205373696i</v>
      </c>
      <c r="L171" s="580"/>
      <c r="M171" s="580" t="str">
        <f t="shared" si="116"/>
        <v>57.0954430381485-422.836215109101i</v>
      </c>
      <c r="N171" s="270" t="str">
        <f t="shared" si="117"/>
        <v>36.1549156119447-317.127161331826i</v>
      </c>
      <c r="O171" s="581" t="str">
        <f t="shared" si="118"/>
        <v>4.94182757511419-160.302621536763i</v>
      </c>
      <c r="P171" s="582" t="str">
        <f t="shared" si="119"/>
        <v>-39.9136063781008-8.27015528140798i</v>
      </c>
      <c r="Q171" s="583" t="str">
        <f t="shared" si="120"/>
        <v>-39.963024653852-6.66712906604038i</v>
      </c>
      <c r="R171" s="581" t="str">
        <f t="shared" si="141"/>
        <v>1.11501706001863-19.0822126079008i</v>
      </c>
      <c r="S171" s="253" t="str">
        <f t="shared" si="142"/>
        <v>51.0144618044506+1.21597346086659i</v>
      </c>
      <c r="T171" s="253" t="str">
        <f t="shared" si="143"/>
        <v>19.1201610460132-1.52457532083824i</v>
      </c>
      <c r="U171" s="253" t="str">
        <f t="shared" si="144"/>
        <v>0.265998872781775-4.83821487653569i</v>
      </c>
      <c r="V171" s="582" t="str">
        <f t="shared" si="121"/>
        <v>6000</v>
      </c>
      <c r="W171" s="584" t="str">
        <f t="shared" si="122"/>
        <v>1+33802.914063396i</v>
      </c>
      <c r="X171" s="585">
        <f t="shared" si="123"/>
        <v>33802.914078187619</v>
      </c>
      <c r="Y171" s="586">
        <f t="shared" si="124"/>
        <v>1.5707667435466053</v>
      </c>
      <c r="Z171" s="273" t="str">
        <f t="shared" si="125"/>
        <v>1+5.06967665801068i</v>
      </c>
      <c r="AA171" s="585">
        <f t="shared" si="126"/>
        <v>5.1673611656994067</v>
      </c>
      <c r="AB171" s="586">
        <f t="shared" si="127"/>
        <v>1.3760451984771849</v>
      </c>
      <c r="AC171" s="584" t="str">
        <f t="shared" si="128"/>
        <v>1+0.245095836752988i</v>
      </c>
      <c r="AD171" s="585">
        <f t="shared" si="129"/>
        <v>1.0295979648356184</v>
      </c>
      <c r="AE171" s="586">
        <f t="shared" si="130"/>
        <v>0.24035768067693064</v>
      </c>
      <c r="AF171" s="580" t="str">
        <f t="shared" si="145"/>
        <v>0.807843650336172-0.375471984158903i</v>
      </c>
      <c r="AG171" s="270">
        <f t="shared" si="146"/>
        <v>0.89083700769371665</v>
      </c>
      <c r="AH171" s="581">
        <f t="shared" si="147"/>
        <v>-0.43507922574634883</v>
      </c>
      <c r="AI171" s="582" t="str">
        <f t="shared" si="131"/>
        <v>4000</v>
      </c>
      <c r="AJ171" s="584" t="str">
        <f t="shared" si="148"/>
        <v>1+2655.6378601729i</v>
      </c>
      <c r="AK171" s="585">
        <f t="shared" si="149"/>
        <v>2655.6380484515771</v>
      </c>
      <c r="AL171" s="586">
        <f t="shared" si="150"/>
        <v>1.5704197694458197</v>
      </c>
      <c r="AM171" s="273" t="str">
        <f t="shared" si="151"/>
        <v>1+0.0929440720635292i</v>
      </c>
      <c r="AN171" s="585">
        <f t="shared" si="152"/>
        <v>1.0043100121634507</v>
      </c>
      <c r="AO171" s="586">
        <f t="shared" si="153"/>
        <v>9.2677815188979773E-2</v>
      </c>
      <c r="AP171" s="584" t="str">
        <f t="shared" si="154"/>
        <v>1+0.000672428997305484i</v>
      </c>
      <c r="AQ171" s="585">
        <f t="shared" si="155"/>
        <v>1.0000002260803527</v>
      </c>
      <c r="AR171" s="586">
        <f t="shared" si="156"/>
        <v>6.7242889595684353E-4</v>
      </c>
      <c r="AS171" s="580" t="str">
        <f t="shared" si="157"/>
        <v>0.139549402164792-1.50627037480889i</v>
      </c>
      <c r="AT171" s="270">
        <f t="shared" si="158"/>
        <v>1.5127208855805041</v>
      </c>
      <c r="AU171" s="581">
        <f t="shared" si="159"/>
        <v>-1.4784143831527965</v>
      </c>
      <c r="AV171" s="580" t="str">
        <f t="shared" si="160"/>
        <v>0.00371784403322287-0.290128857197628i</v>
      </c>
      <c r="AW171" s="270">
        <f t="shared" si="161"/>
        <v>-10.74746835514922</v>
      </c>
      <c r="AX171" s="581">
        <f t="shared" si="162"/>
        <v>-89.265825828750536</v>
      </c>
      <c r="AY171" s="299">
        <f t="shared" si="132"/>
        <v>90.734174171249464</v>
      </c>
      <c r="BB171" s="270">
        <f t="shared" si="165"/>
        <v>-36.404823938340812</v>
      </c>
      <c r="BC171" s="270">
        <f t="shared" si="166"/>
        <v>-84.706904526092231</v>
      </c>
      <c r="BD171" s="286"/>
      <c r="BE171" s="270">
        <f t="shared" si="163"/>
        <v>25.657355583191595</v>
      </c>
      <c r="BF171" s="581">
        <f t="shared" si="164"/>
        <v>-4.5589213026582982</v>
      </c>
      <c r="BI171" s="286"/>
      <c r="BJ171" s="286"/>
      <c r="BL171" s="253">
        <f t="shared" si="133"/>
        <v>0</v>
      </c>
      <c r="BM171" s="253">
        <f t="shared" si="167"/>
        <v>0</v>
      </c>
      <c r="BN171" s="253">
        <f t="shared" si="134"/>
        <v>0</v>
      </c>
      <c r="BO171" s="253">
        <f t="shared" si="135"/>
        <v>0</v>
      </c>
    </row>
    <row r="172" spans="4:67" ht="13.6" thickBot="1" x14ac:dyDescent="0.25">
      <c r="D172" s="280">
        <v>9661.15</v>
      </c>
      <c r="E172" s="273" t="str">
        <f t="shared" si="114"/>
        <v>0.109265032314825i</v>
      </c>
      <c r="F172" s="579" t="str">
        <f t="shared" si="136"/>
        <v>0.002-0.253441628173578i</v>
      </c>
      <c r="G172" s="270" t="str">
        <f t="shared" si="137"/>
        <v>0.002-0.253441628173578i</v>
      </c>
      <c r="H172" s="271" t="str">
        <f t="shared" si="138"/>
        <v>0.0335131106598567-0.248945873634546i</v>
      </c>
      <c r="I172" s="271" t="str">
        <f t="shared" si="139"/>
        <v>0.0435131106598567-0.248945873634546i</v>
      </c>
      <c r="J172" s="270" t="str">
        <f t="shared" si="140"/>
        <v>0.0114863568645636-0.126454183119851i</v>
      </c>
      <c r="K172" s="271" t="str">
        <f t="shared" si="115"/>
        <v>0.997643043879637-0.0762597936312287i</v>
      </c>
      <c r="L172" s="580"/>
      <c r="M172" s="580" t="str">
        <f t="shared" si="116"/>
        <v>53.2335962017086-412.053733730516i</v>
      </c>
      <c r="N172" s="270" t="str">
        <f t="shared" si="117"/>
        <v>33.2585304846148-309.040300297887i</v>
      </c>
      <c r="O172" s="581" t="str">
        <f t="shared" si="118"/>
        <v>3.86482662008355-156.120643561263i</v>
      </c>
      <c r="P172" s="582" t="str">
        <f t="shared" si="119"/>
        <v>-38.6974193753455-7.75542747895206i</v>
      </c>
      <c r="Q172" s="583" t="str">
        <f t="shared" si="120"/>
        <v>-38.7360676415462-6.1942210433394i</v>
      </c>
      <c r="R172" s="581" t="str">
        <f t="shared" si="141"/>
        <v>0.97094561763624-18.5879886120164i</v>
      </c>
      <c r="S172" s="253" t="str">
        <f t="shared" si="142"/>
        <v>51.024141387094+1.16563008805603i</v>
      </c>
      <c r="T172" s="253" t="str">
        <f t="shared" si="143"/>
        <v>19.1210549007627-1.55005059741598i</v>
      </c>
      <c r="U172" s="253" t="str">
        <f t="shared" si="144"/>
        <v>0.254927328670983-4.81205473428406i</v>
      </c>
      <c r="V172" s="582" t="str">
        <f t="shared" si="121"/>
        <v>6000</v>
      </c>
      <c r="W172" s="584" t="str">
        <f t="shared" si="122"/>
        <v>1+33998.664643898i</v>
      </c>
      <c r="X172" s="585">
        <f t="shared" si="123"/>
        <v>33998.664658604459</v>
      </c>
      <c r="Y172" s="586">
        <f t="shared" si="124"/>
        <v>1.5707669138750016</v>
      </c>
      <c r="Z172" s="273" t="str">
        <f t="shared" si="125"/>
        <v>1+5.09903484135848i</v>
      </c>
      <c r="AA172" s="585">
        <f t="shared" si="126"/>
        <v>5.1961674639476056</v>
      </c>
      <c r="AB172" s="586">
        <f t="shared" si="127"/>
        <v>1.3771385940439524</v>
      </c>
      <c r="AC172" s="584" t="str">
        <f t="shared" si="128"/>
        <v>1+0.24651517155451i</v>
      </c>
      <c r="AD172" s="585">
        <f t="shared" si="129"/>
        <v>1.029936760100614</v>
      </c>
      <c r="AE172" s="586">
        <f t="shared" si="130"/>
        <v>0.24169614483745108</v>
      </c>
      <c r="AF172" s="580" t="str">
        <f t="shared" si="145"/>
        <v>0.807312204397926-0.37546575817633i</v>
      </c>
      <c r="AG172" s="270">
        <f t="shared" si="146"/>
        <v>0.89035247567059905</v>
      </c>
      <c r="AH172" s="581">
        <f t="shared" si="147"/>
        <v>-0.43532446466849972</v>
      </c>
      <c r="AI172" s="582" t="str">
        <f t="shared" si="131"/>
        <v>4000</v>
      </c>
      <c r="AJ172" s="584" t="str">
        <f t="shared" si="148"/>
        <v>1+2671.01649444558i</v>
      </c>
      <c r="AK172" s="585">
        <f t="shared" si="149"/>
        <v>2671.0166816402243</v>
      </c>
      <c r="AL172" s="586">
        <f t="shared" si="150"/>
        <v>1.5704219375107582</v>
      </c>
      <c r="AM172" s="273" t="str">
        <f t="shared" si="151"/>
        <v>1+0.0934823054249055i</v>
      </c>
      <c r="AN172" s="585">
        <f t="shared" si="152"/>
        <v>1.0043599660617479</v>
      </c>
      <c r="AO172" s="586">
        <f t="shared" si="153"/>
        <v>9.3211412273698793E-2</v>
      </c>
      <c r="AP172" s="584" t="str">
        <f t="shared" si="154"/>
        <v>1+0.000676322991957012i</v>
      </c>
      <c r="AQ172" s="585">
        <f t="shared" si="155"/>
        <v>1.0000002287063685</v>
      </c>
      <c r="AR172" s="586">
        <f t="shared" si="156"/>
        <v>6.7632288883744487E-4</v>
      </c>
      <c r="AS172" s="580" t="str">
        <f t="shared" si="157"/>
        <v>0.139542889257478-1.4975989600188i</v>
      </c>
      <c r="AT172" s="270">
        <f t="shared" si="158"/>
        <v>1.5040860557134741</v>
      </c>
      <c r="AU172" s="581">
        <f t="shared" si="159"/>
        <v>-1.4778868481258973</v>
      </c>
      <c r="AV172" s="580" t="str">
        <f t="shared" si="160"/>
        <v>0.00346853083836595-0.288519704727033i</v>
      </c>
      <c r="AW172" s="270">
        <f t="shared" si="161"/>
        <v>-10.795862804152916</v>
      </c>
      <c r="AX172" s="581">
        <f t="shared" si="162"/>
        <v>-89.311233853830359</v>
      </c>
      <c r="AY172" s="299">
        <f t="shared" si="132"/>
        <v>90.688766146169641</v>
      </c>
      <c r="BB172" s="270">
        <f t="shared" si="165"/>
        <v>-36.454546300787513</v>
      </c>
      <c r="BC172" s="270">
        <f t="shared" si="166"/>
        <v>-84.676678995505597</v>
      </c>
      <c r="BD172" s="286"/>
      <c r="BE172" s="270">
        <f t="shared" si="163"/>
        <v>25.658683496634595</v>
      </c>
      <c r="BF172" s="581">
        <f t="shared" si="164"/>
        <v>-4.6345548583247647</v>
      </c>
      <c r="BI172" s="286"/>
      <c r="BJ172" s="286"/>
      <c r="BL172" s="253">
        <f t="shared" si="133"/>
        <v>0</v>
      </c>
      <c r="BM172" s="253">
        <f t="shared" si="167"/>
        <v>0</v>
      </c>
      <c r="BN172" s="253">
        <f t="shared" si="134"/>
        <v>0</v>
      </c>
      <c r="BO172" s="253">
        <f t="shared" si="135"/>
        <v>0</v>
      </c>
    </row>
    <row r="173" spans="4:67" ht="13.6" thickBot="1" x14ac:dyDescent="0.25">
      <c r="D173" s="280">
        <v>9716.7749999999996</v>
      </c>
      <c r="E173" s="273" t="str">
        <f t="shared" si="114"/>
        <v>0.109894136243706i</v>
      </c>
      <c r="F173" s="579" t="str">
        <f t="shared" si="136"/>
        <v>0.002-0.251990767104226i</v>
      </c>
      <c r="G173" s="270" t="str">
        <f t="shared" si="137"/>
        <v>0.002-0.251990767104226i</v>
      </c>
      <c r="H173" s="271" t="str">
        <f t="shared" si="138"/>
        <v>0.0331589297404816-0.247565329703693i</v>
      </c>
      <c r="I173" s="271" t="str">
        <f t="shared" si="139"/>
        <v>0.0431589297404816-0.247565329703693i</v>
      </c>
      <c r="J173" s="270" t="str">
        <f t="shared" si="140"/>
        <v>0.0113954250010586-0.125736559075768i</v>
      </c>
      <c r="K173" s="271" t="str">
        <f t="shared" si="115"/>
        <v>0.997615824943799-0.0766988667250878i</v>
      </c>
      <c r="L173" s="580"/>
      <c r="M173" s="580" t="str">
        <f t="shared" si="116"/>
        <v>49.7091800498534-401.823362505369i</v>
      </c>
      <c r="N173" s="270" t="str">
        <f t="shared" si="117"/>
        <v>30.6152183707234-301.367521879027i</v>
      </c>
      <c r="O173" s="581" t="str">
        <f t="shared" si="118"/>
        <v>2.8949817770061-152.157760352084i</v>
      </c>
      <c r="P173" s="582" t="str">
        <f t="shared" si="119"/>
        <v>-37.5440417934255-7.28366320661534i</v>
      </c>
      <c r="Q173" s="583" t="str">
        <f t="shared" si="120"/>
        <v>-37.5729916111955-5.76208560309449i</v>
      </c>
      <c r="R173" s="581" t="str">
        <f t="shared" si="141"/>
        <v>0.840483530739629-18.1194566907567i</v>
      </c>
      <c r="S173" s="253" t="str">
        <f t="shared" si="142"/>
        <v>51.0336181691029+1.11556276500541i</v>
      </c>
      <c r="T173" s="253" t="str">
        <f t="shared" si="143"/>
        <v>19.1218784808797-1.57544342340066i</v>
      </c>
      <c r="U173" s="253" t="str">
        <f t="shared" si="144"/>
        <v>0.244035854509815-4.78615416845959i</v>
      </c>
      <c r="V173" s="582" t="str">
        <f t="shared" si="121"/>
        <v>6000</v>
      </c>
      <c r="W173" s="584" t="str">
        <f t="shared" si="122"/>
        <v>1+34194.4152243999i</v>
      </c>
      <c r="X173" s="585">
        <f t="shared" si="123"/>
        <v>34194.415239022164</v>
      </c>
      <c r="Y173" s="586">
        <f t="shared" si="124"/>
        <v>1.5707670822532616</v>
      </c>
      <c r="Z173" s="273" t="str">
        <f t="shared" si="125"/>
        <v>1+5.12839302470627i</v>
      </c>
      <c r="AA173" s="585">
        <f t="shared" si="126"/>
        <v>5.2249799057848936</v>
      </c>
      <c r="AB173" s="586">
        <f t="shared" si="127"/>
        <v>1.3782199321290067</v>
      </c>
      <c r="AC173" s="584" t="str">
        <f t="shared" si="128"/>
        <v>1+0.247934506356031i</v>
      </c>
      <c r="AD173" s="585">
        <f t="shared" si="129"/>
        <v>1.0302773992677936</v>
      </c>
      <c r="AE173" s="586">
        <f t="shared" si="130"/>
        <v>0.24303372632386744</v>
      </c>
      <c r="AF173" s="580" t="str">
        <f t="shared" si="145"/>
        <v>0.806778395832516-0.375469136879449i</v>
      </c>
      <c r="AG173" s="270">
        <f t="shared" si="146"/>
        <v>0.88986990775679464</v>
      </c>
      <c r="AH173" s="581">
        <f t="shared" si="147"/>
        <v>-0.43558087644812277</v>
      </c>
      <c r="AI173" s="582" t="str">
        <f t="shared" si="131"/>
        <v>4000</v>
      </c>
      <c r="AJ173" s="584" t="str">
        <f t="shared" si="148"/>
        <v>1+2686.39512871826i</v>
      </c>
      <c r="AK173" s="585">
        <f t="shared" si="149"/>
        <v>2686.3953148412834</v>
      </c>
      <c r="AL173" s="586">
        <f t="shared" si="150"/>
        <v>1.5704240807529348</v>
      </c>
      <c r="AM173" s="273" t="str">
        <f t="shared" si="151"/>
        <v>1+0.0940205387862817i</v>
      </c>
      <c r="AN173" s="585">
        <f t="shared" si="152"/>
        <v>1.0044102058987965</v>
      </c>
      <c r="AO173" s="586">
        <f t="shared" si="153"/>
        <v>9.3744956130075496E-2</v>
      </c>
      <c r="AP173" s="584" t="str">
        <f t="shared" si="154"/>
        <v>1+0.000680216986608539i</v>
      </c>
      <c r="AQ173" s="585">
        <f t="shared" si="155"/>
        <v>1.0000002313475476</v>
      </c>
      <c r="AR173" s="586">
        <f t="shared" si="156"/>
        <v>6.8021688169753484E-4</v>
      </c>
      <c r="AS173" s="580" t="str">
        <f t="shared" si="157"/>
        <v>0.139536487865036-1.48902683277008i</v>
      </c>
      <c r="AT173" s="270">
        <f t="shared" si="158"/>
        <v>1.4955505140766743</v>
      </c>
      <c r="AU173" s="581">
        <f t="shared" si="159"/>
        <v>-1.4773593415045565</v>
      </c>
      <c r="AV173" s="580" t="str">
        <f t="shared" si="160"/>
        <v>0.00322322233649227-0.286928219931301i</v>
      </c>
      <c r="AW173" s="270">
        <f t="shared" si="161"/>
        <v>-10.84398670638619</v>
      </c>
      <c r="AX173" s="581">
        <f t="shared" si="162"/>
        <v>-89.356392101648765</v>
      </c>
      <c r="AY173" s="299">
        <f t="shared" si="132"/>
        <v>90.643607898351235</v>
      </c>
      <c r="BB173" s="270">
        <f t="shared" si="165"/>
        <v>-36.503978270984753</v>
      </c>
      <c r="BC173" s="270">
        <f t="shared" si="166"/>
        <v>-84.646455092437563</v>
      </c>
      <c r="BD173" s="286"/>
      <c r="BE173" s="270">
        <f t="shared" si="163"/>
        <v>25.659991564598545</v>
      </c>
      <c r="BF173" s="581">
        <f t="shared" si="164"/>
        <v>-4.7099370092112052</v>
      </c>
      <c r="BI173" s="286"/>
      <c r="BJ173" s="286"/>
      <c r="BL173" s="253">
        <f t="shared" si="133"/>
        <v>0</v>
      </c>
      <c r="BM173" s="253">
        <f t="shared" si="167"/>
        <v>0</v>
      </c>
      <c r="BN173" s="253">
        <f t="shared" si="134"/>
        <v>0</v>
      </c>
      <c r="BO173" s="253">
        <f t="shared" si="135"/>
        <v>0</v>
      </c>
    </row>
    <row r="174" spans="4:67" ht="13.6" thickBot="1" x14ac:dyDescent="0.25">
      <c r="D174" s="280">
        <v>9772.4</v>
      </c>
      <c r="E174" s="273" t="str">
        <f t="shared" si="114"/>
        <v>0.110523240172587i</v>
      </c>
      <c r="F174" s="579" t="str">
        <f t="shared" si="136"/>
        <v>0.002-0.250556422785514i</v>
      </c>
      <c r="G174" s="270" t="str">
        <f t="shared" si="137"/>
        <v>0.002-0.250556422785514i</v>
      </c>
      <c r="H174" s="271" t="str">
        <f t="shared" si="138"/>
        <v>0.0328106552755283-0.246199762815157i</v>
      </c>
      <c r="I174" s="271" t="str">
        <f t="shared" si="139"/>
        <v>0.0428106552755283-0.246199762815157i</v>
      </c>
      <c r="J174" s="270" t="str">
        <f t="shared" si="140"/>
        <v>0.0113060330630894-0.125027011442405i</v>
      </c>
      <c r="K174" s="271" t="str">
        <f t="shared" si="115"/>
        <v>0.997588449742178-0.077137939818947i</v>
      </c>
      <c r="L174" s="580"/>
      <c r="M174" s="580" t="str">
        <f t="shared" si="116"/>
        <v>46.4856644407954-392.105578424722i</v>
      </c>
      <c r="N174" s="270" t="str">
        <f t="shared" si="117"/>
        <v>28.1975816639298-294.079183818542i</v>
      </c>
      <c r="O174" s="581" t="str">
        <f t="shared" si="118"/>
        <v>2.01998222327095-148.397849918791i</v>
      </c>
      <c r="P174" s="582" t="str">
        <f t="shared" si="119"/>
        <v>-36.4490386896624-6.85032834076308i</v>
      </c>
      <c r="Q174" s="583" t="str">
        <f t="shared" si="120"/>
        <v>-36.4692385118952-5.36634984157518i</v>
      </c>
      <c r="R174" s="581" t="str">
        <f t="shared" si="141"/>
        <v>0.722101890890742-17.6747433965796i</v>
      </c>
      <c r="S174" s="253" t="str">
        <f t="shared" si="142"/>
        <v>51.0428961928216+1.06576761675632i</v>
      </c>
      <c r="T174" s="253" t="str">
        <f t="shared" si="143"/>
        <v>19.1226329681123-1.60075491944879i</v>
      </c>
      <c r="U174" s="253" t="str">
        <f t="shared" si="144"/>
        <v>0.2333206367837-4.7605095189932i</v>
      </c>
      <c r="V174" s="582" t="str">
        <f t="shared" si="121"/>
        <v>6000</v>
      </c>
      <c r="W174" s="584" t="str">
        <f t="shared" si="122"/>
        <v>1+34390.1658049019i</v>
      </c>
      <c r="X174" s="585">
        <f t="shared" si="123"/>
        <v>34390.165819440939</v>
      </c>
      <c r="Y174" s="586">
        <f t="shared" si="124"/>
        <v>1.5707672487146864</v>
      </c>
      <c r="Z174" s="273" t="str">
        <f t="shared" si="125"/>
        <v>1+5.15775120805407i</v>
      </c>
      <c r="AA174" s="585">
        <f t="shared" si="126"/>
        <v>5.2537983901348193</v>
      </c>
      <c r="AB174" s="586">
        <f t="shared" si="127"/>
        <v>1.3792894085980214</v>
      </c>
      <c r="AC174" s="584" t="str">
        <f t="shared" si="128"/>
        <v>1+0.249353841157553i</v>
      </c>
      <c r="AD174" s="585">
        <f t="shared" si="129"/>
        <v>1.0306198805088256</v>
      </c>
      <c r="AE174" s="586">
        <f t="shared" si="130"/>
        <v>0.24437042122758559</v>
      </c>
      <c r="AF174" s="580" t="str">
        <f t="shared" si="145"/>
        <v>0.806242235375388-0.375481913110135i</v>
      </c>
      <c r="AG174" s="270">
        <f t="shared" si="146"/>
        <v>0.88938923378684398</v>
      </c>
      <c r="AH174" s="581">
        <f t="shared" si="147"/>
        <v>-0.43584826134424992</v>
      </c>
      <c r="AI174" s="582" t="str">
        <f t="shared" si="131"/>
        <v>4000</v>
      </c>
      <c r="AJ174" s="584" t="str">
        <f t="shared" si="148"/>
        <v>1+2701.77376299095i</v>
      </c>
      <c r="AK174" s="585">
        <f t="shared" si="149"/>
        <v>2701.773948054552</v>
      </c>
      <c r="AL174" s="586">
        <f t="shared" si="150"/>
        <v>1.5704261995962268</v>
      </c>
      <c r="AM174" s="273" t="str">
        <f t="shared" si="151"/>
        <v>1+0.094558772147658i</v>
      </c>
      <c r="AN174" s="585">
        <f t="shared" si="152"/>
        <v>1.0044607316316914</v>
      </c>
      <c r="AO174" s="586">
        <f t="shared" si="153"/>
        <v>9.4278446462353088E-2</v>
      </c>
      <c r="AP174" s="584" t="str">
        <f t="shared" si="154"/>
        <v>1+0.000684110981260067i</v>
      </c>
      <c r="AQ174" s="585">
        <f t="shared" si="155"/>
        <v>1.00000023400389</v>
      </c>
      <c r="AR174" s="586">
        <f t="shared" si="156"/>
        <v>6.8411087453699732E-4</v>
      </c>
      <c r="AS174" s="580" t="str">
        <f t="shared" si="157"/>
        <v>0.139530195455616-1.48055229761441i</v>
      </c>
      <c r="AT174" s="270">
        <f t="shared" si="158"/>
        <v>1.4871125651460253</v>
      </c>
      <c r="AU174" s="581">
        <f t="shared" si="159"/>
        <v>-1.4768318640084104</v>
      </c>
      <c r="AV174" s="580" t="str">
        <f t="shared" si="160"/>
        <v>0.0029818334175924-0.28535411824163i</v>
      </c>
      <c r="AW174" s="270">
        <f t="shared" si="161"/>
        <v>-10.891842909012635</v>
      </c>
      <c r="AX174" s="581">
        <f t="shared" si="162"/>
        <v>-89.401304410695602</v>
      </c>
      <c r="AY174" s="299">
        <f t="shared" si="132"/>
        <v>90.598695589304398</v>
      </c>
      <c r="BB174" s="270">
        <f t="shared" si="165"/>
        <v>-36.553123137005059</v>
      </c>
      <c r="BC174" s="270">
        <f t="shared" si="166"/>
        <v>-84.616232858120256</v>
      </c>
      <c r="BD174" s="286"/>
      <c r="BE174" s="270">
        <f t="shared" si="163"/>
        <v>25.66128022799241</v>
      </c>
      <c r="BF174" s="581">
        <f t="shared" si="164"/>
        <v>-4.7850715525753511</v>
      </c>
      <c r="BI174" s="286"/>
      <c r="BJ174" s="286"/>
      <c r="BL174" s="253">
        <f t="shared" si="133"/>
        <v>0</v>
      </c>
      <c r="BM174" s="253">
        <f t="shared" si="167"/>
        <v>0</v>
      </c>
      <c r="BN174" s="253">
        <f t="shared" si="134"/>
        <v>0</v>
      </c>
      <c r="BO174" s="253">
        <f t="shared" si="135"/>
        <v>0</v>
      </c>
    </row>
    <row r="175" spans="4:67" ht="13.6" thickBot="1" x14ac:dyDescent="0.25">
      <c r="D175" s="280">
        <v>9829.2999999999993</v>
      </c>
      <c r="E175" s="273" t="str">
        <f t="shared" si="114"/>
        <v>0.111166764011749i</v>
      </c>
      <c r="F175" s="579" t="str">
        <f t="shared" si="136"/>
        <v>0.002-0.249105997988581i</v>
      </c>
      <c r="G175" s="270" t="str">
        <f t="shared" si="137"/>
        <v>0.002-0.249105997988581i</v>
      </c>
      <c r="H175" s="271" t="str">
        <f t="shared" si="138"/>
        <v>0.0324603735418948-0.244818142972491i</v>
      </c>
      <c r="I175" s="271" t="str">
        <f t="shared" si="139"/>
        <v>0.0424603735418948-0.244818142972491i</v>
      </c>
      <c r="J175" s="270" t="str">
        <f t="shared" si="140"/>
        <v>0.0112161494117113-0.12430941552455i</v>
      </c>
      <c r="K175" s="271" t="str">
        <f t="shared" si="115"/>
        <v>0.99756028538446-0.077587077060126i</v>
      </c>
      <c r="L175" s="580"/>
      <c r="M175" s="580" t="str">
        <f t="shared" si="116"/>
        <v>43.4664157114437-382.657795777055i</v>
      </c>
      <c r="N175" s="270" t="str">
        <f t="shared" si="117"/>
        <v>25.9331451169161-286.993346832791i</v>
      </c>
      <c r="O175" s="581" t="str">
        <f t="shared" si="118"/>
        <v>1.21193933461671-144.746480552757i</v>
      </c>
      <c r="P175" s="582" t="str">
        <f t="shared" si="119"/>
        <v>-35.3851051738718-6.44269437044084i</v>
      </c>
      <c r="Q175" s="583" t="str">
        <f t="shared" si="120"/>
        <v>-35.397224567218-4.99522956491328i</v>
      </c>
      <c r="R175" s="581" t="str">
        <f t="shared" si="141"/>
        <v>0.612122167002122-17.2427025980139i</v>
      </c>
      <c r="S175" s="253" t="str">
        <f t="shared" si="142"/>
        <v>51.0521853414459+1.01510873089722i</v>
      </c>
      <c r="T175" s="253" t="str">
        <f t="shared" si="143"/>
        <v>19.1233344625362-1.6265635894454i</v>
      </c>
      <c r="U175" s="253" t="str">
        <f t="shared" si="144"/>
        <v>0.222538302625822-4.73453809226301i</v>
      </c>
      <c r="V175" s="582" t="str">
        <f t="shared" si="121"/>
        <v>6000</v>
      </c>
      <c r="W175" s="584" t="str">
        <f t="shared" si="122"/>
        <v>1+34590.4032526424i</v>
      </c>
      <c r="X175" s="585">
        <f t="shared" si="123"/>
        <v>34590.403267097274</v>
      </c>
      <c r="Y175" s="586">
        <f t="shared" si="124"/>
        <v>1.5707674170423154</v>
      </c>
      <c r="Z175" s="273" t="str">
        <f t="shared" si="125"/>
        <v>1+5.18778232054827i</v>
      </c>
      <c r="AA175" s="585">
        <f t="shared" si="126"/>
        <v>5.2832835817693145</v>
      </c>
      <c r="AB175" s="586">
        <f t="shared" si="127"/>
        <v>1.380371326184435</v>
      </c>
      <c r="AC175" s="584" t="str">
        <f t="shared" si="128"/>
        <v>1+0.250805709026435i</v>
      </c>
      <c r="AD175" s="585">
        <f t="shared" si="129"/>
        <v>1.0309721158597127</v>
      </c>
      <c r="AE175" s="586">
        <f t="shared" si="130"/>
        <v>0.24573683362648893</v>
      </c>
      <c r="AF175" s="580" t="str">
        <f t="shared" si="145"/>
        <v>0.80569136324448-0.375504494131103i</v>
      </c>
      <c r="AG175" s="270">
        <f t="shared" si="146"/>
        <v>0.8888994307115986</v>
      </c>
      <c r="AH175" s="581">
        <f t="shared" si="147"/>
        <v>-0.43613292448436947</v>
      </c>
      <c r="AI175" s="582" t="str">
        <f t="shared" si="131"/>
        <v>4000</v>
      </c>
      <c r="AJ175" s="584" t="str">
        <f t="shared" si="148"/>
        <v>1+2717.5048962964i</v>
      </c>
      <c r="AK175" s="585">
        <f t="shared" si="149"/>
        <v>2717.5050802887031</v>
      </c>
      <c r="AL175" s="586">
        <f t="shared" si="150"/>
        <v>1.5704283421939396</v>
      </c>
      <c r="AM175" s="273" t="str">
        <f t="shared" si="151"/>
        <v>1+0.0951093425433849i</v>
      </c>
      <c r="AN175" s="585">
        <f t="shared" si="152"/>
        <v>1.004512711238158</v>
      </c>
      <c r="AO175" s="586">
        <f t="shared" si="153"/>
        <v>9.4824109425781303E-2</v>
      </c>
      <c r="AP175" s="584" t="str">
        <f t="shared" si="154"/>
        <v>1+0.000688094231519338i</v>
      </c>
      <c r="AQ175" s="585">
        <f t="shared" si="155"/>
        <v>1.0000002367368077</v>
      </c>
      <c r="AR175" s="586">
        <f t="shared" si="156"/>
        <v>6.8809412292120142E-4</v>
      </c>
      <c r="AS175" s="580" t="str">
        <f t="shared" si="157"/>
        <v>0.139523869009719-1.47198276048178i</v>
      </c>
      <c r="AT175" s="270">
        <f t="shared" si="158"/>
        <v>1.4785804534008293</v>
      </c>
      <c r="AU175" s="581">
        <f t="shared" si="159"/>
        <v>-1.4762923268910793</v>
      </c>
      <c r="AV175" s="580" t="str">
        <f t="shared" si="160"/>
        <v>0.00273888050088953-0.283761630969701i</v>
      </c>
      <c r="AW175" s="270">
        <f t="shared" si="161"/>
        <v>-10.940521988306052</v>
      </c>
      <c r="AX175" s="581">
        <f t="shared" si="162"/>
        <v>-89.446995635602946</v>
      </c>
      <c r="AY175" s="299">
        <f t="shared" si="132"/>
        <v>90.553004364397054</v>
      </c>
      <c r="BB175" s="270">
        <f t="shared" si="165"/>
        <v>-36.603100788094942</v>
      </c>
      <c r="BC175" s="270">
        <f t="shared" si="166"/>
        <v>-84.585319658406533</v>
      </c>
      <c r="BD175" s="286"/>
      <c r="BE175" s="270">
        <f t="shared" si="163"/>
        <v>25.662578799788903</v>
      </c>
      <c r="BF175" s="581">
        <f t="shared" si="164"/>
        <v>-4.8616759771964082</v>
      </c>
      <c r="BI175" s="286"/>
      <c r="BJ175" s="286"/>
      <c r="BL175" s="253">
        <f t="shared" si="133"/>
        <v>0</v>
      </c>
      <c r="BM175" s="253">
        <f t="shared" si="167"/>
        <v>0</v>
      </c>
      <c r="BN175" s="253">
        <f t="shared" si="134"/>
        <v>0</v>
      </c>
      <c r="BO175" s="253">
        <f t="shared" si="135"/>
        <v>0</v>
      </c>
    </row>
    <row r="176" spans="4:67" ht="13.6" thickBot="1" x14ac:dyDescent="0.25">
      <c r="D176" s="280">
        <v>9886.2000000000007</v>
      </c>
      <c r="E176" s="273" t="str">
        <f t="shared" si="114"/>
        <v>0.11181028785091i</v>
      </c>
      <c r="F176" s="579" t="str">
        <f t="shared" si="136"/>
        <v>0.002-0.247672269024414i</v>
      </c>
      <c r="G176" s="270" t="str">
        <f t="shared" si="137"/>
        <v>0.002-0.247672269024414i</v>
      </c>
      <c r="H176" s="271" t="str">
        <f t="shared" si="138"/>
        <v>0.0321160009614015-0.24345169591345i</v>
      </c>
      <c r="I176" s="271" t="str">
        <f t="shared" si="139"/>
        <v>0.0421160009614015-0.24345169591345i</v>
      </c>
      <c r="J176" s="270" t="str">
        <f t="shared" si="140"/>
        <v>0.0111278050192606-0.123599988014046i</v>
      </c>
      <c r="K176" s="271" t="str">
        <f t="shared" si="115"/>
        <v>0.997531957515214-0.0780362143013051i</v>
      </c>
      <c r="L176" s="580"/>
      <c r="M176" s="580" t="str">
        <f t="shared" si="116"/>
        <v>40.6989599035308-373.673365679205i</v>
      </c>
      <c r="N176" s="270" t="str">
        <f t="shared" si="117"/>
        <v>23.8575532609814-280.255024259404i</v>
      </c>
      <c r="O176" s="581" t="str">
        <f t="shared" si="118"/>
        <v>0.48205675214694-141.277872852766i</v>
      </c>
      <c r="P176" s="582" t="str">
        <f t="shared" si="119"/>
        <v>-34.3740354384137-6.06741656272856i</v>
      </c>
      <c r="Q176" s="583" t="str">
        <f t="shared" si="120"/>
        <v>-34.3788560059352-4.65463783420089i</v>
      </c>
      <c r="R176" s="581" t="str">
        <f t="shared" si="141"/>
        <v>0.512156970318468-16.8321366499805i</v>
      </c>
      <c r="S176" s="253" t="str">
        <f t="shared" si="142"/>
        <v>51.0612747395396+0.964726650209983i</v>
      </c>
      <c r="T176" s="253" t="str">
        <f t="shared" si="143"/>
        <v>19.1239660646938-1.65228946851416i</v>
      </c>
      <c r="U176" s="253" t="str">
        <f t="shared" si="144"/>
        <v>0.211932639269811-4.70882690120028i</v>
      </c>
      <c r="V176" s="582" t="str">
        <f t="shared" si="121"/>
        <v>6000</v>
      </c>
      <c r="W176" s="584" t="str">
        <f t="shared" si="122"/>
        <v>1+34790.6407003829i</v>
      </c>
      <c r="X176" s="585">
        <f t="shared" si="123"/>
        <v>34790.640714754583</v>
      </c>
      <c r="Y176" s="586">
        <f t="shared" si="124"/>
        <v>1.5707675834323258</v>
      </c>
      <c r="Z176" s="273" t="str">
        <f t="shared" si="125"/>
        <v>1+5.21781343304246i</v>
      </c>
      <c r="AA176" s="585">
        <f t="shared" si="126"/>
        <v>5.3127748890799369</v>
      </c>
      <c r="AB176" s="586">
        <f t="shared" si="127"/>
        <v>1.3814412335243744</v>
      </c>
      <c r="AC176" s="584" t="str">
        <f t="shared" si="128"/>
        <v>1+0.252257576895317i</v>
      </c>
      <c r="AD176" s="585">
        <f t="shared" si="129"/>
        <v>1.0313262748040004</v>
      </c>
      <c r="AE176" s="586">
        <f t="shared" si="130"/>
        <v>0.24710231011738032</v>
      </c>
      <c r="AF176" s="580" t="str">
        <f t="shared" si="145"/>
        <v>0.805138052974758-0.375536484493439i</v>
      </c>
      <c r="AG176" s="270">
        <f t="shared" si="146"/>
        <v>0.888411467470831</v>
      </c>
      <c r="AH176" s="581">
        <f t="shared" si="147"/>
        <v>-0.43642866002533182</v>
      </c>
      <c r="AI176" s="582" t="str">
        <f t="shared" si="131"/>
        <v>4000</v>
      </c>
      <c r="AJ176" s="584" t="str">
        <f t="shared" si="148"/>
        <v>1+2733.23602960185i</v>
      </c>
      <c r="AK176" s="585">
        <f t="shared" si="149"/>
        <v>2733.2362125351856</v>
      </c>
      <c r="AL176" s="586">
        <f t="shared" si="150"/>
        <v>1.5704304601282237</v>
      </c>
      <c r="AM176" s="273" t="str">
        <f t="shared" si="151"/>
        <v>1+0.0956599129391118i</v>
      </c>
      <c r="AN176" s="585">
        <f t="shared" si="152"/>
        <v>1.0045649899053413</v>
      </c>
      <c r="AO176" s="586">
        <f t="shared" si="153"/>
        <v>9.5369715757846904E-2</v>
      </c>
      <c r="AP176" s="584" t="str">
        <f t="shared" si="154"/>
        <v>1+0.000692077481778609i</v>
      </c>
      <c r="AQ176" s="585">
        <f t="shared" si="155"/>
        <v>1.0000002394855918</v>
      </c>
      <c r="AR176" s="586">
        <f t="shared" si="156"/>
        <v>6.9207737128357076E-4</v>
      </c>
      <c r="AS176" s="580" t="str">
        <f t="shared" si="157"/>
        <v>0.139517651467189-1.46351187358194i</v>
      </c>
      <c r="AT176" s="270">
        <f t="shared" si="158"/>
        <v>1.4701469923739734</v>
      </c>
      <c r="AU176" s="581">
        <f t="shared" si="159"/>
        <v>-1.4757528217416604</v>
      </c>
      <c r="AV176" s="580" t="str">
        <f t="shared" si="160"/>
        <v>0.00249985576319434-0.282186749518485i</v>
      </c>
      <c r="AW176" s="270">
        <f t="shared" si="161"/>
        <v>-10.98892684129008</v>
      </c>
      <c r="AX176" s="581">
        <f t="shared" si="162"/>
        <v>-89.492437408434</v>
      </c>
      <c r="AY176" s="299">
        <f t="shared" si="132"/>
        <v>90.507562591566</v>
      </c>
      <c r="BB176" s="270">
        <f t="shared" si="165"/>
        <v>-36.652784804555139</v>
      </c>
      <c r="BC176" s="270">
        <f t="shared" si="166"/>
        <v>-84.554408290319259</v>
      </c>
      <c r="BD176" s="286"/>
      <c r="BE176" s="270">
        <f t="shared" si="163"/>
        <v>25.663857963265073</v>
      </c>
      <c r="BF176" s="581">
        <f t="shared" si="164"/>
        <v>-4.9380291181147511</v>
      </c>
      <c r="BI176" s="286"/>
      <c r="BJ176" s="286"/>
      <c r="BL176" s="253">
        <f t="shared" si="133"/>
        <v>0</v>
      </c>
      <c r="BM176" s="253">
        <f t="shared" si="167"/>
        <v>0</v>
      </c>
      <c r="BN176" s="253">
        <f t="shared" si="134"/>
        <v>0</v>
      </c>
      <c r="BO176" s="253">
        <f t="shared" si="135"/>
        <v>0</v>
      </c>
    </row>
    <row r="177" spans="4:67" ht="13.6" thickBot="1" x14ac:dyDescent="0.25">
      <c r="D177" s="280">
        <v>9943.1</v>
      </c>
      <c r="E177" s="273" t="str">
        <f t="shared" si="114"/>
        <v>0.112453811690071i</v>
      </c>
      <c r="F177" s="579" t="str">
        <f t="shared" si="136"/>
        <v>0.002-0.246254949264229i</v>
      </c>
      <c r="G177" s="270" t="str">
        <f t="shared" si="137"/>
        <v>0.002-0.246254949264229i</v>
      </c>
      <c r="H177" s="271" t="str">
        <f t="shared" si="138"/>
        <v>0.0317774060367452-0.242100177331234i</v>
      </c>
      <c r="I177" s="271" t="str">
        <f t="shared" si="139"/>
        <v>0.0417774060367452-0.242100177331234i</v>
      </c>
      <c r="J177" s="270" t="str">
        <f t="shared" si="140"/>
        <v>0.0110409649723304-0.122898590823719i</v>
      </c>
      <c r="K177" s="271" t="str">
        <f t="shared" si="115"/>
        <v>0.997503466134441-0.0784853515424841i</v>
      </c>
      <c r="L177" s="580"/>
      <c r="M177" s="580" t="str">
        <f t="shared" si="116"/>
        <v>38.1572727748003-365.120099446965i</v>
      </c>
      <c r="N177" s="270" t="str">
        <f t="shared" si="117"/>
        <v>21.9512879144335-273.840074585224i</v>
      </c>
      <c r="O177" s="581" t="str">
        <f t="shared" si="118"/>
        <v>-0.178293427362682-137.979028383831i</v>
      </c>
      <c r="P177" s="582" t="str">
        <f t="shared" si="119"/>
        <v>-33.4121958766253-5.72124102296541i</v>
      </c>
      <c r="Q177" s="583" t="str">
        <f t="shared" si="120"/>
        <v>-33.4104129423518-4.34145073912709i</v>
      </c>
      <c r="R177" s="581" t="str">
        <f t="shared" si="141"/>
        <v>0.421128239774623-16.4415300733227i</v>
      </c>
      <c r="S177" s="253" t="str">
        <f t="shared" si="142"/>
        <v>51.0701683834055+0.914617439729431i</v>
      </c>
      <c r="T177" s="253" t="str">
        <f t="shared" si="143"/>
        <v>19.124528943031-1.67793369408325i</v>
      </c>
      <c r="U177" s="253" t="str">
        <f t="shared" si="144"/>
        <v>0.201499876596574-4.68337222878372i</v>
      </c>
      <c r="V177" s="582" t="str">
        <f t="shared" si="121"/>
        <v>6000</v>
      </c>
      <c r="W177" s="584" t="str">
        <f t="shared" si="122"/>
        <v>1+34990.8781481233i</v>
      </c>
      <c r="X177" s="585">
        <f t="shared" si="123"/>
        <v>34990.878162412737</v>
      </c>
      <c r="Y177" s="586">
        <f t="shared" si="124"/>
        <v>1.570767747917982</v>
      </c>
      <c r="Z177" s="273" t="str">
        <f t="shared" si="125"/>
        <v>1+5.24784454553666i</v>
      </c>
      <c r="AA177" s="585">
        <f t="shared" si="126"/>
        <v>5.3422722107843654</v>
      </c>
      <c r="AB177" s="586">
        <f t="shared" si="127"/>
        <v>1.3824993270913819</v>
      </c>
      <c r="AC177" s="584" t="str">
        <f t="shared" si="128"/>
        <v>1+0.253709444764199i</v>
      </c>
      <c r="AD177" s="585">
        <f t="shared" si="129"/>
        <v>1.0316823553606789</v>
      </c>
      <c r="AE177" s="586">
        <f t="shared" si="130"/>
        <v>0.24846684657480245</v>
      </c>
      <c r="AF177" s="580" t="str">
        <f t="shared" si="145"/>
        <v>0.804582316138638-0.375577676957008i</v>
      </c>
      <c r="AG177" s="270">
        <f t="shared" si="146"/>
        <v>0.88792527549982381</v>
      </c>
      <c r="AH177" s="581">
        <f t="shared" si="147"/>
        <v>-0.43673526740140178</v>
      </c>
      <c r="AI177" s="582" t="str">
        <f t="shared" si="131"/>
        <v>4000</v>
      </c>
      <c r="AJ177" s="584" t="str">
        <f t="shared" si="148"/>
        <v>1+2748.9671629073i</v>
      </c>
      <c r="AK177" s="585">
        <f t="shared" si="149"/>
        <v>2748.9673447937885</v>
      </c>
      <c r="AL177" s="586">
        <f t="shared" si="150"/>
        <v>1.5704325538224935</v>
      </c>
      <c r="AM177" s="273" t="str">
        <f t="shared" si="151"/>
        <v>1+0.0962104833348387i</v>
      </c>
      <c r="AN177" s="585">
        <f t="shared" si="152"/>
        <v>1.0046175675865534</v>
      </c>
      <c r="AO177" s="586">
        <f t="shared" si="153"/>
        <v>9.5915265142577352E-2</v>
      </c>
      <c r="AP177" s="584" t="str">
        <f t="shared" si="154"/>
        <v>1+0.000696060732037879i</v>
      </c>
      <c r="AQ177" s="585">
        <f t="shared" si="155"/>
        <v>1.0000002422502419</v>
      </c>
      <c r="AR177" s="586">
        <f t="shared" si="156"/>
        <v>6.9606061962397753E-4</v>
      </c>
      <c r="AS177" s="580" t="str">
        <f t="shared" si="157"/>
        <v>0.139511540342247-1.45513794331976i</v>
      </c>
      <c r="AT177" s="270">
        <f t="shared" si="158"/>
        <v>1.4618104883935972</v>
      </c>
      <c r="AU177" s="581">
        <f t="shared" si="159"/>
        <v>-1.4752133492995401</v>
      </c>
      <c r="AV177" s="580" t="str">
        <f t="shared" si="160"/>
        <v>0.00226467506526912-0.280629188273751i</v>
      </c>
      <c r="AW177" s="270">
        <f t="shared" si="161"/>
        <v>-11.0370603747823</v>
      </c>
      <c r="AX177" s="581">
        <f t="shared" si="162"/>
        <v>-89.537633603497767</v>
      </c>
      <c r="AY177" s="299">
        <f t="shared" si="132"/>
        <v>90.462366396502233</v>
      </c>
      <c r="BB177" s="270">
        <f t="shared" si="165"/>
        <v>-36.702178528133508</v>
      </c>
      <c r="BC177" s="270">
        <f t="shared" si="166"/>
        <v>-84.523498796222142</v>
      </c>
      <c r="BD177" s="286"/>
      <c r="BE177" s="270">
        <f t="shared" si="163"/>
        <v>25.665118153351205</v>
      </c>
      <c r="BF177" s="581">
        <f t="shared" si="164"/>
        <v>-5.014134807275612</v>
      </c>
      <c r="BI177" s="286"/>
      <c r="BJ177" s="286"/>
      <c r="BL177" s="253">
        <f t="shared" si="133"/>
        <v>0</v>
      </c>
      <c r="BM177" s="253">
        <f t="shared" si="167"/>
        <v>0</v>
      </c>
      <c r="BN177" s="253">
        <f t="shared" si="134"/>
        <v>0</v>
      </c>
      <c r="BO177" s="253">
        <f t="shared" si="135"/>
        <v>0</v>
      </c>
    </row>
    <row r="178" spans="4:67" ht="13.6" thickBot="1" x14ac:dyDescent="0.25">
      <c r="D178" s="280">
        <v>10000</v>
      </c>
      <c r="E178" s="273" t="str">
        <f t="shared" si="114"/>
        <v>0.113097335529233i</v>
      </c>
      <c r="F178" s="579" t="str">
        <f t="shared" si="136"/>
        <v>0.002-0.244853758602916i</v>
      </c>
      <c r="G178" s="270" t="str">
        <f t="shared" si="137"/>
        <v>0.002-0.244853758602916i</v>
      </c>
      <c r="H178" s="271" t="str">
        <f t="shared" si="138"/>
        <v>0.0314444608894353-0.240763348036869i</v>
      </c>
      <c r="I178" s="271" t="str">
        <f t="shared" si="139"/>
        <v>0.0414444608894353-0.240763348036869i</v>
      </c>
      <c r="J178" s="270" t="str">
        <f t="shared" si="140"/>
        <v>0.0109555953405219-0.122205088949188i</v>
      </c>
      <c r="K178" s="271" t="str">
        <f t="shared" si="115"/>
        <v>0.99747481124214-0.0789344887836631i</v>
      </c>
      <c r="L178" s="580"/>
      <c r="M178" s="580" t="str">
        <f t="shared" si="116"/>
        <v>35.8185261355337-356.968576495977i</v>
      </c>
      <c r="N178" s="270" t="str">
        <f t="shared" si="117"/>
        <v>20.1972279349836-267.726432371983i</v>
      </c>
      <c r="O178" s="581" t="str">
        <f t="shared" si="118"/>
        <v>-0.776637676536511-134.838100403178i</v>
      </c>
      <c r="P178" s="582" t="str">
        <f t="shared" si="119"/>
        <v>-32.496259825811-5.40130649135074i</v>
      </c>
      <c r="Q178" s="583" t="str">
        <f t="shared" si="120"/>
        <v>-32.4884934490457-4.05292548731898i</v>
      </c>
      <c r="R178" s="581" t="str">
        <f t="shared" si="141"/>
        <v>0.338093584694051-16.0695003647991i</v>
      </c>
      <c r="S178" s="253" t="str">
        <f t="shared" si="142"/>
        <v>51.078870164727+0.86477723347686i</v>
      </c>
      <c r="T178" s="253" t="str">
        <f t="shared" si="143"/>
        <v>19.1250242354597-1.70349738344067i</v>
      </c>
      <c r="U178" s="253" t="str">
        <f t="shared" si="144"/>
        <v>0.191236343172194-4.65817042306438i</v>
      </c>
      <c r="V178" s="582" t="str">
        <f t="shared" si="121"/>
        <v>6000</v>
      </c>
      <c r="W178" s="584" t="str">
        <f t="shared" si="122"/>
        <v>1+35191.1155958638i</v>
      </c>
      <c r="X178" s="585">
        <f t="shared" si="123"/>
        <v>35191.115610071924</v>
      </c>
      <c r="Y178" s="586">
        <f t="shared" si="124"/>
        <v>1.5707679105317915</v>
      </c>
      <c r="Z178" s="273" t="str">
        <f t="shared" si="125"/>
        <v>1+5.27787565803086i</v>
      </c>
      <c r="AA178" s="585">
        <f t="shared" si="126"/>
        <v>5.3717754478044473</v>
      </c>
      <c r="AB178" s="586">
        <f t="shared" si="127"/>
        <v>1.3835457991497919</v>
      </c>
      <c r="AC178" s="584" t="str">
        <f t="shared" si="128"/>
        <v>1+0.255161312633082i</v>
      </c>
      <c r="AD178" s="585">
        <f t="shared" si="129"/>
        <v>1.0320403555407305</v>
      </c>
      <c r="AE178" s="586">
        <f t="shared" si="130"/>
        <v>0.24983043889297976</v>
      </c>
      <c r="AF178" s="580" t="str">
        <f t="shared" si="145"/>
        <v>0.80402416433493-0.375627868897526i</v>
      </c>
      <c r="AG178" s="270">
        <f t="shared" si="146"/>
        <v>0.88744078829349471</v>
      </c>
      <c r="AH178" s="581">
        <f t="shared" si="147"/>
        <v>-0.4370525502749788</v>
      </c>
      <c r="AI178" s="582" t="str">
        <f t="shared" si="131"/>
        <v>4000</v>
      </c>
      <c r="AJ178" s="584" t="str">
        <f t="shared" si="148"/>
        <v>1+2764.69829621275i</v>
      </c>
      <c r="AK178" s="585">
        <f t="shared" si="149"/>
        <v>2764.6984770643039</v>
      </c>
      <c r="AL178" s="586">
        <f t="shared" si="150"/>
        <v>1.5704346236905253</v>
      </c>
      <c r="AM178" s="273" t="str">
        <f t="shared" si="151"/>
        <v>1+0.0967610537305657i</v>
      </c>
      <c r="AN178" s="585">
        <f t="shared" si="152"/>
        <v>1.0046704442348493</v>
      </c>
      <c r="AO178" s="586">
        <f t="shared" si="153"/>
        <v>9.646075726420178E-2</v>
      </c>
      <c r="AP178" s="584" t="str">
        <f t="shared" si="154"/>
        <v>1+0.000700043982297151i</v>
      </c>
      <c r="AQ178" s="585">
        <f t="shared" si="155"/>
        <v>1.0000002450307586</v>
      </c>
      <c r="AR178" s="586">
        <f t="shared" si="156"/>
        <v>7.0004386794229856E-4</v>
      </c>
      <c r="AS178" s="580" t="str">
        <f t="shared" si="157"/>
        <v>0.139505533219634-1.44685931464631i</v>
      </c>
      <c r="AT178" s="270">
        <f t="shared" si="158"/>
        <v>1.4535692863354277</v>
      </c>
      <c r="AU178" s="581">
        <f t="shared" si="159"/>
        <v>-1.4746739102942661</v>
      </c>
      <c r="AV178" s="580" t="str">
        <f t="shared" si="160"/>
        <v>0.00203325647099479-0.279088667687264i</v>
      </c>
      <c r="AW178" s="270">
        <f t="shared" si="161"/>
        <v>-11.084925450101142</v>
      </c>
      <c r="AX178" s="581">
        <f t="shared" si="162"/>
        <v>-89.582588019738509</v>
      </c>
      <c r="AY178" s="299">
        <f t="shared" si="132"/>
        <v>90.417411980261491</v>
      </c>
      <c r="BB178" s="270">
        <f t="shared" si="165"/>
        <v>-36.751285243389063</v>
      </c>
      <c r="BC178" s="270">
        <f t="shared" si="166"/>
        <v>-84.492591217915205</v>
      </c>
      <c r="BD178" s="286"/>
      <c r="BE178" s="270">
        <f t="shared" si="163"/>
        <v>25.666359793287931</v>
      </c>
      <c r="BF178" s="581">
        <f t="shared" si="164"/>
        <v>-5.0899968018233137</v>
      </c>
      <c r="BI178" s="286"/>
      <c r="BJ178" s="286"/>
      <c r="BL178" s="253">
        <f t="shared" si="133"/>
        <v>0</v>
      </c>
      <c r="BM178" s="253">
        <f t="shared" si="167"/>
        <v>0</v>
      </c>
      <c r="BN178" s="253">
        <f t="shared" si="134"/>
        <v>0</v>
      </c>
      <c r="BO178" s="253">
        <f t="shared" si="135"/>
        <v>0</v>
      </c>
    </row>
    <row r="179" spans="4:67" ht="13.6" thickBot="1" x14ac:dyDescent="0.25">
      <c r="D179" s="280">
        <v>10058.25</v>
      </c>
      <c r="E179" s="273" t="str">
        <f t="shared" si="114"/>
        <v>0.11375612750869i</v>
      </c>
      <c r="F179" s="579" t="str">
        <f t="shared" si="136"/>
        <v>0.002-0.243435745386042i</v>
      </c>
      <c r="G179" s="270" t="str">
        <f t="shared" si="137"/>
        <v>0.002-0.243435745386042i</v>
      </c>
      <c r="H179" s="271" t="str">
        <f t="shared" si="138"/>
        <v>0.0311093389394039-0.239409773056395i</v>
      </c>
      <c r="I179" s="271" t="str">
        <f t="shared" si="139"/>
        <v>0.0411093389394039-0.239409773056395i</v>
      </c>
      <c r="J179" s="270" t="str">
        <f t="shared" si="140"/>
        <v>0.0108696889743026-0.121503173880987i</v>
      </c>
      <c r="K179" s="271" t="str">
        <f t="shared" si="115"/>
        <v>0.997445307111879-0.079394282180828i</v>
      </c>
      <c r="L179" s="580"/>
      <c r="M179" s="580" t="str">
        <f t="shared" si="116"/>
        <v>33.6135573222849-349.011709890343i</v>
      </c>
      <c r="N179" s="270" t="str">
        <f t="shared" si="117"/>
        <v>18.543501325047-261.758782417757i</v>
      </c>
      <c r="O179" s="581" t="str">
        <f t="shared" si="118"/>
        <v>-1.33181789857918-131.774948895895i</v>
      </c>
      <c r="P179" s="582" t="str">
        <f t="shared" si="119"/>
        <v>-31.6029607630823-5.09833081703266i</v>
      </c>
      <c r="Q179" s="583" t="str">
        <f t="shared" si="120"/>
        <v>-31.5896425840967-3.78058132807374i</v>
      </c>
      <c r="R179" s="581" t="str">
        <f t="shared" si="141"/>
        <v>0.260507703279017-15.7065692548635i</v>
      </c>
      <c r="S179" s="253" t="str">
        <f t="shared" si="142"/>
        <v>51.0875836150592+0.814029214930258i</v>
      </c>
      <c r="T179" s="253" t="str">
        <f t="shared" si="143"/>
        <v>19.125462425859-1.7295853133781i</v>
      </c>
      <c r="U179" s="253" t="str">
        <f t="shared" si="144"/>
        <v>0.180900865621359-4.63262887471202i</v>
      </c>
      <c r="V179" s="582" t="str">
        <f t="shared" si="121"/>
        <v>6000</v>
      </c>
      <c r="W179" s="584" t="str">
        <f t="shared" si="122"/>
        <v>1+35396.1038442097i</v>
      </c>
      <c r="X179" s="585">
        <f t="shared" si="123"/>
        <v>35396.103858335548</v>
      </c>
      <c r="Y179" s="586">
        <f t="shared" si="124"/>
        <v>1.5707680750979263</v>
      </c>
      <c r="Z179" s="273" t="str">
        <f t="shared" si="125"/>
        <v>1+5.30861928373889i</v>
      </c>
      <c r="AA179" s="585">
        <f t="shared" si="126"/>
        <v>5.4019847000601926</v>
      </c>
      <c r="AB179" s="586">
        <f t="shared" si="127"/>
        <v>1.3846052576888381</v>
      </c>
      <c r="AC179" s="584" t="str">
        <f t="shared" si="128"/>
        <v>1+0.256647627279169i</v>
      </c>
      <c r="AD179" s="585">
        <f t="shared" si="129"/>
        <v>1.0324088359695627</v>
      </c>
      <c r="AE179" s="586">
        <f t="shared" si="130"/>
        <v>0.2512254013055375</v>
      </c>
      <c r="AF179" s="580" t="str">
        <f t="shared" si="145"/>
        <v>0.80345028045777-0.375688367133691i</v>
      </c>
      <c r="AG179" s="270">
        <f t="shared" si="146"/>
        <v>0.8869465047945384</v>
      </c>
      <c r="AH179" s="581">
        <f t="shared" si="147"/>
        <v>-0.43738821871462524</v>
      </c>
      <c r="AI179" s="582" t="str">
        <f t="shared" si="131"/>
        <v>4000</v>
      </c>
      <c r="AJ179" s="584" t="str">
        <f t="shared" si="148"/>
        <v>1+2780.80266378819i</v>
      </c>
      <c r="AK179" s="585">
        <f t="shared" si="149"/>
        <v>2780.8028435923843</v>
      </c>
      <c r="AL179" s="586">
        <f t="shared" si="150"/>
        <v>1.5704367184091899</v>
      </c>
      <c r="AM179" s="273" t="str">
        <f t="shared" si="151"/>
        <v>1+0.0973246868685463i</v>
      </c>
      <c r="AN179" s="585">
        <f t="shared" si="152"/>
        <v>1.0047248850675794</v>
      </c>
      <c r="AO179" s="586">
        <f t="shared" si="153"/>
        <v>9.7019131995169719E-2</v>
      </c>
      <c r="AP179" s="584" t="str">
        <f t="shared" si="154"/>
        <v>1+0.000704121738494032i</v>
      </c>
      <c r="AQ179" s="585">
        <f t="shared" si="155"/>
        <v>1.0000002478936807</v>
      </c>
      <c r="AR179" s="586">
        <f t="shared" si="156"/>
        <v>7.0412162212916604E-4</v>
      </c>
      <c r="AS179" s="580" t="str">
        <f t="shared" si="157"/>
        <v>0.139499488855797-1.43848130003161i</v>
      </c>
      <c r="AT179" s="270">
        <f t="shared" si="158"/>
        <v>1.4452295865818894</v>
      </c>
      <c r="AU179" s="581">
        <f t="shared" si="159"/>
        <v>-1.4741217080361495</v>
      </c>
      <c r="AV179" s="580" t="str">
        <f t="shared" si="160"/>
        <v>0.00180016102434373-0.277528963212041i</v>
      </c>
      <c r="AW179" s="270">
        <f t="shared" si="161"/>
        <v>-11.133651017053086</v>
      </c>
      <c r="AX179" s="581">
        <f t="shared" si="162"/>
        <v>-89.628362454569114</v>
      </c>
      <c r="AY179" s="299">
        <f t="shared" si="132"/>
        <v>90.371637545430886</v>
      </c>
      <c r="BB179" s="270">
        <f t="shared" si="165"/>
        <v>-36.801263123678318</v>
      </c>
      <c r="BC179" s="270">
        <f t="shared" si="166"/>
        <v>-84.460952359087543</v>
      </c>
      <c r="BD179" s="286"/>
      <c r="BE179" s="270">
        <f t="shared" si="163"/>
        <v>25.667612106625235</v>
      </c>
      <c r="BF179" s="581">
        <f t="shared" si="164"/>
        <v>-5.1674100954815803</v>
      </c>
      <c r="BI179" s="286"/>
      <c r="BJ179" s="286"/>
      <c r="BL179" s="253">
        <f t="shared" si="133"/>
        <v>0</v>
      </c>
      <c r="BM179" s="253">
        <f t="shared" si="167"/>
        <v>0</v>
      </c>
      <c r="BN179" s="253">
        <f t="shared" si="134"/>
        <v>0</v>
      </c>
      <c r="BO179" s="253">
        <f t="shared" si="135"/>
        <v>0</v>
      </c>
    </row>
    <row r="180" spans="4:67" ht="13.6" thickBot="1" x14ac:dyDescent="0.25">
      <c r="D180" s="280">
        <v>10116.5</v>
      </c>
      <c r="E180" s="273" t="str">
        <f t="shared" si="114"/>
        <v>0.114414919488148i</v>
      </c>
      <c r="F180" s="579" t="str">
        <f t="shared" si="136"/>
        <v>0.002-0.242034061783142i</v>
      </c>
      <c r="G180" s="270" t="str">
        <f t="shared" si="137"/>
        <v>0.002-0.242034061783142i</v>
      </c>
      <c r="H180" s="271" t="str">
        <f t="shared" si="138"/>
        <v>0.0307798779355706-0.238071101242932i</v>
      </c>
      <c r="I180" s="271" t="str">
        <f t="shared" si="139"/>
        <v>0.0407798779355706-0.238071101242932i</v>
      </c>
      <c r="J180" s="270" t="str">
        <f t="shared" si="140"/>
        <v>0.0107852546770771-0.120809256422391i</v>
      </c>
      <c r="K180" s="271" t="str">
        <f t="shared" si="115"/>
        <v>0.997415631619151-0.0798540755779928i</v>
      </c>
      <c r="L180" s="580"/>
      <c r="M180" s="580" t="str">
        <f t="shared" si="116"/>
        <v>31.5812507649175-341.421226660595i</v>
      </c>
      <c r="N180" s="270" t="str">
        <f t="shared" si="117"/>
        <v>17.0192714070214-256.065919995446i</v>
      </c>
      <c r="O180" s="581" t="str">
        <f t="shared" si="118"/>
        <v>-1.83510206732717-128.855374779882i</v>
      </c>
      <c r="P180" s="582" t="str">
        <f t="shared" si="119"/>
        <v>-30.7515762132223-4.81782168480405i</v>
      </c>
      <c r="Q180" s="583" t="str">
        <f t="shared" si="120"/>
        <v>-30.7332251925489-3.52926793700521i</v>
      </c>
      <c r="R180" s="581" t="str">
        <f t="shared" si="141"/>
        <v>0.189656008092909-15.3605455300429i</v>
      </c>
      <c r="S180" s="253" t="str">
        <f t="shared" si="142"/>
        <v>51.0961039223501+0.763555133241306i</v>
      </c>
      <c r="T180" s="253" t="str">
        <f t="shared" si="143"/>
        <v>19.1258321046116-1.7555911468289i</v>
      </c>
      <c r="U180" s="253" t="str">
        <f t="shared" si="144"/>
        <v>0.170735259938263-4.60734479253647i</v>
      </c>
      <c r="V180" s="582" t="str">
        <f t="shared" si="121"/>
        <v>6000</v>
      </c>
      <c r="W180" s="584" t="str">
        <f t="shared" si="122"/>
        <v>1+35601.0920925556i</v>
      </c>
      <c r="X180" s="585">
        <f t="shared" si="123"/>
        <v>35601.09210660011</v>
      </c>
      <c r="Y180" s="586">
        <f t="shared" si="124"/>
        <v>1.5707682377689438</v>
      </c>
      <c r="Z180" s="273" t="str">
        <f t="shared" si="125"/>
        <v>1+5.33936290944692i</v>
      </c>
      <c r="AA180" s="585">
        <f t="shared" si="126"/>
        <v>5.4321999483429808</v>
      </c>
      <c r="AB180" s="586">
        <f t="shared" si="127"/>
        <v>1.3856529314487476</v>
      </c>
      <c r="AC180" s="584" t="str">
        <f t="shared" si="128"/>
        <v>1+0.258133941925257i</v>
      </c>
      <c r="AD180" s="585">
        <f t="shared" si="129"/>
        <v>1.0327793239477019</v>
      </c>
      <c r="AE180" s="586">
        <f t="shared" si="130"/>
        <v>0.25261936560185216</v>
      </c>
      <c r="AF180" s="580" t="str">
        <f t="shared" si="145"/>
        <v>0.802873890341544-0.375757881479186i</v>
      </c>
      <c r="AG180" s="270">
        <f t="shared" si="146"/>
        <v>0.88645387318567892</v>
      </c>
      <c r="AH180" s="581">
        <f t="shared" si="147"/>
        <v>-0.43773467192204751</v>
      </c>
      <c r="AI180" s="582" t="str">
        <f t="shared" si="131"/>
        <v>4000</v>
      </c>
      <c r="AJ180" s="584" t="str">
        <f t="shared" si="148"/>
        <v>1+2796.90703136363i</v>
      </c>
      <c r="AK180" s="585">
        <f t="shared" si="149"/>
        <v>2796.9072101325264</v>
      </c>
      <c r="AL180" s="586">
        <f t="shared" si="150"/>
        <v>1.5704387890054117</v>
      </c>
      <c r="AM180" s="273" t="str">
        <f t="shared" si="151"/>
        <v>1+0.0978883200065268i</v>
      </c>
      <c r="AN180" s="585">
        <f t="shared" si="152"/>
        <v>1.0047796391217829</v>
      </c>
      <c r="AO180" s="586">
        <f t="shared" si="153"/>
        <v>9.7577446044501942E-2</v>
      </c>
      <c r="AP180" s="584" t="str">
        <f t="shared" si="154"/>
        <v>1+0.000708199494690912i</v>
      </c>
      <c r="AQ180" s="585">
        <f t="shared" si="155"/>
        <v>1.0000002507732306</v>
      </c>
      <c r="AR180" s="586">
        <f t="shared" si="156"/>
        <v>7.0819937629261595E-4</v>
      </c>
      <c r="AS180" s="580" t="str">
        <f t="shared" si="157"/>
        <v>0.139493548581628-1.43019977178578i</v>
      </c>
      <c r="AT180" s="270">
        <f t="shared" si="158"/>
        <v>1.4369863733911998</v>
      </c>
      <c r="AU180" s="581">
        <f t="shared" si="159"/>
        <v>-1.4735695423372024</v>
      </c>
      <c r="AV180" s="580" t="str">
        <f t="shared" si="160"/>
        <v>0.0015708413230487-0.275986543501583i</v>
      </c>
      <c r="AW180" s="270">
        <f t="shared" si="161"/>
        <v>-11.182101162366653</v>
      </c>
      <c r="AX180" s="581">
        <f t="shared" si="162"/>
        <v>-89.673891324300314</v>
      </c>
      <c r="AY180" s="299">
        <f t="shared" si="132"/>
        <v>90.326108675699686</v>
      </c>
      <c r="BB180" s="270">
        <f t="shared" si="165"/>
        <v>-36.8509470032037</v>
      </c>
      <c r="BC180" s="270">
        <f t="shared" si="166"/>
        <v>-84.429315594945976</v>
      </c>
      <c r="BD180" s="286"/>
      <c r="BE180" s="270">
        <f t="shared" si="163"/>
        <v>25.668845840837054</v>
      </c>
      <c r="BF180" s="581">
        <f t="shared" si="164"/>
        <v>-5.2445757293543229</v>
      </c>
      <c r="BI180" s="286"/>
      <c r="BJ180" s="286"/>
      <c r="BL180" s="253">
        <f t="shared" si="133"/>
        <v>0</v>
      </c>
      <c r="BM180" s="253">
        <f t="shared" si="167"/>
        <v>0</v>
      </c>
      <c r="BN180" s="253">
        <f t="shared" si="134"/>
        <v>0</v>
      </c>
      <c r="BO180" s="253">
        <f t="shared" si="135"/>
        <v>0</v>
      </c>
    </row>
    <row r="181" spans="4:67" ht="13.6" thickBot="1" x14ac:dyDescent="0.25">
      <c r="D181" s="280">
        <v>10174.75</v>
      </c>
      <c r="E181" s="273" t="str">
        <f t="shared" si="114"/>
        <v>0.115073711467606i</v>
      </c>
      <c r="F181" s="579" t="str">
        <f t="shared" si="136"/>
        <v>0.002-0.240648427335233i</v>
      </c>
      <c r="G181" s="270" t="str">
        <f t="shared" si="137"/>
        <v>0.002-0.240648427335233i</v>
      </c>
      <c r="H181" s="271" t="str">
        <f t="shared" si="138"/>
        <v>0.0304559517075499-0.236747091802721i</v>
      </c>
      <c r="I181" s="271" t="str">
        <f t="shared" si="139"/>
        <v>0.0404559517075499-0.236747091802721i</v>
      </c>
      <c r="J181" s="270" t="str">
        <f t="shared" si="140"/>
        <v>0.0107022590357911-0.12012320122199i</v>
      </c>
      <c r="K181" s="271" t="str">
        <f t="shared" si="115"/>
        <v>0.997385784763958-0.0803138689751577i</v>
      </c>
      <c r="L181" s="580"/>
      <c r="M181" s="580" t="str">
        <f t="shared" si="116"/>
        <v>29.7048597957119-334.172914964264i</v>
      </c>
      <c r="N181" s="270" t="str">
        <f t="shared" si="117"/>
        <v>15.6119781801172-250.629686223198i</v>
      </c>
      <c r="O181" s="581" t="str">
        <f t="shared" si="118"/>
        <v>-2.29191879265598-126.069700846532i</v>
      </c>
      <c r="P181" s="582" t="str">
        <f t="shared" si="119"/>
        <v>-29.9393567958487-4.55766462042324i</v>
      </c>
      <c r="Q181" s="583" t="str">
        <f t="shared" si="120"/>
        <v>-29.9164376079222-3.29696761195793i</v>
      </c>
      <c r="R181" s="581" t="str">
        <f t="shared" si="141"/>
        <v>0.124854424434325-15.0302970953897i</v>
      </c>
      <c r="S181" s="253" t="str">
        <f t="shared" si="142"/>
        <v>51.1044349418514+0.713351056787533i</v>
      </c>
      <c r="T181" s="253" t="str">
        <f t="shared" si="143"/>
        <v>19.1261343991507-1.7815160194174i</v>
      </c>
      <c r="U181" s="253" t="str">
        <f t="shared" si="144"/>
        <v>0.160735889015612-4.5823144622805i</v>
      </c>
      <c r="V181" s="582" t="str">
        <f t="shared" si="121"/>
        <v>6000</v>
      </c>
      <c r="W181" s="584" t="str">
        <f t="shared" si="122"/>
        <v>1+35806.0803409015i</v>
      </c>
      <c r="X181" s="585">
        <f t="shared" si="123"/>
        <v>35806.080354865611</v>
      </c>
      <c r="Y181" s="586">
        <f t="shared" si="124"/>
        <v>1.5707683985773921</v>
      </c>
      <c r="Z181" s="273" t="str">
        <f t="shared" si="125"/>
        <v>1+5.37010653515495i</v>
      </c>
      <c r="AA181" s="585">
        <f t="shared" si="126"/>
        <v>5.4624210931521846</v>
      </c>
      <c r="AB181" s="586">
        <f t="shared" si="127"/>
        <v>1.386689013710146</v>
      </c>
      <c r="AC181" s="584" t="str">
        <f t="shared" si="128"/>
        <v>1+0.259620256571345i</v>
      </c>
      <c r="AD181" s="585">
        <f t="shared" si="129"/>
        <v>1.0331518173154277</v>
      </c>
      <c r="AE181" s="586">
        <f t="shared" si="130"/>
        <v>0.25401232744129482</v>
      </c>
      <c r="AF181" s="580" t="str">
        <f t="shared" si="145"/>
        <v>0.802295006512632-0.375836208749868i</v>
      </c>
      <c r="AG181" s="270">
        <f t="shared" si="146"/>
        <v>0.8859628283864841</v>
      </c>
      <c r="AH181" s="581">
        <f t="shared" si="147"/>
        <v>-0.43809171230854232</v>
      </c>
      <c r="AI181" s="582" t="str">
        <f t="shared" si="131"/>
        <v>4000</v>
      </c>
      <c r="AJ181" s="584" t="str">
        <f t="shared" si="148"/>
        <v>1+2813.01139893907i</v>
      </c>
      <c r="AK181" s="585">
        <f t="shared" si="149"/>
        <v>2813.0115766845233</v>
      </c>
      <c r="AL181" s="586">
        <f t="shared" si="150"/>
        <v>1.5704408358934903</v>
      </c>
      <c r="AM181" s="273" t="str">
        <f t="shared" si="151"/>
        <v>1+0.0984519531445073i</v>
      </c>
      <c r="AN181" s="585">
        <f t="shared" si="152"/>
        <v>1.0048347063462568</v>
      </c>
      <c r="AO181" s="586">
        <f t="shared" si="153"/>
        <v>9.8135699074077598E-2</v>
      </c>
      <c r="AP181" s="584" t="str">
        <f t="shared" si="154"/>
        <v>1+0.000712277250887793i</v>
      </c>
      <c r="AQ181" s="585">
        <f t="shared" si="155"/>
        <v>1.000000253669409</v>
      </c>
      <c r="AR181" s="586">
        <f t="shared" si="156"/>
        <v>7.1227713043251482E-4</v>
      </c>
      <c r="AS181" s="580" t="str">
        <f t="shared" si="157"/>
        <v>0.139487710020224-1.4220130727689i</v>
      </c>
      <c r="AT181" s="270">
        <f t="shared" si="158"/>
        <v>1.4288379895468679</v>
      </c>
      <c r="AU181" s="581">
        <f t="shared" si="159"/>
        <v>-1.4730174139498446</v>
      </c>
      <c r="AV181" s="580" t="str">
        <f t="shared" si="160"/>
        <v>0.00134521619917808-0.274461127370401i</v>
      </c>
      <c r="AW181" s="270">
        <f t="shared" si="161"/>
        <v>-11.230278813704832</v>
      </c>
      <c r="AX181" s="581">
        <f t="shared" si="162"/>
        <v>-89.719178470528661</v>
      </c>
      <c r="AY181" s="299">
        <f t="shared" si="132"/>
        <v>90.280821529471339</v>
      </c>
      <c r="BB181" s="270">
        <f t="shared" si="165"/>
        <v>-36.900340228023765</v>
      </c>
      <c r="BC181" s="270">
        <f t="shared" si="166"/>
        <v>-84.397680968601009</v>
      </c>
      <c r="BD181" s="286"/>
      <c r="BE181" s="270">
        <f t="shared" si="163"/>
        <v>25.670061414318933</v>
      </c>
      <c r="BF181" s="581">
        <f t="shared" si="164"/>
        <v>-5.3214975019276549</v>
      </c>
      <c r="BI181" s="286"/>
      <c r="BJ181" s="286"/>
      <c r="BL181" s="253">
        <f t="shared" si="133"/>
        <v>0</v>
      </c>
      <c r="BM181" s="253">
        <f t="shared" si="167"/>
        <v>0</v>
      </c>
      <c r="BN181" s="253">
        <f t="shared" si="134"/>
        <v>0</v>
      </c>
      <c r="BO181" s="253">
        <f t="shared" si="135"/>
        <v>0</v>
      </c>
    </row>
    <row r="182" spans="4:67" ht="13.6" thickBot="1" x14ac:dyDescent="0.25">
      <c r="D182" s="280">
        <v>10233</v>
      </c>
      <c r="E182" s="273" t="str">
        <f t="shared" si="114"/>
        <v>0.115732503447064i</v>
      </c>
      <c r="F182" s="579" t="str">
        <f t="shared" si="136"/>
        <v>0.002-0.239278567969233i</v>
      </c>
      <c r="G182" s="270" t="str">
        <f t="shared" si="137"/>
        <v>0.002-0.239278567969233i</v>
      </c>
      <c r="H182" s="271" t="str">
        <f t="shared" si="138"/>
        <v>0.0301374375633961-0.235437509009008i</v>
      </c>
      <c r="I182" s="271" t="str">
        <f t="shared" si="139"/>
        <v>0.0401374375633961-0.235437509009008i</v>
      </c>
      <c r="J182" s="270" t="str">
        <f t="shared" si="140"/>
        <v>0.0106206695788654-0.119444875954037i</v>
      </c>
      <c r="K182" s="271" t="str">
        <f t="shared" si="115"/>
        <v>0.997355766546299-0.0807736623723225i</v>
      </c>
      <c r="L182" s="580"/>
      <c r="M182" s="580" t="str">
        <f t="shared" si="116"/>
        <v>27.969571423842-327.2445748959i</v>
      </c>
      <c r="N182" s="270" t="str">
        <f t="shared" si="117"/>
        <v>14.3105119012148-245.433431171925i</v>
      </c>
      <c r="O182" s="581" t="str">
        <f t="shared" si="118"/>
        <v>-2.70704221402891-123.409073207355i</v>
      </c>
      <c r="P182" s="582" t="str">
        <f t="shared" si="119"/>
        <v>-29.163778522897-4.31598469496359i</v>
      </c>
      <c r="Q182" s="583" t="str">
        <f t="shared" si="120"/>
        <v>-29.1367081007567-3.08189396289004i</v>
      </c>
      <c r="R182" s="581" t="str">
        <f t="shared" si="141"/>
        <v>0.065500028499324-14.7147874298773i</v>
      </c>
      <c r="S182" s="253" t="str">
        <f t="shared" si="142"/>
        <v>51.1125804274709+0.663413124009161i</v>
      </c>
      <c r="T182" s="253" t="str">
        <f t="shared" si="143"/>
        <v>19.1263704073326-1.80736104631356i</v>
      </c>
      <c r="U182" s="253" t="str">
        <f t="shared" si="144"/>
        <v>0.150899211341393-4.55753423577377i</v>
      </c>
      <c r="V182" s="582" t="str">
        <f t="shared" si="121"/>
        <v>6000</v>
      </c>
      <c r="W182" s="584" t="str">
        <f t="shared" si="122"/>
        <v>1+36011.0685892474i</v>
      </c>
      <c r="X182" s="585">
        <f t="shared" si="123"/>
        <v>36011.068603132022</v>
      </c>
      <c r="Y182" s="586">
        <f t="shared" si="124"/>
        <v>1.5707685575550789</v>
      </c>
      <c r="Z182" s="273" t="str">
        <f t="shared" si="125"/>
        <v>1+5.40085016086297i</v>
      </c>
      <c r="AA182" s="585">
        <f t="shared" si="126"/>
        <v>5.4926480371578128</v>
      </c>
      <c r="AB182" s="586">
        <f t="shared" si="127"/>
        <v>1.3877136935998327</v>
      </c>
      <c r="AC182" s="584" t="str">
        <f t="shared" si="128"/>
        <v>1+0.261106571217432i</v>
      </c>
      <c r="AD182" s="585">
        <f t="shared" si="129"/>
        <v>1.0335263139044519</v>
      </c>
      <c r="AE182" s="586">
        <f t="shared" si="130"/>
        <v>0.25540428250503816</v>
      </c>
      <c r="AF182" s="580" t="str">
        <f t="shared" si="145"/>
        <v>0.801713641523916-0.375923150288976i</v>
      </c>
      <c r="AG182" s="270">
        <f t="shared" si="146"/>
        <v>0.88547330729318219</v>
      </c>
      <c r="AH182" s="581">
        <f t="shared" si="147"/>
        <v>-0.43845914646028511</v>
      </c>
      <c r="AI182" s="582" t="str">
        <f t="shared" si="131"/>
        <v>4000</v>
      </c>
      <c r="AJ182" s="584" t="str">
        <f t="shared" si="148"/>
        <v>1+2829.11576651451i</v>
      </c>
      <c r="AK182" s="585">
        <f t="shared" si="149"/>
        <v>2829.1159432481704</v>
      </c>
      <c r="AL182" s="586">
        <f t="shared" si="150"/>
        <v>1.570442859478292</v>
      </c>
      <c r="AM182" s="273" t="str">
        <f t="shared" si="151"/>
        <v>1+0.0990155862824879i</v>
      </c>
      <c r="AN182" s="585">
        <f t="shared" si="152"/>
        <v>1.004890086689517</v>
      </c>
      <c r="AO182" s="586">
        <f t="shared" si="153"/>
        <v>9.8693890746001892E-2</v>
      </c>
      <c r="AP182" s="584" t="str">
        <f t="shared" si="154"/>
        <v>1+0.000716355007084674i</v>
      </c>
      <c r="AQ182" s="585">
        <f t="shared" si="155"/>
        <v>1.0000002565822153</v>
      </c>
      <c r="AR182" s="586">
        <f t="shared" si="156"/>
        <v>7.1635488454872625E-4</v>
      </c>
      <c r="AS182" s="580" t="str">
        <f t="shared" si="157"/>
        <v>0.139481970862136-1.41391958357323i</v>
      </c>
      <c r="AT182" s="270">
        <f t="shared" si="158"/>
        <v>1.4207828155659405</v>
      </c>
      <c r="AU182" s="581">
        <f t="shared" si="159"/>
        <v>-1.472465323616839</v>
      </c>
      <c r="AV182" s="580" t="str">
        <f t="shared" si="160"/>
        <v>0.0011232066188384-0.272952439624023i</v>
      </c>
      <c r="AW182" s="270">
        <f t="shared" si="161"/>
        <v>-11.278186852724719</v>
      </c>
      <c r="AX182" s="581">
        <f t="shared" si="162"/>
        <v>-89.764227659506162</v>
      </c>
      <c r="AY182" s="299">
        <f t="shared" si="132"/>
        <v>90.235772340493838</v>
      </c>
      <c r="BB182" s="270">
        <f t="shared" si="165"/>
        <v>-36.949446086912239</v>
      </c>
      <c r="BC182" s="270">
        <f t="shared" si="166"/>
        <v>-84.366048522609816</v>
      </c>
      <c r="BD182" s="286"/>
      <c r="BE182" s="270">
        <f t="shared" si="163"/>
        <v>25.671259234187531</v>
      </c>
      <c r="BF182" s="581">
        <f t="shared" si="164"/>
        <v>-5.3981791368963519</v>
      </c>
      <c r="BI182" s="286"/>
      <c r="BJ182" s="286"/>
      <c r="BL182" s="253">
        <f t="shared" si="133"/>
        <v>0</v>
      </c>
      <c r="BM182" s="253">
        <f t="shared" si="167"/>
        <v>0</v>
      </c>
      <c r="BN182" s="253">
        <f t="shared" si="134"/>
        <v>0</v>
      </c>
      <c r="BO182" s="253">
        <f t="shared" si="135"/>
        <v>0</v>
      </c>
    </row>
    <row r="183" spans="4:67" ht="13.6" thickBot="1" x14ac:dyDescent="0.25">
      <c r="D183" s="280">
        <v>10292.5</v>
      </c>
      <c r="E183" s="273" t="str">
        <f t="shared" si="114"/>
        <v>0.116405432593463i</v>
      </c>
      <c r="F183" s="579" t="str">
        <f t="shared" si="136"/>
        <v>0.002-0.237895320478908i</v>
      </c>
      <c r="G183" s="270" t="str">
        <f t="shared" si="137"/>
        <v>0.002-0.237895320478908i</v>
      </c>
      <c r="H183" s="271" t="str">
        <f t="shared" si="138"/>
        <v>0.0298175518316527-0.234114477976488i</v>
      </c>
      <c r="I183" s="271" t="str">
        <f t="shared" si="139"/>
        <v>0.0398175518316527-0.234114477976488i</v>
      </c>
      <c r="J183" s="270" t="str">
        <f t="shared" si="140"/>
        <v>0.010538748233735-0.11875984036189i</v>
      </c>
      <c r="K183" s="271" t="str">
        <f t="shared" si="115"/>
        <v>0.997324927242999-0.0812433225805853i</v>
      </c>
      <c r="L183" s="580"/>
      <c r="M183" s="580" t="str">
        <f t="shared" si="116"/>
        <v>26.3290707208234-320.476717667831i</v>
      </c>
      <c r="N183" s="270" t="str">
        <f t="shared" si="117"/>
        <v>13.0801363739509-240.357538250873i</v>
      </c>
      <c r="O183" s="581" t="str">
        <f t="shared" si="118"/>
        <v>-3.09240305442528-120.812018692321i</v>
      </c>
      <c r="P183" s="582" t="str">
        <f t="shared" si="119"/>
        <v>-28.4069746083426-4.08646248938844i</v>
      </c>
      <c r="Q183" s="583" t="str">
        <f t="shared" si="120"/>
        <v>-28.3760505777981-2.8783423024652i</v>
      </c>
      <c r="R183" s="581" t="str">
        <f t="shared" si="141"/>
        <v>0.00994207329118748-14.4067359561921i</v>
      </c>
      <c r="S183" s="253" t="str">
        <f t="shared" si="142"/>
        <v>51.1207129608708+0.612674390110967i</v>
      </c>
      <c r="T183" s="253" t="str">
        <f t="shared" si="143"/>
        <v>19.1265441563633-1.83367939190245i</v>
      </c>
      <c r="U183" s="253" t="str">
        <f t="shared" si="144"/>
        <v>0.141015828131269-4.53247673097191i</v>
      </c>
      <c r="V183" s="582" t="str">
        <f t="shared" si="121"/>
        <v>6000</v>
      </c>
      <c r="W183" s="584" t="str">
        <f t="shared" si="122"/>
        <v>1+36220.4557270428i</v>
      </c>
      <c r="X183" s="585">
        <f t="shared" si="123"/>
        <v>36220.455740847145</v>
      </c>
      <c r="Y183" s="586">
        <f t="shared" si="124"/>
        <v>1.5707687180865115</v>
      </c>
      <c r="Z183" s="273" t="str">
        <f t="shared" si="125"/>
        <v>1+5.43225352102826i</v>
      </c>
      <c r="AA183" s="585">
        <f t="shared" si="126"/>
        <v>5.5235295162354232</v>
      </c>
      <c r="AB183" s="586">
        <f t="shared" si="127"/>
        <v>1.3887487827296809</v>
      </c>
      <c r="AC183" s="584" t="str">
        <f t="shared" si="128"/>
        <v>1+0.262624781027599i</v>
      </c>
      <c r="AD183" s="585">
        <f t="shared" si="129"/>
        <v>1.0339109128013855</v>
      </c>
      <c r="AE183" s="586">
        <f t="shared" si="130"/>
        <v>0.25682506396677374</v>
      </c>
      <c r="AF183" s="580" t="str">
        <f t="shared" si="145"/>
        <v>0.801117252374448-0.376020649098202i</v>
      </c>
      <c r="AG183" s="270">
        <f t="shared" si="146"/>
        <v>0.88497479094052067</v>
      </c>
      <c r="AH183" s="581">
        <f t="shared" si="147"/>
        <v>-0.43884499932360477</v>
      </c>
      <c r="AI183" s="582" t="str">
        <f t="shared" si="131"/>
        <v>4000</v>
      </c>
      <c r="AJ183" s="584" t="str">
        <f t="shared" si="148"/>
        <v>1+2845.56572137697i</v>
      </c>
      <c r="AK183" s="585">
        <f t="shared" si="149"/>
        <v>2845.5658970889494</v>
      </c>
      <c r="AL183" s="586">
        <f t="shared" si="150"/>
        <v>1.5704449028403131</v>
      </c>
      <c r="AM183" s="273" t="str">
        <f t="shared" si="151"/>
        <v>1+0.0995913145521847i</v>
      </c>
      <c r="AN183" s="585">
        <f t="shared" si="152"/>
        <v>1.0049469786681444</v>
      </c>
      <c r="AO183" s="586">
        <f t="shared" si="153"/>
        <v>9.9263997082066846E-2</v>
      </c>
      <c r="AP183" s="584" t="str">
        <f t="shared" si="154"/>
        <v>1+0.000720520268779342i</v>
      </c>
      <c r="AQ183" s="585">
        <f t="shared" si="155"/>
        <v>1.0000002595746951</v>
      </c>
      <c r="AR183" s="586">
        <f t="shared" si="156"/>
        <v>7.2052014409347857E-4</v>
      </c>
      <c r="AS183" s="580" t="str">
        <f t="shared" si="157"/>
        <v>0.139476208838784-1.40574700040758i</v>
      </c>
      <c r="AT183" s="270">
        <f t="shared" si="158"/>
        <v>1.4126493697966771</v>
      </c>
      <c r="AU183" s="581">
        <f t="shared" si="159"/>
        <v>-1.4719014259023393</v>
      </c>
      <c r="AV183" s="580" t="str">
        <f t="shared" si="160"/>
        <v>0.000900085622410867-0.271428367257792i</v>
      </c>
      <c r="AW183" s="270">
        <f t="shared" si="161"/>
        <v>-11.326847557600617</v>
      </c>
      <c r="AX183" s="581">
        <f t="shared" si="162"/>
        <v>-89.810001736915936</v>
      </c>
      <c r="AY183" s="299">
        <f t="shared" si="132"/>
        <v>90.189998263084064</v>
      </c>
      <c r="BB183" s="270">
        <f t="shared" si="165"/>
        <v>-36.99931239868414</v>
      </c>
      <c r="BC183" s="270">
        <f t="shared" si="166"/>
        <v>-84.333739563491918</v>
      </c>
      <c r="BD183" s="286"/>
      <c r="BE183" s="270">
        <f t="shared" si="163"/>
        <v>25.672464841083521</v>
      </c>
      <c r="BF183" s="581">
        <f t="shared" si="164"/>
        <v>-5.4762621734240184</v>
      </c>
      <c r="BI183" s="286"/>
      <c r="BJ183" s="286"/>
      <c r="BL183" s="253">
        <f t="shared" si="133"/>
        <v>0</v>
      </c>
      <c r="BM183" s="253">
        <f t="shared" si="167"/>
        <v>0</v>
      </c>
      <c r="BN183" s="253">
        <f t="shared" si="134"/>
        <v>0</v>
      </c>
      <c r="BO183" s="253">
        <f t="shared" si="135"/>
        <v>0</v>
      </c>
    </row>
    <row r="184" spans="4:67" ht="13.6" thickBot="1" x14ac:dyDescent="0.25">
      <c r="D184" s="280">
        <v>10352</v>
      </c>
      <c r="E184" s="273" t="str">
        <f t="shared" si="114"/>
        <v>0.117078361739862i</v>
      </c>
      <c r="F184" s="579" t="str">
        <f t="shared" si="136"/>
        <v>0.002-0.2365279739209i</v>
      </c>
      <c r="G184" s="270" t="str">
        <f t="shared" si="137"/>
        <v>0.002-0.2365279739209i</v>
      </c>
      <c r="H184" s="271" t="str">
        <f t="shared" si="138"/>
        <v>0.0295030647925413-0.232806017833149i</v>
      </c>
      <c r="I184" s="271" t="str">
        <f t="shared" si="139"/>
        <v>0.0395030647925413-0.232806017833149i</v>
      </c>
      <c r="J184" s="270" t="str">
        <f t="shared" si="140"/>
        <v>0.0104582284537757-0.118082600220564i</v>
      </c>
      <c r="K184" s="271" t="str">
        <f t="shared" si="115"/>
        <v>0.997293909143709-0.0817129827888481i</v>
      </c>
      <c r="L184" s="580"/>
      <c r="M184" s="580" t="str">
        <f t="shared" si="116"/>
        <v>24.8096589768044-314.001494596014i</v>
      </c>
      <c r="N184" s="270" t="str">
        <f t="shared" si="117"/>
        <v>11.9405775659366-235.501120947011i</v>
      </c>
      <c r="O184" s="581" t="str">
        <f t="shared" si="118"/>
        <v>-3.44261266808886-118.329044641304i</v>
      </c>
      <c r="P184" s="582" t="str">
        <f t="shared" si="119"/>
        <v>-27.683707428226-3.87289897110523i</v>
      </c>
      <c r="Q184" s="583" t="str">
        <f t="shared" si="120"/>
        <v>-27.6492813015452-2.68960852469218i</v>
      </c>
      <c r="R184" s="581" t="str">
        <f t="shared" si="141"/>
        <v>-0.0409904799032979-14.1121419305984i</v>
      </c>
      <c r="S184" s="253" t="str">
        <f t="shared" si="142"/>
        <v>51.1286595196652+0.562205417946545i</v>
      </c>
      <c r="T184" s="253" t="str">
        <f t="shared" si="143"/>
        <v>19.1266509686735-1.85991671670085i</v>
      </c>
      <c r="U184" s="253" t="str">
        <f t="shared" si="144"/>
        <v>0.131295018476667-4.50767268990298i</v>
      </c>
      <c r="V184" s="582" t="str">
        <f t="shared" si="121"/>
        <v>6000</v>
      </c>
      <c r="W184" s="584" t="str">
        <f t="shared" si="122"/>
        <v>1+36429.8428648382i</v>
      </c>
      <c r="X184" s="585">
        <f t="shared" si="123"/>
        <v>36429.842878563213</v>
      </c>
      <c r="Y184" s="586">
        <f t="shared" si="124"/>
        <v>1.5707688767725767</v>
      </c>
      <c r="Z184" s="273" t="str">
        <f t="shared" si="125"/>
        <v>1+5.46365688119354i</v>
      </c>
      <c r="AA184" s="585">
        <f t="shared" si="126"/>
        <v>5.5544168474659443</v>
      </c>
      <c r="AB184" s="586">
        <f t="shared" si="127"/>
        <v>1.3897723609757899</v>
      </c>
      <c r="AC184" s="584" t="str">
        <f t="shared" si="128"/>
        <v>1+0.264142990837766i</v>
      </c>
      <c r="AD184" s="585">
        <f t="shared" si="129"/>
        <v>1.0342975972169326</v>
      </c>
      <c r="AE184" s="586">
        <f t="shared" si="130"/>
        <v>0.25824478594062916</v>
      </c>
      <c r="AF184" s="580" t="str">
        <f t="shared" si="145"/>
        <v>0.800518300992666-0.376126730766122i</v>
      </c>
      <c r="AG184" s="270">
        <f t="shared" si="146"/>
        <v>0.88447773732355484</v>
      </c>
      <c r="AH184" s="581">
        <f t="shared" si="147"/>
        <v>-0.4392413017374161</v>
      </c>
      <c r="AI184" s="582" t="str">
        <f t="shared" si="131"/>
        <v>4000</v>
      </c>
      <c r="AJ184" s="584" t="str">
        <f t="shared" si="148"/>
        <v>1+2862.01567623944i</v>
      </c>
      <c r="AK184" s="585">
        <f t="shared" si="149"/>
        <v>2862.0158509414828</v>
      </c>
      <c r="AL184" s="586">
        <f t="shared" si="150"/>
        <v>1.5704469227131483</v>
      </c>
      <c r="AM184" s="273" t="str">
        <f t="shared" si="151"/>
        <v>1+0.100167042821882i</v>
      </c>
      <c r="AN184" s="585">
        <f t="shared" si="152"/>
        <v>1.0050041972388379</v>
      </c>
      <c r="AO184" s="586">
        <f t="shared" si="153"/>
        <v>9.9834038686905893E-2</v>
      </c>
      <c r="AP184" s="584" t="str">
        <f t="shared" si="154"/>
        <v>1+0.00072468553047401i</v>
      </c>
      <c r="AQ184" s="585">
        <f t="shared" si="155"/>
        <v>1.0000002625845246</v>
      </c>
      <c r="AR184" s="586">
        <f t="shared" si="156"/>
        <v>7.2468540361322962E-4</v>
      </c>
      <c r="AS184" s="580" t="str">
        <f t="shared" si="157"/>
        <v>0.139470545865312-1.39766837067383i</v>
      </c>
      <c r="AT184" s="270">
        <f t="shared" si="158"/>
        <v>1.4046098773488698</v>
      </c>
      <c r="AU184" s="581">
        <f t="shared" si="159"/>
        <v>-1.4713375694298561</v>
      </c>
      <c r="AV184" s="580" t="str">
        <f t="shared" si="160"/>
        <v>0.000680576841558951-0.269921186955752i</v>
      </c>
      <c r="AW184" s="270">
        <f t="shared" si="161"/>
        <v>-11.375232889741332</v>
      </c>
      <c r="AX184" s="581">
        <f t="shared" si="162"/>
        <v>-89.855535245447953</v>
      </c>
      <c r="AY184" s="299">
        <f t="shared" si="132"/>
        <v>90.144464754552047</v>
      </c>
      <c r="BB184" s="270">
        <f t="shared" si="165"/>
        <v>-37.048885638186363</v>
      </c>
      <c r="BC184" s="270">
        <f t="shared" si="166"/>
        <v>-84.301432967367475</v>
      </c>
      <c r="BD184" s="286"/>
      <c r="BE184" s="270">
        <f t="shared" si="163"/>
        <v>25.673652748445033</v>
      </c>
      <c r="BF184" s="581">
        <f t="shared" si="164"/>
        <v>-5.5541022780804834</v>
      </c>
      <c r="BI184" s="286"/>
      <c r="BJ184" s="286"/>
      <c r="BL184" s="253">
        <f t="shared" si="133"/>
        <v>0</v>
      </c>
      <c r="BM184" s="253">
        <f t="shared" si="167"/>
        <v>0</v>
      </c>
      <c r="BN184" s="253">
        <f t="shared" si="134"/>
        <v>0</v>
      </c>
      <c r="BO184" s="253">
        <f t="shared" si="135"/>
        <v>0</v>
      </c>
    </row>
    <row r="185" spans="4:67" ht="13.6" thickBot="1" x14ac:dyDescent="0.25">
      <c r="D185" s="280">
        <v>10411.5</v>
      </c>
      <c r="E185" s="273" t="str">
        <f t="shared" si="114"/>
        <v>0.11775129088626i</v>
      </c>
      <c r="F185" s="579" t="str">
        <f t="shared" si="136"/>
        <v>0.002-0.235176255681617i</v>
      </c>
      <c r="G185" s="270" t="str">
        <f t="shared" si="137"/>
        <v>0.002-0.235176255681617i</v>
      </c>
      <c r="H185" s="271" t="str">
        <f t="shared" si="138"/>
        <v>0.0291938562020234-0.231511892893474i</v>
      </c>
      <c r="I185" s="271" t="str">
        <f t="shared" si="139"/>
        <v>0.0391938562020234-0.231511892893474i</v>
      </c>
      <c r="J185" s="270" t="str">
        <f t="shared" si="140"/>
        <v>0.0103790784734782-0.117413023745076i</v>
      </c>
      <c r="K185" s="271" t="str">
        <f t="shared" si="115"/>
        <v>0.997262712248428-0.0821826429971109i</v>
      </c>
      <c r="L185" s="580"/>
      <c r="M185" s="580" t="str">
        <f t="shared" si="116"/>
        <v>23.4002822553428-307.800564493443i</v>
      </c>
      <c r="N185" s="270" t="str">
        <f t="shared" si="117"/>
        <v>10.8835450248404-230.850423370082i</v>
      </c>
      <c r="O185" s="581" t="str">
        <f t="shared" si="118"/>
        <v>-3.76117108190069-115.952878008935i</v>
      </c>
      <c r="P185" s="582" t="str">
        <f t="shared" si="119"/>
        <v>-26.9918850728298-3.67388459022594i</v>
      </c>
      <c r="Q185" s="583" t="str">
        <f t="shared" si="120"/>
        <v>-26.9542733620108-2.51435581013659i</v>
      </c>
      <c r="R185" s="581" t="str">
        <f t="shared" si="141"/>
        <v>-0.0877426551876715-13.8301522743081i</v>
      </c>
      <c r="S185" s="253" t="str">
        <f t="shared" si="142"/>
        <v>51.1364237970937+0.512002309512581i</v>
      </c>
      <c r="T185" s="253" t="str">
        <f t="shared" si="143"/>
        <v>19.1266919245665-1.88607414571668i</v>
      </c>
      <c r="U185" s="253" t="str">
        <f t="shared" si="144"/>
        <v>0.121733298053885-4.48311842964312i</v>
      </c>
      <c r="V185" s="582" t="str">
        <f t="shared" si="121"/>
        <v>6000</v>
      </c>
      <c r="W185" s="584" t="str">
        <f t="shared" si="122"/>
        <v>1+36639.2300026336i</v>
      </c>
      <c r="X185" s="585">
        <f t="shared" si="123"/>
        <v>36639.230016280177</v>
      </c>
      <c r="Y185" s="586">
        <f t="shared" si="124"/>
        <v>1.5707690336449129</v>
      </c>
      <c r="Z185" s="273" t="str">
        <f t="shared" si="125"/>
        <v>1+5.49506024135883i</v>
      </c>
      <c r="AA185" s="585">
        <f t="shared" si="126"/>
        <v>5.5853099337603966</v>
      </c>
      <c r="AB185" s="586">
        <f t="shared" si="127"/>
        <v>1.3907846171799925</v>
      </c>
      <c r="AC185" s="584" t="str">
        <f t="shared" si="128"/>
        <v>1+0.265661200647933i</v>
      </c>
      <c r="AD185" s="585">
        <f t="shared" si="129"/>
        <v>1.0346863648128843</v>
      </c>
      <c r="AE185" s="586">
        <f t="shared" si="130"/>
        <v>0.25966344389447177</v>
      </c>
      <c r="AF185" s="580" t="str">
        <f t="shared" si="145"/>
        <v>0.799916800838478-0.376241197399544i</v>
      </c>
      <c r="AG185" s="270">
        <f t="shared" si="146"/>
        <v>0.8839820851602751</v>
      </c>
      <c r="AH185" s="581">
        <f t="shared" si="147"/>
        <v>-0.4396478603593918</v>
      </c>
      <c r="AI185" s="582" t="str">
        <f t="shared" si="131"/>
        <v>4000</v>
      </c>
      <c r="AJ185" s="584" t="str">
        <f t="shared" si="148"/>
        <v>1+2878.46563110191i</v>
      </c>
      <c r="AK185" s="585">
        <f t="shared" si="149"/>
        <v>2878.4658048055589</v>
      </c>
      <c r="AL185" s="586">
        <f t="shared" si="150"/>
        <v>1.5704489194995084</v>
      </c>
      <c r="AM185" s="273" t="str">
        <f t="shared" si="151"/>
        <v>1+0.100742771091579i</v>
      </c>
      <c r="AN185" s="585">
        <f t="shared" si="152"/>
        <v>1.0050617423458175</v>
      </c>
      <c r="AO185" s="586">
        <f t="shared" si="153"/>
        <v>0.10040401520113844</v>
      </c>
      <c r="AP185" s="584" t="str">
        <f t="shared" si="154"/>
        <v>1+0.000728850792168679i</v>
      </c>
      <c r="AQ185" s="585">
        <f t="shared" si="155"/>
        <v>1.0000002656117033</v>
      </c>
      <c r="AR185" s="586">
        <f t="shared" si="156"/>
        <v>7.2885066310783607E-4</v>
      </c>
      <c r="AS185" s="580" t="str">
        <f t="shared" si="157"/>
        <v>0.139464979683879-1.3896820835878i</v>
      </c>
      <c r="AT185" s="270">
        <f t="shared" si="158"/>
        <v>1.3966627273623198</v>
      </c>
      <c r="AU185" s="581">
        <f t="shared" si="159"/>
        <v>-1.4707737549614777</v>
      </c>
      <c r="AV185" s="580" t="str">
        <f t="shared" si="160"/>
        <v>0.000464602520588437-0.268430623782882i</v>
      </c>
      <c r="AW185" s="270">
        <f t="shared" si="161"/>
        <v>-11.423345777691177</v>
      </c>
      <c r="AX185" s="581">
        <f t="shared" si="162"/>
        <v>-89.900831966844493</v>
      </c>
      <c r="AY185" s="299">
        <f t="shared" si="132"/>
        <v>90.099168033155507</v>
      </c>
      <c r="BB185" s="270">
        <f t="shared" si="165"/>
        <v>-37.098169133691016</v>
      </c>
      <c r="BC185" s="270">
        <f t="shared" si="166"/>
        <v>-84.269128777900988</v>
      </c>
      <c r="BD185" s="286"/>
      <c r="BE185" s="270">
        <f t="shared" si="163"/>
        <v>25.674823355999834</v>
      </c>
      <c r="BF185" s="581">
        <f t="shared" si="164"/>
        <v>-5.6317031889434999</v>
      </c>
      <c r="BI185" s="286"/>
      <c r="BJ185" s="286"/>
      <c r="BL185" s="253">
        <f t="shared" si="133"/>
        <v>0</v>
      </c>
      <c r="BM185" s="253">
        <f t="shared" si="167"/>
        <v>0</v>
      </c>
      <c r="BN185" s="253">
        <f t="shared" si="134"/>
        <v>0</v>
      </c>
      <c r="BO185" s="253">
        <f t="shared" si="135"/>
        <v>0</v>
      </c>
    </row>
    <row r="186" spans="4:67" ht="13.6" thickBot="1" x14ac:dyDescent="0.25">
      <c r="D186" s="280">
        <v>10471</v>
      </c>
      <c r="E186" s="273" t="str">
        <f t="shared" si="114"/>
        <v>0.118424220032659i</v>
      </c>
      <c r="F186" s="579" t="str">
        <f t="shared" si="136"/>
        <v>0.002-0.233839899343822i</v>
      </c>
      <c r="G186" s="270" t="str">
        <f t="shared" si="137"/>
        <v>0.002-0.233839899343822i</v>
      </c>
      <c r="H186" s="271" t="str">
        <f t="shared" si="138"/>
        <v>0.0288898091296483-0.23023187244191i</v>
      </c>
      <c r="I186" s="271" t="str">
        <f t="shared" si="139"/>
        <v>0.0388898091296483-0.23023187244191i</v>
      </c>
      <c r="J186" s="270" t="str">
        <f t="shared" si="140"/>
        <v>0.0103012674211066-0.116750982093682i</v>
      </c>
      <c r="K186" s="271" t="str">
        <f t="shared" si="115"/>
        <v>0.997231336557158-0.0826523032053737i</v>
      </c>
      <c r="L186" s="580"/>
      <c r="M186" s="580" t="str">
        <f t="shared" si="116"/>
        <v>22.0910892177383-301.857046999692i</v>
      </c>
      <c r="N186" s="270" t="str">
        <f t="shared" si="117"/>
        <v>9.90165024663703-226.392785249769i</v>
      </c>
      <c r="O186" s="581" t="str">
        <f t="shared" si="118"/>
        <v>-4.0511786983638-113.676836425016i</v>
      </c>
      <c r="P186" s="582" t="str">
        <f t="shared" si="119"/>
        <v>-26.3295804697337-3.48816001371005i</v>
      </c>
      <c r="Q186" s="583" t="str">
        <f t="shared" si="120"/>
        <v>-26.28906868275-2.35139164945989i</v>
      </c>
      <c r="R186" s="581" t="str">
        <f t="shared" si="141"/>
        <v>-0.130709586507987-13.5599827456664i</v>
      </c>
      <c r="S186" s="253" t="str">
        <f t="shared" si="142"/>
        <v>51.1440093891377+0.462061237173558i</v>
      </c>
      <c r="T186" s="253" t="str">
        <f t="shared" si="143"/>
        <v>19.1266680759631-1.91215278341483i</v>
      </c>
      <c r="U186" s="253" t="str">
        <f t="shared" si="144"/>
        <v>0.112327274280106-4.45881033364347i</v>
      </c>
      <c r="V186" s="582" t="str">
        <f t="shared" si="121"/>
        <v>6000</v>
      </c>
      <c r="W186" s="584" t="str">
        <f t="shared" si="122"/>
        <v>1+36848.617140429i</v>
      </c>
      <c r="X186" s="585">
        <f t="shared" si="123"/>
        <v>36848.617153998021</v>
      </c>
      <c r="Y186" s="586">
        <f t="shared" si="124"/>
        <v>1.5707691887344386</v>
      </c>
      <c r="Z186" s="273" t="str">
        <f t="shared" si="125"/>
        <v>1+5.52646360152411i</v>
      </c>
      <c r="AA186" s="585">
        <f t="shared" si="126"/>
        <v>5.6162086801480973</v>
      </c>
      <c r="AB186" s="586">
        <f t="shared" si="127"/>
        <v>1.3917857361222841</v>
      </c>
      <c r="AC186" s="584" t="str">
        <f t="shared" si="128"/>
        <v>1+0.2671794104581i</v>
      </c>
      <c r="AD186" s="585">
        <f t="shared" si="129"/>
        <v>1.0350772132419581</v>
      </c>
      <c r="AE186" s="586">
        <f t="shared" si="130"/>
        <v>0.26108103332009069</v>
      </c>
      <c r="AF186" s="580" t="str">
        <f t="shared" si="145"/>
        <v>0.79931276539782-0.376363855507993i</v>
      </c>
      <c r="AG186" s="270">
        <f t="shared" si="146"/>
        <v>0.88348777504884135</v>
      </c>
      <c r="AH186" s="581">
        <f t="shared" si="147"/>
        <v>-0.4400644859322459</v>
      </c>
      <c r="AI186" s="582" t="str">
        <f t="shared" si="131"/>
        <v>4000</v>
      </c>
      <c r="AJ186" s="584" t="str">
        <f t="shared" si="148"/>
        <v>1+2894.91558596437i</v>
      </c>
      <c r="AK186" s="585">
        <f t="shared" si="149"/>
        <v>2894.9157586809729</v>
      </c>
      <c r="AL186" s="586">
        <f t="shared" si="150"/>
        <v>1.5704508935929498</v>
      </c>
      <c r="AM186" s="273" t="str">
        <f t="shared" si="151"/>
        <v>1+0.101318499361275i</v>
      </c>
      <c r="AN186" s="585">
        <f t="shared" si="152"/>
        <v>1.0051196139329988</v>
      </c>
      <c r="AO186" s="586">
        <f t="shared" si="153"/>
        <v>0.10097392626563521</v>
      </c>
      <c r="AP186" s="584" t="str">
        <f t="shared" si="154"/>
        <v>1+0.000733016053863347i</v>
      </c>
      <c r="AQ186" s="585">
        <f t="shared" si="155"/>
        <v>1.0000002686562315</v>
      </c>
      <c r="AR186" s="586">
        <f t="shared" si="156"/>
        <v>7.3301592257715123E-4</v>
      </c>
      <c r="AS186" s="580" t="str">
        <f t="shared" si="157"/>
        <v>0.139459508100609-1.38178656497754i</v>
      </c>
      <c r="AT186" s="270">
        <f t="shared" si="158"/>
        <v>1.3888063455903754</v>
      </c>
      <c r="AU186" s="581">
        <f t="shared" si="159"/>
        <v>-1.4702099832498918</v>
      </c>
      <c r="AV186" s="580" t="str">
        <f t="shared" si="160"/>
        <v>0.000252086951704156-0.266956408667389i</v>
      </c>
      <c r="AW186" s="270">
        <f t="shared" si="161"/>
        <v>-11.471189103899446</v>
      </c>
      <c r="AX186" s="581">
        <f t="shared" si="162"/>
        <v>-89.945895608268174</v>
      </c>
      <c r="AY186" s="299">
        <f t="shared" si="132"/>
        <v>90.054104391731826</v>
      </c>
      <c r="BB186" s="270">
        <f t="shared" si="165"/>
        <v>-37.147166156592036</v>
      </c>
      <c r="BC186" s="270">
        <f t="shared" si="166"/>
        <v>-84.236827038218252</v>
      </c>
      <c r="BD186" s="286"/>
      <c r="BE186" s="270">
        <f t="shared" si="163"/>
        <v>25.675977052692581</v>
      </c>
      <c r="BF186" s="581">
        <f t="shared" si="164"/>
        <v>-5.7090685700499204</v>
      </c>
      <c r="BI186" s="286"/>
      <c r="BJ186" s="286"/>
      <c r="BL186" s="253">
        <f t="shared" si="133"/>
        <v>0</v>
      </c>
      <c r="BM186" s="253">
        <f t="shared" si="167"/>
        <v>0</v>
      </c>
      <c r="BN186" s="253">
        <f t="shared" si="134"/>
        <v>0</v>
      </c>
      <c r="BO186" s="253">
        <f t="shared" si="135"/>
        <v>0</v>
      </c>
    </row>
    <row r="187" spans="4:67" ht="13.6" thickBot="1" x14ac:dyDescent="0.25">
      <c r="D187" s="280">
        <v>10532</v>
      </c>
      <c r="E187" s="273" t="str">
        <f t="shared" si="114"/>
        <v>0.119114113779388i</v>
      </c>
      <c r="F187" s="579" t="str">
        <f t="shared" si="136"/>
        <v>0.002-0.232485528487387i</v>
      </c>
      <c r="G187" s="270" t="str">
        <f t="shared" si="137"/>
        <v>0.002-0.232485528487387i</v>
      </c>
      <c r="H187" s="271" t="str">
        <f t="shared" si="138"/>
        <v>0.0285833363133019-0.228933988474547i</v>
      </c>
      <c r="I187" s="271" t="str">
        <f t="shared" si="139"/>
        <v>0.0385833363133019-0.228933988474547i</v>
      </c>
      <c r="J187" s="270" t="str">
        <f t="shared" si="140"/>
        <v>0.0102228533222323-0.116079940600953i</v>
      </c>
      <c r="K187" s="271" t="str">
        <f t="shared" si="115"/>
        <v>0.997198984268074-0.083133803586954i</v>
      </c>
      <c r="L187" s="580"/>
      <c r="M187" s="580" t="str">
        <f t="shared" si="116"/>
        <v>20.8436892331232-296.014643217929i</v>
      </c>
      <c r="N187" s="270" t="str">
        <f t="shared" si="117"/>
        <v>8.96610025817573-222.010982413447i</v>
      </c>
      <c r="O187" s="581" t="str">
        <f t="shared" si="118"/>
        <v>-4.32173748420166-111.440925144787i</v>
      </c>
      <c r="P187" s="582" t="str">
        <f t="shared" si="119"/>
        <v>-25.6793625235004-3.31037009452859i</v>
      </c>
      <c r="Q187" s="583" t="str">
        <f t="shared" si="120"/>
        <v>-25.6361451486583-2.19596084308071i</v>
      </c>
      <c r="R187" s="581" t="str">
        <f t="shared" si="141"/>
        <v>-0.171197995009022-13.2945176307856i</v>
      </c>
      <c r="S187" s="253" t="str">
        <f t="shared" si="142"/>
        <v>51.1516043806289+0.411129240134596i</v>
      </c>
      <c r="T187" s="253" t="str">
        <f t="shared" si="143"/>
        <v>19.1265774226961-1.93880820491563i</v>
      </c>
      <c r="U187" s="253" t="str">
        <f t="shared" si="144"/>
        <v>0.102842299756818-4.43414126221313i</v>
      </c>
      <c r="V187" s="582" t="str">
        <f t="shared" si="121"/>
        <v>6000</v>
      </c>
      <c r="W187" s="584" t="str">
        <f t="shared" si="122"/>
        <v>1+37063.2829455638i</v>
      </c>
      <c r="X187" s="585">
        <f t="shared" si="123"/>
        <v>37063.282959054239</v>
      </c>
      <c r="Y187" s="586">
        <f t="shared" si="124"/>
        <v>1.5707693459146215</v>
      </c>
      <c r="Z187" s="273" t="str">
        <f t="shared" si="125"/>
        <v>1+5.5586586430381i</v>
      </c>
      <c r="AA187" s="585">
        <f t="shared" si="126"/>
        <v>5.6478921652083773</v>
      </c>
      <c r="AB187" s="586">
        <f t="shared" si="127"/>
        <v>1.3928007206720956</v>
      </c>
      <c r="AC187" s="584" t="str">
        <f t="shared" si="128"/>
        <v>1+0.268735894465161i</v>
      </c>
      <c r="AD187" s="585">
        <f t="shared" si="129"/>
        <v>1.0354800727073361</v>
      </c>
      <c r="AE187" s="586">
        <f t="shared" si="130"/>
        <v>0.26253324632574737</v>
      </c>
      <c r="AF187" s="580" t="str">
        <f t="shared" si="145"/>
        <v>0.79869088435323-0.376497911629657i</v>
      </c>
      <c r="AG187" s="270">
        <f t="shared" si="146"/>
        <v>0.88298233629582734</v>
      </c>
      <c r="AH187" s="581">
        <f t="shared" si="147"/>
        <v>-0.44050187156827153</v>
      </c>
      <c r="AI187" s="582" t="str">
        <f t="shared" si="131"/>
        <v>4000</v>
      </c>
      <c r="AJ187" s="584" t="str">
        <f t="shared" si="148"/>
        <v>1+2911.78024557127i</v>
      </c>
      <c r="AK187" s="585">
        <f t="shared" si="149"/>
        <v>2911.7804172875203</v>
      </c>
      <c r="AL187" s="586">
        <f t="shared" si="150"/>
        <v>1.5704528942978166</v>
      </c>
      <c r="AM187" s="273" t="str">
        <f t="shared" si="151"/>
        <v>1+0.101908741789032i</v>
      </c>
      <c r="AN187" s="585">
        <f t="shared" si="152"/>
        <v>1.0051792833385613</v>
      </c>
      <c r="AO187" s="586">
        <f t="shared" si="153"/>
        <v>0.10155813651474799</v>
      </c>
      <c r="AP187" s="584" t="str">
        <f t="shared" si="154"/>
        <v>1+0.000737286322155359i</v>
      </c>
      <c r="AQ187" s="585">
        <f t="shared" si="155"/>
        <v>1.0000002717955234</v>
      </c>
      <c r="AR187" s="586">
        <f t="shared" si="156"/>
        <v>7.3728618856130316E-4</v>
      </c>
      <c r="AS187" s="580" t="str">
        <f t="shared" si="157"/>
        <v>0.139453994552155-1.37378461896244i</v>
      </c>
      <c r="AT187" s="270">
        <f t="shared" si="158"/>
        <v>1.3808445227085957</v>
      </c>
      <c r="AU187" s="581">
        <f t="shared" si="159"/>
        <v>-1.4696320439716302</v>
      </c>
      <c r="AV187" s="580" t="str">
        <f t="shared" si="160"/>
        <v>0.0000377273267476097-0.265461724255402i</v>
      </c>
      <c r="AW187" s="270">
        <f t="shared" si="161"/>
        <v>-11.519961693423467</v>
      </c>
      <c r="AX187" s="581">
        <f t="shared" si="162"/>
        <v>-89.991857144051707</v>
      </c>
      <c r="AY187" s="299">
        <f t="shared" si="132"/>
        <v>90.008142855948293</v>
      </c>
      <c r="BB187" s="270">
        <f t="shared" si="165"/>
        <v>-37.197104368050468</v>
      </c>
      <c r="BC187" s="270">
        <f t="shared" si="166"/>
        <v>-84.203713556759013</v>
      </c>
      <c r="BD187" s="286"/>
      <c r="BE187" s="270">
        <f t="shared" si="163"/>
        <v>25.677142674626985</v>
      </c>
      <c r="BF187" s="581">
        <f t="shared" si="164"/>
        <v>-5.7881435872926943</v>
      </c>
      <c r="BI187" s="286"/>
      <c r="BJ187" s="286"/>
      <c r="BL187" s="253">
        <f t="shared" si="133"/>
        <v>0</v>
      </c>
      <c r="BM187" s="253">
        <f t="shared" si="167"/>
        <v>0</v>
      </c>
      <c r="BN187" s="253">
        <f t="shared" si="134"/>
        <v>0</v>
      </c>
      <c r="BO187" s="253">
        <f t="shared" si="135"/>
        <v>0</v>
      </c>
    </row>
    <row r="188" spans="4:67" ht="13.6" thickBot="1" x14ac:dyDescent="0.25">
      <c r="D188" s="280">
        <v>10593</v>
      </c>
      <c r="E188" s="273" t="str">
        <f t="shared" si="114"/>
        <v>0.119804007526116i</v>
      </c>
      <c r="F188" s="579" t="str">
        <f t="shared" si="136"/>
        <v>0.002-0.231146755973677i</v>
      </c>
      <c r="G188" s="270" t="str">
        <f t="shared" si="137"/>
        <v>0.002-0.231146755973677i</v>
      </c>
      <c r="H188" s="271" t="str">
        <f t="shared" si="138"/>
        <v>0.0282820498592416-0.227650453481571i</v>
      </c>
      <c r="I188" s="271" t="str">
        <f t="shared" si="139"/>
        <v>0.0382820498592416-0.227650453481571i</v>
      </c>
      <c r="J188" s="270" t="str">
        <f t="shared" si="140"/>
        <v>0.0101457835504918-0.115416553514348i</v>
      </c>
      <c r="K188" s="271" t="str">
        <f t="shared" si="115"/>
        <v>0.997166444054443-0.0836153039685344i</v>
      </c>
      <c r="L188" s="580"/>
      <c r="M188" s="580" t="str">
        <f t="shared" si="116"/>
        <v>19.6838643980711-290.410992102046i</v>
      </c>
      <c r="N188" s="270" t="str">
        <f t="shared" si="117"/>
        <v>8.09623163188663-217.808244076534i</v>
      </c>
      <c r="O188" s="581" t="str">
        <f t="shared" si="118"/>
        <v>-4.56781521050106-109.297690975132i</v>
      </c>
      <c r="P188" s="582" t="str">
        <f t="shared" si="119"/>
        <v>-25.0565342446137-3.1442744513194i</v>
      </c>
      <c r="Q188" s="583" t="str">
        <f t="shared" si="120"/>
        <v>-25.0108560925086-2.05129754156808i</v>
      </c>
      <c r="R188" s="581" t="str">
        <f t="shared" si="141"/>
        <v>-0.20841483337988-13.0400009446758i</v>
      </c>
      <c r="S188" s="253" t="str">
        <f t="shared" si="142"/>
        <v>51.1590189176234+0.360464730847445i</v>
      </c>
      <c r="T188" s="253" t="str">
        <f t="shared" si="143"/>
        <v>19.1264208076856-1.96538309887734i</v>
      </c>
      <c r="U188" s="253" t="str">
        <f t="shared" si="144"/>
        <v>0.0935140331873573-4.40972343314394i</v>
      </c>
      <c r="V188" s="582" t="str">
        <f t="shared" si="121"/>
        <v>6000</v>
      </c>
      <c r="W188" s="584" t="str">
        <f t="shared" si="122"/>
        <v>1+37277.9487506985i</v>
      </c>
      <c r="X188" s="585">
        <f t="shared" si="123"/>
        <v>37277.948764111257</v>
      </c>
      <c r="Y188" s="586">
        <f t="shared" si="124"/>
        <v>1.5707695012845542</v>
      </c>
      <c r="Z188" s="273" t="str">
        <f t="shared" si="125"/>
        <v>1+5.59085368455209i</v>
      </c>
      <c r="AA188" s="585">
        <f t="shared" si="126"/>
        <v>5.6795814037717323</v>
      </c>
      <c r="AB188" s="586">
        <f t="shared" si="127"/>
        <v>1.3938043800286393</v>
      </c>
      <c r="AC188" s="584" t="str">
        <f t="shared" si="128"/>
        <v>1+0.270292378472223i</v>
      </c>
      <c r="AD188" s="585">
        <f t="shared" si="129"/>
        <v>1.0358851142188363</v>
      </c>
      <c r="AE188" s="586">
        <f t="shared" si="130"/>
        <v>0.2639843267298127</v>
      </c>
      <c r="AF188" s="580" t="str">
        <f t="shared" si="145"/>
        <v>0.798066367368594-0.376640179254305i</v>
      </c>
      <c r="AG188" s="270">
        <f t="shared" si="146"/>
        <v>0.88247818746619389</v>
      </c>
      <c r="AH188" s="581">
        <f t="shared" si="147"/>
        <v>-0.44094944798572483</v>
      </c>
      <c r="AI188" s="582" t="str">
        <f t="shared" si="131"/>
        <v>4000</v>
      </c>
      <c r="AJ188" s="584" t="str">
        <f t="shared" si="148"/>
        <v>1+2928.64490517817i</v>
      </c>
      <c r="AK188" s="585">
        <f t="shared" si="149"/>
        <v>2928.6450759055888</v>
      </c>
      <c r="AL188" s="586">
        <f t="shared" si="150"/>
        <v>1.5704548719604889</v>
      </c>
      <c r="AM188" s="273" t="str">
        <f t="shared" si="151"/>
        <v>1+0.102498984216788i</v>
      </c>
      <c r="AN188" s="585">
        <f t="shared" si="152"/>
        <v>1.0052392957726402</v>
      </c>
      <c r="AO188" s="586">
        <f t="shared" si="153"/>
        <v>0.1021422772089134</v>
      </c>
      <c r="AP188" s="584" t="str">
        <f t="shared" si="154"/>
        <v>1+0.000741556590447372i</v>
      </c>
      <c r="AQ188" s="585">
        <f t="shared" si="155"/>
        <v>1.0000002749530505</v>
      </c>
      <c r="AR188" s="586">
        <f t="shared" si="156"/>
        <v>7.4155645451856698E-4</v>
      </c>
      <c r="AS188" s="580" t="str">
        <f t="shared" si="157"/>
        <v>0.139448575958705-1.36587483847894i</v>
      </c>
      <c r="AT188" s="270">
        <f t="shared" si="158"/>
        <v>1.372974864928991</v>
      </c>
      <c r="AU188" s="581">
        <f t="shared" si="159"/>
        <v>-1.4690541512060946</v>
      </c>
      <c r="AV188" s="580" t="str">
        <f t="shared" si="160"/>
        <v>-0.000173151779096243-0.263983668057296i</v>
      </c>
      <c r="AW188" s="270">
        <f t="shared" si="161"/>
        <v>-11.568456949596925</v>
      </c>
      <c r="AX188" s="581">
        <f t="shared" si="162"/>
        <v>-90.037581357997084</v>
      </c>
      <c r="AY188" s="299">
        <f t="shared" si="132"/>
        <v>89.962418642002916</v>
      </c>
      <c r="BB188" s="270">
        <f t="shared" si="165"/>
        <v>-37.246748266518509</v>
      </c>
      <c r="BC188" s="270">
        <f t="shared" si="166"/>
        <v>-84.170602740282689</v>
      </c>
      <c r="BD188" s="286"/>
      <c r="BE188" s="270">
        <f t="shared" si="163"/>
        <v>25.678291316921573</v>
      </c>
      <c r="BF188" s="581">
        <f t="shared" si="164"/>
        <v>-5.866978617714409</v>
      </c>
      <c r="BI188" s="286"/>
      <c r="BJ188" s="286"/>
      <c r="BL188" s="253">
        <f t="shared" si="133"/>
        <v>0</v>
      </c>
      <c r="BM188" s="253">
        <f t="shared" si="167"/>
        <v>0</v>
      </c>
      <c r="BN188" s="253">
        <f t="shared" si="134"/>
        <v>0</v>
      </c>
      <c r="BO188" s="253">
        <f t="shared" si="135"/>
        <v>0</v>
      </c>
    </row>
    <row r="189" spans="4:67" ht="13.6" thickBot="1" x14ac:dyDescent="0.25">
      <c r="D189" s="280">
        <v>10654</v>
      </c>
      <c r="E189" s="273" t="str">
        <f t="shared" si="114"/>
        <v>0.120493901272844i</v>
      </c>
      <c r="F189" s="579" t="str">
        <f t="shared" si="136"/>
        <v>0.002-0.229823313875461i</v>
      </c>
      <c r="G189" s="270" t="str">
        <f t="shared" si="137"/>
        <v>0.002-0.229823313875461i</v>
      </c>
      <c r="H189" s="271" t="str">
        <f t="shared" si="138"/>
        <v>0.0279858339162075-0.22638103429507i</v>
      </c>
      <c r="I189" s="271" t="str">
        <f t="shared" si="139"/>
        <v>0.0379858339162075-0.22638103429507i</v>
      </c>
      <c r="J189" s="270" t="str">
        <f t="shared" si="140"/>
        <v>0.0100700275725351-0.114760691107862i</v>
      </c>
      <c r="K189" s="271" t="str">
        <f t="shared" si="115"/>
        <v>0.997133715916265-0.0840968043501147i</v>
      </c>
      <c r="L189" s="580"/>
      <c r="M189" s="580" t="str">
        <f t="shared" si="116"/>
        <v>18.6040284089615-285.031838650961i</v>
      </c>
      <c r="N189" s="270" t="str">
        <f t="shared" si="117"/>
        <v>7.28635464005443-213.773878988221i</v>
      </c>
      <c r="O189" s="581" t="str">
        <f t="shared" si="118"/>
        <v>-4.79175518525005-107.241516765447i</v>
      </c>
      <c r="P189" s="582" t="str">
        <f t="shared" si="119"/>
        <v>-24.4594643013681-2.98889594984879i</v>
      </c>
      <c r="Q189" s="583" t="str">
        <f t="shared" si="120"/>
        <v>-24.4115467495155-1.91648078219431i</v>
      </c>
      <c r="R189" s="581" t="str">
        <f t="shared" si="141"/>
        <v>-0.242660923928688-12.7957724454097i</v>
      </c>
      <c r="S189" s="253" t="str">
        <f t="shared" si="142"/>
        <v>51.1662565760818+0.310063805898503i</v>
      </c>
      <c r="T189" s="253" t="str">
        <f t="shared" si="143"/>
        <v>19.1261992772062-1.99187859088085i</v>
      </c>
      <c r="U189" s="253" t="str">
        <f t="shared" si="144"/>
        <v>0.0843391008263665-4.38555315793319i</v>
      </c>
      <c r="V189" s="582" t="str">
        <f t="shared" si="121"/>
        <v>6000</v>
      </c>
      <c r="W189" s="584" t="str">
        <f t="shared" si="122"/>
        <v>1+37492.6145558333i</v>
      </c>
      <c r="X189" s="585">
        <f t="shared" si="123"/>
        <v>37492.614569169265</v>
      </c>
      <c r="Y189" s="586">
        <f t="shared" si="124"/>
        <v>1.5707696548753303</v>
      </c>
      <c r="Z189" s="273" t="str">
        <f t="shared" si="125"/>
        <v>1+5.62304872606607i</v>
      </c>
      <c r="AA189" s="585">
        <f t="shared" si="126"/>
        <v>5.7112763000675466</v>
      </c>
      <c r="AB189" s="586">
        <f t="shared" si="127"/>
        <v>1.3947969007013452</v>
      </c>
      <c r="AC189" s="584" t="str">
        <f t="shared" si="128"/>
        <v>1+0.271848862479285i</v>
      </c>
      <c r="AD189" s="585">
        <f t="shared" si="129"/>
        <v>1.0362923352178579</v>
      </c>
      <c r="AE189" s="586">
        <f t="shared" si="130"/>
        <v>0.26543426975304629</v>
      </c>
      <c r="AF189" s="580" t="str">
        <f t="shared" si="145"/>
        <v>0.797439229056402-0.376790463509719i</v>
      </c>
      <c r="AG189" s="270">
        <f t="shared" si="146"/>
        <v>0.88197527030520395</v>
      </c>
      <c r="AH189" s="581">
        <f t="shared" si="147"/>
        <v>-0.44140702392703252</v>
      </c>
      <c r="AI189" s="582" t="str">
        <f t="shared" si="131"/>
        <v>4000</v>
      </c>
      <c r="AJ189" s="584" t="str">
        <f t="shared" si="148"/>
        <v>1+2945.50956478506i</v>
      </c>
      <c r="AK189" s="585">
        <f t="shared" si="149"/>
        <v>2945.5097345349704</v>
      </c>
      <c r="AL189" s="586">
        <f t="shared" si="150"/>
        <v>1.5704568269767547</v>
      </c>
      <c r="AM189" s="273" t="str">
        <f t="shared" si="151"/>
        <v>1+0.103089226644545i</v>
      </c>
      <c r="AN189" s="585">
        <f t="shared" si="152"/>
        <v>1.0052996511738033</v>
      </c>
      <c r="AO189" s="586">
        <f t="shared" si="153"/>
        <v>0.10272634796198439</v>
      </c>
      <c r="AP189" s="584" t="str">
        <f t="shared" si="154"/>
        <v>1+0.000745826858739384i</v>
      </c>
      <c r="AQ189" s="585">
        <f t="shared" si="155"/>
        <v>1.0000002781288129</v>
      </c>
      <c r="AR189" s="586">
        <f t="shared" si="156"/>
        <v>7.4582672044878494E-4</v>
      </c>
      <c r="AS189" s="580" t="str">
        <f t="shared" si="157"/>
        <v>0.139443250151705-1.35805564043294i</v>
      </c>
      <c r="AT189" s="270">
        <f t="shared" si="158"/>
        <v>1.3651957890810364</v>
      </c>
      <c r="AU189" s="581">
        <f t="shared" si="159"/>
        <v>-1.4684763057352197</v>
      </c>
      <c r="AV189" s="580" t="str">
        <f t="shared" si="160"/>
        <v>-0.000380625651405313-0.262521968330743i</v>
      </c>
      <c r="AW189" s="270">
        <f t="shared" si="161"/>
        <v>-11.616677833673927</v>
      </c>
      <c r="AX189" s="581">
        <f t="shared" si="162"/>
        <v>-90.083072012057471</v>
      </c>
      <c r="AY189" s="299">
        <f t="shared" si="132"/>
        <v>89.916927987942529</v>
      </c>
      <c r="BB189" s="270">
        <f t="shared" si="165"/>
        <v>-37.29610119927861</v>
      </c>
      <c r="BC189" s="270">
        <f t="shared" si="166"/>
        <v>-84.137494633590819</v>
      </c>
      <c r="BD189" s="286"/>
      <c r="BE189" s="270">
        <f t="shared" si="163"/>
        <v>25.679423365604691</v>
      </c>
      <c r="BF189" s="581">
        <f t="shared" si="164"/>
        <v>-5.9455773784666617</v>
      </c>
      <c r="BI189" s="286"/>
      <c r="BJ189" s="286"/>
      <c r="BL189" s="253">
        <f t="shared" si="133"/>
        <v>0</v>
      </c>
      <c r="BM189" s="253">
        <f t="shared" si="167"/>
        <v>0</v>
      </c>
      <c r="BN189" s="253">
        <f t="shared" si="134"/>
        <v>0</v>
      </c>
      <c r="BO189" s="253">
        <f t="shared" si="135"/>
        <v>0</v>
      </c>
    </row>
    <row r="190" spans="4:67" ht="13.6" thickBot="1" x14ac:dyDescent="0.25">
      <c r="D190" s="280">
        <v>10715</v>
      </c>
      <c r="E190" s="273" t="str">
        <f t="shared" si="114"/>
        <v>0.121183795019573i</v>
      </c>
      <c r="F190" s="579" t="str">
        <f t="shared" si="136"/>
        <v>0.002-0.228514940366697i</v>
      </c>
      <c r="G190" s="270" t="str">
        <f t="shared" si="137"/>
        <v>0.002-0.228514940366697i</v>
      </c>
      <c r="H190" s="271" t="str">
        <f t="shared" si="138"/>
        <v>0.0276945758354214-0.22512550269125i</v>
      </c>
      <c r="I190" s="271" t="str">
        <f t="shared" si="139"/>
        <v>0.0376945758354214-0.22512550269125i</v>
      </c>
      <c r="J190" s="270" t="str">
        <f t="shared" si="140"/>
        <v>0.00999555571598038-0.114112226560487i</v>
      </c>
      <c r="K190" s="271" t="str">
        <f t="shared" si="115"/>
        <v>0.997100799853539-0.0845783047316951i</v>
      </c>
      <c r="L190" s="580"/>
      <c r="M190" s="580" t="str">
        <f t="shared" si="116"/>
        <v>17.5973784363428-279.864017638545i</v>
      </c>
      <c r="N190" s="270" t="str">
        <f t="shared" si="117"/>
        <v>6.53136716059043-209.898013228909i</v>
      </c>
      <c r="O190" s="581" t="str">
        <f t="shared" si="118"/>
        <v>-4.99564524558358-105.26722198934i</v>
      </c>
      <c r="P190" s="582" t="str">
        <f t="shared" si="119"/>
        <v>-23.8866449958182-2.84335613508217i</v>
      </c>
      <c r="Q190" s="583" t="str">
        <f t="shared" si="120"/>
        <v>-23.8366885433622-1.79068391518876i</v>
      </c>
      <c r="R190" s="581" t="str">
        <f t="shared" si="141"/>
        <v>-0.274204967976054-12.5612229290454i</v>
      </c>
      <c r="S190" s="253" t="str">
        <f t="shared" si="142"/>
        <v>51.1733208372989+0.259922633440787i</v>
      </c>
      <c r="T190" s="253" t="str">
        <f t="shared" si="143"/>
        <v>19.1259138499071-2.01829578561378i</v>
      </c>
      <c r="U190" s="253" t="str">
        <f t="shared" si="144"/>
        <v>0.0753142182220575-4.36162681558287i</v>
      </c>
      <c r="V190" s="582" t="str">
        <f t="shared" si="121"/>
        <v>6000</v>
      </c>
      <c r="W190" s="584" t="str">
        <f t="shared" si="122"/>
        <v>1+37707.2803609681i</v>
      </c>
      <c r="X190" s="585">
        <f t="shared" si="123"/>
        <v>37707.280374228132</v>
      </c>
      <c r="Y190" s="586">
        <f t="shared" si="124"/>
        <v>1.5707698067173361</v>
      </c>
      <c r="Z190" s="273" t="str">
        <f t="shared" si="125"/>
        <v>1+5.65524376758006i</v>
      </c>
      <c r="AA190" s="585">
        <f t="shared" si="126"/>
        <v>5.7429767604225175</v>
      </c>
      <c r="AB190" s="586">
        <f t="shared" si="127"/>
        <v>1.3957784651705052</v>
      </c>
      <c r="AC190" s="584" t="str">
        <f t="shared" si="128"/>
        <v>1+0.273405346486347i</v>
      </c>
      <c r="AD190" s="585">
        <f t="shared" si="129"/>
        <v>1.0367017331360642</v>
      </c>
      <c r="AE190" s="586">
        <f t="shared" si="130"/>
        <v>0.26688307064282651</v>
      </c>
      <c r="AF190" s="580" t="str">
        <f t="shared" si="145"/>
        <v>0.796809484054842-0.376948573869444i</v>
      </c>
      <c r="AG190" s="270">
        <f t="shared" si="146"/>
        <v>0.88147352837277604</v>
      </c>
      <c r="AH190" s="581">
        <f t="shared" si="147"/>
        <v>-0.44187441218965856</v>
      </c>
      <c r="AI190" s="582" t="str">
        <f t="shared" si="131"/>
        <v>4000</v>
      </c>
      <c r="AJ190" s="584" t="str">
        <f t="shared" si="148"/>
        <v>1+2962.37422439196i</v>
      </c>
      <c r="AK190" s="585">
        <f t="shared" si="149"/>
        <v>2962.3743931754925</v>
      </c>
      <c r="AL190" s="586">
        <f t="shared" si="150"/>
        <v>1.5704587597333883</v>
      </c>
      <c r="AM190" s="273" t="str">
        <f t="shared" si="151"/>
        <v>1+0.103679469072301i</v>
      </c>
      <c r="AN190" s="585">
        <f t="shared" si="152"/>
        <v>1.0053603494802816</v>
      </c>
      <c r="AO190" s="586">
        <f t="shared" si="153"/>
        <v>0.10331034838809325</v>
      </c>
      <c r="AP190" s="584" t="str">
        <f t="shared" si="154"/>
        <v>1+0.000750097127031397i</v>
      </c>
      <c r="AQ190" s="585">
        <f t="shared" si="155"/>
        <v>1.0000002813228104</v>
      </c>
      <c r="AR190" s="586">
        <f t="shared" si="156"/>
        <v>7.5009698635180352E-4</v>
      </c>
      <c r="AS190" s="580" t="str">
        <f t="shared" si="157"/>
        <v>0.139438015024148-1.35032547778024i</v>
      </c>
      <c r="AT190" s="270">
        <f t="shared" si="158"/>
        <v>1.3575057480454025</v>
      </c>
      <c r="AU190" s="581">
        <f t="shared" si="159"/>
        <v>-1.4678985083316467</v>
      </c>
      <c r="AV190" s="580" t="str">
        <f t="shared" si="160"/>
        <v>-0.000584767582568664-0.261076359154371i</v>
      </c>
      <c r="AW190" s="270">
        <f t="shared" si="161"/>
        <v>-11.664627260059204</v>
      </c>
      <c r="AX190" s="581">
        <f t="shared" si="162"/>
        <v>-90.128332793350268</v>
      </c>
      <c r="AY190" s="299">
        <f t="shared" si="132"/>
        <v>89.871667206649732</v>
      </c>
      <c r="BB190" s="270">
        <f t="shared" si="165"/>
        <v>-37.345166456305478</v>
      </c>
      <c r="BC190" s="270">
        <f t="shared" si="166"/>
        <v>-84.104389280952461</v>
      </c>
      <c r="BD190" s="286"/>
      <c r="BE190" s="270">
        <f t="shared" si="163"/>
        <v>25.680539196246276</v>
      </c>
      <c r="BF190" s="581">
        <f t="shared" si="164"/>
        <v>-6.0239435123978105</v>
      </c>
      <c r="BI190" s="286"/>
      <c r="BJ190" s="286"/>
      <c r="BL190" s="253">
        <f t="shared" si="133"/>
        <v>0</v>
      </c>
      <c r="BM190" s="253">
        <f t="shared" si="167"/>
        <v>0</v>
      </c>
      <c r="BN190" s="253">
        <f t="shared" si="134"/>
        <v>0</v>
      </c>
      <c r="BO190" s="253">
        <f t="shared" si="135"/>
        <v>0</v>
      </c>
    </row>
    <row r="191" spans="4:67" ht="13.6" thickBot="1" x14ac:dyDescent="0.25">
      <c r="D191" s="280">
        <v>10777.5</v>
      </c>
      <c r="E191" s="273" t="str">
        <f t="shared" si="114"/>
        <v>0.12189065336663i</v>
      </c>
      <c r="F191" s="579" t="str">
        <f t="shared" si="136"/>
        <v>0.002-0.227189755140725i</v>
      </c>
      <c r="G191" s="270" t="str">
        <f t="shared" si="137"/>
        <v>0.002-0.227189755140725i</v>
      </c>
      <c r="H191" s="271" t="str">
        <f t="shared" si="138"/>
        <v>0.0274011833664553-0.223853267803126i</v>
      </c>
      <c r="I191" s="271" t="str">
        <f t="shared" si="139"/>
        <v>0.0374011833664553-0.223853267803126i</v>
      </c>
      <c r="J191" s="270" t="str">
        <f t="shared" si="140"/>
        <v>0.00992055430620145-0.113455359487062i</v>
      </c>
      <c r="K191" s="271" t="str">
        <f t="shared" si="115"/>
        <v>0.997066879466428-0.085071645286593i</v>
      </c>
      <c r="L191" s="580"/>
      <c r="M191" s="580" t="str">
        <f t="shared" si="116"/>
        <v>16.6354941156557-274.775585055803i</v>
      </c>
      <c r="N191" s="270" t="str">
        <f t="shared" si="117"/>
        <v>5.80995392007513-206.081688791852i</v>
      </c>
      <c r="O191" s="581" t="str">
        <f t="shared" si="118"/>
        <v>-5.18570132691738-103.324302490549i</v>
      </c>
      <c r="P191" s="582" t="str">
        <f t="shared" si="119"/>
        <v>-23.3234341221998-2.70361499577866i</v>
      </c>
      <c r="Q191" s="583" t="str">
        <f t="shared" si="120"/>
        <v>-23.2715771089306-1.67037197087316i</v>
      </c>
      <c r="R191" s="581" t="str">
        <f t="shared" si="141"/>
        <v>-0.303973485502922-12.3303563900877i</v>
      </c>
      <c r="S191" s="253" t="str">
        <f t="shared" si="142"/>
        <v>51.1803825082677+0.208813960198721i</v>
      </c>
      <c r="T191" s="253" t="str">
        <f t="shared" si="143"/>
        <v>19.1255561679539-2.04528250817462i</v>
      </c>
      <c r="U191" s="253" t="str">
        <f t="shared" si="144"/>
        <v>0.0662196985080812-4.3373614077914i</v>
      </c>
      <c r="V191" s="582" t="str">
        <f t="shared" si="121"/>
        <v>6000</v>
      </c>
      <c r="W191" s="584" t="str">
        <f t="shared" si="122"/>
        <v>1+37927.2248334422i</v>
      </c>
      <c r="X191" s="585">
        <f t="shared" si="123"/>
        <v>37927.224846625337</v>
      </c>
      <c r="Y191" s="586">
        <f t="shared" si="124"/>
        <v>1.5707699605104095</v>
      </c>
      <c r="Z191" s="273" t="str">
        <f t="shared" si="125"/>
        <v>1+5.68823049044275i</v>
      </c>
      <c r="AA191" s="585">
        <f t="shared" si="126"/>
        <v>5.7754624154609973</v>
      </c>
      <c r="AB191" s="586">
        <f t="shared" si="127"/>
        <v>1.3967729895242404</v>
      </c>
      <c r="AC191" s="584" t="str">
        <f t="shared" si="128"/>
        <v>1+0.275000104690304i</v>
      </c>
      <c r="AD191" s="585">
        <f t="shared" si="129"/>
        <v>1.0371234533938947</v>
      </c>
      <c r="AE191" s="586">
        <f t="shared" si="130"/>
        <v>0.2683663082356465</v>
      </c>
      <c r="AF191" s="580" t="str">
        <f t="shared" si="145"/>
        <v>0.796161565227774-0.377118494540763i</v>
      </c>
      <c r="AG191" s="270">
        <f t="shared" si="146"/>
        <v>0.88096061028324679</v>
      </c>
      <c r="AH191" s="581">
        <f t="shared" si="147"/>
        <v>-0.44236327922181651</v>
      </c>
      <c r="AI191" s="582" t="str">
        <f t="shared" si="131"/>
        <v>4000</v>
      </c>
      <c r="AJ191" s="584" t="str">
        <f t="shared" si="148"/>
        <v>1+2979.65358874329i</v>
      </c>
      <c r="AK191" s="585">
        <f t="shared" si="149"/>
        <v>2979.6537565480271</v>
      </c>
      <c r="AL191" s="586">
        <f t="shared" si="150"/>
        <v>1.5704607173246437</v>
      </c>
      <c r="AM191" s="273" t="str">
        <f t="shared" si="151"/>
        <v>1+0.104284225658117i</v>
      </c>
      <c r="AN191" s="585">
        <f t="shared" si="152"/>
        <v>1.0054228959602587</v>
      </c>
      <c r="AO191" s="586">
        <f t="shared" si="153"/>
        <v>0.10390863613497149</v>
      </c>
      <c r="AP191" s="584" t="str">
        <f t="shared" si="154"/>
        <v>1+0.000754472401920754i</v>
      </c>
      <c r="AQ191" s="585">
        <f t="shared" si="155"/>
        <v>1.0000002846142622</v>
      </c>
      <c r="AR191" s="586">
        <f t="shared" si="156"/>
        <v>7.5447225876504526E-4</v>
      </c>
      <c r="AS191" s="580" t="str">
        <f t="shared" si="157"/>
        <v>0.139432743074824-1.34249599468798i</v>
      </c>
      <c r="AT191" s="270">
        <f t="shared" si="158"/>
        <v>1.3497173724875287</v>
      </c>
      <c r="AU191" s="581">
        <f t="shared" si="159"/>
        <v>-1.4673065534484373</v>
      </c>
      <c r="AV191" s="580" t="str">
        <f t="shared" si="160"/>
        <v>-0.000790548159003812-0.259611619021358i</v>
      </c>
      <c r="AW191" s="270">
        <f t="shared" si="161"/>
        <v>-11.713477217443501</v>
      </c>
      <c r="AX191" s="581">
        <f t="shared" si="162"/>
        <v>-90.174471902224667</v>
      </c>
      <c r="AY191" s="299">
        <f t="shared" si="132"/>
        <v>89.825528097775333</v>
      </c>
      <c r="BB191" s="270">
        <f t="shared" si="165"/>
        <v>-37.395143243719204</v>
      </c>
      <c r="BC191" s="270">
        <f t="shared" si="166"/>
        <v>-84.070472764482403</v>
      </c>
      <c r="BD191" s="286"/>
      <c r="BE191" s="270">
        <f t="shared" si="163"/>
        <v>25.681666026275721</v>
      </c>
      <c r="BF191" s="581">
        <f t="shared" si="164"/>
        <v>-6.1039991377422664</v>
      </c>
      <c r="BI191" s="286"/>
      <c r="BJ191" s="286"/>
      <c r="BL191" s="253">
        <f t="shared" si="133"/>
        <v>0</v>
      </c>
      <c r="BM191" s="253">
        <f t="shared" si="167"/>
        <v>0</v>
      </c>
      <c r="BN191" s="253">
        <f t="shared" si="134"/>
        <v>0</v>
      </c>
      <c r="BO191" s="253">
        <f t="shared" si="135"/>
        <v>0</v>
      </c>
    </row>
    <row r="192" spans="4:67" ht="13.6" thickBot="1" x14ac:dyDescent="0.25">
      <c r="D192" s="280">
        <v>10840</v>
      </c>
      <c r="E192" s="273" t="str">
        <f t="shared" si="114"/>
        <v>0.122597511713688i</v>
      </c>
      <c r="F192" s="579" t="str">
        <f t="shared" si="136"/>
        <v>0.002-0.225879851109701i</v>
      </c>
      <c r="G192" s="270" t="str">
        <f t="shared" si="137"/>
        <v>0.002-0.225879851109701i</v>
      </c>
      <c r="H192" s="271" t="str">
        <f t="shared" si="138"/>
        <v>0.0271127660219467-0.222595142191405i</v>
      </c>
      <c r="I192" s="271" t="str">
        <f t="shared" si="139"/>
        <v>0.0371127660219467-0.222595142191405i</v>
      </c>
      <c r="J192" s="270" t="str">
        <f t="shared" si="140"/>
        <v>0.00984684052977726-0.112805998036157i</v>
      </c>
      <c r="K192" s="271" t="str">
        <f t="shared" si="115"/>
        <v>0.997032761798945-0.0855649858414908i</v>
      </c>
      <c r="L192" s="580"/>
      <c r="M192" s="580" t="str">
        <f t="shared" si="116"/>
        <v>15.7381115256624-269.884113406215i</v>
      </c>
      <c r="N192" s="270" t="str">
        <f t="shared" si="117"/>
        <v>5.13691697758013-202.413085054661i</v>
      </c>
      <c r="O192" s="581" t="str">
        <f t="shared" si="118"/>
        <v>-5.35845637802672-101.457562428112i</v>
      </c>
      <c r="P192" s="582" t="str">
        <f t="shared" si="119"/>
        <v>-22.7828276728756-2.57260441615829i</v>
      </c>
      <c r="Q192" s="583" t="str">
        <f t="shared" si="120"/>
        <v>-22.7292431090952-1.55802879187715i</v>
      </c>
      <c r="R192" s="581" t="str">
        <f t="shared" si="141"/>
        <v>-0.331389515466114-12.1085003058165i</v>
      </c>
      <c r="S192" s="253" t="str">
        <f t="shared" si="142"/>
        <v>51.1872692564692+0.15797005103884i</v>
      </c>
      <c r="T192" s="253" t="str">
        <f t="shared" si="143"/>
        <v>19.1251334878813-2.07218931793794i</v>
      </c>
      <c r="U192" s="253" t="str">
        <f t="shared" si="144"/>
        <v>0.0572759935215147-4.31334459229495i</v>
      </c>
      <c r="V192" s="582" t="str">
        <f t="shared" si="121"/>
        <v>6000</v>
      </c>
      <c r="W192" s="584" t="str">
        <f t="shared" si="122"/>
        <v>1+38147.1693059164i</v>
      </c>
      <c r="X192" s="585">
        <f t="shared" si="123"/>
        <v>38147.169319023531</v>
      </c>
      <c r="Y192" s="586">
        <f t="shared" si="124"/>
        <v>1.5707701125300386</v>
      </c>
      <c r="Z192" s="273" t="str">
        <f t="shared" si="125"/>
        <v>1+5.72121721330545i</v>
      </c>
      <c r="AA192" s="585">
        <f t="shared" si="126"/>
        <v>5.8079537189807713</v>
      </c>
      <c r="AB192" s="586">
        <f t="shared" si="127"/>
        <v>1.3977563875515977</v>
      </c>
      <c r="AC192" s="584" t="str">
        <f t="shared" si="128"/>
        <v>1+0.27659486289426i</v>
      </c>
      <c r="AD192" s="585">
        <f t="shared" si="129"/>
        <v>1.0375474534591149</v>
      </c>
      <c r="AE192" s="586">
        <f t="shared" si="130"/>
        <v>0.26984833681861181</v>
      </c>
      <c r="AF192" s="580" t="str">
        <f t="shared" si="145"/>
        <v>0.79551094112832-0.37729623946867i</v>
      </c>
      <c r="AG192" s="270">
        <f t="shared" si="146"/>
        <v>0.88044881155696131</v>
      </c>
      <c r="AH192" s="581">
        <f t="shared" si="147"/>
        <v>-0.44286206179705306</v>
      </c>
      <c r="AI192" s="582" t="str">
        <f t="shared" si="131"/>
        <v>4000</v>
      </c>
      <c r="AJ192" s="584" t="str">
        <f t="shared" si="148"/>
        <v>1+2996.93295309462i</v>
      </c>
      <c r="AK192" s="585">
        <f t="shared" si="149"/>
        <v>2996.9331199318485</v>
      </c>
      <c r="AL192" s="586">
        <f t="shared" si="150"/>
        <v>1.5704626523422018</v>
      </c>
      <c r="AM192" s="273" t="str">
        <f t="shared" si="151"/>
        <v>1+0.104888982243933i</v>
      </c>
      <c r="AN192" s="585">
        <f t="shared" si="152"/>
        <v>1.0054858022847304</v>
      </c>
      <c r="AO192" s="586">
        <f t="shared" si="153"/>
        <v>0.10450684923446586</v>
      </c>
      <c r="AP192" s="584" t="str">
        <f t="shared" si="154"/>
        <v>1+0.000758847676810111i</v>
      </c>
      <c r="AQ192" s="585">
        <f t="shared" si="155"/>
        <v>1.0000002879248568</v>
      </c>
      <c r="AR192" s="586">
        <f t="shared" si="156"/>
        <v>7.5884753114940115E-4</v>
      </c>
      <c r="AS192" s="580" t="str">
        <f t="shared" si="157"/>
        <v>0.139427562030406-1.33475680320716i</v>
      </c>
      <c r="AT192" s="270">
        <f t="shared" si="158"/>
        <v>1.3420192877755295</v>
      </c>
      <c r="AU192" s="581">
        <f t="shared" si="159"/>
        <v>-1.4667146506388857</v>
      </c>
      <c r="AV192" s="580" t="str">
        <f t="shared" si="160"/>
        <v>-0.00099298053929505-0.258163223398602i</v>
      </c>
      <c r="AW192" s="270">
        <f t="shared" si="161"/>
        <v>-11.762048250207753</v>
      </c>
      <c r="AX192" s="581">
        <f t="shared" si="162"/>
        <v>-90.220377297462733</v>
      </c>
      <c r="AY192" s="299">
        <f t="shared" si="132"/>
        <v>89.779622702537267</v>
      </c>
      <c r="BB192" s="270">
        <f t="shared" si="165"/>
        <v>-37.444824847062065</v>
      </c>
      <c r="BC192" s="270">
        <f t="shared" si="166"/>
        <v>-84.036559231613168</v>
      </c>
      <c r="BD192" s="286"/>
      <c r="BE192" s="270">
        <f t="shared" si="163"/>
        <v>25.682776596854303</v>
      </c>
      <c r="BF192" s="581">
        <f t="shared" si="164"/>
        <v>-6.1838180658495681</v>
      </c>
      <c r="BI192" s="286"/>
      <c r="BJ192" s="286"/>
      <c r="BL192" s="253">
        <f t="shared" si="133"/>
        <v>0</v>
      </c>
      <c r="BM192" s="253">
        <f t="shared" si="167"/>
        <v>0</v>
      </c>
      <c r="BN192" s="253">
        <f t="shared" si="134"/>
        <v>0</v>
      </c>
      <c r="BO192" s="253">
        <f t="shared" si="135"/>
        <v>0</v>
      </c>
    </row>
    <row r="193" spans="4:67" ht="13.6" thickBot="1" x14ac:dyDescent="0.25">
      <c r="D193" s="280">
        <v>10902.5</v>
      </c>
      <c r="E193" s="273" t="str">
        <f t="shared" si="114"/>
        <v>0.123304370060746i</v>
      </c>
      <c r="F193" s="579" t="str">
        <f t="shared" si="136"/>
        <v>0.002-0.224584965469311i</v>
      </c>
      <c r="G193" s="270" t="str">
        <f t="shared" si="137"/>
        <v>0.002-0.224584965469311i</v>
      </c>
      <c r="H193" s="271" t="str">
        <f t="shared" si="138"/>
        <v>0.0268292124213833-0.221350895700997i</v>
      </c>
      <c r="I193" s="271" t="str">
        <f t="shared" si="139"/>
        <v>0.0368292124213833-0.221350895700997i</v>
      </c>
      <c r="J193" s="270" t="str">
        <f t="shared" si="140"/>
        <v>0.00977438509746486-0.112164014768263i</v>
      </c>
      <c r="K193" s="271" t="str">
        <f t="shared" si="115"/>
        <v>0.99699844685109-0.0860583263963887i</v>
      </c>
      <c r="L193" s="580"/>
      <c r="M193" s="580" t="str">
        <f t="shared" si="116"/>
        <v>14.8999093979646-265.178390086498i</v>
      </c>
      <c r="N193" s="270" t="str">
        <f t="shared" si="117"/>
        <v>4.50826538180673-198.883792564873i</v>
      </c>
      <c r="O193" s="581" t="str">
        <f t="shared" si="118"/>
        <v>-5.51551134750926-99.6626063588229i</v>
      </c>
      <c r="P193" s="582" t="str">
        <f t="shared" si="119"/>
        <v>-22.2635391244512-2.44963192303761i</v>
      </c>
      <c r="Q193" s="583" t="str">
        <f t="shared" si="120"/>
        <v>-22.2083840109762-1.45300585944938i</v>
      </c>
      <c r="R193" s="581" t="str">
        <f t="shared" si="141"/>
        <v>-0.356660721438452-11.8951371359709i</v>
      </c>
      <c r="S193" s="253" t="str">
        <f t="shared" si="142"/>
        <v>51.1939845361774+0.10738700854672i</v>
      </c>
      <c r="T193" s="253" t="str">
        <f t="shared" si="143"/>
        <v>19.1246468206649-2.09901733767625i</v>
      </c>
      <c r="U193" s="253" t="str">
        <f t="shared" si="144"/>
        <v>0.0484798442489918-4.2895726857481i</v>
      </c>
      <c r="V193" s="582" t="str">
        <f t="shared" si="121"/>
        <v>6000</v>
      </c>
      <c r="W193" s="584" t="str">
        <f t="shared" si="122"/>
        <v>1+38367.1137783905i</v>
      </c>
      <c r="X193" s="585">
        <f t="shared" si="123"/>
        <v>38367.113791422489</v>
      </c>
      <c r="Y193" s="586">
        <f t="shared" si="124"/>
        <v>1.570770262806723</v>
      </c>
      <c r="Z193" s="273" t="str">
        <f t="shared" si="125"/>
        <v>1+5.75420393616814i</v>
      </c>
      <c r="AA193" s="585">
        <f t="shared" si="126"/>
        <v>5.8404505767117758</v>
      </c>
      <c r="AB193" s="586">
        <f t="shared" si="127"/>
        <v>1.3987288430585114</v>
      </c>
      <c r="AC193" s="584" t="str">
        <f t="shared" si="128"/>
        <v>1+0.278189621098217i</v>
      </c>
      <c r="AD193" s="585">
        <f t="shared" si="129"/>
        <v>1.0379737305379022</v>
      </c>
      <c r="AE193" s="586">
        <f t="shared" si="130"/>
        <v>0.27132915136704588</v>
      </c>
      <c r="AF193" s="580" t="str">
        <f t="shared" si="145"/>
        <v>0.794857627580028-0.377481617142809i</v>
      </c>
      <c r="AG193" s="270">
        <f t="shared" si="146"/>
        <v>0.87993807702752613</v>
      </c>
      <c r="AH193" s="581">
        <f t="shared" si="147"/>
        <v>-0.44337057111525763</v>
      </c>
      <c r="AI193" s="582" t="str">
        <f t="shared" si="131"/>
        <v>4000</v>
      </c>
      <c r="AJ193" s="584" t="str">
        <f t="shared" si="148"/>
        <v>1+3014.21231744595i</v>
      </c>
      <c r="AK193" s="585">
        <f t="shared" si="149"/>
        <v>3014.2124833267612</v>
      </c>
      <c r="AL193" s="586">
        <f t="shared" si="150"/>
        <v>1.5704645651742823</v>
      </c>
      <c r="AM193" s="273" t="str">
        <f t="shared" si="151"/>
        <v>1+0.105493738829749i</v>
      </c>
      <c r="AN193" s="585">
        <f t="shared" si="152"/>
        <v>1.0055490683861625</v>
      </c>
      <c r="AO193" s="586">
        <f t="shared" si="153"/>
        <v>0.10510498727247457</v>
      </c>
      <c r="AP193" s="584" t="str">
        <f t="shared" si="154"/>
        <v>1+0.000763222951699468i</v>
      </c>
      <c r="AQ193" s="585">
        <f t="shared" si="155"/>
        <v>1.0000002912545944</v>
      </c>
      <c r="AR193" s="586">
        <f t="shared" si="156"/>
        <v>7.6322280350470389E-4</v>
      </c>
      <c r="AS193" s="580" t="str">
        <f t="shared" si="157"/>
        <v>0.139422469812266-1.32710635051325i</v>
      </c>
      <c r="AT193" s="270">
        <f t="shared" si="158"/>
        <v>1.3344099410080656</v>
      </c>
      <c r="AU193" s="581">
        <f t="shared" si="159"/>
        <v>-1.4661228007053118</v>
      </c>
      <c r="AV193" s="580" t="str">
        <f t="shared" si="160"/>
        <v>-0.00119213744643166-0.25673090428425i</v>
      </c>
      <c r="AW193" s="270">
        <f t="shared" si="161"/>
        <v>-11.810343346319961</v>
      </c>
      <c r="AX193" s="581">
        <f t="shared" si="162"/>
        <v>-90.266052712047795</v>
      </c>
      <c r="AY193" s="299">
        <f t="shared" si="132"/>
        <v>89.733947287952205</v>
      </c>
      <c r="BB193" s="270">
        <f t="shared" si="165"/>
        <v>-37.494214626260039</v>
      </c>
      <c r="BC193" s="270">
        <f t="shared" si="166"/>
        <v>-84.002648728314284</v>
      </c>
      <c r="BD193" s="286"/>
      <c r="BE193" s="270">
        <f t="shared" si="163"/>
        <v>25.683871279940078</v>
      </c>
      <c r="BF193" s="581">
        <f t="shared" si="164"/>
        <v>-6.2634039837335163</v>
      </c>
      <c r="BI193" s="286"/>
      <c r="BJ193" s="286"/>
      <c r="BL193" s="253">
        <f t="shared" si="133"/>
        <v>0</v>
      </c>
      <c r="BM193" s="253">
        <f t="shared" si="167"/>
        <v>0</v>
      </c>
      <c r="BN193" s="253">
        <f t="shared" si="134"/>
        <v>0</v>
      </c>
      <c r="BO193" s="253">
        <f t="shared" si="135"/>
        <v>0</v>
      </c>
    </row>
    <row r="194" spans="4:67" ht="13.6" thickBot="1" x14ac:dyDescent="0.25">
      <c r="D194" s="280">
        <v>10965</v>
      </c>
      <c r="E194" s="273" t="str">
        <f t="shared" si="114"/>
        <v>0.124011228407804i</v>
      </c>
      <c r="F194" s="579" t="str">
        <f t="shared" si="136"/>
        <v>0.002-0.223304841407128i</v>
      </c>
      <c r="G194" s="270" t="str">
        <f t="shared" si="137"/>
        <v>0.002-0.223304841407128i</v>
      </c>
      <c r="H194" s="271" t="str">
        <f t="shared" si="138"/>
        <v>0.0265504142706192-0.220120303080051i</v>
      </c>
      <c r="I194" s="271" t="str">
        <f t="shared" si="139"/>
        <v>0.0365504142706192-0.220120303080051i</v>
      </c>
      <c r="J194" s="270" t="str">
        <f t="shared" si="140"/>
        <v>0.00970315954716651-0.111529285103375i</v>
      </c>
      <c r="K194" s="271" t="str">
        <f t="shared" si="115"/>
        <v>0.996963934622863-0.0865516669512866i</v>
      </c>
      <c r="L194" s="580"/>
      <c r="M194" s="580" t="str">
        <f t="shared" si="116"/>
        <v>14.1160897531707-260.648024544969i</v>
      </c>
      <c r="N194" s="270" t="str">
        <f t="shared" si="117"/>
        <v>3.92040064821133-195.486018408727i</v>
      </c>
      <c r="O194" s="581" t="str">
        <f t="shared" si="118"/>
        <v>-5.65829987967456-97.9353658046833i</v>
      </c>
      <c r="P194" s="582" t="str">
        <f t="shared" si="119"/>
        <v>-21.7643756078521-2.33407150747402i</v>
      </c>
      <c r="Q194" s="583" t="str">
        <f t="shared" si="120"/>
        <v>-21.7077926090553-1.35471784942719i</v>
      </c>
      <c r="R194" s="581" t="str">
        <f t="shared" si="141"/>
        <v>-0.379973573413462-11.6897876525248i</v>
      </c>
      <c r="S194" s="253" t="str">
        <f t="shared" si="142"/>
        <v>51.200531709813+0.0570610077665295i</v>
      </c>
      <c r="T194" s="253" t="str">
        <f t="shared" si="143"/>
        <v>19.1240971504778-2.12576766900843i</v>
      </c>
      <c r="U194" s="253" t="str">
        <f t="shared" si="144"/>
        <v>0.0398280783168429-4.26604207315076i</v>
      </c>
      <c r="V194" s="582" t="str">
        <f t="shared" si="121"/>
        <v>6000</v>
      </c>
      <c r="W194" s="584" t="str">
        <f t="shared" si="122"/>
        <v>1+38587.0582508647i</v>
      </c>
      <c r="X194" s="585">
        <f t="shared" si="123"/>
        <v>38587.058263822408</v>
      </c>
      <c r="Y194" s="586">
        <f t="shared" si="124"/>
        <v>1.5707704113702672</v>
      </c>
      <c r="Z194" s="273" t="str">
        <f t="shared" si="125"/>
        <v>1+5.78719065903084i</v>
      </c>
      <c r="AA194" s="585">
        <f t="shared" si="126"/>
        <v>5.8729528964545432</v>
      </c>
      <c r="AB194" s="586">
        <f t="shared" si="127"/>
        <v>1.3996905358658449</v>
      </c>
      <c r="AC194" s="584" t="str">
        <f t="shared" si="128"/>
        <v>1+0.279784379302174i</v>
      </c>
      <c r="AD194" s="585">
        <f t="shared" si="129"/>
        <v>1.0384022818260286</v>
      </c>
      <c r="AE194" s="586">
        <f t="shared" si="130"/>
        <v>0.27280874688579526</v>
      </c>
      <c r="AF194" s="580" t="str">
        <f t="shared" si="145"/>
        <v>0.79420164043131-0.377674440332391i</v>
      </c>
      <c r="AG194" s="270">
        <f t="shared" si="146"/>
        <v>0.87942835327510815</v>
      </c>
      <c r="AH194" s="581">
        <f t="shared" si="147"/>
        <v>-0.44388862239021742</v>
      </c>
      <c r="AI194" s="582" t="str">
        <f t="shared" si="131"/>
        <v>4000</v>
      </c>
      <c r="AJ194" s="584" t="str">
        <f t="shared" si="148"/>
        <v>1+3031.49168179728i</v>
      </c>
      <c r="AK194" s="585">
        <f t="shared" si="149"/>
        <v>3031.4918467325788</v>
      </c>
      <c r="AL194" s="586">
        <f t="shared" si="150"/>
        <v>1.5704664562002542</v>
      </c>
      <c r="AM194" s="273" t="str">
        <f t="shared" si="151"/>
        <v>1+0.106098495415565i</v>
      </c>
      <c r="AN194" s="585">
        <f t="shared" si="152"/>
        <v>1.0056126941966508</v>
      </c>
      <c r="AO194" s="586">
        <f t="shared" si="153"/>
        <v>0.1057030498352146</v>
      </c>
      <c r="AP194" s="584" t="str">
        <f t="shared" si="154"/>
        <v>1+0.000767598226588826i</v>
      </c>
      <c r="AQ194" s="585">
        <f t="shared" si="155"/>
        <v>1.0000002946034754</v>
      </c>
      <c r="AR194" s="586">
        <f t="shared" si="156"/>
        <v>7.6759807583078694E-4</v>
      </c>
      <c r="AS194" s="580" t="str">
        <f t="shared" si="157"/>
        <v>0.139417464400839-1.3195431191858i</v>
      </c>
      <c r="AT194" s="270">
        <f t="shared" si="158"/>
        <v>1.3268878146891507</v>
      </c>
      <c r="AU194" s="581">
        <f t="shared" si="159"/>
        <v>-1.4655310044408705</v>
      </c>
      <c r="AV194" s="580" t="str">
        <f t="shared" si="160"/>
        <v>-0.00138808966952786-0.255314399438722i</v>
      </c>
      <c r="AW194" s="270">
        <f t="shared" si="161"/>
        <v>-11.858365446267882</v>
      </c>
      <c r="AX194" s="581">
        <f t="shared" si="162"/>
        <v>-90.311501804137706</v>
      </c>
      <c r="AY194" s="299">
        <f t="shared" si="132"/>
        <v>89.688498195862294</v>
      </c>
      <c r="BB194" s="270">
        <f t="shared" si="165"/>
        <v>-37.543315883646301</v>
      </c>
      <c r="BC194" s="270">
        <f t="shared" si="166"/>
        <v>-83.968741300030189</v>
      </c>
      <c r="BD194" s="286"/>
      <c r="BE194" s="270">
        <f t="shared" si="163"/>
        <v>25.684950437378419</v>
      </c>
      <c r="BF194" s="581">
        <f t="shared" si="164"/>
        <v>-6.3427605041075266</v>
      </c>
      <c r="BI194" s="286"/>
      <c r="BJ194" s="286"/>
      <c r="BL194" s="253">
        <f t="shared" si="133"/>
        <v>0</v>
      </c>
      <c r="BM194" s="253">
        <f t="shared" si="167"/>
        <v>0</v>
      </c>
      <c r="BN194" s="253">
        <f t="shared" si="134"/>
        <v>0</v>
      </c>
      <c r="BO194" s="253">
        <f t="shared" si="135"/>
        <v>0</v>
      </c>
    </row>
    <row r="195" spans="4:67" ht="13.6" thickBot="1" x14ac:dyDescent="0.25">
      <c r="D195" s="280">
        <v>11028.75</v>
      </c>
      <c r="E195" s="273" t="str">
        <f t="shared" si="114"/>
        <v>0.124732223921802i</v>
      </c>
      <c r="F195" s="579" t="str">
        <f t="shared" si="136"/>
        <v>0.002-0.222014061977029i</v>
      </c>
      <c r="G195" s="270" t="str">
        <f t="shared" si="137"/>
        <v>0.002-0.222014061977029i</v>
      </c>
      <c r="H195" s="271" t="str">
        <f t="shared" si="138"/>
        <v>0.0262708300232792-0.218878936198342i</v>
      </c>
      <c r="I195" s="271" t="str">
        <f t="shared" si="139"/>
        <v>0.0362708300232792-0.218878936198342i</v>
      </c>
      <c r="J195" s="270" t="str">
        <f t="shared" si="140"/>
        <v>0.00963174782614432-0.110889207206219i</v>
      </c>
      <c r="K195" s="271" t="str">
        <f t="shared" si="115"/>
        <v>0.996928528911833-0.0870548743172825i</v>
      </c>
      <c r="L195" s="580"/>
      <c r="M195" s="580" t="str">
        <f t="shared" si="116"/>
        <v>13.3681257705119-256.197710518282i</v>
      </c>
      <c r="N195" s="270" t="str">
        <f t="shared" si="117"/>
        <v>3.35942766121723-192.148282888711i</v>
      </c>
      <c r="O195" s="581" t="str">
        <f t="shared" si="118"/>
        <v>-5.79058002637-96.2394317949874i</v>
      </c>
      <c r="P195" s="582" t="str">
        <f t="shared" si="119"/>
        <v>-21.2748135954924-2.22324807602973i</v>
      </c>
      <c r="Q195" s="583" t="str">
        <f t="shared" si="120"/>
        <v>-21.2169077952287-1.26085375807985i</v>
      </c>
      <c r="R195" s="581" t="str">
        <f t="shared" si="141"/>
        <v>-0.401909065343351-11.4881262448747i</v>
      </c>
      <c r="S195" s="253" t="str">
        <f t="shared" si="142"/>
        <v>51.207040038385+0.00598939851500075i</v>
      </c>
      <c r="T195" s="253" t="str">
        <f t="shared" si="143"/>
        <v>19.1234725748259-2.15297409324729i</v>
      </c>
      <c r="U195" s="253" t="str">
        <f t="shared" si="144"/>
        <v>0.0311488182755346-4.2422857500443i</v>
      </c>
      <c r="V195" s="582" t="str">
        <f t="shared" si="121"/>
        <v>6000</v>
      </c>
      <c r="W195" s="584" t="str">
        <f t="shared" si="122"/>
        <v>1+38811.4016127883i</v>
      </c>
      <c r="X195" s="585">
        <f t="shared" si="123"/>
        <v>38811.401625671111</v>
      </c>
      <c r="Y195" s="586">
        <f t="shared" si="124"/>
        <v>1.5707705611704095</v>
      </c>
      <c r="Z195" s="273" t="str">
        <f t="shared" si="125"/>
        <v>1+5.82083711635078i</v>
      </c>
      <c r="AA195" s="585">
        <f t="shared" si="126"/>
        <v>5.9061107960388668</v>
      </c>
      <c r="AB195" s="586">
        <f t="shared" si="127"/>
        <v>1.4006605572404247</v>
      </c>
      <c r="AC195" s="584" t="str">
        <f t="shared" si="128"/>
        <v>1+0.28141103267021i</v>
      </c>
      <c r="AD195" s="585">
        <f t="shared" si="129"/>
        <v>1.0388417441114475</v>
      </c>
      <c r="AE195" s="586">
        <f t="shared" si="130"/>
        <v>0.27431667332104526</v>
      </c>
      <c r="AF195" s="580" t="str">
        <f t="shared" si="145"/>
        <v>0.79352979565731-0.377878600521356i</v>
      </c>
      <c r="AG195" s="270">
        <f t="shared" si="146"/>
        <v>0.87890942270970718</v>
      </c>
      <c r="AH195" s="581">
        <f t="shared" si="147"/>
        <v>-0.4444266772510298</v>
      </c>
      <c r="AI195" s="582" t="str">
        <f t="shared" si="131"/>
        <v>4000</v>
      </c>
      <c r="AJ195" s="584" t="str">
        <f t="shared" si="148"/>
        <v>1+3049.11663343564i</v>
      </c>
      <c r="AK195" s="585">
        <f t="shared" si="149"/>
        <v>3049.1167974175555</v>
      </c>
      <c r="AL195" s="586">
        <f t="shared" si="150"/>
        <v>1.5704683629665599</v>
      </c>
      <c r="AM195" s="273" t="str">
        <f t="shared" si="151"/>
        <v>1+0.106715347133098i</v>
      </c>
      <c r="AN195" s="585">
        <f t="shared" si="152"/>
        <v>1.0056779630248132</v>
      </c>
      <c r="AO195" s="586">
        <f t="shared" si="153"/>
        <v>0.1063129954658011</v>
      </c>
      <c r="AP195" s="584" t="str">
        <f t="shared" si="154"/>
        <v>1+0.00077206100697597i</v>
      </c>
      <c r="AQ195" s="585">
        <f t="shared" si="155"/>
        <v>1.0000002980390548</v>
      </c>
      <c r="AR195" s="586">
        <f t="shared" si="156"/>
        <v>7.7206085357311353E-4</v>
      </c>
      <c r="AS195" s="580" t="str">
        <f t="shared" si="157"/>
        <v>0.139412446274514-1.31191694086562i</v>
      </c>
      <c r="AT195" s="270">
        <f t="shared" si="158"/>
        <v>1.3193035624549987</v>
      </c>
      <c r="AU195" s="581">
        <f t="shared" si="159"/>
        <v>-1.4649274283543312</v>
      </c>
      <c r="AV195" s="580" t="str">
        <f t="shared" si="160"/>
        <v>-0.00158473093255859-0.253885590241984i</v>
      </c>
      <c r="AW195" s="270">
        <f t="shared" si="161"/>
        <v>-11.907069748595593</v>
      </c>
      <c r="AX195" s="581">
        <f t="shared" si="162"/>
        <v>-90.357630438295033</v>
      </c>
      <c r="AY195" s="299">
        <f t="shared" si="132"/>
        <v>89.642369561704967</v>
      </c>
      <c r="BB195" s="270">
        <f t="shared" si="165"/>
        <v>-37.593105297097779</v>
      </c>
      <c r="BC195" s="270">
        <f t="shared" si="166"/>
        <v>-83.934158937656463</v>
      </c>
      <c r="BD195" s="286"/>
      <c r="BE195" s="270">
        <f t="shared" si="163"/>
        <v>25.686035548502197</v>
      </c>
      <c r="BF195" s="581">
        <f t="shared" si="164"/>
        <v>-6.4234715006385796</v>
      </c>
      <c r="BI195" s="286"/>
      <c r="BJ195" s="286"/>
      <c r="BL195" s="253">
        <f t="shared" si="133"/>
        <v>0</v>
      </c>
      <c r="BM195" s="253">
        <f t="shared" si="167"/>
        <v>0</v>
      </c>
      <c r="BN195" s="253">
        <f t="shared" si="134"/>
        <v>0</v>
      </c>
      <c r="BO195" s="253">
        <f t="shared" si="135"/>
        <v>0</v>
      </c>
    </row>
    <row r="196" spans="4:67" ht="13.6" thickBot="1" x14ac:dyDescent="0.25">
      <c r="D196" s="280">
        <v>11092.5</v>
      </c>
      <c r="E196" s="273" t="str">
        <f t="shared" si="114"/>
        <v>0.125453219435801i</v>
      </c>
      <c r="F196" s="579" t="str">
        <f t="shared" si="136"/>
        <v>0.002-0.220738119092104i</v>
      </c>
      <c r="G196" s="270" t="str">
        <f t="shared" si="137"/>
        <v>0.002-0.220738119092104i</v>
      </c>
      <c r="H196" s="271" t="str">
        <f t="shared" si="138"/>
        <v>0.0259959751302559-0.217651316448546i</v>
      </c>
      <c r="I196" s="271" t="str">
        <f t="shared" si="139"/>
        <v>0.0359959751302559-0.217651316448546i</v>
      </c>
      <c r="J196" s="270" t="str">
        <f t="shared" si="140"/>
        <v>0.0095615583684698-0.110256422887738i</v>
      </c>
      <c r="K196" s="271" t="str">
        <f t="shared" si="115"/>
        <v>0.996892917950304-0.0875580816832783i</v>
      </c>
      <c r="L196" s="580"/>
      <c r="M196" s="580" t="str">
        <f t="shared" si="116"/>
        <v>12.6680746056478-251.910312464959i</v>
      </c>
      <c r="N196" s="270" t="str">
        <f t="shared" si="117"/>
        <v>2.83438928756918-188.932734348719i</v>
      </c>
      <c r="O196" s="581" t="str">
        <f t="shared" si="118"/>
        <v>-5.91058037106093-94.6063157761913i</v>
      </c>
      <c r="P196" s="582" t="str">
        <f t="shared" si="119"/>
        <v>-20.803946277077-2.11900099110858i</v>
      </c>
      <c r="Q196" s="583" t="str">
        <f t="shared" si="120"/>
        <v>-20.7448404733664-1.17293783334666i</v>
      </c>
      <c r="R196" s="581" t="str">
        <f t="shared" si="141"/>
        <v>-0.422141827857503-11.2939026647502i</v>
      </c>
      <c r="S196" s="253" t="str">
        <f t="shared" si="142"/>
        <v>51.2133802562445-0.044822599416405i</v>
      </c>
      <c r="T196" s="253" t="str">
        <f t="shared" si="143"/>
        <v>19.1227844376323-2.18010194033869i</v>
      </c>
      <c r="U196" s="253" t="str">
        <f t="shared" si="144"/>
        <v>0.0226133713551888-4.21877308283491i</v>
      </c>
      <c r="V196" s="582" t="str">
        <f t="shared" si="121"/>
        <v>6000</v>
      </c>
      <c r="W196" s="584" t="str">
        <f t="shared" si="122"/>
        <v>1+39035.7449747119i</v>
      </c>
      <c r="X196" s="585">
        <f t="shared" si="123"/>
        <v>39035.744987520673</v>
      </c>
      <c r="Y196" s="586">
        <f t="shared" si="124"/>
        <v>1.5707707092487109</v>
      </c>
      <c r="Z196" s="273" t="str">
        <f t="shared" si="125"/>
        <v>1+5.85448357367073i</v>
      </c>
      <c r="AA196" s="585">
        <f t="shared" si="126"/>
        <v>5.9392741908738653</v>
      </c>
      <c r="AB196" s="586">
        <f t="shared" si="127"/>
        <v>1.4016197468044249</v>
      </c>
      <c r="AC196" s="584" t="str">
        <f t="shared" si="128"/>
        <v>1+0.283037686038246i</v>
      </c>
      <c r="AD196" s="585">
        <f t="shared" si="129"/>
        <v>1.039283566558177</v>
      </c>
      <c r="AE196" s="586">
        <f t="shared" si="130"/>
        <v>0.27582332107394775</v>
      </c>
      <c r="AF196" s="580" t="str">
        <f t="shared" si="145"/>
        <v>0.792855202651794-0.378090126634941i</v>
      </c>
      <c r="AG196" s="270">
        <f t="shared" si="146"/>
        <v>0.87839143679275644</v>
      </c>
      <c r="AH196" s="581">
        <f t="shared" si="147"/>
        <v>-0.44497428351823221</v>
      </c>
      <c r="AI196" s="582" t="str">
        <f t="shared" si="131"/>
        <v>4000</v>
      </c>
      <c r="AJ196" s="584" t="str">
        <f t="shared" si="148"/>
        <v>1+3066.74158507399i</v>
      </c>
      <c r="AK196" s="585">
        <f t="shared" si="149"/>
        <v>3066.7417481134808</v>
      </c>
      <c r="AL196" s="586">
        <f t="shared" si="150"/>
        <v>1.5704702478160142</v>
      </c>
      <c r="AM196" s="273" t="str">
        <f t="shared" si="151"/>
        <v>1+0.10733219885063i</v>
      </c>
      <c r="AN196" s="585">
        <f t="shared" si="152"/>
        <v>1.0057436059503988</v>
      </c>
      <c r="AO196" s="586">
        <f t="shared" si="153"/>
        <v>0.10692286170332696</v>
      </c>
      <c r="AP196" s="584" t="str">
        <f t="shared" si="154"/>
        <v>1+0.000776523787363114i</v>
      </c>
      <c r="AQ196" s="585">
        <f t="shared" si="155"/>
        <v>1.0000003014945507</v>
      </c>
      <c r="AR196" s="586">
        <f t="shared" si="156"/>
        <v>7.7652363128468673E-4</v>
      </c>
      <c r="AS196" s="580" t="str">
        <f t="shared" si="157"/>
        <v>0.139407514396781-1.30437842686865i</v>
      </c>
      <c r="AT196" s="270">
        <f t="shared" si="158"/>
        <v>1.3118069734342102</v>
      </c>
      <c r="AU196" s="581">
        <f t="shared" si="159"/>
        <v>-1.4643239097439715</v>
      </c>
      <c r="AV196" s="580" t="str">
        <f t="shared" si="160"/>
        <v>-0.00177818092556507-0.252472700747413i</v>
      </c>
      <c r="AW196" s="270">
        <f t="shared" si="161"/>
        <v>-11.955496058793251</v>
      </c>
      <c r="AX196" s="581">
        <f t="shared" si="162"/>
        <v>-90.403531064468453</v>
      </c>
      <c r="AY196" s="299">
        <f t="shared" si="132"/>
        <v>89.596468935531547</v>
      </c>
      <c r="BB196" s="270">
        <f t="shared" si="165"/>
        <v>-37.642601295239395</v>
      </c>
      <c r="BC196" s="270">
        <f t="shared" si="166"/>
        <v>-83.899579868425249</v>
      </c>
      <c r="BD196" s="286"/>
      <c r="BE196" s="270">
        <f t="shared" si="163"/>
        <v>25.687105236446158</v>
      </c>
      <c r="BF196" s="581">
        <f t="shared" si="164"/>
        <v>-6.5039511960431966</v>
      </c>
      <c r="BI196" s="286"/>
      <c r="BJ196" s="286"/>
      <c r="BL196" s="253">
        <f t="shared" si="133"/>
        <v>0</v>
      </c>
      <c r="BM196" s="253">
        <f t="shared" si="167"/>
        <v>0</v>
      </c>
      <c r="BN196" s="253">
        <f t="shared" si="134"/>
        <v>0</v>
      </c>
      <c r="BO196" s="253">
        <f t="shared" si="135"/>
        <v>0</v>
      </c>
    </row>
    <row r="197" spans="4:67" ht="13.6" thickBot="1" x14ac:dyDescent="0.25">
      <c r="D197" s="280">
        <v>11156.25</v>
      </c>
      <c r="E197" s="273" t="str">
        <f t="shared" si="114"/>
        <v>0.1261742149498i</v>
      </c>
      <c r="F197" s="579" t="str">
        <f t="shared" si="136"/>
        <v>0.002-0.219476758411577i</v>
      </c>
      <c r="G197" s="270" t="str">
        <f t="shared" si="137"/>
        <v>0.002-0.219476758411577i</v>
      </c>
      <c r="H197" s="271" t="str">
        <f t="shared" si="138"/>
        <v>0.0257257439508699-0.216437219746799i</v>
      </c>
      <c r="I197" s="271" t="str">
        <f t="shared" si="139"/>
        <v>0.0357257439508699-0.216437219746799i</v>
      </c>
      <c r="J197" s="270" t="str">
        <f t="shared" si="140"/>
        <v>0.00949256345375749-0.109630808633236i</v>
      </c>
      <c r="K197" s="271" t="str">
        <f t="shared" si="115"/>
        <v>0.996857101738277-0.0880612890492742i</v>
      </c>
      <c r="L197" s="580"/>
      <c r="M197" s="580" t="str">
        <f t="shared" si="116"/>
        <v>12.0121732631978-247.777008466757i</v>
      </c>
      <c r="N197" s="270" t="str">
        <f t="shared" si="117"/>
        <v>2.34246328073168-185.832756350068i</v>
      </c>
      <c r="O197" s="581" t="str">
        <f t="shared" si="118"/>
        <v>-6.01940165947316-93.0325744758819i</v>
      </c>
      <c r="P197" s="582" t="str">
        <f t="shared" si="119"/>
        <v>-20.3507593678706-2.02083537509995i</v>
      </c>
      <c r="Q197" s="583" t="str">
        <f t="shared" si="120"/>
        <v>-20.2905653512759-1.09050963034113i</v>
      </c>
      <c r="R197" s="581" t="str">
        <f t="shared" si="141"/>
        <v>-0.440816257122212-11.1067108924228i</v>
      </c>
      <c r="S197" s="253" t="str">
        <f t="shared" si="142"/>
        <v>51.2195556544918-0.0953788219319277i</v>
      </c>
      <c r="T197" s="253" t="str">
        <f t="shared" si="143"/>
        <v>19.1220337024473-2.20715231417772i</v>
      </c>
      <c r="U197" s="253" t="str">
        <f t="shared" si="144"/>
        <v>0.0142186324107253-4.19550044575738i</v>
      </c>
      <c r="V197" s="582" t="str">
        <f t="shared" si="121"/>
        <v>6000</v>
      </c>
      <c r="W197" s="584" t="str">
        <f t="shared" si="122"/>
        <v>1+39260.0883366356i</v>
      </c>
      <c r="X197" s="585">
        <f t="shared" si="123"/>
        <v>39260.088349371174</v>
      </c>
      <c r="Y197" s="586">
        <f t="shared" si="124"/>
        <v>1.5707708556346891</v>
      </c>
      <c r="Z197" s="273" t="str">
        <f t="shared" si="125"/>
        <v>1+5.88813003099068i</v>
      </c>
      <c r="AA197" s="585">
        <f t="shared" si="126"/>
        <v>5.9724429894185098</v>
      </c>
      <c r="AB197" s="586">
        <f t="shared" si="127"/>
        <v>1.4025682832459174</v>
      </c>
      <c r="AC197" s="584" t="str">
        <f t="shared" si="128"/>
        <v>1+0.284664339406282i</v>
      </c>
      <c r="AD197" s="585">
        <f t="shared" si="129"/>
        <v>1.0397277461574328</v>
      </c>
      <c r="AE197" s="586">
        <f t="shared" si="130"/>
        <v>0.27732868493882734</v>
      </c>
      <c r="AF197" s="580" t="str">
        <f t="shared" si="145"/>
        <v>0.79217787830748-0.378308832993589i</v>
      </c>
      <c r="AG197" s="270">
        <f t="shared" si="146"/>
        <v>0.87787434408388521</v>
      </c>
      <c r="AH197" s="581">
        <f t="shared" si="147"/>
        <v>-0.44553125732759974</v>
      </c>
      <c r="AI197" s="582" t="str">
        <f t="shared" si="131"/>
        <v>4000</v>
      </c>
      <c r="AJ197" s="584" t="str">
        <f t="shared" si="148"/>
        <v>1+3084.36653671235i</v>
      </c>
      <c r="AK197" s="585">
        <f t="shared" si="149"/>
        <v>3084.3666988201867</v>
      </c>
      <c r="AL197" s="586">
        <f t="shared" si="150"/>
        <v>1.5704721111243338</v>
      </c>
      <c r="AM197" s="273" t="str">
        <f t="shared" si="151"/>
        <v>1+0.107949050568162i</v>
      </c>
      <c r="AN197" s="585">
        <f t="shared" si="152"/>
        <v>1.0058096229001627</v>
      </c>
      <c r="AO197" s="586">
        <f t="shared" si="153"/>
        <v>0.10753264810971884</v>
      </c>
      <c r="AP197" s="584" t="str">
        <f t="shared" si="154"/>
        <v>1+0.000780986567750259i</v>
      </c>
      <c r="AQ197" s="585">
        <f t="shared" si="155"/>
        <v>1.0000003049699631</v>
      </c>
      <c r="AR197" s="586">
        <f t="shared" si="156"/>
        <v>7.8098640896532982E-4</v>
      </c>
      <c r="AS197" s="580" t="str">
        <f t="shared" si="157"/>
        <v>0.139402666801764-1.29692607437855i</v>
      </c>
      <c r="AT197" s="270">
        <f t="shared" si="158"/>
        <v>1.3043965447341539</v>
      </c>
      <c r="AU197" s="581">
        <f t="shared" si="159"/>
        <v>-1.4637204494235803</v>
      </c>
      <c r="AV197" s="580" t="str">
        <f t="shared" si="160"/>
        <v>-0.0019685089358768-0.251075470224834i</v>
      </c>
      <c r="AW197" s="270">
        <f t="shared" si="161"/>
        <v>-12.003647350933054</v>
      </c>
      <c r="AX197" s="581">
        <f t="shared" si="162"/>
        <v>-90.449207335614958</v>
      </c>
      <c r="AY197" s="299">
        <f t="shared" si="132"/>
        <v>89.550792664385042</v>
      </c>
      <c r="BB197" s="270">
        <f t="shared" si="165"/>
        <v>-37.691807205676071</v>
      </c>
      <c r="BC197" s="270">
        <f t="shared" si="166"/>
        <v>-83.865004138963215</v>
      </c>
      <c r="BD197" s="286"/>
      <c r="BE197" s="270">
        <f t="shared" si="163"/>
        <v>25.688159854743006</v>
      </c>
      <c r="BF197" s="581">
        <f t="shared" si="164"/>
        <v>-6.584203196651746</v>
      </c>
      <c r="BI197" s="286"/>
      <c r="BJ197" s="286"/>
      <c r="BL197" s="253">
        <f t="shared" si="133"/>
        <v>0</v>
      </c>
      <c r="BM197" s="253">
        <f t="shared" si="167"/>
        <v>0</v>
      </c>
      <c r="BN197" s="253">
        <f t="shared" si="134"/>
        <v>0</v>
      </c>
      <c r="BO197" s="253">
        <f t="shared" si="135"/>
        <v>0</v>
      </c>
    </row>
    <row r="198" spans="4:67" ht="13.6" thickBot="1" x14ac:dyDescent="0.25">
      <c r="D198" s="280">
        <v>11220</v>
      </c>
      <c r="E198" s="273" t="str">
        <f t="shared" si="114"/>
        <v>0.126895210463799i</v>
      </c>
      <c r="F198" s="579" t="str">
        <f t="shared" si="136"/>
        <v>0.002-0.218229731375148i</v>
      </c>
      <c r="G198" s="270" t="str">
        <f t="shared" si="137"/>
        <v>0.002-0.218229731375148i</v>
      </c>
      <c r="H198" s="271" t="str">
        <f t="shared" si="138"/>
        <v>0.0254600337658009-0.215236426783608i</v>
      </c>
      <c r="I198" s="271" t="str">
        <f t="shared" si="139"/>
        <v>0.0354600337658009-0.215236426783608i</v>
      </c>
      <c r="J198" s="270" t="str">
        <f t="shared" si="140"/>
        <v>0.00942473614219894-0.109012243692658i</v>
      </c>
      <c r="K198" s="271" t="str">
        <f t="shared" si="115"/>
        <v>0.996821080275751-0.08856449641527i</v>
      </c>
      <c r="L198" s="580"/>
      <c r="M198" s="580" t="str">
        <f t="shared" si="116"/>
        <v>11.3970108637594-243.789594719685i</v>
      </c>
      <c r="N198" s="270" t="str">
        <f t="shared" si="117"/>
        <v>1.88109148115288-182.842196039764i</v>
      </c>
      <c r="O198" s="581" t="str">
        <f t="shared" si="118"/>
        <v>-6.11803435393283-91.515009009839i</v>
      </c>
      <c r="P198" s="582" t="str">
        <f t="shared" si="119"/>
        <v>-19.9143092411183-1.92830145628661i</v>
      </c>
      <c r="Q198" s="583" t="str">
        <f t="shared" si="120"/>
        <v>-19.8531288975789-1.01315136618821i</v>
      </c>
      <c r="R198" s="581" t="str">
        <f t="shared" si="141"/>
        <v>-0.458062667841242-10.9261736013497i</v>
      </c>
      <c r="S198" s="253" t="str">
        <f t="shared" si="142"/>
        <v>51.2255694367246-0.145683033004042i</v>
      </c>
      <c r="T198" s="253" t="str">
        <f t="shared" si="143"/>
        <v>19.1212213072908-2.23412629766008i</v>
      </c>
      <c r="U198" s="253" t="str">
        <f t="shared" si="144"/>
        <v>0.00596157883533034-4.17246428089535i</v>
      </c>
      <c r="V198" s="582" t="str">
        <f t="shared" si="121"/>
        <v>6000</v>
      </c>
      <c r="W198" s="584" t="str">
        <f t="shared" si="122"/>
        <v>1+39484.4316985592i</v>
      </c>
      <c r="X198" s="585">
        <f t="shared" si="123"/>
        <v>39484.431711222416</v>
      </c>
      <c r="Y198" s="586">
        <f t="shared" si="124"/>
        <v>1.5707710003571902</v>
      </c>
      <c r="Z198" s="273" t="str">
        <f t="shared" si="125"/>
        <v>1+5.92177648831062i</v>
      </c>
      <c r="AA198" s="585">
        <f t="shared" si="126"/>
        <v>6.0056171021393352</v>
      </c>
      <c r="AB198" s="586">
        <f t="shared" si="127"/>
        <v>1.4035063413824393</v>
      </c>
      <c r="AC198" s="584" t="str">
        <f t="shared" si="128"/>
        <v>1+0.286290992774317i</v>
      </c>
      <c r="AD198" s="585">
        <f t="shared" si="129"/>
        <v>1.0401742798895308</v>
      </c>
      <c r="AE198" s="586">
        <f t="shared" si="130"/>
        <v>0.27883275974215116</v>
      </c>
      <c r="AF198" s="580" t="str">
        <f t="shared" si="145"/>
        <v>0.791497839540234-0.378534538058753i</v>
      </c>
      <c r="AG198" s="270">
        <f t="shared" si="146"/>
        <v>0.87735809479380278</v>
      </c>
      <c r="AH198" s="581">
        <f t="shared" si="147"/>
        <v>-0.44609741871690045</v>
      </c>
      <c r="AI198" s="582" t="str">
        <f t="shared" si="131"/>
        <v>4000</v>
      </c>
      <c r="AJ198" s="584" t="str">
        <f t="shared" si="148"/>
        <v>1+3101.99148835071i</v>
      </c>
      <c r="AK198" s="585">
        <f t="shared" si="149"/>
        <v>3101.9916495374791</v>
      </c>
      <c r="AL198" s="586">
        <f t="shared" si="150"/>
        <v>1.5704739532586978</v>
      </c>
      <c r="AM198" s="273" t="str">
        <f t="shared" si="151"/>
        <v>1+0.108565902285695i</v>
      </c>
      <c r="AN198" s="585">
        <f t="shared" si="152"/>
        <v>1.0058760138004619</v>
      </c>
      <c r="AO198" s="586">
        <f t="shared" si="153"/>
        <v>0.10814235424725555</v>
      </c>
      <c r="AP198" s="584" t="str">
        <f t="shared" si="154"/>
        <v>1+0.000785449348137403i</v>
      </c>
      <c r="AQ198" s="585">
        <f t="shared" si="155"/>
        <v>1.0000003084652918</v>
      </c>
      <c r="AR198" s="586">
        <f t="shared" si="156"/>
        <v>7.8544918661486312E-4</v>
      </c>
      <c r="AS198" s="580" t="str">
        <f t="shared" si="157"/>
        <v>0.139397901579274-1.28955841473388i</v>
      </c>
      <c r="AT198" s="270">
        <f t="shared" si="158"/>
        <v>1.2970708076183286</v>
      </c>
      <c r="AU198" s="581">
        <f t="shared" si="159"/>
        <v>-1.4631170481980569</v>
      </c>
      <c r="AV198" s="580" t="str">
        <f t="shared" si="160"/>
        <v>-0.00215578240856566-0.249693643545625i</v>
      </c>
      <c r="AW198" s="270">
        <f t="shared" si="161"/>
        <v>-12.051526551834604</v>
      </c>
      <c r="AX198" s="581">
        <f t="shared" si="162"/>
        <v>-90.494662831269665</v>
      </c>
      <c r="AY198" s="299">
        <f t="shared" si="132"/>
        <v>89.505337168730335</v>
      </c>
      <c r="BB198" s="270">
        <f t="shared" si="165"/>
        <v>-37.740726299158226</v>
      </c>
      <c r="BC198" s="270">
        <f t="shared" si="166"/>
        <v>-83.83043179538771</v>
      </c>
      <c r="BD198" s="286"/>
      <c r="BE198" s="270">
        <f t="shared" si="163"/>
        <v>25.689199747323627</v>
      </c>
      <c r="BF198" s="581">
        <f t="shared" si="164"/>
        <v>-6.6642310358819543</v>
      </c>
      <c r="BI198" s="286"/>
      <c r="BJ198" s="286"/>
      <c r="BL198" s="253">
        <f t="shared" si="133"/>
        <v>0</v>
      </c>
      <c r="BM198" s="253">
        <f t="shared" si="167"/>
        <v>0</v>
      </c>
      <c r="BN198" s="253">
        <f t="shared" si="134"/>
        <v>0</v>
      </c>
      <c r="BO198" s="253">
        <f t="shared" si="135"/>
        <v>0</v>
      </c>
    </row>
    <row r="199" spans="4:67" ht="13.6" thickBot="1" x14ac:dyDescent="0.25">
      <c r="D199" s="280">
        <v>11285.5</v>
      </c>
      <c r="E199" s="273" t="str">
        <f t="shared" si="114"/>
        <v>0.127635998011515i</v>
      </c>
      <c r="F199" s="579" t="str">
        <f t="shared" si="136"/>
        <v>0.002-0.216963146163587i</v>
      </c>
      <c r="G199" s="270" t="str">
        <f t="shared" si="137"/>
        <v>0.002-0.216963146163587i</v>
      </c>
      <c r="H199" s="271" t="str">
        <f t="shared" si="138"/>
        <v>0.0251916334548695-0.214016301836067i</v>
      </c>
      <c r="I199" s="271" t="str">
        <f t="shared" si="139"/>
        <v>0.0351916334548695-0.214016301836067i</v>
      </c>
      <c r="J199" s="270" t="str">
        <f t="shared" si="140"/>
        <v>0.00935623550750716-0.108383916699641i</v>
      </c>
      <c r="K199" s="271" t="str">
        <f t="shared" si="115"/>
        <v>0.996783856209439-0.089081517316803i</v>
      </c>
      <c r="L199" s="580"/>
      <c r="M199" s="580" t="str">
        <f t="shared" si="116"/>
        <v>10.8041403416534-239.836650603194i</v>
      </c>
      <c r="N199" s="270" t="str">
        <f t="shared" si="117"/>
        <v>1.43643858957338-179.877487952395i</v>
      </c>
      <c r="O199" s="581" t="str">
        <f t="shared" si="118"/>
        <v>-6.2097002670986-90.0111690170615i</v>
      </c>
      <c r="P199" s="582" t="str">
        <f t="shared" si="119"/>
        <v>-19.4823870126369-1.83866298021786i</v>
      </c>
      <c r="Q199" s="583" t="str">
        <f t="shared" si="120"/>
        <v>-19.420290009966-0.93855129004724i</v>
      </c>
      <c r="R199" s="581" t="str">
        <f t="shared" si="141"/>
        <v>-0.474418888684901-10.7472425359603i</v>
      </c>
      <c r="S199" s="253" t="str">
        <f t="shared" si="142"/>
        <v>51.2315832490538-0.19710954242525i</v>
      </c>
      <c r="T199" s="253" t="str">
        <f t="shared" si="143"/>
        <v>19.1203233487169-2.26176229528179i</v>
      </c>
      <c r="U199" s="253" t="str">
        <f t="shared" si="144"/>
        <v>-0.00238182472900442-4.14903837970697i</v>
      </c>
      <c r="V199" s="582" t="str">
        <f t="shared" si="121"/>
        <v>6000</v>
      </c>
      <c r="W199" s="584" t="str">
        <f t="shared" si="122"/>
        <v>1+39714.9335057121i</v>
      </c>
      <c r="X199" s="585">
        <f t="shared" si="123"/>
        <v>39714.933518301819</v>
      </c>
      <c r="Y199" s="586">
        <f t="shared" si="124"/>
        <v>1.5707711473494963</v>
      </c>
      <c r="Z199" s="273" t="str">
        <f t="shared" si="125"/>
        <v>1+5.95634657387072i</v>
      </c>
      <c r="AA199" s="585">
        <f t="shared" si="126"/>
        <v>6.0397073197350766</v>
      </c>
      <c r="AB199" s="586">
        <f t="shared" si="127"/>
        <v>1.4044594161833763</v>
      </c>
      <c r="AC199" s="584" t="str">
        <f t="shared" si="128"/>
        <v>1+0.287962299372064i</v>
      </c>
      <c r="AD199" s="585">
        <f t="shared" si="129"/>
        <v>1.0406355201796862</v>
      </c>
      <c r="AE199" s="586">
        <f t="shared" si="130"/>
        <v>0.28037677484340695</v>
      </c>
      <c r="AF199" s="580" t="str">
        <f t="shared" si="145"/>
        <v>0.790796323629552-0.378773541923912i</v>
      </c>
      <c r="AG199" s="270">
        <f t="shared" si="146"/>
        <v>0.87682850177648808</v>
      </c>
      <c r="AH199" s="581">
        <f t="shared" si="147"/>
        <v>-0.44668850600952792</v>
      </c>
      <c r="AI199" s="582" t="str">
        <f t="shared" si="131"/>
        <v>4000</v>
      </c>
      <c r="AJ199" s="584" t="str">
        <f t="shared" si="148"/>
        <v>1+3120.1002621909i</v>
      </c>
      <c r="AK199" s="585">
        <f t="shared" si="149"/>
        <v>3120.1004224421567</v>
      </c>
      <c r="AL199" s="586">
        <f t="shared" si="150"/>
        <v>1.5704758242848083</v>
      </c>
      <c r="AM199" s="273" t="str">
        <f t="shared" si="151"/>
        <v>1+0.10919968718763i</v>
      </c>
      <c r="AN199" s="585">
        <f t="shared" si="152"/>
        <v>1.0059446166076322</v>
      </c>
      <c r="AO199" s="586">
        <f t="shared" si="153"/>
        <v>0.10876871335202187</v>
      </c>
      <c r="AP199" s="584" t="str">
        <f t="shared" si="154"/>
        <v>1+0.000790034636221449i</v>
      </c>
      <c r="AQ199" s="585">
        <f t="shared" si="155"/>
        <v>1.0000003120773144</v>
      </c>
      <c r="AR199" s="586">
        <f t="shared" si="156"/>
        <v>7.9003447185355981E-4</v>
      </c>
      <c r="AS199" s="580" t="str">
        <f t="shared" si="157"/>
        <v>0.13939308939129-1.28207520915034i</v>
      </c>
      <c r="AT199" s="270">
        <f t="shared" si="158"/>
        <v>1.2896306739869119</v>
      </c>
      <c r="AU199" s="581">
        <f t="shared" si="159"/>
        <v>-1.46249714540464</v>
      </c>
      <c r="AV199" s="580" t="str">
        <f t="shared" si="160"/>
        <v>-0.0023450842603369-0.248289665901364i</v>
      </c>
      <c r="AW199" s="270">
        <f t="shared" si="161"/>
        <v>-12.100439713596822</v>
      </c>
      <c r="AX199" s="581">
        <f t="shared" si="162"/>
        <v>-90.541139861997408</v>
      </c>
      <c r="AY199" s="299">
        <f t="shared" si="132"/>
        <v>89.458860138002592</v>
      </c>
      <c r="BB199" s="270">
        <f t="shared" si="165"/>
        <v>-37.790692913620489</v>
      </c>
      <c r="BC199" s="270">
        <f t="shared" si="166"/>
        <v>-83.79491398161656</v>
      </c>
      <c r="BD199" s="286"/>
      <c r="BE199" s="270">
        <f t="shared" si="163"/>
        <v>25.690253200023673</v>
      </c>
      <c r="BF199" s="581">
        <f t="shared" si="164"/>
        <v>-6.7462258803808588</v>
      </c>
      <c r="BI199" s="286"/>
      <c r="BJ199" s="286"/>
      <c r="BL199" s="253">
        <f t="shared" si="133"/>
        <v>0</v>
      </c>
      <c r="BM199" s="253">
        <f t="shared" si="167"/>
        <v>0</v>
      </c>
      <c r="BN199" s="253">
        <f t="shared" si="134"/>
        <v>0</v>
      </c>
      <c r="BO199" s="253">
        <f t="shared" si="135"/>
        <v>0</v>
      </c>
    </row>
    <row r="200" spans="4:67" ht="13.6" thickBot="1" x14ac:dyDescent="0.25">
      <c r="D200" s="280">
        <v>11351</v>
      </c>
      <c r="E200" s="273" t="str">
        <f t="shared" si="114"/>
        <v>0.128376785559232i</v>
      </c>
      <c r="F200" s="579" t="str">
        <f t="shared" si="136"/>
        <v>0.002-0.215711178400948i</v>
      </c>
      <c r="G200" s="270" t="str">
        <f t="shared" si="137"/>
        <v>0.002-0.215711178400948i</v>
      </c>
      <c r="H200" s="271" t="str">
        <f t="shared" si="138"/>
        <v>0.0249277949714668-0.212809766620212i</v>
      </c>
      <c r="I200" s="271" t="str">
        <f t="shared" si="139"/>
        <v>0.0349277949714668-0.212809766620212i</v>
      </c>
      <c r="J200" s="270" t="str">
        <f t="shared" si="140"/>
        <v>0.00928891222007137-0.107762781552309i</v>
      </c>
      <c r="K200" s="271" t="str">
        <f t="shared" si="115"/>
        <v>0.996746415469306-0.089598538218336i</v>
      </c>
      <c r="L200" s="580"/>
      <c r="M200" s="580" t="str">
        <f t="shared" si="116"/>
        <v>10.2479569958923-236.021940754835i</v>
      </c>
      <c r="N200" s="270" t="str">
        <f t="shared" si="117"/>
        <v>1.01930108025255-177.016455566126i</v>
      </c>
      <c r="O200" s="581" t="str">
        <f t="shared" si="118"/>
        <v>-6.29242524993375-88.5604885263911i</v>
      </c>
      <c r="P200" s="582" t="str">
        <f t="shared" si="119"/>
        <v>-19.0663174340762-1.7541330369092i</v>
      </c>
      <c r="Q200" s="583" t="str">
        <f t="shared" si="120"/>
        <v>-19.0033931815769-0.868528151645285i</v>
      </c>
      <c r="R200" s="581" t="str">
        <f t="shared" si="141"/>
        <v>-0.489507455032243-10.5746113916603i</v>
      </c>
      <c r="S200" s="253" t="str">
        <f t="shared" si="142"/>
        <v>51.2374330351113-0.248277843897144i</v>
      </c>
      <c r="T200" s="253" t="str">
        <f t="shared" si="143"/>
        <v>19.1193622267097-2.28931990253909i</v>
      </c>
      <c r="U200" s="253" t="str">
        <f t="shared" si="144"/>
        <v>-0.0105860926057211-4.12585471054799i</v>
      </c>
      <c r="V200" s="582" t="str">
        <f t="shared" si="121"/>
        <v>6000</v>
      </c>
      <c r="W200" s="584" t="str">
        <f t="shared" si="122"/>
        <v>1+39945.435312865i</v>
      </c>
      <c r="X200" s="585">
        <f t="shared" si="123"/>
        <v>39945.435325382066</v>
      </c>
      <c r="Y200" s="586">
        <f t="shared" si="124"/>
        <v>1.5707712926453885</v>
      </c>
      <c r="Z200" s="273" t="str">
        <f t="shared" si="125"/>
        <v>1+5.99091665943082i</v>
      </c>
      <c r="AA200" s="585">
        <f t="shared" si="126"/>
        <v>6.0738029619214462</v>
      </c>
      <c r="AB200" s="586">
        <f t="shared" si="127"/>
        <v>1.4054017915519323</v>
      </c>
      <c r="AC200" s="584" t="str">
        <f t="shared" si="128"/>
        <v>1+0.289633605969811i</v>
      </c>
      <c r="AD200" s="585">
        <f t="shared" si="129"/>
        <v>1.0410992391252025</v>
      </c>
      <c r="AE200" s="586">
        <f t="shared" si="130"/>
        <v>0.28191941817134114</v>
      </c>
      <c r="AF200" s="580" t="str">
        <f t="shared" si="145"/>
        <v>0.790091978499102-0.37901955841132i</v>
      </c>
      <c r="AG200" s="270">
        <f t="shared" si="146"/>
        <v>0.87629969767593618</v>
      </c>
      <c r="AH200" s="581">
        <f t="shared" si="147"/>
        <v>-0.44728891926479536</v>
      </c>
      <c r="AI200" s="582" t="str">
        <f t="shared" si="131"/>
        <v>4000</v>
      </c>
      <c r="AJ200" s="584" t="str">
        <f t="shared" si="148"/>
        <v>1+3138.20903603109i</v>
      </c>
      <c r="AK200" s="585">
        <f t="shared" si="149"/>
        <v>3138.2091953576301</v>
      </c>
      <c r="AL200" s="586">
        <f t="shared" si="150"/>
        <v>1.5704776737177204</v>
      </c>
      <c r="AM200" s="273" t="str">
        <f t="shared" si="151"/>
        <v>1+0.109833472089565i</v>
      </c>
      <c r="AN200" s="585">
        <f t="shared" si="152"/>
        <v>1.0060136140188409</v>
      </c>
      <c r="AO200" s="586">
        <f t="shared" si="153"/>
        <v>0.10939498678482544</v>
      </c>
      <c r="AP200" s="584" t="str">
        <f t="shared" si="154"/>
        <v>1+0.000794619924305496i</v>
      </c>
      <c r="AQ200" s="585">
        <f t="shared" si="155"/>
        <v>1.0000003157103623</v>
      </c>
      <c r="AR200" s="586">
        <f t="shared" si="156"/>
        <v>7.9461975705903687E-4</v>
      </c>
      <c r="AS200" s="580" t="str">
        <f t="shared" si="157"/>
        <v>0.139388360244526-1.27467837332398i</v>
      </c>
      <c r="AT200" s="270">
        <f t="shared" si="158"/>
        <v>1.2822769086244692</v>
      </c>
      <c r="AU200" s="581">
        <f t="shared" si="159"/>
        <v>-1.4618773066899537</v>
      </c>
      <c r="AV200" s="580" t="str">
        <f t="shared" si="160"/>
        <v>-0.00253130019684545-0.246901420894243i</v>
      </c>
      <c r="AW200" s="270">
        <f t="shared" si="161"/>
        <v>-12.149071755914216</v>
      </c>
      <c r="AX200" s="581">
        <f t="shared" si="162"/>
        <v>-90.587391260586031</v>
      </c>
      <c r="AY200" s="299">
        <f t="shared" si="132"/>
        <v>89.412608739413969</v>
      </c>
      <c r="BB200" s="270">
        <f t="shared" si="165"/>
        <v>-37.840363569642641</v>
      </c>
      <c r="BC200" s="270">
        <f t="shared" si="166"/>
        <v>-83.759399839286218</v>
      </c>
      <c r="BD200" s="286"/>
      <c r="BE200" s="270">
        <f t="shared" si="163"/>
        <v>25.691291813728441</v>
      </c>
      <c r="BF200" s="581">
        <f t="shared" si="164"/>
        <v>-6.8279914212998216</v>
      </c>
      <c r="BI200" s="286"/>
      <c r="BJ200" s="286"/>
      <c r="BL200" s="253">
        <f t="shared" si="133"/>
        <v>0</v>
      </c>
      <c r="BM200" s="253">
        <f t="shared" si="167"/>
        <v>0</v>
      </c>
      <c r="BN200" s="253">
        <f t="shared" si="134"/>
        <v>0</v>
      </c>
      <c r="BO200" s="253">
        <f t="shared" si="135"/>
        <v>0</v>
      </c>
    </row>
    <row r="201" spans="4:67" ht="13.6" thickBot="1" x14ac:dyDescent="0.25">
      <c r="D201" s="280">
        <v>11416.5</v>
      </c>
      <c r="E201" s="273" t="str">
        <f t="shared" si="114"/>
        <v>0.129117573106948i</v>
      </c>
      <c r="F201" s="579" t="str">
        <f t="shared" si="136"/>
        <v>0.002-0.214473576492722i</v>
      </c>
      <c r="G201" s="270" t="str">
        <f t="shared" si="137"/>
        <v>0.002-0.214473576492722i</v>
      </c>
      <c r="H201" s="271" t="str">
        <f t="shared" si="138"/>
        <v>0.0246684159147488-0.211616598200698i</v>
      </c>
      <c r="I201" s="271" t="str">
        <f t="shared" si="139"/>
        <v>0.0346684159147488-0.211616598200698i</v>
      </c>
      <c r="J201" s="270" t="str">
        <f t="shared" si="140"/>
        <v>0.00922273946458721-0.107148715900121i</v>
      </c>
      <c r="K201" s="271" t="str">
        <f t="shared" si="115"/>
        <v>0.996708758055352-0.090115559119869i</v>
      </c>
      <c r="L201" s="580"/>
      <c r="M201" s="580" t="str">
        <f t="shared" si="116"/>
        <v>9.72568855671763-232.338279350928i</v>
      </c>
      <c r="N201" s="270" t="str">
        <f t="shared" si="117"/>
        <v>0.627599750871551-174.253709513196i</v>
      </c>
      <c r="O201" s="581" t="str">
        <f t="shared" si="118"/>
        <v>-6.36699614728463-87.1601732210386i</v>
      </c>
      <c r="P201" s="582" t="str">
        <f t="shared" si="119"/>
        <v>-18.6652730261813-1.67434307098319i</v>
      </c>
      <c r="Q201" s="583" t="str">
        <f t="shared" si="120"/>
        <v>-18.6016030647086-0.802741338772807i</v>
      </c>
      <c r="R201" s="581" t="str">
        <f t="shared" si="141"/>
        <v>-0.503432861000748-10.4079502599337i</v>
      </c>
      <c r="S201" s="253" t="str">
        <f t="shared" si="142"/>
        <v>51.2431219988556-0.299191792868879i</v>
      </c>
      <c r="T201" s="253" t="str">
        <f t="shared" si="143"/>
        <v>19.1183388796766-2.31680022768355i</v>
      </c>
      <c r="U201" s="253" t="str">
        <f t="shared" si="144"/>
        <v>-0.018654247810023-4.10290962857318i</v>
      </c>
      <c r="V201" s="582" t="str">
        <f t="shared" si="121"/>
        <v>6000</v>
      </c>
      <c r="W201" s="584" t="str">
        <f t="shared" si="122"/>
        <v>1+40175.9371200179i</v>
      </c>
      <c r="X201" s="585">
        <f t="shared" si="123"/>
        <v>40175.937132463165</v>
      </c>
      <c r="Y201" s="586">
        <f t="shared" si="124"/>
        <v>1.5707714362740655</v>
      </c>
      <c r="Z201" s="273" t="str">
        <f t="shared" si="125"/>
        <v>1+6.02548674499092i</v>
      </c>
      <c r="AA201" s="585">
        <f t="shared" si="126"/>
        <v>6.1079039378547266</v>
      </c>
      <c r="AB201" s="586">
        <f t="shared" si="127"/>
        <v>1.4063336450078168</v>
      </c>
      <c r="AC201" s="584" t="str">
        <f t="shared" si="128"/>
        <v>1+0.291304912567557i</v>
      </c>
      <c r="AD201" s="585">
        <f t="shared" si="129"/>
        <v>1.0415654334154874</v>
      </c>
      <c r="AE201" s="586">
        <f t="shared" si="130"/>
        <v>0.28346068422086335</v>
      </c>
      <c r="AF201" s="580" t="str">
        <f t="shared" si="145"/>
        <v>0.789384822566406-0.379272403535567i</v>
      </c>
      <c r="AG201" s="270">
        <f t="shared" si="146"/>
        <v>0.87577163357912102</v>
      </c>
      <c r="AH201" s="581">
        <f t="shared" si="147"/>
        <v>-0.44789847548711226</v>
      </c>
      <c r="AI201" s="582" t="str">
        <f t="shared" si="131"/>
        <v>4000</v>
      </c>
      <c r="AJ201" s="584" t="str">
        <f t="shared" si="148"/>
        <v>1+3156.31780987128i</v>
      </c>
      <c r="AK201" s="585">
        <f t="shared" si="149"/>
        <v>3156.317968283714</v>
      </c>
      <c r="AL201" s="586">
        <f t="shared" si="150"/>
        <v>1.5704795019290947</v>
      </c>
      <c r="AM201" s="273" t="str">
        <f t="shared" si="151"/>
        <v>1+0.1104672569915i</v>
      </c>
      <c r="AN201" s="585">
        <f t="shared" si="152"/>
        <v>1.0060830059529016</v>
      </c>
      <c r="AO201" s="586">
        <f t="shared" si="153"/>
        <v>0.11002117407207131</v>
      </c>
      <c r="AP201" s="584" t="str">
        <f t="shared" si="154"/>
        <v>1+0.000799205212389541i</v>
      </c>
      <c r="AQ201" s="585">
        <f t="shared" si="155"/>
        <v>1.0000003193644347</v>
      </c>
      <c r="AR201" s="586">
        <f t="shared" si="156"/>
        <v>7.9920504223109838E-4</v>
      </c>
      <c r="AS201" s="580" t="str">
        <f t="shared" si="157"/>
        <v>0.139383712238591-1.26736642066517i</v>
      </c>
      <c r="AT201" s="270">
        <f t="shared" si="158"/>
        <v>1.2750080248637867</v>
      </c>
      <c r="AU201" s="581">
        <f t="shared" si="159"/>
        <v>-1.4612575328992545</v>
      </c>
      <c r="AV201" s="580" t="str">
        <f t="shared" si="160"/>
        <v>-0.00271449767070842-0.245528649312492i</v>
      </c>
      <c r="AW201" s="270">
        <f t="shared" si="161"/>
        <v>-12.197425703878951</v>
      </c>
      <c r="AX201" s="581">
        <f t="shared" si="162"/>
        <v>-90.633420678997183</v>
      </c>
      <c r="AY201" s="299">
        <f t="shared" si="132"/>
        <v>89.366579321002817</v>
      </c>
      <c r="BB201" s="270">
        <f t="shared" si="165"/>
        <v>-37.889741635689262</v>
      </c>
      <c r="BC201" s="270">
        <f t="shared" si="166"/>
        <v>-83.723889416826324</v>
      </c>
      <c r="BD201" s="286"/>
      <c r="BE201" s="270">
        <f t="shared" si="163"/>
        <v>25.69231593181032</v>
      </c>
      <c r="BF201" s="581">
        <f t="shared" si="164"/>
        <v>-6.9095312621708667</v>
      </c>
      <c r="BI201" s="286"/>
      <c r="BJ201" s="286"/>
      <c r="BL201" s="253">
        <f t="shared" si="133"/>
        <v>0</v>
      </c>
      <c r="BM201" s="253">
        <f t="shared" si="167"/>
        <v>0</v>
      </c>
      <c r="BN201" s="253">
        <f t="shared" si="134"/>
        <v>0</v>
      </c>
      <c r="BO201" s="253">
        <f t="shared" si="135"/>
        <v>0</v>
      </c>
    </row>
    <row r="202" spans="4:67" ht="13.6" thickBot="1" x14ac:dyDescent="0.25">
      <c r="D202" s="280">
        <v>11482</v>
      </c>
      <c r="E202" s="273" t="str">
        <f t="shared" si="114"/>
        <v>0.129858360654665i</v>
      </c>
      <c r="F202" s="579" t="str">
        <f t="shared" si="136"/>
        <v>0.002-0.213250094585365i</v>
      </c>
      <c r="G202" s="270" t="str">
        <f t="shared" si="137"/>
        <v>0.002-0.213250094585365i</v>
      </c>
      <c r="H202" s="271" t="str">
        <f t="shared" si="138"/>
        <v>0.0244133967300547-0.210436578426022i</v>
      </c>
      <c r="I202" s="271" t="str">
        <f t="shared" si="139"/>
        <v>0.0344133967300547-0.210436578426022i</v>
      </c>
      <c r="J202" s="270" t="str">
        <f t="shared" si="140"/>
        <v>0.00915769118406241-0.106541600144013i</v>
      </c>
      <c r="K202" s="271" t="str">
        <f t="shared" si="115"/>
        <v>0.996670883967577-0.090632580021402i</v>
      </c>
      <c r="L202" s="580"/>
      <c r="M202" s="580" t="str">
        <f t="shared" si="116"/>
        <v>9.23481210525557-228.778965730105i</v>
      </c>
      <c r="N202" s="270" t="str">
        <f t="shared" si="117"/>
        <v>0.259442412275011-171.584224297579i</v>
      </c>
      <c r="O202" s="581" t="str">
        <f t="shared" si="118"/>
        <v>-6.43412338146636-85.8076196503688i</v>
      </c>
      <c r="P202" s="582" t="str">
        <f t="shared" si="119"/>
        <v>-18.2784819226416-1.59895674792313i</v>
      </c>
      <c r="Q202" s="583" t="str">
        <f t="shared" si="120"/>
        <v>-18.214140688827-0.740880551419444i</v>
      </c>
      <c r="R202" s="581" t="str">
        <f t="shared" si="141"/>
        <v>-0.516289759949482-10.2469516789613i</v>
      </c>
      <c r="S202" s="253" t="str">
        <f t="shared" si="142"/>
        <v>51.2486532584658-0.349855171395805i</v>
      </c>
      <c r="T202" s="253" t="str">
        <f t="shared" si="143"/>
        <v>19.1172542209982-2.34420435754052i</v>
      </c>
      <c r="U202" s="253" t="str">
        <f t="shared" si="144"/>
        <v>-0.0265892324456566-4.08019955816426i</v>
      </c>
      <c r="V202" s="582" t="str">
        <f t="shared" si="121"/>
        <v>6000</v>
      </c>
      <c r="W202" s="584" t="str">
        <f t="shared" si="122"/>
        <v>1+40406.4389271708i</v>
      </c>
      <c r="X202" s="585">
        <f t="shared" si="123"/>
        <v>40406.438939545063</v>
      </c>
      <c r="Y202" s="586">
        <f t="shared" si="124"/>
        <v>1.5707715782640599</v>
      </c>
      <c r="Z202" s="273" t="str">
        <f t="shared" si="125"/>
        <v>1+6.06005683055103i</v>
      </c>
      <c r="AA202" s="585">
        <f t="shared" si="126"/>
        <v>6.1420101586946432</v>
      </c>
      <c r="AB202" s="586">
        <f t="shared" si="127"/>
        <v>1.4072551502017352</v>
      </c>
      <c r="AC202" s="584" t="str">
        <f t="shared" si="128"/>
        <v>1+0.292976219165304i</v>
      </c>
      <c r="AD202" s="585">
        <f t="shared" si="129"/>
        <v>1.0420340997282171</v>
      </c>
      <c r="AE202" s="586">
        <f t="shared" si="130"/>
        <v>0.285000567522885</v>
      </c>
      <c r="AF202" s="580" t="str">
        <f t="shared" si="145"/>
        <v>0.788674874270556-0.379531897437652i</v>
      </c>
      <c r="AG202" s="270">
        <f t="shared" si="146"/>
        <v>0.87524426217959395</v>
      </c>
      <c r="AH202" s="581">
        <f t="shared" si="147"/>
        <v>-0.4485169955852103</v>
      </c>
      <c r="AI202" s="582" t="str">
        <f t="shared" si="131"/>
        <v>4000</v>
      </c>
      <c r="AJ202" s="584" t="str">
        <f t="shared" si="148"/>
        <v>1+3174.42658371148i</v>
      </c>
      <c r="AK202" s="585">
        <f t="shared" si="149"/>
        <v>3174.4267412202371</v>
      </c>
      <c r="AL202" s="586">
        <f t="shared" si="150"/>
        <v>1.570481309282111</v>
      </c>
      <c r="AM202" s="273" t="str">
        <f t="shared" si="151"/>
        <v>1+0.111101041893435i</v>
      </c>
      <c r="AN202" s="585">
        <f t="shared" si="152"/>
        <v>1.0061527923281866</v>
      </c>
      <c r="AO202" s="586">
        <f t="shared" si="153"/>
        <v>0.110647274740565</v>
      </c>
      <c r="AP202" s="584" t="str">
        <f t="shared" si="154"/>
        <v>1+0.000803790500473588i</v>
      </c>
      <c r="AQ202" s="585">
        <f t="shared" si="155"/>
        <v>1.0000003230395322</v>
      </c>
      <c r="AR202" s="586">
        <f t="shared" si="156"/>
        <v>8.037903273695557E-4</v>
      </c>
      <c r="AS202" s="580" t="str">
        <f t="shared" si="157"/>
        <v>0.139379143527146-1.26013789850574i</v>
      </c>
      <c r="AT202" s="270">
        <f t="shared" si="158"/>
        <v>1.2678225699603332</v>
      </c>
      <c r="AU202" s="581">
        <f t="shared" si="159"/>
        <v>-1.4606378248689151</v>
      </c>
      <c r="AV202" s="580" t="str">
        <f t="shared" si="160"/>
        <v>-0.00289474232865663-0.244171097548553i</v>
      </c>
      <c r="AW202" s="270">
        <f t="shared" si="161"/>
        <v>-12.245504534186125</v>
      </c>
      <c r="AX202" s="581">
        <f t="shared" si="162"/>
        <v>-90.679231695086145</v>
      </c>
      <c r="AY202" s="299">
        <f t="shared" si="132"/>
        <v>89.320768304913855</v>
      </c>
      <c r="BB202" s="270">
        <f t="shared" si="165"/>
        <v>-37.938830422443807</v>
      </c>
      <c r="BC202" s="270">
        <f t="shared" si="166"/>
        <v>-83.688382762157516</v>
      </c>
      <c r="BD202" s="286"/>
      <c r="BE202" s="270">
        <f t="shared" si="163"/>
        <v>25.693325888257668</v>
      </c>
      <c r="BF202" s="581">
        <f t="shared" si="164"/>
        <v>-6.9908489329286487</v>
      </c>
      <c r="BI202" s="286"/>
      <c r="BJ202" s="286"/>
      <c r="BL202" s="253">
        <f t="shared" si="133"/>
        <v>0</v>
      </c>
      <c r="BM202" s="253">
        <f t="shared" si="167"/>
        <v>0</v>
      </c>
      <c r="BN202" s="253">
        <f t="shared" si="134"/>
        <v>0</v>
      </c>
      <c r="BO202" s="253">
        <f t="shared" si="135"/>
        <v>0</v>
      </c>
    </row>
    <row r="203" spans="4:67" ht="13.6" thickBot="1" x14ac:dyDescent="0.25">
      <c r="D203" s="280">
        <v>11548.75</v>
      </c>
      <c r="E203" s="273" t="str">
        <f t="shared" si="114"/>
        <v>0.130613285369322i</v>
      </c>
      <c r="F203" s="579" t="str">
        <f t="shared" si="136"/>
        <v>0.002-0.212017541814409i</v>
      </c>
      <c r="G203" s="270" t="str">
        <f t="shared" si="137"/>
        <v>0.002-0.212017541814409i</v>
      </c>
      <c r="H203" s="271" t="str">
        <f t="shared" si="138"/>
        <v>0.0241578960269721-0.209247345603283i</v>
      </c>
      <c r="I203" s="271" t="str">
        <f t="shared" si="139"/>
        <v>0.0341578960269721-0.209247345603283i</v>
      </c>
      <c r="J203" s="270" t="str">
        <f t="shared" si="140"/>
        <v>0.00909253217703044-0.105929927273471i</v>
      </c>
      <c r="K203" s="271" t="str">
        <f t="shared" si="115"/>
        <v>0.996632064176094-0.091159467734033i</v>
      </c>
      <c r="L203" s="580"/>
      <c r="M203" s="580" t="str">
        <f t="shared" si="116"/>
        <v>8.7644842598158-225.273181951786i</v>
      </c>
      <c r="N203" s="270" t="str">
        <f t="shared" si="117"/>
        <v>-0.0933034718048198-168.95488646384i</v>
      </c>
      <c r="O203" s="581" t="str">
        <f t="shared" si="118"/>
        <v>-6.49553832219982-84.4758781853122i</v>
      </c>
      <c r="P203" s="582" t="str">
        <f t="shared" si="119"/>
        <v>-17.8982272004317-1.52634411165634i</v>
      </c>
      <c r="Q203" s="583" t="str">
        <f t="shared" si="120"/>
        <v>-17.8332718172098-0.681585329803218i</v>
      </c>
      <c r="R203" s="581" t="str">
        <f t="shared" si="141"/>
        <v>-0.528381595600506-10.0884093678879i</v>
      </c>
      <c r="S203" s="253" t="str">
        <f t="shared" si="142"/>
        <v>51.2541309711907-0.401231460498534i</v>
      </c>
      <c r="T203" s="253" t="str">
        <f t="shared" si="143"/>
        <v>19.1160867052757-2.37205418010048i</v>
      </c>
      <c r="U203" s="253" t="str">
        <f t="shared" si="144"/>
        <v>-0.0345416057445637-4.05729423965436i</v>
      </c>
      <c r="V203" s="582" t="str">
        <f t="shared" si="121"/>
        <v>6000</v>
      </c>
      <c r="W203" s="584" t="str">
        <f t="shared" si="122"/>
        <v>1+40641.3396237732i</v>
      </c>
      <c r="X203" s="585">
        <f t="shared" si="123"/>
        <v>40641.339636075951</v>
      </c>
      <c r="Y203" s="586">
        <f t="shared" si="124"/>
        <v>1.5707717213067642</v>
      </c>
      <c r="Z203" s="273" t="str">
        <f t="shared" si="125"/>
        <v>1+6.09528665056838i</v>
      </c>
      <c r="AA203" s="585">
        <f t="shared" si="126"/>
        <v>6.1767725676599996</v>
      </c>
      <c r="AB203" s="586">
        <f t="shared" si="127"/>
        <v>1.4081837708706211</v>
      </c>
      <c r="AC203" s="584" t="str">
        <f t="shared" si="128"/>
        <v>1+0.29467942092713i</v>
      </c>
      <c r="AD203" s="585">
        <f t="shared" si="129"/>
        <v>1.0425142498392761</v>
      </c>
      <c r="AE203" s="586">
        <f t="shared" si="130"/>
        <v>0.28656840970411235</v>
      </c>
      <c r="AF203" s="580" t="str">
        <f t="shared" si="145"/>
        <v>0.78794852364966-0.379803001786302i</v>
      </c>
      <c r="AG203" s="270">
        <f t="shared" si="146"/>
        <v>0.87470749172941487</v>
      </c>
      <c r="AH203" s="581">
        <f t="shared" si="147"/>
        <v>-0.44915636014025484</v>
      </c>
      <c r="AI203" s="582" t="str">
        <f t="shared" si="131"/>
        <v>4000</v>
      </c>
      <c r="AJ203" s="584" t="str">
        <f t="shared" si="148"/>
        <v>1+3192.8809448387i</v>
      </c>
      <c r="AK203" s="585">
        <f t="shared" si="149"/>
        <v>3192.8811014370817</v>
      </c>
      <c r="AL203" s="586">
        <f t="shared" si="150"/>
        <v>1.5704831300347986</v>
      </c>
      <c r="AM203" s="273" t="str">
        <f t="shared" si="151"/>
        <v>1+0.111746921927087i</v>
      </c>
      <c r="AN203" s="585">
        <f t="shared" si="152"/>
        <v>1.006224316223862</v>
      </c>
      <c r="AO203" s="586">
        <f t="shared" si="153"/>
        <v>0.11128523429152518</v>
      </c>
      <c r="AP203" s="584" t="str">
        <f t="shared" si="154"/>
        <v>1+0.000808463294055421i</v>
      </c>
      <c r="AQ203" s="585">
        <f t="shared" si="155"/>
        <v>1.0000003268063955</v>
      </c>
      <c r="AR203" s="586">
        <f t="shared" si="156"/>
        <v>8.0846311791481131E-4</v>
      </c>
      <c r="AS203" s="580" t="str">
        <f t="shared" si="157"/>
        <v>0.139374567348062-1.25285579167972i</v>
      </c>
      <c r="AT203" s="270">
        <f t="shared" si="158"/>
        <v>1.2605843505172027</v>
      </c>
      <c r="AU203" s="581">
        <f t="shared" si="159"/>
        <v>-1.4600063588611885</v>
      </c>
      <c r="AV203" s="580" t="str">
        <f t="shared" si="160"/>
        <v>-0.00307545503781136-0.24280303968034i</v>
      </c>
      <c r="AW203" s="270">
        <f t="shared" si="161"/>
        <v>-12.294220888798503</v>
      </c>
      <c r="AX203" s="581">
        <f t="shared" si="162"/>
        <v>-90.725695902289715</v>
      </c>
      <c r="AY203" s="299">
        <f t="shared" si="132"/>
        <v>89.274304097710285</v>
      </c>
      <c r="BB203" s="270">
        <f t="shared" si="165"/>
        <v>-37.98856177422887</v>
      </c>
      <c r="BC203" s="270">
        <f t="shared" si="166"/>
        <v>-83.652202425008795</v>
      </c>
      <c r="BD203" s="286"/>
      <c r="BE203" s="270">
        <f t="shared" si="163"/>
        <v>25.694340885430375</v>
      </c>
      <c r="BF203" s="581">
        <f t="shared" si="164"/>
        <v>-7.073493477280925</v>
      </c>
      <c r="BI203" s="286"/>
      <c r="BJ203" s="286"/>
      <c r="BL203" s="253">
        <f t="shared" si="133"/>
        <v>0</v>
      </c>
      <c r="BM203" s="253">
        <f t="shared" si="167"/>
        <v>0</v>
      </c>
      <c r="BN203" s="253">
        <f t="shared" si="134"/>
        <v>0</v>
      </c>
      <c r="BO203" s="253">
        <f t="shared" si="135"/>
        <v>0</v>
      </c>
    </row>
    <row r="204" spans="4:67" ht="13.6" thickBot="1" x14ac:dyDescent="0.25">
      <c r="D204" s="280">
        <v>11615.5</v>
      </c>
      <c r="E204" s="273" t="str">
        <f t="shared" si="114"/>
        <v>0.13136821008398i</v>
      </c>
      <c r="F204" s="579" t="str">
        <f t="shared" si="136"/>
        <v>0.002-0.210799155096996i</v>
      </c>
      <c r="G204" s="270" t="str">
        <f t="shared" si="137"/>
        <v>0.002-0.210799155096996i</v>
      </c>
      <c r="H204" s="271" t="str">
        <f t="shared" si="138"/>
        <v>0.0239067230593754-0.208071325260708i</v>
      </c>
      <c r="I204" s="271" t="str">
        <f t="shared" si="139"/>
        <v>0.0339067230593754-0.208071325260708i</v>
      </c>
      <c r="J204" s="270" t="str">
        <f t="shared" si="140"/>
        <v>0.00902848863016515-0.105325229703376i</v>
      </c>
      <c r="K204" s="271" t="str">
        <f t="shared" si="115"/>
        <v>0.996593019361885-0.0916863554466639i</v>
      </c>
      <c r="L204" s="580"/>
      <c r="M204" s="580" t="str">
        <f t="shared" si="116"/>
        <v>8.32215068143467-221.88385934774i</v>
      </c>
      <c r="N204" s="270" t="str">
        <f t="shared" si="117"/>
        <v>-0.42505365559067-166.412894510805i</v>
      </c>
      <c r="O204" s="581" t="str">
        <f t="shared" si="118"/>
        <v>-6.55050468107681-83.1888188448964i</v>
      </c>
      <c r="P204" s="582" t="str">
        <f t="shared" si="119"/>
        <v>-17.5313139320509-1.45768805209233i</v>
      </c>
      <c r="Q204" s="583" t="str">
        <f t="shared" si="120"/>
        <v>-17.4658088852402-0.625799863643365i</v>
      </c>
      <c r="R204" s="581" t="str">
        <f t="shared" si="141"/>
        <v>-0.539535397285564-9.93516652509699i</v>
      </c>
      <c r="S204" s="253" t="str">
        <f t="shared" si="142"/>
        <v>51.2594511811688-0.452355228943176i</v>
      </c>
      <c r="T204" s="253" t="str">
        <f t="shared" si="143"/>
        <v>19.1148573547261-2.39982708445419i</v>
      </c>
      <c r="U204" s="253" t="str">
        <f t="shared" si="144"/>
        <v>-0.0423616007600231-4.03462570346568i</v>
      </c>
      <c r="V204" s="582" t="str">
        <f t="shared" si="121"/>
        <v>6000</v>
      </c>
      <c r="W204" s="584" t="str">
        <f t="shared" si="122"/>
        <v>1+40876.2403203756i</v>
      </c>
      <c r="X204" s="585">
        <f t="shared" si="123"/>
        <v>40876.240332607646</v>
      </c>
      <c r="Y204" s="586">
        <f t="shared" si="124"/>
        <v>1.5707718627054412</v>
      </c>
      <c r="Z204" s="273" t="str">
        <f t="shared" si="125"/>
        <v>1+6.13051647058574i</v>
      </c>
      <c r="AA204" s="585">
        <f t="shared" si="126"/>
        <v>6.2115402434599947</v>
      </c>
      <c r="AB204" s="586">
        <f t="shared" si="127"/>
        <v>1.4091019968403602</v>
      </c>
      <c r="AC204" s="584" t="str">
        <f t="shared" si="128"/>
        <v>1+0.296382622688956i</v>
      </c>
      <c r="AD204" s="585">
        <f t="shared" si="129"/>
        <v>1.0429969602218332</v>
      </c>
      <c r="AE204" s="586">
        <f t="shared" si="130"/>
        <v>0.28813480450381374</v>
      </c>
      <c r="AF204" s="580" t="str">
        <f t="shared" si="145"/>
        <v>0.787219311798258-0.380080646558006i</v>
      </c>
      <c r="AG204" s="270">
        <f t="shared" si="146"/>
        <v>0.87417134633667493</v>
      </c>
      <c r="AH204" s="581">
        <f t="shared" si="147"/>
        <v>-0.44980467036889593</v>
      </c>
      <c r="AI204" s="582" t="str">
        <f t="shared" si="131"/>
        <v>4000</v>
      </c>
      <c r="AJ204" s="584" t="str">
        <f t="shared" si="148"/>
        <v>1+3211.33530596592i</v>
      </c>
      <c r="AK204" s="585">
        <f t="shared" si="149"/>
        <v>3211.3354616643883</v>
      </c>
      <c r="AL204" s="586">
        <f t="shared" si="150"/>
        <v>1.5704849298610979</v>
      </c>
      <c r="AM204" s="273" t="str">
        <f t="shared" si="151"/>
        <v>1+0.112392801960739i</v>
      </c>
      <c r="AN204" s="585">
        <f t="shared" si="152"/>
        <v>1.0062962495868628</v>
      </c>
      <c r="AO204" s="586">
        <f t="shared" si="153"/>
        <v>0.11192310289517161</v>
      </c>
      <c r="AP204" s="584" t="str">
        <f t="shared" si="154"/>
        <v>1+0.000813136087637255i</v>
      </c>
      <c r="AQ204" s="585">
        <f t="shared" si="155"/>
        <v>1.0000003305950937</v>
      </c>
      <c r="AR204" s="586">
        <f t="shared" si="156"/>
        <v>8.1313590842476227E-4</v>
      </c>
      <c r="AS204" s="580" t="str">
        <f t="shared" si="157"/>
        <v>0.139370069810844-1.24565738746452i</v>
      </c>
      <c r="AT204" s="270">
        <f t="shared" si="158"/>
        <v>1.2534298318230714</v>
      </c>
      <c r="AU204" s="581">
        <f t="shared" si="159"/>
        <v>-1.4593749628743502</v>
      </c>
      <c r="AV204" s="580" t="str">
        <f t="shared" si="160"/>
        <v>-0.00325323332435301-0.241450273425394i</v>
      </c>
      <c r="AW204" s="270">
        <f t="shared" si="161"/>
        <v>-12.342657617580359</v>
      </c>
      <c r="AX204" s="581">
        <f t="shared" si="162"/>
        <v>-90.771940566872075</v>
      </c>
      <c r="AY204" s="299">
        <f t="shared" si="132"/>
        <v>89.228059433127925</v>
      </c>
      <c r="BB204" s="270">
        <f t="shared" si="165"/>
        <v>-38.037999464749539</v>
      </c>
      <c r="BC204" s="270">
        <f t="shared" si="166"/>
        <v>-83.61602609976147</v>
      </c>
      <c r="BD204" s="286"/>
      <c r="BE204" s="270">
        <f t="shared" si="163"/>
        <v>25.695341847169185</v>
      </c>
      <c r="BF204" s="581">
        <f t="shared" si="164"/>
        <v>-7.1559144671106028</v>
      </c>
      <c r="BI204" s="286"/>
      <c r="BJ204" s="286"/>
      <c r="BL204" s="253">
        <f t="shared" si="133"/>
        <v>0</v>
      </c>
      <c r="BM204" s="253">
        <f t="shared" si="167"/>
        <v>0</v>
      </c>
      <c r="BN204" s="253">
        <f t="shared" si="134"/>
        <v>0</v>
      </c>
      <c r="BO204" s="253">
        <f t="shared" si="135"/>
        <v>0</v>
      </c>
    </row>
    <row r="205" spans="4:67" ht="13.6" thickBot="1" x14ac:dyDescent="0.25">
      <c r="D205" s="280">
        <v>11682.25</v>
      </c>
      <c r="E205" s="273" t="str">
        <f t="shared" ref="E205:E268" si="168">COMPLEX(0,2*PI()*D205*Lf)</f>
        <v>0.132123134798638i</v>
      </c>
      <c r="F205" s="579" t="str">
        <f t="shared" si="136"/>
        <v>0.002-0.209594691607281i</v>
      </c>
      <c r="G205" s="270" t="str">
        <f t="shared" si="137"/>
        <v>0.002-0.209594691607281i</v>
      </c>
      <c r="H205" s="271" t="str">
        <f t="shared" si="138"/>
        <v>0.0236597809943854-0.206908301055718i</v>
      </c>
      <c r="I205" s="271" t="str">
        <f t="shared" si="139"/>
        <v>0.0336597809943854-0.206908301055718i</v>
      </c>
      <c r="J205" s="270" t="str">
        <f t="shared" si="140"/>
        <v>0.00896553523580492-0.104727389190863i</v>
      </c>
      <c r="K205" s="271" t="str">
        <f t="shared" ref="K205:K268" si="169">IMSUM(COMPLEX(1,0),COMPLEX(0,2*PI()*D205/(Fsw*PI()*(-2)/PI())),IMPRODUCT(COMPLEX(0,2*PI()*D205/(Fsw*PI())),COMPLEX(0,2*PI()*D205/(Fsw*PI()))))</f>
        <v>0.996553749524949-0.0922132431592949i</v>
      </c>
      <c r="L205" s="580"/>
      <c r="M205" s="580" t="str">
        <f t="shared" ref="M205:M268" si="170">IF(Vin&gt;=Vout,IMDIV(COMPLEX(Vin,0),IMSUM(E205,J205)),IMDIV(IMSUM(COMPLEX(Vout,0),IMPRODUCT(J205,COMPLEX($B$4,0))),IMSUM(E205,IMPRODUCT(J205,COMPLEX((1-$B$11)^2,0)))))</f>
        <v>7.90578550560775-218.605220702668i</v>
      </c>
      <c r="N205" s="270" t="str">
        <f t="shared" ref="N205:N268" si="171">IF(Vin&gt;=Vout,0,IMSUB(IMPRODUCT(M205,COMPLEX(1-$B$11,0)),COMPLEX($B$4/(1-$B$11),0)))</f>
        <v>-0.737327537460859-163.953915527001i</v>
      </c>
      <c r="O205" s="581" t="str">
        <f t="shared" ref="O205:O268" si="172">IMDIV(IF(Vin&gt;=Vout,M205,N205),IMPRODUCT(I205,IMSUM(IMDIV(COMPLEX(1,0),F205),IMDIV(COMPLEX(1,0),I205))))</f>
        <v>-6.59957902286025-81.9442022659553i</v>
      </c>
      <c r="P205" s="582" t="str">
        <f t="shared" ref="P205:P268" si="173">IF(Vin&gt;=Vout,IMDIV(IMPRODUCT(COMPLEX(Vin,0),J205),IMSUM(J205,E205)),IMPRODUCT(N205,J205))</f>
        <v>-17.1770760567795-1.39271621872871i</v>
      </c>
      <c r="Q205" s="583" t="str">
        <f t="shared" ref="Q205:Q268" si="174">IF(Vin&gt;=Vout,IMDIV(IMPRODUCT(P205,H205),IMSUM(COMPLEX($B$15,0),H205)),IMPRODUCT(O205,H205))</f>
        <v>-17.1110802665509-0.573274196069152i</v>
      </c>
      <c r="R205" s="581" t="str">
        <f t="shared" si="141"/>
        <v>-0.54982608313829-9.78695847565993i</v>
      </c>
      <c r="S205" s="253" t="str">
        <f t="shared" si="142"/>
        <v>51.2646169306607-0.503230254503551i</v>
      </c>
      <c r="T205" s="253" t="str">
        <f t="shared" si="143"/>
        <v>19.1135670607982-2.42752415516847i</v>
      </c>
      <c r="U205" s="253" t="str">
        <f t="shared" si="144"/>
        <v>-0.0500520880376415-4.01219037753415i</v>
      </c>
      <c r="V205" s="582" t="str">
        <f t="shared" ref="V205:V268" si="175">COMPLEX(AEA,0)</f>
        <v>6000</v>
      </c>
      <c r="W205" s="584" t="str">
        <f t="shared" ref="W205:W268" si="176">IMSUM(COMPLEX(1,0),IMDIV(COMPLEX(0,2*PI()*D205),COMPLEX(2*PI()*EA_Pole1,0)))</f>
        <v>1+41111.141016978i</v>
      </c>
      <c r="X205" s="585">
        <f t="shared" ref="X205:X268" si="177">IMABS(W205)</f>
        <v>41111.141029140148</v>
      </c>
      <c r="Y205" s="586">
        <f t="shared" ref="Y205:Y268" si="178">IMARGUMENT(W205)</f>
        <v>1.5707720024882716</v>
      </c>
      <c r="Z205" s="273" t="str">
        <f t="shared" ref="Z205:Z268" si="179">IMSUM(COMPLEX(1,0),IMDIV(COMPLEX(0,2*PI()*D205),COMPLEX(2*PI()*EA_Zero1,0)))</f>
        <v>1+6.16574629060309i</v>
      </c>
      <c r="AA205" s="585">
        <f t="shared" ref="AA205:AA268" si="180">IMABS(Z205)</f>
        <v>6.2463130981472395</v>
      </c>
      <c r="AB205" s="586">
        <f t="shared" ref="AB205:AB268" si="181">IMARGUMENT(Z205)</f>
        <v>1.4100100001495173</v>
      </c>
      <c r="AC205" s="584" t="str">
        <f t="shared" ref="AC205:AC268" si="182">IMSUM(COMPLEX(1,0),IMDIV(COMPLEX(0,2*PI()*D205),COMPLEX(2*PI()*EA_Pole2,0)))</f>
        <v>1+0.298085824450781i</v>
      </c>
      <c r="AD205" s="585">
        <f t="shared" ref="AD205:AD268" si="183">IMABS(AC205)</f>
        <v>1.0434822273227762</v>
      </c>
      <c r="AE205" s="586">
        <f t="shared" ref="AE205:AE268" si="184">IMARGUMENT(AC205)</f>
        <v>0.28969974624940853</v>
      </c>
      <c r="AF205" s="580" t="str">
        <f t="shared" si="145"/>
        <v>0.786487258293618-0.380364653908574i</v>
      </c>
      <c r="AG205" s="270">
        <f t="shared" si="146"/>
        <v>0.87363578074687476</v>
      </c>
      <c r="AH205" s="581">
        <f t="shared" si="147"/>
        <v>-0.45046174858816301</v>
      </c>
      <c r="AI205" s="582" t="str">
        <f t="shared" ref="AI205:AI268" si="185">COMPLEX(AIL,0)</f>
        <v>4000</v>
      </c>
      <c r="AJ205" s="584" t="str">
        <f t="shared" si="148"/>
        <v>1+3229.78966709314i</v>
      </c>
      <c r="AK205" s="585">
        <f t="shared" si="149"/>
        <v>3229.7898219019789</v>
      </c>
      <c r="AL205" s="586">
        <f t="shared" si="150"/>
        <v>1.5704867091197166</v>
      </c>
      <c r="AM205" s="273" t="str">
        <f t="shared" si="151"/>
        <v>1+0.11303868199439i</v>
      </c>
      <c r="AN205" s="585">
        <f t="shared" si="152"/>
        <v>1.0063685923293855</v>
      </c>
      <c r="AO205" s="586">
        <f t="shared" si="153"/>
        <v>0.11256088005199413</v>
      </c>
      <c r="AP205" s="584" t="str">
        <f t="shared" si="154"/>
        <v>1+0.000817808881219088i</v>
      </c>
      <c r="AQ205" s="585">
        <f t="shared" si="155"/>
        <v>1.0000003344056272</v>
      </c>
      <c r="AR205" s="586">
        <f t="shared" si="156"/>
        <v>8.1780869889920278E-4</v>
      </c>
      <c r="AS205" s="580" t="str">
        <f t="shared" si="157"/>
        <v>0.139365649123121-1.23854125108165i</v>
      </c>
      <c r="AT205" s="270">
        <f t="shared" si="158"/>
        <v>1.2463575790223316</v>
      </c>
      <c r="AU205" s="581">
        <f t="shared" si="159"/>
        <v>-1.4587436377666219</v>
      </c>
      <c r="AV205" s="580" t="str">
        <f t="shared" si="160"/>
        <v>-0.00342814123686837-0.240112547397611i</v>
      </c>
      <c r="AW205" s="270">
        <f t="shared" si="161"/>
        <v>-12.390817722213948</v>
      </c>
      <c r="AX205" s="581">
        <f t="shared" si="162"/>
        <v>-90.817969249464369</v>
      </c>
      <c r="AY205" s="299">
        <f t="shared" ref="AY205:AY268" si="186">IF(AX205&gt;0,AX205-180,AX205+180)</f>
        <v>89.182030750535631</v>
      </c>
      <c r="BB205" s="270">
        <f t="shared" si="165"/>
        <v>-38.087146820998257</v>
      </c>
      <c r="BC205" s="270">
        <f t="shared" si="166"/>
        <v>-83.579853835587997</v>
      </c>
      <c r="BD205" s="286"/>
      <c r="BE205" s="270">
        <f t="shared" si="163"/>
        <v>25.696329098784322</v>
      </c>
      <c r="BF205" s="581">
        <f t="shared" si="164"/>
        <v>-7.2381154138763861</v>
      </c>
      <c r="BI205" s="286"/>
      <c r="BJ205" s="286"/>
      <c r="BL205" s="253">
        <f t="shared" ref="BL205:BL268" si="187">SUM((AW206&lt;0)*(AW205&gt;0))*D205</f>
        <v>0</v>
      </c>
      <c r="BM205" s="253">
        <f t="shared" si="167"/>
        <v>0</v>
      </c>
      <c r="BN205" s="253">
        <f t="shared" ref="BN205:BN268" si="188">SUM((BB206&lt;0)*(BB205&gt;0))*D205</f>
        <v>0</v>
      </c>
      <c r="BO205" s="253">
        <f t="shared" ref="BO205:BO268" si="189">IF(BN205&gt;0,BC205,0)</f>
        <v>0</v>
      </c>
    </row>
    <row r="206" spans="4:67" ht="13.6" thickBot="1" x14ac:dyDescent="0.25">
      <c r="D206" s="280">
        <v>11749</v>
      </c>
      <c r="E206" s="273" t="str">
        <f t="shared" si="168"/>
        <v>0.132878059513295i</v>
      </c>
      <c r="F206" s="579" t="str">
        <f t="shared" ref="F206:F269" si="190">IMSUM(COMPLEX($B$8,0),IMDIV(COMPLEX(1,0),COMPLEX(0,2*PI()*D206*$B$6)))</f>
        <v>0.002-0.208403914037719i</v>
      </c>
      <c r="G206" s="270" t="str">
        <f t="shared" ref="G206:G269" si="191">IMSUM(COMPLEX($B$9,0),IMDIV(COMPLEX(1,0),COMPLEX(0,2*PI()*D206*$B$7)))</f>
        <v>0.002-0.208403914037719i</v>
      </c>
      <c r="H206" s="271" t="str">
        <f t="shared" ref="H206:H269" si="192">IMDIV(COMPLEX(1,0),IMSUM(IMDIV(COMPLEX(1,0),COMPLEX($B$5,0)), IMDIV(COMPLEX(1,0),G206)))</f>
        <v>0.0234169756823988-0.205758061282867i</v>
      </c>
      <c r="I206" s="271" t="str">
        <f t="shared" ref="I206:I269" si="193">IMSUM(H206,COMPLEX($B$15,0))</f>
        <v>0.0334169756823988-0.205758061282867i</v>
      </c>
      <c r="J206" s="270" t="str">
        <f t="shared" ref="J206:J269" si="194">IMDIV(COMPLEX(1,0),IMSUM(IMDIV(COMPLEX(1,0),F206),IMDIV(COMPLEX(1,0),IMSUM(COMPLEX($B$15,0),H206))))</f>
        <v>0.00890364739924127-0.104136290143093i</v>
      </c>
      <c r="K206" s="271" t="str">
        <f t="shared" si="169"/>
        <v>0.996514254665286-0.0927401308719258i</v>
      </c>
      <c r="L206" s="580"/>
      <c r="M206" s="580" t="str">
        <f t="shared" si="170"/>
        <v>7.51353717326232-215.431862275808i</v>
      </c>
      <c r="N206" s="270" t="str">
        <f t="shared" si="171"/>
        <v>-1.03151378671993-161.573896706856i</v>
      </c>
      <c r="O206" s="581" t="str">
        <f t="shared" si="172"/>
        <v>-6.6432657011812-80.7399353886456i</v>
      </c>
      <c r="P206" s="582" t="str">
        <f t="shared" si="173"/>
        <v>-16.8348904220597-1.33117898621881i</v>
      </c>
      <c r="Q206" s="583" t="str">
        <f t="shared" si="174"/>
        <v>-16.7684577650479-0.523779632332355i</v>
      </c>
      <c r="R206" s="581" t="str">
        <f t="shared" ref="R206:R269" si="195">IMPRODUCT(M206,COMPLEX($B$29,0),K206,COMPLEX($B$34,0))</f>
        <v>-0.559321786993549-9.64353777512637i</v>
      </c>
      <c r="S206" s="253" t="str">
        <f t="shared" ref="S206:S269" si="196">IMDIV(IMPRODUCT(COMPLEX($B$34,0),M206),IMSUM(COMPLEX(1,0),R206))</f>
        <v>51.2696311805803-0.553860242589424i</v>
      </c>
      <c r="T206" s="253" t="str">
        <f t="shared" ref="T206:T269" si="197">IMDIV(IMPRODUCT(COMPLEX($B$34,0),O206),IMSUM(COMPLEX(1,0),R206))</f>
        <v>19.1122166912108-2.4551464556848i</v>
      </c>
      <c r="U206" s="253" t="str">
        <f t="shared" ref="U206:U269" si="198">IMDIV(IMPRODUCT(COMPLEX($B$34,0),Q206),IMSUM(COMPLEX(1,0),R206))</f>
        <v>-0.057615861392387-3.98998475805106i</v>
      </c>
      <c r="V206" s="582" t="str">
        <f t="shared" si="175"/>
        <v>6000</v>
      </c>
      <c r="W206" s="584" t="str">
        <f t="shared" si="176"/>
        <v>1+41346.0417135804i</v>
      </c>
      <c r="X206" s="585">
        <f t="shared" si="177"/>
        <v>41346.041725673458</v>
      </c>
      <c r="Y206" s="586">
        <f t="shared" si="178"/>
        <v>1.5707721406827959</v>
      </c>
      <c r="Z206" s="273" t="str">
        <f t="shared" si="179"/>
        <v>1+6.20097611062045i</v>
      </c>
      <c r="AA206" s="585">
        <f t="shared" si="180"/>
        <v>6.2810910457089806</v>
      </c>
      <c r="AB206" s="586">
        <f t="shared" si="181"/>
        <v>1.4109079490946785</v>
      </c>
      <c r="AC206" s="584" t="str">
        <f t="shared" si="182"/>
        <v>1+0.299789026212608i</v>
      </c>
      <c r="AD206" s="585">
        <f t="shared" si="183"/>
        <v>1.0439700475767988</v>
      </c>
      <c r="AE206" s="586">
        <f t="shared" si="184"/>
        <v>0.29126322930730725</v>
      </c>
      <c r="AF206" s="580" t="str">
        <f t="shared" ref="AF206:AF269" si="199">IMPRODUCT(V206,IMDIV(Z206,IMPRODUCT(W206,AC206)))</f>
        <v>0.785752382731644-0.380654849974737i</v>
      </c>
      <c r="AG206" s="270">
        <f t="shared" ref="AG206:AG269" si="200">IMABS(AF206)</f>
        <v>0.87310075121817732</v>
      </c>
      <c r="AH206" s="581">
        <f t="shared" ref="AH206:AH269" si="201">IMARGUMENT(AF206)</f>
        <v>-0.45112742089542529</v>
      </c>
      <c r="AI206" s="582" t="str">
        <f t="shared" si="185"/>
        <v>4000</v>
      </c>
      <c r="AJ206" s="584" t="str">
        <f t="shared" ref="AJ206:AJ269" si="202">IMSUM(COMPLEX(1,0),IMDIV(COMPLEX(0,2*PI()*D206),COMPLEX(2*PI()*IL_Pole1,0)))</f>
        <v>1+3248.24402822036i</v>
      </c>
      <c r="AK206" s="585">
        <f t="shared" ref="AK206:AK269" si="203">IMABS(AJ206)</f>
        <v>3248.2441821496777</v>
      </c>
      <c r="AL206" s="586">
        <f t="shared" ref="AL206:AL269" si="204">IMARGUMENT(AJ206)</f>
        <v>1.5704884681612103</v>
      </c>
      <c r="AM206" s="273" t="str">
        <f t="shared" ref="AM206:AM269" si="205">IMSUM(COMPLEX(1,0),IMDIV(COMPLEX(0,2*PI()*D206),COMPLEX(2*PI()*IL_Zero1,0)))</f>
        <v>1+0.113684562028042i</v>
      </c>
      <c r="AN206" s="585">
        <f t="shared" ref="AN206:AN269" si="206">IMABS(AM206)</f>
        <v>1.0064413443631515</v>
      </c>
      <c r="AO206" s="586">
        <f t="shared" ref="AO206:AO269" si="207">IMARGUMENT(AM206)</f>
        <v>0.11319856526292636</v>
      </c>
      <c r="AP206" s="584" t="str">
        <f t="shared" ref="AP206:AP269" si="208">IMSUM(COMPLEX(1,0),IMDIV(COMPLEX(0,2*PI()*D206),COMPLEX(2*PI()*IL_Pole2,0)))</f>
        <v>1+0.000822481674800923i</v>
      </c>
      <c r="AQ206" s="585">
        <f t="shared" ref="AQ206:AQ269" si="209">IMABS(AP206)</f>
        <v>1.0000003382379954</v>
      </c>
      <c r="AR206" s="586">
        <f t="shared" ref="AR206:AR269" si="210">IMARGUMENT(AP206)</f>
        <v>8.2248148933793163E-4</v>
      </c>
      <c r="AS206" s="580" t="str">
        <f t="shared" ref="AS206:AS269" si="211">IMPRODUCT(AI206,IMDIV(AM206,IMPRODUCT(AJ206,AP206)))</f>
        <v>0.1393613035433-1.23150598035838i</v>
      </c>
      <c r="AT206" s="270">
        <f t="shared" ref="AT206:AT269" si="212">IMABS(AS206)</f>
        <v>1.2393661898663133</v>
      </c>
      <c r="AU206" s="581">
        <f t="shared" ref="AU206:AU269" si="213">IMARGUMENT(AS206)</f>
        <v>-1.4581123843876216</v>
      </c>
      <c r="AV206" s="580" t="str">
        <f t="shared" ref="AV206:AV269" si="214">IMPRODUCT(T206,AS206,COMPLEX($B$15,0))</f>
        <v>-0.00360024111142359-0.238789615635853i</v>
      </c>
      <c r="AW206" s="270">
        <f t="shared" ref="AW206:AW269" si="215">20*LOG10(IMABS(AV206))</f>
        <v>-12.438704156420277</v>
      </c>
      <c r="AX206" s="581">
        <f t="shared" ref="AX206:AX269" si="216">(180/PI())*IMARGUMENT(AV206)</f>
        <v>-90.863785438365937</v>
      </c>
      <c r="AY206" s="299">
        <f t="shared" si="186"/>
        <v>89.136214561634063</v>
      </c>
      <c r="BB206" s="270">
        <f t="shared" si="165"/>
        <v>-38.136007113134184</v>
      </c>
      <c r="BC206" s="270">
        <f t="shared" si="166"/>
        <v>-83.543685681167901</v>
      </c>
      <c r="BD206" s="286"/>
      <c r="BE206" s="270">
        <f t="shared" ref="BE206:BE269" si="217">20*LOG10(IMABS(T206))</f>
        <v>25.697302956713909</v>
      </c>
      <c r="BF206" s="581">
        <f t="shared" ref="BF206:BF269" si="218">180/PI()*IMARGUMENT(T206)</f>
        <v>-7.3200997571980402</v>
      </c>
      <c r="BI206" s="286"/>
      <c r="BJ206" s="286"/>
      <c r="BL206" s="253">
        <f t="shared" si="187"/>
        <v>0</v>
      </c>
      <c r="BM206" s="253">
        <f t="shared" si="167"/>
        <v>0</v>
      </c>
      <c r="BN206" s="253">
        <f t="shared" si="188"/>
        <v>0</v>
      </c>
      <c r="BO206" s="253">
        <f t="shared" si="189"/>
        <v>0</v>
      </c>
    </row>
    <row r="207" spans="4:67" ht="13.6" thickBot="1" x14ac:dyDescent="0.25">
      <c r="D207" s="280">
        <v>11817.5</v>
      </c>
      <c r="E207" s="273" t="str">
        <f t="shared" si="168"/>
        <v>0.133652776261671i</v>
      </c>
      <c r="F207" s="579" t="str">
        <f t="shared" si="190"/>
        <v>0.002-0.207195903196882i</v>
      </c>
      <c r="G207" s="270" t="str">
        <f t="shared" si="191"/>
        <v>0.002-0.207195903196882i</v>
      </c>
      <c r="H207" s="271" t="str">
        <f t="shared" si="192"/>
        <v>0.0231720095429178-0.204590739734082i</v>
      </c>
      <c r="I207" s="271" t="str">
        <f t="shared" si="193"/>
        <v>0.0331720095429178-0.204590739734082i</v>
      </c>
      <c r="J207" s="270" t="str">
        <f t="shared" si="194"/>
        <v>0.00884121979646233-0.103536584502658i</v>
      </c>
      <c r="K207" s="271" t="str">
        <f t="shared" si="169"/>
        <v>0.996473490410596-0.0932808321200939i</v>
      </c>
      <c r="L207" s="580"/>
      <c r="M207" s="580" t="str">
        <f t="shared" si="170"/>
        <v>7.13430245276171-212.27945969996i</v>
      </c>
      <c r="N207" s="270" t="str">
        <f t="shared" si="171"/>
        <v>-1.31593982709539-159.20959477497i</v>
      </c>
      <c r="O207" s="581" t="str">
        <f t="shared" si="172"/>
        <v>-6.68297597945787-79.5439933131356i</v>
      </c>
      <c r="P207" s="582" t="str">
        <f t="shared" si="173"/>
        <v>-16.4956521763029-1.27135910600274i</v>
      </c>
      <c r="Q207" s="583" t="str">
        <f t="shared" si="174"/>
        <v>-16.4288224165084-0.475919172871381i</v>
      </c>
      <c r="R207" s="581" t="str">
        <f t="shared" si="195"/>
        <v>-0.56830495811344-9.50109147359953i</v>
      </c>
      <c r="S207" s="253" t="str">
        <f t="shared" si="196"/>
        <v>51.2746224028749-0.605566662038806i</v>
      </c>
      <c r="T207" s="253" t="str">
        <f t="shared" si="197"/>
        <v>19.1107693456121-2.48341629355825i</v>
      </c>
      <c r="U207" s="253" t="str">
        <f t="shared" si="198"/>
        <v>-0.0652490469177285-3.96743218335959i</v>
      </c>
      <c r="V207" s="582" t="str">
        <f t="shared" si="175"/>
        <v>6000</v>
      </c>
      <c r="W207" s="584" t="str">
        <f t="shared" si="176"/>
        <v>1+41587.1008554121i</v>
      </c>
      <c r="X207" s="585">
        <f t="shared" si="177"/>
        <v>41587.100867435052</v>
      </c>
      <c r="Y207" s="586">
        <f t="shared" si="178"/>
        <v>1.5707722808773106</v>
      </c>
      <c r="Z207" s="273" t="str">
        <f t="shared" si="179"/>
        <v>1+6.23712955887797i</v>
      </c>
      <c r="AA207" s="585">
        <f t="shared" si="180"/>
        <v>6.3167859813539122</v>
      </c>
      <c r="AB207" s="586">
        <f t="shared" si="181"/>
        <v>1.411819159214921</v>
      </c>
      <c r="AC207" s="584" t="str">
        <f t="shared" si="182"/>
        <v>1+0.301536881204144i</v>
      </c>
      <c r="AD207" s="585">
        <f t="shared" si="183"/>
        <v>1.0444733078094059</v>
      </c>
      <c r="AE207" s="586">
        <f t="shared" si="184"/>
        <v>0.29286618013753785</v>
      </c>
      <c r="AF207" s="580" t="str">
        <f t="shared" si="199"/>
        <v>0.784995327331992-0.380958910143414i</v>
      </c>
      <c r="AG207" s="270">
        <f t="shared" si="200"/>
        <v>0.87255220769345321</v>
      </c>
      <c r="AH207" s="581">
        <f t="shared" si="201"/>
        <v>-0.45181930179992935</v>
      </c>
      <c r="AI207" s="582" t="str">
        <f t="shared" si="185"/>
        <v>4000</v>
      </c>
      <c r="AJ207" s="584" t="str">
        <f t="shared" si="202"/>
        <v>1+3267.18221154942i</v>
      </c>
      <c r="AK207" s="585">
        <f t="shared" si="203"/>
        <v>3267.1823645864883</v>
      </c>
      <c r="AL207" s="586">
        <f t="shared" si="204"/>
        <v>1.5704902526600542</v>
      </c>
      <c r="AM207" s="273" t="str">
        <f t="shared" si="205"/>
        <v>1+0.114347375246096i</v>
      </c>
      <c r="AN207" s="585">
        <f t="shared" si="206"/>
        <v>1.0065164291881536</v>
      </c>
      <c r="AO207" s="586">
        <f t="shared" si="207"/>
        <v>0.11385287269644807</v>
      </c>
      <c r="AP207" s="584" t="str">
        <f t="shared" si="208"/>
        <v>1+0.000827276976079658i</v>
      </c>
      <c r="AQ207" s="585">
        <f t="shared" si="209"/>
        <v>1.0000003421935391</v>
      </c>
      <c r="AR207" s="586">
        <f t="shared" si="210"/>
        <v>8.2727678735381241E-4</v>
      </c>
      <c r="AS207" s="580" t="str">
        <f t="shared" si="211"/>
        <v>0.139356920347075-1.22436890080274i</v>
      </c>
      <c r="AT207" s="270">
        <f t="shared" si="212"/>
        <v>1.2322741401577537</v>
      </c>
      <c r="AU207" s="581">
        <f t="shared" si="213"/>
        <v>-1.4574646567509597</v>
      </c>
      <c r="AV207" s="580" t="str">
        <f t="shared" si="214"/>
        <v>-0.00377399716111742-0.237447129037918i</v>
      </c>
      <c r="AW207" s="270">
        <f t="shared" si="215"/>
        <v>-12.4875645615769</v>
      </c>
      <c r="AX207" s="581">
        <f t="shared" si="216"/>
        <v>-90.910585461457487</v>
      </c>
      <c r="AY207" s="299">
        <f t="shared" si="186"/>
        <v>89.089414538542513</v>
      </c>
      <c r="BB207" s="270">
        <f t="shared" si="165"/>
        <v>-38.185853305873138</v>
      </c>
      <c r="BC207" s="270">
        <f t="shared" si="166"/>
        <v>-83.506573621313194</v>
      </c>
      <c r="BD207" s="286"/>
      <c r="BE207" s="270">
        <f t="shared" si="217"/>
        <v>25.698288744296235</v>
      </c>
      <c r="BF207" s="581">
        <f t="shared" si="218"/>
        <v>-7.4040118401442987</v>
      </c>
      <c r="BI207" s="286"/>
      <c r="BJ207" s="286"/>
      <c r="BL207" s="253">
        <f t="shared" si="187"/>
        <v>0</v>
      </c>
      <c r="BM207" s="253">
        <f t="shared" si="167"/>
        <v>0</v>
      </c>
      <c r="BN207" s="253">
        <f t="shared" si="188"/>
        <v>0</v>
      </c>
      <c r="BO207" s="253">
        <f t="shared" si="189"/>
        <v>0</v>
      </c>
    </row>
    <row r="208" spans="4:67" ht="13.6" thickBot="1" x14ac:dyDescent="0.25">
      <c r="D208" s="280">
        <v>11886</v>
      </c>
      <c r="E208" s="273" t="str">
        <f t="shared" si="168"/>
        <v>0.134427493010046i</v>
      </c>
      <c r="F208" s="579" t="str">
        <f t="shared" si="190"/>
        <v>0.002-0.206001816088605i</v>
      </c>
      <c r="G208" s="270" t="str">
        <f t="shared" si="191"/>
        <v>0.002-0.206001816088605i</v>
      </c>
      <c r="H208" s="271" t="str">
        <f t="shared" si="192"/>
        <v>0.0229312073023544-0.203436444469441i</v>
      </c>
      <c r="I208" s="271" t="str">
        <f t="shared" si="193"/>
        <v>0.0329312073023544-0.203436444469441i</v>
      </c>
      <c r="J208" s="270" t="str">
        <f t="shared" si="194"/>
        <v>0.00877986407654559-0.102943740038866i</v>
      </c>
      <c r="K208" s="271" t="str">
        <f t="shared" si="169"/>
        <v>0.996432489179566-0.093821533368262i</v>
      </c>
      <c r="L208" s="580"/>
      <c r="M208" s="580" t="str">
        <f t="shared" si="170"/>
        <v>6.77700498022071-209.22748211589i</v>
      </c>
      <c r="N208" s="270" t="str">
        <f t="shared" si="171"/>
        <v>-1.58391293150114-156.920611586918i</v>
      </c>
      <c r="O208" s="581" t="str">
        <f t="shared" si="172"/>
        <v>-6.71794291208248-78.3865017750224i</v>
      </c>
      <c r="P208" s="582" t="str">
        <f t="shared" si="173"/>
        <v>-16.1679011861912-1.21468771947689i</v>
      </c>
      <c r="Q208" s="583" t="str">
        <f t="shared" si="174"/>
        <v>-16.1007217570704-0.430822701726668i</v>
      </c>
      <c r="R208" s="581" t="str">
        <f t="shared" si="195"/>
        <v>-0.576577312965155-9.36320874117104i</v>
      </c>
      <c r="S208" s="253" t="str">
        <f t="shared" si="196"/>
        <v>51.2794601438532-0.657022706972092i</v>
      </c>
      <c r="T208" s="253" t="str">
        <f t="shared" si="197"/>
        <v>19.1092605111084-2.51160959226264i</v>
      </c>
      <c r="U208" s="253" t="str">
        <f t="shared" si="198"/>
        <v>-0.0727545111703312-3.94511425504294i</v>
      </c>
      <c r="V208" s="582" t="str">
        <f t="shared" si="175"/>
        <v>6000</v>
      </c>
      <c r="W208" s="584" t="str">
        <f t="shared" si="176"/>
        <v>1+41828.1599972437i</v>
      </c>
      <c r="X208" s="585">
        <f t="shared" si="177"/>
        <v>41828.160009197367</v>
      </c>
      <c r="Y208" s="586">
        <f t="shared" si="178"/>
        <v>1.5707724194559203</v>
      </c>
      <c r="Z208" s="273" t="str">
        <f t="shared" si="179"/>
        <v>1+6.27328300713548i</v>
      </c>
      <c r="AA208" s="585">
        <f t="shared" si="180"/>
        <v>6.3524861029060711</v>
      </c>
      <c r="AB208" s="586">
        <f t="shared" si="181"/>
        <v>1.4127201283184492</v>
      </c>
      <c r="AC208" s="584" t="str">
        <f t="shared" si="182"/>
        <v>1+0.303284736195681i</v>
      </c>
      <c r="AD208" s="585">
        <f t="shared" si="183"/>
        <v>1.0449792491764054</v>
      </c>
      <c r="AE208" s="586">
        <f t="shared" si="184"/>
        <v>0.29446758289690883</v>
      </c>
      <c r="AF208" s="580" t="str">
        <f t="shared" si="199"/>
        <v>0.7842353418324-0.381269129188114i</v>
      </c>
      <c r="AG208" s="270">
        <f t="shared" si="200"/>
        <v>0.87200414004226146</v>
      </c>
      <c r="AH208" s="581">
        <f t="shared" si="201"/>
        <v>-0.45251987403438038</v>
      </c>
      <c r="AI208" s="582" t="str">
        <f t="shared" si="185"/>
        <v>4000</v>
      </c>
      <c r="AJ208" s="584" t="str">
        <f t="shared" si="202"/>
        <v>1+3286.12039487848i</v>
      </c>
      <c r="AK208" s="585">
        <f t="shared" si="203"/>
        <v>3286.1205470335831</v>
      </c>
      <c r="AL208" s="586">
        <f t="shared" si="204"/>
        <v>1.5704920165904712</v>
      </c>
      <c r="AM208" s="273" t="str">
        <f t="shared" si="205"/>
        <v>1+0.11501018846415i</v>
      </c>
      <c r="AN208" s="585">
        <f t="shared" si="206"/>
        <v>1.0065919448567822</v>
      </c>
      <c r="AO208" s="586">
        <f t="shared" si="207"/>
        <v>0.11450708223624328</v>
      </c>
      <c r="AP208" s="584" t="str">
        <f t="shared" si="208"/>
        <v>1+0.000832072277358393i</v>
      </c>
      <c r="AQ208" s="585">
        <f t="shared" si="209"/>
        <v>1.0000003461720774</v>
      </c>
      <c r="AR208" s="586">
        <f t="shared" si="210"/>
        <v>8.3207208533164691E-4</v>
      </c>
      <c r="AS208" s="580" t="str">
        <f t="shared" si="211"/>
        <v>0.13935261268908-1.21731409206411i</v>
      </c>
      <c r="AT208" s="270">
        <f t="shared" si="212"/>
        <v>1.2252643589859051</v>
      </c>
      <c r="AU208" s="581">
        <f t="shared" si="213"/>
        <v>-1.4568170064395602</v>
      </c>
      <c r="AV208" s="580" t="str">
        <f t="shared" si="214"/>
        <v>-0.00394492371645485-0.236119714678332i</v>
      </c>
      <c r="AW208" s="270">
        <f t="shared" si="215"/>
        <v>-12.53614291049653</v>
      </c>
      <c r="AX208" s="581">
        <f t="shared" si="216"/>
        <v>-90.957168920150494</v>
      </c>
      <c r="AY208" s="299">
        <f t="shared" si="186"/>
        <v>89.042831079849506</v>
      </c>
      <c r="BB208" s="270">
        <f t="shared" si="165"/>
        <v>-38.235403984969317</v>
      </c>
      <c r="BC208" s="270">
        <f t="shared" si="166"/>
        <v>-83.469465991869669</v>
      </c>
      <c r="BD208" s="286"/>
      <c r="BE208" s="270">
        <f t="shared" si="217"/>
        <v>25.699261074472794</v>
      </c>
      <c r="BF208" s="581">
        <f t="shared" si="218"/>
        <v>-7.4877029282808198</v>
      </c>
      <c r="BI208" s="286"/>
      <c r="BJ208" s="286"/>
      <c r="BL208" s="253">
        <f t="shared" si="187"/>
        <v>0</v>
      </c>
      <c r="BM208" s="253">
        <f t="shared" si="167"/>
        <v>0</v>
      </c>
      <c r="BN208" s="253">
        <f t="shared" si="188"/>
        <v>0</v>
      </c>
      <c r="BO208" s="253">
        <f t="shared" si="189"/>
        <v>0</v>
      </c>
    </row>
    <row r="209" spans="4:67" ht="13.6" thickBot="1" x14ac:dyDescent="0.25">
      <c r="D209" s="280">
        <v>11954.5</v>
      </c>
      <c r="E209" s="273" t="str">
        <f t="shared" si="168"/>
        <v>0.135202209758421i</v>
      </c>
      <c r="F209" s="579" t="str">
        <f t="shared" si="190"/>
        <v>0.002-0.204821413361425i</v>
      </c>
      <c r="G209" s="270" t="str">
        <f t="shared" si="191"/>
        <v>0.002-0.204821413361425i</v>
      </c>
      <c r="H209" s="271" t="str">
        <f t="shared" si="192"/>
        <v>0.0226944754519731-0.202294961131509i</v>
      </c>
      <c r="I209" s="271" t="str">
        <f t="shared" si="193"/>
        <v>0.0326944754519731-0.202294961131509i</v>
      </c>
      <c r="J209" s="270" t="str">
        <f t="shared" si="194"/>
        <v>0.00871955584619364-0.102357640053427i</v>
      </c>
      <c r="K209" s="271" t="str">
        <f t="shared" si="169"/>
        <v>0.996391250972198-0.0943622346164301i</v>
      </c>
      <c r="L209" s="580"/>
      <c r="M209" s="580" t="str">
        <f t="shared" si="170"/>
        <v>6.44010941458435-206.271133027455i</v>
      </c>
      <c r="N209" s="270" t="str">
        <f t="shared" si="171"/>
        <v>-1.83658460572841-154.703349770591i</v>
      </c>
      <c r="O209" s="581" t="str">
        <f t="shared" si="172"/>
        <v>-6.74857368628099-77.2656067593819i</v>
      </c>
      <c r="P209" s="582" t="str">
        <f t="shared" si="173"/>
        <v>-15.8510839929135-1.16095603191708i</v>
      </c>
      <c r="Q209" s="583" t="str">
        <f t="shared" si="174"/>
        <v>-15.7835982560508-0.388299964323262i</v>
      </c>
      <c r="R209" s="581" t="str">
        <f t="shared" si="195"/>
        <v>-0.584194486116212-9.22967024018636i</v>
      </c>
      <c r="S209" s="253" t="str">
        <f t="shared" si="196"/>
        <v>51.2841473529041-0.708232154790907i</v>
      </c>
      <c r="T209" s="253" t="str">
        <f t="shared" si="197"/>
        <v>19.1076910523795-2.53972743478003i</v>
      </c>
      <c r="U209" s="253" t="str">
        <f t="shared" si="198"/>
        <v>-0.0801350371713407-3.92302740067732i</v>
      </c>
      <c r="V209" s="582" t="str">
        <f t="shared" si="175"/>
        <v>6000</v>
      </c>
      <c r="W209" s="584" t="str">
        <f t="shared" si="176"/>
        <v>1+42069.2191390754i</v>
      </c>
      <c r="X209" s="585">
        <f t="shared" si="177"/>
        <v>42069.219150960584</v>
      </c>
      <c r="Y209" s="586">
        <f t="shared" si="178"/>
        <v>1.5707725564464026</v>
      </c>
      <c r="Z209" s="273" t="str">
        <f t="shared" si="179"/>
        <v>1+6.30943645539299i</v>
      </c>
      <c r="AA209" s="585">
        <f t="shared" si="180"/>
        <v>6.3881913234218377</v>
      </c>
      <c r="AB209" s="586">
        <f t="shared" si="181"/>
        <v>1.4136110266490638</v>
      </c>
      <c r="AC209" s="584" t="str">
        <f t="shared" si="182"/>
        <v>1+0.305032591187217i</v>
      </c>
      <c r="AD209" s="585">
        <f t="shared" si="183"/>
        <v>1.0454878677853645</v>
      </c>
      <c r="AE209" s="586">
        <f t="shared" si="184"/>
        <v>0.29606743162530258</v>
      </c>
      <c r="AF209" s="580" t="str">
        <f t="shared" si="199"/>
        <v>0.783472447464492-0.381585331579807i</v>
      </c>
      <c r="AG209" s="270">
        <f t="shared" si="200"/>
        <v>0.87145650563460264</v>
      </c>
      <c r="AH209" s="581">
        <f t="shared" si="201"/>
        <v>-0.45322896142264124</v>
      </c>
      <c r="AI209" s="582" t="str">
        <f t="shared" si="185"/>
        <v>4000</v>
      </c>
      <c r="AJ209" s="584" t="str">
        <f t="shared" si="202"/>
        <v>1+3305.05857820753i</v>
      </c>
      <c r="AK209" s="585">
        <f t="shared" si="203"/>
        <v>3305.0587294907755</v>
      </c>
      <c r="AL209" s="586">
        <f t="shared" si="204"/>
        <v>1.5704937603060367</v>
      </c>
      <c r="AM209" s="273" t="str">
        <f t="shared" si="205"/>
        <v>1+0.115673001682205i</v>
      </c>
      <c r="AN209" s="585">
        <f t="shared" si="206"/>
        <v>1.0066678912720775</v>
      </c>
      <c r="AO209" s="586">
        <f t="shared" si="207"/>
        <v>0.1151611933444165</v>
      </c>
      <c r="AP209" s="584" t="str">
        <f t="shared" si="208"/>
        <v>1+0.000836867578637129i</v>
      </c>
      <c r="AQ209" s="585">
        <f t="shared" si="209"/>
        <v>1.0000003501736108</v>
      </c>
      <c r="AR209" s="586">
        <f t="shared" si="210"/>
        <v>8.3686738327121569E-4</v>
      </c>
      <c r="AS209" s="580" t="str">
        <f t="shared" si="211"/>
        <v>0.139348378842786-1.21034013989288i</v>
      </c>
      <c r="AT209" s="270">
        <f t="shared" si="212"/>
        <v>1.2183354320227366</v>
      </c>
      <c r="AU209" s="581">
        <f t="shared" si="213"/>
        <v>-1.456169434344891</v>
      </c>
      <c r="AV209" s="580" t="str">
        <f t="shared" si="214"/>
        <v>-0.00411308287123555-0.234807123621061i</v>
      </c>
      <c r="AW209" s="270">
        <f t="shared" si="215"/>
        <v>-12.584442244359657</v>
      </c>
      <c r="AX209" s="581">
        <f t="shared" si="216"/>
        <v>-91.003539358390967</v>
      </c>
      <c r="AY209" s="299">
        <f t="shared" si="186"/>
        <v>88.996460641609033</v>
      </c>
      <c r="BB209" s="270">
        <f t="shared" si="165"/>
        <v>-38.284662506297735</v>
      </c>
      <c r="BC209" s="270">
        <f t="shared" si="166"/>
        <v>-83.432362843914674</v>
      </c>
      <c r="BD209" s="286"/>
      <c r="BE209" s="270">
        <f t="shared" si="217"/>
        <v>25.700220261938075</v>
      </c>
      <c r="BF209" s="581">
        <f t="shared" si="218"/>
        <v>-7.571176514476293</v>
      </c>
      <c r="BI209" s="286"/>
      <c r="BJ209" s="286"/>
      <c r="BL209" s="253">
        <f t="shared" si="187"/>
        <v>0</v>
      </c>
      <c r="BM209" s="253">
        <f t="shared" si="167"/>
        <v>0</v>
      </c>
      <c r="BN209" s="253">
        <f t="shared" si="188"/>
        <v>0</v>
      </c>
      <c r="BO209" s="253">
        <f t="shared" si="189"/>
        <v>0</v>
      </c>
    </row>
    <row r="210" spans="4:67" ht="13.6" thickBot="1" x14ac:dyDescent="0.25">
      <c r="D210" s="280">
        <v>12023</v>
      </c>
      <c r="E210" s="273" t="str">
        <f t="shared" si="168"/>
        <v>0.135976926506796i</v>
      </c>
      <c r="F210" s="579" t="str">
        <f t="shared" si="190"/>
        <v>0.002-0.203654461118619i</v>
      </c>
      <c r="G210" s="270" t="str">
        <f t="shared" si="191"/>
        <v>0.002-0.203654461118619i</v>
      </c>
      <c r="H210" s="271" t="str">
        <f t="shared" si="192"/>
        <v>0.0224617230840972-0.201166079983392i</v>
      </c>
      <c r="I210" s="271" t="str">
        <f t="shared" si="193"/>
        <v>0.0324617230840972-0.201166079983392i</v>
      </c>
      <c r="J210" s="270" t="str">
        <f t="shared" si="194"/>
        <v>0.00866027140141231-0.101778170472532i</v>
      </c>
      <c r="K210" s="271" t="str">
        <f t="shared" si="169"/>
        <v>0.99634977578849-0.0949029358645982i</v>
      </c>
      <c r="L210" s="580"/>
      <c r="M210" s="580" t="str">
        <f t="shared" si="170"/>
        <v>6.12220797930462-203.405915330181i</v>
      </c>
      <c r="N210" s="270" t="str">
        <f t="shared" si="171"/>
        <v>-2.0750106821882-152.554436497636i</v>
      </c>
      <c r="O210" s="581" t="str">
        <f t="shared" si="172"/>
        <v>-6.77523819779706-76.179571103267i</v>
      </c>
      <c r="P210" s="582" t="str">
        <f t="shared" si="173"/>
        <v>-15.544681599866-1.10997203261497i</v>
      </c>
      <c r="Q210" s="583" t="str">
        <f t="shared" si="174"/>
        <v>-15.476929217888-0.3481763215823i</v>
      </c>
      <c r="R210" s="581" t="str">
        <f t="shared" si="195"/>
        <v>-0.591207218982075-9.10027041193197i</v>
      </c>
      <c r="S210" s="253" t="str">
        <f t="shared" si="196"/>
        <v>51.2886869001177-0.759198709629981i</v>
      </c>
      <c r="T210" s="253" t="str">
        <f t="shared" si="197"/>
        <v>19.1060618109751-2.56777088270372i</v>
      </c>
      <c r="U210" s="253" t="str">
        <f t="shared" si="198"/>
        <v>-0.0873933331432337-3.90116811694494i</v>
      </c>
      <c r="V210" s="582" t="str">
        <f t="shared" si="175"/>
        <v>6000</v>
      </c>
      <c r="W210" s="584" t="str">
        <f t="shared" si="176"/>
        <v>1+42310.2782809071i</v>
      </c>
      <c r="X210" s="585">
        <f t="shared" si="177"/>
        <v>42310.278292724557</v>
      </c>
      <c r="Y210" s="586">
        <f t="shared" si="178"/>
        <v>1.570772691875902</v>
      </c>
      <c r="Z210" s="273" t="str">
        <f t="shared" si="179"/>
        <v>1+6.3455899036505i</v>
      </c>
      <c r="AA210" s="585">
        <f t="shared" si="180"/>
        <v>6.4239015578782936</v>
      </c>
      <c r="AB210" s="586">
        <f t="shared" si="181"/>
        <v>1.4144920207298086</v>
      </c>
      <c r="AC210" s="584" t="str">
        <f t="shared" si="182"/>
        <v>1+0.306780446178754i</v>
      </c>
      <c r="AD210" s="585">
        <f t="shared" si="183"/>
        <v>1.0459991597308458</v>
      </c>
      <c r="AE210" s="586">
        <f t="shared" si="184"/>
        <v>0.29766572040598749</v>
      </c>
      <c r="AF210" s="580" t="str">
        <f t="shared" si="199"/>
        <v>0.782706665475486-0.381907345740381i</v>
      </c>
      <c r="AG210" s="270">
        <f t="shared" si="200"/>
        <v>0.87090926330486185</v>
      </c>
      <c r="AH210" s="581">
        <f t="shared" si="201"/>
        <v>-0.45394639155207911</v>
      </c>
      <c r="AI210" s="582" t="str">
        <f t="shared" si="185"/>
        <v>4000</v>
      </c>
      <c r="AJ210" s="584" t="str">
        <f t="shared" si="202"/>
        <v>1+3323.99676153659i</v>
      </c>
      <c r="AK210" s="585">
        <f t="shared" si="203"/>
        <v>3323.9969119579123</v>
      </c>
      <c r="AL210" s="586">
        <f t="shared" si="204"/>
        <v>1.5704954841522676</v>
      </c>
      <c r="AM210" s="273" t="str">
        <f t="shared" si="205"/>
        <v>1+0.116335814900259i</v>
      </c>
      <c r="AN210" s="585">
        <f t="shared" si="206"/>
        <v>1.0067442683365559</v>
      </c>
      <c r="AO210" s="586">
        <f t="shared" si="207"/>
        <v>0.11581520548356801</v>
      </c>
      <c r="AP210" s="584" t="str">
        <f t="shared" si="208"/>
        <v>1+0.000841662879915864i</v>
      </c>
      <c r="AQ210" s="585">
        <f t="shared" si="209"/>
        <v>1.000000354198139</v>
      </c>
      <c r="AR210" s="586">
        <f t="shared" si="210"/>
        <v>8.4166268117229616E-4</v>
      </c>
      <c r="AS210" s="580" t="str">
        <f t="shared" si="211"/>
        <v>0.139344217130702-1.20344566226973i</v>
      </c>
      <c r="AT210" s="270">
        <f t="shared" si="212"/>
        <v>1.2114859771716704</v>
      </c>
      <c r="AU210" s="581">
        <f t="shared" si="213"/>
        <v>-1.4555219413498723</v>
      </c>
      <c r="AV210" s="580" t="str">
        <f t="shared" si="214"/>
        <v>-0.0042785350499118-0.233509112328967i</v>
      </c>
      <c r="AW210" s="270">
        <f t="shared" si="215"/>
        <v>-12.632465555484309</v>
      </c>
      <c r="AX210" s="581">
        <f t="shared" si="216"/>
        <v>-91.049700247580319</v>
      </c>
      <c r="AY210" s="299">
        <f t="shared" si="186"/>
        <v>88.950299752419681</v>
      </c>
      <c r="BB210" s="270">
        <f t="shared" si="165"/>
        <v>-38.333632168246538</v>
      </c>
      <c r="BC210" s="270">
        <f t="shared" si="166"/>
        <v>-83.395264228035828</v>
      </c>
      <c r="BD210" s="286"/>
      <c r="BE210" s="270">
        <f t="shared" si="217"/>
        <v>25.701166612762229</v>
      </c>
      <c r="BF210" s="581">
        <f t="shared" si="218"/>
        <v>-7.65443601954449</v>
      </c>
      <c r="BI210" s="286"/>
      <c r="BJ210" s="286"/>
      <c r="BL210" s="253">
        <f t="shared" si="187"/>
        <v>0</v>
      </c>
      <c r="BM210" s="253">
        <f t="shared" si="167"/>
        <v>0</v>
      </c>
      <c r="BN210" s="253">
        <f t="shared" si="188"/>
        <v>0</v>
      </c>
      <c r="BO210" s="253">
        <f t="shared" si="189"/>
        <v>0</v>
      </c>
    </row>
    <row r="211" spans="4:67" ht="13.6" thickBot="1" x14ac:dyDescent="0.25">
      <c r="D211" s="280">
        <v>12093</v>
      </c>
      <c r="E211" s="273" t="str">
        <f t="shared" si="168"/>
        <v>0.136768607855501i</v>
      </c>
      <c r="F211" s="579" t="str">
        <f t="shared" si="190"/>
        <v>0.002-0.202475612836282i</v>
      </c>
      <c r="G211" s="270" t="str">
        <f t="shared" si="191"/>
        <v>0.002-0.202475612836282i</v>
      </c>
      <c r="H211" s="271" t="str">
        <f t="shared" si="192"/>
        <v>0.022227893128727-0.200025284410222i</v>
      </c>
      <c r="I211" s="271" t="str">
        <f t="shared" si="193"/>
        <v>0.032227893128727-0.200025284410222i</v>
      </c>
      <c r="J211" s="270" t="str">
        <f t="shared" si="194"/>
        <v>0.00860072244594471-0.101192745518823i</v>
      </c>
      <c r="K211" s="271" t="str">
        <f t="shared" si="169"/>
        <v>0.996307147572031-0.0954554772860838i</v>
      </c>
      <c r="L211" s="580"/>
      <c r="M211" s="580" t="str">
        <f t="shared" si="170"/>
        <v>5.81562337698996-200.56771174511i</v>
      </c>
      <c r="N211" s="270" t="str">
        <f t="shared" si="171"/>
        <v>-2.3049491339242-150.425783808832i</v>
      </c>
      <c r="O211" s="581" t="str">
        <f t="shared" si="172"/>
        <v>-6.79873901145447-75.1040714588309i</v>
      </c>
      <c r="P211" s="582" t="str">
        <f t="shared" si="173"/>
        <v>-15.2418222881895-1.06052628411042i</v>
      </c>
      <c r="Q211" s="583" t="str">
        <f t="shared" si="174"/>
        <v>-15.173834898075-0.309485569522117i</v>
      </c>
      <c r="R211" s="581" t="str">
        <f t="shared" si="195"/>
        <v>-0.597797271771816-8.97211201497939i</v>
      </c>
      <c r="S211" s="253" t="str">
        <f t="shared" si="196"/>
        <v>51.2931762123945-0.811034170673256i</v>
      </c>
      <c r="T211" s="253" t="str">
        <f t="shared" si="197"/>
        <v>19.1043359843877-2.59635264753318i</v>
      </c>
      <c r="U211" s="253" t="str">
        <f t="shared" si="198"/>
        <v>-0.0946870381957942-3.87906168791944i</v>
      </c>
      <c r="V211" s="582" t="str">
        <f t="shared" si="175"/>
        <v>6000</v>
      </c>
      <c r="W211" s="584" t="str">
        <f t="shared" si="176"/>
        <v>1+42556.6160900781i</v>
      </c>
      <c r="X211" s="585">
        <f t="shared" si="177"/>
        <v>42556.616101827152</v>
      </c>
      <c r="Y211" s="586">
        <f t="shared" si="178"/>
        <v>1.5707728286859846</v>
      </c>
      <c r="Z211" s="273" t="str">
        <f t="shared" si="179"/>
        <v>1+6.38253503325671i</v>
      </c>
      <c r="AA211" s="585">
        <f t="shared" si="180"/>
        <v>6.4603988615834886</v>
      </c>
      <c r="AB211" s="586">
        <f t="shared" si="181"/>
        <v>1.4153822442057822</v>
      </c>
      <c r="AC211" s="584" t="str">
        <f t="shared" si="182"/>
        <v>1+0.308566575367185i</v>
      </c>
      <c r="AD211" s="585">
        <f t="shared" si="183"/>
        <v>1.0465244055605356</v>
      </c>
      <c r="AE211" s="586">
        <f t="shared" si="184"/>
        <v>0.29929739053849835</v>
      </c>
      <c r="AF211" s="580" t="str">
        <f t="shared" si="199"/>
        <v>0.781921153500912-0.382242240837514i</v>
      </c>
      <c r="AG211" s="270">
        <f t="shared" si="200"/>
        <v>0.87035040125956209</v>
      </c>
      <c r="AH211" s="581">
        <f t="shared" si="201"/>
        <v>-0.4546879750187009</v>
      </c>
      <c r="AI211" s="582" t="str">
        <f t="shared" si="185"/>
        <v>4000</v>
      </c>
      <c r="AJ211" s="584" t="str">
        <f t="shared" si="202"/>
        <v>1+3343.34964961008i</v>
      </c>
      <c r="AK211" s="585">
        <f t="shared" si="203"/>
        <v>3343.3497991606923</v>
      </c>
      <c r="AL211" s="586">
        <f t="shared" si="204"/>
        <v>1.5704972255715783</v>
      </c>
      <c r="AM211" s="273" t="str">
        <f t="shared" si="205"/>
        <v>1+0.117013142276373i</v>
      </c>
      <c r="AN211" s="585">
        <f t="shared" si="206"/>
        <v>1.0068227626873514</v>
      </c>
      <c r="AO211" s="586">
        <f t="shared" si="207"/>
        <v>0.11648343625416124</v>
      </c>
      <c r="AP211" s="584" t="str">
        <f t="shared" si="208"/>
        <v>1+0.000846563187791944i</v>
      </c>
      <c r="AQ211" s="585">
        <f t="shared" si="209"/>
        <v>1.0000003583345511</v>
      </c>
      <c r="AR211" s="586">
        <f t="shared" si="210"/>
        <v>8.4656298555676806E-4</v>
      </c>
      <c r="AS211" s="580" t="str">
        <f t="shared" si="211"/>
        <v>0.139340037111046-1.19648090936152i</v>
      </c>
      <c r="AT211" s="270">
        <f t="shared" si="212"/>
        <v>1.2045672303398751</v>
      </c>
      <c r="AU211" s="581">
        <f t="shared" si="213"/>
        <v>-1.4548603523029737</v>
      </c>
      <c r="AV211" s="580" t="str">
        <f t="shared" si="214"/>
        <v>-0.00444487491697216-0.232197491656088i</v>
      </c>
      <c r="AW211" s="270">
        <f t="shared" si="215"/>
        <v>-12.681258380446785</v>
      </c>
      <c r="AX211" s="581">
        <f t="shared" si="216"/>
        <v>-91.0966590152983</v>
      </c>
      <c r="AY211" s="299">
        <f t="shared" si="186"/>
        <v>88.9033409847017</v>
      </c>
      <c r="BB211" s="270">
        <f t="shared" si="165"/>
        <v>-38.383379115457984</v>
      </c>
      <c r="BC211" s="270">
        <f t="shared" si="166"/>
        <v>-83.357357967876453</v>
      </c>
      <c r="BD211" s="286"/>
      <c r="BE211" s="270">
        <f t="shared" si="217"/>
        <v>25.702120735011214</v>
      </c>
      <c r="BF211" s="581">
        <f t="shared" si="218"/>
        <v>-7.7393010474218675</v>
      </c>
      <c r="BI211" s="286"/>
      <c r="BJ211" s="286"/>
      <c r="BL211" s="253">
        <f t="shared" si="187"/>
        <v>0</v>
      </c>
      <c r="BM211" s="253">
        <f t="shared" si="167"/>
        <v>0</v>
      </c>
      <c r="BN211" s="253">
        <f t="shared" si="188"/>
        <v>0</v>
      </c>
      <c r="BO211" s="253">
        <f t="shared" si="189"/>
        <v>0</v>
      </c>
    </row>
    <row r="212" spans="4:67" ht="13.6" thickBot="1" x14ac:dyDescent="0.25">
      <c r="D212" s="280">
        <v>12163</v>
      </c>
      <c r="E212" s="273" t="str">
        <f t="shared" si="168"/>
        <v>0.137560289204206i</v>
      </c>
      <c r="F212" s="579" t="str">
        <f t="shared" si="190"/>
        <v>0.002-0.201310333472758i</v>
      </c>
      <c r="G212" s="270" t="str">
        <f t="shared" si="191"/>
        <v>0.002-0.201310333472758i</v>
      </c>
      <c r="H212" s="271" t="str">
        <f t="shared" si="192"/>
        <v>0.0219980348466105-0.198897220387013i</v>
      </c>
      <c r="I212" s="271" t="str">
        <f t="shared" si="193"/>
        <v>0.0319980348466105-0.198897220387013i</v>
      </c>
      <c r="J212" s="270" t="str">
        <f t="shared" si="194"/>
        <v>0.00854219465837063-0.100614011745995i</v>
      </c>
      <c r="K212" s="271" t="str">
        <f t="shared" si="169"/>
        <v>0.996264271887074-0.0960080187075695i</v>
      </c>
      <c r="L212" s="580"/>
      <c r="M212" s="580" t="str">
        <f t="shared" si="170"/>
        <v>5.52625772240456-197.81603988634i</v>
      </c>
      <c r="N212" s="270" t="str">
        <f t="shared" si="171"/>
        <v>-2.52197337486325-148.362029914755i</v>
      </c>
      <c r="O212" s="581" t="str">
        <f t="shared" si="172"/>
        <v>-6.81877568244002-74.0616422765154i</v>
      </c>
      <c r="P212" s="582" t="str">
        <f t="shared" si="173"/>
        <v>-14.9488422079941-1.01359148068127i</v>
      </c>
      <c r="Q212" s="583" t="str">
        <f t="shared" si="174"/>
        <v>-14.8806544511697-0.27297505791611i</v>
      </c>
      <c r="R212" s="581" t="str">
        <f t="shared" si="195"/>
        <v>-0.603849661530003-8.84788109593857i</v>
      </c>
      <c r="S212" s="253" t="str">
        <f t="shared" si="196"/>
        <v>51.297517142452-0.862623578657687i</v>
      </c>
      <c r="T212" s="253" t="str">
        <f t="shared" si="197"/>
        <v>19.1025494343429-2.62485889915614i</v>
      </c>
      <c r="U212" s="253" t="str">
        <f t="shared" si="198"/>
        <v>-0.101858590834496-3.85718572232737i</v>
      </c>
      <c r="V212" s="582" t="str">
        <f t="shared" si="175"/>
        <v>6000</v>
      </c>
      <c r="W212" s="584" t="str">
        <f t="shared" si="176"/>
        <v>1+42802.9538992491i</v>
      </c>
      <c r="X212" s="585">
        <f t="shared" si="177"/>
        <v>42802.953910930533</v>
      </c>
      <c r="Y212" s="586">
        <f t="shared" si="178"/>
        <v>1.5707729639213395</v>
      </c>
      <c r="Z212" s="273" t="str">
        <f t="shared" si="179"/>
        <v>1+6.41948016286293i</v>
      </c>
      <c r="AA212" s="585">
        <f t="shared" si="180"/>
        <v>6.4969012276154148</v>
      </c>
      <c r="AB212" s="586">
        <f t="shared" si="181"/>
        <v>1.4162624650613775</v>
      </c>
      <c r="AC212" s="584" t="str">
        <f t="shared" si="182"/>
        <v>1+0.310352704555617i</v>
      </c>
      <c r="AD212" s="585">
        <f t="shared" si="183"/>
        <v>1.0470524348020904</v>
      </c>
      <c r="AE212" s="586">
        <f t="shared" si="184"/>
        <v>0.30092741930240158</v>
      </c>
      <c r="AF212" s="580" t="str">
        <f t="shared" si="199"/>
        <v>0.781132670961498-0.382582854908498i</v>
      </c>
      <c r="AG212" s="270">
        <f t="shared" si="200"/>
        <v>0.86979186620327786</v>
      </c>
      <c r="AH212" s="581">
        <f t="shared" si="201"/>
        <v>-0.45543791816236168</v>
      </c>
      <c r="AI212" s="582" t="str">
        <f t="shared" si="185"/>
        <v>4000</v>
      </c>
      <c r="AJ212" s="584" t="str">
        <f t="shared" si="202"/>
        <v>1+3362.70253768357i</v>
      </c>
      <c r="AK212" s="585">
        <f t="shared" si="203"/>
        <v>3362.702686373495</v>
      </c>
      <c r="AL212" s="586">
        <f t="shared" si="204"/>
        <v>1.5704989469466004</v>
      </c>
      <c r="AM212" s="273" t="str">
        <f t="shared" si="205"/>
        <v>1+0.117690469652487i</v>
      </c>
      <c r="AN212" s="585">
        <f t="shared" si="206"/>
        <v>1.0069017065468819</v>
      </c>
      <c r="AO212" s="586">
        <f t="shared" si="207"/>
        <v>0.11715156254079981</v>
      </c>
      <c r="AP212" s="584" t="str">
        <f t="shared" si="208"/>
        <v>1+0.000851463495668024i</v>
      </c>
      <c r="AQ212" s="585">
        <f t="shared" si="209"/>
        <v>1.0000003624949765</v>
      </c>
      <c r="AR212" s="586">
        <f t="shared" si="210"/>
        <v>8.5146328990058293E-4</v>
      </c>
      <c r="AS212" s="580" t="str">
        <f t="shared" si="211"/>
        <v>0.139335929027071-1.18959633079307i</v>
      </c>
      <c r="AT212" s="270">
        <f t="shared" si="212"/>
        <v>1.1977286551444664</v>
      </c>
      <c r="AU212" s="581">
        <f t="shared" si="213"/>
        <v>-1.4541988476957013</v>
      </c>
      <c r="AV212" s="580" t="str">
        <f t="shared" si="214"/>
        <v>-0.00460851043065963-0.230900598691664i</v>
      </c>
      <c r="AW212" s="270">
        <f t="shared" si="215"/>
        <v>-12.729769128065673</v>
      </c>
      <c r="AX212" s="581">
        <f t="shared" si="216"/>
        <v>-91.143406061705448</v>
      </c>
      <c r="AY212" s="299">
        <f t="shared" si="186"/>
        <v>88.856593938294552</v>
      </c>
      <c r="BB212" s="270">
        <f t="shared" si="165"/>
        <v>-38.432831200222054</v>
      </c>
      <c r="BC212" s="270">
        <f t="shared" si="166"/>
        <v>-83.319456545751279</v>
      </c>
      <c r="BD212" s="286"/>
      <c r="BE212" s="270">
        <f t="shared" si="217"/>
        <v>25.703062072156406</v>
      </c>
      <c r="BF212" s="581">
        <f t="shared" si="218"/>
        <v>-7.8239495159541619</v>
      </c>
      <c r="BI212" s="286"/>
      <c r="BJ212" s="286"/>
      <c r="BL212" s="253">
        <f t="shared" si="187"/>
        <v>0</v>
      </c>
      <c r="BM212" s="253">
        <f t="shared" si="167"/>
        <v>0</v>
      </c>
      <c r="BN212" s="253">
        <f t="shared" si="188"/>
        <v>0</v>
      </c>
      <c r="BO212" s="253">
        <f t="shared" si="189"/>
        <v>0</v>
      </c>
    </row>
    <row r="213" spans="4:67" ht="13.6" thickBot="1" x14ac:dyDescent="0.25">
      <c r="D213" s="280">
        <v>12233</v>
      </c>
      <c r="E213" s="273" t="str">
        <f t="shared" si="168"/>
        <v>0.13835197055291i</v>
      </c>
      <c r="F213" s="579" t="str">
        <f t="shared" si="190"/>
        <v>0.002-0.200158390094757i</v>
      </c>
      <c r="G213" s="270" t="str">
        <f t="shared" si="191"/>
        <v>0.002-0.200158390094757i</v>
      </c>
      <c r="H213" s="271" t="str">
        <f t="shared" si="192"/>
        <v>0.0217720590970374-0.197781678267534i</v>
      </c>
      <c r="I213" s="271" t="str">
        <f t="shared" si="193"/>
        <v>0.0317720590970374-0.197781678267534i</v>
      </c>
      <c r="J213" s="270" t="str">
        <f t="shared" si="194"/>
        <v>0.00848466482635641-0.100041855447853i</v>
      </c>
      <c r="K213" s="271" t="str">
        <f t="shared" si="169"/>
        <v>0.996221148733618-0.0965605601290551i</v>
      </c>
      <c r="L213" s="580"/>
      <c r="M213" s="580" t="str">
        <f t="shared" si="170"/>
        <v>5.25294711122001-195.146929527558i</v>
      </c>
      <c r="N213" s="270" t="str">
        <f t="shared" si="171"/>
        <v>-2.72695633325166-146.360197145669i</v>
      </c>
      <c r="O213" s="581" t="str">
        <f t="shared" si="172"/>
        <v>-6.83564523787985-73.0507527226163i</v>
      </c>
      <c r="P213" s="582" t="str">
        <f t="shared" si="173"/>
        <v>-14.66528299665-0.969007445396678i</v>
      </c>
      <c r="Q213" s="583" t="str">
        <f t="shared" si="174"/>
        <v>-14.5969265442712-0.238499918170514i</v>
      </c>
      <c r="R213" s="581" t="str">
        <f t="shared" si="195"/>
        <v>-0.609405651818252-8.7273963986429i</v>
      </c>
      <c r="S213" s="253" t="str">
        <f t="shared" si="196"/>
        <v>51.3017125124794-0.913970659977019i</v>
      </c>
      <c r="T213" s="253" t="str">
        <f t="shared" si="197"/>
        <v>19.1007029887164-2.65329070433798i</v>
      </c>
      <c r="U213" s="253" t="str">
        <f t="shared" si="198"/>
        <v>-0.108910654170319-3.83553669521451i</v>
      </c>
      <c r="V213" s="582" t="str">
        <f t="shared" si="175"/>
        <v>6000</v>
      </c>
      <c r="W213" s="584" t="str">
        <f t="shared" si="176"/>
        <v>1+43049.2917084202i</v>
      </c>
      <c r="X213" s="585">
        <f t="shared" si="177"/>
        <v>43049.291720034787</v>
      </c>
      <c r="Y213" s="586">
        <f t="shared" si="178"/>
        <v>1.5707730976089997</v>
      </c>
      <c r="Z213" s="273" t="str">
        <f t="shared" si="179"/>
        <v>1+6.45642529246915i</v>
      </c>
      <c r="AA213" s="585">
        <f t="shared" si="180"/>
        <v>6.5334085711239078</v>
      </c>
      <c r="AB213" s="586">
        <f t="shared" si="181"/>
        <v>1.4171328495988214</v>
      </c>
      <c r="AC213" s="584" t="str">
        <f t="shared" si="182"/>
        <v>1+0.312138833744049i</v>
      </c>
      <c r="AD213" s="585">
        <f t="shared" si="183"/>
        <v>1.0475832432466143</v>
      </c>
      <c r="AE213" s="586">
        <f t="shared" si="184"/>
        <v>0.3025558005242866</v>
      </c>
      <c r="AF213" s="580" t="str">
        <f t="shared" si="199"/>
        <v>0.780341240573184-0.382929016953685i</v>
      </c>
      <c r="AG213" s="270">
        <f t="shared" si="200"/>
        <v>0.86923361863449078</v>
      </c>
      <c r="AH213" s="581">
        <f t="shared" si="201"/>
        <v>-0.45619604853446521</v>
      </c>
      <c r="AI213" s="582" t="str">
        <f t="shared" si="185"/>
        <v>4000</v>
      </c>
      <c r="AJ213" s="584" t="str">
        <f t="shared" si="202"/>
        <v>1+3382.05542575706i</v>
      </c>
      <c r="AK213" s="585">
        <f t="shared" si="203"/>
        <v>3382.055573596148</v>
      </c>
      <c r="AL213" s="586">
        <f t="shared" si="204"/>
        <v>1.5705006486214279</v>
      </c>
      <c r="AM213" s="273" t="str">
        <f t="shared" si="205"/>
        <v>1+0.118367797028601i</v>
      </c>
      <c r="AN213" s="585">
        <f t="shared" si="206"/>
        <v>1.0069810998094275</v>
      </c>
      <c r="AO213" s="586">
        <f t="shared" si="207"/>
        <v>0.11781958377163428</v>
      </c>
      <c r="AP213" s="584" t="str">
        <f t="shared" si="208"/>
        <v>1+0.000856363803544104i</v>
      </c>
      <c r="AQ213" s="585">
        <f t="shared" si="209"/>
        <v>1.0000003666794148</v>
      </c>
      <c r="AR213" s="586">
        <f t="shared" si="210"/>
        <v>8.5636359420350559E-4</v>
      </c>
      <c r="AS213" s="580" t="str">
        <f t="shared" si="211"/>
        <v>0.139331891236816-1.1827905502376i</v>
      </c>
      <c r="AT213" s="270">
        <f t="shared" si="212"/>
        <v>1.1909688751797807</v>
      </c>
      <c r="AU213" s="581">
        <f t="shared" si="213"/>
        <v>-1.4535374284439977</v>
      </c>
      <c r="AV213" s="580" t="str">
        <f t="shared" si="214"/>
        <v>-0.00476950100753669-0.229618190097853i</v>
      </c>
      <c r="AW213" s="270">
        <f t="shared" si="215"/>
        <v>-12.778000840022063</v>
      </c>
      <c r="AX213" s="581">
        <f t="shared" si="216"/>
        <v>-91.189944868064529</v>
      </c>
      <c r="AY213" s="299">
        <f t="shared" si="186"/>
        <v>88.810055131935471</v>
      </c>
      <c r="BB213" s="270">
        <f t="shared" si="165"/>
        <v>-38.481991764707189</v>
      </c>
      <c r="BC213" s="270">
        <f t="shared" si="166"/>
        <v>-83.28156001413997</v>
      </c>
      <c r="BD213" s="286"/>
      <c r="BE213" s="270">
        <f t="shared" si="217"/>
        <v>25.703990924685129</v>
      </c>
      <c r="BF213" s="581">
        <f t="shared" si="218"/>
        <v>-7.9083848539245674</v>
      </c>
      <c r="BI213" s="286"/>
      <c r="BJ213" s="286"/>
      <c r="BL213" s="253">
        <f t="shared" si="187"/>
        <v>0</v>
      </c>
      <c r="BM213" s="253">
        <f t="shared" si="167"/>
        <v>0</v>
      </c>
      <c r="BN213" s="253">
        <f t="shared" si="188"/>
        <v>0</v>
      </c>
      <c r="BO213" s="253">
        <f t="shared" si="189"/>
        <v>0</v>
      </c>
    </row>
    <row r="214" spans="4:67" ht="13.6" thickBot="1" x14ac:dyDescent="0.25">
      <c r="D214" s="280">
        <v>12303</v>
      </c>
      <c r="E214" s="273" t="str">
        <f t="shared" si="168"/>
        <v>0.139143651901615i</v>
      </c>
      <c r="F214" s="579" t="str">
        <f t="shared" si="190"/>
        <v>0.002-0.19901955507024i</v>
      </c>
      <c r="G214" s="270" t="str">
        <f t="shared" si="191"/>
        <v>0.002-0.19901955507024i</v>
      </c>
      <c r="H214" s="271" t="str">
        <f t="shared" si="192"/>
        <v>0.0215498792178412-0.196678452930434i</v>
      </c>
      <c r="I214" s="271" t="str">
        <f t="shared" si="193"/>
        <v>0.0315498792178412-0.196678452930434i</v>
      </c>
      <c r="J214" s="270" t="str">
        <f t="shared" si="194"/>
        <v>0.00842811039276479-0.0994761654734621i</v>
      </c>
      <c r="K214" s="271" t="str">
        <f t="shared" si="169"/>
        <v>0.996177778111664-0.0971131015505408i</v>
      </c>
      <c r="L214" s="580"/>
      <c r="M214" s="580" t="str">
        <f t="shared" si="170"/>
        <v>4.99462087658066-192.556649120251i</v>
      </c>
      <c r="N214" s="270" t="str">
        <f t="shared" si="171"/>
        <v>-2.92070100923118-144.417486840188i</v>
      </c>
      <c r="O214" s="581" t="str">
        <f t="shared" si="172"/>
        <v>-6.84961814767374-72.0699648195438i</v>
      </c>
      <c r="P214" s="582" t="str">
        <f t="shared" si="173"/>
        <v>-14.3907138087061-0.926626384841972i</v>
      </c>
      <c r="Q214" s="583" t="str">
        <f t="shared" si="174"/>
        <v>-14.3222176272294-0.205926736646537i</v>
      </c>
      <c r="R214" s="581" t="str">
        <f t="shared" si="195"/>
        <v>-0.614502984484802-8.61048762820222i</v>
      </c>
      <c r="S214" s="253" t="str">
        <f t="shared" si="196"/>
        <v>51.305765068694-0.965079068187389i</v>
      </c>
      <c r="T214" s="253" t="str">
        <f t="shared" si="197"/>
        <v>19.098797453227-2.68164910858081i</v>
      </c>
      <c r="U214" s="253" t="str">
        <f t="shared" si="198"/>
        <v>-0.115845819654896-3.81411115032696i</v>
      </c>
      <c r="V214" s="582" t="str">
        <f t="shared" si="175"/>
        <v>6000</v>
      </c>
      <c r="W214" s="584" t="str">
        <f t="shared" si="176"/>
        <v>1+43295.6295175913i</v>
      </c>
      <c r="X214" s="585">
        <f t="shared" si="177"/>
        <v>43295.629529139806</v>
      </c>
      <c r="Y214" s="586">
        <f t="shared" si="178"/>
        <v>1.5707732297753829</v>
      </c>
      <c r="Z214" s="273" t="str">
        <f t="shared" si="179"/>
        <v>1+6.49337042207537i</v>
      </c>
      <c r="AA214" s="585">
        <f t="shared" si="180"/>
        <v>6.5699208091333388</v>
      </c>
      <c r="AB214" s="586">
        <f t="shared" si="181"/>
        <v>1.417993560483825</v>
      </c>
      <c r="AC214" s="584" t="str">
        <f t="shared" si="182"/>
        <v>1+0.31392496293248i</v>
      </c>
      <c r="AD214" s="585">
        <f t="shared" si="183"/>
        <v>1.0481168266716068</v>
      </c>
      <c r="AE214" s="586">
        <f t="shared" si="184"/>
        <v>0.30418252807816482</v>
      </c>
      <c r="AF214" s="580" t="str">
        <f t="shared" si="199"/>
        <v>0.779546885063352-0.383280559830139i</v>
      </c>
      <c r="AG214" s="270">
        <f t="shared" si="200"/>
        <v>0.86867562044510027</v>
      </c>
      <c r="AH214" s="581">
        <f t="shared" si="201"/>
        <v>-0.45696219736972316</v>
      </c>
      <c r="AI214" s="582" t="str">
        <f t="shared" si="185"/>
        <v>4000</v>
      </c>
      <c r="AJ214" s="584" t="str">
        <f t="shared" si="202"/>
        <v>1+3401.40831383055i</v>
      </c>
      <c r="AK214" s="585">
        <f t="shared" si="203"/>
        <v>3401.4084608284825</v>
      </c>
      <c r="AL214" s="586">
        <f t="shared" si="204"/>
        <v>1.5705023309323232</v>
      </c>
      <c r="AM214" s="273" t="str">
        <f t="shared" si="205"/>
        <v>1+0.119045124404715i</v>
      </c>
      <c r="AN214" s="585">
        <f t="shared" si="206"/>
        <v>1.0070609423687</v>
      </c>
      <c r="AO214" s="586">
        <f t="shared" si="207"/>
        <v>0.11848749937537011</v>
      </c>
      <c r="AP214" s="584" t="str">
        <f t="shared" si="208"/>
        <v>1+0.000861264111420185i</v>
      </c>
      <c r="AQ214" s="585">
        <f t="shared" si="209"/>
        <v>1.000000370887866</v>
      </c>
      <c r="AR214" s="586">
        <f t="shared" si="210"/>
        <v>8.6126389846530131E-4</v>
      </c>
      <c r="AS214" s="580" t="str">
        <f t="shared" si="211"/>
        <v>0.139327922144897-1.17606222269168i</v>
      </c>
      <c r="AT214" s="270">
        <f t="shared" si="212"/>
        <v>1.1842865453646381</v>
      </c>
      <c r="AU214" s="581">
        <f t="shared" si="213"/>
        <v>-1.4528760954554183</v>
      </c>
      <c r="AV214" s="580" t="str">
        <f t="shared" si="214"/>
        <v>-0.00492790446492341-0.228350027818006i</v>
      </c>
      <c r="AW214" s="270">
        <f t="shared" si="215"/>
        <v>-12.825956509067233</v>
      </c>
      <c r="AX214" s="581">
        <f t="shared" si="216"/>
        <v>-91.236278844153205</v>
      </c>
      <c r="AY214" s="299">
        <f t="shared" si="186"/>
        <v>88.763721155846795</v>
      </c>
      <c r="BB214" s="270">
        <f t="shared" ref="BB214:BB277" si="219">20*LOG10(IMABS(IMPRODUCT(COMPLEX($B$15,0),AS214)))</f>
        <v>-38.530864093911632</v>
      </c>
      <c r="BC214" s="270">
        <f t="shared" ref="BC214:BC277" si="220">180/PI()*IMARGUMENT(IMPRODUCT(COMPLEX($B$15,0),AS214))</f>
        <v>-83.243668425041591</v>
      </c>
      <c r="BD214" s="286"/>
      <c r="BE214" s="270">
        <f t="shared" si="217"/>
        <v>25.70490758484441</v>
      </c>
      <c r="BF214" s="581">
        <f t="shared" si="218"/>
        <v>-7.9926104191116201</v>
      </c>
      <c r="BI214" s="286"/>
      <c r="BJ214" s="286"/>
      <c r="BL214" s="253">
        <f t="shared" si="187"/>
        <v>0</v>
      </c>
      <c r="BM214" s="253">
        <f t="shared" si="167"/>
        <v>0</v>
      </c>
      <c r="BN214" s="253">
        <f t="shared" si="188"/>
        <v>0</v>
      </c>
      <c r="BO214" s="253">
        <f t="shared" si="189"/>
        <v>0</v>
      </c>
    </row>
    <row r="215" spans="4:67" ht="13.6" thickBot="1" x14ac:dyDescent="0.25">
      <c r="D215" s="280">
        <v>12374.5</v>
      </c>
      <c r="E215" s="273" t="str">
        <f t="shared" si="168"/>
        <v>0.139952297850649i</v>
      </c>
      <c r="F215" s="579" t="str">
        <f t="shared" si="190"/>
        <v>0.002-0.197869617845501i</v>
      </c>
      <c r="G215" s="270" t="str">
        <f t="shared" si="191"/>
        <v>0.002-0.197869617845501i</v>
      </c>
      <c r="H215" s="271" t="str">
        <f t="shared" si="192"/>
        <v>0.0213267694913743-0.195564093887045i</v>
      </c>
      <c r="I215" s="271" t="str">
        <f t="shared" si="193"/>
        <v>0.0313267694913743-0.195564093887045i</v>
      </c>
      <c r="J215" s="270" t="str">
        <f t="shared" si="194"/>
        <v>0.00837132826094972-0.0989049162530592i</v>
      </c>
      <c r="K215" s="271" t="str">
        <f t="shared" si="169"/>
        <v>0.99613322263958-0.097677483145344i</v>
      </c>
      <c r="L215" s="580"/>
      <c r="M215" s="580" t="str">
        <f t="shared" si="170"/>
        <v>4.7452036972016-189.988595791263i</v>
      </c>
      <c r="N215" s="270" t="str">
        <f t="shared" si="171"/>
        <v>-3.10776389376547-142.491446843447i</v>
      </c>
      <c r="O215" s="581" t="str">
        <f t="shared" si="172"/>
        <v>-6.86115627586061-71.0978308496308i</v>
      </c>
      <c r="P215" s="582" t="str">
        <f t="shared" si="173"/>
        <v>-14.1191207285406-0.885469548257007i</v>
      </c>
      <c r="Q215" s="583" t="str">
        <f t="shared" si="174"/>
        <v>-14.050509165782-0.174491239760704i</v>
      </c>
      <c r="R215" s="581" t="str">
        <f t="shared" si="195"/>
        <v>-0.619271957167778-8.49459890185884i</v>
      </c>
      <c r="S215" s="253" t="str">
        <f t="shared" si="196"/>
        <v>51.3097598068453-1.01703998142257i</v>
      </c>
      <c r="T215" s="253" t="str">
        <f t="shared" si="197"/>
        <v>19.0967908974104-2.71054048115077i</v>
      </c>
      <c r="U215" s="253" t="str">
        <f t="shared" si="198"/>
        <v>-0.122811535646359-3.79245368004096i</v>
      </c>
      <c r="V215" s="582" t="str">
        <f t="shared" si="175"/>
        <v>6000</v>
      </c>
      <c r="W215" s="584" t="str">
        <f t="shared" si="176"/>
        <v>1+43547.2459941017i</v>
      </c>
      <c r="X215" s="585">
        <f t="shared" si="177"/>
        <v>43547.246005583482</v>
      </c>
      <c r="Y215" s="586">
        <f t="shared" si="178"/>
        <v>1.5707733632302212</v>
      </c>
      <c r="Z215" s="273" t="str">
        <f t="shared" si="179"/>
        <v>1+6.53110723303028i</v>
      </c>
      <c r="AA215" s="585">
        <f t="shared" si="180"/>
        <v>6.6072204208229977</v>
      </c>
      <c r="AB215" s="586">
        <f t="shared" si="181"/>
        <v>1.4188628937939551</v>
      </c>
      <c r="AC215" s="584" t="str">
        <f t="shared" si="182"/>
        <v>1+0.315749366317807i</v>
      </c>
      <c r="AD215" s="585">
        <f t="shared" si="183"/>
        <v>1.0486647044361208</v>
      </c>
      <c r="AE215" s="586">
        <f t="shared" si="184"/>
        <v>0.30584240055845741</v>
      </c>
      <c r="AF215" s="580" t="str">
        <f t="shared" si="199"/>
        <v>0.778732511476062-0.383645020925449i</v>
      </c>
      <c r="AG215" s="270">
        <f t="shared" si="200"/>
        <v>0.86810588438893987</v>
      </c>
      <c r="AH215" s="581">
        <f t="shared" si="201"/>
        <v>-0.45775286999472337</v>
      </c>
      <c r="AI215" s="582" t="str">
        <f t="shared" si="185"/>
        <v>4000</v>
      </c>
      <c r="AJ215" s="584" t="str">
        <f t="shared" si="202"/>
        <v>1+3421.17590664847i</v>
      </c>
      <c r="AK215" s="585">
        <f t="shared" si="203"/>
        <v>3421.1760527970469</v>
      </c>
      <c r="AL215" s="586">
        <f t="shared" si="204"/>
        <v>1.5705040296436226</v>
      </c>
      <c r="AM215" s="273" t="str">
        <f t="shared" si="205"/>
        <v>1+0.119736965938889i</v>
      </c>
      <c r="AN215" s="585">
        <f t="shared" si="206"/>
        <v>1.0071429595704131</v>
      </c>
      <c r="AO215" s="586">
        <f t="shared" si="207"/>
        <v>0.1191696178164041</v>
      </c>
      <c r="AP215" s="584" t="str">
        <f t="shared" si="208"/>
        <v>1+0.000866269425893609i</v>
      </c>
      <c r="AQ215" s="585">
        <f t="shared" si="209"/>
        <v>1.0000003752112887</v>
      </c>
      <c r="AR215" s="586">
        <f t="shared" si="210"/>
        <v>8.6626920920428749E-4</v>
      </c>
      <c r="AS215" s="580" t="str">
        <f t="shared" si="211"/>
        <v>0.139323937311518-1.16926831040165i</v>
      </c>
      <c r="AT215" s="270">
        <f t="shared" si="212"/>
        <v>1.1775396134387637</v>
      </c>
      <c r="AU215" s="581">
        <f t="shared" si="213"/>
        <v>-1.4522006810364225</v>
      </c>
      <c r="AV215" s="580" t="str">
        <f t="shared" si="214"/>
        <v>-0.00508708990828462-0.227069155987848i</v>
      </c>
      <c r="AW215" s="270">
        <f t="shared" si="215"/>
        <v>-12.874657882132478</v>
      </c>
      <c r="AX215" s="581">
        <f t="shared" si="216"/>
        <v>-91.283397702489722</v>
      </c>
      <c r="AY215" s="299">
        <f t="shared" si="186"/>
        <v>88.716602297510278</v>
      </c>
      <c r="BB215" s="270">
        <f t="shared" si="219"/>
        <v>-38.580489478317048</v>
      </c>
      <c r="BC215" s="270">
        <f t="shared" si="220"/>
        <v>-83.204970029410859</v>
      </c>
      <c r="BD215" s="286"/>
      <c r="BE215" s="270">
        <f t="shared" si="217"/>
        <v>25.705831596184588</v>
      </c>
      <c r="BF215" s="581">
        <f t="shared" si="218"/>
        <v>-8.0784276730788687</v>
      </c>
      <c r="BI215" s="286"/>
      <c r="BJ215" s="286"/>
      <c r="BL215" s="253">
        <f t="shared" si="187"/>
        <v>0</v>
      </c>
      <c r="BM215" s="253">
        <f t="shared" si="167"/>
        <v>0</v>
      </c>
      <c r="BN215" s="253">
        <f t="shared" si="188"/>
        <v>0</v>
      </c>
      <c r="BO215" s="253">
        <f t="shared" si="189"/>
        <v>0</v>
      </c>
    </row>
    <row r="216" spans="4:67" ht="13.6" thickBot="1" x14ac:dyDescent="0.25">
      <c r="D216" s="280">
        <v>12446</v>
      </c>
      <c r="E216" s="273" t="str">
        <f t="shared" si="168"/>
        <v>0.140760943799683i</v>
      </c>
      <c r="F216" s="579" t="str">
        <f t="shared" si="190"/>
        <v>0.002-0.196732892980006i</v>
      </c>
      <c r="G216" s="270" t="str">
        <f t="shared" si="191"/>
        <v>0.002-0.196732892980006i</v>
      </c>
      <c r="H216" s="271" t="str">
        <f t="shared" si="192"/>
        <v>0.0211074448474953-0.194462166469405i</v>
      </c>
      <c r="I216" s="271" t="str">
        <f t="shared" si="193"/>
        <v>0.0311074448474953-0.194462166469405i</v>
      </c>
      <c r="J216" s="270" t="str">
        <f t="shared" si="194"/>
        <v>0.00831551820197169-0.0983401868862704i</v>
      </c>
      <c r="K216" s="271" t="str">
        <f t="shared" si="169"/>
        <v>0.996088408979571-0.0982418647401471i</v>
      </c>
      <c r="L216" s="580"/>
      <c r="M216" s="580" t="str">
        <f t="shared" si="170"/>
        <v>4.50942329941901-187.495605122467i</v>
      </c>
      <c r="N216" s="270" t="str">
        <f t="shared" si="171"/>
        <v>-3.28459919210241-140.62170384185i</v>
      </c>
      <c r="O216" s="581" t="str">
        <f t="shared" si="172"/>
        <v>-6.87016892231706-70.1543370995191i</v>
      </c>
      <c r="P216" s="582" t="str">
        <f t="shared" si="173"/>
        <v>-13.8560777804414-0.846334239491332i</v>
      </c>
      <c r="Q216" s="583" t="str">
        <f t="shared" si="174"/>
        <v>-13.7873760912182-0.14479086849614i</v>
      </c>
      <c r="R216" s="581" t="str">
        <f t="shared" si="195"/>
        <v>-0.623632181854022-8.38211341883325i</v>
      </c>
      <c r="S216" s="253" t="str">
        <f t="shared" si="196"/>
        <v>51.3136111046701-1.06875936319724i</v>
      </c>
      <c r="T216" s="253" t="str">
        <f t="shared" si="197"/>
        <v>19.094724323742-2.73935741252793i</v>
      </c>
      <c r="U216" s="253" t="str">
        <f t="shared" si="198"/>
        <v>-0.129660536632693-3.77102229563342i</v>
      </c>
      <c r="V216" s="582" t="str">
        <f t="shared" si="175"/>
        <v>6000</v>
      </c>
      <c r="W216" s="584" t="str">
        <f t="shared" si="176"/>
        <v>1+43798.8624706121i</v>
      </c>
      <c r="X216" s="585">
        <f t="shared" si="177"/>
        <v>43798.862482027915</v>
      </c>
      <c r="Y216" s="586">
        <f t="shared" si="178"/>
        <v>1.5707734951517118</v>
      </c>
      <c r="Z216" s="273" t="str">
        <f t="shared" si="179"/>
        <v>1+6.5688440439852i</v>
      </c>
      <c r="AA216" s="585">
        <f t="shared" si="180"/>
        <v>6.6445249697927871</v>
      </c>
      <c r="AB216" s="586">
        <f t="shared" si="181"/>
        <v>1.4197224663012749</v>
      </c>
      <c r="AC216" s="584" t="str">
        <f t="shared" si="182"/>
        <v>1+0.317573769703133i</v>
      </c>
      <c r="AD216" s="585">
        <f t="shared" si="183"/>
        <v>1.0492154684350867</v>
      </c>
      <c r="AE216" s="586">
        <f t="shared" si="184"/>
        <v>0.30750053497163526</v>
      </c>
      <c r="AF216" s="580" t="str">
        <f t="shared" si="199"/>
        <v>0.777915134024016-0.384014755284871i</v>
      </c>
      <c r="AG216" s="270">
        <f t="shared" si="200"/>
        <v>0.86753633239196504</v>
      </c>
      <c r="AH216" s="581">
        <f t="shared" si="201"/>
        <v>-0.45855156382207307</v>
      </c>
      <c r="AI216" s="582" t="str">
        <f t="shared" si="185"/>
        <v>4000</v>
      </c>
      <c r="AJ216" s="584" t="str">
        <f t="shared" si="202"/>
        <v>1+3440.94349946639i</v>
      </c>
      <c r="AK216" s="585">
        <f t="shared" si="203"/>
        <v>3440.9436447753696</v>
      </c>
      <c r="AL216" s="586">
        <f t="shared" si="204"/>
        <v>1.5705057088373504</v>
      </c>
      <c r="AM216" s="273" t="str">
        <f t="shared" si="205"/>
        <v>1+0.120428807473062i</v>
      </c>
      <c r="AN216" s="585">
        <f t="shared" si="206"/>
        <v>1.0072254453047658</v>
      </c>
      <c r="AO216" s="586">
        <f t="shared" si="207"/>
        <v>0.11985162485188815</v>
      </c>
      <c r="AP216" s="584" t="str">
        <f t="shared" si="208"/>
        <v>1+0.000871274740367033i</v>
      </c>
      <c r="AQ216" s="585">
        <f t="shared" si="209"/>
        <v>1.0000003795597645</v>
      </c>
      <c r="AR216" s="586">
        <f t="shared" si="210"/>
        <v>8.7127451989986806E-4</v>
      </c>
      <c r="AS216" s="580" t="str">
        <f t="shared" si="211"/>
        <v>0.139320020929479-1.16255246565841i</v>
      </c>
      <c r="AT216" s="270">
        <f t="shared" si="212"/>
        <v>1.1708707459152949</v>
      </c>
      <c r="AU216" s="581">
        <f t="shared" si="213"/>
        <v>-1.4515253585053622</v>
      </c>
      <c r="AV216" s="580" t="str">
        <f t="shared" si="214"/>
        <v>-0.0052436932182762-0.225802661756806i</v>
      </c>
      <c r="AW216" s="270">
        <f t="shared" si="215"/>
        <v>-12.923077415106388</v>
      </c>
      <c r="AX216" s="581">
        <f t="shared" si="216"/>
        <v>-91.330309828828931</v>
      </c>
      <c r="AY216" s="299">
        <f t="shared" si="186"/>
        <v>88.669690171171069</v>
      </c>
      <c r="BB216" s="270">
        <f t="shared" si="219"/>
        <v>-38.629820893326631</v>
      </c>
      <c r="BC216" s="270">
        <f t="shared" si="220"/>
        <v>-83.166276898571013</v>
      </c>
      <c r="BD216" s="286"/>
      <c r="BE216" s="270">
        <f t="shared" si="217"/>
        <v>25.70674347822024</v>
      </c>
      <c r="BF216" s="581">
        <f t="shared" si="218"/>
        <v>-8.1640329302579353</v>
      </c>
      <c r="BI216" s="286"/>
      <c r="BJ216" s="286"/>
      <c r="BL216" s="253">
        <f t="shared" si="187"/>
        <v>0</v>
      </c>
      <c r="BM216" s="253">
        <f t="shared" si="167"/>
        <v>0</v>
      </c>
      <c r="BN216" s="253">
        <f t="shared" si="188"/>
        <v>0</v>
      </c>
      <c r="BO216" s="253">
        <f t="shared" si="189"/>
        <v>0</v>
      </c>
    </row>
    <row r="217" spans="4:67" ht="13.6" thickBot="1" x14ac:dyDescent="0.25">
      <c r="D217" s="280">
        <v>12517.5</v>
      </c>
      <c r="E217" s="273" t="str">
        <f t="shared" si="168"/>
        <v>0.141569589748717i</v>
      </c>
      <c r="F217" s="579" t="str">
        <f t="shared" si="190"/>
        <v>0.002-0.195609154066639i</v>
      </c>
      <c r="G217" s="270" t="str">
        <f t="shared" si="191"/>
        <v>0.002-0.195609154066639i</v>
      </c>
      <c r="H217" s="271" t="str">
        <f t="shared" si="192"/>
        <v>0.020891820420827-0.193372465940983i</v>
      </c>
      <c r="I217" s="271" t="str">
        <f t="shared" si="193"/>
        <v>0.030891820420827-0.193372465940983i</v>
      </c>
      <c r="J217" s="270" t="str">
        <f t="shared" si="194"/>
        <v>0.00826065815441208-0.0977818667254286i</v>
      </c>
      <c r="K217" s="271" t="str">
        <f t="shared" si="169"/>
        <v>0.996043337131638-0.0988062463349503i</v>
      </c>
      <c r="L217" s="580"/>
      <c r="M217" s="580" t="str">
        <f t="shared" si="170"/>
        <v>4.28638747323554-185.074363870309i</v>
      </c>
      <c r="N217" s="270" t="str">
        <f t="shared" si="171"/>
        <v>-3.45187606174001-138.805772902732i</v>
      </c>
      <c r="O217" s="581" t="str">
        <f t="shared" si="172"/>
        <v>-6.87687439534071-69.2382088670333i</v>
      </c>
      <c r="P217" s="582" t="str">
        <f t="shared" si="173"/>
        <v>-13.6012023548325-0.809096154786665i</v>
      </c>
      <c r="Q217" s="583" t="str">
        <f t="shared" si="174"/>
        <v>-13.5324336108791-0.116714066116332i</v>
      </c>
      <c r="R217" s="581" t="str">
        <f t="shared" si="195"/>
        <v>-0.627614555681446-8.27288013686167i</v>
      </c>
      <c r="S217" s="253" t="str">
        <f t="shared" si="196"/>
        <v>51.3173216586225-1.12024088237601i</v>
      </c>
      <c r="T217" s="253" t="str">
        <f t="shared" si="197"/>
        <v>19.0925985237461-2.76810095130022i</v>
      </c>
      <c r="U217" s="253" t="str">
        <f t="shared" si="198"/>
        <v>-0.136395367201454-3.74981352573924i</v>
      </c>
      <c r="V217" s="582" t="str">
        <f t="shared" si="175"/>
        <v>6000</v>
      </c>
      <c r="W217" s="584" t="str">
        <f t="shared" si="176"/>
        <v>1+44050.4789471225i</v>
      </c>
      <c r="X217" s="585">
        <f t="shared" si="177"/>
        <v>44050.478958473119</v>
      </c>
      <c r="Y217" s="586">
        <f t="shared" si="178"/>
        <v>1.5707736255661306</v>
      </c>
      <c r="Z217" s="273" t="str">
        <f t="shared" si="179"/>
        <v>1+6.60658085494013i</v>
      </c>
      <c r="AA217" s="585">
        <f t="shared" si="180"/>
        <v>6.6818343733484937</v>
      </c>
      <c r="AB217" s="586">
        <f t="shared" si="181"/>
        <v>1.4205724402291926</v>
      </c>
      <c r="AC217" s="584" t="str">
        <f t="shared" si="182"/>
        <v>1+0.31939817308846i</v>
      </c>
      <c r="AD217" s="585">
        <f t="shared" si="183"/>
        <v>1.0497691141256948</v>
      </c>
      <c r="AE217" s="586">
        <f t="shared" si="184"/>
        <v>0.30915692494276142</v>
      </c>
      <c r="AF217" s="580" t="str">
        <f t="shared" si="199"/>
        <v>0.777094776955044-0.384389596583244i</v>
      </c>
      <c r="AG217" s="270">
        <f t="shared" si="200"/>
        <v>0.86696692804987596</v>
      </c>
      <c r="AH217" s="581">
        <f t="shared" si="201"/>
        <v>-0.4593581102797008</v>
      </c>
      <c r="AI217" s="582" t="str">
        <f t="shared" si="185"/>
        <v>4000</v>
      </c>
      <c r="AJ217" s="584" t="str">
        <f t="shared" si="202"/>
        <v>1+3460.71109228431i</v>
      </c>
      <c r="AK217" s="585">
        <f t="shared" si="203"/>
        <v>3460.7112367632844</v>
      </c>
      <c r="AL217" s="586">
        <f t="shared" si="204"/>
        <v>1.5705073688479598</v>
      </c>
      <c r="AM217" s="273" t="str">
        <f t="shared" si="205"/>
        <v>1+0.121120649007236i</v>
      </c>
      <c r="AN217" s="585">
        <f t="shared" si="206"/>
        <v>1.0073083994566581</v>
      </c>
      <c r="AO217" s="586">
        <f t="shared" si="207"/>
        <v>0.12053351987482176</v>
      </c>
      <c r="AP217" s="584" t="str">
        <f t="shared" si="208"/>
        <v>1+0.000876280054840458i</v>
      </c>
      <c r="AQ217" s="585">
        <f t="shared" si="209"/>
        <v>1.0000003839332936</v>
      </c>
      <c r="AR217" s="586">
        <f t="shared" si="210"/>
        <v>8.7627983055179324E-4</v>
      </c>
      <c r="AS217" s="580" t="str">
        <f t="shared" si="211"/>
        <v>0.139316171439124-1.15591335069618i</v>
      </c>
      <c r="AT217" s="270">
        <f t="shared" si="212"/>
        <v>1.1642786049490583</v>
      </c>
      <c r="AU217" s="581">
        <f t="shared" si="213"/>
        <v>-1.4508501288036892</v>
      </c>
      <c r="AV217" s="580" t="str">
        <f t="shared" si="214"/>
        <v>-0.00539777116530143-0.224550307597724i</v>
      </c>
      <c r="AW217" s="270">
        <f t="shared" si="215"/>
        <v>-12.971218145778892</v>
      </c>
      <c r="AX217" s="581">
        <f t="shared" si="216"/>
        <v>-91.377018637336462</v>
      </c>
      <c r="AY217" s="299">
        <f t="shared" si="186"/>
        <v>88.622981362663538</v>
      </c>
      <c r="BB217" s="270">
        <f t="shared" si="219"/>
        <v>-38.678861663242031</v>
      </c>
      <c r="BC217" s="270">
        <f t="shared" si="220"/>
        <v>-83.127589086463274</v>
      </c>
      <c r="BD217" s="286"/>
      <c r="BE217" s="270">
        <f t="shared" si="217"/>
        <v>25.707643517463158</v>
      </c>
      <c r="BF217" s="581">
        <f t="shared" si="218"/>
        <v>-8.2494295508731934</v>
      </c>
      <c r="BI217" s="286"/>
      <c r="BJ217" s="286"/>
      <c r="BL217" s="253">
        <f t="shared" si="187"/>
        <v>0</v>
      </c>
      <c r="BM217" s="253">
        <f t="shared" si="167"/>
        <v>0</v>
      </c>
      <c r="BN217" s="253">
        <f t="shared" si="188"/>
        <v>0</v>
      </c>
      <c r="BO217" s="253">
        <f t="shared" si="189"/>
        <v>0</v>
      </c>
    </row>
    <row r="218" spans="4:67" ht="13.6" thickBot="1" x14ac:dyDescent="0.25">
      <c r="D218" s="280">
        <v>12589</v>
      </c>
      <c r="E218" s="273" t="str">
        <f t="shared" si="168"/>
        <v>0.142378235697751i</v>
      </c>
      <c r="F218" s="579" t="str">
        <f t="shared" si="190"/>
        <v>0.002-0.194498179841859i</v>
      </c>
      <c r="G218" s="270" t="str">
        <f t="shared" si="191"/>
        <v>0.002-0.194498179841859i</v>
      </c>
      <c r="H218" s="271" t="str">
        <f t="shared" si="192"/>
        <v>0.0206798137036114-0.192294791987461i</v>
      </c>
      <c r="I218" s="271" t="str">
        <f t="shared" si="193"/>
        <v>0.0306798137036114-0.192294791987461i</v>
      </c>
      <c r="J218" s="270" t="str">
        <f t="shared" si="194"/>
        <v>0.00820672667859989-0.0972298476064121i</v>
      </c>
      <c r="K218" s="271" t="str">
        <f t="shared" si="169"/>
        <v>0.99599800709578-0.0993706279297535i</v>
      </c>
      <c r="L218" s="580"/>
      <c r="M218" s="580" t="str">
        <f t="shared" si="170"/>
        <v>4.07527305602631-182.721750862083i</v>
      </c>
      <c r="N218" s="270" t="str">
        <f t="shared" si="171"/>
        <v>-3.61021187464694-137.041313146562i</v>
      </c>
      <c r="O218" s="581" t="str">
        <f t="shared" si="172"/>
        <v>-6.88147187522831-68.3482459621074i</v>
      </c>
      <c r="P218" s="582" t="str">
        <f t="shared" si="173"/>
        <v>-13.3541340151299-0.773640250271471i</v>
      </c>
      <c r="Q218" s="583" t="str">
        <f t="shared" si="174"/>
        <v>-13.2853192963776-0.0901577906504001i</v>
      </c>
      <c r="R218" s="581" t="str">
        <f t="shared" si="195"/>
        <v>-0.631247409946295-8.16675681795651i</v>
      </c>
      <c r="S218" s="253" t="str">
        <f t="shared" si="196"/>
        <v>51.3208940925196-1.1714881356245i</v>
      </c>
      <c r="T218" s="253" t="str">
        <f t="shared" si="197"/>
        <v>19.0904142677652-2.79677212497884i</v>
      </c>
      <c r="U218" s="253" t="str">
        <f t="shared" si="198"/>
        <v>-0.143018503426985-3.72882396709039i</v>
      </c>
      <c r="V218" s="582" t="str">
        <f t="shared" si="175"/>
        <v>6000</v>
      </c>
      <c r="W218" s="584" t="str">
        <f t="shared" si="176"/>
        <v>1+44302.0954236329i</v>
      </c>
      <c r="X218" s="585">
        <f t="shared" si="177"/>
        <v>44302.095434919043</v>
      </c>
      <c r="Y218" s="586">
        <f t="shared" si="178"/>
        <v>1.570773754499156</v>
      </c>
      <c r="Z218" s="273" t="str">
        <f t="shared" si="179"/>
        <v>1+6.64431766589504i</v>
      </c>
      <c r="AA218" s="585">
        <f t="shared" si="180"/>
        <v>6.7191485506219388</v>
      </c>
      <c r="AB218" s="586">
        <f t="shared" si="181"/>
        <v>1.4214129742537267</v>
      </c>
      <c r="AC218" s="584" t="str">
        <f t="shared" si="182"/>
        <v>1+0.321222576473786i</v>
      </c>
      <c r="AD218" s="585">
        <f t="shared" si="183"/>
        <v>1.0503256369509684</v>
      </c>
      <c r="AE218" s="586">
        <f t="shared" si="184"/>
        <v>0.31081156414859029</v>
      </c>
      <c r="AF218" s="580" t="str">
        <f t="shared" si="199"/>
        <v>0.776271464523354-0.384769382255462i</v>
      </c>
      <c r="AG218" s="270">
        <f t="shared" si="200"/>
        <v>0.86639763628168021</v>
      </c>
      <c r="AH218" s="581">
        <f t="shared" si="201"/>
        <v>-0.46017234439401933</v>
      </c>
      <c r="AI218" s="582" t="str">
        <f t="shared" si="185"/>
        <v>4000</v>
      </c>
      <c r="AJ218" s="584" t="str">
        <f t="shared" si="202"/>
        <v>1+3480.47868510223i</v>
      </c>
      <c r="AK218" s="585">
        <f t="shared" si="203"/>
        <v>3480.478828760627</v>
      </c>
      <c r="AL218" s="586">
        <f t="shared" si="204"/>
        <v>1.5705090100023062</v>
      </c>
      <c r="AM218" s="273" t="str">
        <f t="shared" si="205"/>
        <v>1+0.121812490541409i</v>
      </c>
      <c r="AN218" s="585">
        <f t="shared" si="206"/>
        <v>1.007391821910373</v>
      </c>
      <c r="AO218" s="586">
        <f t="shared" si="207"/>
        <v>0.12121530227881665</v>
      </c>
      <c r="AP218" s="584" t="str">
        <f t="shared" si="208"/>
        <v>1+0.000881285369313883i</v>
      </c>
      <c r="AQ218" s="585">
        <f t="shared" si="209"/>
        <v>1.0000003883318755</v>
      </c>
      <c r="AR218" s="586">
        <f t="shared" si="210"/>
        <v>8.8128514115981137E-4</v>
      </c>
      <c r="AS218" s="580" t="str">
        <f t="shared" si="211"/>
        <v>0.139312387324953-1.14934965814087i</v>
      </c>
      <c r="AT218" s="270">
        <f t="shared" si="212"/>
        <v>1.1577618830876719</v>
      </c>
      <c r="AU218" s="581">
        <f t="shared" si="213"/>
        <v>-1.4501749928646497</v>
      </c>
      <c r="AV218" s="580" t="str">
        <f t="shared" si="214"/>
        <v>-0.00554937899077629-0.223311861139582i</v>
      </c>
      <c r="AW218" s="270">
        <f t="shared" si="215"/>
        <v>-13.019083063038856</v>
      </c>
      <c r="AX218" s="581">
        <f t="shared" si="216"/>
        <v>-91.423527471903441</v>
      </c>
      <c r="AY218" s="299">
        <f t="shared" si="186"/>
        <v>88.576472528096559</v>
      </c>
      <c r="BB218" s="270">
        <f t="shared" si="219"/>
        <v>-38.727615055605256</v>
      </c>
      <c r="BC218" s="270">
        <f t="shared" si="220"/>
        <v>-83.088906646558698</v>
      </c>
      <c r="BD218" s="286"/>
      <c r="BE218" s="270">
        <f t="shared" si="217"/>
        <v>25.708531992566396</v>
      </c>
      <c r="BF218" s="581">
        <f t="shared" si="218"/>
        <v>-8.3346208253447429</v>
      </c>
      <c r="BI218" s="286"/>
      <c r="BJ218" s="286"/>
      <c r="BL218" s="253">
        <f t="shared" si="187"/>
        <v>0</v>
      </c>
      <c r="BM218" s="253">
        <f t="shared" ref="BM218:BM281" si="221">IF(BL218&gt;0,AY218,0)</f>
        <v>0</v>
      </c>
      <c r="BN218" s="253">
        <f t="shared" si="188"/>
        <v>0</v>
      </c>
      <c r="BO218" s="253">
        <f t="shared" si="189"/>
        <v>0</v>
      </c>
    </row>
    <row r="219" spans="4:67" ht="13.6" thickBot="1" x14ac:dyDescent="0.25">
      <c r="D219" s="280">
        <v>12662.25</v>
      </c>
      <c r="E219" s="273" t="str">
        <f t="shared" si="168"/>
        <v>0.143206673680502i</v>
      </c>
      <c r="F219" s="579" t="str">
        <f t="shared" si="190"/>
        <v>0.002-0.193373025017604i</v>
      </c>
      <c r="G219" s="270" t="str">
        <f t="shared" si="191"/>
        <v>0.002-0.193373025017604i</v>
      </c>
      <c r="H219" s="271" t="str">
        <f t="shared" si="192"/>
        <v>0.0204662857597663-0.191203008215268i</v>
      </c>
      <c r="I219" s="271" t="str">
        <f t="shared" si="193"/>
        <v>0.0304662857597663-0.191203008215268i</v>
      </c>
      <c r="J219" s="270" t="str">
        <f t="shared" si="194"/>
        <v>0.00815241635974317-0.0966707412476444i</v>
      </c>
      <c r="K219" s="271" t="str">
        <f t="shared" si="169"/>
        <v>0.995951299839335-0.0999488230600939i</v>
      </c>
      <c r="L219" s="580"/>
      <c r="M219" s="580" t="str">
        <f t="shared" si="170"/>
        <v>3.87055965366109-180.379649302854i</v>
      </c>
      <c r="N219" s="270" t="str">
        <f t="shared" si="171"/>
        <v>-3.76374692642085-135.284736977141i</v>
      </c>
      <c r="O219" s="581" t="str">
        <f t="shared" si="172"/>
        <v>-6.88418592611946-67.4624524992759i</v>
      </c>
      <c r="P219" s="582" t="str">
        <f t="shared" si="173"/>
        <v>-13.1087594350897-0.739053297710349i</v>
      </c>
      <c r="Q219" s="583" t="str">
        <f t="shared" si="174"/>
        <v>-13.0399175758285-0.0644287727175894i</v>
      </c>
      <c r="R219" s="581" t="str">
        <f t="shared" si="195"/>
        <v>-0.63463389794888-8.0611210372212i</v>
      </c>
      <c r="S219" s="253" t="str">
        <f t="shared" si="196"/>
        <v>51.3244134005137-1.22375044154959i</v>
      </c>
      <c r="T219" s="253" t="str">
        <f t="shared" si="197"/>
        <v>19.0881167151745-2.82607104972469i</v>
      </c>
      <c r="U219" s="253" t="str">
        <f t="shared" si="198"/>
        <v>-0.14969043482891-3.70754451478656i</v>
      </c>
      <c r="V219" s="582" t="str">
        <f t="shared" si="175"/>
        <v>6000</v>
      </c>
      <c r="W219" s="584" t="str">
        <f t="shared" si="176"/>
        <v>1+44559.8703453726i</v>
      </c>
      <c r="X219" s="585">
        <f t="shared" si="177"/>
        <v>44559.870356593463</v>
      </c>
      <c r="Y219" s="586">
        <f t="shared" si="178"/>
        <v>1.5707738850778969</v>
      </c>
      <c r="Z219" s="273" t="str">
        <f t="shared" si="179"/>
        <v>1+6.68297810509012i</v>
      </c>
      <c r="AA219" s="585">
        <f t="shared" si="180"/>
        <v>6.7573808796836312</v>
      </c>
      <c r="AB219" s="586">
        <f t="shared" si="181"/>
        <v>1.4222644537498597</v>
      </c>
      <c r="AC219" s="584" t="str">
        <f t="shared" si="182"/>
        <v>1+0.323091633088823i</v>
      </c>
      <c r="AD219" s="585">
        <f t="shared" si="183"/>
        <v>1.0508987598108597</v>
      </c>
      <c r="AE219" s="586">
        <f t="shared" si="184"/>
        <v>0.31250487939436178</v>
      </c>
      <c r="AF219" s="580" t="str">
        <f t="shared" si="199"/>
        <v>0.775424961701316-0.385163424650514i</v>
      </c>
      <c r="AG219" s="270">
        <f t="shared" si="200"/>
        <v>0.86581449220834805</v>
      </c>
      <c r="AH219" s="581">
        <f t="shared" si="201"/>
        <v>-0.46101431072239779</v>
      </c>
      <c r="AI219" s="582" t="str">
        <f t="shared" si="185"/>
        <v>4000</v>
      </c>
      <c r="AJ219" s="584" t="str">
        <f t="shared" si="202"/>
        <v>1+3500.73010012199i</v>
      </c>
      <c r="AK219" s="585">
        <f t="shared" si="203"/>
        <v>3500.7302429493357</v>
      </c>
      <c r="AL219" s="586">
        <f t="shared" si="204"/>
        <v>1.5705106721045321</v>
      </c>
      <c r="AM219" s="273" t="str">
        <f t="shared" si="205"/>
        <v>1+0.122521265259986i</v>
      </c>
      <c r="AN219" s="585">
        <f t="shared" si="206"/>
        <v>1.0074777716857617</v>
      </c>
      <c r="AO219" s="586">
        <f t="shared" si="207"/>
        <v>0.12191365424413775</v>
      </c>
      <c r="AP219" s="584" t="str">
        <f t="shared" si="208"/>
        <v>1+0.000886413191484209i</v>
      </c>
      <c r="AQ219" s="585">
        <f t="shared" si="209"/>
        <v>1.0000003928640957</v>
      </c>
      <c r="AR219" s="586">
        <f t="shared" si="210"/>
        <v>8.8641295932432814E-4</v>
      </c>
      <c r="AS219" s="580" t="str">
        <f t="shared" si="211"/>
        <v>0.139308576849016-1.14270219400649i</v>
      </c>
      <c r="AT219" s="270">
        <f t="shared" si="212"/>
        <v>1.1511625357745727</v>
      </c>
      <c r="AU219" s="581">
        <f t="shared" si="213"/>
        <v>-1.4494834308197191</v>
      </c>
      <c r="AV219" s="580" t="str">
        <f t="shared" si="214"/>
        <v>-0.00570219214619754-0.222057287858932i</v>
      </c>
      <c r="AW219" s="270">
        <f t="shared" si="215"/>
        <v>-13.067836551666041</v>
      </c>
      <c r="AX219" s="581">
        <f t="shared" si="216"/>
        <v>-91.470970682948362</v>
      </c>
      <c r="AY219" s="299">
        <f t="shared" si="186"/>
        <v>88.529029317051638</v>
      </c>
      <c r="BB219" s="270">
        <f t="shared" si="219"/>
        <v>-38.777267056396511</v>
      </c>
      <c r="BC219" s="270">
        <f t="shared" si="220"/>
        <v>-83.049283060112742</v>
      </c>
      <c r="BD219" s="286"/>
      <c r="BE219" s="270">
        <f t="shared" si="217"/>
        <v>25.70943050473047</v>
      </c>
      <c r="BF219" s="581">
        <f t="shared" si="218"/>
        <v>-8.4216876228356252</v>
      </c>
      <c r="BI219" s="286"/>
      <c r="BJ219" s="286"/>
      <c r="BL219" s="253">
        <f t="shared" si="187"/>
        <v>0</v>
      </c>
      <c r="BM219" s="253">
        <f t="shared" si="221"/>
        <v>0</v>
      </c>
      <c r="BN219" s="253">
        <f t="shared" si="188"/>
        <v>0</v>
      </c>
      <c r="BO219" s="253">
        <f t="shared" si="189"/>
        <v>0</v>
      </c>
    </row>
    <row r="220" spans="4:67" ht="13.6" thickBot="1" x14ac:dyDescent="0.25">
      <c r="D220" s="280">
        <v>12735.5</v>
      </c>
      <c r="E220" s="273" t="str">
        <f t="shared" si="168"/>
        <v>0.144035111663254i</v>
      </c>
      <c r="F220" s="579" t="str">
        <f t="shared" si="190"/>
        <v>0.002-0.192260813162354i</v>
      </c>
      <c r="G220" s="270" t="str">
        <f t="shared" si="191"/>
        <v>0.002-0.192260813162354i</v>
      </c>
      <c r="H220" s="271" t="str">
        <f t="shared" si="192"/>
        <v>0.0202563867238668-0.190123435035688i</v>
      </c>
      <c r="I220" s="271" t="str">
        <f t="shared" si="193"/>
        <v>0.0302563867238668-0.190123435035688i</v>
      </c>
      <c r="J220" s="270" t="str">
        <f t="shared" si="194"/>
        <v>0.00809903697975052-0.0961180260166158i</v>
      </c>
      <c r="K220" s="271" t="str">
        <f t="shared" si="169"/>
        <v>0.995904321601727-0.100527018190434i</v>
      </c>
      <c r="L220" s="580"/>
      <c r="M220" s="580" t="str">
        <f t="shared" si="170"/>
        <v>3.67680543358052-178.103504979374i</v>
      </c>
      <c r="N220" s="270" t="str">
        <f t="shared" si="171"/>
        <v>-3.90906259148128-133.57762873453i</v>
      </c>
      <c r="O220" s="581" t="str">
        <f t="shared" si="172"/>
        <v>-6.88505693893817-66.6017878789677i</v>
      </c>
      <c r="P220" s="582" t="str">
        <f t="shared" si="173"/>
        <v>-12.870877636428-0.706118774919767i</v>
      </c>
      <c r="Q220" s="583" t="str">
        <f t="shared" si="174"/>
        <v>-12.8020270670386-0.0401008961300902i</v>
      </c>
      <c r="R220" s="581" t="str">
        <f t="shared" si="195"/>
        <v>-0.637706498603886-7.95847276103119i</v>
      </c>
      <c r="S220" s="253" t="str">
        <f t="shared" si="196"/>
        <v>51.3277930958419-1.27577429069909i</v>
      </c>
      <c r="T220" s="253" t="str">
        <f t="shared" si="197"/>
        <v>19.0857593816545-2.85529614121216i</v>
      </c>
      <c r="U220" s="253" t="str">
        <f t="shared" si="198"/>
        <v>-0.156250187457941-3.68648811675231i</v>
      </c>
      <c r="V220" s="582" t="str">
        <f t="shared" si="175"/>
        <v>6000</v>
      </c>
      <c r="W220" s="584" t="str">
        <f t="shared" si="176"/>
        <v>1+44817.6452671123i</v>
      </c>
      <c r="X220" s="585">
        <f t="shared" si="177"/>
        <v>44817.645278268625</v>
      </c>
      <c r="Y220" s="586">
        <f t="shared" si="178"/>
        <v>1.5707740141545543</v>
      </c>
      <c r="Z220" s="273" t="str">
        <f t="shared" si="179"/>
        <v>1+6.72163854428519i</v>
      </c>
      <c r="AA220" s="585">
        <f t="shared" si="180"/>
        <v>6.7956180528352483</v>
      </c>
      <c r="AB220" s="586">
        <f t="shared" si="181"/>
        <v>1.4231063517438864</v>
      </c>
      <c r="AC220" s="584" t="str">
        <f t="shared" si="182"/>
        <v>1+0.324960689703861i</v>
      </c>
      <c r="AD220" s="585">
        <f t="shared" si="183"/>
        <v>1.0514748926402422</v>
      </c>
      <c r="AE220" s="586">
        <f t="shared" si="184"/>
        <v>0.31419634385506023</v>
      </c>
      <c r="AF220" s="580" t="str">
        <f t="shared" si="199"/>
        <v>0.774575408627076-0.385562322659949i</v>
      </c>
      <c r="AG220" s="270">
        <f t="shared" si="200"/>
        <v>0.86523139581544095</v>
      </c>
      <c r="AH220" s="581">
        <f t="shared" si="201"/>
        <v>-0.46186400626572754</v>
      </c>
      <c r="AI220" s="582" t="str">
        <f t="shared" si="185"/>
        <v>4000</v>
      </c>
      <c r="AJ220" s="584" t="str">
        <f t="shared" si="202"/>
        <v>1+3520.98151514175i</v>
      </c>
      <c r="AK220" s="585">
        <f t="shared" si="203"/>
        <v>3520.9816571476053</v>
      </c>
      <c r="AL220" s="586">
        <f t="shared" si="204"/>
        <v>1.570512315087135</v>
      </c>
      <c r="AM220" s="273" t="str">
        <f t="shared" si="205"/>
        <v>1+0.123230039978562i</v>
      </c>
      <c r="AN220" s="585">
        <f t="shared" si="206"/>
        <v>1.0075642127195259</v>
      </c>
      <c r="AO220" s="586">
        <f t="shared" si="207"/>
        <v>0.1226118867237929</v>
      </c>
      <c r="AP220" s="584" t="str">
        <f t="shared" si="208"/>
        <v>1+0.000891541013654536i</v>
      </c>
      <c r="AQ220" s="585">
        <f t="shared" si="209"/>
        <v>1.0000003974226106</v>
      </c>
      <c r="AR220" s="586">
        <f t="shared" si="210"/>
        <v>8.915407774422303E-4</v>
      </c>
      <c r="AS220" s="580" t="str">
        <f t="shared" si="211"/>
        <v>0.139304831904268-1.13613120568109i</v>
      </c>
      <c r="AT220" s="270">
        <f t="shared" si="212"/>
        <v>1.1446396606418299</v>
      </c>
      <c r="AU220" s="581">
        <f t="shared" si="213"/>
        <v>-1.4487919691407847</v>
      </c>
      <c r="AV220" s="580" t="str">
        <f t="shared" si="214"/>
        <v>-0.00585252545065248-0.220816833666068i</v>
      </c>
      <c r="AW220" s="270">
        <f t="shared" si="215"/>
        <v>-13.116306758143676</v>
      </c>
      <c r="AX220" s="581">
        <f t="shared" si="216"/>
        <v>-91.518210897862133</v>
      </c>
      <c r="AY220" s="299">
        <f t="shared" si="186"/>
        <v>88.481789102137867</v>
      </c>
      <c r="BB220" s="270">
        <f t="shared" si="219"/>
        <v>-38.826624205779787</v>
      </c>
      <c r="BC220" s="270">
        <f t="shared" si="220"/>
        <v>-83.009665224214771</v>
      </c>
      <c r="BD220" s="286"/>
      <c r="BE220" s="270">
        <f t="shared" si="217"/>
        <v>25.710317447636093</v>
      </c>
      <c r="BF220" s="581">
        <f t="shared" si="218"/>
        <v>-8.5085456736473724</v>
      </c>
      <c r="BI220" s="286"/>
      <c r="BJ220" s="286"/>
      <c r="BL220" s="253">
        <f t="shared" si="187"/>
        <v>0</v>
      </c>
      <c r="BM220" s="253">
        <f t="shared" si="221"/>
        <v>0</v>
      </c>
      <c r="BN220" s="253">
        <f t="shared" si="188"/>
        <v>0</v>
      </c>
      <c r="BO220" s="253">
        <f t="shared" si="189"/>
        <v>0</v>
      </c>
    </row>
    <row r="221" spans="4:67" ht="13.6" thickBot="1" x14ac:dyDescent="0.25">
      <c r="D221" s="280">
        <v>12808.75</v>
      </c>
      <c r="E221" s="273" t="str">
        <f t="shared" si="168"/>
        <v>0.144863549646006i</v>
      </c>
      <c r="F221" s="579" t="str">
        <f t="shared" si="190"/>
        <v>0.002-0.191161322223415i</v>
      </c>
      <c r="G221" s="270" t="str">
        <f t="shared" si="191"/>
        <v>0.002-0.191161322223415i</v>
      </c>
      <c r="H221" s="271" t="str">
        <f t="shared" si="192"/>
        <v>0.0200500350777432-0.189055870744627i</v>
      </c>
      <c r="I221" s="271" t="str">
        <f t="shared" si="193"/>
        <v>0.0300500350777432-0.189055870744627i</v>
      </c>
      <c r="J221" s="270" t="str">
        <f t="shared" si="194"/>
        <v>0.00804656738177304-0.0955715932745368i</v>
      </c>
      <c r="K221" s="271" t="str">
        <f t="shared" si="169"/>
        <v>0.995857072382958-0.101105213320775i</v>
      </c>
      <c r="L221" s="580"/>
      <c r="M221" s="580" t="str">
        <f t="shared" si="170"/>
        <v>3.49331268077441-175.890504037409i</v>
      </c>
      <c r="N221" s="270" t="str">
        <f t="shared" si="171"/>
        <v>-4.04668215608586-131.917878028057i</v>
      </c>
      <c r="O221" s="581" t="str">
        <f t="shared" si="172"/>
        <v>-6.88424790552137-65.7651716667863i</v>
      </c>
      <c r="P221" s="582" t="str">
        <f t="shared" si="173"/>
        <v>-12.640163685179-0.674738233280514i</v>
      </c>
      <c r="Q221" s="583" t="str">
        <f t="shared" si="174"/>
        <v>-12.5713212061237-0.0170865166126515i</v>
      </c>
      <c r="R221" s="581" t="str">
        <f t="shared" si="195"/>
        <v>-0.640488769138962-7.85868388027969i</v>
      </c>
      <c r="S221" s="253" t="str">
        <f t="shared" si="196"/>
        <v>51.3310357774427-1.32756332547263i</v>
      </c>
      <c r="T221" s="253" t="str">
        <f t="shared" si="197"/>
        <v>19.0833430306909-2.88444843861563i</v>
      </c>
      <c r="U221" s="253" t="str">
        <f t="shared" si="198"/>
        <v>-0.162700214014499-3.66565132575984i</v>
      </c>
      <c r="V221" s="582" t="str">
        <f t="shared" si="175"/>
        <v>6000</v>
      </c>
      <c r="W221" s="584" t="str">
        <f t="shared" si="176"/>
        <v>1+45075.420188852i</v>
      </c>
      <c r="X221" s="585">
        <f t="shared" si="177"/>
        <v>45075.420199944521</v>
      </c>
      <c r="Y221" s="586">
        <f t="shared" si="178"/>
        <v>1.5707741417548982</v>
      </c>
      <c r="Z221" s="273" t="str">
        <f t="shared" si="179"/>
        <v>1+6.76029898348027i</v>
      </c>
      <c r="AA221" s="585">
        <f t="shared" si="180"/>
        <v>6.8338599887650888</v>
      </c>
      <c r="AB221" s="586">
        <f t="shared" si="181"/>
        <v>1.4239388278850242</v>
      </c>
      <c r="AC221" s="584" t="str">
        <f t="shared" si="182"/>
        <v>1+0.326829746318898i</v>
      </c>
      <c r="AD221" s="585">
        <f t="shared" si="183"/>
        <v>1.0520540304940973</v>
      </c>
      <c r="AE221" s="586">
        <f t="shared" si="184"/>
        <v>0.31588595090054233</v>
      </c>
      <c r="AF221" s="580" t="str">
        <f t="shared" si="199"/>
        <v>0.773722831390584-0.385965913109997i</v>
      </c>
      <c r="AG221" s="270">
        <f t="shared" si="200"/>
        <v>0.86464831341875392</v>
      </c>
      <c r="AH221" s="581">
        <f t="shared" si="201"/>
        <v>-0.46272126477041686</v>
      </c>
      <c r="AI221" s="582" t="str">
        <f t="shared" si="185"/>
        <v>4000</v>
      </c>
      <c r="AJ221" s="584" t="str">
        <f t="shared" si="202"/>
        <v>1+3541.2329301615i</v>
      </c>
      <c r="AK221" s="585">
        <f t="shared" si="203"/>
        <v>3541.2330713552587</v>
      </c>
      <c r="AL221" s="586">
        <f t="shared" si="204"/>
        <v>1.570513939278136</v>
      </c>
      <c r="AM221" s="273" t="str">
        <f t="shared" si="205"/>
        <v>1+0.123938814697138i</v>
      </c>
      <c r="AN221" s="585">
        <f t="shared" si="206"/>
        <v>1.0076511448852383</v>
      </c>
      <c r="AO221" s="586">
        <f t="shared" si="207"/>
        <v>0.12330999906780463</v>
      </c>
      <c r="AP221" s="584" t="str">
        <f t="shared" si="208"/>
        <v>1+0.000896668835824862i</v>
      </c>
      <c r="AQ221" s="585">
        <f t="shared" si="209"/>
        <v>1.0000004020074198</v>
      </c>
      <c r="AR221" s="586">
        <f t="shared" si="210"/>
        <v>8.9666859551324623E-4</v>
      </c>
      <c r="AS221" s="580" t="str">
        <f t="shared" si="211"/>
        <v>0.139301150995813-1.12963538112769i</v>
      </c>
      <c r="AT221" s="270">
        <f t="shared" si="212"/>
        <v>1.138191945571686</v>
      </c>
      <c r="AU221" s="581">
        <f t="shared" si="213"/>
        <v>-1.4481006088058446</v>
      </c>
      <c r="AV221" s="580" t="str">
        <f t="shared" si="214"/>
        <v>-0.00600043362275569-0.219590264651522i</v>
      </c>
      <c r="AW221" s="270">
        <f t="shared" si="215"/>
        <v>-13.164496743252091</v>
      </c>
      <c r="AX221" s="581">
        <f t="shared" si="216"/>
        <v>-91.565251494098732</v>
      </c>
      <c r="AY221" s="299">
        <f t="shared" si="186"/>
        <v>88.434748505901268</v>
      </c>
      <c r="BB221" s="270">
        <f t="shared" si="219"/>
        <v>-38.87568984013371</v>
      </c>
      <c r="BC221" s="270">
        <f t="shared" si="220"/>
        <v>-82.970053194899947</v>
      </c>
      <c r="BD221" s="286"/>
      <c r="BE221" s="270">
        <f t="shared" si="217"/>
        <v>25.711193096881622</v>
      </c>
      <c r="BF221" s="581">
        <f t="shared" si="218"/>
        <v>-8.5951982991987848</v>
      </c>
      <c r="BI221" s="286"/>
      <c r="BJ221" s="286"/>
      <c r="BL221" s="253">
        <f t="shared" si="187"/>
        <v>0</v>
      </c>
      <c r="BM221" s="253">
        <f t="shared" si="221"/>
        <v>0</v>
      </c>
      <c r="BN221" s="253">
        <f t="shared" si="188"/>
        <v>0</v>
      </c>
      <c r="BO221" s="253">
        <f t="shared" si="189"/>
        <v>0</v>
      </c>
    </row>
    <row r="222" spans="4:67" ht="13.6" thickBot="1" x14ac:dyDescent="0.25">
      <c r="D222" s="280">
        <v>12882</v>
      </c>
      <c r="E222" s="273" t="str">
        <f t="shared" si="168"/>
        <v>0.145691987628757i</v>
      </c>
      <c r="F222" s="579" t="str">
        <f t="shared" si="190"/>
        <v>0.002-0.190074335198662i</v>
      </c>
      <c r="G222" s="270" t="str">
        <f t="shared" si="191"/>
        <v>0.002-0.190074335198662i</v>
      </c>
      <c r="H222" s="271" t="str">
        <f t="shared" si="192"/>
        <v>0.0198471515724655-0.18800011801029i</v>
      </c>
      <c r="I222" s="271" t="str">
        <f t="shared" si="193"/>
        <v>0.0298471515724655-0.18800011801029i</v>
      </c>
      <c r="J222" s="270" t="str">
        <f t="shared" si="194"/>
        <v>0.00799498700604207-0.0950313368252765i</v>
      </c>
      <c r="K222" s="271" t="str">
        <f t="shared" si="169"/>
        <v>0.995809552183026-0.101683408451115i</v>
      </c>
      <c r="L222" s="580"/>
      <c r="M222" s="580" t="str">
        <f t="shared" si="170"/>
        <v>3.31943610698974-173.737990617517i</v>
      </c>
      <c r="N222" s="270" t="str">
        <f t="shared" si="171"/>
        <v>-4.17708958642437-130.303492963138i</v>
      </c>
      <c r="O222" s="581" t="str">
        <f t="shared" si="172"/>
        <v>-6.88190772146592-64.951584566122i</v>
      </c>
      <c r="P222" s="582" t="str">
        <f t="shared" si="173"/>
        <v>-12.4163109062565-0.644820325645334i</v>
      </c>
      <c r="Q222" s="583" t="str">
        <f t="shared" si="174"/>
        <v>-12.3474918290419+0.00469552001588491i</v>
      </c>
      <c r="R222" s="581" t="str">
        <f t="shared" si="195"/>
        <v>-0.643002352012539-7.76163351602005i</v>
      </c>
      <c r="S222" s="253" t="str">
        <f t="shared" si="196"/>
        <v>51.3341439739974-1.37912111592833i</v>
      </c>
      <c r="T222" s="253" t="str">
        <f t="shared" si="197"/>
        <v>19.0808684052849-2.91352895999146i</v>
      </c>
      <c r="U222" s="253" t="str">
        <f t="shared" si="198"/>
        <v>-0.169042900930835-3.6450307628121i</v>
      </c>
      <c r="V222" s="582" t="str">
        <f t="shared" si="175"/>
        <v>6000</v>
      </c>
      <c r="W222" s="584" t="str">
        <f t="shared" si="176"/>
        <v>1+45333.1951105917i</v>
      </c>
      <c r="X222" s="585">
        <f t="shared" si="177"/>
        <v>45333.195121621153</v>
      </c>
      <c r="Y222" s="586">
        <f t="shared" si="178"/>
        <v>1.5707742679041126</v>
      </c>
      <c r="Z222" s="273" t="str">
        <f t="shared" si="179"/>
        <v>1+6.79895942267534i</v>
      </c>
      <c r="AA222" s="585">
        <f t="shared" si="180"/>
        <v>6.8721066079613315</v>
      </c>
      <c r="AB222" s="586">
        <f t="shared" si="181"/>
        <v>1.42476203832129</v>
      </c>
      <c r="AC222" s="584" t="str">
        <f t="shared" si="182"/>
        <v>1+0.328698802933935i</v>
      </c>
      <c r="AD222" s="585">
        <f t="shared" si="183"/>
        <v>1.0526361684125252</v>
      </c>
      <c r="AE222" s="586">
        <f t="shared" si="184"/>
        <v>0.31757369395764035</v>
      </c>
      <c r="AF222" s="580" t="str">
        <f t="shared" si="199"/>
        <v>0.77286725608215-0.386374036538371i</v>
      </c>
      <c r="AG222" s="270">
        <f t="shared" si="200"/>
        <v>0.86406521260545266</v>
      </c>
      <c r="AH222" s="581">
        <f t="shared" si="201"/>
        <v>-0.46358592354046441</v>
      </c>
      <c r="AI222" s="582" t="str">
        <f t="shared" si="185"/>
        <v>4000</v>
      </c>
      <c r="AJ222" s="584" t="str">
        <f t="shared" si="202"/>
        <v>1+3561.48434518126i</v>
      </c>
      <c r="AK222" s="585">
        <f t="shared" si="203"/>
        <v>3561.4844855721594</v>
      </c>
      <c r="AL222" s="586">
        <f t="shared" si="204"/>
        <v>1.570515544998095</v>
      </c>
      <c r="AM222" s="273" t="str">
        <f t="shared" si="205"/>
        <v>1+0.124647589415715i</v>
      </c>
      <c r="AN222" s="585">
        <f t="shared" si="206"/>
        <v>1.0077385680557973</v>
      </c>
      <c r="AO222" s="586">
        <f t="shared" si="207"/>
        <v>0.12400799062688748</v>
      </c>
      <c r="AP222" s="584" t="str">
        <f t="shared" si="208"/>
        <v>1+0.000901796657995189i</v>
      </c>
      <c r="AQ222" s="585">
        <f t="shared" si="209"/>
        <v>1.0000004066185235</v>
      </c>
      <c r="AR222" s="586">
        <f t="shared" si="210"/>
        <v>9.0179641353710816E-4</v>
      </c>
      <c r="AS222" s="580" t="str">
        <f t="shared" si="211"/>
        <v>0.139297532671135-1.12321343815148i</v>
      </c>
      <c r="AT222" s="270">
        <f t="shared" si="212"/>
        <v>1.1318181082896379</v>
      </c>
      <c r="AU222" s="581">
        <f t="shared" si="213"/>
        <v>-1.447409350784745</v>
      </c>
      <c r="AV222" s="580" t="str">
        <f t="shared" si="214"/>
        <v>-0.00614596990227112-0.218377351999087i</v>
      </c>
      <c r="AW222" s="270">
        <f t="shared" si="215"/>
        <v>-13.212409518325497</v>
      </c>
      <c r="AX222" s="581">
        <f t="shared" si="216"/>
        <v>-91.612095779242225</v>
      </c>
      <c r="AY222" s="299">
        <f t="shared" si="186"/>
        <v>88.387904220757775</v>
      </c>
      <c r="BB222" s="270">
        <f t="shared" si="219"/>
        <v>-38.924467238808049</v>
      </c>
      <c r="BC222" s="270">
        <f t="shared" si="220"/>
        <v>-82.930447027736378</v>
      </c>
      <c r="BD222" s="286"/>
      <c r="BE222" s="270">
        <f t="shared" si="217"/>
        <v>25.712057720482555</v>
      </c>
      <c r="BF222" s="581">
        <f t="shared" si="218"/>
        <v>-8.6816487515058629</v>
      </c>
      <c r="BI222" s="286"/>
      <c r="BJ222" s="286"/>
      <c r="BL222" s="253">
        <f t="shared" si="187"/>
        <v>0</v>
      </c>
      <c r="BM222" s="253">
        <f t="shared" si="221"/>
        <v>0</v>
      </c>
      <c r="BN222" s="253">
        <f t="shared" si="188"/>
        <v>0</v>
      </c>
      <c r="BO222" s="253">
        <f t="shared" si="189"/>
        <v>0</v>
      </c>
    </row>
    <row r="223" spans="4:67" ht="13.6" thickBot="1" x14ac:dyDescent="0.25">
      <c r="D223" s="280">
        <v>12957.25</v>
      </c>
      <c r="E223" s="273" t="str">
        <f t="shared" si="168"/>
        <v>0.146543045078615i</v>
      </c>
      <c r="F223" s="579" t="str">
        <f t="shared" si="190"/>
        <v>0.002-0.188970467192433i</v>
      </c>
      <c r="G223" s="270" t="str">
        <f t="shared" si="191"/>
        <v>0.002-0.188970467192433i</v>
      </c>
      <c r="H223" s="271" t="str">
        <f t="shared" si="192"/>
        <v>0.0196422591049444-0.186927636116429i</v>
      </c>
      <c r="I223" s="271" t="str">
        <f t="shared" si="193"/>
        <v>0.0296422591049444-0.186927636116429i</v>
      </c>
      <c r="J223" s="270" t="str">
        <f t="shared" si="194"/>
        <v>0.00794290327077228-0.0944826518160055i</v>
      </c>
      <c r="K223" s="271" t="str">
        <f t="shared" si="169"/>
        <v>0.995760452322858-0.102277390479212i</v>
      </c>
      <c r="L223" s="580"/>
      <c r="M223" s="580" t="str">
        <f t="shared" si="170"/>
        <v>3.15019819749265-171.587057661036i</v>
      </c>
      <c r="N223" s="270" t="str">
        <f t="shared" si="171"/>
        <v>-4.30401801854718-128.690293245777i</v>
      </c>
      <c r="O223" s="581" t="str">
        <f t="shared" si="172"/>
        <v>-6.87805216731433-64.1387534355214i</v>
      </c>
      <c r="P223" s="582" t="str">
        <f t="shared" si="173"/>
        <v>-12.1931865676374-0.615519515282319i</v>
      </c>
      <c r="Q223" s="583" t="str">
        <f t="shared" si="174"/>
        <v>-12.1244060459642+0.025868019072895i</v>
      </c>
      <c r="R223" s="581" t="str">
        <f t="shared" si="195"/>
        <v>-0.645325674613077-7.66466510397442i</v>
      </c>
      <c r="S223" s="253" t="str">
        <f t="shared" si="196"/>
        <v>51.3371995781027-1.43184950306661i</v>
      </c>
      <c r="T223" s="253" t="str">
        <f t="shared" si="197"/>
        <v>19.0782662902605-2.94332979432824i</v>
      </c>
      <c r="U223" s="253" t="str">
        <f t="shared" si="198"/>
        <v>-0.175449431018409-3.62406886528965i</v>
      </c>
      <c r="V223" s="582" t="str">
        <f t="shared" si="175"/>
        <v>6000</v>
      </c>
      <c r="W223" s="584" t="str">
        <f t="shared" si="176"/>
        <v>1+45598.0082554506i</v>
      </c>
      <c r="X223" s="585">
        <f t="shared" si="177"/>
        <v>45598.008266415993</v>
      </c>
      <c r="Y223" s="586">
        <f t="shared" si="178"/>
        <v>1.5707743960124327</v>
      </c>
      <c r="Z223" s="273" t="str">
        <f t="shared" si="179"/>
        <v>1+6.83867543700203i</v>
      </c>
      <c r="AA223" s="585">
        <f t="shared" si="180"/>
        <v>6.911402298568281</v>
      </c>
      <c r="AB223" s="586">
        <f t="shared" si="181"/>
        <v>1.4255982373293894</v>
      </c>
      <c r="AC223" s="584" t="str">
        <f t="shared" si="182"/>
        <v>1+0.330618891811499i</v>
      </c>
      <c r="AD223" s="585">
        <f t="shared" si="183"/>
        <v>1.0532373197065625</v>
      </c>
      <c r="AE223" s="586">
        <f t="shared" si="184"/>
        <v>0.31930557086558237</v>
      </c>
      <c r="AF223" s="580" t="str">
        <f t="shared" si="199"/>
        <v>0.771985225792806-0.386797859843977i</v>
      </c>
      <c r="AG223" s="270">
        <f t="shared" si="200"/>
        <v>0.86346613901313507</v>
      </c>
      <c r="AH223" s="581">
        <f t="shared" si="201"/>
        <v>-0.46448172954862643</v>
      </c>
      <c r="AI223" s="582" t="str">
        <f t="shared" si="185"/>
        <v>4000</v>
      </c>
      <c r="AJ223" s="584" t="str">
        <f t="shared" si="202"/>
        <v>1+3582.28869986026i</v>
      </c>
      <c r="AK223" s="585">
        <f t="shared" si="203"/>
        <v>3582.2888394358311</v>
      </c>
      <c r="AL223" s="586">
        <f t="shared" si="204"/>
        <v>1.5705171756549945</v>
      </c>
      <c r="AM223" s="273" t="str">
        <f t="shared" si="205"/>
        <v>1+0.125375716345037i</v>
      </c>
      <c r="AN223" s="585">
        <f t="shared" si="206"/>
        <v>1.0078288893701306</v>
      </c>
      <c r="AO223" s="586">
        <f t="shared" si="207"/>
        <v>0.12472491351766492</v>
      </c>
      <c r="AP223" s="584" t="str">
        <f t="shared" si="208"/>
        <v>1+0.000907064488961975i</v>
      </c>
      <c r="AQ223" s="585">
        <f t="shared" si="209"/>
        <v>1.0000004113829088</v>
      </c>
      <c r="AR223" s="586">
        <f t="shared" si="210"/>
        <v>9.0706424019482796E-4</v>
      </c>
      <c r="AS223" s="580" t="str">
        <f t="shared" si="211"/>
        <v>0.13929387923987-1.11669177034268i</v>
      </c>
      <c r="AT223" s="270">
        <f t="shared" si="212"/>
        <v>1.1253458556127358</v>
      </c>
      <c r="AU223" s="581">
        <f t="shared" si="213"/>
        <v>-1.4466993263775241</v>
      </c>
      <c r="AV223" s="580" t="str">
        <f t="shared" si="214"/>
        <v>-0.0062930643798913-0.217145307836743i</v>
      </c>
      <c r="AW223" s="270">
        <f t="shared" si="215"/>
        <v>-13.261344938487309</v>
      </c>
      <c r="AX223" s="581">
        <f t="shared" si="216"/>
        <v>-91.660018068514702</v>
      </c>
      <c r="AY223" s="299">
        <f t="shared" si="186"/>
        <v>88.339981931485298</v>
      </c>
      <c r="BB223" s="270">
        <f t="shared" si="219"/>
        <v>-38.974279682597185</v>
      </c>
      <c r="BC223" s="270">
        <f t="shared" si="220"/>
        <v>-82.889765625851339</v>
      </c>
      <c r="BD223" s="286"/>
      <c r="BE223" s="270">
        <f t="shared" si="217"/>
        <v>25.712934744109894</v>
      </c>
      <c r="BF223" s="581">
        <f t="shared" si="218"/>
        <v>-8.7702524426633577</v>
      </c>
      <c r="BI223" s="286"/>
      <c r="BJ223" s="286"/>
      <c r="BL223" s="253">
        <f t="shared" si="187"/>
        <v>0</v>
      </c>
      <c r="BM223" s="253">
        <f t="shared" si="221"/>
        <v>0</v>
      </c>
      <c r="BN223" s="253">
        <f t="shared" si="188"/>
        <v>0</v>
      </c>
      <c r="BO223" s="253">
        <f t="shared" si="189"/>
        <v>0</v>
      </c>
    </row>
    <row r="224" spans="4:67" ht="13.6" thickBot="1" x14ac:dyDescent="0.25">
      <c r="D224" s="280">
        <v>13032.5</v>
      </c>
      <c r="E224" s="273" t="str">
        <f t="shared" si="168"/>
        <v>0.147394102528472i</v>
      </c>
      <c r="F224" s="579" t="str">
        <f t="shared" si="190"/>
        <v>0.002-0.187879346712385i</v>
      </c>
      <c r="G224" s="270" t="str">
        <f t="shared" si="191"/>
        <v>0.002-0.187879346712385i</v>
      </c>
      <c r="H224" s="271" t="str">
        <f t="shared" si="192"/>
        <v>0.019440864230908-0.185867211065706i</v>
      </c>
      <c r="I224" s="271" t="str">
        <f t="shared" si="193"/>
        <v>0.029440864230908-0.185867211065706i</v>
      </c>
      <c r="J224" s="270" t="str">
        <f t="shared" si="194"/>
        <v>0.00789171584059575-0.0939402653949129i</v>
      </c>
      <c r="K224" s="271" t="str">
        <f t="shared" si="169"/>
        <v>0.995711066481907-0.102871372507309i</v>
      </c>
      <c r="L224" s="580"/>
      <c r="M224" s="580" t="str">
        <f t="shared" si="170"/>
        <v>2.98987880794738-169.494744071754i</v>
      </c>
      <c r="N224" s="270" t="str">
        <f t="shared" si="171"/>
        <v>-4.42425756070614-127.121058053816i</v>
      </c>
      <c r="O224" s="581" t="str">
        <f t="shared" si="172"/>
        <v>-6.8728591821062-63.3482255033753i</v>
      </c>
      <c r="P224" s="582" t="str">
        <f t="shared" si="173"/>
        <v>-11.9767009143323-0.587587338088407i</v>
      </c>
      <c r="Q224" s="583" t="str">
        <f t="shared" si="174"/>
        <v>-11.9079723225113+0.0458949169453458i</v>
      </c>
      <c r="R224" s="581" t="str">
        <f t="shared" si="195"/>
        <v>-0.647406271405299-7.57034948217472i</v>
      </c>
      <c r="S224" s="253" t="str">
        <f t="shared" si="196"/>
        <v>51.3401184450121-1.48434125677776i</v>
      </c>
      <c r="T224" s="253" t="str">
        <f t="shared" si="197"/>
        <v>19.075604201192-2.97305699143185i</v>
      </c>
      <c r="U224" s="253" t="str">
        <f t="shared" si="198"/>
        <v>-0.181747579938925-3.60332814958999i</v>
      </c>
      <c r="V224" s="582" t="str">
        <f t="shared" si="175"/>
        <v>6000</v>
      </c>
      <c r="W224" s="584" t="str">
        <f t="shared" si="176"/>
        <v>1+45862.8214003095i</v>
      </c>
      <c r="X224" s="585">
        <f t="shared" si="177"/>
        <v>45862.821411211575</v>
      </c>
      <c r="Y224" s="586">
        <f t="shared" si="178"/>
        <v>1.5707745226413512</v>
      </c>
      <c r="Z224" s="273" t="str">
        <f t="shared" si="179"/>
        <v>1+6.87839145132871i</v>
      </c>
      <c r="AA224" s="585">
        <f t="shared" si="180"/>
        <v>6.950702767182027</v>
      </c>
      <c r="AB224" s="586">
        <f t="shared" si="181"/>
        <v>1.4264249808841853</v>
      </c>
      <c r="AC224" s="584" t="str">
        <f t="shared" si="182"/>
        <v>1+0.332538980689063i</v>
      </c>
      <c r="AD224" s="585">
        <f t="shared" si="183"/>
        <v>1.0538416264684751</v>
      </c>
      <c r="AE224" s="586">
        <f t="shared" si="184"/>
        <v>0.32103546672912281</v>
      </c>
      <c r="AF224" s="580" t="str">
        <f t="shared" si="199"/>
        <v>0.77110008729393-0.387226137474355i</v>
      </c>
      <c r="AG224" s="270">
        <f t="shared" si="200"/>
        <v>0.86286698057580968</v>
      </c>
      <c r="AH224" s="581">
        <f t="shared" si="201"/>
        <v>-0.46538500848629016</v>
      </c>
      <c r="AI224" s="582" t="str">
        <f t="shared" si="185"/>
        <v>4000</v>
      </c>
      <c r="AJ224" s="584" t="str">
        <f t="shared" si="202"/>
        <v>1+3603.09305453927i</v>
      </c>
      <c r="AK224" s="585">
        <f t="shared" si="203"/>
        <v>3603.0931933089278</v>
      </c>
      <c r="AL224" s="586">
        <f t="shared" si="204"/>
        <v>1.5705187874809829</v>
      </c>
      <c r="AM224" s="273" t="str">
        <f t="shared" si="205"/>
        <v>1+0.12610384327436i</v>
      </c>
      <c r="AN224" s="585">
        <f t="shared" si="206"/>
        <v>1.0079197285937826</v>
      </c>
      <c r="AO224" s="586">
        <f t="shared" si="207"/>
        <v>0.12544170755080206</v>
      </c>
      <c r="AP224" s="584" t="str">
        <f t="shared" si="208"/>
        <v>1+0.000912332319928762i</v>
      </c>
      <c r="AQ224" s="585">
        <f t="shared" si="209"/>
        <v>1.0000004161750444</v>
      </c>
      <c r="AR224" s="586">
        <f t="shared" si="210"/>
        <v>9.1233206680220664E-4</v>
      </c>
      <c r="AS224" s="580" t="str">
        <f t="shared" si="211"/>
        <v>0.139290288880156-1.11024542353622i</v>
      </c>
      <c r="AT224" s="270">
        <f t="shared" si="212"/>
        <v>1.1189489197722287</v>
      </c>
      <c r="AU224" s="581">
        <f t="shared" si="213"/>
        <v>-1.4459894119969841</v>
      </c>
      <c r="AV224" s="580" t="str">
        <f t="shared" si="214"/>
        <v>-0.00643776498902024-0.215927202327554i</v>
      </c>
      <c r="AW224" s="270">
        <f t="shared" si="215"/>
        <v>-13.309994091183695</v>
      </c>
      <c r="AX224" s="581">
        <f t="shared" si="216"/>
        <v>-91.707740037982902</v>
      </c>
      <c r="AY224" s="299">
        <f t="shared" si="186"/>
        <v>88.292259962017098</v>
      </c>
      <c r="BB224" s="270">
        <f t="shared" si="219"/>
        <v>-39.023794772871717</v>
      </c>
      <c r="BC224" s="270">
        <f t="shared" si="220"/>
        <v>-82.849090528030757</v>
      </c>
      <c r="BD224" s="286"/>
      <c r="BE224" s="270">
        <f t="shared" si="217"/>
        <v>25.713800681688031</v>
      </c>
      <c r="BF224" s="581">
        <f t="shared" si="218"/>
        <v>-8.8586495099521496</v>
      </c>
      <c r="BI224" s="286"/>
      <c r="BJ224" s="286"/>
      <c r="BL224" s="253">
        <f t="shared" si="187"/>
        <v>0</v>
      </c>
      <c r="BM224" s="253">
        <f t="shared" si="221"/>
        <v>0</v>
      </c>
      <c r="BN224" s="253">
        <f t="shared" si="188"/>
        <v>0</v>
      </c>
      <c r="BO224" s="253">
        <f t="shared" si="189"/>
        <v>0</v>
      </c>
    </row>
    <row r="225" spans="4:67" ht="13.6" thickBot="1" x14ac:dyDescent="0.25">
      <c r="D225" s="280">
        <v>13107.75</v>
      </c>
      <c r="E225" s="273" t="str">
        <f t="shared" si="168"/>
        <v>0.14824515997833i</v>
      </c>
      <c r="F225" s="579" t="str">
        <f t="shared" si="190"/>
        <v>0.002-0.18680075421252i</v>
      </c>
      <c r="G225" s="270" t="str">
        <f t="shared" si="191"/>
        <v>0.002-0.18680075421252i</v>
      </c>
      <c r="H225" s="271" t="str">
        <f t="shared" si="192"/>
        <v>0.0192428880244535-0.184818642571851i</v>
      </c>
      <c r="I225" s="271" t="str">
        <f t="shared" si="193"/>
        <v>0.0292428880244535-0.184818642571851i</v>
      </c>
      <c r="J225" s="270" t="str">
        <f t="shared" si="194"/>
        <v>0.00784140426332068-0.093404070036745i</v>
      </c>
      <c r="K225" s="271" t="str">
        <f t="shared" si="169"/>
        <v>0.995661394660173-0.103465354535406i</v>
      </c>
      <c r="L225" s="580"/>
      <c r="M225" s="580" t="str">
        <f t="shared" si="170"/>
        <v>2.83792277698103-167.458622673196i</v>
      </c>
      <c r="N225" s="270" t="str">
        <f t="shared" si="171"/>
        <v>-4.5382245839309-125.593967004897i</v>
      </c>
      <c r="O225" s="581" t="str">
        <f t="shared" si="172"/>
        <v>-6.86645195223355-62.5790704736809i</v>
      </c>
      <c r="P225" s="582" t="str">
        <f t="shared" si="173"/>
        <v>-11.7665737439184-0.560944421439596i</v>
      </c>
      <c r="Q225" s="583" t="str">
        <f t="shared" si="174"/>
        <v>-11.697909224396+0.0648462832972152i</v>
      </c>
      <c r="R225" s="581" t="str">
        <f t="shared" si="195"/>
        <v>-0.649262377653844-7.47857627651277i</v>
      </c>
      <c r="S225" s="253" t="str">
        <f t="shared" si="196"/>
        <v>51.3429030992154-1.53660002024794i</v>
      </c>
      <c r="T225" s="253" t="str">
        <f t="shared" si="197"/>
        <v>19.0728828803472-3.00271158867721i</v>
      </c>
      <c r="U225" s="253" t="str">
        <f t="shared" si="198"/>
        <v>-0.18793973028405-3.58280516674831i</v>
      </c>
      <c r="V225" s="582" t="str">
        <f t="shared" si="175"/>
        <v>6000</v>
      </c>
      <c r="W225" s="584" t="str">
        <f t="shared" si="176"/>
        <v>1+46127.6345451684i</v>
      </c>
      <c r="X225" s="585">
        <f t="shared" si="177"/>
        <v>46127.634556007884</v>
      </c>
      <c r="Y225" s="586">
        <f t="shared" si="178"/>
        <v>1.5707746478163471</v>
      </c>
      <c r="Z225" s="273" t="str">
        <f t="shared" si="179"/>
        <v>1+6.91810746565539i</v>
      </c>
      <c r="AA225" s="585">
        <f t="shared" si="180"/>
        <v>6.9900079332112961</v>
      </c>
      <c r="AB225" s="586">
        <f t="shared" si="181"/>
        <v>1.4272424273513398</v>
      </c>
      <c r="AC225" s="584" t="str">
        <f t="shared" si="182"/>
        <v>1+0.334459069566627i</v>
      </c>
      <c r="AD225" s="585">
        <f t="shared" si="183"/>
        <v>1.0544490832730491</v>
      </c>
      <c r="AE225" s="586">
        <f t="shared" si="184"/>
        <v>0.32276337460964732</v>
      </c>
      <c r="AF225" s="580" t="str">
        <f t="shared" si="199"/>
        <v>0.770211868861992-0.387658708130464i</v>
      </c>
      <c r="AG225" s="270">
        <f t="shared" si="200"/>
        <v>0.86226770606654557</v>
      </c>
      <c r="AH225" s="581">
        <f t="shared" si="201"/>
        <v>-0.46629559507465401</v>
      </c>
      <c r="AI225" s="582" t="str">
        <f t="shared" si="185"/>
        <v>4000</v>
      </c>
      <c r="AJ225" s="584" t="str">
        <f t="shared" si="202"/>
        <v>1+3623.89740921827i</v>
      </c>
      <c r="AK225" s="585">
        <f t="shared" si="203"/>
        <v>3623.8975471912677</v>
      </c>
      <c r="AL225" s="586">
        <f t="shared" si="204"/>
        <v>1.5705203808003787</v>
      </c>
      <c r="AM225" s="273" t="str">
        <f t="shared" si="205"/>
        <v>1+0.126831970203682i</v>
      </c>
      <c r="AN225" s="585">
        <f t="shared" si="206"/>
        <v>1.0080110855867348</v>
      </c>
      <c r="AO225" s="586">
        <f t="shared" si="207"/>
        <v>0.12615837202466537</v>
      </c>
      <c r="AP225" s="584" t="str">
        <f t="shared" si="208"/>
        <v>1+0.000917600150895547i</v>
      </c>
      <c r="AQ225" s="585">
        <f t="shared" si="209"/>
        <v>1.0000004209949298</v>
      </c>
      <c r="AR225" s="586">
        <f t="shared" si="210"/>
        <v>9.1759989335894884E-4</v>
      </c>
      <c r="AS225" s="580" t="str">
        <f t="shared" si="211"/>
        <v>0.139286760147637-1.10387310050631i</v>
      </c>
      <c r="AT225" s="270">
        <f t="shared" si="212"/>
        <v>1.1126260034593114</v>
      </c>
      <c r="AU225" s="581">
        <f t="shared" si="213"/>
        <v>-1.4452796086690722</v>
      </c>
      <c r="AV225" s="580" t="str">
        <f t="shared" si="214"/>
        <v>-0.00658012488240447-0.214722803295672i</v>
      </c>
      <c r="AW225" s="270">
        <f t="shared" si="215"/>
        <v>-13.35836008504759</v>
      </c>
      <c r="AX225" s="581">
        <f t="shared" si="216"/>
        <v>-91.755265054840834</v>
      </c>
      <c r="AY225" s="299">
        <f t="shared" si="186"/>
        <v>88.244734945159166</v>
      </c>
      <c r="BB225" s="270">
        <f t="shared" si="219"/>
        <v>-39.073015885442544</v>
      </c>
      <c r="BC225" s="270">
        <f t="shared" si="220"/>
        <v>-82.808421793057065</v>
      </c>
      <c r="BD225" s="286"/>
      <c r="BE225" s="270">
        <f t="shared" si="217"/>
        <v>25.714655800394954</v>
      </c>
      <c r="BF225" s="581">
        <f t="shared" si="218"/>
        <v>-8.9468432617837887</v>
      </c>
      <c r="BI225" s="286"/>
      <c r="BJ225" s="286"/>
      <c r="BL225" s="253">
        <f t="shared" si="187"/>
        <v>0</v>
      </c>
      <c r="BM225" s="253">
        <f t="shared" si="221"/>
        <v>0</v>
      </c>
      <c r="BN225" s="253">
        <f t="shared" si="188"/>
        <v>0</v>
      </c>
      <c r="BO225" s="253">
        <f t="shared" si="189"/>
        <v>0</v>
      </c>
    </row>
    <row r="226" spans="4:67" ht="13.6" thickBot="1" x14ac:dyDescent="0.25">
      <c r="D226" s="280">
        <v>13183</v>
      </c>
      <c r="E226" s="273" t="str">
        <f t="shared" si="168"/>
        <v>0.149096217428187i</v>
      </c>
      <c r="F226" s="579" t="str">
        <f t="shared" si="190"/>
        <v>0.002-0.185734475159612i</v>
      </c>
      <c r="G226" s="270" t="str">
        <f t="shared" si="191"/>
        <v>0.002-0.185734475159612i</v>
      </c>
      <c r="H226" s="271" t="str">
        <f t="shared" si="192"/>
        <v>0.0190482537670101-0.183781734716834i</v>
      </c>
      <c r="I226" s="271" t="str">
        <f t="shared" si="193"/>
        <v>0.0290482537670101-0.183781734716834i</v>
      </c>
      <c r="J226" s="270" t="str">
        <f t="shared" si="194"/>
        <v>0.00779194866628211-0.0928739606444474i</v>
      </c>
      <c r="K226" s="271" t="str">
        <f t="shared" si="169"/>
        <v>0.995611436857655-0.104059336563503i</v>
      </c>
      <c r="L226" s="580"/>
      <c r="M226" s="580" t="str">
        <f t="shared" si="170"/>
        <v>2.69381563076689-165.476398817703i</v>
      </c>
      <c r="N226" s="270" t="str">
        <f t="shared" si="171"/>
        <v>-4.6463049435915-124.107299113277i</v>
      </c>
      <c r="O226" s="581" t="str">
        <f t="shared" si="172"/>
        <v>-6.85894307220632-61.830409217308i</v>
      </c>
      <c r="P226" s="582" t="str">
        <f t="shared" si="173"/>
        <v>-11.5625401831435-0.535516961328355i</v>
      </c>
      <c r="Q226" s="583" t="str">
        <f t="shared" si="174"/>
        <v>-11.4939507524214+0.0827871308447252i</v>
      </c>
      <c r="R226" s="581" t="str">
        <f t="shared" si="195"/>
        <v>-0.650910769828868-7.3892411685443i</v>
      </c>
      <c r="S226" s="253" t="str">
        <f t="shared" si="196"/>
        <v>51.3455559965407-1.5886293634721i</v>
      </c>
      <c r="T226" s="253" t="str">
        <f t="shared" si="197"/>
        <v>19.0701030499805-3.03229460207384i</v>
      </c>
      <c r="U226" s="253" t="str">
        <f t="shared" si="198"/>
        <v>-0.19402819988256-3.56249653683082i</v>
      </c>
      <c r="V226" s="582" t="str">
        <f t="shared" si="175"/>
        <v>6000</v>
      </c>
      <c r="W226" s="584" t="str">
        <f t="shared" si="176"/>
        <v>1+46392.4476900273i</v>
      </c>
      <c r="X226" s="585">
        <f t="shared" si="177"/>
        <v>46392.447700804922</v>
      </c>
      <c r="Y226" s="586">
        <f t="shared" si="178"/>
        <v>1.5707747715623182</v>
      </c>
      <c r="Z226" s="273" t="str">
        <f t="shared" si="179"/>
        <v>1+6.95782347998208i</v>
      </c>
      <c r="AA226" s="585">
        <f t="shared" si="180"/>
        <v>7.0293177178578254</v>
      </c>
      <c r="AB226" s="586">
        <f t="shared" si="181"/>
        <v>1.4280507316043638</v>
      </c>
      <c r="AC226" s="584" t="str">
        <f t="shared" si="182"/>
        <v>1+0.336379158444191i</v>
      </c>
      <c r="AD226" s="585">
        <f t="shared" si="183"/>
        <v>1.0550596846793181</v>
      </c>
      <c r="AE226" s="586">
        <f t="shared" si="184"/>
        <v>0.32448928763196327</v>
      </c>
      <c r="AF226" s="580" t="str">
        <f t="shared" si="199"/>
        <v>0.769320598766442-0.388095414218071i</v>
      </c>
      <c r="AG226" s="270">
        <f t="shared" si="200"/>
        <v>0.86166828549242358</v>
      </c>
      <c r="AH226" s="581">
        <f t="shared" si="201"/>
        <v>-0.46721332758991785</v>
      </c>
      <c r="AI226" s="582" t="str">
        <f t="shared" si="185"/>
        <v>4000</v>
      </c>
      <c r="AJ226" s="584" t="str">
        <f t="shared" si="202"/>
        <v>1+3644.70176389727i</v>
      </c>
      <c r="AK226" s="585">
        <f t="shared" si="203"/>
        <v>3644.7019010827034</v>
      </c>
      <c r="AL226" s="586">
        <f t="shared" si="204"/>
        <v>1.5705219559300942</v>
      </c>
      <c r="AM226" s="273" t="str">
        <f t="shared" si="205"/>
        <v>1+0.127560097133005i</v>
      </c>
      <c r="AN226" s="585">
        <f t="shared" si="206"/>
        <v>1.0081029602082228</v>
      </c>
      <c r="AO226" s="586">
        <f t="shared" si="207"/>
        <v>0.12687490623841116</v>
      </c>
      <c r="AP226" s="584" t="str">
        <f t="shared" si="208"/>
        <v>1+0.000922867981862334i</v>
      </c>
      <c r="AQ226" s="585">
        <f t="shared" si="209"/>
        <v>1.0000004258425654</v>
      </c>
      <c r="AR226" s="586">
        <f t="shared" si="210"/>
        <v>9.2286771986476628E-4</v>
      </c>
      <c r="AS226" s="580" t="str">
        <f t="shared" si="211"/>
        <v>0.139283291639064-1.09757353364602i</v>
      </c>
      <c r="AT226" s="270">
        <f t="shared" si="212"/>
        <v>1.1063758389851177</v>
      </c>
      <c r="AU226" s="581">
        <f t="shared" si="213"/>
        <v>-1.4445699174115476</v>
      </c>
      <c r="AV226" s="580" t="str">
        <f t="shared" si="214"/>
        <v>-0.00672019576756499-0.21353188364957i</v>
      </c>
      <c r="AW226" s="270">
        <f t="shared" si="215"/>
        <v>-13.406445978183184</v>
      </c>
      <c r="AX226" s="581">
        <f t="shared" si="216"/>
        <v>-91.802596416105629</v>
      </c>
      <c r="AY226" s="299">
        <f t="shared" si="186"/>
        <v>88.197403583894371</v>
      </c>
      <c r="BB226" s="270">
        <f t="shared" si="219"/>
        <v>-39.121946338199294</v>
      </c>
      <c r="BC226" s="270">
        <f t="shared" si="220"/>
        <v>-82.76775947924358</v>
      </c>
      <c r="BD226" s="286"/>
      <c r="BE226" s="270">
        <f t="shared" si="217"/>
        <v>25.715500360016129</v>
      </c>
      <c r="BF226" s="581">
        <f t="shared" si="218"/>
        <v>-9.0348369368620602</v>
      </c>
      <c r="BI226" s="286"/>
      <c r="BJ226" s="286"/>
      <c r="BL226" s="253">
        <f t="shared" si="187"/>
        <v>0</v>
      </c>
      <c r="BM226" s="253">
        <f t="shared" si="221"/>
        <v>0</v>
      </c>
      <c r="BN226" s="253">
        <f t="shared" si="188"/>
        <v>0</v>
      </c>
      <c r="BO226" s="253">
        <f t="shared" si="189"/>
        <v>0</v>
      </c>
    </row>
    <row r="227" spans="4:67" ht="13.6" thickBot="1" x14ac:dyDescent="0.25">
      <c r="D227" s="280">
        <v>13259.75</v>
      </c>
      <c r="E227" s="273" t="str">
        <f t="shared" si="168"/>
        <v>0.149964239478374i</v>
      </c>
      <c r="F227" s="579" t="str">
        <f t="shared" si="190"/>
        <v>0.002-0.18465940806042i</v>
      </c>
      <c r="G227" s="270" t="str">
        <f t="shared" si="191"/>
        <v>0.002-0.18465940806042i</v>
      </c>
      <c r="H227" s="271" t="str">
        <f t="shared" si="192"/>
        <v>0.0188531049658994-0.18273597048838i</v>
      </c>
      <c r="I227" s="271" t="str">
        <f t="shared" si="193"/>
        <v>0.0288531049658994-0.18273597048838i</v>
      </c>
      <c r="J227" s="270" t="str">
        <f t="shared" si="194"/>
        <v>0.00774236896439546-0.0923394469145071i</v>
      </c>
      <c r="K227" s="271" t="str">
        <f t="shared" si="169"/>
        <v>0.995560188630022-0.104665158764918i</v>
      </c>
      <c r="L227" s="580"/>
      <c r="M227" s="580" t="str">
        <f t="shared" si="170"/>
        <v>2.55442636055685-163.507931388485i</v>
      </c>
      <c r="N227" s="270" t="str">
        <f t="shared" si="171"/>
        <v>-4.75084689624903-122.630948541364i</v>
      </c>
      <c r="O227" s="581" t="str">
        <f t="shared" si="172"/>
        <v>-6.85025644521891-61.0870731930015i</v>
      </c>
      <c r="P227" s="582" t="str">
        <f t="shared" si="173"/>
        <v>-11.360456772475-0.510763475285895i</v>
      </c>
      <c r="Q227" s="583" t="str">
        <f t="shared" si="174"/>
        <v>-11.2919542080229+0.100107256644121i</v>
      </c>
      <c r="R227" s="581" t="str">
        <f t="shared" si="195"/>
        <v>-0.652394066251407-7.30053448757663i</v>
      </c>
      <c r="S227" s="253" t="str">
        <f t="shared" si="196"/>
        <v>51.3481285302238-1.64146313833245i</v>
      </c>
      <c r="T227" s="253" t="str">
        <f t="shared" si="197"/>
        <v>19.0672082658649-3.06239460345126i</v>
      </c>
      <c r="U227" s="253" t="str">
        <f t="shared" si="198"/>
        <v>-0.200133571037028-3.54200045387276i</v>
      </c>
      <c r="V227" s="582" t="str">
        <f t="shared" si="175"/>
        <v>6000</v>
      </c>
      <c r="W227" s="584" t="str">
        <f t="shared" si="176"/>
        <v>1+46662.5395022255i</v>
      </c>
      <c r="X227" s="585">
        <f t="shared" si="177"/>
        <v>46662.539512940733</v>
      </c>
      <c r="Y227" s="586">
        <f t="shared" si="178"/>
        <v>1.5707748963281771</v>
      </c>
      <c r="Z227" s="273" t="str">
        <f t="shared" si="179"/>
        <v>1+6.99833117565746i</v>
      </c>
      <c r="AA227" s="585">
        <f t="shared" si="180"/>
        <v>7.0694157639920379</v>
      </c>
      <c r="AB227" s="586">
        <f t="shared" si="181"/>
        <v>1.4288658879041429</v>
      </c>
      <c r="AC227" s="584" t="str">
        <f t="shared" si="182"/>
        <v>1+0.33833752151865i</v>
      </c>
      <c r="AD227" s="585">
        <f t="shared" si="183"/>
        <v>1.0556856911350949</v>
      </c>
      <c r="AE227" s="586">
        <f t="shared" si="184"/>
        <v>0.32624754227154923</v>
      </c>
      <c r="AF227" s="580" t="str">
        <f t="shared" si="199"/>
        <v>0.768408448278534-0.388544925654448i</v>
      </c>
      <c r="AG227" s="270">
        <f t="shared" si="200"/>
        <v>0.8610567360154876</v>
      </c>
      <c r="AH227" s="581">
        <f t="shared" si="201"/>
        <v>-0.46815655069558298</v>
      </c>
      <c r="AI227" s="582" t="str">
        <f t="shared" si="185"/>
        <v>4000</v>
      </c>
      <c r="AJ227" s="584" t="str">
        <f t="shared" si="202"/>
        <v>1+3665.9208233207i</v>
      </c>
      <c r="AK227" s="585">
        <f t="shared" si="203"/>
        <v>3665.9209597120771</v>
      </c>
      <c r="AL227" s="586">
        <f t="shared" si="204"/>
        <v>1.5705235440416971</v>
      </c>
      <c r="AM227" s="273" t="str">
        <f t="shared" si="205"/>
        <v>1+0.128302738220387i</v>
      </c>
      <c r="AN227" s="585">
        <f t="shared" si="206"/>
        <v>1.0081971992794114</v>
      </c>
      <c r="AO227" s="586">
        <f t="shared" si="207"/>
        <v>0.12760558861945176</v>
      </c>
      <c r="AP227" s="584" t="str">
        <f t="shared" si="208"/>
        <v>1+0.000928240819426464i</v>
      </c>
      <c r="AQ227" s="585">
        <f t="shared" si="209"/>
        <v>1.0000004308154167</v>
      </c>
      <c r="AR227" s="586">
        <f t="shared" si="210"/>
        <v>9.2824055282624083E-4</v>
      </c>
      <c r="AS227" s="580" t="str">
        <f t="shared" si="211"/>
        <v>0.139279814613692-1.0912220556323i</v>
      </c>
      <c r="AT227" s="270">
        <f t="shared" si="212"/>
        <v>1.1000747435775475</v>
      </c>
      <c r="AU227" s="581">
        <f t="shared" si="213"/>
        <v>-1.4438461959750721</v>
      </c>
      <c r="AV227" s="580" t="str">
        <f t="shared" si="214"/>
        <v>-0.00686075301865028-0.212330879516889i</v>
      </c>
      <c r="AW227" s="270">
        <f t="shared" si="215"/>
        <v>-13.455204982177463</v>
      </c>
      <c r="AX227" s="581">
        <f t="shared" si="216"/>
        <v>-91.850675122788203</v>
      </c>
      <c r="AY227" s="299">
        <f t="shared" si="186"/>
        <v>88.149324877211797</v>
      </c>
      <c r="BB227" s="270">
        <f t="shared" si="219"/>
        <v>-39.171556121917234</v>
      </c>
      <c r="BC227" s="270">
        <f t="shared" si="220"/>
        <v>-82.726293295390377</v>
      </c>
      <c r="BD227" s="286"/>
      <c r="BE227" s="270">
        <f t="shared" si="217"/>
        <v>25.716351139739789</v>
      </c>
      <c r="BF227" s="581">
        <f t="shared" si="218"/>
        <v>-9.1243818273978228</v>
      </c>
      <c r="BI227" s="286"/>
      <c r="BJ227" s="286"/>
      <c r="BL227" s="253">
        <f t="shared" si="187"/>
        <v>0</v>
      </c>
      <c r="BM227" s="253">
        <f t="shared" si="221"/>
        <v>0</v>
      </c>
      <c r="BN227" s="253">
        <f t="shared" si="188"/>
        <v>0</v>
      </c>
      <c r="BO227" s="253">
        <f t="shared" si="189"/>
        <v>0</v>
      </c>
    </row>
    <row r="228" spans="4:67" ht="13.6" thickBot="1" x14ac:dyDescent="0.25">
      <c r="D228" s="280">
        <v>13336.5</v>
      </c>
      <c r="E228" s="273" t="str">
        <f t="shared" si="168"/>
        <v>0.150832261528561i</v>
      </c>
      <c r="F228" s="579" t="str">
        <f t="shared" si="190"/>
        <v>0.002-0.183596714732438i</v>
      </c>
      <c r="G228" s="270" t="str">
        <f t="shared" si="191"/>
        <v>0.002-0.183596714732438i</v>
      </c>
      <c r="H228" s="271" t="str">
        <f t="shared" si="192"/>
        <v>0.0186612781707597-0.181701938111896i</v>
      </c>
      <c r="I228" s="271" t="str">
        <f t="shared" si="193"/>
        <v>0.0286612781707597-0.181701938111896i</v>
      </c>
      <c r="J228" s="270" t="str">
        <f t="shared" si="194"/>
        <v>0.00769363970874105-0.091811050787167i</v>
      </c>
      <c r="K228" s="271" t="str">
        <f t="shared" si="169"/>
        <v>0.995508642906745-0.105270980966332i</v>
      </c>
      <c r="L228" s="580"/>
      <c r="M228" s="580" t="str">
        <f t="shared" si="170"/>
        <v>2.422235868488-161.591093819615i</v>
      </c>
      <c r="N228" s="270" t="str">
        <f t="shared" si="171"/>
        <v>-4.84998976530067-121.193320364711i</v>
      </c>
      <c r="O228" s="581" t="str">
        <f t="shared" si="172"/>
        <v>-6.84063082313234-60.3633569129873i</v>
      </c>
      <c r="P228" s="582" t="str">
        <f t="shared" si="173"/>
        <v>-11.1642001649152-0.487135085332856i</v>
      </c>
      <c r="Q228" s="583" t="str">
        <f t="shared" si="174"/>
        <v>-11.0957938566839+0.116498483797014i</v>
      </c>
      <c r="R228" s="581" t="str">
        <f t="shared" si="195"/>
        <v>-0.653692443231469-7.21416240233497i</v>
      </c>
      <c r="S228" s="253" t="str">
        <f t="shared" si="196"/>
        <v>51.3505689534881-1.69406553188771i</v>
      </c>
      <c r="T228" s="253" t="str">
        <f t="shared" si="197"/>
        <v>19.0642540731666-3.09242220789568i</v>
      </c>
      <c r="U228" s="253" t="str">
        <f t="shared" si="198"/>
        <v>-0.206135760257514-3.52172046479498i</v>
      </c>
      <c r="V228" s="582" t="str">
        <f t="shared" si="175"/>
        <v>6000</v>
      </c>
      <c r="W228" s="584" t="str">
        <f t="shared" si="176"/>
        <v>1+46932.6313144238i</v>
      </c>
      <c r="X228" s="585">
        <f t="shared" si="177"/>
        <v>46932.631325077375</v>
      </c>
      <c r="Y228" s="586">
        <f t="shared" si="178"/>
        <v>1.5707750196580104</v>
      </c>
      <c r="Z228" s="273" t="str">
        <f t="shared" si="179"/>
        <v>1+7.03883887133285i</v>
      </c>
      <c r="AA228" s="585">
        <f t="shared" si="180"/>
        <v>7.1095184546202779</v>
      </c>
      <c r="AB228" s="586">
        <f t="shared" si="181"/>
        <v>1.4296718486233111</v>
      </c>
      <c r="AC228" s="584" t="str">
        <f t="shared" si="182"/>
        <v>1+0.340295884593109i</v>
      </c>
      <c r="AD228" s="585">
        <f t="shared" si="183"/>
        <v>1.0563149573261785</v>
      </c>
      <c r="AE228" s="586">
        <f t="shared" si="184"/>
        <v>0.32800370748580771</v>
      </c>
      <c r="AF228" s="580" t="str">
        <f t="shared" si="199"/>
        <v>0.767493182624964-0.388998419232233i</v>
      </c>
      <c r="AG228" s="270">
        <f t="shared" si="200"/>
        <v>0.86044497531275799</v>
      </c>
      <c r="AH228" s="581">
        <f t="shared" si="201"/>
        <v>-0.46910687852050742</v>
      </c>
      <c r="AI228" s="582" t="str">
        <f t="shared" si="185"/>
        <v>4000</v>
      </c>
      <c r="AJ228" s="584" t="str">
        <f t="shared" si="202"/>
        <v>1+3687.13988274414i</v>
      </c>
      <c r="AK228" s="585">
        <f t="shared" si="203"/>
        <v>3687.1400183506007</v>
      </c>
      <c r="AL228" s="586">
        <f t="shared" si="204"/>
        <v>1.5705251138745078</v>
      </c>
      <c r="AM228" s="273" t="str">
        <f t="shared" si="205"/>
        <v>1+0.129045379307769i</v>
      </c>
      <c r="AN228" s="585">
        <f t="shared" si="206"/>
        <v>1.0082919765230138</v>
      </c>
      <c r="AO228" s="586">
        <f t="shared" si="207"/>
        <v>0.12833613402537131</v>
      </c>
      <c r="AP228" s="584" t="str">
        <f t="shared" si="208"/>
        <v>1+0.000933613656990595i</v>
      </c>
      <c r="AQ228" s="585">
        <f t="shared" si="209"/>
        <v>1.0000004358171353</v>
      </c>
      <c r="AR228" s="586">
        <f t="shared" si="210"/>
        <v>9.3361338573412478E-4</v>
      </c>
      <c r="AS228" s="580" t="str">
        <f t="shared" si="211"/>
        <v>0.139276397413221-1.08494369022541i</v>
      </c>
      <c r="AT228" s="270">
        <f t="shared" si="212"/>
        <v>1.0938467561026708</v>
      </c>
      <c r="AU228" s="581">
        <f t="shared" si="213"/>
        <v>-1.4431225932348708</v>
      </c>
      <c r="AV228" s="580" t="str">
        <f t="shared" si="214"/>
        <v>-0.0069990333528838-0.211143435899325i</v>
      </c>
      <c r="AW228" s="270">
        <f t="shared" si="215"/>
        <v>-13.503678877296597</v>
      </c>
      <c r="AX228" s="581">
        <f t="shared" si="216"/>
        <v>-91.898559089036098</v>
      </c>
      <c r="AY228" s="299">
        <f t="shared" si="186"/>
        <v>88.101440910963902</v>
      </c>
      <c r="BB228" s="270">
        <f t="shared" si="219"/>
        <v>-39.220870335932773</v>
      </c>
      <c r="BC228" s="270">
        <f t="shared" si="220"/>
        <v>-82.684833912332749</v>
      </c>
      <c r="BD228" s="286"/>
      <c r="BE228" s="270">
        <f t="shared" si="217"/>
        <v>25.717191458636183</v>
      </c>
      <c r="BF228" s="581">
        <f t="shared" si="218"/>
        <v>-9.2137251767033685</v>
      </c>
      <c r="BI228" s="286"/>
      <c r="BJ228" s="286"/>
      <c r="BL228" s="253">
        <f t="shared" si="187"/>
        <v>0</v>
      </c>
      <c r="BM228" s="253">
        <f t="shared" si="221"/>
        <v>0</v>
      </c>
      <c r="BN228" s="253">
        <f t="shared" si="188"/>
        <v>0</v>
      </c>
      <c r="BO228" s="253">
        <f t="shared" si="189"/>
        <v>0</v>
      </c>
    </row>
    <row r="229" spans="4:67" ht="13.6" thickBot="1" x14ac:dyDescent="0.25">
      <c r="D229" s="280">
        <v>13413.25</v>
      </c>
      <c r="E229" s="273" t="str">
        <f t="shared" si="168"/>
        <v>0.151700283578748i</v>
      </c>
      <c r="F229" s="579" t="str">
        <f t="shared" si="190"/>
        <v>0.002-0.182546182769214i</v>
      </c>
      <c r="G229" s="270" t="str">
        <f t="shared" si="191"/>
        <v>0.002-0.182546182769214i</v>
      </c>
      <c r="H229" s="271" t="str">
        <f t="shared" si="192"/>
        <v>0.0184726986152289-0.180679443017369i</v>
      </c>
      <c r="I229" s="271" t="str">
        <f t="shared" si="193"/>
        <v>0.0284726986152289-0.180679443017369i</v>
      </c>
      <c r="J229" s="270" t="str">
        <f t="shared" si="194"/>
        <v>0.00764574155382571-0.0912886681293798i</v>
      </c>
      <c r="K229" s="271" t="str">
        <f t="shared" si="169"/>
        <v>0.995456799687824-0.105876803167747i</v>
      </c>
      <c r="L229" s="580"/>
      <c r="M229" s="580" t="str">
        <f t="shared" si="170"/>
        <v>2.29680816786675-159.723822904815i</v>
      </c>
      <c r="N229" s="270" t="str">
        <f t="shared" si="171"/>
        <v>-4.94406054076661-119.792867178611i</v>
      </c>
      <c r="O229" s="581" t="str">
        <f t="shared" si="172"/>
        <v>-6.83015754198404-59.6584708700513i</v>
      </c>
      <c r="P229" s="582" t="str">
        <f t="shared" si="173"/>
        <v>-10.9735323052563-0.464568600521825i</v>
      </c>
      <c r="Q229" s="583" t="str">
        <f t="shared" si="174"/>
        <v>-10.9052307298364+0.132016108178688i</v>
      </c>
      <c r="R229" s="581" t="str">
        <f t="shared" si="195"/>
        <v>-0.654819798526139-7.13003119054156i</v>
      </c>
      <c r="S229" s="253" t="str">
        <f t="shared" si="196"/>
        <v>51.3528796652046-1.74644010773642i</v>
      </c>
      <c r="T229" s="253" t="str">
        <f t="shared" si="197"/>
        <v>19.0612411779314-3.12237842795645i</v>
      </c>
      <c r="U229" s="253" t="str">
        <f t="shared" si="198"/>
        <v>-0.212037031740501-3.50165319491071i</v>
      </c>
      <c r="V229" s="582" t="str">
        <f t="shared" si="175"/>
        <v>6000</v>
      </c>
      <c r="W229" s="584" t="str">
        <f t="shared" si="176"/>
        <v>1+47202.723126622i</v>
      </c>
      <c r="X229" s="585">
        <f t="shared" si="177"/>
        <v>47202.723137214605</v>
      </c>
      <c r="Y229" s="586">
        <f t="shared" si="178"/>
        <v>1.5707751415764684</v>
      </c>
      <c r="Z229" s="273" t="str">
        <f t="shared" si="179"/>
        <v>1+7.07934656700824i</v>
      </c>
      <c r="AA229" s="585">
        <f t="shared" si="180"/>
        <v>7.1496257115887785</v>
      </c>
      <c r="AB229" s="586">
        <f t="shared" si="181"/>
        <v>1.4304687674592509</v>
      </c>
      <c r="AC229" s="584" t="str">
        <f t="shared" si="182"/>
        <v>1+0.342254247667568i</v>
      </c>
      <c r="AD229" s="585">
        <f t="shared" si="183"/>
        <v>1.0569474774304033</v>
      </c>
      <c r="AE229" s="586">
        <f t="shared" si="184"/>
        <v>0.32975777618389962</v>
      </c>
      <c r="AF229" s="580" t="str">
        <f t="shared" si="199"/>
        <v>0.766574831765256-0.38945573902177i</v>
      </c>
      <c r="AG229" s="270">
        <f t="shared" si="200"/>
        <v>0.85983297526491942</v>
      </c>
      <c r="AH229" s="581">
        <f t="shared" si="201"/>
        <v>-0.47006415030111648</v>
      </c>
      <c r="AI229" s="582" t="str">
        <f t="shared" si="185"/>
        <v>4000</v>
      </c>
      <c r="AJ229" s="584" t="str">
        <f t="shared" si="202"/>
        <v>1+3708.35894216757i</v>
      </c>
      <c r="AK229" s="585">
        <f t="shared" si="203"/>
        <v>3708.3590769980974</v>
      </c>
      <c r="AL229" s="586">
        <f t="shared" si="204"/>
        <v>1.5705266657422974</v>
      </c>
      <c r="AM229" s="273" t="str">
        <f t="shared" si="205"/>
        <v>1+0.129788020395151i</v>
      </c>
      <c r="AN229" s="585">
        <f t="shared" si="206"/>
        <v>1.0083872917872836</v>
      </c>
      <c r="AO229" s="586">
        <f t="shared" si="207"/>
        <v>0.12906654171512352</v>
      </c>
      <c r="AP229" s="584" t="str">
        <f t="shared" si="208"/>
        <v>1+0.000938986494554725i</v>
      </c>
      <c r="AQ229" s="585">
        <f t="shared" si="209"/>
        <v>1.0000004408477212</v>
      </c>
      <c r="AR229" s="586">
        <f t="shared" si="210"/>
        <v>9.3898621858810589E-4</v>
      </c>
      <c r="AS229" s="580" t="str">
        <f t="shared" si="211"/>
        <v>0.139273038672131-1.0787371823848i</v>
      </c>
      <c r="AT229" s="270">
        <f t="shared" si="212"/>
        <v>1.0876906214362916</v>
      </c>
      <c r="AU229" s="581">
        <f t="shared" si="213"/>
        <v>-1.4423991102457623</v>
      </c>
      <c r="AV229" s="580" t="str">
        <f t="shared" si="214"/>
        <v>-0.00713508727999967-0.209969327325846i</v>
      </c>
      <c r="AW229" s="270">
        <f t="shared" si="215"/>
        <v>-13.551870752618767</v>
      </c>
      <c r="AX229" s="581">
        <f t="shared" si="216"/>
        <v>-91.946251598791392</v>
      </c>
      <c r="AY229" s="299">
        <f t="shared" si="186"/>
        <v>88.053748401208608</v>
      </c>
      <c r="BB229" s="270">
        <f t="shared" si="219"/>
        <v>-39.269892322717219</v>
      </c>
      <c r="BC229" s="270">
        <f t="shared" si="220"/>
        <v>-82.643381390507315</v>
      </c>
      <c r="BD229" s="286"/>
      <c r="BE229" s="270">
        <f t="shared" si="217"/>
        <v>25.718021570098479</v>
      </c>
      <c r="BF229" s="581">
        <f t="shared" si="218"/>
        <v>-9.3028702082840802</v>
      </c>
      <c r="BI229" s="286"/>
      <c r="BJ229" s="286"/>
      <c r="BL229" s="253">
        <f t="shared" si="187"/>
        <v>0</v>
      </c>
      <c r="BM229" s="253">
        <f t="shared" si="221"/>
        <v>0</v>
      </c>
      <c r="BN229" s="253">
        <f t="shared" si="188"/>
        <v>0</v>
      </c>
      <c r="BO229" s="253">
        <f t="shared" si="189"/>
        <v>0</v>
      </c>
    </row>
    <row r="230" spans="4:67" ht="13.6" thickBot="1" x14ac:dyDescent="0.25">
      <c r="D230" s="280">
        <v>13490</v>
      </c>
      <c r="E230" s="273" t="str">
        <f t="shared" si="168"/>
        <v>0.152568305628935i</v>
      </c>
      <c r="F230" s="579" t="str">
        <f t="shared" si="190"/>
        <v>0.002-0.181507604598159i</v>
      </c>
      <c r="G230" s="270" t="str">
        <f t="shared" si="191"/>
        <v>0.002-0.181507604598159i</v>
      </c>
      <c r="H230" s="271" t="str">
        <f t="shared" si="192"/>
        <v>0.0182872936187548-0.179668294873624i</v>
      </c>
      <c r="I230" s="271" t="str">
        <f t="shared" si="193"/>
        <v>0.0282872936187548-0.179668294873624i</v>
      </c>
      <c r="J230" s="270" t="str">
        <f t="shared" si="194"/>
        <v>0.00759865570063978-0.0907721971531608i</v>
      </c>
      <c r="K230" s="271" t="str">
        <f t="shared" si="169"/>
        <v>0.995404658973258-0.106482625369162i</v>
      </c>
      <c r="L230" s="580"/>
      <c r="M230" s="580" t="str">
        <f t="shared" si="170"/>
        <v>2.17773828090994-157.904164373679i</v>
      </c>
      <c r="N230" s="270" t="str">
        <f t="shared" si="171"/>
        <v>-5.03336295598422-118.428123280259i</v>
      </c>
      <c r="O230" s="581" t="str">
        <f t="shared" si="172"/>
        <v>-6.81892014357377-58.9716675286637i</v>
      </c>
      <c r="P230" s="582" t="str">
        <f t="shared" si="173"/>
        <v>-10.7882277469934-0.443005119495595i</v>
      </c>
      <c r="Q230" s="583" t="str">
        <f t="shared" si="174"/>
        <v>-10.7200385455576+0.146711555791045i</v>
      </c>
      <c r="R230" s="581" t="str">
        <f t="shared" si="195"/>
        <v>-0.655788939869203-7.04805210078597i</v>
      </c>
      <c r="S230" s="253" t="str">
        <f t="shared" si="196"/>
        <v>51.3550629990714-1.7985903576043i</v>
      </c>
      <c r="T230" s="253" t="str">
        <f t="shared" si="197"/>
        <v>19.0581702672107-3.15226425520253i</v>
      </c>
      <c r="U230" s="253" t="str">
        <f t="shared" si="198"/>
        <v>-0.217839588210607-3.48179533731974i</v>
      </c>
      <c r="V230" s="582" t="str">
        <f t="shared" si="175"/>
        <v>6000</v>
      </c>
      <c r="W230" s="584" t="str">
        <f t="shared" si="176"/>
        <v>1+47472.8149388203i</v>
      </c>
      <c r="X230" s="585">
        <f t="shared" si="177"/>
        <v>47472.814949352643</v>
      </c>
      <c r="Y230" s="586">
        <f t="shared" si="178"/>
        <v>1.5707752621076405</v>
      </c>
      <c r="Z230" s="273" t="str">
        <f t="shared" si="179"/>
        <v>1+7.11985426268362i</v>
      </c>
      <c r="AA230" s="585">
        <f t="shared" si="180"/>
        <v>7.1897374584788629</v>
      </c>
      <c r="AB230" s="586">
        <f t="shared" si="181"/>
        <v>1.4312567947259429</v>
      </c>
      <c r="AC230" s="584" t="str">
        <f t="shared" si="182"/>
        <v>1+0.344212610742027i</v>
      </c>
      <c r="AD230" s="585">
        <f t="shared" si="183"/>
        <v>1.0575832456094614</v>
      </c>
      <c r="AE230" s="586">
        <f t="shared" si="184"/>
        <v>0.3315097413435093</v>
      </c>
      <c r="AF230" s="580" t="str">
        <f t="shared" si="199"/>
        <v>0.76565342564337-0.389916732688166i</v>
      </c>
      <c r="AG230" s="270">
        <f t="shared" si="200"/>
        <v>0.85922070891572566</v>
      </c>
      <c r="AH230" s="581">
        <f t="shared" si="201"/>
        <v>-0.47102820872520806</v>
      </c>
      <c r="AI230" s="582" t="str">
        <f t="shared" si="185"/>
        <v>4000</v>
      </c>
      <c r="AJ230" s="584" t="str">
        <f t="shared" si="202"/>
        <v>1+3729.578001591i</v>
      </c>
      <c r="AK230" s="585">
        <f t="shared" si="203"/>
        <v>3729.5781356544221</v>
      </c>
      <c r="AL230" s="586">
        <f t="shared" si="204"/>
        <v>1.5705281999516962</v>
      </c>
      <c r="AM230" s="273" t="str">
        <f t="shared" si="205"/>
        <v>1+0.130530661482533i</v>
      </c>
      <c r="AN230" s="585">
        <f t="shared" si="206"/>
        <v>1.0084831449196698</v>
      </c>
      <c r="AO230" s="586">
        <f t="shared" si="207"/>
        <v>0.12979681094852924</v>
      </c>
      <c r="AP230" s="584" t="str">
        <f t="shared" si="208"/>
        <v>1+0.000944359332118856i</v>
      </c>
      <c r="AQ230" s="585">
        <f t="shared" si="209"/>
        <v>1.0000004459071747</v>
      </c>
      <c r="AR230" s="586">
        <f t="shared" si="210"/>
        <v>9.4435905138787592E-4</v>
      </c>
      <c r="AS230" s="580" t="str">
        <f t="shared" si="211"/>
        <v>0.139269737063637-1.0726013056316i</v>
      </c>
      <c r="AT230" s="270">
        <f t="shared" si="212"/>
        <v>1.08160511301694</v>
      </c>
      <c r="AU230" s="581">
        <f t="shared" si="213"/>
        <v>-1.441675748054555</v>
      </c>
      <c r="AV230" s="580" t="str">
        <f t="shared" si="214"/>
        <v>-0.00726896393797598-0.208808333255367i</v>
      </c>
      <c r="AW230" s="270">
        <f t="shared" si="215"/>
        <v>-13.599783647069145</v>
      </c>
      <c r="AX230" s="581">
        <f t="shared" si="216"/>
        <v>-91.993755867553446</v>
      </c>
      <c r="AY230" s="299">
        <f t="shared" si="186"/>
        <v>88.006244132446554</v>
      </c>
      <c r="BB230" s="270">
        <f t="shared" si="219"/>
        <v>-39.318625367586613</v>
      </c>
      <c r="BC230" s="270">
        <f t="shared" si="220"/>
        <v>-82.601935789891812</v>
      </c>
      <c r="BD230" s="286"/>
      <c r="BE230" s="270">
        <f t="shared" si="217"/>
        <v>25.718841720517464</v>
      </c>
      <c r="BF230" s="581">
        <f t="shared" si="218"/>
        <v>-9.3918200776616416</v>
      </c>
      <c r="BI230" s="286"/>
      <c r="BJ230" s="286"/>
      <c r="BL230" s="253">
        <f t="shared" si="187"/>
        <v>0</v>
      </c>
      <c r="BM230" s="253">
        <f t="shared" si="221"/>
        <v>0</v>
      </c>
      <c r="BN230" s="253">
        <f t="shared" si="188"/>
        <v>0</v>
      </c>
      <c r="BO230" s="253">
        <f t="shared" si="189"/>
        <v>0</v>
      </c>
    </row>
    <row r="231" spans="4:67" ht="13.6" thickBot="1" x14ac:dyDescent="0.25">
      <c r="D231" s="280">
        <v>13568.5</v>
      </c>
      <c r="E231" s="273" t="str">
        <f t="shared" si="168"/>
        <v>0.153456119712839i</v>
      </c>
      <c r="F231" s="579" t="str">
        <f t="shared" si="190"/>
        <v>0.002-0.180457499799474i</v>
      </c>
      <c r="G231" s="270" t="str">
        <f t="shared" si="191"/>
        <v>0.002-0.180457499799474i</v>
      </c>
      <c r="H231" s="271" t="str">
        <f t="shared" si="192"/>
        <v>0.0181008714640686-0.178645635160015i</v>
      </c>
      <c r="I231" s="271" t="str">
        <f t="shared" si="193"/>
        <v>0.0281008714640686-0.178645635160015i</v>
      </c>
      <c r="J231" s="270" t="str">
        <f t="shared" si="194"/>
        <v>0.00755131748265839-0.0902499616683186i</v>
      </c>
      <c r="K231" s="271" t="str">
        <f t="shared" si="169"/>
        <v>0.995351021634555-0.107102261106113i</v>
      </c>
      <c r="L231" s="580"/>
      <c r="M231" s="580" t="str">
        <f t="shared" si="170"/>
        <v>2.06213806778778-156.090338213476i</v>
      </c>
      <c r="N231" s="270" t="str">
        <f t="shared" si="171"/>
        <v>-5.12006311582584-117.067753660107i</v>
      </c>
      <c r="O231" s="581" t="str">
        <f t="shared" si="172"/>
        <v>-6.80671571764882-58.2871719745i</v>
      </c>
      <c r="P231" s="582" t="str">
        <f t="shared" si="173"/>
        <v>-10.6040235025397-0.421930274926458i</v>
      </c>
      <c r="Q231" s="583" t="str">
        <f t="shared" si="174"/>
        <v>-10.5359563453632+0.160941444818545i</v>
      </c>
      <c r="R231" s="581" t="str">
        <f t="shared" si="195"/>
        <v>-0.656628819404506-6.96634243071978i</v>
      </c>
      <c r="S231" s="253" t="str">
        <f t="shared" si="196"/>
        <v>51.3571667146183-1.85170121042329i</v>
      </c>
      <c r="T231" s="253" t="str">
        <f t="shared" si="197"/>
        <v>19.0549700177783-3.18275971163832i</v>
      </c>
      <c r="U231" s="253" t="str">
        <f t="shared" si="198"/>
        <v>-0.223674567203848-3.46169794622243i</v>
      </c>
      <c r="V231" s="582" t="str">
        <f t="shared" si="175"/>
        <v>6000</v>
      </c>
      <c r="W231" s="584" t="str">
        <f t="shared" si="176"/>
        <v>1+47749.0651962478i</v>
      </c>
      <c r="X231" s="585">
        <f t="shared" si="177"/>
        <v>47749.065206719206</v>
      </c>
      <c r="Y231" s="586">
        <f t="shared" si="178"/>
        <v>1.5707753839765244</v>
      </c>
      <c r="Z231" s="273" t="str">
        <f t="shared" si="179"/>
        <v>1+7.16128558659916i</v>
      </c>
      <c r="AA231" s="585">
        <f t="shared" si="180"/>
        <v>7.2307683722293916</v>
      </c>
      <c r="AB231" s="586">
        <f t="shared" si="181"/>
        <v>1.4320537452774371</v>
      </c>
      <c r="AC231" s="584" t="str">
        <f t="shared" si="182"/>
        <v>1+0.346215627046196i</v>
      </c>
      <c r="AD231" s="585">
        <f t="shared" si="183"/>
        <v>1.0582368640389497</v>
      </c>
      <c r="AE231" s="586">
        <f t="shared" si="184"/>
        <v>0.33329947031328427</v>
      </c>
      <c r="AF231" s="580" t="str">
        <f t="shared" si="199"/>
        <v>0.764707880902026-0.390391882981257i</v>
      </c>
      <c r="AG231" s="270">
        <f t="shared" si="200"/>
        <v>0.85859417969802165</v>
      </c>
      <c r="AH231" s="581">
        <f t="shared" si="201"/>
        <v>-0.4720211090123711</v>
      </c>
      <c r="AI231" s="582" t="str">
        <f t="shared" si="185"/>
        <v>4000</v>
      </c>
      <c r="AJ231" s="584" t="str">
        <f t="shared" si="202"/>
        <v>1+3751.28088321627i</v>
      </c>
      <c r="AK231" s="585">
        <f t="shared" si="203"/>
        <v>3751.2810165040746</v>
      </c>
      <c r="AL231" s="586">
        <f t="shared" si="204"/>
        <v>1.5705297511884719</v>
      </c>
      <c r="AM231" s="273" t="str">
        <f t="shared" si="205"/>
        <v>1+0.131290235754318i</v>
      </c>
      <c r="AN231" s="585">
        <f t="shared" si="206"/>
        <v>1.0085817398725918</v>
      </c>
      <c r="AO231" s="586">
        <f t="shared" si="207"/>
        <v>0.13054358727353835</v>
      </c>
      <c r="AP231" s="584" t="str">
        <f t="shared" si="208"/>
        <v>1+0.000949854677379888i</v>
      </c>
      <c r="AQ231" s="585">
        <f t="shared" si="209"/>
        <v>1.0000004511118523</v>
      </c>
      <c r="AR231" s="586">
        <f t="shared" si="210"/>
        <v>9.4985439171950967E-4</v>
      </c>
      <c r="AS231" s="580" t="str">
        <f t="shared" si="211"/>
        <v>0.139266417931944-1.0663973387639i</v>
      </c>
      <c r="AT231" s="270">
        <f t="shared" si="212"/>
        <v>1.0754526578545069</v>
      </c>
      <c r="AU231" s="581">
        <f t="shared" si="213"/>
        <v>-1.4409360183066524</v>
      </c>
      <c r="AV231" s="580" t="str">
        <f t="shared" si="214"/>
        <v>-0.00740369068239488-0.207634208613627i</v>
      </c>
      <c r="AW231" s="270">
        <f t="shared" si="215"/>
        <v>-13.648503538953156</v>
      </c>
      <c r="AX231" s="581">
        <f t="shared" si="216"/>
        <v>-92.04215184909603</v>
      </c>
      <c r="AY231" s="299">
        <f t="shared" si="186"/>
        <v>87.95784815090397</v>
      </c>
      <c r="BB231" s="270">
        <f t="shared" si="219"/>
        <v>-39.368174055787641</v>
      </c>
      <c r="BC231" s="270">
        <f t="shared" si="220"/>
        <v>-82.559552397356711</v>
      </c>
      <c r="BD231" s="286"/>
      <c r="BE231" s="270">
        <f t="shared" si="217"/>
        <v>25.719670516834462</v>
      </c>
      <c r="BF231" s="581">
        <f t="shared" si="218"/>
        <v>-9.4825994517393255</v>
      </c>
      <c r="BI231" s="286"/>
      <c r="BJ231" s="286"/>
      <c r="BL231" s="253">
        <f t="shared" si="187"/>
        <v>0</v>
      </c>
      <c r="BM231" s="253">
        <f t="shared" si="221"/>
        <v>0</v>
      </c>
      <c r="BN231" s="253">
        <f t="shared" si="188"/>
        <v>0</v>
      </c>
      <c r="BO231" s="253">
        <f t="shared" si="189"/>
        <v>0</v>
      </c>
    </row>
    <row r="232" spans="4:67" ht="13.6" thickBot="1" x14ac:dyDescent="0.25">
      <c r="D232" s="280">
        <v>13647</v>
      </c>
      <c r="E232" s="273" t="str">
        <f t="shared" si="168"/>
        <v>0.154343933796744i</v>
      </c>
      <c r="F232" s="579" t="str">
        <f t="shared" si="190"/>
        <v>0.002-0.17941947578436i</v>
      </c>
      <c r="G232" s="270" t="str">
        <f t="shared" si="191"/>
        <v>0.002-0.17941947578436i</v>
      </c>
      <c r="H232" s="271" t="str">
        <f t="shared" si="192"/>
        <v>0.0179176228723928-0.17763445607675i</v>
      </c>
      <c r="I232" s="271" t="str">
        <f t="shared" si="193"/>
        <v>0.0279176228723928-0.17763445607675i</v>
      </c>
      <c r="J232" s="270" t="str">
        <f t="shared" si="194"/>
        <v>0.00750479092287497-0.089733702363528i</v>
      </c>
      <c r="K232" s="271" t="str">
        <f t="shared" si="169"/>
        <v>0.995297073078963-0.107721896843065i</v>
      </c>
      <c r="L232" s="580"/>
      <c r="M232" s="580" t="str">
        <f t="shared" si="170"/>
        <v>1.95242054270783-154.322504016804i</v>
      </c>
      <c r="N232" s="270" t="str">
        <f t="shared" si="171"/>
        <v>-5.2023512596358-115.741878012603i</v>
      </c>
      <c r="O232" s="581" t="str">
        <f t="shared" si="172"/>
        <v>-6.7938667121077-57.6201341138081i</v>
      </c>
      <c r="P232" s="582" t="str">
        <f t="shared" si="173"/>
        <v>-10.4249897910896-0.401792355982801i</v>
      </c>
      <c r="Q232" s="583" t="str">
        <f t="shared" si="174"/>
        <v>-10.3570511239685+0.17440898515528i</v>
      </c>
      <c r="R232" s="581" t="str">
        <f t="shared" si="195"/>
        <v>-0.657327196559335-6.88671088773415i</v>
      </c>
      <c r="S232" s="253" t="str">
        <f t="shared" si="196"/>
        <v>51.3591419158832-1.90458455683622i</v>
      </c>
      <c r="T232" s="253" t="str">
        <f t="shared" si="197"/>
        <v>19.0517104726899-3.21318356179169i</v>
      </c>
      <c r="U232" s="253" t="str">
        <f t="shared" si="198"/>
        <v>-0.229410750949946-3.44181283842794i</v>
      </c>
      <c r="V232" s="582" t="str">
        <f t="shared" si="175"/>
        <v>6000</v>
      </c>
      <c r="W232" s="584" t="str">
        <f t="shared" si="176"/>
        <v>1+48025.3154536753i</v>
      </c>
      <c r="X232" s="585">
        <f t="shared" si="177"/>
        <v>48025.315464086481</v>
      </c>
      <c r="Y232" s="586">
        <f t="shared" si="178"/>
        <v>1.5707755044433844</v>
      </c>
      <c r="Z232" s="273" t="str">
        <f t="shared" si="179"/>
        <v>1+7.20271691051471i</v>
      </c>
      <c r="AA232" s="585">
        <f t="shared" si="180"/>
        <v>7.2718038266316416</v>
      </c>
      <c r="AB232" s="586">
        <f t="shared" si="181"/>
        <v>1.4328417017949158</v>
      </c>
      <c r="AC232" s="584" t="str">
        <f t="shared" si="182"/>
        <v>1+0.348218643350366i</v>
      </c>
      <c r="AD232" s="585">
        <f t="shared" si="183"/>
        <v>1.0588938679474773</v>
      </c>
      <c r="AE232" s="586">
        <f t="shared" si="184"/>
        <v>0.33508698408346593</v>
      </c>
      <c r="AF232" s="580" t="str">
        <f t="shared" si="199"/>
        <v>0.763759203288336-0.390870565346093i</v>
      </c>
      <c r="AG232" s="270">
        <f t="shared" si="200"/>
        <v>0.85796731841114338</v>
      </c>
      <c r="AH232" s="581">
        <f t="shared" si="201"/>
        <v>-0.47302078673193287</v>
      </c>
      <c r="AI232" s="582" t="str">
        <f t="shared" si="185"/>
        <v>4000</v>
      </c>
      <c r="AJ232" s="584" t="str">
        <f t="shared" si="202"/>
        <v>1+3772.98376484154i</v>
      </c>
      <c r="AK232" s="585">
        <f t="shared" si="203"/>
        <v>3772.9838973626488</v>
      </c>
      <c r="AL232" s="586">
        <f t="shared" si="204"/>
        <v>1.5705312845792627</v>
      </c>
      <c r="AM232" s="273" t="str">
        <f t="shared" si="205"/>
        <v>1+0.132049810026103i</v>
      </c>
      <c r="AN232" s="585">
        <f t="shared" si="206"/>
        <v>1.0086808971760741</v>
      </c>
      <c r="AO232" s="586">
        <f t="shared" si="207"/>
        <v>0.13129021719275041</v>
      </c>
      <c r="AP232" s="584" t="str">
        <f t="shared" si="208"/>
        <v>1+0.000955350022640921i</v>
      </c>
      <c r="AQ232" s="585">
        <f t="shared" si="209"/>
        <v>1.0000004563467288</v>
      </c>
      <c r="AR232" s="586">
        <f t="shared" si="210"/>
        <v>9.5534973199377547E-4</v>
      </c>
      <c r="AS232" s="580" t="str">
        <f t="shared" si="211"/>
        <v>0.139263155878794-1.06026475333541i</v>
      </c>
      <c r="AT232" s="270">
        <f t="shared" si="212"/>
        <v>1.0693715788960911</v>
      </c>
      <c r="AU232" s="581">
        <f t="shared" si="213"/>
        <v>-1.4401964171185062</v>
      </c>
      <c r="AV232" s="580" t="str">
        <f t="shared" si="214"/>
        <v>-0.00753623951248594-0.206473351881772i</v>
      </c>
      <c r="AW232" s="270">
        <f t="shared" si="215"/>
        <v>-13.696937857291662</v>
      </c>
      <c r="AX232" s="581">
        <f t="shared" si="216"/>
        <v>-92.090357500123588</v>
      </c>
      <c r="AY232" s="299">
        <f t="shared" si="186"/>
        <v>87.909642499876412</v>
      </c>
      <c r="BB232" s="270">
        <f t="shared" si="219"/>
        <v>-39.417427249909373</v>
      </c>
      <c r="BC232" s="270">
        <f t="shared" si="220"/>
        <v>-82.517176370753077</v>
      </c>
      <c r="BD232" s="286"/>
      <c r="BE232" s="270">
        <f t="shared" si="217"/>
        <v>25.720489392617701</v>
      </c>
      <c r="BF232" s="581">
        <f t="shared" si="218"/>
        <v>-9.5731811293705285</v>
      </c>
      <c r="BI232" s="286"/>
      <c r="BJ232" s="286"/>
      <c r="BL232" s="253">
        <f t="shared" si="187"/>
        <v>0</v>
      </c>
      <c r="BM232" s="253">
        <f t="shared" si="221"/>
        <v>0</v>
      </c>
      <c r="BN232" s="253">
        <f t="shared" si="188"/>
        <v>0</v>
      </c>
      <c r="BO232" s="253">
        <f t="shared" si="189"/>
        <v>0</v>
      </c>
    </row>
    <row r="233" spans="4:67" ht="13.6" thickBot="1" x14ac:dyDescent="0.25">
      <c r="D233" s="280">
        <v>13725.5</v>
      </c>
      <c r="E233" s="273" t="str">
        <f t="shared" si="168"/>
        <v>0.155231747880648i</v>
      </c>
      <c r="F233" s="579" t="str">
        <f t="shared" si="190"/>
        <v>0.002-0.178393325272606i</v>
      </c>
      <c r="G233" s="270" t="str">
        <f t="shared" si="191"/>
        <v>0.002-0.178393325272606i</v>
      </c>
      <c r="H233" s="271" t="str">
        <f t="shared" si="192"/>
        <v>0.0177374764067836-0.176634567006524i</v>
      </c>
      <c r="I233" s="271" t="str">
        <f t="shared" si="193"/>
        <v>0.0277374764067836-0.176634567006524i</v>
      </c>
      <c r="J233" s="270" t="str">
        <f t="shared" si="194"/>
        <v>0.00745905756348655-0.0892233175216931i</v>
      </c>
      <c r="K233" s="271" t="str">
        <f t="shared" si="169"/>
        <v>0.995242813306482-0.108341532580017i</v>
      </c>
      <c r="L233" s="580"/>
      <c r="M233" s="580" t="str">
        <f t="shared" si="170"/>
        <v>1.8482373959078-152.598880394906i</v>
      </c>
      <c r="N233" s="270" t="str">
        <f t="shared" si="171"/>
        <v>-5.28048861973582-114.449160296179i</v>
      </c>
      <c r="O233" s="581" t="str">
        <f t="shared" si="172"/>
        <v>-6.78044153293606-56.9698732884826i</v>
      </c>
      <c r="P233" s="582" t="str">
        <f t="shared" si="173"/>
        <v>-10.2509212377751-0.382540161953523i</v>
      </c>
      <c r="Q233" s="583" t="str">
        <f t="shared" si="174"/>
        <v>-10.1831168224457+0.187158570931302i</v>
      </c>
      <c r="R233" s="581" t="str">
        <f t="shared" si="195"/>
        <v>-0.657894817281836-6.80907663018773i</v>
      </c>
      <c r="S233" s="253" t="str">
        <f t="shared" si="196"/>
        <v>51.3609909016703-1.95724391067918i</v>
      </c>
      <c r="T233" s="253" t="str">
        <f t="shared" si="197"/>
        <v>19.048392309319-3.24353680174845i</v>
      </c>
      <c r="U233" s="253" t="str">
        <f t="shared" si="198"/>
        <v>-0.235050309372862-3.42213668522252i</v>
      </c>
      <c r="V233" s="582" t="str">
        <f t="shared" si="175"/>
        <v>6000</v>
      </c>
      <c r="W233" s="584" t="str">
        <f t="shared" si="176"/>
        <v>1+48301.5657111028i</v>
      </c>
      <c r="X233" s="585">
        <f t="shared" si="177"/>
        <v>48301.565721454434</v>
      </c>
      <c r="Y233" s="586">
        <f t="shared" si="178"/>
        <v>1.570775623532277</v>
      </c>
      <c r="Z233" s="273" t="str">
        <f t="shared" si="179"/>
        <v>1+7.24414823443025i</v>
      </c>
      <c r="AA233" s="585">
        <f t="shared" si="180"/>
        <v>7.3128437452470507</v>
      </c>
      <c r="AB233" s="586">
        <f t="shared" si="181"/>
        <v>1.4336208147160441</v>
      </c>
      <c r="AC233" s="584" t="str">
        <f t="shared" si="182"/>
        <v>1+0.350221659654536i</v>
      </c>
      <c r="AD233" s="585">
        <f t="shared" si="183"/>
        <v>1.0595542510372828</v>
      </c>
      <c r="AE233" s="586">
        <f t="shared" si="184"/>
        <v>0.3368722753625375</v>
      </c>
      <c r="AF233" s="580" t="str">
        <f t="shared" si="199"/>
        <v>0.762807424778334-0.391352627843229i</v>
      </c>
      <c r="AG233" s="270">
        <f t="shared" si="200"/>
        <v>0.85734009973682823</v>
      </c>
      <c r="AH233" s="581">
        <f t="shared" si="201"/>
        <v>-0.47402708417877032</v>
      </c>
      <c r="AI233" s="582" t="str">
        <f t="shared" si="185"/>
        <v>4000</v>
      </c>
      <c r="AJ233" s="584" t="str">
        <f t="shared" si="202"/>
        <v>1+3794.68664646681i</v>
      </c>
      <c r="AK233" s="585">
        <f t="shared" si="203"/>
        <v>3794.6867782299937</v>
      </c>
      <c r="AL233" s="586">
        <f t="shared" si="204"/>
        <v>1.5705328004302672</v>
      </c>
      <c r="AM233" s="273" t="str">
        <f t="shared" si="205"/>
        <v>1+0.132809384297888i</v>
      </c>
      <c r="AN233" s="585">
        <f t="shared" si="206"/>
        <v>1.0087806166642894</v>
      </c>
      <c r="AO233" s="586">
        <f t="shared" si="207"/>
        <v>0.13203669991703421</v>
      </c>
      <c r="AP233" s="584" t="str">
        <f t="shared" si="208"/>
        <v>1+0.000960845367901954i</v>
      </c>
      <c r="AQ233" s="585">
        <f t="shared" si="209"/>
        <v>1.0000004616118039</v>
      </c>
      <c r="AR233" s="586">
        <f t="shared" si="210"/>
        <v>9.6084507221034046E-4</v>
      </c>
      <c r="AS233" s="580" t="str">
        <f t="shared" si="211"/>
        <v>0.139259949601945-1.0542023245948i</v>
      </c>
      <c r="AT233" s="270">
        <f t="shared" si="212"/>
        <v>1.0633606513051987</v>
      </c>
      <c r="AU233" s="581">
        <f t="shared" si="213"/>
        <v>-1.4394569455854436</v>
      </c>
      <c r="AV233" s="580" t="str">
        <f t="shared" si="214"/>
        <v>-0.00766665883318159-0.205325542238213i</v>
      </c>
      <c r="AW233" s="270">
        <f t="shared" si="215"/>
        <v>-13.745089697717244</v>
      </c>
      <c r="AX233" s="581">
        <f t="shared" si="216"/>
        <v>-92.138376050206688</v>
      </c>
      <c r="AY233" s="299">
        <f t="shared" si="186"/>
        <v>87.861623949793312</v>
      </c>
      <c r="BB233" s="270">
        <f t="shared" si="219"/>
        <v>-39.466388287944767</v>
      </c>
      <c r="BC233" s="270">
        <f t="shared" si="220"/>
        <v>-82.474807772838517</v>
      </c>
      <c r="BD233" s="286"/>
      <c r="BE233" s="270">
        <f t="shared" si="217"/>
        <v>25.721298590227541</v>
      </c>
      <c r="BF233" s="581">
        <f t="shared" si="218"/>
        <v>-9.6635682773681797</v>
      </c>
      <c r="BI233" s="286"/>
      <c r="BJ233" s="286"/>
      <c r="BL233" s="253">
        <f t="shared" si="187"/>
        <v>0</v>
      </c>
      <c r="BM233" s="253">
        <f t="shared" si="221"/>
        <v>0</v>
      </c>
      <c r="BN233" s="253">
        <f t="shared" si="188"/>
        <v>0</v>
      </c>
      <c r="BO233" s="253">
        <f t="shared" si="189"/>
        <v>0</v>
      </c>
    </row>
    <row r="234" spans="4:67" ht="13.6" thickBot="1" x14ac:dyDescent="0.25">
      <c r="D234" s="280">
        <v>13804</v>
      </c>
      <c r="E234" s="273" t="str">
        <f t="shared" si="168"/>
        <v>0.156119561964553i</v>
      </c>
      <c r="F234" s="579" t="str">
        <f t="shared" si="190"/>
        <v>0.002-0.177378845699012i</v>
      </c>
      <c r="G234" s="270" t="str">
        <f t="shared" si="191"/>
        <v>0.002-0.177378845699012i</v>
      </c>
      <c r="H234" s="271" t="str">
        <f t="shared" si="192"/>
        <v>0.0175603626237978-0.175645781491388i</v>
      </c>
      <c r="I234" s="271" t="str">
        <f t="shared" si="193"/>
        <v>0.0275603626237978-0.175645781491388i</v>
      </c>
      <c r="J234" s="270" t="str">
        <f t="shared" si="194"/>
        <v>0.00741409946795292-0.0887187077164032i</v>
      </c>
      <c r="K234" s="271" t="str">
        <f t="shared" si="169"/>
        <v>0.995188242317113-0.108961168316969i</v>
      </c>
      <c r="L234" s="580"/>
      <c r="M234" s="580" t="str">
        <f t="shared" si="170"/>
        <v>1.74926446837567-150.917777285943i</v>
      </c>
      <c r="N234" s="270" t="str">
        <f t="shared" si="171"/>
        <v>-5.35471831538492-113.188332964457i</v>
      </c>
      <c r="O234" s="581" t="str">
        <f t="shared" si="172"/>
        <v>-6.76650274262186-56.3357439620451i</v>
      </c>
      <c r="P234" s="582" t="str">
        <f t="shared" si="173"/>
        <v>-10.0816230433937-0.364125870083953i</v>
      </c>
      <c r="Q234" s="583" t="str">
        <f t="shared" si="174"/>
        <v>-10.0139580159675+0.199231569536497i</v>
      </c>
      <c r="R234" s="581" t="str">
        <f t="shared" si="195"/>
        <v>-0.658341596328287-6.73336297866213i</v>
      </c>
      <c r="S234" s="253" t="str">
        <f t="shared" si="196"/>
        <v>51.3627159082271-2.00968271446673i</v>
      </c>
      <c r="T234" s="253" t="str">
        <f t="shared" si="197"/>
        <v>19.045016186812-3.27382040677538i</v>
      </c>
      <c r="U234" s="253" t="str">
        <f t="shared" si="198"/>
        <v>-0.240595353393995-3.40266622515691i</v>
      </c>
      <c r="V234" s="582" t="str">
        <f t="shared" si="175"/>
        <v>6000</v>
      </c>
      <c r="W234" s="584" t="str">
        <f t="shared" si="176"/>
        <v>1+48577.8159685304i</v>
      </c>
      <c r="X234" s="585">
        <f t="shared" si="177"/>
        <v>48577.815978823164</v>
      </c>
      <c r="Y234" s="586">
        <f t="shared" si="178"/>
        <v>1.57077574126671</v>
      </c>
      <c r="Z234" s="273" t="str">
        <f t="shared" si="179"/>
        <v>1+7.28557955834579i</v>
      </c>
      <c r="AA234" s="585">
        <f t="shared" si="180"/>
        <v>7.3538880533351909</v>
      </c>
      <c r="AB234" s="586">
        <f t="shared" si="181"/>
        <v>1.434391231163429</v>
      </c>
      <c r="AC234" s="584" t="str">
        <f t="shared" si="182"/>
        <v>1+0.352224675958706i</v>
      </c>
      <c r="AD234" s="585">
        <f t="shared" si="183"/>
        <v>1.0602180069939462</v>
      </c>
      <c r="AE234" s="586">
        <f t="shared" si="184"/>
        <v>0.33865533693377237</v>
      </c>
      <c r="AF234" s="580" t="str">
        <f t="shared" si="199"/>
        <v>0.761852577322452-0.391837922063074i</v>
      </c>
      <c r="AG234" s="270">
        <f t="shared" si="200"/>
        <v>0.85671249946500161</v>
      </c>
      <c r="AH234" s="581">
        <f t="shared" si="201"/>
        <v>-0.47503984703705499</v>
      </c>
      <c r="AI234" s="582" t="str">
        <f t="shared" si="185"/>
        <v>4000</v>
      </c>
      <c r="AJ234" s="584" t="str">
        <f t="shared" si="202"/>
        <v>1+3816.38952809208i</v>
      </c>
      <c r="AK234" s="585">
        <f t="shared" si="203"/>
        <v>3816.3896591059579</v>
      </c>
      <c r="AL234" s="586">
        <f t="shared" si="204"/>
        <v>1.5705342990407187</v>
      </c>
      <c r="AM234" s="273" t="str">
        <f t="shared" si="205"/>
        <v>1+0.133568958569673i</v>
      </c>
      <c r="AN234" s="585">
        <f t="shared" si="206"/>
        <v>1.0088808981705357</v>
      </c>
      <c r="AO234" s="586">
        <f t="shared" si="207"/>
        <v>0.13278303465822586</v>
      </c>
      <c r="AP234" s="584" t="str">
        <f t="shared" si="208"/>
        <v>1+0.000966340713162986i</v>
      </c>
      <c r="AQ234" s="585">
        <f t="shared" si="209"/>
        <v>1.0000004669070779</v>
      </c>
      <c r="AR234" s="586">
        <f t="shared" si="210"/>
        <v>9.663404123688719E-4</v>
      </c>
      <c r="AS234" s="580" t="str">
        <f t="shared" si="211"/>
        <v>0.139256797836074-1.04820885565019i</v>
      </c>
      <c r="AT234" s="270">
        <f t="shared" si="212"/>
        <v>1.0574186781058097</v>
      </c>
      <c r="AU234" s="581">
        <f t="shared" si="213"/>
        <v>-1.4387176047948627</v>
      </c>
      <c r="AV234" s="580" t="str">
        <f t="shared" si="214"/>
        <v>-0.00779499573278625-0.204190563695555i</v>
      </c>
      <c r="AW234" s="270">
        <f t="shared" si="215"/>
        <v>-13.792962105522628</v>
      </c>
      <c r="AX234" s="581">
        <f t="shared" si="216"/>
        <v>-92.186210661433279</v>
      </c>
      <c r="AY234" s="299">
        <f t="shared" si="186"/>
        <v>87.813789338566721</v>
      </c>
      <c r="BB234" s="270">
        <f t="shared" si="219"/>
        <v>-39.515060450839783</v>
      </c>
      <c r="BC234" s="270">
        <f t="shared" si="220"/>
        <v>-82.432446665916359</v>
      </c>
      <c r="BD234" s="286"/>
      <c r="BE234" s="270">
        <f t="shared" si="217"/>
        <v>25.72209834531715</v>
      </c>
      <c r="BF234" s="581">
        <f t="shared" si="218"/>
        <v>-9.7537639955169375</v>
      </c>
      <c r="BI234" s="286"/>
      <c r="BJ234" s="286"/>
      <c r="BL234" s="253">
        <f t="shared" si="187"/>
        <v>0</v>
      </c>
      <c r="BM234" s="253">
        <f t="shared" si="221"/>
        <v>0</v>
      </c>
      <c r="BN234" s="253">
        <f t="shared" si="188"/>
        <v>0</v>
      </c>
      <c r="BO234" s="253">
        <f t="shared" si="189"/>
        <v>0</v>
      </c>
    </row>
    <row r="235" spans="4:67" ht="13.6" thickBot="1" x14ac:dyDescent="0.25">
      <c r="D235" s="280">
        <v>13884.25</v>
      </c>
      <c r="E235" s="273" t="str">
        <f t="shared" si="168"/>
        <v>0.157027168082175i</v>
      </c>
      <c r="F235" s="579" t="str">
        <f t="shared" si="190"/>
        <v>0.002-0.176353608299271i</v>
      </c>
      <c r="G235" s="270" t="str">
        <f t="shared" si="191"/>
        <v>0.002-0.176353608299271i</v>
      </c>
      <c r="H235" s="271" t="str">
        <f t="shared" si="192"/>
        <v>0.0173823649935862-0.174646240664909i</v>
      </c>
      <c r="I235" s="271" t="str">
        <f t="shared" si="193"/>
        <v>0.0273823649935862-0.174646240664909i</v>
      </c>
      <c r="J235" s="270" t="str">
        <f t="shared" si="194"/>
        <v>0.00736892235163763-0.0882087170256225i</v>
      </c>
      <c r="K235" s="271" t="str">
        <f t="shared" si="169"/>
        <v>0.995132133075869-0.109594617589458i</v>
      </c>
      <c r="L235" s="580"/>
      <c r="M235" s="580" t="str">
        <f t="shared" si="170"/>
        <v>1.65315656877765-149.241479889549i</v>
      </c>
      <c r="N235" s="270" t="str">
        <f t="shared" si="171"/>
        <v>-5.42679924008343-111.931109917162i</v>
      </c>
      <c r="O235" s="581" t="str">
        <f t="shared" si="172"/>
        <v>-6.75178188062615-55.7035151195626i</v>
      </c>
      <c r="P235" s="582" t="str">
        <f t="shared" si="173"/>
        <v>-9.91328926326489-0.346120659188801i</v>
      </c>
      <c r="Q235" s="583" t="str">
        <f t="shared" si="174"/>
        <v>-9.84577144445865+0.210914492006822i</v>
      </c>
      <c r="R235" s="581" t="str">
        <f t="shared" si="195"/>
        <v>-0.658682951666037-6.65787097986381i</v>
      </c>
      <c r="S235" s="253" t="str">
        <f t="shared" si="196"/>
        <v>51.3643534798758-2.06306606829458i</v>
      </c>
      <c r="T235" s="253" t="str">
        <f t="shared" si="197"/>
        <v>19.0415055567126-3.30470813756946i</v>
      </c>
      <c r="U235" s="253" t="str">
        <f t="shared" si="198"/>
        <v>-0.246168453107062-3.38297100512434i</v>
      </c>
      <c r="V235" s="582" t="str">
        <f t="shared" si="175"/>
        <v>6000</v>
      </c>
      <c r="W235" s="584" t="str">
        <f t="shared" si="176"/>
        <v>1+48860.2246711872i</v>
      </c>
      <c r="X235" s="585">
        <f t="shared" si="177"/>
        <v>48860.224681420463</v>
      </c>
      <c r="Y235" s="586">
        <f t="shared" si="178"/>
        <v>1.5707758602496322</v>
      </c>
      <c r="Z235" s="273" t="str">
        <f t="shared" si="179"/>
        <v>1+7.32793451050149i</v>
      </c>
      <c r="AA235" s="585">
        <f t="shared" si="180"/>
        <v>7.3958518231640298</v>
      </c>
      <c r="AB235" s="586">
        <f t="shared" si="181"/>
        <v>1.4351699828918121</v>
      </c>
      <c r="AC235" s="584" t="str">
        <f t="shared" si="182"/>
        <v>1+0.354272345492586i</v>
      </c>
      <c r="AD235" s="585">
        <f t="shared" si="183"/>
        <v>1.0609000399570254</v>
      </c>
      <c r="AE235" s="586">
        <f t="shared" si="184"/>
        <v>0.34047583602604231</v>
      </c>
      <c r="AF235" s="580" t="str">
        <f t="shared" si="199"/>
        <v>0.760873304368992-0.39233722458529i</v>
      </c>
      <c r="AG235" s="270">
        <f t="shared" si="200"/>
        <v>0.85607048956068865</v>
      </c>
      <c r="AH235" s="581">
        <f t="shared" si="201"/>
        <v>-0.47608171338386268</v>
      </c>
      <c r="AI235" s="582" t="str">
        <f t="shared" si="185"/>
        <v>4000</v>
      </c>
      <c r="AJ235" s="584" t="str">
        <f t="shared" si="202"/>
        <v>1+3838.57623191919i</v>
      </c>
      <c r="AK235" s="585">
        <f t="shared" si="203"/>
        <v>3838.5763621758165</v>
      </c>
      <c r="AL235" s="586">
        <f t="shared" si="204"/>
        <v>1.5705358135428573</v>
      </c>
      <c r="AM235" s="273" t="str">
        <f t="shared" si="205"/>
        <v>1+0.134345466025861i</v>
      </c>
      <c r="AN235" s="585">
        <f t="shared" si="206"/>
        <v>1.0089839960285325</v>
      </c>
      <c r="AO235" s="586">
        <f t="shared" si="207"/>
        <v>0.13354585364695387</v>
      </c>
      <c r="AP235" s="584" t="str">
        <f t="shared" si="208"/>
        <v>1+0.000971958566120921i</v>
      </c>
      <c r="AQ235" s="585">
        <f t="shared" si="209"/>
        <v>1.0000004723516156</v>
      </c>
      <c r="AR235" s="586">
        <f t="shared" si="210"/>
        <v>9.7195826005022287E-4</v>
      </c>
      <c r="AS235" s="580" t="str">
        <f t="shared" si="211"/>
        <v>0.139253630874935-1.04215183919154i</v>
      </c>
      <c r="AT235" s="270">
        <f t="shared" si="212"/>
        <v>1.0514142997135629</v>
      </c>
      <c r="AU235" s="581">
        <f t="shared" si="213"/>
        <v>-1.4379619181559533</v>
      </c>
      <c r="AV235" s="580" t="str">
        <f t="shared" si="214"/>
        <v>-0.00792408877461782-0.203043326440425i</v>
      </c>
      <c r="AW235" s="270">
        <f t="shared" si="215"/>
        <v>-13.841616006160059</v>
      </c>
      <c r="AX235" s="581">
        <f t="shared" si="216"/>
        <v>-92.234924738021235</v>
      </c>
      <c r="AY235" s="299">
        <f t="shared" si="186"/>
        <v>87.765075261978765</v>
      </c>
      <c r="BB235" s="270">
        <f t="shared" si="219"/>
        <v>-39.564522413491652</v>
      </c>
      <c r="BC235" s="270">
        <f t="shared" si="220"/>
        <v>-82.38914901087243</v>
      </c>
      <c r="BD235" s="286"/>
      <c r="BE235" s="270">
        <f t="shared" si="217"/>
        <v>25.722906407331575</v>
      </c>
      <c r="BF235" s="581">
        <f t="shared" si="218"/>
        <v>-9.8457757271488138</v>
      </c>
      <c r="BI235" s="286"/>
      <c r="BJ235" s="286"/>
      <c r="BL235" s="253">
        <f t="shared" si="187"/>
        <v>0</v>
      </c>
      <c r="BM235" s="253">
        <f t="shared" si="221"/>
        <v>0</v>
      </c>
      <c r="BN235" s="253">
        <f t="shared" si="188"/>
        <v>0</v>
      </c>
      <c r="BO235" s="253">
        <f t="shared" si="189"/>
        <v>0</v>
      </c>
    </row>
    <row r="236" spans="4:67" ht="13.6" thickBot="1" x14ac:dyDescent="0.25">
      <c r="D236" s="280">
        <v>13964.5</v>
      </c>
      <c r="E236" s="273" t="str">
        <f t="shared" si="168"/>
        <v>0.157934774199797i</v>
      </c>
      <c r="F236" s="579" t="str">
        <f t="shared" si="190"/>
        <v>0.002-0.175340154393581i</v>
      </c>
      <c r="G236" s="270" t="str">
        <f t="shared" si="191"/>
        <v>0.002-0.175340154393581i</v>
      </c>
      <c r="H236" s="271" t="str">
        <f t="shared" si="192"/>
        <v>0.0172073960952004-0.173657922726832i</v>
      </c>
      <c r="I236" s="271" t="str">
        <f t="shared" si="193"/>
        <v>0.0272073960952004-0.173657922726832i</v>
      </c>
      <c r="J236" s="270" t="str">
        <f t="shared" si="194"/>
        <v>0.00732451913435142-0.0877045586454732i</v>
      </c>
      <c r="K236" s="271" t="str">
        <f t="shared" si="169"/>
        <v>0.995075698587157-0.110228066861946i</v>
      </c>
      <c r="L236" s="580"/>
      <c r="M236" s="580" t="str">
        <f t="shared" si="170"/>
        <v>1.5618778081562-147.606315810961i</v>
      </c>
      <c r="N236" s="270" t="str">
        <f t="shared" si="171"/>
        <v>-5.49525831054952-110.704736858221i</v>
      </c>
      <c r="O236" s="581" t="str">
        <f t="shared" si="172"/>
        <v>-6.73663997172838-55.0868836185708i</v>
      </c>
      <c r="P236" s="582" t="str">
        <f t="shared" si="173"/>
        <v>-9.74956021075735-0.328899758611764i</v>
      </c>
      <c r="Q236" s="583" t="str">
        <f t="shared" si="174"/>
        <v>-9.68219381104005+0.221969077573941i</v>
      </c>
      <c r="R236" s="581" t="str">
        <f t="shared" si="195"/>
        <v>-0.658916610138466-6.58423631204873i</v>
      </c>
      <c r="S236" s="253" t="str">
        <f t="shared" si="196"/>
        <v>51.3658660177071-2.1162259839573i</v>
      </c>
      <c r="T236" s="253" t="str">
        <f t="shared" si="197"/>
        <v>19.0379356918084-3.33552509085632i</v>
      </c>
      <c r="U236" s="253" t="str">
        <f t="shared" si="198"/>
        <v>-0.251647058197435-3.3634840666703i</v>
      </c>
      <c r="V236" s="582" t="str">
        <f t="shared" si="175"/>
        <v>6000</v>
      </c>
      <c r="W236" s="584" t="str">
        <f t="shared" si="176"/>
        <v>1+49142.633373844i</v>
      </c>
      <c r="X236" s="585">
        <f t="shared" si="177"/>
        <v>49142.633384018467</v>
      </c>
      <c r="Y236" s="586">
        <f t="shared" si="178"/>
        <v>1.5707759778650325</v>
      </c>
      <c r="Z236" s="273" t="str">
        <f t="shared" si="179"/>
        <v>1+7.37028946265718i</v>
      </c>
      <c r="AA236" s="585">
        <f t="shared" si="180"/>
        <v>7.437820027626068</v>
      </c>
      <c r="AB236" s="586">
        <f t="shared" si="181"/>
        <v>1.4359399468056482</v>
      </c>
      <c r="AC236" s="584" t="str">
        <f t="shared" si="182"/>
        <v>1+0.356320015026466i</v>
      </c>
      <c r="AD236" s="585">
        <f t="shared" si="183"/>
        <v>1.0615855844483104</v>
      </c>
      <c r="AE236" s="586">
        <f t="shared" si="184"/>
        <v>0.34229398987521931</v>
      </c>
      <c r="AF236" s="580" t="str">
        <f t="shared" si="199"/>
        <v>0.759890891547528-0.39283960175546i</v>
      </c>
      <c r="AG236" s="270">
        <f t="shared" si="200"/>
        <v>0.85542803307133053</v>
      </c>
      <c r="AH236" s="581">
        <f t="shared" si="201"/>
        <v>-0.47713002093460316</v>
      </c>
      <c r="AI236" s="582" t="str">
        <f t="shared" si="185"/>
        <v>4000</v>
      </c>
      <c r="AJ236" s="584" t="str">
        <f t="shared" si="202"/>
        <v>1+3860.76293574629i</v>
      </c>
      <c r="AK236" s="585">
        <f t="shared" si="203"/>
        <v>3860.7630652543694</v>
      </c>
      <c r="AL236" s="586">
        <f t="shared" si="204"/>
        <v>1.5705373106381733</v>
      </c>
      <c r="AM236" s="273" t="str">
        <f t="shared" si="205"/>
        <v>1+0.135121973482048i</v>
      </c>
      <c r="AN236" s="585">
        <f t="shared" si="206"/>
        <v>1.0090876808868907</v>
      </c>
      <c r="AO236" s="586">
        <f t="shared" si="207"/>
        <v>0.13430851631842905</v>
      </c>
      <c r="AP236" s="584" t="str">
        <f t="shared" si="208"/>
        <v>1+0.000977576419078855i</v>
      </c>
      <c r="AQ236" s="585">
        <f t="shared" si="209"/>
        <v>1.0000004778277134</v>
      </c>
      <c r="AR236" s="586">
        <f t="shared" si="210"/>
        <v>9.7757610767022231E-4</v>
      </c>
      <c r="AS236" s="580" t="str">
        <f t="shared" si="211"/>
        <v>0.139250518320837-1.0361644475859i</v>
      </c>
      <c r="AT236" s="270">
        <f t="shared" si="212"/>
        <v>1.0454795403515151</v>
      </c>
      <c r="AU236" s="581">
        <f t="shared" si="213"/>
        <v>-1.4372063704274141</v>
      </c>
      <c r="AV236" s="580" t="str">
        <f t="shared" si="214"/>
        <v>-0.00805110100332965-0.201909057170524i</v>
      </c>
      <c r="AW236" s="270">
        <f t="shared" si="215"/>
        <v>-13.8899841562563</v>
      </c>
      <c r="AX236" s="581">
        <f t="shared" si="216"/>
        <v>-92.283453057817979</v>
      </c>
      <c r="AY236" s="299">
        <f t="shared" si="186"/>
        <v>87.716546942182021</v>
      </c>
      <c r="BB236" s="270">
        <f t="shared" si="219"/>
        <v>-39.613689234915306</v>
      </c>
      <c r="BC236" s="270">
        <f t="shared" si="220"/>
        <v>-82.345859314806432</v>
      </c>
      <c r="BD236" s="286"/>
      <c r="BE236" s="270">
        <f t="shared" si="217"/>
        <v>25.723705078659023</v>
      </c>
      <c r="BF236" s="581">
        <f t="shared" si="218"/>
        <v>-9.9375937430115471</v>
      </c>
      <c r="BI236" s="286"/>
      <c r="BJ236" s="286"/>
      <c r="BL236" s="253">
        <f t="shared" si="187"/>
        <v>0</v>
      </c>
      <c r="BM236" s="253">
        <f t="shared" si="221"/>
        <v>0</v>
      </c>
      <c r="BN236" s="253">
        <f t="shared" si="188"/>
        <v>0</v>
      </c>
      <c r="BO236" s="253">
        <f t="shared" si="189"/>
        <v>0</v>
      </c>
    </row>
    <row r="237" spans="4:67" ht="13.6" thickBot="1" x14ac:dyDescent="0.25">
      <c r="D237" s="280">
        <v>14044.75</v>
      </c>
      <c r="E237" s="273" t="str">
        <f t="shared" si="168"/>
        <v>0.158842380317419i</v>
      </c>
      <c r="F237" s="579" t="str">
        <f t="shared" si="190"/>
        <v>0.002-0.174338281993568i</v>
      </c>
      <c r="G237" s="270" t="str">
        <f t="shared" si="191"/>
        <v>0.002-0.174338281993568i</v>
      </c>
      <c r="H237" s="271" t="str">
        <f t="shared" si="192"/>
        <v>0.0170353877753152-0.172680641233413i</v>
      </c>
      <c r="I237" s="271" t="str">
        <f t="shared" si="193"/>
        <v>0.0270353877753152-0.172680641233413i</v>
      </c>
      <c r="J237" s="270" t="str">
        <f t="shared" si="194"/>
        <v>0.00728087223055428-0.0872061333652191i</v>
      </c>
      <c r="K237" s="271" t="str">
        <f t="shared" si="169"/>
        <v>0.995018938850976-0.110861516134435i</v>
      </c>
      <c r="L237" s="580"/>
      <c r="M237" s="580" t="str">
        <f t="shared" si="170"/>
        <v>1.47514825322968-146.01073953063i</v>
      </c>
      <c r="N237" s="270" t="str">
        <f t="shared" si="171"/>
        <v>-5.56030547674441-109.508054647973i</v>
      </c>
      <c r="O237" s="581" t="str">
        <f t="shared" si="172"/>
        <v>-6.72112810843368-54.485259725896i</v>
      </c>
      <c r="P237" s="582" t="str">
        <f t="shared" si="173"/>
        <v>-9.59025789193586-0.312421413152116i</v>
      </c>
      <c r="Q237" s="583" t="str">
        <f t="shared" si="174"/>
        <v>-9.52304661085151+0.232431184106842i</v>
      </c>
      <c r="R237" s="581" t="str">
        <f t="shared" si="195"/>
        <v>-0.65905090421246-6.51238890025894i</v>
      </c>
      <c r="S237" s="253" t="str">
        <f t="shared" si="196"/>
        <v>51.3672557210019-2.16916591932966i</v>
      </c>
      <c r="T237" s="253" t="str">
        <f t="shared" si="197"/>
        <v>19.0343072410017-3.36627224436225i</v>
      </c>
      <c r="U237" s="253" t="str">
        <f t="shared" si="198"/>
        <v>-0.257033244837761-3.34420213284996i</v>
      </c>
      <c r="V237" s="582" t="str">
        <f t="shared" si="175"/>
        <v>6000</v>
      </c>
      <c r="W237" s="584" t="str">
        <f t="shared" si="176"/>
        <v>1+49425.0420765008i</v>
      </c>
      <c r="X237" s="585">
        <f t="shared" si="177"/>
        <v>49425.042086617133</v>
      </c>
      <c r="Y237" s="586">
        <f t="shared" si="178"/>
        <v>1.5707760941363524</v>
      </c>
      <c r="Z237" s="273" t="str">
        <f t="shared" si="179"/>
        <v>1+7.41264441481289i</v>
      </c>
      <c r="AA237" s="585">
        <f t="shared" si="180"/>
        <v>7.4797925920747783</v>
      </c>
      <c r="AB237" s="586">
        <f t="shared" si="181"/>
        <v>1.4367012699216652</v>
      </c>
      <c r="AC237" s="584" t="str">
        <f t="shared" si="182"/>
        <v>1+0.358367684560347i</v>
      </c>
      <c r="AD237" s="585">
        <f t="shared" si="183"/>
        <v>1.0622746336692523</v>
      </c>
      <c r="AE237" s="586">
        <f t="shared" si="184"/>
        <v>0.34410979101303779</v>
      </c>
      <c r="AF237" s="580" t="str">
        <f t="shared" si="199"/>
        <v>0.758905372896444-0.393344905855324i</v>
      </c>
      <c r="AG237" s="270">
        <f t="shared" si="200"/>
        <v>0.8547851074822399</v>
      </c>
      <c r="AH237" s="581">
        <f t="shared" si="201"/>
        <v>-0.47818461522772426</v>
      </c>
      <c r="AI237" s="582" t="str">
        <f t="shared" si="185"/>
        <v>4000</v>
      </c>
      <c r="AJ237" s="584" t="str">
        <f t="shared" si="202"/>
        <v>1+3882.9496395734i</v>
      </c>
      <c r="AK237" s="585">
        <f t="shared" si="203"/>
        <v>3882.9497683414857</v>
      </c>
      <c r="AL237" s="586">
        <f t="shared" si="204"/>
        <v>1.5705387906250479</v>
      </c>
      <c r="AM237" s="273" t="str">
        <f t="shared" si="205"/>
        <v>1+0.135898480938236i</v>
      </c>
      <c r="AN237" s="585">
        <f t="shared" si="206"/>
        <v>1.0091919525646844</v>
      </c>
      <c r="AO237" s="586">
        <f t="shared" si="207"/>
        <v>0.13507102183375891</v>
      </c>
      <c r="AP237" s="584" t="str">
        <f t="shared" si="208"/>
        <v>1+0.00098319427203679i</v>
      </c>
      <c r="AQ237" s="585">
        <f t="shared" si="209"/>
        <v>1.0000004833353715</v>
      </c>
      <c r="AR237" s="586">
        <f t="shared" si="210"/>
        <v>9.8319395522851807E-4</v>
      </c>
      <c r="AS237" s="580" t="str">
        <f t="shared" si="211"/>
        <v>0.139247458933638-1.03024548734964i</v>
      </c>
      <c r="AT237" s="270">
        <f t="shared" si="212"/>
        <v>1.0396132064492891</v>
      </c>
      <c r="AU237" s="581">
        <f t="shared" si="213"/>
        <v>-1.4364509627465181</v>
      </c>
      <c r="AV237" s="580" t="str">
        <f t="shared" si="214"/>
        <v>-0.0081760787307292-0.200787539959749i</v>
      </c>
      <c r="AW237" s="270">
        <f t="shared" si="215"/>
        <v>-13.938069653106879</v>
      </c>
      <c r="AX237" s="581">
        <f t="shared" si="216"/>
        <v>-92.331798791570222</v>
      </c>
      <c r="AY237" s="299">
        <f t="shared" si="186"/>
        <v>87.668201208429778</v>
      </c>
      <c r="BB237" s="270">
        <f t="shared" si="219"/>
        <v>-39.662564243835618</v>
      </c>
      <c r="BC237" s="270">
        <f t="shared" si="220"/>
        <v>-82.302577642879314</v>
      </c>
      <c r="BD237" s="286"/>
      <c r="BE237" s="270">
        <f t="shared" si="217"/>
        <v>25.724494590728717</v>
      </c>
      <c r="BF237" s="581">
        <f t="shared" si="218"/>
        <v>-10.029221148690915</v>
      </c>
      <c r="BI237" s="286"/>
      <c r="BJ237" s="286"/>
      <c r="BL237" s="253">
        <f t="shared" si="187"/>
        <v>0</v>
      </c>
      <c r="BM237" s="253">
        <f t="shared" si="221"/>
        <v>0</v>
      </c>
      <c r="BN237" s="253">
        <f t="shared" si="188"/>
        <v>0</v>
      </c>
      <c r="BO237" s="253">
        <f t="shared" si="189"/>
        <v>0</v>
      </c>
    </row>
    <row r="238" spans="4:67" ht="13.6" thickBot="1" x14ac:dyDescent="0.25">
      <c r="D238" s="280">
        <v>14125</v>
      </c>
      <c r="E238" s="273" t="str">
        <f t="shared" si="168"/>
        <v>0.159749986435041i</v>
      </c>
      <c r="F238" s="579" t="str">
        <f t="shared" si="190"/>
        <v>0.002-0.173347793701179i</v>
      </c>
      <c r="G238" s="270" t="str">
        <f t="shared" si="191"/>
        <v>0.002-0.173347793701179i</v>
      </c>
      <c r="H238" s="271" t="str">
        <f t="shared" si="192"/>
        <v>0.0168662737820542-0.171714213813326i</v>
      </c>
      <c r="I238" s="271" t="str">
        <f t="shared" si="193"/>
        <v>0.0268662737820542-0.171714213813326i</v>
      </c>
      <c r="J238" s="270" t="str">
        <f t="shared" si="194"/>
        <v>0.00723796455095878-0.0867133442072828i</v>
      </c>
      <c r="K238" s="271" t="str">
        <f t="shared" si="169"/>
        <v>0.994961853867327-0.111494965406924i</v>
      </c>
      <c r="L238" s="580"/>
      <c r="M238" s="580" t="str">
        <f t="shared" si="170"/>
        <v>1.3927069158119-144.453282523764i</v>
      </c>
      <c r="N238" s="270" t="str">
        <f t="shared" si="171"/>
        <v>-5.62213647980774-108.339961892823i</v>
      </c>
      <c r="O238" s="581" t="str">
        <f t="shared" si="172"/>
        <v>-6.70529298627296-53.898083267941i</v>
      </c>
      <c r="P238" s="582" t="str">
        <f t="shared" si="173"/>
        <v>-9.43521323155776-0.296646547878588i</v>
      </c>
      <c r="Q238" s="583" t="str">
        <f t="shared" si="174"/>
        <v>-9.36816030169503+0.242334284800823i</v>
      </c>
      <c r="R238" s="581" t="str">
        <f t="shared" si="195"/>
        <v>-0.659093528953727-6.442262174634i</v>
      </c>
      <c r="S238" s="253" t="str">
        <f t="shared" si="196"/>
        <v>51.3685247291296-2.22188926171224i</v>
      </c>
      <c r="T238" s="253" t="str">
        <f t="shared" si="197"/>
        <v>19.0306208357427-3.39695055521318i</v>
      </c>
      <c r="U238" s="253" t="str">
        <f t="shared" si="198"/>
        <v>-0.262329032693071-3.32512199327739i</v>
      </c>
      <c r="V238" s="582" t="str">
        <f t="shared" si="175"/>
        <v>6000</v>
      </c>
      <c r="W238" s="584" t="str">
        <f t="shared" si="176"/>
        <v>1+49707.4507791576i</v>
      </c>
      <c r="X238" s="585">
        <f t="shared" si="177"/>
        <v>49707.450789216462</v>
      </c>
      <c r="Y238" s="586">
        <f t="shared" si="178"/>
        <v>1.570776209086501</v>
      </c>
      <c r="Z238" s="273" t="str">
        <f t="shared" si="179"/>
        <v>1+7.45499936696859i</v>
      </c>
      <c r="AA238" s="585">
        <f t="shared" si="180"/>
        <v>7.5217694435220546</v>
      </c>
      <c r="AB238" s="586">
        <f t="shared" si="181"/>
        <v>1.4374540960153368</v>
      </c>
      <c r="AC238" s="584" t="str">
        <f t="shared" si="182"/>
        <v>1+0.360415354094228i</v>
      </c>
      <c r="AD238" s="585">
        <f t="shared" si="183"/>
        <v>1.0629671808042183</v>
      </c>
      <c r="AE238" s="586">
        <f t="shared" si="184"/>
        <v>0.34592323205260284</v>
      </c>
      <c r="AF238" s="580" t="str">
        <f t="shared" si="199"/>
        <v>0.75791678241687-0.393852992627863i</v>
      </c>
      <c r="AG238" s="270">
        <f t="shared" si="200"/>
        <v>0.85414169133175111</v>
      </c>
      <c r="AH238" s="581">
        <f t="shared" si="201"/>
        <v>-0.47924534512376821</v>
      </c>
      <c r="AI238" s="582" t="str">
        <f t="shared" si="185"/>
        <v>4000</v>
      </c>
      <c r="AJ238" s="584" t="str">
        <f t="shared" si="202"/>
        <v>1+3905.13634340051i</v>
      </c>
      <c r="AK238" s="585">
        <f t="shared" si="203"/>
        <v>3905.1364714370111</v>
      </c>
      <c r="AL238" s="586">
        <f t="shared" si="204"/>
        <v>1.5705402537950814</v>
      </c>
      <c r="AM238" s="273" t="str">
        <f t="shared" si="205"/>
        <v>1+0.136674988394424i</v>
      </c>
      <c r="AN238" s="585">
        <f t="shared" si="206"/>
        <v>1.0092968108800384</v>
      </c>
      <c r="AO238" s="586">
        <f t="shared" si="207"/>
        <v>0.13583336935512466</v>
      </c>
      <c r="AP238" s="584" t="str">
        <f t="shared" si="208"/>
        <v>1+0.000988812124994725i</v>
      </c>
      <c r="AQ238" s="585">
        <f t="shared" si="209"/>
        <v>1.0000004888745897</v>
      </c>
      <c r="AR238" s="586">
        <f t="shared" si="210"/>
        <v>9.8881180272475389E-4</v>
      </c>
      <c r="AS238" s="580" t="str">
        <f t="shared" si="211"/>
        <v>0.139244451508327-1.02439379212185i</v>
      </c>
      <c r="AT238" s="270">
        <f t="shared" si="212"/>
        <v>1.0338141315602332</v>
      </c>
      <c r="AU238" s="581">
        <f t="shared" si="213"/>
        <v>-1.435695696242681</v>
      </c>
      <c r="AV238" s="580" t="str">
        <f t="shared" si="214"/>
        <v>-0.00829906700769321-0.199678563612211i</v>
      </c>
      <c r="AW238" s="270">
        <f t="shared" si="215"/>
        <v>-13.985875543589408</v>
      </c>
      <c r="AX238" s="581">
        <f t="shared" si="216"/>
        <v>-92.379965043650898</v>
      </c>
      <c r="AY238" s="299">
        <f t="shared" si="186"/>
        <v>87.620034956349102</v>
      </c>
      <c r="BB238" s="270">
        <f t="shared" si="219"/>
        <v>-39.711150712148068</v>
      </c>
      <c r="BC238" s="270">
        <f t="shared" si="220"/>
        <v>-82.259304059801863</v>
      </c>
      <c r="BD238" s="286"/>
      <c r="BE238" s="270">
        <f t="shared" si="217"/>
        <v>25.725275168558671</v>
      </c>
      <c r="BF238" s="581">
        <f t="shared" si="218"/>
        <v>-10.120660983849039</v>
      </c>
      <c r="BI238" s="286"/>
      <c r="BJ238" s="286"/>
      <c r="BL238" s="253">
        <f t="shared" si="187"/>
        <v>0</v>
      </c>
      <c r="BM238" s="253">
        <f t="shared" si="221"/>
        <v>0</v>
      </c>
      <c r="BN238" s="253">
        <f t="shared" si="188"/>
        <v>0</v>
      </c>
      <c r="BO238" s="253">
        <f t="shared" si="189"/>
        <v>0</v>
      </c>
    </row>
    <row r="239" spans="4:67" ht="13.6" thickBot="1" x14ac:dyDescent="0.25">
      <c r="D239" s="280">
        <v>14207.25</v>
      </c>
      <c r="E239" s="273" t="str">
        <f t="shared" si="168"/>
        <v>0.160680212019769i</v>
      </c>
      <c r="F239" s="579" t="str">
        <f t="shared" si="190"/>
        <v>0.002-0.172344231714734i</v>
      </c>
      <c r="G239" s="270" t="str">
        <f t="shared" si="191"/>
        <v>0.002-0.172344231714734i</v>
      </c>
      <c r="H239" s="271" t="str">
        <f t="shared" si="192"/>
        <v>0.0166958811492602-0.170734777532467i</v>
      </c>
      <c r="I239" s="271" t="str">
        <f t="shared" si="193"/>
        <v>0.0266958811492602-0.170734777532467i</v>
      </c>
      <c r="J239" s="270" t="str">
        <f t="shared" si="194"/>
        <v>0.00719473723345424-0.0862140230845764i</v>
      </c>
      <c r="K239" s="271" t="str">
        <f t="shared" si="169"/>
        <v>0.994903008697697-0.11214420157717i</v>
      </c>
      <c r="L239" s="580"/>
      <c r="M239" s="580" t="str">
        <f t="shared" si="170"/>
        <v>1.31240613013675-142.895106039534i</v>
      </c>
      <c r="N239" s="270" t="str">
        <f t="shared" si="171"/>
        <v>-5.68236206906411-107.171329529651i</v>
      </c>
      <c r="O239" s="581" t="str">
        <f t="shared" si="172"/>
        <v>-6.68877241402885-53.3107082117242i</v>
      </c>
      <c r="P239" s="582" t="str">
        <f t="shared" si="173"/>
        <v>-9.28055458002634-0.281170260328559i</v>
      </c>
      <c r="Q239" s="583" t="str">
        <f t="shared" si="174"/>
        <v>-9.21366685588607+0.251936821788681i</v>
      </c>
      <c r="R239" s="581" t="str">
        <f t="shared" si="195"/>
        <v>-0.65904952791327-6.3721070962288i</v>
      </c>
      <c r="S239" s="253" t="str">
        <f t="shared" si="196"/>
        <v>51.3697022964297-2.27570529598839i</v>
      </c>
      <c r="T239" s="253" t="str">
        <f t="shared" si="197"/>
        <v>19.0267830614029-3.42832297726542i</v>
      </c>
      <c r="U239" s="253" t="str">
        <f t="shared" si="198"/>
        <v>-0.267665052186916-3.30577244611684i</v>
      </c>
      <c r="V239" s="582" t="str">
        <f t="shared" si="175"/>
        <v>6000</v>
      </c>
      <c r="W239" s="584" t="str">
        <f t="shared" si="176"/>
        <v>1+49996.8977049336i</v>
      </c>
      <c r="X239" s="585">
        <f t="shared" si="177"/>
        <v>49996.897714934224</v>
      </c>
      <c r="Y239" s="586">
        <f t="shared" si="178"/>
        <v>1.5707763255539042</v>
      </c>
      <c r="Z239" s="273" t="str">
        <f t="shared" si="179"/>
        <v>1+7.49840989425589i</v>
      </c>
      <c r="AA239" s="585">
        <f t="shared" si="180"/>
        <v>7.5647968209512833</v>
      </c>
      <c r="AB239" s="586">
        <f t="shared" si="181"/>
        <v>1.4382170139384163</v>
      </c>
      <c r="AC239" s="584" t="str">
        <f t="shared" si="182"/>
        <v>1+0.362514055890635i</v>
      </c>
      <c r="AD239" s="585">
        <f t="shared" si="183"/>
        <v>1.0636806102953453</v>
      </c>
      <c r="AE239" s="586">
        <f t="shared" si="184"/>
        <v>0.34777941118182387</v>
      </c>
      <c r="AF239" s="580" t="str">
        <f t="shared" si="199"/>
        <v>0.756900402085398-0.394376482170248i</v>
      </c>
      <c r="AG239" s="270">
        <f t="shared" si="200"/>
        <v>0.8534817094501892</v>
      </c>
      <c r="AH239" s="581">
        <f t="shared" si="201"/>
        <v>-0.48033872279731366</v>
      </c>
      <c r="AI239" s="582" t="str">
        <f t="shared" si="185"/>
        <v>4000</v>
      </c>
      <c r="AJ239" s="584" t="str">
        <f t="shared" si="202"/>
        <v>1+3927.87598688686i</v>
      </c>
      <c r="AK239" s="585">
        <f t="shared" si="203"/>
        <v>3927.8761141821196</v>
      </c>
      <c r="AL239" s="586">
        <f t="shared" si="204"/>
        <v>1.5705417362778504</v>
      </c>
      <c r="AM239" s="273" t="str">
        <f t="shared" si="205"/>
        <v>1+0.137470848061358i</v>
      </c>
      <c r="AN239" s="585">
        <f t="shared" si="206"/>
        <v>1.0094048910455651</v>
      </c>
      <c r="AO239" s="586">
        <f t="shared" si="207"/>
        <v>0.13661455136683634</v>
      </c>
      <c r="AP239" s="584" t="str">
        <f t="shared" si="208"/>
        <v>1+0.000994569986749119i</v>
      </c>
      <c r="AQ239" s="585">
        <f t="shared" si="209"/>
        <v>1.000000494584607</v>
      </c>
      <c r="AR239" s="586">
        <f t="shared" si="210"/>
        <v>9.945696588165619E-4</v>
      </c>
      <c r="AS239" s="580" t="str">
        <f t="shared" si="211"/>
        <v>0.139241421827036-1.01846486809581i</v>
      </c>
      <c r="AT239" s="270">
        <f t="shared" si="212"/>
        <v>1.0279391329732663</v>
      </c>
      <c r="AU239" s="581">
        <f t="shared" si="213"/>
        <v>-1.4349217545698316</v>
      </c>
      <c r="AV239" s="580" t="str">
        <f t="shared" si="214"/>
        <v>-0.00842310182566156-0.19855474666756i</v>
      </c>
      <c r="AW239" s="270">
        <f t="shared" si="215"/>
        <v>-14.034585848407444</v>
      </c>
      <c r="AX239" s="581">
        <f t="shared" si="216"/>
        <v>-92.429148633844861</v>
      </c>
      <c r="AY239" s="299">
        <f t="shared" si="186"/>
        <v>87.570851366155139</v>
      </c>
      <c r="BB239" s="270">
        <f t="shared" si="219"/>
        <v>-39.760652006356594</v>
      </c>
      <c r="BC239" s="270">
        <f t="shared" si="220"/>
        <v>-82.214960468358299</v>
      </c>
      <c r="BD239" s="286"/>
      <c r="BE239" s="270">
        <f t="shared" si="217"/>
        <v>25.726066157949163</v>
      </c>
      <c r="BF239" s="581">
        <f t="shared" si="218"/>
        <v>-10.214188165486567</v>
      </c>
      <c r="BI239" s="286"/>
      <c r="BJ239" s="286"/>
      <c r="BL239" s="253">
        <f t="shared" si="187"/>
        <v>0</v>
      </c>
      <c r="BM239" s="253">
        <f t="shared" si="221"/>
        <v>0</v>
      </c>
      <c r="BN239" s="253">
        <f t="shared" si="188"/>
        <v>0</v>
      </c>
      <c r="BO239" s="253">
        <f t="shared" si="189"/>
        <v>0</v>
      </c>
    </row>
    <row r="240" spans="4:67" ht="13.6" thickBot="1" x14ac:dyDescent="0.25">
      <c r="D240" s="280">
        <v>14289.5</v>
      </c>
      <c r="E240" s="273" t="str">
        <f t="shared" si="168"/>
        <v>0.161610437604497i</v>
      </c>
      <c r="F240" s="579" t="str">
        <f t="shared" si="190"/>
        <v>0.002-0.17135222268303i</v>
      </c>
      <c r="G240" s="270" t="str">
        <f t="shared" si="191"/>
        <v>0.002-0.17135222268303i</v>
      </c>
      <c r="H240" s="271" t="str">
        <f t="shared" si="192"/>
        <v>0.0165283938362366-0.169766367804615i</v>
      </c>
      <c r="I240" s="271" t="str">
        <f t="shared" si="193"/>
        <v>0.0265283938362366-0.169766367804615i</v>
      </c>
      <c r="J240" s="270" t="str">
        <f t="shared" si="194"/>
        <v>0.00715225162170207-0.085720423157682i</v>
      </c>
      <c r="K240" s="271" t="str">
        <f t="shared" si="169"/>
        <v>0.994843821866872-0.112793437747415i</v>
      </c>
      <c r="L240" s="580"/>
      <c r="M240" s="580" t="str">
        <f t="shared" si="170"/>
        <v>1.23610960168545-141.374076760168i</v>
      </c>
      <c r="N240" s="270" t="str">
        <f t="shared" si="171"/>
        <v>-5.73958446540258-106.030557570126i</v>
      </c>
      <c r="O240" s="581" t="str">
        <f t="shared" si="172"/>
        <v>-6.67199906594378-52.7374055988786i</v>
      </c>
      <c r="P240" s="582" t="str">
        <f t="shared" si="173"/>
        <v>-9.13003521485673-0.266357618207341i</v>
      </c>
      <c r="Q240" s="583" t="str">
        <f t="shared" si="174"/>
        <v>-9.06331522419731+0.261016437781445i</v>
      </c>
      <c r="R240" s="581" t="str">
        <f t="shared" si="195"/>
        <v>-0.658923770930869-6.3036283108028i</v>
      </c>
      <c r="S240" s="253" t="str">
        <f t="shared" si="196"/>
        <v>51.3707574435889-2.32930079204441i</v>
      </c>
      <c r="T240" s="253" t="str">
        <f t="shared" si="197"/>
        <v>19.0228856972832-3.45962505420418i</v>
      </c>
      <c r="U240" s="253" t="str">
        <f t="shared" si="198"/>
        <v>-0.27291023271168-3.28662825541172i</v>
      </c>
      <c r="V240" s="582" t="str">
        <f t="shared" si="175"/>
        <v>6000</v>
      </c>
      <c r="W240" s="584" t="str">
        <f t="shared" si="176"/>
        <v>1+50286.3446307096i</v>
      </c>
      <c r="X240" s="585">
        <f t="shared" si="177"/>
        <v>50286.344640652656</v>
      </c>
      <c r="Y240" s="586">
        <f t="shared" si="178"/>
        <v>1.5707764406805407</v>
      </c>
      <c r="Z240" s="273" t="str">
        <f t="shared" si="179"/>
        <v>1+7.54182042154319i</v>
      </c>
      <c r="AA240" s="585">
        <f t="shared" si="180"/>
        <v>7.607828551617466</v>
      </c>
      <c r="AB240" s="586">
        <f t="shared" si="181"/>
        <v>1.438971301797334</v>
      </c>
      <c r="AC240" s="584" t="str">
        <f t="shared" si="182"/>
        <v>1+0.364612757687042i</v>
      </c>
      <c r="AD240" s="585">
        <f t="shared" si="183"/>
        <v>1.0643976996725188</v>
      </c>
      <c r="AE240" s="586">
        <f t="shared" si="184"/>
        <v>0.34963309565861234</v>
      </c>
      <c r="AF240" s="580" t="str">
        <f t="shared" si="199"/>
        <v>0.755880867098838-0.394902598721233i</v>
      </c>
      <c r="AG240" s="270">
        <f t="shared" si="200"/>
        <v>0.85282116983742506</v>
      </c>
      <c r="AH240" s="581">
        <f t="shared" si="201"/>
        <v>-0.48143823454181983</v>
      </c>
      <c r="AI240" s="582" t="str">
        <f t="shared" si="185"/>
        <v>4000</v>
      </c>
      <c r="AJ240" s="584" t="str">
        <f t="shared" si="202"/>
        <v>1+3950.61563037321i</v>
      </c>
      <c r="AK240" s="585">
        <f t="shared" si="203"/>
        <v>3950.6157569357606</v>
      </c>
      <c r="AL240" s="586">
        <f t="shared" si="204"/>
        <v>1.5705432016943541</v>
      </c>
      <c r="AM240" s="273" t="str">
        <f t="shared" si="205"/>
        <v>1+0.138266707728292i</v>
      </c>
      <c r="AN240" s="585">
        <f t="shared" si="206"/>
        <v>1.0095135870636021</v>
      </c>
      <c r="AO240" s="586">
        <f t="shared" si="207"/>
        <v>0.13739556563272287</v>
      </c>
      <c r="AP240" s="584" t="str">
        <f t="shared" si="208"/>
        <v>1+0.00100032784850351i</v>
      </c>
      <c r="AQ240" s="585">
        <f t="shared" si="209"/>
        <v>1.000000500327777</v>
      </c>
      <c r="AR240" s="586">
        <f t="shared" si="210"/>
        <v>1.0003275148424209E-3</v>
      </c>
      <c r="AS240" s="580" t="str">
        <f t="shared" si="211"/>
        <v>0.139238444274793-1.01260420674183i</v>
      </c>
      <c r="AT240" s="270">
        <f t="shared" si="212"/>
        <v>1.0221323905812374</v>
      </c>
      <c r="AU240" s="581">
        <f t="shared" si="213"/>
        <v>-1.4341479635764733</v>
      </c>
      <c r="AV240" s="580" t="str">
        <f t="shared" si="214"/>
        <v>-0.00854513873529661-0.197443668917594i</v>
      </c>
      <c r="AW240" s="270">
        <f t="shared" si="215"/>
        <v>-14.08300875967937</v>
      </c>
      <c r="AX240" s="581">
        <f t="shared" si="216"/>
        <v>-92.478150081641488</v>
      </c>
      <c r="AY240" s="299">
        <f t="shared" si="186"/>
        <v>87.521849918358512</v>
      </c>
      <c r="BB240" s="270">
        <f t="shared" si="219"/>
        <v>-39.8098569807944</v>
      </c>
      <c r="BC240" s="270">
        <f t="shared" si="220"/>
        <v>-82.170625510213654</v>
      </c>
      <c r="BD240" s="286"/>
      <c r="BE240" s="270">
        <f t="shared" si="217"/>
        <v>25.726848221115048</v>
      </c>
      <c r="BF240" s="581">
        <f t="shared" si="218"/>
        <v>-10.307524571427846</v>
      </c>
      <c r="BI240" s="286"/>
      <c r="BJ240" s="286"/>
      <c r="BL240" s="253">
        <f t="shared" si="187"/>
        <v>0</v>
      </c>
      <c r="BM240" s="253">
        <f t="shared" si="221"/>
        <v>0</v>
      </c>
      <c r="BN240" s="253">
        <f t="shared" si="188"/>
        <v>0</v>
      </c>
      <c r="BO240" s="253">
        <f t="shared" si="189"/>
        <v>0</v>
      </c>
    </row>
    <row r="241" spans="4:67" ht="13.6" thickBot="1" x14ac:dyDescent="0.25">
      <c r="D241" s="280">
        <v>14371.75</v>
      </c>
      <c r="E241" s="273" t="str">
        <f t="shared" si="168"/>
        <v>0.162540663189225i</v>
      </c>
      <c r="F241" s="579" t="str">
        <f t="shared" si="190"/>
        <v>0.002-0.170371568252242i</v>
      </c>
      <c r="G241" s="270" t="str">
        <f t="shared" si="191"/>
        <v>0.002-0.170371568252242i</v>
      </c>
      <c r="H241" s="271" t="str">
        <f t="shared" si="192"/>
        <v>0.0163637463248316-0.168808800889431i</v>
      </c>
      <c r="I241" s="271" t="str">
        <f t="shared" si="193"/>
        <v>0.0263637463248316-0.168808800889431i</v>
      </c>
      <c r="J241" s="270" t="str">
        <f t="shared" si="194"/>
        <v>0.00711049083198295-0.0852324469161465i</v>
      </c>
      <c r="K241" s="271" t="str">
        <f t="shared" si="169"/>
        <v>0.994784293374852-0.113442673917661i</v>
      </c>
      <c r="L241" s="580"/>
      <c r="M241" s="580" t="str">
        <f t="shared" si="170"/>
        <v>1.16358910454036-139.888835638441i</v>
      </c>
      <c r="N241" s="270" t="str">
        <f t="shared" si="171"/>
        <v>-5.7939748382614-104.916626728831i</v>
      </c>
      <c r="O241" s="581" t="str">
        <f t="shared" si="172"/>
        <v>-6.65501123467065-52.177657496921i</v>
      </c>
      <c r="P241" s="582" t="str">
        <f t="shared" si="173"/>
        <v>-8.98349882325444-0.252174059642327i</v>
      </c>
      <c r="Q241" s="583" t="str">
        <f t="shared" si="174"/>
        <v>-8.91694871090772+0.269602515326881i</v>
      </c>
      <c r="R241" s="581" t="str">
        <f t="shared" si="195"/>
        <v>-0.658722788275929-6.23676424883054i</v>
      </c>
      <c r="S241" s="253" t="str">
        <f t="shared" si="196"/>
        <v>51.3716922904764-2.38267917718617i</v>
      </c>
      <c r="T241" s="253" t="str">
        <f t="shared" si="197"/>
        <v>19.0189293697973-3.49085775241063i</v>
      </c>
      <c r="U241" s="253" t="str">
        <f t="shared" si="198"/>
        <v>-0.27806657568276-3.2676861718328i</v>
      </c>
      <c r="V241" s="582" t="str">
        <f t="shared" si="175"/>
        <v>6000</v>
      </c>
      <c r="W241" s="584" t="str">
        <f t="shared" si="176"/>
        <v>1+50575.7915564855i</v>
      </c>
      <c r="X241" s="585">
        <f t="shared" si="177"/>
        <v>50575.791566371656</v>
      </c>
      <c r="Y241" s="586">
        <f t="shared" si="178"/>
        <v>1.5707765544894301</v>
      </c>
      <c r="Z241" s="273" t="str">
        <f t="shared" si="179"/>
        <v>1+7.58523094883049i</v>
      </c>
      <c r="AA241" s="585">
        <f t="shared" si="180"/>
        <v>7.65086456206721</v>
      </c>
      <c r="AB241" s="586">
        <f t="shared" si="181"/>
        <v>1.4397171043584469</v>
      </c>
      <c r="AC241" s="584" t="str">
        <f t="shared" si="182"/>
        <v>1+0.366711459483449i</v>
      </c>
      <c r="AD241" s="585">
        <f t="shared" si="183"/>
        <v>1.0651184415437005</v>
      </c>
      <c r="AE241" s="586">
        <f t="shared" si="184"/>
        <v>0.35148427779537189</v>
      </c>
      <c r="AF241" s="580" t="str">
        <f t="shared" si="199"/>
        <v>0.754858213927512-0.395431197695026i</v>
      </c>
      <c r="AG241" s="270">
        <f t="shared" si="200"/>
        <v>0.85216005259831096</v>
      </c>
      <c r="AH241" s="581">
        <f t="shared" si="201"/>
        <v>-0.48254372792635547</v>
      </c>
      <c r="AI241" s="582" t="str">
        <f t="shared" si="185"/>
        <v>4000</v>
      </c>
      <c r="AJ241" s="584" t="str">
        <f t="shared" si="202"/>
        <v>1+3973.35527385956i</v>
      </c>
      <c r="AK241" s="585">
        <f t="shared" si="203"/>
        <v>3973.3553996977894</v>
      </c>
      <c r="AL241" s="586">
        <f t="shared" si="204"/>
        <v>1.5705446503376048</v>
      </c>
      <c r="AM241" s="273" t="str">
        <f t="shared" si="205"/>
        <v>1+0.139062567395226i</v>
      </c>
      <c r="AN241" s="585">
        <f t="shared" si="206"/>
        <v>1.0096228987352416</v>
      </c>
      <c r="AO241" s="586">
        <f t="shared" si="207"/>
        <v>0.13817641125430616</v>
      </c>
      <c r="AP241" s="584" t="str">
        <f t="shared" si="208"/>
        <v>1+0.00100608571025791i</v>
      </c>
      <c r="AQ241" s="585">
        <f t="shared" si="209"/>
        <v>1.0000005061041002</v>
      </c>
      <c r="AR241" s="586">
        <f t="shared" si="210"/>
        <v>1.0060853708019617E-3</v>
      </c>
      <c r="AS241" s="580" t="str">
        <f t="shared" si="211"/>
        <v>0.139235517661462-1.00681063605164i</v>
      </c>
      <c r="AT241" s="270">
        <f t="shared" si="212"/>
        <v>1.0163927322866704</v>
      </c>
      <c r="AU241" s="581">
        <f t="shared" si="213"/>
        <v>-1.4333743244541004</v>
      </c>
      <c r="AV241" s="580" t="str">
        <f t="shared" si="214"/>
        <v>-0.00866522237899835-0.196345117620663i</v>
      </c>
      <c r="AW241" s="270">
        <f t="shared" si="215"/>
        <v>-14.131147399933695</v>
      </c>
      <c r="AX241" s="581">
        <f t="shared" si="216"/>
        <v>-92.526972523393255</v>
      </c>
      <c r="AY241" s="299">
        <f t="shared" si="186"/>
        <v>87.473027476606745</v>
      </c>
      <c r="BB241" s="270">
        <f t="shared" si="219"/>
        <v>-39.858768980640363</v>
      </c>
      <c r="BC241" s="270">
        <f t="shared" si="220"/>
        <v>-82.126299253635466</v>
      </c>
      <c r="BD241" s="286"/>
      <c r="BE241" s="270">
        <f t="shared" si="217"/>
        <v>25.72762158070665</v>
      </c>
      <c r="BF241" s="581">
        <f t="shared" si="218"/>
        <v>-10.400673269757798</v>
      </c>
      <c r="BI241" s="286"/>
      <c r="BJ241" s="286"/>
      <c r="BL241" s="253">
        <f t="shared" si="187"/>
        <v>0</v>
      </c>
      <c r="BM241" s="253">
        <f t="shared" si="221"/>
        <v>0</v>
      </c>
      <c r="BN241" s="253">
        <f t="shared" si="188"/>
        <v>0</v>
      </c>
      <c r="BO241" s="253">
        <f t="shared" si="189"/>
        <v>0</v>
      </c>
    </row>
    <row r="242" spans="4:67" ht="13.6" thickBot="1" x14ac:dyDescent="0.25">
      <c r="D242" s="280">
        <v>14454</v>
      </c>
      <c r="E242" s="273" t="str">
        <f t="shared" si="168"/>
        <v>0.163470888773953i</v>
      </c>
      <c r="F242" s="579" t="str">
        <f t="shared" si="190"/>
        <v>0.002-0.169402074583448i</v>
      </c>
      <c r="G242" s="270" t="str">
        <f t="shared" si="191"/>
        <v>0.002-0.169402074583448i</v>
      </c>
      <c r="H242" s="271" t="str">
        <f t="shared" si="192"/>
        <v>0.0162018749289801-0.167861897073819i</v>
      </c>
      <c r="I242" s="271" t="str">
        <f t="shared" si="193"/>
        <v>0.0262018749289801-0.167861897073819i</v>
      </c>
      <c r="J242" s="270" t="str">
        <f t="shared" si="194"/>
        <v>0.00706943845786412-0.0847499990488569i</v>
      </c>
      <c r="K242" s="271" t="str">
        <f t="shared" si="169"/>
        <v>0.994724423221636-0.114091910087907i</v>
      </c>
      <c r="L242" s="580"/>
      <c r="M242" s="580" t="str">
        <f t="shared" si="170"/>
        <v>1.09463154961992-138.438089657918i</v>
      </c>
      <c r="N242" s="270" t="str">
        <f t="shared" si="171"/>
        <v>-5.84569300445173-103.828567243438i</v>
      </c>
      <c r="O242" s="581" t="str">
        <f t="shared" si="172"/>
        <v>-6.63784385703085-51.6309712841665i</v>
      </c>
      <c r="P242" s="582" t="str">
        <f t="shared" si="173"/>
        <v>-8.84079674206408-0.238587189728498i</v>
      </c>
      <c r="Q242" s="583" t="str">
        <f t="shared" si="174"/>
        <v>-8.77441830349377+0.277722523113166i</v>
      </c>
      <c r="R242" s="581" t="str">
        <f t="shared" si="195"/>
        <v>-0.658452613250302-6.17145634366922i</v>
      </c>
      <c r="S242" s="253" t="str">
        <f t="shared" si="196"/>
        <v>51.3725088990087-2.43584380822392i</v>
      </c>
      <c r="T242" s="253" t="str">
        <f t="shared" si="197"/>
        <v>19.0149146884853-3.5220220176892i</v>
      </c>
      <c r="U242" s="253" t="str">
        <f t="shared" si="198"/>
        <v>-0.283136027857005-3.24894301253368i</v>
      </c>
      <c r="V242" s="582" t="str">
        <f t="shared" si="175"/>
        <v>6000</v>
      </c>
      <c r="W242" s="584" t="str">
        <f t="shared" si="176"/>
        <v>1+50865.2384822615i</v>
      </c>
      <c r="X242" s="585">
        <f t="shared" si="177"/>
        <v>50865.238492091405</v>
      </c>
      <c r="Y242" s="586">
        <f t="shared" si="178"/>
        <v>1.5707766670030681</v>
      </c>
      <c r="Z242" s="273" t="str">
        <f t="shared" si="179"/>
        <v>1+7.62864147611779i</v>
      </c>
      <c r="AA242" s="585">
        <f t="shared" si="180"/>
        <v>7.6939047804833534</v>
      </c>
      <c r="AB242" s="586">
        <f t="shared" si="181"/>
        <v>1.4404545631870245</v>
      </c>
      <c r="AC242" s="584" t="str">
        <f t="shared" si="182"/>
        <v>1+0.368810161279856i</v>
      </c>
      <c r="AD242" s="585">
        <f t="shared" si="183"/>
        <v>1.0658428284992461</v>
      </c>
      <c r="AE242" s="586">
        <f t="shared" si="184"/>
        <v>0.35333294999384823</v>
      </c>
      <c r="AF242" s="580" t="str">
        <f t="shared" si="199"/>
        <v>0.753832478990574-0.395962137936486i</v>
      </c>
      <c r="AG242" s="270">
        <f t="shared" si="200"/>
        <v>0.8514983388476498</v>
      </c>
      <c r="AH242" s="581">
        <f t="shared" si="201"/>
        <v>-0.48365505380989066</v>
      </c>
      <c r="AI242" s="582" t="str">
        <f t="shared" si="185"/>
        <v>4000</v>
      </c>
      <c r="AJ242" s="584" t="str">
        <f t="shared" si="202"/>
        <v>1+3996.09491734591i</v>
      </c>
      <c r="AK242" s="585">
        <f t="shared" si="203"/>
        <v>3996.0950424680609</v>
      </c>
      <c r="AL242" s="586">
        <f t="shared" si="204"/>
        <v>1.5705460824939455</v>
      </c>
      <c r="AM242" s="273" t="str">
        <f t="shared" si="205"/>
        <v>1+0.13985842706216i</v>
      </c>
      <c r="AN242" s="585">
        <f t="shared" si="206"/>
        <v>1.0097328258605349</v>
      </c>
      <c r="AO242" s="586">
        <f t="shared" si="207"/>
        <v>0.13895708733431861</v>
      </c>
      <c r="AP242" s="584" t="str">
        <f t="shared" si="208"/>
        <v>1+0.0010118435720123i</v>
      </c>
      <c r="AQ242" s="585">
        <f t="shared" si="209"/>
        <v>1.000000511913576</v>
      </c>
      <c r="AR242" s="586">
        <f t="shared" si="210"/>
        <v>1.0118432266947829E-3</v>
      </c>
      <c r="AS242" s="580" t="str">
        <f t="shared" si="211"/>
        <v>0.139232640830676-1.00108301069405i</v>
      </c>
      <c r="AT242" s="270">
        <f t="shared" si="212"/>
        <v>1.0107190126701622</v>
      </c>
      <c r="AU242" s="581">
        <f t="shared" si="213"/>
        <v>-1.4326008383863222</v>
      </c>
      <c r="AV242" s="580" t="str">
        <f t="shared" si="214"/>
        <v>-0.00878339617951218-0.19525888471026i</v>
      </c>
      <c r="AW242" s="270">
        <f t="shared" si="215"/>
        <v>-14.179004840693125</v>
      </c>
      <c r="AX242" s="581">
        <f t="shared" si="216"/>
        <v>-92.575619029526806</v>
      </c>
      <c r="AY242" s="299">
        <f t="shared" si="186"/>
        <v>87.424380970473194</v>
      </c>
      <c r="BB242" s="270">
        <f t="shared" si="219"/>
        <v>-39.907391293878383</v>
      </c>
      <c r="BC242" s="270">
        <f t="shared" si="220"/>
        <v>-82.081981766439597</v>
      </c>
      <c r="BD242" s="286"/>
      <c r="BE242" s="270">
        <f t="shared" si="217"/>
        <v>25.728386453185269</v>
      </c>
      <c r="BF242" s="581">
        <f t="shared" si="218"/>
        <v>-10.493637263087205</v>
      </c>
      <c r="BI242" s="286"/>
      <c r="BJ242" s="286"/>
      <c r="BL242" s="253">
        <f t="shared" si="187"/>
        <v>0</v>
      </c>
      <c r="BM242" s="253">
        <f t="shared" si="221"/>
        <v>0</v>
      </c>
      <c r="BN242" s="253">
        <f t="shared" si="188"/>
        <v>0</v>
      </c>
      <c r="BO242" s="253">
        <f t="shared" si="189"/>
        <v>0</v>
      </c>
    </row>
    <row r="243" spans="4:67" ht="13.6" thickBot="1" x14ac:dyDescent="0.25">
      <c r="D243" s="280">
        <v>14622.5</v>
      </c>
      <c r="E243" s="273" t="str">
        <f t="shared" si="168"/>
        <v>0.16537657887762i</v>
      </c>
      <c r="F243" s="579" t="str">
        <f t="shared" si="190"/>
        <v>0.002-0.167449997334871i</v>
      </c>
      <c r="G243" s="270" t="str">
        <f t="shared" si="191"/>
        <v>0.002-0.167449997334871i</v>
      </c>
      <c r="H243" s="271" t="str">
        <f t="shared" si="192"/>
        <v>0.0158786700860317-0.165954601101975i</v>
      </c>
      <c r="I243" s="271" t="str">
        <f t="shared" si="193"/>
        <v>0.0258786700860317-0.165954601101975i</v>
      </c>
      <c r="J243" s="270" t="str">
        <f t="shared" si="194"/>
        <v>0.00698748274985161-0.083778514241666i</v>
      </c>
      <c r="K243" s="271" t="str">
        <f t="shared" si="169"/>
        <v>0.994600704369839-0.115421956223911i</v>
      </c>
      <c r="L243" s="580"/>
      <c r="M243" s="580" t="str">
        <f t="shared" si="170"/>
        <v>0.963664277921505-135.568641735883i</v>
      </c>
      <c r="N243" s="270" t="str">
        <f t="shared" si="171"/>
        <v>-5.94391845822554-101.676481301912i</v>
      </c>
      <c r="O243" s="581" t="str">
        <f t="shared" si="172"/>
        <v>-6.60224477535837-50.5498503471112i</v>
      </c>
      <c r="P243" s="582" t="str">
        <f t="shared" si="173"/>
        <v>-8.5598375644881-0.21249000195897i</v>
      </c>
      <c r="Q243" s="583" t="str">
        <f t="shared" si="174"/>
        <v>-8.49381511673452+0.293008501512143i</v>
      </c>
      <c r="R243" s="581" t="str">
        <f t="shared" si="195"/>
        <v>-0.657706094048993-6.04229197968843i</v>
      </c>
      <c r="S243" s="253" t="str">
        <f t="shared" si="196"/>
        <v>51.373820992475-2.54410486362895i</v>
      </c>
      <c r="T243" s="253" t="str">
        <f t="shared" si="197"/>
        <v>19.0065103403545-3.58565631550358i</v>
      </c>
      <c r="U243" s="253" t="str">
        <f t="shared" si="198"/>
        <v>-0.293258056346935-3.21115329554988i</v>
      </c>
      <c r="V243" s="582" t="str">
        <f t="shared" si="175"/>
        <v>6000</v>
      </c>
      <c r="W243" s="584" t="str">
        <f t="shared" si="176"/>
        <v>1+51458.2087800518i</v>
      </c>
      <c r="X243" s="585">
        <f t="shared" si="177"/>
        <v>51458.208789768418</v>
      </c>
      <c r="Y243" s="586">
        <f t="shared" si="178"/>
        <v>1.570776893549481</v>
      </c>
      <c r="Z243" s="273" t="str">
        <f t="shared" si="179"/>
        <v>1+7.71757368095562i</v>
      </c>
      <c r="AA243" s="585">
        <f t="shared" si="180"/>
        <v>7.7820912048741038</v>
      </c>
      <c r="AB243" s="586">
        <f t="shared" si="181"/>
        <v>1.4419398697354111</v>
      </c>
      <c r="AC243" s="584" t="str">
        <f t="shared" si="182"/>
        <v>1+0.373109629397723i</v>
      </c>
      <c r="AD243" s="585">
        <f t="shared" si="183"/>
        <v>1.0673381823720662</v>
      </c>
      <c r="AE243" s="586">
        <f t="shared" si="184"/>
        <v>0.35711232993210629</v>
      </c>
      <c r="AF243" s="580" t="str">
        <f t="shared" si="199"/>
        <v>0.751721654920128-0.397056573244448i</v>
      </c>
      <c r="AG243" s="270">
        <f t="shared" si="200"/>
        <v>0.8501407935350942</v>
      </c>
      <c r="AH243" s="581">
        <f t="shared" si="201"/>
        <v>-0.48594935374617454</v>
      </c>
      <c r="AI243" s="582" t="str">
        <f t="shared" si="185"/>
        <v>4000</v>
      </c>
      <c r="AJ243" s="584" t="str">
        <f t="shared" si="202"/>
        <v>1+4042.68008363709i</v>
      </c>
      <c r="AK243" s="585">
        <f t="shared" si="203"/>
        <v>4042.6802073174163</v>
      </c>
      <c r="AL243" s="586">
        <f t="shared" si="204"/>
        <v>1.5705489661433201</v>
      </c>
      <c r="AM243" s="273" t="str">
        <f t="shared" si="205"/>
        <v>1+0.14148885081752i</v>
      </c>
      <c r="AN243" s="585">
        <f t="shared" si="206"/>
        <v>1.0099599471789278</v>
      </c>
      <c r="AO243" s="586">
        <f t="shared" si="207"/>
        <v>0.14055587229126801</v>
      </c>
      <c r="AP243" s="584" t="str">
        <f t="shared" si="208"/>
        <v>1+0.00102363931311401i</v>
      </c>
      <c r="AQ243" s="585">
        <f t="shared" si="209"/>
        <v>1.0000005239185843</v>
      </c>
      <c r="AR243" s="586">
        <f t="shared" si="210"/>
        <v>1.0236389555783678E-3</v>
      </c>
      <c r="AS243" s="580" t="str">
        <f t="shared" si="211"/>
        <v>0.139226898020538-0.98955045479402i</v>
      </c>
      <c r="AT243" s="270">
        <f t="shared" si="212"/>
        <v>0.99929686866089673</v>
      </c>
      <c r="AU243" s="581">
        <f t="shared" si="213"/>
        <v>-1.4310167328076309</v>
      </c>
      <c r="AV243" s="580" t="str">
        <f t="shared" si="214"/>
        <v>-0.00901970360858781-0.193071207575204i</v>
      </c>
      <c r="AW243" s="270">
        <f t="shared" si="215"/>
        <v>-14.276181696391232</v>
      </c>
      <c r="AX243" s="581">
        <f t="shared" si="216"/>
        <v>-92.674741024094061</v>
      </c>
      <c r="AY243" s="299">
        <f t="shared" si="186"/>
        <v>87.325258975905939</v>
      </c>
      <c r="BB243" s="270">
        <f t="shared" si="219"/>
        <v>-40.006109469343997</v>
      </c>
      <c r="BC243" s="270">
        <f t="shared" si="220"/>
        <v>-81.991219202477438</v>
      </c>
      <c r="BD243" s="286"/>
      <c r="BE243" s="270">
        <f t="shared" si="217"/>
        <v>25.729927772952742</v>
      </c>
      <c r="BF243" s="581">
        <f t="shared" si="218"/>
        <v>-10.68352182161663</v>
      </c>
      <c r="BI243" s="286"/>
      <c r="BJ243" s="286"/>
      <c r="BL243" s="253">
        <f t="shared" si="187"/>
        <v>0</v>
      </c>
      <c r="BM243" s="253">
        <f t="shared" si="221"/>
        <v>0</v>
      </c>
      <c r="BN243" s="253">
        <f t="shared" si="188"/>
        <v>0</v>
      </c>
      <c r="BO243" s="253">
        <f t="shared" si="189"/>
        <v>0</v>
      </c>
    </row>
    <row r="244" spans="4:67" ht="13.6" thickBot="1" x14ac:dyDescent="0.25">
      <c r="D244" s="280">
        <v>14706.75</v>
      </c>
      <c r="E244" s="273" t="str">
        <f t="shared" si="168"/>
        <v>0.166329423929454i</v>
      </c>
      <c r="F244" s="579" t="str">
        <f t="shared" si="190"/>
        <v>0.002-0.166490732896742i</v>
      </c>
      <c r="G244" s="270" t="str">
        <f t="shared" si="191"/>
        <v>0.002-0.166490732896742i</v>
      </c>
      <c r="H244" s="271" t="str">
        <f t="shared" si="192"/>
        <v>0.0157211795012954-0.165017000547608i</v>
      </c>
      <c r="I244" s="271" t="str">
        <f t="shared" si="193"/>
        <v>0.0257211795012954-0.165017000547608i</v>
      </c>
      <c r="J244" s="270" t="str">
        <f t="shared" si="194"/>
        <v>0.00694755357629295-0.0833010834934555i</v>
      </c>
      <c r="K244" s="271" t="str">
        <f t="shared" si="169"/>
        <v>0.994538307225512-0.116086979291914i</v>
      </c>
      <c r="L244" s="580"/>
      <c r="M244" s="580" t="str">
        <f t="shared" si="170"/>
        <v>0.902988145039943-134.183182248465i</v>
      </c>
      <c r="N244" s="270" t="str">
        <f t="shared" si="171"/>
        <v>-5.98942555788671-100.637386686349i</v>
      </c>
      <c r="O244" s="581" t="str">
        <f t="shared" si="172"/>
        <v>-6.584288043446-50.0279336300379i</v>
      </c>
      <c r="P244" s="582" t="str">
        <f t="shared" si="173"/>
        <v>-8.42481520587736-0.200257997306163i</v>
      </c>
      <c r="Q244" s="583" t="str">
        <f t="shared" si="174"/>
        <v>-8.35897232544291+0.300021338994219i</v>
      </c>
      <c r="R244" s="581" t="str">
        <f t="shared" si="195"/>
        <v>-0.657246135500956-5.97993139787071i</v>
      </c>
      <c r="S244" s="253" t="str">
        <f t="shared" si="196"/>
        <v>51.3742992920929-2.59791273216985i</v>
      </c>
      <c r="T244" s="253" t="str">
        <f t="shared" si="197"/>
        <v>19.0022187945933-3.61736963215814i</v>
      </c>
      <c r="U244" s="253" t="str">
        <f t="shared" si="198"/>
        <v>-0.298190193978052-3.19255846654286i</v>
      </c>
      <c r="V244" s="582" t="str">
        <f t="shared" si="175"/>
        <v>6000</v>
      </c>
      <c r="W244" s="584" t="str">
        <f t="shared" si="176"/>
        <v>1+51754.693928947i</v>
      </c>
      <c r="X244" s="585">
        <f t="shared" si="177"/>
        <v>51754.693938607961</v>
      </c>
      <c r="Y244" s="586">
        <f t="shared" si="178"/>
        <v>1.5707770048759757</v>
      </c>
      <c r="Z244" s="273" t="str">
        <f t="shared" si="179"/>
        <v>1+7.76203978337453i</v>
      </c>
      <c r="AA244" s="585">
        <f t="shared" si="180"/>
        <v>7.8261907463777627</v>
      </c>
      <c r="AB244" s="586">
        <f t="shared" si="181"/>
        <v>1.4426699697506566</v>
      </c>
      <c r="AC244" s="584" t="str">
        <f t="shared" si="182"/>
        <v>1+0.375259363456657i</v>
      </c>
      <c r="AD244" s="585">
        <f t="shared" si="183"/>
        <v>1.0680915643622955</v>
      </c>
      <c r="AE244" s="586">
        <f t="shared" si="184"/>
        <v>0.35899803801904845</v>
      </c>
      <c r="AF244" s="580" t="str">
        <f t="shared" si="199"/>
        <v>0.750661547417592-0.397606900833418i</v>
      </c>
      <c r="AG244" s="270">
        <f t="shared" si="200"/>
        <v>0.84946100932398838</v>
      </c>
      <c r="AH244" s="581">
        <f t="shared" si="201"/>
        <v>-0.4871050731443663</v>
      </c>
      <c r="AI244" s="582" t="str">
        <f t="shared" si="185"/>
        <v>4000</v>
      </c>
      <c r="AJ244" s="584" t="str">
        <f t="shared" si="202"/>
        <v>1+4065.97266678269i</v>
      </c>
      <c r="AK244" s="585">
        <f t="shared" si="203"/>
        <v>4065.9727897544935</v>
      </c>
      <c r="AL244" s="586">
        <f t="shared" si="204"/>
        <v>1.5705503831888299</v>
      </c>
      <c r="AM244" s="273" t="str">
        <f t="shared" si="205"/>
        <v>1+0.1423040626952i</v>
      </c>
      <c r="AN244" s="585">
        <f t="shared" si="206"/>
        <v>1.0100744756004676</v>
      </c>
      <c r="AO244" s="586">
        <f t="shared" si="207"/>
        <v>0.14135499412614136</v>
      </c>
      <c r="AP244" s="584" t="str">
        <f t="shared" si="208"/>
        <v>1+0.00102953718366486i</v>
      </c>
      <c r="AQ244" s="585">
        <f t="shared" si="209"/>
        <v>1.0000005299732659</v>
      </c>
      <c r="AR244" s="586">
        <f t="shared" si="210"/>
        <v>1.0295368199135394E-3</v>
      </c>
      <c r="AS244" s="580" t="str">
        <f t="shared" si="211"/>
        <v>0.139224100296487-0.983883290085412i</v>
      </c>
      <c r="AT244" s="270">
        <f t="shared" si="212"/>
        <v>0.99368489905636637</v>
      </c>
      <c r="AU244" s="581">
        <f t="shared" si="213"/>
        <v>-1.4302249258826021</v>
      </c>
      <c r="AV244" s="580" t="str">
        <f t="shared" si="214"/>
        <v>-0.0091350271982856-0.191995905790244i</v>
      </c>
      <c r="AW244" s="270">
        <f t="shared" si="215"/>
        <v>-14.324340250970975</v>
      </c>
      <c r="AX244" s="581">
        <f t="shared" si="216"/>
        <v>-92.72403769871039</v>
      </c>
      <c r="AY244" s="299">
        <f t="shared" si="186"/>
        <v>87.27596230128961</v>
      </c>
      <c r="BB244" s="270">
        <f t="shared" si="219"/>
        <v>-40.05502620131</v>
      </c>
      <c r="BC244" s="270">
        <f t="shared" si="220"/>
        <v>-81.945852007484078</v>
      </c>
      <c r="BD244" s="286"/>
      <c r="BE244" s="270">
        <f t="shared" si="217"/>
        <v>25.730685950339009</v>
      </c>
      <c r="BF244" s="581">
        <f t="shared" si="218"/>
        <v>-10.778185691226321</v>
      </c>
      <c r="BI244" s="286"/>
      <c r="BJ244" s="286"/>
      <c r="BL244" s="253">
        <f t="shared" si="187"/>
        <v>0</v>
      </c>
      <c r="BM244" s="253">
        <f t="shared" si="221"/>
        <v>0</v>
      </c>
      <c r="BN244" s="253">
        <f t="shared" si="188"/>
        <v>0</v>
      </c>
      <c r="BO244" s="253">
        <f t="shared" si="189"/>
        <v>0</v>
      </c>
    </row>
    <row r="245" spans="4:67" ht="13.6" thickBot="1" x14ac:dyDescent="0.25">
      <c r="D245" s="280">
        <v>14791</v>
      </c>
      <c r="E245" s="273" t="str">
        <f t="shared" si="168"/>
        <v>0.167282268981288i</v>
      </c>
      <c r="F245" s="579" t="str">
        <f t="shared" si="190"/>
        <v>0.002-0.165542396459277i</v>
      </c>
      <c r="G245" s="270" t="str">
        <f t="shared" si="191"/>
        <v>0.002-0.165542396459277i</v>
      </c>
      <c r="H245" s="271" t="str">
        <f t="shared" si="192"/>
        <v>0.015566348090244-0.164089861314474i</v>
      </c>
      <c r="I245" s="271" t="str">
        <f t="shared" si="193"/>
        <v>0.025566348090244-0.164089861314474i</v>
      </c>
      <c r="J245" s="270" t="str">
        <f t="shared" si="194"/>
        <v>0.00690830240982551-0.0828290684711139i</v>
      </c>
      <c r="K245" s="271" t="str">
        <f t="shared" si="169"/>
        <v>0.994475551602232-0.116752002359916i</v>
      </c>
      <c r="L245" s="580"/>
      <c r="M245" s="580" t="str">
        <f t="shared" si="170"/>
        <v>0.845280106753763-132.829023850541i</v>
      </c>
      <c r="N245" s="270" t="str">
        <f t="shared" si="171"/>
        <v>-6.03270658660135-99.6217678879057i</v>
      </c>
      <c r="O245" s="581" t="str">
        <f t="shared" si="172"/>
        <v>-6.56626183821664-49.517859264145i</v>
      </c>
      <c r="P245" s="582" t="str">
        <f t="shared" si="173"/>
        <v>-8.29325399505075-0.188533832243354i</v>
      </c>
      <c r="Q245" s="583" t="str">
        <f t="shared" si="174"/>
        <v>-8.22759137666856+0.306644760398097i</v>
      </c>
      <c r="R245" s="581" t="str">
        <f t="shared" si="195"/>
        <v>-0.656734809830093-5.91898209223651i</v>
      </c>
      <c r="S245" s="253" t="str">
        <f t="shared" si="196"/>
        <v>51.3746617563407-2.65150994291568i</v>
      </c>
      <c r="T245" s="253" t="str">
        <f t="shared" si="197"/>
        <v>18.9978684561578-3.64901497698893i</v>
      </c>
      <c r="U245" s="253" t="str">
        <f t="shared" si="198"/>
        <v>-0.303038928147333-3.17415943755988i</v>
      </c>
      <c r="V245" s="582" t="str">
        <f t="shared" si="175"/>
        <v>6000</v>
      </c>
      <c r="W245" s="584" t="str">
        <f t="shared" si="176"/>
        <v>1+52051.1790778422i</v>
      </c>
      <c r="X245" s="585">
        <f t="shared" si="177"/>
        <v>52051.179087448138</v>
      </c>
      <c r="Y245" s="586">
        <f t="shared" si="178"/>
        <v>1.570777114934232</v>
      </c>
      <c r="Z245" s="273" t="str">
        <f t="shared" si="179"/>
        <v>1+7.80650588579344i</v>
      </c>
      <c r="AA245" s="585">
        <f t="shared" si="180"/>
        <v>7.8702944128493444</v>
      </c>
      <c r="AB245" s="586">
        <f t="shared" si="181"/>
        <v>1.4433918874576732</v>
      </c>
      <c r="AC245" s="584" t="str">
        <f t="shared" si="182"/>
        <v>1+0.377409097515591i</v>
      </c>
      <c r="AD245" s="585">
        <f t="shared" si="183"/>
        <v>1.0688487390119956</v>
      </c>
      <c r="AE245" s="586">
        <f t="shared" si="184"/>
        <v>0.36088108111501771</v>
      </c>
      <c r="AF245" s="580" t="str">
        <f t="shared" si="199"/>
        <v>0.749598361479918-0.398159116983769i</v>
      </c>
      <c r="AG245" s="270">
        <f t="shared" si="200"/>
        <v>0.84878052874148358</v>
      </c>
      <c r="AH245" s="581">
        <f t="shared" si="201"/>
        <v>-0.48826630859157605</v>
      </c>
      <c r="AI245" s="582" t="str">
        <f t="shared" si="185"/>
        <v>4000</v>
      </c>
      <c r="AJ245" s="584" t="str">
        <f t="shared" si="202"/>
        <v>1+4089.26524992828i</v>
      </c>
      <c r="AK245" s="585">
        <f t="shared" si="203"/>
        <v>4089.2653721996317</v>
      </c>
      <c r="AL245" s="586">
        <f t="shared" si="204"/>
        <v>1.5705517840912695</v>
      </c>
      <c r="AM245" s="273" t="str">
        <f t="shared" si="205"/>
        <v>1+0.14311927457288i</v>
      </c>
      <c r="AN245" s="585">
        <f t="shared" si="206"/>
        <v>1.0101896489047328</v>
      </c>
      <c r="AO245" s="586">
        <f t="shared" si="207"/>
        <v>0.14215393425285344</v>
      </c>
      <c r="AP245" s="584" t="str">
        <f t="shared" si="208"/>
        <v>1+0.00103543505421572i</v>
      </c>
      <c r="AQ245" s="585">
        <f t="shared" si="209"/>
        <v>1.000000536062732</v>
      </c>
      <c r="AR245" s="586">
        <f t="shared" si="210"/>
        <v>1.0354346841770961E-3</v>
      </c>
      <c r="AS245" s="580" t="str">
        <f t="shared" si="211"/>
        <v>0.139221350205571-0.978280695399092i</v>
      </c>
      <c r="AT245" s="270">
        <f t="shared" si="212"/>
        <v>0.98813749212525759</v>
      </c>
      <c r="AU245" s="581">
        <f t="shared" si="213"/>
        <v>-1.429433284522593</v>
      </c>
      <c r="AV245" s="580" t="str">
        <f t="shared" si="214"/>
        <v>-0.00924852011716317-0.190932687564073i</v>
      </c>
      <c r="AW245" s="270">
        <f t="shared" si="215"/>
        <v>-14.372216360870276</v>
      </c>
      <c r="AX245" s="581">
        <f t="shared" si="216"/>
        <v>-92.773162220693735</v>
      </c>
      <c r="AY245" s="299">
        <f t="shared" si="186"/>
        <v>87.226837779306265</v>
      </c>
      <c r="BB245" s="270">
        <f t="shared" si="219"/>
        <v>-40.10365244596278</v>
      </c>
      <c r="BC245" s="270">
        <f t="shared" si="220"/>
        <v>-81.900494298667553</v>
      </c>
      <c r="BD245" s="286"/>
      <c r="BE245" s="270">
        <f t="shared" si="217"/>
        <v>25.73143608509249</v>
      </c>
      <c r="BF245" s="581">
        <f t="shared" si="218"/>
        <v>-10.872667922026174</v>
      </c>
      <c r="BI245" s="286"/>
      <c r="BJ245" s="286"/>
      <c r="BL245" s="253">
        <f t="shared" si="187"/>
        <v>0</v>
      </c>
      <c r="BM245" s="253">
        <f t="shared" si="221"/>
        <v>0</v>
      </c>
      <c r="BN245" s="253">
        <f t="shared" si="188"/>
        <v>0</v>
      </c>
      <c r="BO245" s="253">
        <f t="shared" si="189"/>
        <v>0</v>
      </c>
    </row>
    <row r="246" spans="4:67" ht="13.6" thickBot="1" x14ac:dyDescent="0.25">
      <c r="D246" s="280">
        <v>14877.25</v>
      </c>
      <c r="E246" s="273" t="str">
        <f t="shared" si="168"/>
        <v>0.168257733500227i</v>
      </c>
      <c r="F246" s="579" t="str">
        <f t="shared" si="190"/>
        <v>0.002-0.164582673950438i</v>
      </c>
      <c r="G246" s="270" t="str">
        <f t="shared" si="191"/>
        <v>0.002-0.164582673950438i</v>
      </c>
      <c r="H246" s="271" t="str">
        <f t="shared" si="192"/>
        <v>0.0154105337632899-0.163151369154401i</v>
      </c>
      <c r="I246" s="271" t="str">
        <f t="shared" si="193"/>
        <v>0.0254105337632899-0.163151369154401i</v>
      </c>
      <c r="J246" s="270" t="str">
        <f t="shared" si="194"/>
        <v>0.0068688058568189-0.0823513630312673i</v>
      </c>
      <c r="K246" s="271" t="str">
        <f t="shared" si="169"/>
        <v>0.99441093488643-0.117432812325675i</v>
      </c>
      <c r="L246" s="580"/>
      <c r="M246" s="580" t="str">
        <f t="shared" si="170"/>
        <v>0.789106227144631-131.474007366874i</v>
      </c>
      <c r="N246" s="270" t="str">
        <f t="shared" si="171"/>
        <v>-6.0748369963082-98.6055055251555i</v>
      </c>
      <c r="O246" s="581" t="str">
        <f t="shared" si="172"/>
        <v>-6.54776028037401-49.007511344131i</v>
      </c>
      <c r="P246" s="582" t="str">
        <f t="shared" si="173"/>
        <v>-8.16202465832318-0.177030967027026i</v>
      </c>
      <c r="Q246" s="583" t="str">
        <f t="shared" si="174"/>
        <v>-8.09654705551944+0.313044146414281i</v>
      </c>
      <c r="R246" s="581" t="str">
        <f t="shared" si="195"/>
        <v>-0.656162695750507-5.85799642146258i</v>
      </c>
      <c r="S246" s="253" t="str">
        <f t="shared" si="196"/>
        <v>51.3749148460589-2.70616466581522i</v>
      </c>
      <c r="T246" s="253" t="str">
        <f t="shared" si="197"/>
        <v>18.9933545394819-3.68134208753926i</v>
      </c>
      <c r="U246" s="253" t="str">
        <f t="shared" si="198"/>
        <v>-0.307918270498928-3.15552324448568i</v>
      </c>
      <c r="V246" s="582" t="str">
        <f t="shared" si="175"/>
        <v>6000</v>
      </c>
      <c r="W246" s="584" t="str">
        <f t="shared" si="176"/>
        <v>1+52354.7024498565i</v>
      </c>
      <c r="X246" s="585">
        <f t="shared" si="177"/>
        <v>52354.702459406733</v>
      </c>
      <c r="Y246" s="586">
        <f t="shared" si="178"/>
        <v>1.5707772263138875</v>
      </c>
      <c r="Z246" s="273" t="str">
        <f t="shared" si="179"/>
        <v>1+7.85202756334395i</v>
      </c>
      <c r="AA246" s="585">
        <f t="shared" si="180"/>
        <v>7.9154492516542057</v>
      </c>
      <c r="AB246" s="586">
        <f t="shared" si="181"/>
        <v>1.444122608727834</v>
      </c>
      <c r="AC246" s="584" t="str">
        <f t="shared" si="182"/>
        <v>1+0.379609863837051i</v>
      </c>
      <c r="AD246" s="585">
        <f t="shared" si="183"/>
        <v>1.0696278085027446</v>
      </c>
      <c r="AE246" s="586">
        <f t="shared" si="184"/>
        <v>0.36280605687494411</v>
      </c>
      <c r="AF246" s="580" t="str">
        <f t="shared" si="199"/>
        <v>0.748506788318142-0.39872625816631i</v>
      </c>
      <c r="AG246" s="270">
        <f t="shared" si="200"/>
        <v>0.84808315695434422</v>
      </c>
      <c r="AH246" s="581">
        <f t="shared" si="201"/>
        <v>-0.48946067446099817</v>
      </c>
      <c r="AI246" s="582" t="str">
        <f t="shared" si="185"/>
        <v>4000</v>
      </c>
      <c r="AJ246" s="584" t="str">
        <f t="shared" si="202"/>
        <v>1+4113.11077273311i</v>
      </c>
      <c r="AK246" s="585">
        <f t="shared" si="203"/>
        <v>4113.1108942956016</v>
      </c>
      <c r="AL246" s="586">
        <f t="shared" si="204"/>
        <v>1.5705532018134529</v>
      </c>
      <c r="AM246" s="273" t="str">
        <f t="shared" si="205"/>
        <v>1+0.143953838661306i</v>
      </c>
      <c r="AN246" s="585">
        <f t="shared" si="206"/>
        <v>1.0103082240907104</v>
      </c>
      <c r="AO246" s="586">
        <f t="shared" si="207"/>
        <v>0.14297165108778362</v>
      </c>
      <c r="AP246" s="584" t="str">
        <f t="shared" si="208"/>
        <v>1+0.00104147293356303i</v>
      </c>
      <c r="AQ246" s="585">
        <f t="shared" si="209"/>
        <v>1.0000005423327887</v>
      </c>
      <c r="AR246" s="586">
        <f t="shared" si="210"/>
        <v>1.041472557013226E-3</v>
      </c>
      <c r="AS246" s="580" t="str">
        <f t="shared" si="211"/>
        <v>0.139218583049738-0.972610843533408i</v>
      </c>
      <c r="AT246" s="270">
        <f t="shared" si="212"/>
        <v>0.98252413040349507</v>
      </c>
      <c r="AU246" s="581">
        <f t="shared" si="213"/>
        <v>-1.4286230232826822</v>
      </c>
      <c r="AV246" s="580" t="str">
        <f t="shared" si="214"/>
        <v>-0.00936285326748618-0.189856538093232i</v>
      </c>
      <c r="AW246" s="270">
        <f t="shared" si="215"/>
        <v>-14.420939587613756</v>
      </c>
      <c r="AX246" s="581">
        <f t="shared" si="216"/>
        <v>-92.823277669607435</v>
      </c>
      <c r="AY246" s="299">
        <f t="shared" si="186"/>
        <v>87.176722330392565</v>
      </c>
      <c r="BB246" s="270">
        <f t="shared" si="219"/>
        <v>-40.153135494421825</v>
      </c>
      <c r="BC246" s="270">
        <f t="shared" si="220"/>
        <v>-81.854069749317631</v>
      </c>
      <c r="BD246" s="286"/>
      <c r="BE246" s="270">
        <f t="shared" si="217"/>
        <v>25.732195906808045</v>
      </c>
      <c r="BF246" s="581">
        <f t="shared" si="218"/>
        <v>-10.969207920289819</v>
      </c>
      <c r="BI246" s="286"/>
      <c r="BJ246" s="286"/>
      <c r="BL246" s="253">
        <f t="shared" si="187"/>
        <v>0</v>
      </c>
      <c r="BM246" s="253">
        <f t="shared" si="221"/>
        <v>0</v>
      </c>
      <c r="BN246" s="253">
        <f t="shared" si="188"/>
        <v>0</v>
      </c>
      <c r="BO246" s="253">
        <f t="shared" si="189"/>
        <v>0</v>
      </c>
    </row>
    <row r="247" spans="4:67" ht="13.6" thickBot="1" x14ac:dyDescent="0.25">
      <c r="D247" s="280">
        <v>14963.5</v>
      </c>
      <c r="E247" s="273" t="str">
        <f t="shared" si="168"/>
        <v>0.169233198019167i</v>
      </c>
      <c r="F247" s="579" t="str">
        <f t="shared" si="190"/>
        <v>0.002-0.163634015172196i</v>
      </c>
      <c r="G247" s="270" t="str">
        <f t="shared" si="191"/>
        <v>0.002-0.163634015172196i</v>
      </c>
      <c r="H247" s="271" t="str">
        <f t="shared" si="192"/>
        <v>0.0152573821758625-0.162223478340629i</v>
      </c>
      <c r="I247" s="271" t="str">
        <f t="shared" si="193"/>
        <v>0.0252573821758625-0.162223478340629i</v>
      </c>
      <c r="J247" s="270" t="str">
        <f t="shared" si="194"/>
        <v>0.00682998794491186-0.0818791418781538i</v>
      </c>
      <c r="K247" s="271" t="str">
        <f t="shared" si="169"/>
        <v>0.994345942469887-0.118113622291434i</v>
      </c>
      <c r="L247" s="580"/>
      <c r="M247" s="580" t="str">
        <f t="shared" si="170"/>
        <v>0.735707808208522-130.149541530833i</v>
      </c>
      <c r="N247" s="270" t="str">
        <f t="shared" si="171"/>
        <v>-6.11488581051028-97.6121561481248i</v>
      </c>
      <c r="O247" s="581" t="str">
        <f t="shared" si="172"/>
        <v>-6.52923345670235-48.5087171993702i</v>
      </c>
      <c r="P247" s="582" t="str">
        <f t="shared" si="173"/>
        <v>-8.03416417865511-0.166008246921066i</v>
      </c>
      <c r="Q247" s="583" t="str">
        <f t="shared" si="174"/>
        <v>-7.96887184408807+0.319078925072638i</v>
      </c>
      <c r="R247" s="581" t="str">
        <f t="shared" si="195"/>
        <v>-0.655545657926762-5.79838782696423i</v>
      </c>
      <c r="S247" s="253" t="str">
        <f t="shared" si="196"/>
        <v>51.3750505697867-2.7606054315812i</v>
      </c>
      <c r="T247" s="253" t="str">
        <f t="shared" si="197"/>
        <v>18.9887802012653-3.71359987424596i</v>
      </c>
      <c r="U247" s="253" t="str">
        <f t="shared" si="198"/>
        <v>-0.312714012181345-3.13708578622454i</v>
      </c>
      <c r="V247" s="582" t="str">
        <f t="shared" si="175"/>
        <v>6000</v>
      </c>
      <c r="W247" s="584" t="str">
        <f t="shared" si="176"/>
        <v>1+52658.2258218708i</v>
      </c>
      <c r="X247" s="585">
        <f t="shared" si="177"/>
        <v>52658.225831365991</v>
      </c>
      <c r="Y247" s="586">
        <f t="shared" si="178"/>
        <v>1.5707773364095527</v>
      </c>
      <c r="Z247" s="273" t="str">
        <f t="shared" si="179"/>
        <v>1+7.89754924089447i</v>
      </c>
      <c r="AA247" s="585">
        <f t="shared" si="180"/>
        <v>7.9606082689925657</v>
      </c>
      <c r="AB247" s="586">
        <f t="shared" si="181"/>
        <v>1.4448450398944008</v>
      </c>
      <c r="AC247" s="584" t="str">
        <f t="shared" si="182"/>
        <v>1+0.381810630158511i</v>
      </c>
      <c r="AD247" s="585">
        <f t="shared" si="183"/>
        <v>1.0704108357551503</v>
      </c>
      <c r="AE247" s="586">
        <f t="shared" si="184"/>
        <v>0.364728223431179</v>
      </c>
      <c r="AF247" s="580" t="str">
        <f t="shared" si="199"/>
        <v>0.747412071087144-0.399295097101964i</v>
      </c>
      <c r="AG247" s="270">
        <f t="shared" si="200"/>
        <v>0.84738502380939029</v>
      </c>
      <c r="AH247" s="581">
        <f t="shared" si="201"/>
        <v>-0.49066051994633236</v>
      </c>
      <c r="AI247" s="582" t="str">
        <f t="shared" si="185"/>
        <v>4000</v>
      </c>
      <c r="AJ247" s="584" t="str">
        <f t="shared" si="202"/>
        <v>1+4136.95629553795i</v>
      </c>
      <c r="AK247" s="585">
        <f t="shared" si="203"/>
        <v>4136.9564163997511</v>
      </c>
      <c r="AL247" s="586">
        <f t="shared" si="204"/>
        <v>1.570554603192063</v>
      </c>
      <c r="AM247" s="273" t="str">
        <f t="shared" si="205"/>
        <v>1+0.144788402749732i</v>
      </c>
      <c r="AN247" s="585">
        <f t="shared" si="206"/>
        <v>1.0104274746713979</v>
      </c>
      <c r="AO247" s="586">
        <f t="shared" si="207"/>
        <v>0.14378917545548445</v>
      </c>
      <c r="AP247" s="584" t="str">
        <f t="shared" si="208"/>
        <v>1+0.00104751081291034i</v>
      </c>
      <c r="AQ247" s="585">
        <f t="shared" si="209"/>
        <v>1.0000005486393011</v>
      </c>
      <c r="AR247" s="586">
        <f t="shared" si="210"/>
        <v>1.0475104297734202E-3</v>
      </c>
      <c r="AS247" s="580" t="str">
        <f t="shared" si="211"/>
        <v>0.139215863565552-0.96700636367482i</v>
      </c>
      <c r="AT247" s="270">
        <f t="shared" si="212"/>
        <v>0.97697613279747042</v>
      </c>
      <c r="AU247" s="581">
        <f t="shared" si="213"/>
        <v>-1.4278129381663514</v>
      </c>
      <c r="AV247" s="580" t="str">
        <f t="shared" si="214"/>
        <v>-0.00947535276762249-0.188792633064761i</v>
      </c>
      <c r="AW247" s="270">
        <f t="shared" si="215"/>
        <v>-14.469373194516029</v>
      </c>
      <c r="AX247" s="581">
        <f t="shared" si="216"/>
        <v>-92.873218920786698</v>
      </c>
      <c r="AY247" s="299">
        <f t="shared" si="186"/>
        <v>87.126781079213302</v>
      </c>
      <c r="BB247" s="270">
        <f t="shared" si="219"/>
        <v>-40.202320916432477</v>
      </c>
      <c r="BC247" s="270">
        <f t="shared" si="220"/>
        <v>-81.807655291105505</v>
      </c>
      <c r="BD247" s="286"/>
      <c r="BE247" s="270">
        <f t="shared" si="217"/>
        <v>25.732947721916425</v>
      </c>
      <c r="BF247" s="581">
        <f t="shared" si="218"/>
        <v>-11.065563629681208</v>
      </c>
      <c r="BI247" s="286"/>
      <c r="BJ247" s="286"/>
      <c r="BL247" s="253">
        <f t="shared" si="187"/>
        <v>0</v>
      </c>
      <c r="BM247" s="253">
        <f t="shared" si="221"/>
        <v>0</v>
      </c>
      <c r="BN247" s="253">
        <f t="shared" si="188"/>
        <v>0</v>
      </c>
      <c r="BO247" s="253">
        <f t="shared" si="189"/>
        <v>0</v>
      </c>
    </row>
    <row r="248" spans="4:67" ht="13.6" thickBot="1" x14ac:dyDescent="0.25">
      <c r="D248" s="280">
        <v>15049.75</v>
      </c>
      <c r="E248" s="273" t="str">
        <f t="shared" si="168"/>
        <v>0.170208662538107i</v>
      </c>
      <c r="F248" s="579" t="str">
        <f t="shared" si="190"/>
        <v>0.002-0.162696229906089i</v>
      </c>
      <c r="G248" s="270" t="str">
        <f t="shared" si="191"/>
        <v>0.002-0.162696229906089i</v>
      </c>
      <c r="H248" s="271" t="str">
        <f t="shared" si="192"/>
        <v>0.0151068331326885-0.161306011496338i</v>
      </c>
      <c r="I248" s="271" t="str">
        <f t="shared" si="193"/>
        <v>0.0251068331326885-0.161306011496338i</v>
      </c>
      <c r="J248" s="270" t="str">
        <f t="shared" si="194"/>
        <v>0.00679183319959143-0.0814123113482445i</v>
      </c>
      <c r="K248" s="271" t="str">
        <f t="shared" si="169"/>
        <v>0.994280574352605-0.118794432257193i</v>
      </c>
      <c r="L248" s="580"/>
      <c r="M248" s="580" t="str">
        <f t="shared" si="170"/>
        <v>0.684931412131801-128.854565074027i</v>
      </c>
      <c r="N248" s="270" t="str">
        <f t="shared" si="171"/>
        <v>-6.15296810756782-96.6409238055202i</v>
      </c>
      <c r="O248" s="581" t="str">
        <f t="shared" si="172"/>
        <v>-6.51070214010515-48.0210732807908i</v>
      </c>
      <c r="P248" s="582" t="str">
        <f t="shared" si="173"/>
        <v>-7.90955091090599-0.155441679452388i</v>
      </c>
      <c r="Q248" s="583" t="str">
        <f t="shared" si="174"/>
        <v>-7.84444388950494+0.324769053355521i</v>
      </c>
      <c r="R248" s="581" t="str">
        <f t="shared" si="195"/>
        <v>-0.654887697720781-5.74010830003312i</v>
      </c>
      <c r="S248" s="253" t="str">
        <f t="shared" si="196"/>
        <v>51.3750708847643-2.81483558357041i</v>
      </c>
      <c r="T248" s="253" t="str">
        <f t="shared" si="197"/>
        <v>18.9841460220126-3.74578927378462i</v>
      </c>
      <c r="U248" s="253" t="str">
        <f t="shared" si="198"/>
        <v>-0.317428001538826-3.11884388998419i</v>
      </c>
      <c r="V248" s="582" t="str">
        <f t="shared" si="175"/>
        <v>6000</v>
      </c>
      <c r="W248" s="584" t="str">
        <f t="shared" si="176"/>
        <v>1+52961.7491938851i</v>
      </c>
      <c r="X248" s="585">
        <f t="shared" si="177"/>
        <v>52961.749203325882</v>
      </c>
      <c r="Y248" s="586">
        <f t="shared" si="178"/>
        <v>1.5707774452433032</v>
      </c>
      <c r="Z248" s="273" t="str">
        <f t="shared" si="179"/>
        <v>1+7.94307091844499i</v>
      </c>
      <c r="AA248" s="585">
        <f t="shared" si="180"/>
        <v>8.0057713941535038</v>
      </c>
      <c r="AB248" s="586">
        <f t="shared" si="181"/>
        <v>1.44555932049824</v>
      </c>
      <c r="AC248" s="584" t="str">
        <f t="shared" si="182"/>
        <v>1+0.384011396479972i</v>
      </c>
      <c r="AD248" s="585">
        <f t="shared" si="183"/>
        <v>1.0711978120900445</v>
      </c>
      <c r="AE248" s="586">
        <f t="shared" si="184"/>
        <v>0.36664757275602838</v>
      </c>
      <c r="AF248" s="580" t="str">
        <f t="shared" si="199"/>
        <v>0.7463142512769-0.399865496531431i</v>
      </c>
      <c r="AG248" s="270">
        <f t="shared" si="200"/>
        <v>0.84668611478831257</v>
      </c>
      <c r="AH248" s="581">
        <f t="shared" si="201"/>
        <v>-0.49186569750109194</v>
      </c>
      <c r="AI248" s="582" t="str">
        <f t="shared" si="185"/>
        <v>4000</v>
      </c>
      <c r="AJ248" s="584" t="str">
        <f t="shared" si="202"/>
        <v>1+4160.80181834278i</v>
      </c>
      <c r="AK248" s="585">
        <f t="shared" si="203"/>
        <v>4160.8019385119242</v>
      </c>
      <c r="AL248" s="586">
        <f t="shared" si="204"/>
        <v>1.570555988508094</v>
      </c>
      <c r="AM248" s="273" t="str">
        <f t="shared" si="205"/>
        <v>1+0.145622966838158i</v>
      </c>
      <c r="AN248" s="585">
        <f t="shared" si="206"/>
        <v>1.0105474004076935</v>
      </c>
      <c r="AO248" s="586">
        <f t="shared" si="207"/>
        <v>0.14460650633150862</v>
      </c>
      <c r="AP248" s="584" t="str">
        <f t="shared" si="208"/>
        <v>1+0.00105354869225765i</v>
      </c>
      <c r="AQ248" s="585">
        <f t="shared" si="209"/>
        <v>1.0000005549822695</v>
      </c>
      <c r="AR248" s="586">
        <f t="shared" si="210"/>
        <v>1.0535483024572386E-3</v>
      </c>
      <c r="AS248" s="580" t="str">
        <f t="shared" si="211"/>
        <v>0.139213190663096-0.961466131884208i</v>
      </c>
      <c r="AT248" s="270">
        <f t="shared" si="212"/>
        <v>0.97149237527372323</v>
      </c>
      <c r="AU248" s="581">
        <f t="shared" si="213"/>
        <v>-1.4270030304790426</v>
      </c>
      <c r="AV248" s="580" t="str">
        <f t="shared" si="214"/>
        <v>-0.0095860598418056-0.187740767192646i</v>
      </c>
      <c r="AW248" s="270">
        <f t="shared" si="215"/>
        <v>-14.517520336739189</v>
      </c>
      <c r="AX248" s="581">
        <f t="shared" si="216"/>
        <v>-92.922989024109327</v>
      </c>
      <c r="AY248" s="299">
        <f t="shared" si="186"/>
        <v>87.077010975890673</v>
      </c>
      <c r="BB248" s="270">
        <f t="shared" si="219"/>
        <v>-40.251212071938482</v>
      </c>
      <c r="BC248" s="270">
        <f t="shared" si="220"/>
        <v>-81.761250998827521</v>
      </c>
      <c r="BD248" s="286"/>
      <c r="BE248" s="270">
        <f t="shared" si="217"/>
        <v>25.733691735199283</v>
      </c>
      <c r="BF248" s="581">
        <f t="shared" si="218"/>
        <v>-11.161738025281814</v>
      </c>
      <c r="BI248" s="286"/>
      <c r="BJ248" s="286"/>
      <c r="BL248" s="253">
        <f t="shared" si="187"/>
        <v>0</v>
      </c>
      <c r="BM248" s="253">
        <f t="shared" si="221"/>
        <v>0</v>
      </c>
      <c r="BN248" s="253">
        <f t="shared" si="188"/>
        <v>0</v>
      </c>
      <c r="BO248" s="253">
        <f t="shared" si="189"/>
        <v>0</v>
      </c>
    </row>
    <row r="249" spans="4:67" ht="13.6" thickBot="1" x14ac:dyDescent="0.25">
      <c r="D249" s="280">
        <v>15136</v>
      </c>
      <c r="E249" s="273" t="str">
        <f t="shared" si="168"/>
        <v>0.171184127057046i</v>
      </c>
      <c r="F249" s="579" t="str">
        <f t="shared" si="190"/>
        <v>0.002-0.161769132269368i</v>
      </c>
      <c r="G249" s="270" t="str">
        <f t="shared" si="191"/>
        <v>0.002-0.161769132269368i</v>
      </c>
      <c r="H249" s="271" t="str">
        <f t="shared" si="192"/>
        <v>0.0149588281262163-0.160398795151344i</v>
      </c>
      <c r="I249" s="271" t="str">
        <f t="shared" si="193"/>
        <v>0.0249588281262163-0.160398795151344i</v>
      </c>
      <c r="J249" s="270" t="str">
        <f t="shared" si="194"/>
        <v>0.006754326584536-0.0809507798952206i</v>
      </c>
      <c r="K249" s="271" t="str">
        <f t="shared" si="169"/>
        <v>0.994214830534582-0.119475242222953i</v>
      </c>
      <c r="L249" s="580"/>
      <c r="M249" s="580" t="str">
        <f t="shared" si="170"/>
        <v>0.636633399868916-127.58806583694i</v>
      </c>
      <c r="N249" s="270" t="str">
        <f t="shared" si="171"/>
        <v>-6.18919161676498-95.691049377705i</v>
      </c>
      <c r="O249" s="581" t="str">
        <f t="shared" si="172"/>
        <v>-6.49218515203363-47.5441948115786i</v>
      </c>
      <c r="P249" s="582" t="str">
        <f t="shared" si="173"/>
        <v>-7.78806889759119-0.145308710415894i</v>
      </c>
      <c r="Q249" s="583" t="str">
        <f t="shared" si="174"/>
        <v>-7.72314704607083+0.33013323769989i</v>
      </c>
      <c r="R249" s="581" t="str">
        <f t="shared" si="195"/>
        <v>-0.654192512070699-5.68311206121204i</v>
      </c>
      <c r="S249" s="253" t="str">
        <f t="shared" si="196"/>
        <v>51.3749776944547-2.86885839547691i</v>
      </c>
      <c r="T249" s="253" t="str">
        <f t="shared" si="197"/>
        <v>18.979452566581-3.77791120249855i</v>
      </c>
      <c r="U249" s="253" t="str">
        <f t="shared" si="198"/>
        <v>-0.322062036196374-3.10079444866596i</v>
      </c>
      <c r="V249" s="582" t="str">
        <f t="shared" si="175"/>
        <v>6000</v>
      </c>
      <c r="W249" s="584" t="str">
        <f t="shared" si="176"/>
        <v>1+53265.2725658994i</v>
      </c>
      <c r="X249" s="585">
        <f t="shared" si="177"/>
        <v>53265.272575286384</v>
      </c>
      <c r="Y249" s="586">
        <f t="shared" si="178"/>
        <v>1.5707775528367114</v>
      </c>
      <c r="Z249" s="273" t="str">
        <f t="shared" si="179"/>
        <v>1+7.9885925959955i</v>
      </c>
      <c r="AA249" s="585">
        <f t="shared" si="180"/>
        <v>8.050938558006397</v>
      </c>
      <c r="AB249" s="586">
        <f t="shared" si="181"/>
        <v>1.4462655869825194</v>
      </c>
      <c r="AC249" s="584" t="str">
        <f t="shared" si="182"/>
        <v>1+0.386212162801432i</v>
      </c>
      <c r="AD249" s="585">
        <f t="shared" si="183"/>
        <v>1.0719887288100374</v>
      </c>
      <c r="AE249" s="586">
        <f t="shared" si="184"/>
        <v>0.36856409692833664</v>
      </c>
      <c r="AF249" s="580" t="str">
        <f t="shared" si="199"/>
        <v>0.745213370291838-0.400437322546222i</v>
      </c>
      <c r="AG249" s="270">
        <f t="shared" si="200"/>
        <v>0.84598641629148352</v>
      </c>
      <c r="AH249" s="581">
        <f t="shared" si="201"/>
        <v>-0.49307606278252991</v>
      </c>
      <c r="AI249" s="582" t="str">
        <f t="shared" si="185"/>
        <v>4000</v>
      </c>
      <c r="AJ249" s="584" t="str">
        <f t="shared" si="202"/>
        <v>1+4184.64734114762i</v>
      </c>
      <c r="AK249" s="585">
        <f t="shared" si="203"/>
        <v>4184.6474606320007</v>
      </c>
      <c r="AL249" s="586">
        <f t="shared" si="204"/>
        <v>1.5705573580361361</v>
      </c>
      <c r="AM249" s="273" t="str">
        <f t="shared" si="205"/>
        <v>1+0.146457530926584i</v>
      </c>
      <c r="AN249" s="585">
        <f t="shared" si="206"/>
        <v>1.0106680010592555</v>
      </c>
      <c r="AO249" s="586">
        <f t="shared" si="207"/>
        <v>0.14542364269292773</v>
      </c>
      <c r="AP249" s="584" t="str">
        <f t="shared" si="208"/>
        <v>1+0.00105958657160497i</v>
      </c>
      <c r="AQ249" s="585">
        <f t="shared" si="209"/>
        <v>1.0000005613616938</v>
      </c>
      <c r="AR249" s="586">
        <f t="shared" si="210"/>
        <v>1.0595861750642506E-3</v>
      </c>
      <c r="AS249" s="580" t="str">
        <f t="shared" si="211"/>
        <v>0.139210563283418-0.955989049840756i</v>
      </c>
      <c r="AT249" s="270">
        <f t="shared" si="212"/>
        <v>0.96607175941806611</v>
      </c>
      <c r="AU249" s="581">
        <f t="shared" si="213"/>
        <v>-1.4261933015182724</v>
      </c>
      <c r="AV249" s="580" t="str">
        <f t="shared" si="214"/>
        <v>-0.00969501458254682-0.18670073972158i</v>
      </c>
      <c r="AW249" s="270">
        <f t="shared" si="215"/>
        <v>-14.565384117657246</v>
      </c>
      <c r="AX249" s="581">
        <f t="shared" si="216"/>
        <v>-92.972590964979361</v>
      </c>
      <c r="AY249" s="299">
        <f t="shared" si="186"/>
        <v>87.027409035020639</v>
      </c>
      <c r="BB249" s="270">
        <f t="shared" si="219"/>
        <v>-40.299812263371066</v>
      </c>
      <c r="BC249" s="270">
        <f t="shared" si="220"/>
        <v>-81.714856946825876</v>
      </c>
      <c r="BD249" s="286"/>
      <c r="BE249" s="270">
        <f t="shared" si="217"/>
        <v>25.734428145713835</v>
      </c>
      <c r="BF249" s="581">
        <f t="shared" si="218"/>
        <v>-11.257734018153499</v>
      </c>
      <c r="BI249" s="286"/>
      <c r="BJ249" s="286"/>
      <c r="BL249" s="253">
        <f t="shared" si="187"/>
        <v>0</v>
      </c>
      <c r="BM249" s="253">
        <f t="shared" si="221"/>
        <v>0</v>
      </c>
      <c r="BN249" s="253">
        <f t="shared" si="188"/>
        <v>0</v>
      </c>
      <c r="BO249" s="253">
        <f t="shared" si="189"/>
        <v>0</v>
      </c>
    </row>
    <row r="250" spans="4:67" ht="13.6" thickBot="1" x14ac:dyDescent="0.25">
      <c r="D250" s="280">
        <v>15224</v>
      </c>
      <c r="E250" s="273" t="str">
        <f t="shared" si="168"/>
        <v>0.172179383609704i</v>
      </c>
      <c r="F250" s="579" t="str">
        <f t="shared" si="190"/>
        <v>0.002-0.16083405057995i</v>
      </c>
      <c r="G250" s="270" t="str">
        <f t="shared" si="191"/>
        <v>0.002-0.16083405057995i</v>
      </c>
      <c r="H250" s="271" t="str">
        <f t="shared" si="192"/>
        <v>0.0148103831001881-0.15948356006756i</v>
      </c>
      <c r="I250" s="271" t="str">
        <f t="shared" si="193"/>
        <v>0.0248103831001881-0.15948356006756i</v>
      </c>
      <c r="J250" s="270" t="str">
        <f t="shared" si="194"/>
        <v>0.00671671179470767-0.0804852526361283i</v>
      </c>
      <c r="K250" s="271" t="str">
        <f t="shared" si="169"/>
        <v>0.994147365571576-0.120169865724249i</v>
      </c>
      <c r="L250" s="580"/>
      <c r="M250" s="580" t="str">
        <f t="shared" si="170"/>
        <v>0.589770177209108-126.324217335861i</v>
      </c>
      <c r="N250" s="270" t="str">
        <f t="shared" si="171"/>
        <v>-6.22433903375984-94.7431630018957i</v>
      </c>
      <c r="O250" s="581" t="str">
        <f t="shared" si="172"/>
        <v>-6.47332489675013-47.0683550539974i</v>
      </c>
      <c r="P250" s="582" t="str">
        <f t="shared" si="173"/>
        <v>-7.66723450115577-0.135395020777669i</v>
      </c>
      <c r="Q250" s="583" t="str">
        <f t="shared" si="174"/>
        <v>-7.60250125218829+0.335288529762305i</v>
      </c>
      <c r="R250" s="581" t="str">
        <f t="shared" si="195"/>
        <v>-0.653448399217701-5.62623667528339i</v>
      </c>
      <c r="S250" s="253" t="str">
        <f t="shared" si="196"/>
        <v>51.3747675509724-2.92376695529502i</v>
      </c>
      <c r="T250" s="253" t="str">
        <f t="shared" si="197"/>
        <v>18.9746033595018-3.8106162724555i</v>
      </c>
      <c r="U250" s="253" t="str">
        <f t="shared" si="198"/>
        <v>-0.326709504254241-3.08257398148611i</v>
      </c>
      <c r="V250" s="582" t="str">
        <f t="shared" si="175"/>
        <v>6000</v>
      </c>
      <c r="W250" s="584" t="str">
        <f t="shared" si="176"/>
        <v>1+53574.954383143i</v>
      </c>
      <c r="X250" s="585">
        <f t="shared" si="177"/>
        <v>53574.954392475716</v>
      </c>
      <c r="Y250" s="586">
        <f t="shared" si="178"/>
        <v>1.5707776613567008</v>
      </c>
      <c r="Z250" s="273" t="str">
        <f t="shared" si="179"/>
        <v>1+8.03503790178617i</v>
      </c>
      <c r="AA250" s="585">
        <f t="shared" si="180"/>
        <v>8.0970262493794785</v>
      </c>
      <c r="AB250" s="586">
        <f t="shared" si="181"/>
        <v>1.4469780622677031</v>
      </c>
      <c r="AC250" s="584" t="str">
        <f t="shared" si="182"/>
        <v>1+0.388457582352603i</v>
      </c>
      <c r="AD250" s="585">
        <f t="shared" si="183"/>
        <v>1.0727997451934956</v>
      </c>
      <c r="AE250" s="586">
        <f t="shared" si="184"/>
        <v>0.37051658727316988</v>
      </c>
      <c r="AF250" s="580" t="str">
        <f t="shared" si="199"/>
        <v>0.744087040489524-0.401022085582616i</v>
      </c>
      <c r="AG250" s="270">
        <f t="shared" si="200"/>
        <v>0.84527169416081216</v>
      </c>
      <c r="AH250" s="581">
        <f t="shared" si="201"/>
        <v>-0.49431618636216718</v>
      </c>
      <c r="AI250" s="582" t="str">
        <f t="shared" si="185"/>
        <v>4000</v>
      </c>
      <c r="AJ250" s="584" t="str">
        <f t="shared" si="202"/>
        <v>1+4208.97668615429i</v>
      </c>
      <c r="AK250" s="585">
        <f t="shared" si="203"/>
        <v>4208.976804948009</v>
      </c>
      <c r="AL250" s="586">
        <f t="shared" si="204"/>
        <v>1.5705587393583889</v>
      </c>
      <c r="AM250" s="273" t="str">
        <f t="shared" si="205"/>
        <v>1+0.147309028199413i</v>
      </c>
      <c r="AN250" s="585">
        <f t="shared" si="206"/>
        <v>1.0107917440249774</v>
      </c>
      <c r="AO250" s="586">
        <f t="shared" si="207"/>
        <v>0.14625715709823059</v>
      </c>
      <c r="AP250" s="584" t="str">
        <f t="shared" si="208"/>
        <v>1+0.00106574695864918i</v>
      </c>
      <c r="AQ250" s="585">
        <f t="shared" si="209"/>
        <v>1.0000005679081287</v>
      </c>
      <c r="AR250" s="586">
        <f t="shared" si="210"/>
        <v>1.0657465551517664E-3</v>
      </c>
      <c r="AS250" s="580" t="str">
        <f t="shared" si="211"/>
        <v>0.139207928444623-0.950464809618008i</v>
      </c>
      <c r="AT250" s="270">
        <f t="shared" si="212"/>
        <v>0.96060512265136277</v>
      </c>
      <c r="AU250" s="581">
        <f t="shared" si="213"/>
        <v>-1.4253673288153104</v>
      </c>
      <c r="AV250" s="580" t="str">
        <f t="shared" si="214"/>
        <v>-0.0098044144319207-0.18565160767052i</v>
      </c>
      <c r="AW250" s="270">
        <f t="shared" si="215"/>
        <v>-14.61393017133933</v>
      </c>
      <c r="AX250" s="581">
        <f t="shared" si="216"/>
        <v>-93.023029039206435</v>
      </c>
      <c r="AY250" s="299">
        <f t="shared" si="186"/>
        <v>86.976970960793565</v>
      </c>
      <c r="BB250" s="270">
        <f t="shared" si="219"/>
        <v>-40.349102034280762</v>
      </c>
      <c r="BC250" s="270">
        <f t="shared" si="220"/>
        <v>-81.667532196953132</v>
      </c>
      <c r="BD250" s="286"/>
      <c r="BE250" s="270">
        <f t="shared" si="217"/>
        <v>25.735171862941428</v>
      </c>
      <c r="BF250" s="581">
        <f t="shared" si="218"/>
        <v>-11.355496842253318</v>
      </c>
      <c r="BI250" s="286"/>
      <c r="BJ250" s="286"/>
      <c r="BL250" s="253">
        <f t="shared" si="187"/>
        <v>0</v>
      </c>
      <c r="BM250" s="253">
        <f t="shared" si="221"/>
        <v>0</v>
      </c>
      <c r="BN250" s="253">
        <f t="shared" si="188"/>
        <v>0</v>
      </c>
      <c r="BO250" s="253">
        <f t="shared" si="189"/>
        <v>0</v>
      </c>
    </row>
    <row r="251" spans="4:67" ht="13.6" thickBot="1" x14ac:dyDescent="0.25">
      <c r="D251" s="280">
        <v>15312</v>
      </c>
      <c r="E251" s="273" t="str">
        <f t="shared" si="168"/>
        <v>0.173174640162361i</v>
      </c>
      <c r="F251" s="579" t="str">
        <f t="shared" si="190"/>
        <v>0.002-0.159909716955927i</v>
      </c>
      <c r="G251" s="270" t="str">
        <f t="shared" si="191"/>
        <v>0.002-0.159909716955927i</v>
      </c>
      <c r="H251" s="271" t="str">
        <f t="shared" si="192"/>
        <v>0.0146644684751483-0.158578642811531i</v>
      </c>
      <c r="I251" s="271" t="str">
        <f t="shared" si="193"/>
        <v>0.0246644684751483-0.158578642811531i</v>
      </c>
      <c r="J251" s="270" t="str">
        <f t="shared" si="194"/>
        <v>0.00667974141069623-0.0800250556195318i</v>
      </c>
      <c r="K251" s="271" t="str">
        <f t="shared" si="169"/>
        <v>0.994079509507336-0.120864489225545i</v>
      </c>
      <c r="L251" s="580"/>
      <c r="M251" s="580" t="str">
        <f t="shared" si="170"/>
        <v>0.545213001798927-125.088029052436i</v>
      </c>
      <c r="N251" s="270" t="str">
        <f t="shared" si="171"/>
        <v>-6.25775691531747-93.816021789327i</v>
      </c>
      <c r="O251" s="581" t="str">
        <f t="shared" si="172"/>
        <v>-6.45451364460125-46.6029679682209i</v>
      </c>
      <c r="P251" s="582" t="str">
        <f t="shared" si="173"/>
        <v>-7.54943255969942-0.125889420531157i</v>
      </c>
      <c r="Q251" s="583" t="str">
        <f t="shared" si="174"/>
        <v>-7.48488742325339+0.340140259151053i</v>
      </c>
      <c r="R251" s="581" t="str">
        <f t="shared" si="195"/>
        <v>-0.652672443956233-5.57060745327225i</v>
      </c>
      <c r="S251" s="253" t="str">
        <f t="shared" si="196"/>
        <v>51.3744430890551-2.9784663466874i</v>
      </c>
      <c r="T251" s="253" t="str">
        <f t="shared" si="197"/>
        <v>18.9696935867965-3.84325297054072i</v>
      </c>
      <c r="U251" s="253" t="str">
        <f t="shared" si="198"/>
        <v>-0.331277366462932-3.06454752557331i</v>
      </c>
      <c r="V251" s="582" t="str">
        <f t="shared" si="175"/>
        <v>6000</v>
      </c>
      <c r="W251" s="584" t="str">
        <f t="shared" si="176"/>
        <v>1+53884.6362003866i</v>
      </c>
      <c r="X251" s="585">
        <f t="shared" si="177"/>
        <v>53884.636209665681</v>
      </c>
      <c r="Y251" s="586">
        <f t="shared" si="178"/>
        <v>1.570777768629334</v>
      </c>
      <c r="Z251" s="273" t="str">
        <f t="shared" si="179"/>
        <v>1+8.08148320757684i</v>
      </c>
      <c r="AA251" s="585">
        <f t="shared" si="180"/>
        <v>8.1431180044468494</v>
      </c>
      <c r="AB251" s="586">
        <f t="shared" si="181"/>
        <v>1.4476824723881332</v>
      </c>
      <c r="AC251" s="584" t="str">
        <f t="shared" si="182"/>
        <v>1+0.390703001903774i</v>
      </c>
      <c r="AD251" s="585">
        <f t="shared" si="183"/>
        <v>1.0736148451361041</v>
      </c>
      <c r="AE251" s="586">
        <f t="shared" si="184"/>
        <v>0.37246612033731163</v>
      </c>
      <c r="AF251" s="580" t="str">
        <f t="shared" si="199"/>
        <v>0.742957610824284-0.401608062342085i</v>
      </c>
      <c r="AG251" s="270">
        <f t="shared" si="200"/>
        <v>0.84455612437533845</v>
      </c>
      <c r="AH251" s="581">
        <f t="shared" si="201"/>
        <v>-0.49556141657851416</v>
      </c>
      <c r="AI251" s="582" t="str">
        <f t="shared" si="185"/>
        <v>4000</v>
      </c>
      <c r="AJ251" s="584" t="str">
        <f t="shared" si="202"/>
        <v>1+4233.30603116096i</v>
      </c>
      <c r="AK251" s="585">
        <f t="shared" si="203"/>
        <v>4233.3061492719562</v>
      </c>
      <c r="AL251" s="586">
        <f t="shared" si="204"/>
        <v>1.5705601048033753</v>
      </c>
      <c r="AM251" s="273" t="str">
        <f t="shared" si="205"/>
        <v>1+0.148160525472242i</v>
      </c>
      <c r="AN251" s="585">
        <f t="shared" si="206"/>
        <v>1.0109161890622838</v>
      </c>
      <c r="AO251" s="586">
        <f t="shared" si="207"/>
        <v>0.14709046686903868</v>
      </c>
      <c r="AP251" s="584" t="str">
        <f t="shared" si="208"/>
        <v>1+0.0010719073456934i</v>
      </c>
      <c r="AQ251" s="585">
        <f t="shared" si="209"/>
        <v>1.0000005744925138</v>
      </c>
      <c r="AR251" s="586">
        <f t="shared" si="210"/>
        <v>1.0719069351584015E-3</v>
      </c>
      <c r="AS251" s="580" t="str">
        <f t="shared" si="211"/>
        <v>0.139205338861581-0.94500407623976i</v>
      </c>
      <c r="AT251" s="270">
        <f t="shared" si="212"/>
        <v>0.95520198412551982</v>
      </c>
      <c r="AU251" s="581">
        <f t="shared" si="213"/>
        <v>-1.4245415448694951</v>
      </c>
      <c r="AV251" s="580" t="str">
        <f t="shared" si="214"/>
        <v>-0.0099120709933118-0.184614390966368i</v>
      </c>
      <c r="AW251" s="270">
        <f t="shared" si="215"/>
        <v>-14.662187615139825</v>
      </c>
      <c r="AX251" s="581">
        <f t="shared" si="216"/>
        <v>-93.073298138542512</v>
      </c>
      <c r="AY251" s="299">
        <f t="shared" si="186"/>
        <v>86.926701861457488</v>
      </c>
      <c r="BB251" s="270">
        <f t="shared" si="219"/>
        <v>-40.398095682127675</v>
      </c>
      <c r="BC251" s="270">
        <f t="shared" si="220"/>
        <v>-81.620218262068263</v>
      </c>
      <c r="BD251" s="286"/>
      <c r="BE251" s="270">
        <f t="shared" si="217"/>
        <v>25.735908066987857</v>
      </c>
      <c r="BF251" s="581">
        <f t="shared" si="218"/>
        <v>-11.453079876474241</v>
      </c>
      <c r="BI251" s="286"/>
      <c r="BJ251" s="286"/>
      <c r="BL251" s="253">
        <f t="shared" si="187"/>
        <v>0</v>
      </c>
      <c r="BM251" s="253">
        <f t="shared" si="221"/>
        <v>0</v>
      </c>
      <c r="BN251" s="253">
        <f t="shared" si="188"/>
        <v>0</v>
      </c>
      <c r="BO251" s="253">
        <f t="shared" si="189"/>
        <v>0</v>
      </c>
    </row>
    <row r="252" spans="4:67" ht="13.6" thickBot="1" x14ac:dyDescent="0.25">
      <c r="D252" s="280">
        <v>15400</v>
      </c>
      <c r="E252" s="273" t="str">
        <f t="shared" si="168"/>
        <v>0.174169896715018i</v>
      </c>
      <c r="F252" s="579" t="str">
        <f t="shared" si="190"/>
        <v>0.002-0.15899594714475i</v>
      </c>
      <c r="G252" s="270" t="str">
        <f t="shared" si="191"/>
        <v>0.002-0.15899594714475i</v>
      </c>
      <c r="H252" s="271" t="str">
        <f t="shared" si="192"/>
        <v>0.0145210271854058-0.157683871038283i</v>
      </c>
      <c r="I252" s="271" t="str">
        <f t="shared" si="193"/>
        <v>0.0245210271854058-0.157683871038283i</v>
      </c>
      <c r="J252" s="270" t="str">
        <f t="shared" si="194"/>
        <v>0.00664340077908097-0.0795700980506225i</v>
      </c>
      <c r="K252" s="271" t="str">
        <f t="shared" si="169"/>
        <v>0.99401126234186-0.121559112726841i</v>
      </c>
      <c r="L252" s="580"/>
      <c r="M252" s="580" t="str">
        <f t="shared" si="170"/>
        <v>0.50283644899816-123.878566592071i</v>
      </c>
      <c r="N252" s="270" t="str">
        <f t="shared" si="171"/>
        <v>-6.28953932991805-92.9089249440532i</v>
      </c>
      <c r="O252" s="581" t="str">
        <f t="shared" si="172"/>
        <v>-6.43576614209295-46.1476786028726i</v>
      </c>
      <c r="P252" s="582" t="str">
        <f t="shared" si="173"/>
        <v>-7.43455619806068-0.116771963182073i</v>
      </c>
      <c r="Q252" s="583" t="str">
        <f t="shared" si="174"/>
        <v>-7.37019853663974+0.34470482284665i</v>
      </c>
      <c r="R252" s="581" t="str">
        <f t="shared" si="195"/>
        <v>-0.651867742334159-5.51618215354496i</v>
      </c>
      <c r="S252" s="253" t="str">
        <f t="shared" si="196"/>
        <v>51.3740061683821-3.03295983357484i</v>
      </c>
      <c r="T252" s="253" t="str">
        <f t="shared" si="197"/>
        <v>18.9647238012818-3.87582220781509i</v>
      </c>
      <c r="U252" s="253" t="str">
        <f t="shared" si="198"/>
        <v>-0.335767379302302-3.04671198180344i</v>
      </c>
      <c r="V252" s="582" t="str">
        <f t="shared" si="175"/>
        <v>6000</v>
      </c>
      <c r="W252" s="584" t="str">
        <f t="shared" si="176"/>
        <v>1+54194.3180176302i</v>
      </c>
      <c r="X252" s="585">
        <f t="shared" si="177"/>
        <v>54194.31802685625</v>
      </c>
      <c r="Y252" s="586">
        <f t="shared" si="178"/>
        <v>1.5707778746759944</v>
      </c>
      <c r="Z252" s="273" t="str">
        <f t="shared" si="179"/>
        <v>1+8.12792851336751i</v>
      </c>
      <c r="AA252" s="585">
        <f t="shared" si="180"/>
        <v>8.1892137545928403</v>
      </c>
      <c r="AB252" s="586">
        <f t="shared" si="181"/>
        <v>1.4483789528312883</v>
      </c>
      <c r="AC252" s="584" t="str">
        <f t="shared" si="182"/>
        <v>1+0.392948421454945i</v>
      </c>
      <c r="AD252" s="585">
        <f t="shared" si="183"/>
        <v>1.0744340193441071</v>
      </c>
      <c r="AE252" s="586">
        <f t="shared" si="184"/>
        <v>0.37441268804903316</v>
      </c>
      <c r="AF252" s="580" t="str">
        <f t="shared" si="199"/>
        <v>0.741825124978548-0.402195120827833i</v>
      </c>
      <c r="AG252" s="270">
        <f t="shared" si="200"/>
        <v>0.84383969524261759</v>
      </c>
      <c r="AH252" s="581">
        <f t="shared" si="201"/>
        <v>-0.49681160989373863</v>
      </c>
      <c r="AI252" s="582" t="str">
        <f t="shared" si="185"/>
        <v>4000</v>
      </c>
      <c r="AJ252" s="584" t="str">
        <f t="shared" si="202"/>
        <v>1+4257.63537616763i</v>
      </c>
      <c r="AK252" s="585">
        <f t="shared" si="203"/>
        <v>4257.6354936037069</v>
      </c>
      <c r="AL252" s="586">
        <f t="shared" si="204"/>
        <v>1.5705614546432771</v>
      </c>
      <c r="AM252" s="273" t="str">
        <f t="shared" si="205"/>
        <v>1+0.149012022745071i</v>
      </c>
      <c r="AN252" s="585">
        <f t="shared" si="206"/>
        <v>1.0110413359119288</v>
      </c>
      <c r="AO252" s="586">
        <f t="shared" si="207"/>
        <v>0.14792357092382025</v>
      </c>
      <c r="AP252" s="584" t="str">
        <f t="shared" si="208"/>
        <v>1+0.00107806773273761i</v>
      </c>
      <c r="AQ252" s="585">
        <f t="shared" si="209"/>
        <v>1.0000005811148494</v>
      </c>
      <c r="AR252" s="586">
        <f t="shared" si="210"/>
        <v>1.0780673150836678E-3</v>
      </c>
      <c r="AS252" s="580" t="str">
        <f t="shared" si="211"/>
        <v>0.139202793502595-0.939605761017492i</v>
      </c>
      <c r="AT252" s="270">
        <f t="shared" si="212"/>
        <v>0.94986125505580365</v>
      </c>
      <c r="AU252" s="581">
        <f t="shared" si="213"/>
        <v>-1.423715951034541</v>
      </c>
      <c r="AV252" s="580" t="str">
        <f t="shared" si="214"/>
        <v>-0.0100180234399901-0.183588890182372i</v>
      </c>
      <c r="AW252" s="270">
        <f t="shared" si="215"/>
        <v>-14.710159585636474</v>
      </c>
      <c r="AX252" s="581">
        <f t="shared" si="216"/>
        <v>-93.123401237052519</v>
      </c>
      <c r="AY252" s="299">
        <f t="shared" si="186"/>
        <v>86.876598762947481</v>
      </c>
      <c r="BB252" s="270">
        <f t="shared" si="219"/>
        <v>-40.4467965376801</v>
      </c>
      <c r="BC252" s="270">
        <f t="shared" si="220"/>
        <v>-81.57291521973336</v>
      </c>
      <c r="BD252" s="286"/>
      <c r="BE252" s="270">
        <f t="shared" si="217"/>
        <v>25.736636952043618</v>
      </c>
      <c r="BF252" s="581">
        <f t="shared" si="218"/>
        <v>-11.550486017319162</v>
      </c>
      <c r="BI252" s="286"/>
      <c r="BJ252" s="286"/>
      <c r="BL252" s="253">
        <f t="shared" si="187"/>
        <v>0</v>
      </c>
      <c r="BM252" s="253">
        <f t="shared" si="221"/>
        <v>0</v>
      </c>
      <c r="BN252" s="253">
        <f t="shared" si="188"/>
        <v>0</v>
      </c>
      <c r="BO252" s="253">
        <f t="shared" si="189"/>
        <v>0</v>
      </c>
    </row>
    <row r="253" spans="4:67" ht="13.6" thickBot="1" x14ac:dyDescent="0.25">
      <c r="D253" s="280">
        <v>15488</v>
      </c>
      <c r="E253" s="273" t="str">
        <f t="shared" si="168"/>
        <v>0.175165153267675i</v>
      </c>
      <c r="F253" s="579" t="str">
        <f t="shared" si="190"/>
        <v>0.002-0.158092561081428i</v>
      </c>
      <c r="G253" s="270" t="str">
        <f t="shared" si="191"/>
        <v>0.002-0.158092561081428i</v>
      </c>
      <c r="H253" s="271" t="str">
        <f t="shared" si="192"/>
        <v>0.0143800037615721-0.156799076193721i</v>
      </c>
      <c r="I253" s="271" t="str">
        <f t="shared" si="193"/>
        <v>0.0243800037615721-0.156799076193721i</v>
      </c>
      <c r="J253" s="270" t="str">
        <f t="shared" si="194"/>
        <v>0.00660767566024355-0.0791202911817784i</v>
      </c>
      <c r="K253" s="271" t="str">
        <f t="shared" si="169"/>
        <v>0.99394262407515-0.122253736228137i</v>
      </c>
      <c r="L253" s="580"/>
      <c r="M253" s="580" t="str">
        <f t="shared" si="170"/>
        <v>0.462522942559238-122.694937669618i</v>
      </c>
      <c r="N253" s="270" t="str">
        <f t="shared" si="171"/>
        <v>-6.31977445974724-92.0212032522135i</v>
      </c>
      <c r="O253" s="581" t="str">
        <f t="shared" si="172"/>
        <v>-6.41709566863133-45.702148083421i</v>
      </c>
      <c r="P253" s="582" t="str">
        <f t="shared" si="173"/>
        <v>-7.32250341608865-0.108023869497608i</v>
      </c>
      <c r="Q253" s="583" t="str">
        <f t="shared" si="174"/>
        <v>-7.25833245940234+0.348997611336602i</v>
      </c>
      <c r="R253" s="581" t="str">
        <f t="shared" si="195"/>
        <v>-0.651037154074699-5.46292044443551i</v>
      </c>
      <c r="S253" s="253" t="str">
        <f t="shared" si="196"/>
        <v>51.3734585975938-3.08725061169967i</v>
      </c>
      <c r="T253" s="253" t="str">
        <f t="shared" si="197"/>
        <v>18.9596945409312-3.90832487544104i</v>
      </c>
      <c r="U253" s="253" t="str">
        <f t="shared" si="198"/>
        <v>-0.340181251117248-3.02906431534343i</v>
      </c>
      <c r="V253" s="582" t="str">
        <f t="shared" si="175"/>
        <v>6000</v>
      </c>
      <c r="W253" s="584" t="str">
        <f t="shared" si="176"/>
        <v>1+54503.9998348738i</v>
      </c>
      <c r="X253" s="585">
        <f t="shared" si="177"/>
        <v>54503.99984404743</v>
      </c>
      <c r="Y253" s="586">
        <f t="shared" si="178"/>
        <v>1.5707779795175791</v>
      </c>
      <c r="Z253" s="273" t="str">
        <f t="shared" si="179"/>
        <v>1+8.17437381915819i</v>
      </c>
      <c r="AA253" s="585">
        <f t="shared" si="180"/>
        <v>8.2353134327321662</v>
      </c>
      <c r="AB253" s="586">
        <f t="shared" si="181"/>
        <v>1.449067636082086</v>
      </c>
      <c r="AC253" s="584" t="str">
        <f t="shared" si="182"/>
        <v>1+0.395193841006116i</v>
      </c>
      <c r="AD253" s="585">
        <f t="shared" si="183"/>
        <v>1.0752572585056877</v>
      </c>
      <c r="AE253" s="586">
        <f t="shared" si="184"/>
        <v>0.37635628245102981</v>
      </c>
      <c r="AF253" s="580" t="str">
        <f t="shared" si="199"/>
        <v>0.74068962652974-0.40278313230938i</v>
      </c>
      <c r="AG253" s="270">
        <f t="shared" si="200"/>
        <v>0.84312239593176586</v>
      </c>
      <c r="AH253" s="581">
        <f t="shared" si="201"/>
        <v>-0.49806662588652156</v>
      </c>
      <c r="AI253" s="582" t="str">
        <f t="shared" si="185"/>
        <v>4000</v>
      </c>
      <c r="AJ253" s="584" t="str">
        <f t="shared" si="202"/>
        <v>1+4281.9647211743i</v>
      </c>
      <c r="AK253" s="585">
        <f t="shared" si="203"/>
        <v>4281.9648379431264</v>
      </c>
      <c r="AL253" s="586">
        <f t="shared" si="204"/>
        <v>1.5705627891440899</v>
      </c>
      <c r="AM253" s="273" t="str">
        <f t="shared" si="205"/>
        <v>1+0.1498635200179i</v>
      </c>
      <c r="AN253" s="585">
        <f t="shared" si="206"/>
        <v>1.0111671843133339</v>
      </c>
      <c r="AO253" s="586">
        <f t="shared" si="207"/>
        <v>0.14875646818271981</v>
      </c>
      <c r="AP253" s="584" t="str">
        <f t="shared" si="208"/>
        <v>1+0.00108422811978183i</v>
      </c>
      <c r="AQ253" s="585">
        <f t="shared" si="209"/>
        <v>1.0000005877751352</v>
      </c>
      <c r="AR253" s="586">
        <f t="shared" si="210"/>
        <v>1.0842276949271186E-3</v>
      </c>
      <c r="AS253" s="580" t="str">
        <f t="shared" si="211"/>
        <v>0.139200291365195-0.934268800005592i</v>
      </c>
      <c r="AT253" s="270">
        <f t="shared" si="212"/>
        <v>0.94458187140133287</v>
      </c>
      <c r="AU253" s="581">
        <f t="shared" si="213"/>
        <v>-1.4228905486562973</v>
      </c>
      <c r="AV253" s="580" t="str">
        <f t="shared" si="214"/>
        <v>-0.0101223098711759-0.182574910286396i</v>
      </c>
      <c r="AW253" s="270">
        <f t="shared" si="215"/>
        <v>-14.757849167992344</v>
      </c>
      <c r="AX253" s="581">
        <f t="shared" si="216"/>
        <v>-93.173341245998287</v>
      </c>
      <c r="AY253" s="299">
        <f t="shared" si="186"/>
        <v>86.826658754001713</v>
      </c>
      <c r="BB253" s="270">
        <f t="shared" si="219"/>
        <v>-40.49520787486702</v>
      </c>
      <c r="BC253" s="270">
        <f t="shared" si="220"/>
        <v>-81.525623147059946</v>
      </c>
      <c r="BD253" s="286"/>
      <c r="BE253" s="270">
        <f t="shared" si="217"/>
        <v>25.737358706874677</v>
      </c>
      <c r="BF253" s="581">
        <f t="shared" si="218"/>
        <v>-11.647718098938327</v>
      </c>
      <c r="BI253" s="286"/>
      <c r="BJ253" s="286"/>
      <c r="BL253" s="253">
        <f t="shared" si="187"/>
        <v>0</v>
      </c>
      <c r="BM253" s="253">
        <f t="shared" si="221"/>
        <v>0</v>
      </c>
      <c r="BN253" s="253">
        <f t="shared" si="188"/>
        <v>0</v>
      </c>
      <c r="BO253" s="253">
        <f t="shared" si="189"/>
        <v>0</v>
      </c>
    </row>
    <row r="254" spans="4:67" ht="13.6" thickBot="1" x14ac:dyDescent="0.25">
      <c r="D254" s="280">
        <v>15578.25</v>
      </c>
      <c r="E254" s="273" t="str">
        <f t="shared" si="168"/>
        <v>0.176185856720827i</v>
      </c>
      <c r="F254" s="579" t="str">
        <f t="shared" si="190"/>
        <v>0.002-0.157176678126822i</v>
      </c>
      <c r="G254" s="270" t="str">
        <f t="shared" si="191"/>
        <v>0.002-0.157176678126822i</v>
      </c>
      <c r="H254" s="271" t="str">
        <f t="shared" si="192"/>
        <v>0.0142378295326751-0.155901848903078i</v>
      </c>
      <c r="I254" s="271" t="str">
        <f t="shared" si="193"/>
        <v>0.0242378295326751-0.155901848903078i</v>
      </c>
      <c r="J254" s="270" t="str">
        <f t="shared" si="194"/>
        <v>0.00657166194038289-0.0786642426254175i</v>
      </c>
      <c r="K254" s="271" t="str">
        <f t="shared" si="169"/>
        <v>0.993871824624063-0.12296611998941i</v>
      </c>
      <c r="L254" s="580"/>
      <c r="M254" s="580" t="str">
        <f t="shared" si="170"/>
        <v>0.423206049949379-121.506985470526i</v>
      </c>
      <c r="N254" s="270" t="str">
        <f t="shared" si="171"/>
        <v>-6.34926212920464-91.1302391028945i</v>
      </c>
      <c r="O254" s="581" t="str">
        <f t="shared" si="172"/>
        <v>-6.39804033314354-45.255023479771i</v>
      </c>
      <c r="P254" s="582" t="str">
        <f t="shared" si="173"/>
        <v>-7.21041644358641-0.0994172273063557i</v>
      </c>
      <c r="Q254" s="583" t="str">
        <f t="shared" si="174"/>
        <v>-7.14643604025498+0.353133007491354i</v>
      </c>
      <c r="R254" s="581" t="str">
        <f t="shared" si="195"/>
        <v>-0.650161207617109-5.40946517909757i</v>
      </c>
      <c r="S254" s="253" t="str">
        <f t="shared" si="196"/>
        <v>51.3727839390114-3.1427222345297i</v>
      </c>
      <c r="T254" s="253" t="str">
        <f t="shared" si="197"/>
        <v>18.9544754646777-3.94159034575133i</v>
      </c>
      <c r="U254" s="253" t="str">
        <f t="shared" si="198"/>
        <v>-0.344630631973802-3.01115746136173i</v>
      </c>
      <c r="V254" s="582" t="str">
        <f t="shared" si="175"/>
        <v>6000</v>
      </c>
      <c r="W254" s="584" t="str">
        <f t="shared" si="176"/>
        <v>1+54821.5996531265i</v>
      </c>
      <c r="X254" s="585">
        <f t="shared" si="177"/>
        <v>54821.599662246997</v>
      </c>
      <c r="Y254" s="586">
        <f t="shared" si="178"/>
        <v>1.5707780858094782</v>
      </c>
      <c r="Z254" s="273" t="str">
        <f t="shared" si="179"/>
        <v>1+8.22200664697192i</v>
      </c>
      <c r="AA254" s="585">
        <f t="shared" si="180"/>
        <v>8.2825958070432506</v>
      </c>
      <c r="AB254" s="586">
        <f t="shared" si="181"/>
        <v>1.4497659646343453</v>
      </c>
      <c r="AC254" s="584" t="str">
        <f t="shared" si="182"/>
        <v>1+0.39749667185263i</v>
      </c>
      <c r="AD254" s="585">
        <f t="shared" si="183"/>
        <v>1.076105758805294</v>
      </c>
      <c r="AE254" s="586">
        <f t="shared" si="184"/>
        <v>0.37834647449809949</v>
      </c>
      <c r="AF254" s="580" t="str">
        <f t="shared" si="199"/>
        <v>0.739522011857016-0.403387036536673i</v>
      </c>
      <c r="AG254" s="270">
        <f t="shared" si="200"/>
        <v>0.84238584227590596</v>
      </c>
      <c r="AH254" s="581">
        <f t="shared" si="201"/>
        <v>-0.49935859567323415</v>
      </c>
      <c r="AI254" s="582" t="str">
        <f t="shared" si="185"/>
        <v>4000</v>
      </c>
      <c r="AJ254" s="584" t="str">
        <f t="shared" si="202"/>
        <v>1+4306.91612329763i</v>
      </c>
      <c r="AK254" s="585">
        <f t="shared" si="203"/>
        <v>4306.9162393899751</v>
      </c>
      <c r="AL254" s="586">
        <f t="shared" si="204"/>
        <v>1.5705641421055732</v>
      </c>
      <c r="AM254" s="273" t="str">
        <f t="shared" si="205"/>
        <v>1+0.150736788527818i</v>
      </c>
      <c r="AN254" s="585">
        <f t="shared" si="206"/>
        <v>1.0112969788423578</v>
      </c>
      <c r="AO254" s="586">
        <f t="shared" si="207"/>
        <v>0.14961044518619415</v>
      </c>
      <c r="AP254" s="584" t="str">
        <f t="shared" si="208"/>
        <v>1+0.00109054601672206i</v>
      </c>
      <c r="AQ254" s="585">
        <f t="shared" si="209"/>
        <v>1.0000005946451305</v>
      </c>
      <c r="AR254" s="586">
        <f t="shared" si="210"/>
        <v>1.0905455843969877E-3</v>
      </c>
      <c r="AS254" s="580" t="str">
        <f t="shared" si="211"/>
        <v>0.139197769125694-0.928858020770148i</v>
      </c>
      <c r="AT254" s="270">
        <f t="shared" si="212"/>
        <v>0.93923013243752274</v>
      </c>
      <c r="AU254" s="581">
        <f t="shared" si="213"/>
        <v>-1.4220442425037763</v>
      </c>
      <c r="AV254" s="580" t="str">
        <f t="shared" si="214"/>
        <v>-0.0102275710761047-0.181546771477928i</v>
      </c>
      <c r="AW254" s="270">
        <f t="shared" si="215"/>
        <v>-14.806467954367758</v>
      </c>
      <c r="AX254" s="581">
        <f t="shared" si="216"/>
        <v>-93.224391717620776</v>
      </c>
      <c r="AY254" s="299">
        <f t="shared" si="186"/>
        <v>86.775608282379224</v>
      </c>
      <c r="BB254" s="270">
        <f t="shared" si="219"/>
        <v>-40.544559656226028</v>
      </c>
      <c r="BC254" s="270">
        <f t="shared" si="220"/>
        <v>-81.47713337634454</v>
      </c>
      <c r="BD254" s="286"/>
      <c r="BE254" s="270">
        <f t="shared" si="217"/>
        <v>25.738091701858281</v>
      </c>
      <c r="BF254" s="581">
        <f t="shared" si="218"/>
        <v>-11.747258341276236</v>
      </c>
      <c r="BI254" s="286"/>
      <c r="BJ254" s="286"/>
      <c r="BL254" s="253">
        <f t="shared" si="187"/>
        <v>0</v>
      </c>
      <c r="BM254" s="253">
        <f t="shared" si="221"/>
        <v>0</v>
      </c>
      <c r="BN254" s="253">
        <f t="shared" si="188"/>
        <v>0</v>
      </c>
      <c r="BO254" s="253">
        <f t="shared" si="189"/>
        <v>0</v>
      </c>
    </row>
    <row r="255" spans="4:67" ht="13.6" thickBot="1" x14ac:dyDescent="0.25">
      <c r="D255" s="280">
        <v>15668.5</v>
      </c>
      <c r="E255" s="273" t="str">
        <f t="shared" si="168"/>
        <v>0.177206560173978i</v>
      </c>
      <c r="F255" s="579" t="str">
        <f t="shared" si="190"/>
        <v>0.002-0.156271346078384i</v>
      </c>
      <c r="G255" s="270" t="str">
        <f t="shared" si="191"/>
        <v>0.002-0.156271346078384i</v>
      </c>
      <c r="H255" s="271" t="str">
        <f t="shared" si="192"/>
        <v>0.0140980851388327-0.155014767939558i</v>
      </c>
      <c r="I255" s="271" t="str">
        <f t="shared" si="193"/>
        <v>0.0240980851388327-0.155014767939558i</v>
      </c>
      <c r="J255" s="270" t="str">
        <f t="shared" si="194"/>
        <v>0.00653626654933976-0.0782134288108878i</v>
      </c>
      <c r="K255" s="271" t="str">
        <f t="shared" si="169"/>
        <v>0.99380061381657-0.123678503750683i</v>
      </c>
      <c r="L255" s="580"/>
      <c r="M255" s="580" t="str">
        <f t="shared" si="170"/>
        <v>0.385831498702365-120.344429625237i</v>
      </c>
      <c r="N255" s="270" t="str">
        <f t="shared" si="171"/>
        <v>-6.3772930426399-90.2583222189277i</v>
      </c>
      <c r="O255" s="581" t="str">
        <f t="shared" si="172"/>
        <v>-6.37909011495771-44.8174892127731i</v>
      </c>
      <c r="P255" s="582" t="str">
        <f t="shared" si="173"/>
        <v>-7.10109654665022-0.0911624969224208i</v>
      </c>
      <c r="Q255" s="583" t="str">
        <f t="shared" si="174"/>
        <v>-7.03730564550063+0.357012395205307i</v>
      </c>
      <c r="R255" s="581" t="str">
        <f t="shared" si="195"/>
        <v>-0.649263443106863-5.35715354960811i</v>
      </c>
      <c r="S255" s="253" t="str">
        <f t="shared" si="196"/>
        <v>51.3719965954003-3.19798724606973i</v>
      </c>
      <c r="T255" s="253" t="str">
        <f t="shared" si="197"/>
        <v>18.9491949336992-3.97478763529607i</v>
      </c>
      <c r="U255" s="253" t="str">
        <f t="shared" si="198"/>
        <v>-0.349003419406815-2.99344194978001i</v>
      </c>
      <c r="V255" s="582" t="str">
        <f t="shared" si="175"/>
        <v>6000</v>
      </c>
      <c r="W255" s="584" t="str">
        <f t="shared" si="176"/>
        <v>1+55139.1994713792i</v>
      </c>
      <c r="X255" s="585">
        <f t="shared" si="177"/>
        <v>55139.199480447161</v>
      </c>
      <c r="Y255" s="586">
        <f t="shared" si="178"/>
        <v>1.5707781908769023</v>
      </c>
      <c r="Z255" s="273" t="str">
        <f t="shared" si="179"/>
        <v>1+8.26963947478564i</v>
      </c>
      <c r="AA255" s="585">
        <f t="shared" si="180"/>
        <v>8.32988217461285</v>
      </c>
      <c r="AB255" s="586">
        <f t="shared" si="181"/>
        <v>1.4504563650956932</v>
      </c>
      <c r="AC255" s="584" t="str">
        <f t="shared" si="182"/>
        <v>1+0.399799502699143i</v>
      </c>
      <c r="AD255" s="585">
        <f t="shared" si="183"/>
        <v>1.0769585146877674</v>
      </c>
      <c r="AE255" s="586">
        <f t="shared" si="184"/>
        <v>0.38033352266270937</v>
      </c>
      <c r="AF255" s="580" t="str">
        <f t="shared" si="199"/>
        <v>0.738351321046854-0.403991679036181i</v>
      </c>
      <c r="AG255" s="270">
        <f t="shared" si="200"/>
        <v>0.84164835294920359</v>
      </c>
      <c r="AH255" s="581">
        <f t="shared" si="201"/>
        <v>-0.5006553484439209</v>
      </c>
      <c r="AI255" s="582" t="str">
        <f t="shared" si="185"/>
        <v>4000</v>
      </c>
      <c r="AJ255" s="584" t="str">
        <f t="shared" si="202"/>
        <v>1+4331.86752542094i</v>
      </c>
      <c r="AK255" s="585">
        <f t="shared" si="203"/>
        <v>4331.8676408445981</v>
      </c>
      <c r="AL255" s="586">
        <f t="shared" si="204"/>
        <v>1.5705654794810375</v>
      </c>
      <c r="AM255" s="273" t="str">
        <f t="shared" si="205"/>
        <v>1+0.151610057037737i</v>
      </c>
      <c r="AN255" s="585">
        <f t="shared" si="206"/>
        <v>1.0114275106971264</v>
      </c>
      <c r="AO255" s="586">
        <f t="shared" si="207"/>
        <v>0.1504642023886488</v>
      </c>
      <c r="AP255" s="584" t="str">
        <f t="shared" si="208"/>
        <v>1+0.00109686391366229i</v>
      </c>
      <c r="AQ255" s="585">
        <f t="shared" si="209"/>
        <v>1.0000006015550416</v>
      </c>
      <c r="AR255" s="586">
        <f t="shared" si="210"/>
        <v>1.0968634737797971E-3</v>
      </c>
      <c r="AS255" s="580" t="str">
        <f t="shared" si="211"/>
        <v>0.13919529030058-0.923509583430008i</v>
      </c>
      <c r="AT255" s="270">
        <f t="shared" si="212"/>
        <v>0.93394072591836874</v>
      </c>
      <c r="AU255" s="581">
        <f t="shared" si="213"/>
        <v>-1.4211981405661682</v>
      </c>
      <c r="AV255" s="580" t="str">
        <f t="shared" si="214"/>
        <v>-0.0103311578353648-0.180530348383328i</v>
      </c>
      <c r="AW255" s="270">
        <f t="shared" si="215"/>
        <v>-14.854796139389334</v>
      </c>
      <c r="AX255" s="581">
        <f t="shared" si="216"/>
        <v>-93.275276660015734</v>
      </c>
      <c r="AY255" s="299">
        <f t="shared" si="186"/>
        <v>86.724723339984266</v>
      </c>
      <c r="BB255" s="270">
        <f t="shared" si="219"/>
        <v>-40.593613722152888</v>
      </c>
      <c r="BC255" s="270">
        <f t="shared" si="220"/>
        <v>-81.428655306281755</v>
      </c>
      <c r="BD255" s="286"/>
      <c r="BE255" s="270">
        <f t="shared" si="217"/>
        <v>25.738817582763534</v>
      </c>
      <c r="BF255" s="581">
        <f t="shared" si="218"/>
        <v>-11.846621353734008</v>
      </c>
      <c r="BI255" s="286"/>
      <c r="BJ255" s="286"/>
      <c r="BL255" s="253">
        <f t="shared" si="187"/>
        <v>0</v>
      </c>
      <c r="BM255" s="253">
        <f t="shared" si="221"/>
        <v>0</v>
      </c>
      <c r="BN255" s="253">
        <f t="shared" si="188"/>
        <v>0</v>
      </c>
      <c r="BO255" s="253">
        <f t="shared" si="189"/>
        <v>0</v>
      </c>
    </row>
    <row r="256" spans="4:67" ht="13.6" thickBot="1" x14ac:dyDescent="0.25">
      <c r="D256" s="280">
        <v>15758.75</v>
      </c>
      <c r="E256" s="273" t="str">
        <f t="shared" si="168"/>
        <v>0.178227263627129i</v>
      </c>
      <c r="F256" s="579" t="str">
        <f t="shared" si="190"/>
        <v>0.002-0.155376383661722i</v>
      </c>
      <c r="G256" s="270" t="str">
        <f t="shared" si="191"/>
        <v>0.002-0.155376383661722i</v>
      </c>
      <c r="H256" s="271" t="str">
        <f t="shared" si="192"/>
        <v>0.0139607156348367-0.154137663244142i</v>
      </c>
      <c r="I256" s="271" t="str">
        <f t="shared" si="193"/>
        <v>0.0239607156348367-0.154137663244142i</v>
      </c>
      <c r="J256" s="270" t="str">
        <f t="shared" si="194"/>
        <v>0.0065014753933976-0.0777677603462342i</v>
      </c>
      <c r="K256" s="271" t="str">
        <f t="shared" si="169"/>
        <v>0.993728991652673-0.124390887511955i</v>
      </c>
      <c r="L256" s="580"/>
      <c r="M256" s="580" t="str">
        <f t="shared" si="170"/>
        <v>0.350294660333754-119.206430767584i</v>
      </c>
      <c r="N256" s="270" t="str">
        <f t="shared" si="171"/>
        <v>-6.40394567141635-89.404823075688i</v>
      </c>
      <c r="O256" s="581" t="str">
        <f t="shared" si="172"/>
        <v>-6.3602553273133-44.3892267255341i</v>
      </c>
      <c r="P256" s="582" t="str">
        <f t="shared" si="173"/>
        <v>-6.99444794995094-0.0832427450326409i</v>
      </c>
      <c r="Q256" s="583" t="str">
        <f t="shared" si="174"/>
        <v>-6.93084539667782+0.360649522222702i</v>
      </c>
      <c r="R256" s="581" t="str">
        <f t="shared" si="195"/>
        <v>-0.648346287686123-5.30594763346489i</v>
      </c>
      <c r="S256" s="253" t="str">
        <f t="shared" si="196"/>
        <v>51.3710983611526-3.25304888119612i</v>
      </c>
      <c r="T256" s="253" t="str">
        <f t="shared" si="197"/>
        <v>18.9438534827839-4.00791764339276i</v>
      </c>
      <c r="U256" s="253" t="str">
        <f t="shared" si="198"/>
        <v>-0.353301308526374-2.97591470718297i</v>
      </c>
      <c r="V256" s="582" t="str">
        <f t="shared" si="175"/>
        <v>6000</v>
      </c>
      <c r="W256" s="584" t="str">
        <f t="shared" si="176"/>
        <v>1+55456.7992896319i</v>
      </c>
      <c r="X256" s="585">
        <f t="shared" si="177"/>
        <v>55456.799298647922</v>
      </c>
      <c r="Y256" s="586">
        <f t="shared" si="178"/>
        <v>1.5707782947408888</v>
      </c>
      <c r="Z256" s="273" t="str">
        <f t="shared" si="179"/>
        <v>1+8.31727230259937i</v>
      </c>
      <c r="AA256" s="585">
        <f t="shared" si="180"/>
        <v>8.3771724678191166</v>
      </c>
      <c r="AB256" s="586">
        <f t="shared" si="181"/>
        <v>1.4511389710678289</v>
      </c>
      <c r="AC256" s="584" t="str">
        <f t="shared" si="182"/>
        <v>1+0.402102333545657i</v>
      </c>
      <c r="AD256" s="585">
        <f t="shared" si="183"/>
        <v>1.0778155160521965</v>
      </c>
      <c r="AE256" s="586">
        <f t="shared" si="184"/>
        <v>0.38231741873458303</v>
      </c>
      <c r="AF256" s="580" t="str">
        <f t="shared" si="199"/>
        <v>0.73717760074161-0.404596931104632i</v>
      </c>
      <c r="AG256" s="270">
        <f t="shared" si="200"/>
        <v>0.84090991889407674</v>
      </c>
      <c r="AH256" s="581">
        <f t="shared" si="201"/>
        <v>-0.50195674240764443</v>
      </c>
      <c r="AI256" s="582" t="str">
        <f t="shared" si="185"/>
        <v>4000</v>
      </c>
      <c r="AJ256" s="584" t="str">
        <f t="shared" si="202"/>
        <v>1+4356.81892754427i</v>
      </c>
      <c r="AK256" s="585">
        <f t="shared" si="203"/>
        <v>4356.8190423068991</v>
      </c>
      <c r="AL256" s="586">
        <f t="shared" si="204"/>
        <v>1.5705668015382657</v>
      </c>
      <c r="AM256" s="273" t="str">
        <f t="shared" si="205"/>
        <v>1+0.152483325547655i</v>
      </c>
      <c r="AN256" s="585">
        <f t="shared" si="206"/>
        <v>1.0115587795922054</v>
      </c>
      <c r="AO256" s="586">
        <f t="shared" si="207"/>
        <v>0.15131773863080378</v>
      </c>
      <c r="AP256" s="584" t="str">
        <f t="shared" si="208"/>
        <v>1+0.00110318181060252i</v>
      </c>
      <c r="AQ256" s="585">
        <f t="shared" si="209"/>
        <v>1.0000006085048685</v>
      </c>
      <c r="AR256" s="586">
        <f t="shared" si="210"/>
        <v>1.1031813630750422E-3</v>
      </c>
      <c r="AS256" s="580" t="str">
        <f t="shared" si="211"/>
        <v>0.139192853897915-0.918222416893576i</v>
      </c>
      <c r="AT256" s="270">
        <f t="shared" si="212"/>
        <v>0.92871258065244622</v>
      </c>
      <c r="AU256" s="581">
        <f t="shared" si="213"/>
        <v>-1.4203522442705372</v>
      </c>
      <c r="AV256" s="580" t="str">
        <f t="shared" si="214"/>
        <v>-0.0104331079513386-0.179525444252113i</v>
      </c>
      <c r="AW256" s="270">
        <f t="shared" si="215"/>
        <v>-14.902836889681449</v>
      </c>
      <c r="AX256" s="581">
        <f t="shared" si="216"/>
        <v>-93.325999018370595</v>
      </c>
      <c r="AY256" s="299">
        <f t="shared" si="186"/>
        <v>86.674000981629405</v>
      </c>
      <c r="BB256" s="270">
        <f t="shared" si="219"/>
        <v>-40.642373426264939</v>
      </c>
      <c r="BC256" s="270">
        <f t="shared" si="220"/>
        <v>-81.380189018636344</v>
      </c>
      <c r="BD256" s="286"/>
      <c r="BE256" s="270">
        <f t="shared" si="217"/>
        <v>25.739536536583465</v>
      </c>
      <c r="BF256" s="581">
        <f t="shared" si="218"/>
        <v>-11.94580999973426</v>
      </c>
      <c r="BI256" s="286"/>
      <c r="BJ256" s="286"/>
      <c r="BL256" s="253">
        <f t="shared" si="187"/>
        <v>0</v>
      </c>
      <c r="BM256" s="253">
        <f t="shared" si="221"/>
        <v>0</v>
      </c>
      <c r="BN256" s="253">
        <f t="shared" si="188"/>
        <v>0</v>
      </c>
      <c r="BO256" s="253">
        <f t="shared" si="189"/>
        <v>0</v>
      </c>
    </row>
    <row r="257" spans="4:67" ht="13.6" thickBot="1" x14ac:dyDescent="0.25">
      <c r="D257" s="280">
        <v>15849</v>
      </c>
      <c r="E257" s="273" t="str">
        <f t="shared" si="168"/>
        <v>0.179247967080281i</v>
      </c>
      <c r="F257" s="579" t="str">
        <f t="shared" si="190"/>
        <v>0.002-0.154491613731413i</v>
      </c>
      <c r="G257" s="270" t="str">
        <f t="shared" si="191"/>
        <v>0.002-0.154491613731413i</v>
      </c>
      <c r="H257" s="271" t="str">
        <f t="shared" si="192"/>
        <v>0.013825667616727-0.15327036851239i</v>
      </c>
      <c r="I257" s="271" t="str">
        <f t="shared" si="193"/>
        <v>0.023825667616727-0.15327036851239i</v>
      </c>
      <c r="J257" s="270" t="str">
        <f t="shared" si="194"/>
        <v>0.00646727477776995-0.0773271498602389i</v>
      </c>
      <c r="K257" s="271" t="str">
        <f t="shared" si="169"/>
        <v>0.99365695813237-0.125103271273228i</v>
      </c>
      <c r="L257" s="580"/>
      <c r="M257" s="580" t="str">
        <f t="shared" si="170"/>
        <v>0.316497362086991-118.092186591062i</v>
      </c>
      <c r="N257" s="270" t="str">
        <f t="shared" si="171"/>
        <v>-6.42929364510143-88.5691399432965i</v>
      </c>
      <c r="O257" s="581" t="str">
        <f t="shared" si="172"/>
        <v>-6.34154516013436-43.9699315938619i</v>
      </c>
      <c r="P257" s="582" t="str">
        <f t="shared" si="173"/>
        <v>-6.8903791660176-0.0756420116538186i</v>
      </c>
      <c r="Q257" s="583" t="str">
        <f t="shared" si="174"/>
        <v>-6.82696371441628+0.364057304284799i</v>
      </c>
      <c r="R257" s="581" t="str">
        <f t="shared" si="195"/>
        <v>-0.647411980636828-5.25581118782138i</v>
      </c>
      <c r="S257" s="253" t="str">
        <f t="shared" si="196"/>
        <v>51.3700909812224-3.30791030671104i</v>
      </c>
      <c r="T257" s="253" t="str">
        <f t="shared" si="197"/>
        <v>18.9384516323513-4.04098124949206i</v>
      </c>
      <c r="U257" s="253" t="str">
        <f t="shared" si="198"/>
        <v>-0.357525947816958-2.95857272434545i</v>
      </c>
      <c r="V257" s="582" t="str">
        <f t="shared" si="175"/>
        <v>6000</v>
      </c>
      <c r="W257" s="584" t="str">
        <f t="shared" si="176"/>
        <v>1+55774.3991078846i</v>
      </c>
      <c r="X257" s="585">
        <f t="shared" si="177"/>
        <v>55774.399116849287</v>
      </c>
      <c r="Y257" s="586">
        <f t="shared" si="178"/>
        <v>1.5707783974219964</v>
      </c>
      <c r="Z257" s="273" t="str">
        <f t="shared" si="179"/>
        <v>1+8.36490513041311i</v>
      </c>
      <c r="AA257" s="585">
        <f t="shared" si="180"/>
        <v>8.4244666205529928</v>
      </c>
      <c r="AB257" s="586">
        <f t="shared" si="181"/>
        <v>1.4518139131817718</v>
      </c>
      <c r="AC257" s="584" t="str">
        <f t="shared" si="182"/>
        <v>1+0.404405164392171i</v>
      </c>
      <c r="AD257" s="585">
        <f t="shared" si="183"/>
        <v>1.0786767527795613</v>
      </c>
      <c r="AE257" s="586">
        <f t="shared" si="184"/>
        <v>0.38429815462871703</v>
      </c>
      <c r="AF257" s="580" t="str">
        <f t="shared" si="199"/>
        <v>0.736000897454298-0.405202667290755i</v>
      </c>
      <c r="AG257" s="270">
        <f t="shared" si="200"/>
        <v>0.84017053187616286</v>
      </c>
      <c r="AH257" s="581">
        <f t="shared" si="201"/>
        <v>-0.50326263886894218</v>
      </c>
      <c r="AI257" s="582" t="str">
        <f t="shared" si="185"/>
        <v>4000</v>
      </c>
      <c r="AJ257" s="584" t="str">
        <f t="shared" si="202"/>
        <v>1+4381.77032966759i</v>
      </c>
      <c r="AK257" s="585">
        <f t="shared" si="203"/>
        <v>4381.7704437767188</v>
      </c>
      <c r="AL257" s="586">
        <f t="shared" si="204"/>
        <v>1.57056810853894</v>
      </c>
      <c r="AM257" s="273" t="str">
        <f t="shared" si="205"/>
        <v>1+0.153356594057574i</v>
      </c>
      <c r="AN257" s="585">
        <f t="shared" si="206"/>
        <v>1.0116907852406978</v>
      </c>
      <c r="AO257" s="586">
        <f t="shared" si="207"/>
        <v>0.15217105275527082</v>
      </c>
      <c r="AP257" s="584" t="str">
        <f t="shared" si="208"/>
        <v>1+0.00110949970754275i</v>
      </c>
      <c r="AQ257" s="585">
        <f t="shared" si="209"/>
        <v>1.0000006154946111</v>
      </c>
      <c r="AR257" s="586">
        <f t="shared" si="210"/>
        <v>1.1094992522822189E-3</v>
      </c>
      <c r="AS257" s="580" t="str">
        <f t="shared" si="211"/>
        <v>0.139190458953932-0.912995474466004i</v>
      </c>
      <c r="AT257" s="270">
        <f t="shared" si="212"/>
        <v>0.92354464984602136</v>
      </c>
      <c r="AU257" s="581">
        <f t="shared" si="213"/>
        <v>-1.4195065550359514</v>
      </c>
      <c r="AV257" s="580" t="str">
        <f t="shared" si="214"/>
        <v>-0.0105334581860441-0.178531866684711i</v>
      </c>
      <c r="AW257" s="270">
        <f t="shared" si="215"/>
        <v>-14.950593319767549</v>
      </c>
      <c r="AX257" s="581">
        <f t="shared" si="216"/>
        <v>-93.37656167544263</v>
      </c>
      <c r="AY257" s="299">
        <f t="shared" si="186"/>
        <v>86.62343832455737</v>
      </c>
      <c r="BB257" s="270">
        <f t="shared" si="219"/>
        <v>-40.690842064832289</v>
      </c>
      <c r="BC257" s="270">
        <f t="shared" si="220"/>
        <v>-81.331734594714931</v>
      </c>
      <c r="BD257" s="286"/>
      <c r="BE257" s="270">
        <f t="shared" si="217"/>
        <v>25.740248745064733</v>
      </c>
      <c r="BF257" s="581">
        <f t="shared" si="218"/>
        <v>-12.044827080727705</v>
      </c>
      <c r="BI257" s="286"/>
      <c r="BJ257" s="286"/>
      <c r="BL257" s="253">
        <f t="shared" si="187"/>
        <v>0</v>
      </c>
      <c r="BM257" s="253">
        <f t="shared" si="221"/>
        <v>0</v>
      </c>
      <c r="BN257" s="253">
        <f t="shared" si="188"/>
        <v>0</v>
      </c>
      <c r="BO257" s="253">
        <f t="shared" si="189"/>
        <v>0</v>
      </c>
    </row>
    <row r="258" spans="4:67" ht="13.6" thickBot="1" x14ac:dyDescent="0.25">
      <c r="D258" s="280">
        <v>15941.25</v>
      </c>
      <c r="E258" s="273" t="str">
        <f t="shared" si="168"/>
        <v>0.180291290000538i</v>
      </c>
      <c r="F258" s="579" t="str">
        <f t="shared" si="190"/>
        <v>0.002-0.153597590278627i</v>
      </c>
      <c r="G258" s="270" t="str">
        <f t="shared" si="191"/>
        <v>0.002-0.153597590278627i</v>
      </c>
      <c r="H258" s="271" t="str">
        <f t="shared" si="192"/>
        <v>0.0136899720285901-0.152393823098242i</v>
      </c>
      <c r="I258" s="271" t="str">
        <f t="shared" si="193"/>
        <v>0.0236899720285901-0.152393823098242i</v>
      </c>
      <c r="J258" s="270" t="str">
        <f t="shared" si="194"/>
        <v>0.0064329127147816-0.076881913597722i</v>
      </c>
      <c r="K258" s="271" t="str">
        <f t="shared" si="169"/>
        <v>0.993582903170059-0.125831441932257i</v>
      </c>
      <c r="L258" s="580"/>
      <c r="M258" s="580" t="str">
        <f t="shared" si="170"/>
        <v>0.283652954884685-116.977001532743i</v>
      </c>
      <c r="N258" s="270" t="str">
        <f t="shared" si="171"/>
        <v>-6.45392695050316-87.7327511495573i</v>
      </c>
      <c r="O258" s="581" t="str">
        <f t="shared" si="172"/>
        <v>-6.32255765295502-43.5503092804802i</v>
      </c>
      <c r="P258" s="582" t="str">
        <f t="shared" si="173"/>
        <v>-6.78657934231087-0.0681868761981638i</v>
      </c>
      <c r="Q258" s="583" t="str">
        <f t="shared" si="174"/>
        <v>-6.72335376578133+0.367316216606642i</v>
      </c>
      <c r="R258" s="581" t="str">
        <f t="shared" si="195"/>
        <v>-0.646441393010534-5.20563289685023i</v>
      </c>
      <c r="S258" s="253" t="str">
        <f t="shared" si="196"/>
        <v>51.3689502431373-3.36378381152051i</v>
      </c>
      <c r="T258" s="253" t="str">
        <f t="shared" si="197"/>
        <v>18.9328681785057-4.07470983685849i</v>
      </c>
      <c r="U258" s="253" t="str">
        <f t="shared" si="198"/>
        <v>-0.361770174270153-2.94103482762876i</v>
      </c>
      <c r="V258" s="582" t="str">
        <f t="shared" si="175"/>
        <v>6000</v>
      </c>
      <c r="W258" s="584" t="str">
        <f t="shared" si="176"/>
        <v>1+56099.0371492566i</v>
      </c>
      <c r="X258" s="585">
        <f t="shared" si="177"/>
        <v>56099.037158169413</v>
      </c>
      <c r="Y258" s="586">
        <f t="shared" si="178"/>
        <v>1.5707785011770123</v>
      </c>
      <c r="Z258" s="273" t="str">
        <f t="shared" si="179"/>
        <v>1+8.41359353335847i</v>
      </c>
      <c r="AA258" s="585">
        <f t="shared" si="180"/>
        <v>8.4728127646355702</v>
      </c>
      <c r="AB258" s="586">
        <f t="shared" si="181"/>
        <v>1.4524960249459626</v>
      </c>
      <c r="AC258" s="584" t="str">
        <f t="shared" si="182"/>
        <v>1+0.406759027501213i</v>
      </c>
      <c r="AD258" s="585">
        <f t="shared" si="183"/>
        <v>1.0795614417223933</v>
      </c>
      <c r="AE258" s="586">
        <f t="shared" si="184"/>
        <v>0.38631951065924064</v>
      </c>
      <c r="AF258" s="580" t="str">
        <f t="shared" si="199"/>
        <v>0.734795083054902-0.405822200028621i</v>
      </c>
      <c r="AG258" s="270">
        <f t="shared" si="200"/>
        <v>0.83941376693364433</v>
      </c>
      <c r="AH258" s="581">
        <f t="shared" si="201"/>
        <v>-0.50460198689028879</v>
      </c>
      <c r="AI258" s="582" t="str">
        <f t="shared" si="185"/>
        <v>4000</v>
      </c>
      <c r="AJ258" s="584" t="str">
        <f t="shared" si="202"/>
        <v>1+4407.27467145017i</v>
      </c>
      <c r="AK258" s="585">
        <f t="shared" si="203"/>
        <v>4407.2747848989638</v>
      </c>
      <c r="AL258" s="586">
        <f t="shared" si="204"/>
        <v>1.5705694292091126</v>
      </c>
      <c r="AM258" s="273" t="str">
        <f t="shared" si="205"/>
        <v>1+0.154249214778239i</v>
      </c>
      <c r="AN258" s="585">
        <f t="shared" si="206"/>
        <v>1.0118264773466363</v>
      </c>
      <c r="AO258" s="586">
        <f t="shared" si="207"/>
        <v>0.15304304612939537</v>
      </c>
      <c r="AP258" s="584" t="str">
        <f t="shared" si="208"/>
        <v>1+0.00111595761327945i</v>
      </c>
      <c r="AQ258" s="585">
        <f t="shared" si="209"/>
        <v>1.0000006226805034</v>
      </c>
      <c r="AR258" s="586">
        <f t="shared" si="210"/>
        <v>1.1159571500229529E-3</v>
      </c>
      <c r="AS258" s="580" t="str">
        <f t="shared" si="211"/>
        <v>0.139188052808463-0.90771387540416i</v>
      </c>
      <c r="AT258" s="270">
        <f t="shared" si="212"/>
        <v>0.91832336006760185</v>
      </c>
      <c r="AU258" s="581">
        <f t="shared" si="213"/>
        <v>-1.4186423402297397</v>
      </c>
      <c r="AV258" s="580" t="str">
        <f t="shared" si="214"/>
        <v>-0.0106344160131675-0.177527780747793i</v>
      </c>
      <c r="AW258" s="270">
        <f t="shared" si="215"/>
        <v>-14.999117412226132</v>
      </c>
      <c r="AX258" s="581">
        <f t="shared" si="216"/>
        <v>-93.42808272315699</v>
      </c>
      <c r="AY258" s="299">
        <f t="shared" si="186"/>
        <v>86.57191727684301</v>
      </c>
      <c r="BB258" s="270">
        <f t="shared" si="219"/>
        <v>-40.740087361478402</v>
      </c>
      <c r="BC258" s="270">
        <f t="shared" si="220"/>
        <v>-81.282218733726282</v>
      </c>
      <c r="BD258" s="286"/>
      <c r="BE258" s="270">
        <f t="shared" si="217"/>
        <v>25.740969949252293</v>
      </c>
      <c r="BF258" s="581">
        <f t="shared" si="218"/>
        <v>-12.14586398943073</v>
      </c>
      <c r="BI258" s="286"/>
      <c r="BJ258" s="286"/>
      <c r="BL258" s="253">
        <f t="shared" si="187"/>
        <v>0</v>
      </c>
      <c r="BM258" s="253">
        <f t="shared" si="221"/>
        <v>0</v>
      </c>
      <c r="BN258" s="253">
        <f t="shared" si="188"/>
        <v>0</v>
      </c>
      <c r="BO258" s="253">
        <f t="shared" si="189"/>
        <v>0</v>
      </c>
    </row>
    <row r="259" spans="4:67" ht="13.6" thickBot="1" x14ac:dyDescent="0.25">
      <c r="D259" s="280">
        <v>16033.5</v>
      </c>
      <c r="E259" s="273" t="str">
        <f t="shared" si="168"/>
        <v>0.181334612920795i</v>
      </c>
      <c r="F259" s="579" t="str">
        <f t="shared" si="190"/>
        <v>0.002-0.152713854493976i</v>
      </c>
      <c r="G259" s="270" t="str">
        <f t="shared" si="191"/>
        <v>0.002-0.152713854493976i</v>
      </c>
      <c r="H259" s="271" t="str">
        <f t="shared" si="192"/>
        <v>0.0135565938347875-0.151527187457359i</v>
      </c>
      <c r="I259" s="271" t="str">
        <f t="shared" si="193"/>
        <v>0.0235565938347875-0.151527187457359i</v>
      </c>
      <c r="J259" s="270" t="str">
        <f t="shared" si="194"/>
        <v>0.00639913993955098-0.07644178359612i</v>
      </c>
      <c r="K259" s="271" t="str">
        <f t="shared" si="169"/>
        <v>0.993508418417464-0.126559612591286i</v>
      </c>
      <c r="L259" s="580"/>
      <c r="M259" s="580" t="str">
        <f t="shared" si="170"/>
        <v>0.252437345828615-115.885050462762i</v>
      </c>
      <c r="N259" s="270" t="str">
        <f t="shared" si="171"/>
        <v>-6.47733865729521-86.9137878470715i</v>
      </c>
      <c r="O259" s="581" t="str">
        <f t="shared" si="172"/>
        <v>-6.30371659254309-43.1394548852705i</v>
      </c>
      <c r="P259" s="582" t="str">
        <f t="shared" si="173"/>
        <v>-6.68529435862882-0.061034171190113i</v>
      </c>
      <c r="Q259" s="583" t="str">
        <f t="shared" si="174"/>
        <v>-6.62225719270338+0.370360377662589i</v>
      </c>
      <c r="R259" s="581" t="str">
        <f t="shared" si="195"/>
        <v>-0.645457077952546-5.15650040857339i</v>
      </c>
      <c r="S259" s="253" t="str">
        <f t="shared" si="196"/>
        <v>51.3676990038196-3.41945461534624i</v>
      </c>
      <c r="T259" s="253" t="str">
        <f t="shared" si="197"/>
        <v>18.9272226740987-4.10837084331978i</v>
      </c>
      <c r="U259" s="253" t="str">
        <f t="shared" si="198"/>
        <v>-0.365941208706728-2.9236843330309i</v>
      </c>
      <c r="V259" s="582" t="str">
        <f t="shared" si="175"/>
        <v>6000</v>
      </c>
      <c r="W259" s="584" t="str">
        <f t="shared" si="176"/>
        <v>1+56423.6751906283i</v>
      </c>
      <c r="X259" s="585">
        <f t="shared" si="177"/>
        <v>56423.675199489837</v>
      </c>
      <c r="Y259" s="586">
        <f t="shared" si="178"/>
        <v>1.5707786037381033</v>
      </c>
      <c r="Z259" s="273" t="str">
        <f t="shared" si="179"/>
        <v>1+8.46228193630378i</v>
      </c>
      <c r="AA259" s="585">
        <f t="shared" si="180"/>
        <v>8.5211628061839804</v>
      </c>
      <c r="AB259" s="586">
        <f t="shared" si="181"/>
        <v>1.453170396262361</v>
      </c>
      <c r="AC259" s="584" t="str">
        <f t="shared" si="182"/>
        <v>1+0.409112890610251i</v>
      </c>
      <c r="AD259" s="585">
        <f t="shared" si="183"/>
        <v>1.0804505343899253</v>
      </c>
      <c r="AE259" s="586">
        <f t="shared" si="184"/>
        <v>0.3883375482138916</v>
      </c>
      <c r="AF259" s="580" t="str">
        <f t="shared" si="199"/>
        <v>0.733586249843304-0.406441983564544i</v>
      </c>
      <c r="AG259" s="270">
        <f t="shared" si="200"/>
        <v>0.83865599143095826</v>
      </c>
      <c r="AH259" s="581">
        <f t="shared" si="201"/>
        <v>-0.50594575568963451</v>
      </c>
      <c r="AI259" s="582" t="str">
        <f t="shared" si="185"/>
        <v>4000</v>
      </c>
      <c r="AJ259" s="584" t="str">
        <f t="shared" si="202"/>
        <v>1+4432.77901323272i</v>
      </c>
      <c r="AK259" s="585">
        <f t="shared" si="203"/>
        <v>4432.7791260287768</v>
      </c>
      <c r="AL259" s="586">
        <f t="shared" si="204"/>
        <v>1.5705707346821269</v>
      </c>
      <c r="AM259" s="273" t="str">
        <f t="shared" si="205"/>
        <v>1+0.155141835498903i</v>
      </c>
      <c r="AN259" s="585">
        <f t="shared" si="206"/>
        <v>1.0119629386108806</v>
      </c>
      <c r="AO259" s="586">
        <f t="shared" si="207"/>
        <v>0.15391480499295873</v>
      </c>
      <c r="AP259" s="584" t="str">
        <f t="shared" si="208"/>
        <v>1+0.00112241551901614i</v>
      </c>
      <c r="AQ259" s="585">
        <f t="shared" si="209"/>
        <v>1.0000006299081003</v>
      </c>
      <c r="AR259" s="586">
        <f t="shared" si="210"/>
        <v>1.1224150476705963E-3</v>
      </c>
      <c r="AS259" s="580" t="str">
        <f t="shared" si="211"/>
        <v>0.139185688029266-0.902493062850016i</v>
      </c>
      <c r="AT259" s="270">
        <f t="shared" si="212"/>
        <v>0.91316284650908952</v>
      </c>
      <c r="AU259" s="581">
        <f t="shared" si="213"/>
        <v>-1.4177783447368391</v>
      </c>
      <c r="AV259" s="580" t="str">
        <f t="shared" si="214"/>
        <v>-0.0107337767533382-0.176535135848984i</v>
      </c>
      <c r="AW259" s="270">
        <f t="shared" si="215"/>
        <v>-15.047350861976987</v>
      </c>
      <c r="AX259" s="581">
        <f t="shared" si="216"/>
        <v>-93.479442811074577</v>
      </c>
      <c r="AY259" s="299">
        <f t="shared" si="186"/>
        <v>86.520557188925423</v>
      </c>
      <c r="BB259" s="270">
        <f t="shared" si="219"/>
        <v>-40.789035335758953</v>
      </c>
      <c r="BC259" s="270">
        <f t="shared" si="220"/>
        <v>-81.232715438464751</v>
      </c>
      <c r="BD259" s="286"/>
      <c r="BE259" s="270">
        <f t="shared" si="217"/>
        <v>25.741684473781987</v>
      </c>
      <c r="BF259" s="581">
        <f t="shared" si="218"/>
        <v>-12.24672737260982</v>
      </c>
      <c r="BI259" s="286"/>
      <c r="BJ259" s="286"/>
      <c r="BL259" s="253">
        <f t="shared" si="187"/>
        <v>0</v>
      </c>
      <c r="BM259" s="253">
        <f t="shared" si="221"/>
        <v>0</v>
      </c>
      <c r="BN259" s="253">
        <f t="shared" si="188"/>
        <v>0</v>
      </c>
      <c r="BO259" s="253">
        <f t="shared" si="189"/>
        <v>0</v>
      </c>
    </row>
    <row r="260" spans="4:67" ht="13.6" thickBot="1" x14ac:dyDescent="0.25">
      <c r="D260" s="280">
        <v>16125.75</v>
      </c>
      <c r="E260" s="273" t="str">
        <f t="shared" si="168"/>
        <v>0.182377935841052i</v>
      </c>
      <c r="F260" s="579" t="str">
        <f t="shared" si="190"/>
        <v>0.002-0.151840229820576i</v>
      </c>
      <c r="G260" s="270" t="str">
        <f t="shared" si="191"/>
        <v>0.002-0.151840229820576i</v>
      </c>
      <c r="H260" s="271" t="str">
        <f t="shared" si="192"/>
        <v>0.0134254806665133-0.150670295490158i</v>
      </c>
      <c r="I260" s="271" t="str">
        <f t="shared" si="193"/>
        <v>0.0234254806665133-0.150670295490158i</v>
      </c>
      <c r="J260" s="270" t="str">
        <f t="shared" si="194"/>
        <v>0.00636594303306237-0.0760066727295522i</v>
      </c>
      <c r="K260" s="271" t="str">
        <f t="shared" si="169"/>
        <v>0.993433503874587-0.127287783250316i</v>
      </c>
      <c r="L260" s="580"/>
      <c r="M260" s="580" t="str">
        <f t="shared" si="170"/>
        <v>0.22276378408998-114.815583905011i</v>
      </c>
      <c r="N260" s="270" t="str">
        <f t="shared" si="171"/>
        <v>-6.49959382859918-86.1116879287582i</v>
      </c>
      <c r="O260" s="581" t="str">
        <f t="shared" si="172"/>
        <v>-6.28502876478694-42.7370842134173i</v>
      </c>
      <c r="P260" s="582" t="str">
        <f t="shared" si="173"/>
        <v>-6.58643892664136-0.0541695988299642i</v>
      </c>
      <c r="Q260" s="583" t="str">
        <f t="shared" si="174"/>
        <v>-6.52358863899348+0.373201243304206i</v>
      </c>
      <c r="R260" s="581" t="str">
        <f t="shared" si="195"/>
        <v>-0.644460909774219-5.10837988103078i</v>
      </c>
      <c r="S260" s="253" t="str">
        <f t="shared" si="196"/>
        <v>51.3663389769552-3.4749258907683i</v>
      </c>
      <c r="T260" s="253" t="str">
        <f t="shared" si="197"/>
        <v>18.9215156313774-4.14196514697267i</v>
      </c>
      <c r="U260" s="253" t="str">
        <f t="shared" si="198"/>
        <v>-0.370040670314122-2.90651822430332i</v>
      </c>
      <c r="V260" s="582" t="str">
        <f t="shared" si="175"/>
        <v>6000</v>
      </c>
      <c r="W260" s="584" t="str">
        <f t="shared" si="176"/>
        <v>1+56748.3132319999i</v>
      </c>
      <c r="X260" s="585">
        <f t="shared" si="177"/>
        <v>56748.313240810734</v>
      </c>
      <c r="Y260" s="586">
        <f t="shared" si="178"/>
        <v>1.5707787051257589</v>
      </c>
      <c r="Z260" s="273" t="str">
        <f t="shared" si="179"/>
        <v>1+8.51097033924909i</v>
      </c>
      <c r="AA260" s="585">
        <f t="shared" si="180"/>
        <v>8.5695166792286344</v>
      </c>
      <c r="AB260" s="586">
        <f t="shared" si="181"/>
        <v>1.4538371575397868</v>
      </c>
      <c r="AC260" s="584" t="str">
        <f t="shared" si="182"/>
        <v>1+0.41146675371929i</v>
      </c>
      <c r="AD260" s="585">
        <f t="shared" si="183"/>
        <v>1.0813440199197899</v>
      </c>
      <c r="AE260" s="586">
        <f t="shared" si="184"/>
        <v>0.39035225906163845</v>
      </c>
      <c r="AF260" s="580" t="str">
        <f t="shared" si="199"/>
        <v>0.732374447054052-0.407061893916913i</v>
      </c>
      <c r="AG260" s="270">
        <f t="shared" si="200"/>
        <v>0.83789719905066662</v>
      </c>
      <c r="AH260" s="581">
        <f t="shared" si="201"/>
        <v>-0.50729380664761248</v>
      </c>
      <c r="AI260" s="582" t="str">
        <f t="shared" si="185"/>
        <v>4000</v>
      </c>
      <c r="AJ260" s="584" t="str">
        <f t="shared" si="202"/>
        <v>1+4458.28335501526i</v>
      </c>
      <c r="AK260" s="585">
        <f t="shared" si="203"/>
        <v>4458.2834671660494</v>
      </c>
      <c r="AL260" s="586">
        <f t="shared" si="204"/>
        <v>1.5705720252187967</v>
      </c>
      <c r="AM260" s="273" t="str">
        <f t="shared" si="205"/>
        <v>1+0.156034456219567i</v>
      </c>
      <c r="AN260" s="585">
        <f t="shared" si="206"/>
        <v>1.0121001687223137</v>
      </c>
      <c r="AO260" s="586">
        <f t="shared" si="207"/>
        <v>0.15478632811607818</v>
      </c>
      <c r="AP260" s="584" t="str">
        <f t="shared" si="208"/>
        <v>1+0.00112887342475282i</v>
      </c>
      <c r="AQ260" s="585">
        <f t="shared" si="209"/>
        <v>1.0000006371774015</v>
      </c>
      <c r="AR260" s="586">
        <f t="shared" si="210"/>
        <v>1.1288729452246103E-3</v>
      </c>
      <c r="AS260" s="580" t="str">
        <f t="shared" si="211"/>
        <v>0.139183363672222-0.897331993586196i</v>
      </c>
      <c r="AT260" s="270">
        <f t="shared" si="212"/>
        <v>0.90806206585039706</v>
      </c>
      <c r="AU260" s="581">
        <f t="shared" si="213"/>
        <v>-1.4169145700479433</v>
      </c>
      <c r="AV260" s="580" t="str">
        <f t="shared" si="214"/>
        <v>-0.0108315765134589-0.17555373984545i</v>
      </c>
      <c r="AW260" s="270">
        <f t="shared" si="215"/>
        <v>-15.095296833706231</v>
      </c>
      <c r="AX260" s="581">
        <f t="shared" si="216"/>
        <v>-93.530644826195967</v>
      </c>
      <c r="AY260" s="299">
        <f t="shared" si="186"/>
        <v>86.469355173804033</v>
      </c>
      <c r="BB260" s="270">
        <f t="shared" si="219"/>
        <v>-40.837689330566363</v>
      </c>
      <c r="BC260" s="270">
        <f t="shared" si="220"/>
        <v>-81.183224794340802</v>
      </c>
      <c r="BD260" s="286"/>
      <c r="BE260" s="270">
        <f t="shared" si="217"/>
        <v>25.742392496860145</v>
      </c>
      <c r="BF260" s="581">
        <f t="shared" si="218"/>
        <v>-12.347420031855194</v>
      </c>
      <c r="BI260" s="286"/>
      <c r="BJ260" s="286"/>
      <c r="BL260" s="253">
        <f t="shared" si="187"/>
        <v>0</v>
      </c>
      <c r="BM260" s="253">
        <f t="shared" si="221"/>
        <v>0</v>
      </c>
      <c r="BN260" s="253">
        <f t="shared" si="188"/>
        <v>0</v>
      </c>
      <c r="BO260" s="253">
        <f t="shared" si="189"/>
        <v>0</v>
      </c>
    </row>
    <row r="261" spans="4:67" ht="13.6" thickBot="1" x14ac:dyDescent="0.25">
      <c r="D261" s="280">
        <v>16218</v>
      </c>
      <c r="E261" s="273" t="str">
        <f t="shared" si="168"/>
        <v>0.183421258761309i</v>
      </c>
      <c r="F261" s="579" t="str">
        <f t="shared" si="190"/>
        <v>0.002-0.150976543718656i</v>
      </c>
      <c r="G261" s="270" t="str">
        <f t="shared" si="191"/>
        <v>0.002-0.150976543718656i</v>
      </c>
      <c r="H261" s="271" t="str">
        <f t="shared" si="192"/>
        <v>0.0132965816231327-0.149822984765524i</v>
      </c>
      <c r="I261" s="271" t="str">
        <f t="shared" si="193"/>
        <v>0.0232965816231327-0.149822984765524i</v>
      </c>
      <c r="J261" s="270" t="str">
        <f t="shared" si="194"/>
        <v>0.00633330895576911-0.0755764958401695i</v>
      </c>
      <c r="K261" s="271" t="str">
        <f t="shared" si="169"/>
        <v>0.993358159541426-0.128015953909345i</v>
      </c>
      <c r="L261" s="580"/>
      <c r="M261" s="580" t="str">
        <f t="shared" si="170"/>
        <v>0.194550786291127-113.767884724274i</v>
      </c>
      <c r="N261" s="270" t="str">
        <f t="shared" si="171"/>
        <v>-6.52075357694832-85.3259135432055i</v>
      </c>
      <c r="O261" s="581" t="str">
        <f t="shared" si="172"/>
        <v>-6.26650011120243-42.3429253901221i</v>
      </c>
      <c r="P261" s="582" t="str">
        <f t="shared" si="173"/>
        <v>-6.48993149698398-0.0475796668193592i</v>
      </c>
      <c r="Q261" s="583" t="str">
        <f t="shared" si="174"/>
        <v>-6.42726649587196+0.37584958708186i</v>
      </c>
      <c r="R261" s="581" t="str">
        <f t="shared" si="195"/>
        <v>-0.6434546151527-5.06123893701771i</v>
      </c>
      <c r="S261" s="253" t="str">
        <f t="shared" si="196"/>
        <v>51.3648718289898-3.53020074334069i</v>
      </c>
      <c r="T261" s="253" t="str">
        <f t="shared" si="197"/>
        <v>18.9157475488683-4.17549360635385i</v>
      </c>
      <c r="U261" s="253" t="str">
        <f t="shared" si="198"/>
        <v>-0.374070133727197-2.88953354839635i</v>
      </c>
      <c r="V261" s="582" t="str">
        <f t="shared" si="175"/>
        <v>6000</v>
      </c>
      <c r="W261" s="584" t="str">
        <f t="shared" si="176"/>
        <v>1+57072.9512733722i</v>
      </c>
      <c r="X261" s="585">
        <f t="shared" si="177"/>
        <v>57072.951282132919</v>
      </c>
      <c r="Y261" s="586">
        <f t="shared" si="178"/>
        <v>1.5707788053600034</v>
      </c>
      <c r="Z261" s="273" t="str">
        <f t="shared" si="179"/>
        <v>1+8.55965874219448i</v>
      </c>
      <c r="AA261" s="585">
        <f t="shared" si="180"/>
        <v>8.6178743192753977</v>
      </c>
      <c r="AB261" s="586">
        <f t="shared" si="181"/>
        <v>1.4544964362874138</v>
      </c>
      <c r="AC261" s="584" t="str">
        <f t="shared" si="182"/>
        <v>1+0.413820616828333i</v>
      </c>
      <c r="AD261" s="585">
        <f t="shared" si="183"/>
        <v>1.0822418874319095</v>
      </c>
      <c r="AE261" s="586">
        <f t="shared" si="184"/>
        <v>0.39236363510658845</v>
      </c>
      <c r="AF261" s="580" t="str">
        <f t="shared" si="199"/>
        <v>0.731159723766624-0.407681810300302i</v>
      </c>
      <c r="AG261" s="270">
        <f t="shared" si="200"/>
        <v>0.83713738424957307</v>
      </c>
      <c r="AH261" s="581">
        <f t="shared" si="201"/>
        <v>-0.50864600417917794</v>
      </c>
      <c r="AI261" s="582" t="str">
        <f t="shared" si="185"/>
        <v>4000</v>
      </c>
      <c r="AJ261" s="584" t="str">
        <f t="shared" si="202"/>
        <v>1+4483.78769679786i</v>
      </c>
      <c r="AK261" s="585">
        <f t="shared" si="203"/>
        <v>4483.7878083107207</v>
      </c>
      <c r="AL261" s="586">
        <f t="shared" si="204"/>
        <v>1.5705733010740013</v>
      </c>
      <c r="AM261" s="273" t="str">
        <f t="shared" si="205"/>
        <v>1+0.156927076940232i</v>
      </c>
      <c r="AN261" s="585">
        <f t="shared" si="206"/>
        <v>1.0122381673682364</v>
      </c>
      <c r="AO261" s="586">
        <f t="shared" si="207"/>
        <v>0.15565761427096858</v>
      </c>
      <c r="AP261" s="584" t="str">
        <f t="shared" si="208"/>
        <v>1+0.00113533133048952i</v>
      </c>
      <c r="AQ261" s="585">
        <f t="shared" si="209"/>
        <v>1.0000006444884073</v>
      </c>
      <c r="AR261" s="586">
        <f t="shared" si="210"/>
        <v>1.1353308426844859E-3</v>
      </c>
      <c r="AS261" s="580" t="str">
        <f t="shared" si="211"/>
        <v>0.139181078819981-0.8922296481311i</v>
      </c>
      <c r="AT261" s="270">
        <f t="shared" si="212"/>
        <v>0.90301999850813952</v>
      </c>
      <c r="AU261" s="581">
        <f t="shared" si="213"/>
        <v>-1.4160510176457173</v>
      </c>
      <c r="AV261" s="580" t="str">
        <f t="shared" si="214"/>
        <v>-0.0109278504063285-0.174583404844017i</v>
      </c>
      <c r="AW261" s="270">
        <f t="shared" si="215"/>
        <v>-15.142958440015168</v>
      </c>
      <c r="AX261" s="581">
        <f t="shared" si="216"/>
        <v>-93.581691594308765</v>
      </c>
      <c r="AY261" s="299">
        <f t="shared" si="186"/>
        <v>86.418308405691235</v>
      </c>
      <c r="BB261" s="270">
        <f t="shared" si="219"/>
        <v>-40.886052631702022</v>
      </c>
      <c r="BC261" s="270">
        <f t="shared" si="220"/>
        <v>-81.133746886304863</v>
      </c>
      <c r="BD261" s="286"/>
      <c r="BE261" s="270">
        <f t="shared" si="217"/>
        <v>25.743094191686879</v>
      </c>
      <c r="BF261" s="581">
        <f t="shared" si="218"/>
        <v>-12.447944708003904</v>
      </c>
      <c r="BI261" s="286"/>
      <c r="BJ261" s="286"/>
      <c r="BL261" s="253">
        <f t="shared" si="187"/>
        <v>0</v>
      </c>
      <c r="BM261" s="253">
        <f t="shared" si="221"/>
        <v>0</v>
      </c>
      <c r="BN261" s="253">
        <f t="shared" si="188"/>
        <v>0</v>
      </c>
      <c r="BO261" s="253">
        <f t="shared" si="189"/>
        <v>0</v>
      </c>
    </row>
    <row r="262" spans="4:67" ht="13.6" thickBot="1" x14ac:dyDescent="0.25">
      <c r="D262" s="280">
        <v>16312.5</v>
      </c>
      <c r="E262" s="273" t="str">
        <f t="shared" si="168"/>
        <v>0.184490028582061i</v>
      </c>
      <c r="F262" s="579" t="str">
        <f t="shared" si="190"/>
        <v>0.002-0.150101920982631i</v>
      </c>
      <c r="G262" s="270" t="str">
        <f t="shared" si="191"/>
        <v>0.002-0.150101920982631i</v>
      </c>
      <c r="H262" s="271" t="str">
        <f t="shared" si="192"/>
        <v>0.0131667827738529-0.14896477651236i</v>
      </c>
      <c r="I262" s="271" t="str">
        <f t="shared" si="193"/>
        <v>0.0231667827738529-0.14896477651236i</v>
      </c>
      <c r="J262" s="270" t="str">
        <f t="shared" si="194"/>
        <v>0.00630044926844154-0.075140855782509i</v>
      </c>
      <c r="K262" s="271" t="str">
        <f t="shared" si="169"/>
        <v>0.993280531899447-0.128761884828351i</v>
      </c>
      <c r="L262" s="580"/>
      <c r="M262" s="580" t="str">
        <f t="shared" si="170"/>
        <v>0.167084079066953-112.716484676019i</v>
      </c>
      <c r="N262" s="270" t="str">
        <f t="shared" si="171"/>
        <v>-6.54135360736645-84.5373635070142i</v>
      </c>
      <c r="O262" s="581" t="str">
        <f t="shared" si="172"/>
        <v>-6.24768998702565-41.9473957239681i</v>
      </c>
      <c r="P262" s="582" t="str">
        <f t="shared" si="173"/>
        <v>-6.39342330606424-0.0411004620302269i</v>
      </c>
      <c r="Q262" s="583" t="str">
        <f t="shared" si="174"/>
        <v>-6.33094640619398+0.378373495209451i</v>
      </c>
      <c r="R262" s="581" t="str">
        <f t="shared" si="195"/>
        <v>-0.642414938710802-5.01393154023939i</v>
      </c>
      <c r="S262" s="253" t="str">
        <f t="shared" si="196"/>
        <v>51.3632595188029-3.58662327316198i</v>
      </c>
      <c r="T262" s="253" t="str">
        <f t="shared" si="197"/>
        <v>18.9097759974747-4.20977243763883i</v>
      </c>
      <c r="U262" s="253" t="str">
        <f t="shared" si="198"/>
        <v>-0.378126897479796-2.87231971457636i</v>
      </c>
      <c r="V262" s="582" t="str">
        <f t="shared" si="175"/>
        <v>6000</v>
      </c>
      <c r="W262" s="584" t="str">
        <f t="shared" si="176"/>
        <v>1+57405.5073157528i</v>
      </c>
      <c r="X262" s="585">
        <f t="shared" si="177"/>
        <v>57405.507324462771</v>
      </c>
      <c r="Y262" s="586">
        <f t="shared" si="178"/>
        <v>1.5707789068634883</v>
      </c>
      <c r="Z262" s="273" t="str">
        <f t="shared" si="179"/>
        <v>1+8.60953466716283i</v>
      </c>
      <c r="AA262" s="585">
        <f t="shared" si="180"/>
        <v>8.6674152539888478</v>
      </c>
      <c r="AB262" s="586">
        <f t="shared" si="181"/>
        <v>1.4551641668197237</v>
      </c>
      <c r="AC262" s="584" t="str">
        <f t="shared" si="182"/>
        <v>1+0.416231891232714i</v>
      </c>
      <c r="AD262" s="585">
        <f t="shared" si="183"/>
        <v>1.0831661863625368</v>
      </c>
      <c r="AE262" s="586">
        <f t="shared" si="184"/>
        <v>0.3944206029830859</v>
      </c>
      <c r="AF262" s="580" t="str">
        <f t="shared" si="199"/>
        <v>0.729912396004368-0.408316729864806i</v>
      </c>
      <c r="AG262" s="270">
        <f t="shared" si="200"/>
        <v>0.83635797223935537</v>
      </c>
      <c r="AH262" s="581">
        <f t="shared" si="201"/>
        <v>-0.51003534302685183</v>
      </c>
      <c r="AI262" s="582" t="str">
        <f t="shared" si="185"/>
        <v>4000</v>
      </c>
      <c r="AJ262" s="584" t="str">
        <f t="shared" si="202"/>
        <v>1+4509.91409569705i</v>
      </c>
      <c r="AK262" s="585">
        <f t="shared" si="203"/>
        <v>4509.9142065639044</v>
      </c>
      <c r="AL262" s="586">
        <f t="shared" si="204"/>
        <v>1.5705745930850317</v>
      </c>
      <c r="AM262" s="273" t="str">
        <f t="shared" si="205"/>
        <v>1+0.157841468897985i</v>
      </c>
      <c r="AN262" s="585">
        <f t="shared" si="206"/>
        <v>1.0123803283864585</v>
      </c>
      <c r="AO262" s="586">
        <f t="shared" si="207"/>
        <v>0.15654990431819565</v>
      </c>
      <c r="AP262" s="584" t="str">
        <f t="shared" si="208"/>
        <v>1+0.00114194674612223i</v>
      </c>
      <c r="AQ262" s="585">
        <f t="shared" si="209"/>
        <v>1.000000652020973</v>
      </c>
      <c r="AR262" s="586">
        <f t="shared" si="210"/>
        <v>1.1419462497403042E-3</v>
      </c>
      <c r="AS262" s="580" t="str">
        <f t="shared" si="211"/>
        <v>0.139178778269777-0.887062703509824i</v>
      </c>
      <c r="AT262" s="270">
        <f t="shared" si="212"/>
        <v>0.89791479121285533</v>
      </c>
      <c r="AU262" s="581">
        <f t="shared" si="213"/>
        <v>-1.4151666350165757</v>
      </c>
      <c r="AV262" s="580" t="str">
        <f t="shared" si="214"/>
        <v>-0.0110249259900936-0.173600680037494i</v>
      </c>
      <c r="AW262" s="270">
        <f t="shared" si="215"/>
        <v>-15.191490870970769</v>
      </c>
      <c r="AX262" s="581">
        <f t="shared" si="216"/>
        <v>-93.633825323757975</v>
      </c>
      <c r="AY262" s="299">
        <f t="shared" si="186"/>
        <v>86.366174676242025</v>
      </c>
      <c r="BB262" s="270">
        <f t="shared" si="219"/>
        <v>-40.935297486294516</v>
      </c>
      <c r="BC262" s="270">
        <f t="shared" si="220"/>
        <v>-81.083075494180378</v>
      </c>
      <c r="BD262" s="286"/>
      <c r="BE262" s="270">
        <f t="shared" si="217"/>
        <v>25.74380661532377</v>
      </c>
      <c r="BF262" s="581">
        <f t="shared" si="218"/>
        <v>-12.550749829577594</v>
      </c>
      <c r="BI262" s="286"/>
      <c r="BJ262" s="286"/>
      <c r="BL262" s="253">
        <f t="shared" si="187"/>
        <v>0</v>
      </c>
      <c r="BM262" s="253">
        <f t="shared" si="221"/>
        <v>0</v>
      </c>
      <c r="BN262" s="253">
        <f t="shared" si="188"/>
        <v>0</v>
      </c>
      <c r="BO262" s="253">
        <f t="shared" si="189"/>
        <v>0</v>
      </c>
    </row>
    <row r="263" spans="4:67" ht="13.6" thickBot="1" x14ac:dyDescent="0.25">
      <c r="D263" s="280">
        <v>16407</v>
      </c>
      <c r="E263" s="273" t="str">
        <f t="shared" si="168"/>
        <v>0.185558798402812i</v>
      </c>
      <c r="F263" s="579" t="str">
        <f t="shared" si="190"/>
        <v>0.002-0.149237373439944i</v>
      </c>
      <c r="G263" s="270" t="str">
        <f t="shared" si="191"/>
        <v>0.002-0.149237373439944i</v>
      </c>
      <c r="H263" s="271" t="str">
        <f t="shared" si="192"/>
        <v>0.0130392037551252-0.148116288890972i</v>
      </c>
      <c r="I263" s="271" t="str">
        <f t="shared" si="193"/>
        <v>0.0230392037551252-0.148116288890972i</v>
      </c>
      <c r="J263" s="270" t="str">
        <f t="shared" si="194"/>
        <v>0.00626815366560203-0.0747102185085212i</v>
      </c>
      <c r="K263" s="271" t="str">
        <f t="shared" si="169"/>
        <v>0.99320245324613-0.129507815747356i</v>
      </c>
      <c r="L263" s="580"/>
      <c r="M263" s="580" t="str">
        <f t="shared" si="170"/>
        <v>0.140992352419054-111.686500003348i</v>
      </c>
      <c r="N263" s="270" t="str">
        <f t="shared" si="171"/>
        <v>-6.56092240235238-83.764875002511i</v>
      </c>
      <c r="O263" s="581" t="str">
        <f t="shared" si="172"/>
        <v>-6.2290571221471-41.5599426263935i</v>
      </c>
      <c r="P263" s="582" t="str">
        <f t="shared" si="173"/>
        <v>-6.2992169845826-0.0348831619984871i</v>
      </c>
      <c r="Q263" s="583" t="str">
        <f t="shared" si="174"/>
        <v>-6.23692641336111+0.380716264265449i</v>
      </c>
      <c r="R263" s="581" t="str">
        <f t="shared" si="195"/>
        <v>-0.641367877950954-4.9675876912058i</v>
      </c>
      <c r="S263" s="253" t="str">
        <f t="shared" si="196"/>
        <v>51.3615381931174-3.64284607066956i</v>
      </c>
      <c r="T263" s="253" t="str">
        <f t="shared" si="197"/>
        <v>18.9037414092639-4.2439839366144i</v>
      </c>
      <c r="U263" s="253" t="str">
        <f t="shared" si="198"/>
        <v>-0.382113414834633-2.85529019497774i</v>
      </c>
      <c r="V263" s="582" t="str">
        <f t="shared" si="175"/>
        <v>6000</v>
      </c>
      <c r="W263" s="584" t="str">
        <f t="shared" si="176"/>
        <v>1+57738.0633581335i</v>
      </c>
      <c r="X263" s="585">
        <f t="shared" si="177"/>
        <v>57738.0633667933</v>
      </c>
      <c r="Y263" s="586">
        <f t="shared" si="178"/>
        <v>1.5707790071977066</v>
      </c>
      <c r="Z263" s="273" t="str">
        <f t="shared" si="179"/>
        <v>1+8.65941059213118i</v>
      </c>
      <c r="AA263" s="585">
        <f t="shared" si="180"/>
        <v>8.7169600092643371</v>
      </c>
      <c r="AB263" s="586">
        <f t="shared" si="181"/>
        <v>1.4558243072575379</v>
      </c>
      <c r="AC263" s="584" t="str">
        <f t="shared" si="182"/>
        <v>1+0.418643165637095i</v>
      </c>
      <c r="AD263" s="585">
        <f t="shared" si="183"/>
        <v>1.0840950604696289</v>
      </c>
      <c r="AE263" s="586">
        <f t="shared" si="184"/>
        <v>0.39647405463401453</v>
      </c>
      <c r="AF263" s="580" t="str">
        <f t="shared" si="199"/>
        <v>0.728662107291744-0.408951409096629i</v>
      </c>
      <c r="AG263" s="270">
        <f t="shared" si="200"/>
        <v>0.83557747791869263</v>
      </c>
      <c r="AH263" s="581">
        <f t="shared" si="201"/>
        <v>-0.51142875457418557</v>
      </c>
      <c r="AI263" s="582" t="str">
        <f t="shared" si="185"/>
        <v>4000</v>
      </c>
      <c r="AJ263" s="584" t="str">
        <f t="shared" si="202"/>
        <v>1+4536.04049459624i</v>
      </c>
      <c r="AK263" s="585">
        <f t="shared" si="203"/>
        <v>4536.0406048245322</v>
      </c>
      <c r="AL263" s="586">
        <f t="shared" si="204"/>
        <v>1.5705758702127759</v>
      </c>
      <c r="AM263" s="273" t="str">
        <f t="shared" si="205"/>
        <v>1+0.158755860855738i</v>
      </c>
      <c r="AN263" s="585">
        <f t="shared" si="206"/>
        <v>1.0125232952164838</v>
      </c>
      <c r="AO263" s="586">
        <f t="shared" si="207"/>
        <v>0.15744194309534346</v>
      </c>
      <c r="AP263" s="584" t="str">
        <f t="shared" si="208"/>
        <v>1+0.00114856216175493i</v>
      </c>
      <c r="AQ263" s="585">
        <f t="shared" si="209"/>
        <v>1.0000006595973021</v>
      </c>
      <c r="AR263" s="586">
        <f t="shared" si="210"/>
        <v>1.1485616566961612E-3</v>
      </c>
      <c r="AS263" s="580" t="str">
        <f t="shared" si="211"/>
        <v>0.13917651730843-0.88195528995214i</v>
      </c>
      <c r="AT263" s="270">
        <f t="shared" si="212"/>
        <v>0.89286910375746953</v>
      </c>
      <c r="AU263" s="581">
        <f t="shared" si="213"/>
        <v>-1.4142824887741294</v>
      </c>
      <c r="AV263" s="580" t="str">
        <f t="shared" si="214"/>
        <v>-0.0111204718992848-0.172629176395985i</v>
      </c>
      <c r="AW263" s="270">
        <f t="shared" si="215"/>
        <v>-15.239731345407412</v>
      </c>
      <c r="AX263" s="581">
        <f t="shared" si="216"/>
        <v>-93.685801953804713</v>
      </c>
      <c r="AY263" s="299">
        <f t="shared" si="186"/>
        <v>86.314198046195287</v>
      </c>
      <c r="BB263" s="270">
        <f t="shared" si="219"/>
        <v>-40.984244096195567</v>
      </c>
      <c r="BC263" s="270">
        <f t="shared" si="220"/>
        <v>-81.032417646015844</v>
      </c>
      <c r="BD263" s="286"/>
      <c r="BE263" s="270">
        <f t="shared" si="217"/>
        <v>25.744512750788175</v>
      </c>
      <c r="BF263" s="581">
        <f t="shared" si="218"/>
        <v>-12.653384307788839</v>
      </c>
      <c r="BI263" s="286"/>
      <c r="BJ263" s="286"/>
      <c r="BL263" s="253">
        <f t="shared" si="187"/>
        <v>0</v>
      </c>
      <c r="BM263" s="253">
        <f t="shared" si="221"/>
        <v>0</v>
      </c>
      <c r="BN263" s="253">
        <f t="shared" si="188"/>
        <v>0</v>
      </c>
      <c r="BO263" s="253">
        <f t="shared" si="189"/>
        <v>0</v>
      </c>
    </row>
    <row r="264" spans="4:67" ht="13.6" thickBot="1" x14ac:dyDescent="0.25">
      <c r="D264" s="280">
        <v>16501.5</v>
      </c>
      <c r="E264" s="273" t="str">
        <f t="shared" si="168"/>
        <v>0.186627568223563i</v>
      </c>
      <c r="F264" s="579" t="str">
        <f t="shared" si="190"/>
        <v>0.002-0.148382727996192i</v>
      </c>
      <c r="G264" s="270" t="str">
        <f t="shared" si="191"/>
        <v>0.002-0.148382727996192i</v>
      </c>
      <c r="H264" s="271" t="str">
        <f t="shared" si="192"/>
        <v>0.0129137943278746-0.147277358621994i</v>
      </c>
      <c r="I264" s="271" t="str">
        <f t="shared" si="193"/>
        <v>0.0229137943278746-0.147277358621994i</v>
      </c>
      <c r="J264" s="270" t="str">
        <f t="shared" si="194"/>
        <v>0.00623640928662586-0.0742844985445176i</v>
      </c>
      <c r="K264" s="271" t="str">
        <f t="shared" si="169"/>
        <v>0.993123923581475-0.130253746666362i</v>
      </c>
      <c r="L264" s="580"/>
      <c r="M264" s="580" t="str">
        <f t="shared" si="170"/>
        <v>0.116202928526063-110.677254439222i</v>
      </c>
      <c r="N264" s="270" t="str">
        <f t="shared" si="171"/>
        <v>-6.57951447027212-83.0079408294165i</v>
      </c>
      <c r="O264" s="581" t="str">
        <f t="shared" si="172"/>
        <v>-6.21060561751345-41.180309871426i</v>
      </c>
      <c r="P264" s="582" t="str">
        <f t="shared" si="173"/>
        <v>-6.20723580487009-0.0289155599617012i</v>
      </c>
      <c r="Q264" s="583" t="str">
        <f t="shared" si="174"/>
        <v>-6.14512974869496+0.38288753875256i</v>
      </c>
      <c r="R264" s="581" t="str">
        <f t="shared" si="195"/>
        <v>-0.640314879182089-4.92217686996687i</v>
      </c>
      <c r="S264" s="253" t="str">
        <f t="shared" si="196"/>
        <v>51.3597094990226-3.698872266486i</v>
      </c>
      <c r="T264" s="253" t="str">
        <f t="shared" si="197"/>
        <v>18.8976442782435-4.2781289655554i</v>
      </c>
      <c r="U264" s="253" t="str">
        <f t="shared" si="198"/>
        <v>-0.386031242400672-2.83844201104705i</v>
      </c>
      <c r="V264" s="582" t="str">
        <f t="shared" si="175"/>
        <v>6000</v>
      </c>
      <c r="W264" s="584" t="str">
        <f t="shared" si="176"/>
        <v>1+58070.6194005147i</v>
      </c>
      <c r="X264" s="585">
        <f t="shared" si="177"/>
        <v>58070.619409124898</v>
      </c>
      <c r="Y264" s="586">
        <f t="shared" si="178"/>
        <v>1.5707791063827463</v>
      </c>
      <c r="Z264" s="273" t="str">
        <f t="shared" si="179"/>
        <v>1+8.70928651709962i</v>
      </c>
      <c r="AA264" s="585">
        <f t="shared" si="180"/>
        <v>8.7665085203251394</v>
      </c>
      <c r="AB264" s="586">
        <f t="shared" si="181"/>
        <v>1.4564769857187392</v>
      </c>
      <c r="AC264" s="584" t="str">
        <f t="shared" si="182"/>
        <v>1+0.42105444004148i</v>
      </c>
      <c r="AD264" s="585">
        <f t="shared" si="183"/>
        <v>1.0850284980029992</v>
      </c>
      <c r="AE264" s="586">
        <f t="shared" si="184"/>
        <v>0.39852398179477794</v>
      </c>
      <c r="AF264" s="580" t="str">
        <f t="shared" si="199"/>
        <v>0.727408909859622-0.409585728057087i</v>
      </c>
      <c r="AG264" s="270">
        <f t="shared" si="200"/>
        <v>0.8347958976727291</v>
      </c>
      <c r="AH264" s="581">
        <f t="shared" si="201"/>
        <v>-0.51282610245878524</v>
      </c>
      <c r="AI264" s="582" t="str">
        <f t="shared" si="185"/>
        <v>4000</v>
      </c>
      <c r="AJ264" s="584" t="str">
        <f t="shared" si="202"/>
        <v>1+4562.16689349547i</v>
      </c>
      <c r="AK264" s="585">
        <f t="shared" si="203"/>
        <v>4562.1670030925115</v>
      </c>
      <c r="AL264" s="586">
        <f t="shared" si="204"/>
        <v>1.570577132712933</v>
      </c>
      <c r="AM264" s="273" t="str">
        <f t="shared" si="205"/>
        <v>1+0.159670252813493i</v>
      </c>
      <c r="AN264" s="585">
        <f t="shared" si="206"/>
        <v>1.012667067517022</v>
      </c>
      <c r="AO264" s="586">
        <f t="shared" si="207"/>
        <v>0.15833372928948797</v>
      </c>
      <c r="AP264" s="584" t="str">
        <f t="shared" si="208"/>
        <v>1+0.00115517757738764i</v>
      </c>
      <c r="AQ264" s="585">
        <f t="shared" si="209"/>
        <v>1.0000006672173951</v>
      </c>
      <c r="AR264" s="586">
        <f t="shared" si="210"/>
        <v>1.1551770635514973E-3</v>
      </c>
      <c r="AS264" s="580" t="str">
        <f t="shared" si="211"/>
        <v>0.139174295031404-0.876906384699292i</v>
      </c>
      <c r="AT264" s="270">
        <f t="shared" si="212"/>
        <v>0.88788191327668731</v>
      </c>
      <c r="AU264" s="581">
        <f t="shared" si="213"/>
        <v>-1.4133985804869964</v>
      </c>
      <c r="AV264" s="580" t="str">
        <f t="shared" si="214"/>
        <v>-0.0112145228428372-0.171668705062024i</v>
      </c>
      <c r="AW264" s="270">
        <f t="shared" si="215"/>
        <v>-15.287683046582707</v>
      </c>
      <c r="AX264" s="581">
        <f t="shared" si="216"/>
        <v>-93.737624332723456</v>
      </c>
      <c r="AY264" s="299">
        <f t="shared" si="186"/>
        <v>86.262375667276544</v>
      </c>
      <c r="BB264" s="270">
        <f t="shared" si="219"/>
        <v>-41.032895815566221</v>
      </c>
      <c r="BC264" s="270">
        <f t="shared" si="220"/>
        <v>-80.981773431686491</v>
      </c>
      <c r="BD264" s="286"/>
      <c r="BE264" s="270">
        <f t="shared" si="217"/>
        <v>25.745212768983489</v>
      </c>
      <c r="BF264" s="581">
        <f t="shared" si="218"/>
        <v>-12.755850901037</v>
      </c>
      <c r="BI264" s="286"/>
      <c r="BJ264" s="286"/>
      <c r="BL264" s="253">
        <f t="shared" si="187"/>
        <v>0</v>
      </c>
      <c r="BM264" s="253">
        <f t="shared" si="221"/>
        <v>0</v>
      </c>
      <c r="BN264" s="253">
        <f t="shared" si="188"/>
        <v>0</v>
      </c>
      <c r="BO264" s="253">
        <f t="shared" si="189"/>
        <v>0</v>
      </c>
    </row>
    <row r="265" spans="4:67" ht="13.6" thickBot="1" x14ac:dyDescent="0.25">
      <c r="D265" s="280">
        <v>16596</v>
      </c>
      <c r="E265" s="273" t="str">
        <f t="shared" si="168"/>
        <v>0.187696338044314i</v>
      </c>
      <c r="F265" s="579" t="str">
        <f t="shared" si="190"/>
        <v>0.002-0.147537815499467i</v>
      </c>
      <c r="G265" s="270" t="str">
        <f t="shared" si="191"/>
        <v>0.002-0.147537815499467i</v>
      </c>
      <c r="H265" s="271" t="str">
        <f t="shared" si="192"/>
        <v>0.0127905056637073-0.146447826041048i</v>
      </c>
      <c r="I265" s="271" t="str">
        <f t="shared" si="193"/>
        <v>0.0227905056637073-0.146447826041048i</v>
      </c>
      <c r="J265" s="270" t="str">
        <f t="shared" si="194"/>
        <v>0.00620520363499743-0.0738636123501972i</v>
      </c>
      <c r="K265" s="271" t="str">
        <f t="shared" si="169"/>
        <v>0.993044942905482-0.130999677585367i</v>
      </c>
      <c r="L265" s="580"/>
      <c r="M265" s="580" t="str">
        <f t="shared" si="170"/>
        <v>0.092647486735427-109.688100320718i</v>
      </c>
      <c r="N265" s="270" t="str">
        <f t="shared" si="171"/>
        <v>-6.5971810516151-82.2660752405385i</v>
      </c>
      <c r="O265" s="581" t="str">
        <f t="shared" si="172"/>
        <v>-6.19233893895111-40.8082521187215i</v>
      </c>
      <c r="P265" s="582" t="str">
        <f t="shared" si="173"/>
        <v>-6.11740634298151-0.0231861253189976i</v>
      </c>
      <c r="Q265" s="583" t="str">
        <f t="shared" si="174"/>
        <v>-6.055482953592+0.384896395868217i</v>
      </c>
      <c r="R265" s="581" t="str">
        <f t="shared" si="195"/>
        <v>-0.63925727154732-4.877669851233i</v>
      </c>
      <c r="S265" s="253" t="str">
        <f t="shared" si="196"/>
        <v>51.357775038081-3.75470492470143i</v>
      </c>
      <c r="T265" s="253" t="str">
        <f t="shared" si="197"/>
        <v>18.8914850852074-4.31220836732209i</v>
      </c>
      <c r="U265" s="253" t="str">
        <f t="shared" si="198"/>
        <v>-0.38988189385215-2.82177224696082i</v>
      </c>
      <c r="V265" s="582" t="str">
        <f t="shared" si="175"/>
        <v>6000</v>
      </c>
      <c r="W265" s="584" t="str">
        <f t="shared" si="176"/>
        <v>1+58403.1754428953i</v>
      </c>
      <c r="X265" s="585">
        <f t="shared" si="177"/>
        <v>58403.175451456482</v>
      </c>
      <c r="Y265" s="586">
        <f t="shared" si="178"/>
        <v>1.5707792044382385</v>
      </c>
      <c r="Z265" s="273" t="str">
        <f t="shared" si="179"/>
        <v>1+8.75916244206797i</v>
      </c>
      <c r="AA265" s="585">
        <f t="shared" si="180"/>
        <v>8.8160607238456627</v>
      </c>
      <c r="AB265" s="586">
        <f t="shared" si="181"/>
        <v>1.4571223274665301</v>
      </c>
      <c r="AC265" s="584" t="str">
        <f t="shared" si="182"/>
        <v>1+0.42346571444586i</v>
      </c>
      <c r="AD265" s="585">
        <f t="shared" si="183"/>
        <v>1.0859664871952277</v>
      </c>
      <c r="AE265" s="586">
        <f t="shared" si="184"/>
        <v>0.40057037634759829</v>
      </c>
      <c r="AF265" s="580" t="str">
        <f t="shared" si="199"/>
        <v>0.72615285575349-0.410219569977608i</v>
      </c>
      <c r="AG265" s="270">
        <f t="shared" si="200"/>
        <v>0.83401322861904437</v>
      </c>
      <c r="AH265" s="581">
        <f t="shared" si="201"/>
        <v>-0.51422725331930541</v>
      </c>
      <c r="AI265" s="582" t="str">
        <f t="shared" si="185"/>
        <v>4000</v>
      </c>
      <c r="AJ265" s="584" t="str">
        <f t="shared" si="202"/>
        <v>1+4588.29329239466i</v>
      </c>
      <c r="AK265" s="585">
        <f t="shared" si="203"/>
        <v>4588.2934013676404</v>
      </c>
      <c r="AL265" s="586">
        <f t="shared" si="204"/>
        <v>1.5705783808353775</v>
      </c>
      <c r="AM265" s="273" t="str">
        <f t="shared" si="205"/>
        <v>1+0.160584644771246i</v>
      </c>
      <c r="AN265" s="585">
        <f t="shared" si="206"/>
        <v>1.0128116449450546</v>
      </c>
      <c r="AO265" s="586">
        <f t="shared" si="207"/>
        <v>0.15922526159004977</v>
      </c>
      <c r="AP265" s="584" t="str">
        <f t="shared" si="208"/>
        <v>1+0.00116179299302035i</v>
      </c>
      <c r="AQ265" s="585">
        <f t="shared" si="209"/>
        <v>1.0000006748812516</v>
      </c>
      <c r="AR265" s="586">
        <f t="shared" si="210"/>
        <v>1.1617924703057241E-3</v>
      </c>
      <c r="AS265" s="580" t="str">
        <f t="shared" si="211"/>
        <v>0.139172110559838-0.871914988287508i</v>
      </c>
      <c r="AT265" s="270">
        <f t="shared" si="212"/>
        <v>0.88295222020111885</v>
      </c>
      <c r="AU265" s="581">
        <f t="shared" si="213"/>
        <v>-1.412514911715633</v>
      </c>
      <c r="AV265" s="580" t="str">
        <f t="shared" si="214"/>
        <v>-0.0113071125716892-0.170719081364563i</v>
      </c>
      <c r="AW265" s="270">
        <f t="shared" si="215"/>
        <v>-15.3353491052388</v>
      </c>
      <c r="AX265" s="581">
        <f t="shared" si="216"/>
        <v>-93.78929524826566</v>
      </c>
      <c r="AY265" s="299">
        <f t="shared" si="186"/>
        <v>86.21070475173434</v>
      </c>
      <c r="BB265" s="270">
        <f t="shared" si="219"/>
        <v>-41.081255941233081</v>
      </c>
      <c r="BC265" s="270">
        <f t="shared" si="220"/>
        <v>-80.931142940599855</v>
      </c>
      <c r="BD265" s="286"/>
      <c r="BE265" s="270">
        <f t="shared" si="217"/>
        <v>25.745906835994251</v>
      </c>
      <c r="BF265" s="581">
        <f t="shared" si="218"/>
        <v>-12.858152307665817</v>
      </c>
      <c r="BI265" s="286"/>
      <c r="BJ265" s="286"/>
      <c r="BL265" s="253">
        <f t="shared" si="187"/>
        <v>0</v>
      </c>
      <c r="BM265" s="253">
        <f t="shared" si="221"/>
        <v>0</v>
      </c>
      <c r="BN265" s="253">
        <f t="shared" si="188"/>
        <v>0</v>
      </c>
      <c r="BO265" s="253">
        <f t="shared" si="189"/>
        <v>0</v>
      </c>
    </row>
    <row r="266" spans="4:67" ht="13.6" thickBot="1" x14ac:dyDescent="0.25">
      <c r="D266" s="280">
        <v>16692.5</v>
      </c>
      <c r="E266" s="273" t="str">
        <f t="shared" si="168"/>
        <v>0.188787727332171i</v>
      </c>
      <c r="F266" s="579" t="str">
        <f t="shared" si="190"/>
        <v>0.002-0.146684893576706i</v>
      </c>
      <c r="G266" s="270" t="str">
        <f t="shared" si="191"/>
        <v>0.002-0.146684893576706i</v>
      </c>
      <c r="H266" s="271" t="str">
        <f t="shared" si="192"/>
        <v>0.0126667469588942-0.145610273088803i</v>
      </c>
      <c r="I266" s="271" t="str">
        <f t="shared" si="193"/>
        <v>0.0226667469588942-0.145610273088803i</v>
      </c>
      <c r="J266" s="270" t="str">
        <f t="shared" si="194"/>
        <v>0.00617388087725159-0.0734387219604849i</v>
      </c>
      <c r="K266" s="271" t="str">
        <f t="shared" si="169"/>
        <v>0.992963825250625-0.13176139540213i</v>
      </c>
      <c r="L266" s="580"/>
      <c r="M266" s="580" t="str">
        <f t="shared" si="170"/>
        <v>0.0698001877686586-108.698100716366i</v>
      </c>
      <c r="N266" s="270" t="str">
        <f t="shared" si="171"/>
        <v>-6.61431652584018-81.5235755372745i</v>
      </c>
      <c r="O266" s="581" t="str">
        <f t="shared" si="172"/>
        <v>-6.17387939875741-40.435893103121i</v>
      </c>
      <c r="P266" s="582" t="str">
        <f t="shared" si="173"/>
        <v>-6.02782319942146-0.0175698917549371i</v>
      </c>
      <c r="Q266" s="583" t="str">
        <f t="shared" si="174"/>
        <v>-5.96608440543389+0.386789039276272i</v>
      </c>
      <c r="R266" s="581" t="str">
        <f t="shared" si="195"/>
        <v>-0.638173793010024-4.83312449072996i</v>
      </c>
      <c r="S266" s="253" t="str">
        <f t="shared" si="196"/>
        <v>51.35569210638-3.81152261811634i</v>
      </c>
      <c r="T266" s="253" t="str">
        <f t="shared" si="197"/>
        <v>18.8851319790598-4.34694215717626i</v>
      </c>
      <c r="U266" s="253" t="str">
        <f t="shared" si="198"/>
        <v>-0.393746246543595-2.80493084113888i</v>
      </c>
      <c r="V266" s="582" t="str">
        <f t="shared" si="175"/>
        <v>6000</v>
      </c>
      <c r="W266" s="584" t="str">
        <f t="shared" si="176"/>
        <v>1+58742.7697083955i</v>
      </c>
      <c r="X266" s="585">
        <f t="shared" si="177"/>
        <v>58742.769716907176</v>
      </c>
      <c r="Y266" s="586">
        <f t="shared" si="178"/>
        <v>1.5707793034232567</v>
      </c>
      <c r="Z266" s="273" t="str">
        <f t="shared" si="179"/>
        <v>1+8.81009394216798i</v>
      </c>
      <c r="AA266" s="585">
        <f t="shared" si="180"/>
        <v>8.8666653974211158</v>
      </c>
      <c r="AB266" s="586">
        <f t="shared" si="181"/>
        <v>1.4577738832526386</v>
      </c>
      <c r="AC266" s="584" t="str">
        <f t="shared" si="182"/>
        <v>1+0.42592802111277i</v>
      </c>
      <c r="AD266" s="585">
        <f t="shared" si="183"/>
        <v>1.0869290129392262</v>
      </c>
      <c r="AE266" s="586">
        <f t="shared" si="184"/>
        <v>0.40265642700912169</v>
      </c>
      <c r="AF266" s="580" t="str">
        <f t="shared" si="199"/>
        <v>0.724867324380714-0.410866216125823i</v>
      </c>
      <c r="AG266" s="270">
        <f t="shared" si="200"/>
        <v>0.83321286926475568</v>
      </c>
      <c r="AH266" s="581">
        <f t="shared" si="201"/>
        <v>-0.51566184717973917</v>
      </c>
      <c r="AI266" s="582" t="str">
        <f t="shared" si="185"/>
        <v>4000</v>
      </c>
      <c r="AJ266" s="584" t="str">
        <f t="shared" si="202"/>
        <v>1+4614.97263095312i</v>
      </c>
      <c r="AK266" s="585">
        <f t="shared" si="203"/>
        <v>4614.9727392961222</v>
      </c>
      <c r="AL266" s="586">
        <f t="shared" si="204"/>
        <v>1.5705796407895145</v>
      </c>
      <c r="AM266" s="273" t="str">
        <f t="shared" si="205"/>
        <v>1+0.161518388939746i</v>
      </c>
      <c r="AN266" s="585">
        <f t="shared" si="206"/>
        <v>1.0129601127219625</v>
      </c>
      <c r="AO266" s="586">
        <f t="shared" si="207"/>
        <v>0.16013539892898437</v>
      </c>
      <c r="AP266" s="584" t="str">
        <f t="shared" si="208"/>
        <v>1+0.00116854841744952i</v>
      </c>
      <c r="AQ266" s="585">
        <f t="shared" si="209"/>
        <v>1.0000006827524688</v>
      </c>
      <c r="AR266" s="586">
        <f t="shared" si="210"/>
        <v>1.1685478855635628E-3</v>
      </c>
      <c r="AS266" s="580" t="str">
        <f t="shared" si="211"/>
        <v>0.139169917982731-0.866876286207108i</v>
      </c>
      <c r="AT266" s="270">
        <f t="shared" si="212"/>
        <v>0.87797651543737076</v>
      </c>
      <c r="AU266" s="581">
        <f t="shared" si="213"/>
        <v>-1.4116127897460937</v>
      </c>
      <c r="AV266" s="580" t="str">
        <f t="shared" si="214"/>
        <v>-0.0114001880495127-0.169760366580283i</v>
      </c>
      <c r="AW266" s="270">
        <f t="shared" si="215"/>
        <v>-15.383732394820562</v>
      </c>
      <c r="AX266" s="581">
        <f t="shared" si="216"/>
        <v>-93.841906258121369</v>
      </c>
      <c r="AY266" s="299">
        <f t="shared" si="186"/>
        <v>86.158093741878631</v>
      </c>
      <c r="BB266" s="270">
        <f t="shared" si="219"/>
        <v>-41.130342013366914</v>
      </c>
      <c r="BC266" s="270">
        <f t="shared" si="220"/>
        <v>-80.879455159139226</v>
      </c>
      <c r="BD266" s="286"/>
      <c r="BE266" s="270">
        <f t="shared" si="217"/>
        <v>25.746609618546369</v>
      </c>
      <c r="BF266" s="581">
        <f t="shared" si="218"/>
        <v>-12.962451098982147</v>
      </c>
      <c r="BI266" s="286"/>
      <c r="BJ266" s="286"/>
      <c r="BL266" s="253">
        <f t="shared" si="187"/>
        <v>0</v>
      </c>
      <c r="BM266" s="253">
        <f t="shared" si="221"/>
        <v>0</v>
      </c>
      <c r="BN266" s="253">
        <f t="shared" si="188"/>
        <v>0</v>
      </c>
      <c r="BO266" s="253">
        <f t="shared" si="189"/>
        <v>0</v>
      </c>
    </row>
    <row r="267" spans="4:67" ht="13.6" thickBot="1" x14ac:dyDescent="0.25">
      <c r="D267" s="280">
        <v>16789</v>
      </c>
      <c r="E267" s="273" t="str">
        <f t="shared" si="168"/>
        <v>0.189879116620029i</v>
      </c>
      <c r="F267" s="579" t="str">
        <f t="shared" si="190"/>
        <v>0.002-0.145841776522078i</v>
      </c>
      <c r="G267" s="270" t="str">
        <f t="shared" si="191"/>
        <v>0.002-0.145841776522078i</v>
      </c>
      <c r="H267" s="271" t="str">
        <f t="shared" si="192"/>
        <v>0.0125451011196906-0.144782194410695i</v>
      </c>
      <c r="I267" s="271" t="str">
        <f t="shared" si="193"/>
        <v>0.0225451011196906-0.144782194410695i</v>
      </c>
      <c r="J267" s="270" t="str">
        <f t="shared" si="194"/>
        <v>0.00614309466201384-0.0730187019705854i</v>
      </c>
      <c r="K267" s="271" t="str">
        <f t="shared" si="169"/>
        <v>0.992882237291988-0.132523113218892i</v>
      </c>
      <c r="L267" s="580"/>
      <c r="M267" s="580" t="str">
        <f t="shared" si="170"/>
        <v>0.0481083034918529-107.727771807613i</v>
      </c>
      <c r="N267" s="270" t="str">
        <f t="shared" si="171"/>
        <v>-6.63058543904778-80.7958288557097i</v>
      </c>
      <c r="O267" s="581" t="str">
        <f t="shared" si="172"/>
        <v>-6.15561811592617-40.0709483126319i</v>
      </c>
      <c r="P267" s="582" t="str">
        <f t="shared" si="173"/>
        <v>-5.94033886169813-0.0121796828921611i</v>
      </c>
      <c r="Q267" s="583" t="str">
        <f t="shared" si="174"/>
        <v>-5.87878268053888+0.388529800234156i</v>
      </c>
      <c r="R267" s="581" t="str">
        <f t="shared" si="195"/>
        <v>-0.637087974793901-4.78946383740942i</v>
      </c>
      <c r="S267" s="253" t="str">
        <f t="shared" si="196"/>
        <v>51.3535021202455-3.86814474828773i</v>
      </c>
      <c r="T267" s="253" t="str">
        <f t="shared" si="197"/>
        <v>18.8787151291947-4.38160922925231i</v>
      </c>
      <c r="U267" s="253" t="str">
        <f t="shared" si="198"/>
        <v>-0.397543608955722-2.78826953490714i</v>
      </c>
      <c r="V267" s="582" t="str">
        <f t="shared" si="175"/>
        <v>6000</v>
      </c>
      <c r="W267" s="584" t="str">
        <f t="shared" si="176"/>
        <v>1+59082.3639738957i</v>
      </c>
      <c r="X267" s="585">
        <f t="shared" si="177"/>
        <v>59082.363982358453</v>
      </c>
      <c r="Y267" s="586">
        <f t="shared" si="178"/>
        <v>1.5707794012703806</v>
      </c>
      <c r="Z267" s="273" t="str">
        <f t="shared" si="179"/>
        <v>1+8.861025442268i</v>
      </c>
      <c r="AA267" s="585">
        <f t="shared" si="180"/>
        <v>8.9172737923942211</v>
      </c>
      <c r="AB267" s="586">
        <f t="shared" si="181"/>
        <v>1.4584180437326086</v>
      </c>
      <c r="AC267" s="584" t="str">
        <f t="shared" si="182"/>
        <v>1+0.42839032777968i</v>
      </c>
      <c r="AD267" s="585">
        <f t="shared" si="183"/>
        <v>1.0878962601899052</v>
      </c>
      <c r="AE267" s="586">
        <f t="shared" si="184"/>
        <v>0.40473877730857633</v>
      </c>
      <c r="AF267" s="580" t="str">
        <f t="shared" si="199"/>
        <v>0.723578923223178-0.411512128483303i</v>
      </c>
      <c r="AG267" s="270">
        <f t="shared" si="200"/>
        <v>0.83241137067057913</v>
      </c>
      <c r="AH267" s="581">
        <f t="shared" si="201"/>
        <v>-0.51710013484634754</v>
      </c>
      <c r="AI267" s="582" t="str">
        <f t="shared" si="185"/>
        <v>4000</v>
      </c>
      <c r="AJ267" s="584" t="str">
        <f t="shared" si="202"/>
        <v>1+4641.65196951158i</v>
      </c>
      <c r="AK267" s="585">
        <f t="shared" si="203"/>
        <v>4641.6520772318481</v>
      </c>
      <c r="AL267" s="586">
        <f t="shared" si="204"/>
        <v>1.5705808862596955</v>
      </c>
      <c r="AM267" s="273" t="str">
        <f t="shared" si="205"/>
        <v>1+0.162452133108247i</v>
      </c>
      <c r="AN267" s="585">
        <f t="shared" si="206"/>
        <v>1.0131094193380199</v>
      </c>
      <c r="AO267" s="586">
        <f t="shared" si="207"/>
        <v>0.16104526875913641</v>
      </c>
      <c r="AP267" s="584" t="str">
        <f t="shared" si="208"/>
        <v>1+0.00117530384187868i</v>
      </c>
      <c r="AQ267" s="585">
        <f t="shared" si="209"/>
        <v>1.0000006906693217</v>
      </c>
      <c r="AR267" s="586">
        <f t="shared" si="210"/>
        <v>1.1753033007147367E-3</v>
      </c>
      <c r="AS267" s="580" t="str">
        <f t="shared" si="211"/>
        <v>0.139167763054116-0.861895517926728i</v>
      </c>
      <c r="AT267" s="270">
        <f t="shared" si="212"/>
        <v>0.87305873232885611</v>
      </c>
      <c r="AU267" s="581">
        <f t="shared" si="213"/>
        <v>-1.410710920801274</v>
      </c>
      <c r="AV267" s="580" t="str">
        <f t="shared" si="214"/>
        <v>-0.0114918080213303-0.168812587090807i</v>
      </c>
      <c r="AW267" s="270">
        <f t="shared" si="215"/>
        <v>-15.43182425913875</v>
      </c>
      <c r="AX267" s="581">
        <f t="shared" si="216"/>
        <v>-93.894365015032434</v>
      </c>
      <c r="AY267" s="299">
        <f t="shared" si="186"/>
        <v>86.105634984967566</v>
      </c>
      <c r="BB267" s="270">
        <f t="shared" si="219"/>
        <v>-41.179130789843803</v>
      </c>
      <c r="BC267" s="270">
        <f t="shared" si="220"/>
        <v>-80.827781874927126</v>
      </c>
      <c r="BD267" s="286"/>
      <c r="BE267" s="270">
        <f t="shared" si="217"/>
        <v>25.747306530705067</v>
      </c>
      <c r="BF267" s="581">
        <f t="shared" si="218"/>
        <v>-13.066583140105296</v>
      </c>
      <c r="BI267" s="286"/>
      <c r="BJ267" s="286"/>
      <c r="BL267" s="253">
        <f t="shared" si="187"/>
        <v>0</v>
      </c>
      <c r="BM267" s="253">
        <f t="shared" si="221"/>
        <v>0</v>
      </c>
      <c r="BN267" s="253">
        <f t="shared" si="188"/>
        <v>0</v>
      </c>
      <c r="BO267" s="253">
        <f t="shared" si="189"/>
        <v>0</v>
      </c>
    </row>
    <row r="268" spans="4:67" ht="13.6" thickBot="1" x14ac:dyDescent="0.25">
      <c r="D268" s="280">
        <v>16885.5</v>
      </c>
      <c r="E268" s="273" t="str">
        <f t="shared" si="168"/>
        <v>0.190970505907886i</v>
      </c>
      <c r="F268" s="579" t="str">
        <f t="shared" si="190"/>
        <v>0.002-0.14500829623222i</v>
      </c>
      <c r="G268" s="270" t="str">
        <f t="shared" si="191"/>
        <v>0.002-0.14500829623222i</v>
      </c>
      <c r="H268" s="271" t="str">
        <f t="shared" si="192"/>
        <v>0.0124255204062409-0.143963431029237i</v>
      </c>
      <c r="I268" s="271" t="str">
        <f t="shared" si="193"/>
        <v>0.0224255204062409-0.143963431029237i</v>
      </c>
      <c r="J268" s="270" t="str">
        <f t="shared" si="194"/>
        <v>0.00611283277991695-0.0726034693190073i</v>
      </c>
      <c r="K268" s="271" t="str">
        <f t="shared" si="169"/>
        <v>0.99280017902957-0.133284831035654i</v>
      </c>
      <c r="L268" s="580"/>
      <c r="M268" s="580" t="str">
        <f t="shared" si="170"/>
        <v>0.027511312548012-106.776506895813i</v>
      </c>
      <c r="N268" s="270" t="str">
        <f t="shared" si="171"/>
        <v>-6.64603318225566-80.0823801718598i</v>
      </c>
      <c r="O268" s="581" t="str">
        <f t="shared" si="172"/>
        <v>-6.13755708963315-39.7131880551977i</v>
      </c>
      <c r="P268" s="582" t="str">
        <f t="shared" si="173"/>
        <v>-5.85488472129361-0.00700513236731248i</v>
      </c>
      <c r="Q268" s="583" t="str">
        <f t="shared" si="174"/>
        <v>-5.79350915039728+0.390126748184665i</v>
      </c>
      <c r="R268" s="581" t="str">
        <f t="shared" si="195"/>
        <v>-0.636000910512389-4.74666052468253i</v>
      </c>
      <c r="S268" s="253" t="str">
        <f t="shared" si="196"/>
        <v>51.351206647583-3.92457437409356i</v>
      </c>
      <c r="T268" s="253" t="str">
        <f t="shared" si="197"/>
        <v>18.8722350076907-4.41621042156741i</v>
      </c>
      <c r="U268" s="253" t="str">
        <f t="shared" si="198"/>
        <v>-0.401275463236482-2.77178541560866i</v>
      </c>
      <c r="V268" s="582" t="str">
        <f t="shared" si="175"/>
        <v>6000</v>
      </c>
      <c r="W268" s="584" t="str">
        <f t="shared" si="176"/>
        <v>1+59421.9582393959i</v>
      </c>
      <c r="X268" s="585">
        <f t="shared" si="177"/>
        <v>59421.958247810289</v>
      </c>
      <c r="Y268" s="586">
        <f t="shared" si="178"/>
        <v>1.5707794979991192</v>
      </c>
      <c r="Z268" s="273" t="str">
        <f t="shared" si="179"/>
        <v>1+8.91195694236801i</v>
      </c>
      <c r="AA268" s="585">
        <f t="shared" si="180"/>
        <v>8.9678858457621633</v>
      </c>
      <c r="AB268" s="586">
        <f t="shared" si="181"/>
        <v>1.4590549335779412</v>
      </c>
      <c r="AC268" s="584" t="str">
        <f t="shared" si="182"/>
        <v>1+0.43085263444659i</v>
      </c>
      <c r="AD268" s="585">
        <f t="shared" si="183"/>
        <v>1.0888682163648487</v>
      </c>
      <c r="AE268" s="586">
        <f t="shared" si="184"/>
        <v>0.40681741907232905</v>
      </c>
      <c r="AF268" s="580" t="str">
        <f t="shared" si="199"/>
        <v>0.722287707080034-0.41215719242467i</v>
      </c>
      <c r="AG268" s="270">
        <f t="shared" si="200"/>
        <v>0.83160873195651297</v>
      </c>
      <c r="AH268" s="581">
        <f t="shared" si="201"/>
        <v>-0.51854198349350944</v>
      </c>
      <c r="AI268" s="582" t="str">
        <f t="shared" si="185"/>
        <v>4000</v>
      </c>
      <c r="AJ268" s="584" t="str">
        <f t="shared" si="202"/>
        <v>1+4668.33130807004i</v>
      </c>
      <c r="AK268" s="585">
        <f t="shared" si="203"/>
        <v>4668.3314151746908</v>
      </c>
      <c r="AL268" s="586">
        <f t="shared" si="204"/>
        <v>1.5705821174942465</v>
      </c>
      <c r="AM268" s="273" t="str">
        <f t="shared" si="205"/>
        <v>1+0.163385877276747i</v>
      </c>
      <c r="AN268" s="585">
        <f t="shared" si="206"/>
        <v>1.0132595644224101</v>
      </c>
      <c r="AO268" s="586">
        <f t="shared" si="207"/>
        <v>0.16195486969259745</v>
      </c>
      <c r="AP268" s="584" t="str">
        <f t="shared" si="208"/>
        <v>1+0.00118205926630785i</v>
      </c>
      <c r="AQ268" s="585">
        <f t="shared" si="209"/>
        <v>1.0000006986318104</v>
      </c>
      <c r="AR268" s="586">
        <f t="shared" si="210"/>
        <v>1.1820587157586489E-3</v>
      </c>
      <c r="AS268" s="580" t="str">
        <f t="shared" si="211"/>
        <v>0.139165644915526-0.856971690178052i</v>
      </c>
      <c r="AT268" s="270">
        <f t="shared" si="212"/>
        <v>0.86819787749762511</v>
      </c>
      <c r="AU268" s="581">
        <f t="shared" si="213"/>
        <v>-1.4098093065174073</v>
      </c>
      <c r="AV268" s="580" t="str">
        <f t="shared" si="214"/>
        <v>-0.0115820055330991-0.167875559033782i</v>
      </c>
      <c r="AW268" s="270">
        <f t="shared" si="215"/>
        <v>-15.479627869726318</v>
      </c>
      <c r="AX268" s="581">
        <f t="shared" si="216"/>
        <v>-93.94667430237314</v>
      </c>
      <c r="AY268" s="299">
        <f t="shared" si="186"/>
        <v>86.05332569762686</v>
      </c>
      <c r="BB268" s="270">
        <f t="shared" si="219"/>
        <v>-41.227625604505143</v>
      </c>
      <c r="BC268" s="270">
        <f t="shared" si="220"/>
        <v>-80.776123181712862</v>
      </c>
      <c r="BD268" s="286"/>
      <c r="BE268" s="270">
        <f t="shared" si="217"/>
        <v>25.747997734778821</v>
      </c>
      <c r="BF268" s="581">
        <f t="shared" si="218"/>
        <v>-13.170551120660287</v>
      </c>
      <c r="BI268" s="286"/>
      <c r="BJ268" s="286"/>
      <c r="BL268" s="253">
        <f t="shared" si="187"/>
        <v>0</v>
      </c>
      <c r="BM268" s="253">
        <f t="shared" si="221"/>
        <v>0</v>
      </c>
      <c r="BN268" s="253">
        <f t="shared" si="188"/>
        <v>0</v>
      </c>
      <c r="BO268" s="253">
        <f t="shared" si="189"/>
        <v>0</v>
      </c>
    </row>
    <row r="269" spans="4:67" ht="13.6" thickBot="1" x14ac:dyDescent="0.25">
      <c r="D269" s="280">
        <v>16982</v>
      </c>
      <c r="E269" s="273" t="str">
        <f t="shared" ref="E269:E332" si="222">COMPLEX(0,2*PI()*D269*Lf)</f>
        <v>0.192061895195743i</v>
      </c>
      <c r="F269" s="579" t="str">
        <f t="shared" si="190"/>
        <v>0.002-0.144184288424753i</v>
      </c>
      <c r="G269" s="270" t="str">
        <f t="shared" si="191"/>
        <v>0.002-0.144184288424753i</v>
      </c>
      <c r="H269" s="271" t="str">
        <f t="shared" si="192"/>
        <v>0.0123079584171204-0.143153827484102i</v>
      </c>
      <c r="I269" s="271" t="str">
        <f t="shared" si="193"/>
        <v>0.0223079584171204-0.143153827484102i</v>
      </c>
      <c r="J269" s="270" t="str">
        <f t="shared" si="194"/>
        <v>0.00608308336660177-0.0721929428198245i</v>
      </c>
      <c r="K269" s="271" t="str">
        <f t="shared" ref="K269:K332" si="223">IMSUM(COMPLEX(1,0),COMPLEX(0,2*PI()*D269/(Fsw*PI()*(-2)/PI())),IMPRODUCT(COMPLEX(0,2*PI()*D269/(Fsw*PI())),COMPLEX(0,2*PI()*D269/(Fsw*PI()))))</f>
        <v>0.992717650463372-0.134046548852417i</v>
      </c>
      <c r="L269" s="580"/>
      <c r="M269" s="580" t="str">
        <f t="shared" ref="M269:M332" si="224">IF(Vin&gt;=Vout,IMDIV(COMPLEX(Vin,0),IMSUM(E269,J269)),IMDIV(IMSUM(COMPLEX(Vout,0),IMPRODUCT(J269,COMPLEX($B$4,0))),IMSUM(E269,IMPRODUCT(J269,COMPLEX((1-$B$11)^2,0)))))</f>
        <v>0.00795226942645058-105.843724377735i</v>
      </c>
      <c r="N269" s="270" t="str">
        <f t="shared" ref="N269:N332" si="225">IF(Vin&gt;=Vout,0,IMSUB(IMPRODUCT(M269,COMPLEX(1-$B$11,0)),COMPLEX($B$4/(1-$B$11),0)))</f>
        <v>-6.66070246459683-79.3827932833013i</v>
      </c>
      <c r="O269" s="581" t="str">
        <f t="shared" ref="O269:O332" si="226">IMDIV(IF(Vin&gt;=Vout,M269,N269),IMPRODUCT(I269,IMSUM(IMDIV(COMPLEX(1,0),F269),IMDIV(COMPLEX(1,0),I269))))</f>
        <v>-6.119697853006-39.3623921801685i</v>
      </c>
      <c r="P269" s="582" t="str">
        <f t="shared" ref="P269:P332" si="227">IF(Vin&gt;=Vout,IMDIV(IMPRODUCT(COMPLEX(Vin,0),J269),IMSUM(J269,E269)),IMPRODUCT(N269,J269))</f>
        <v>-5.77139506475159-0.00203643724953384i</v>
      </c>
      <c r="Q269" s="583" t="str">
        <f t="shared" ref="Q269:Q332" si="228">IF(Vin&gt;=Vout,IMDIV(IMPRODUCT(P269,H269),IMSUM(COMPLEX($B$15,0),H269)),IMPRODUCT(O269,H269))</f>
        <v>-5.71019808622155+0.391587484552151i</v>
      </c>
      <c r="R269" s="581" t="str">
        <f t="shared" si="195"/>
        <v>-0.634913601940776-4.70468832111252i</v>
      </c>
      <c r="S269" s="253" t="str">
        <f t="shared" si="196"/>
        <v>51.3488072129808-3.98081448922991i</v>
      </c>
      <c r="T269" s="253" t="str">
        <f t="shared" si="197"/>
        <v>18.8656920740647-4.45074655311967i</v>
      </c>
      <c r="U269" s="253" t="str">
        <f t="shared" si="198"/>
        <v>-0.404943250682969-2.75547563203979i</v>
      </c>
      <c r="V269" s="582" t="str">
        <f t="shared" ref="V269:V332" si="229">COMPLEX(AEA,0)</f>
        <v>6000</v>
      </c>
      <c r="W269" s="584" t="str">
        <f t="shared" ref="W269:W332" si="230">IMSUM(COMPLEX(1,0),IMDIV(COMPLEX(0,2*PI()*D269),COMPLEX(2*PI()*EA_Pole1,0)))</f>
        <v>1+59761.552504896i</v>
      </c>
      <c r="X269" s="585">
        <f t="shared" ref="X269:X332" si="231">IMABS(W269)</f>
        <v>59761.552513262592</v>
      </c>
      <c r="Y269" s="586">
        <f t="shared" ref="Y269:Y332" si="232">IMARGUMENT(W269)</f>
        <v>1.570779593628538</v>
      </c>
      <c r="Z269" s="273" t="str">
        <f t="shared" ref="Z269:Z332" si="233">IMSUM(COMPLEX(1,0),IMDIV(COMPLEX(0,2*PI()*D269),COMPLEX(2*PI()*EA_Zero1,0)))</f>
        <v>1+8.96288844246802i</v>
      </c>
      <c r="AA269" s="585">
        <f t="shared" ref="AA269:AA332" si="234">IMABS(Z269)</f>
        <v>9.0185014959319503</v>
      </c>
      <c r="AB269" s="586">
        <f t="shared" ref="AB269:AB332" si="235">IMARGUMENT(Z269)</f>
        <v>1.4596846746851992</v>
      </c>
      <c r="AC269" s="584" t="str">
        <f t="shared" ref="AC269:AC332" si="236">IMSUM(COMPLEX(1,0),IMDIV(COMPLEX(0,2*PI()*D269),COMPLEX(2*PI()*EA_Pole2,0)))</f>
        <v>1+0.4333149411135i</v>
      </c>
      <c r="AD269" s="585">
        <f t="shared" ref="AD269:AD332" si="237">IMABS(AC269)</f>
        <v>1.0898448688653795</v>
      </c>
      <c r="AE269" s="586">
        <f t="shared" ref="AE269:AE332" si="238">IMARGUMENT(AC269)</f>
        <v>0.40889234428402205</v>
      </c>
      <c r="AF269" s="580" t="str">
        <f t="shared" si="199"/>
        <v>0.720993730533732-0.412801296430606i</v>
      </c>
      <c r="AG269" s="270">
        <f t="shared" si="200"/>
        <v>0.83080495292441336</v>
      </c>
      <c r="AH269" s="581">
        <f t="shared" si="201"/>
        <v>-0.51998726322736177</v>
      </c>
      <c r="AI269" s="582" t="str">
        <f t="shared" ref="AI269:AI332" si="239">COMPLEX(AIL,0)</f>
        <v>4000</v>
      </c>
      <c r="AJ269" s="584" t="str">
        <f t="shared" si="202"/>
        <v>1+4695.0106466285i</v>
      </c>
      <c r="AK269" s="585">
        <f t="shared" si="203"/>
        <v>4695.0107531245294</v>
      </c>
      <c r="AL269" s="586">
        <f t="shared" si="204"/>
        <v>1.5705833347358484</v>
      </c>
      <c r="AM269" s="273" t="str">
        <f t="shared" si="205"/>
        <v>1+0.164319621445247i</v>
      </c>
      <c r="AN269" s="585">
        <f t="shared" si="206"/>
        <v>1.0134105476024557</v>
      </c>
      <c r="AO269" s="586">
        <f t="shared" si="207"/>
        <v>0.16286420034406215</v>
      </c>
      <c r="AP269" s="584" t="str">
        <f t="shared" si="208"/>
        <v>1+0.00118881469073702i</v>
      </c>
      <c r="AQ269" s="585">
        <f t="shared" si="209"/>
        <v>1.0000007066399348</v>
      </c>
      <c r="AR269" s="586">
        <f t="shared" si="210"/>
        <v>1.1888141306946732E-3</v>
      </c>
      <c r="AS269" s="580" t="str">
        <f t="shared" si="211"/>
        <v>0.139163562732821-0.85210383226972i</v>
      </c>
      <c r="AT269" s="270">
        <f t="shared" si="212"/>
        <v>0.86339298014359311</v>
      </c>
      <c r="AU269" s="581">
        <f t="shared" si="213"/>
        <v>-1.4089079485224809</v>
      </c>
      <c r="AV269" s="580" t="str">
        <f t="shared" si="214"/>
        <v>-0.0116708127192733-0.16694910261884i</v>
      </c>
      <c r="AW269" s="270">
        <f t="shared" si="215"/>
        <v>-15.527146345837483</v>
      </c>
      <c r="AX269" s="581">
        <f t="shared" si="216"/>
        <v>-93.998836844439424</v>
      </c>
      <c r="AY269" s="299">
        <f t="shared" ref="AY269:AY332" si="240">IF(AX269&gt;0,AX269-180,AX269+180)</f>
        <v>86.001163155560576</v>
      </c>
      <c r="BB269" s="270">
        <f t="shared" si="219"/>
        <v>-41.275829734333847</v>
      </c>
      <c r="BC269" s="270">
        <f t="shared" si="220"/>
        <v>-80.724479172773201</v>
      </c>
      <c r="BD269" s="286"/>
      <c r="BE269" s="270">
        <f t="shared" si="217"/>
        <v>25.74868338849635</v>
      </c>
      <c r="BF269" s="581">
        <f t="shared" si="218"/>
        <v>-13.274357671666232</v>
      </c>
      <c r="BI269" s="286"/>
      <c r="BJ269" s="286"/>
      <c r="BL269" s="253">
        <f t="shared" ref="BL269:BL332" si="241">SUM((AW270&lt;0)*(AW269&gt;0))*D269</f>
        <v>0</v>
      </c>
      <c r="BM269" s="253">
        <f t="shared" si="221"/>
        <v>0</v>
      </c>
      <c r="BN269" s="253">
        <f t="shared" ref="BN269:BN332" si="242">SUM((BB270&lt;0)*(BB269&gt;0))*D269</f>
        <v>0</v>
      </c>
      <c r="BO269" s="253">
        <f t="shared" ref="BO269:BO332" si="243">IF(BN269&gt;0,BC269,0)</f>
        <v>0</v>
      </c>
    </row>
    <row r="270" spans="4:67" ht="13.6" thickBot="1" x14ac:dyDescent="0.25">
      <c r="D270" s="280">
        <v>17081</v>
      </c>
      <c r="E270" s="273" t="str">
        <f t="shared" si="222"/>
        <v>0.193181558817482i</v>
      </c>
      <c r="F270" s="579" t="str">
        <f t="shared" ref="F270:F333" si="244">IMSUM(COMPLEX($B$8,0),IMDIV(COMPLEX(1,0),COMPLEX(0,2*PI()*D270*$B$6)))</f>
        <v>0.002-0.143348608748268i</v>
      </c>
      <c r="G270" s="270" t="str">
        <f t="shared" ref="G270:G333" si="245">IMSUM(COMPLEX($B$9,0),IMDIV(COMPLEX(1,0),COMPLEX(0,2*PI()*D270*$B$7)))</f>
        <v>0.002-0.143348608748268i</v>
      </c>
      <c r="H270" s="271" t="str">
        <f t="shared" ref="H270:H333" si="246">IMDIV(COMPLEX(1,0),IMSUM(IMDIV(COMPLEX(1,0),COMPLEX($B$5,0)), IMDIV(COMPLEX(1,0),G270)))</f>
        <v>0.0121894013582475-0.142332609275903i</v>
      </c>
      <c r="I270" s="271" t="str">
        <f t="shared" ref="I270:I333" si="247">IMSUM(H270,COMPLEX($B$15,0))</f>
        <v>0.0221894013582475-0.142332609275903i</v>
      </c>
      <c r="J270" s="270" t="str">
        <f t="shared" ref="J270:J333" si="248">IMDIV(COMPLEX(1,0),IMSUM(IMDIV(COMPLEX(1,0),F270),IMDIV(COMPLEX(1,0),IMSUM(COMPLEX($B$15,0),H270))))</f>
        <v>0.00605308371422081-0.0717765883586317i</v>
      </c>
      <c r="K270" s="271" t="str">
        <f t="shared" si="223"/>
        <v>0.99263249511376-0.134828000291375i</v>
      </c>
      <c r="L270" s="580"/>
      <c r="M270" s="580" t="str">
        <f t="shared" si="224"/>
        <v>-0.0110910241482767-104.905398820757i</v>
      </c>
      <c r="N270" s="270" t="str">
        <f t="shared" si="225"/>
        <v>-6.67498493477788-78.6790491155678i</v>
      </c>
      <c r="O270" s="581" t="str">
        <f t="shared" si="226"/>
        <v>-6.10158680337075-39.0095244734328i</v>
      </c>
      <c r="P270" s="582" t="str">
        <f t="shared" si="227"/>
        <v>-5.68771796341805+0.00285677511179722i</v>
      </c>
      <c r="Q270" s="583" t="str">
        <f t="shared" si="228"/>
        <v>-5.62670209538436+0.392952019846124i</v>
      </c>
      <c r="R270" s="581" t="str">
        <f t="shared" ref="R270:R333" si="249">IMPRODUCT(M270,COMPLEX($B$29,0),K270,COMPLEX($B$34,0))</f>
        <v>-0.633798831666456-4.66246608028814i</v>
      </c>
      <c r="S270" s="253" t="str">
        <f t="shared" ref="S270:S333" si="250">IMDIV(IMPRODUCT(COMPLEX($B$34,0),M270),IMSUM(COMPLEX(1,0),R270))</f>
        <v>51.3462391338934-4.03831773441182i</v>
      </c>
      <c r="T270" s="253" t="str">
        <f t="shared" ref="T270:T333" si="251">IMDIV(IMPRODUCT(COMPLEX($B$34,0),O270),IMSUM(COMPLEX(1,0),R270))</f>
        <v>18.8589148291396-4.48611063114531i</v>
      </c>
      <c r="U270" s="253" t="str">
        <f t="shared" ref="U270:U333" si="252">IMDIV(IMPRODUCT(COMPLEX($B$34,0),Q270),IMSUM(COMPLEX(1,0),R270))</f>
        <v>-0.408640949597892-2.73892155876399i</v>
      </c>
      <c r="V270" s="582" t="str">
        <f t="shared" si="229"/>
        <v>6000</v>
      </c>
      <c r="W270" s="584" t="str">
        <f t="shared" si="230"/>
        <v>1+60109.9445492952i</v>
      </c>
      <c r="X270" s="585">
        <f t="shared" si="231"/>
        <v>60109.944557613293</v>
      </c>
      <c r="Y270" s="586">
        <f t="shared" si="232"/>
        <v>1.5707796906125244</v>
      </c>
      <c r="Z270" s="273" t="str">
        <f t="shared" si="233"/>
        <v>1+9.01513941148255i</v>
      </c>
      <c r="AA270" s="585">
        <f t="shared" si="234"/>
        <v>9.0704321070424179</v>
      </c>
      <c r="AB270" s="586">
        <f t="shared" si="235"/>
        <v>1.4603234263130727</v>
      </c>
      <c r="AC270" s="584" t="str">
        <f t="shared" si="236"/>
        <v>1+0.435841038108568i</v>
      </c>
      <c r="AD270" s="585">
        <f t="shared" si="237"/>
        <v>1.090851690423384</v>
      </c>
      <c r="AE270" s="586">
        <f t="shared" si="238"/>
        <v>0.41101715357277002</v>
      </c>
      <c r="AF270" s="580" t="str">
        <f t="shared" ref="AF270:AF333" si="253">IMPRODUCT(V270,IMDIV(Z270,IMPRODUCT(W270,AC270)))</f>
        <v>0.719663419659114-0.413460975809473i</v>
      </c>
      <c r="AG270" s="270">
        <f t="shared" ref="AG270:AG333" si="254">IMABS(AF270)</f>
        <v>0.82997916607151756</v>
      </c>
      <c r="AH270" s="581">
        <f t="shared" ref="AH270:AH333" si="255">IMARGUMENT(AF270)</f>
        <v>-0.52147341787222246</v>
      </c>
      <c r="AI270" s="582" t="str">
        <f t="shared" si="239"/>
        <v>4000</v>
      </c>
      <c r="AJ270" s="584" t="str">
        <f t="shared" ref="AJ270:AJ333" si="256">IMSUM(COMPLEX(1,0),IMDIV(COMPLEX(0,2*PI()*D270),COMPLEX(2*PI()*IL_Pole1,0)))</f>
        <v>1+4722.38115976102i</v>
      </c>
      <c r="AK270" s="585">
        <f t="shared" ref="AK270:AK333" si="257">IMABS(AJ270)</f>
        <v>4722.3812656398086</v>
      </c>
      <c r="AL270" s="586">
        <f t="shared" ref="AL270:AL333" si="258">IMARGUMENT(AJ270)</f>
        <v>1.5705845692193807</v>
      </c>
      <c r="AM270" s="273" t="str">
        <f t="shared" ref="AM270:AM333" si="259">IMSUM(COMPLEX(1,0),IMDIV(COMPLEX(0,2*PI()*D270),COMPLEX(2*PI()*IL_Zero1,0)))</f>
        <v>1+0.16527755587718i</v>
      </c>
      <c r="AN270" s="585">
        <f t="shared" ref="AN270:AN333" si="260">IMABS(AM270)</f>
        <v>1.0135663128166477</v>
      </c>
      <c r="AO270" s="586">
        <f t="shared" ref="AO270:AO333" si="261">IMARGUMENT(AM270)</f>
        <v>0.16379680645925981</v>
      </c>
      <c r="AP270" s="584" t="str">
        <f t="shared" ref="AP270:AP333" si="262">IMSUM(COMPLEX(1,0),IMDIV(COMPLEX(0,2*PI()*D270),COMPLEX(2*PI()*IL_Pole2,0)))</f>
        <v>1+0.00119574512616177i</v>
      </c>
      <c r="AQ270" s="585">
        <f t="shared" ref="AQ270:AQ333" si="263">IMABS(AP270)</f>
        <v>1.000000714902948</v>
      </c>
      <c r="AR270" s="586">
        <f t="shared" ref="AR270:AR333" si="264">IMARGUMENT(AP270)</f>
        <v>1.1957445562675783E-3</v>
      </c>
      <c r="AS270" s="580" t="str">
        <f t="shared" ref="AS270:AS333" si="265">IMPRODUCT(AI270,IMDIV(AM270,IMPRODUCT(AJ270,AP270)))</f>
        <v>0.139161463123221-0.847167033361452i</v>
      </c>
      <c r="AT270" s="270">
        <f t="shared" ref="AT270:AT333" si="266">IMABS(AS270)</f>
        <v>0.85852075993131305</v>
      </c>
      <c r="AU270" s="581">
        <f t="shared" ref="AU270:AU333" si="267">IMARGUMENT(AS270)</f>
        <v>-1.4079835073163891</v>
      </c>
      <c r="AV270" s="580" t="str">
        <f t="shared" ref="AV270:AV333" si="268">IMPRODUCT(T270,AS270,COMPLEX($B$15,0))</f>
        <v>-0.0117605085417937-0.166009446473813i</v>
      </c>
      <c r="AW270" s="270">
        <f t="shared" ref="AW270:AW333" si="269">20*LOG10(IMABS(AV270))</f>
        <v>-15.575602775598718</v>
      </c>
      <c r="AX270" s="581">
        <f t="shared" ref="AX270:AX333" si="270">(180/PI())*IMARGUMENT(AV270)</f>
        <v>-94.05220104550537</v>
      </c>
      <c r="AY270" s="299">
        <f t="shared" si="240"/>
        <v>85.94779895449463</v>
      </c>
      <c r="BB270" s="270">
        <f t="shared" si="219"/>
        <v>-41.324983973611538</v>
      </c>
      <c r="BC270" s="270">
        <f t="shared" si="220"/>
        <v>-80.671512593256168</v>
      </c>
      <c r="BD270" s="286"/>
      <c r="BE270" s="270">
        <f t="shared" ref="BE270:BE333" si="271">20*LOG10(IMABS(T270))</f>
        <v>25.749381198012827</v>
      </c>
      <c r="BF270" s="581">
        <f t="shared" ref="BF270:BF333" si="272">180/PI()*IMARGUMENT(T270)</f>
        <v>-13.380688452249201</v>
      </c>
      <c r="BI270" s="286"/>
      <c r="BJ270" s="286"/>
      <c r="BL270" s="253">
        <f t="shared" si="241"/>
        <v>0</v>
      </c>
      <c r="BM270" s="253">
        <f t="shared" si="221"/>
        <v>0</v>
      </c>
      <c r="BN270" s="253">
        <f t="shared" si="242"/>
        <v>0</v>
      </c>
      <c r="BO270" s="253">
        <f t="shared" si="243"/>
        <v>0</v>
      </c>
    </row>
    <row r="271" spans="4:67" ht="13.6" thickBot="1" x14ac:dyDescent="0.25">
      <c r="D271" s="280">
        <v>17180</v>
      </c>
      <c r="E271" s="273" t="str">
        <f t="shared" si="222"/>
        <v>0.194301222439222i</v>
      </c>
      <c r="F271" s="579" t="str">
        <f t="shared" si="244"/>
        <v>0.002-0.142522560304375i</v>
      </c>
      <c r="G271" s="270" t="str">
        <f t="shared" si="245"/>
        <v>0.002-0.142522560304375i</v>
      </c>
      <c r="H271" s="271" t="str">
        <f t="shared" si="246"/>
        <v>0.012072874168638-0.141520711124877i</v>
      </c>
      <c r="I271" s="271" t="str">
        <f t="shared" si="247"/>
        <v>0.022072874168638-0.141520711124877i</v>
      </c>
      <c r="J271" s="270" t="str">
        <f t="shared" si="248"/>
        <v>0.0060235991943291-0.0713650197757718i</v>
      </c>
      <c r="K271" s="271" t="str">
        <f t="shared" si="223"/>
        <v>0.992546844776647-0.135609451730333i</v>
      </c>
      <c r="L271" s="580"/>
      <c r="M271" s="580" t="str">
        <f t="shared" si="224"/>
        <v>-0.029152783897853-103.985361140188i</v>
      </c>
      <c r="N271" s="270" t="str">
        <f t="shared" si="225"/>
        <v>-6.68853125459006-77.989020855141i</v>
      </c>
      <c r="O271" s="581" t="str">
        <f t="shared" si="226"/>
        <v>-6.08369008673195-38.6635459774011i</v>
      </c>
      <c r="P271" s="582" t="str">
        <f t="shared" si="227"/>
        <v>-5.60597704709661+0.00755256206514465i</v>
      </c>
      <c r="Q271" s="583" t="str">
        <f t="shared" si="228"/>
        <v>-5.54514014622929+0.394188021839157i</v>
      </c>
      <c r="R271" s="581" t="str">
        <f t="shared" si="249"/>
        <v>-0.632685674218342-4.62106605447293i</v>
      </c>
      <c r="S271" s="253" t="str">
        <f t="shared" si="250"/>
        <v>51.3435647533993-4.09562770243794i</v>
      </c>
      <c r="T271" s="253" t="str">
        <f t="shared" si="251"/>
        <v>18.8520724164207-4.5214079206806i</v>
      </c>
      <c r="U271" s="253" t="str">
        <f t="shared" si="252"/>
        <v>-0.412274166118872-2.72254508344099i</v>
      </c>
      <c r="V271" s="582" t="str">
        <f t="shared" si="229"/>
        <v>6000</v>
      </c>
      <c r="W271" s="584" t="str">
        <f t="shared" si="230"/>
        <v>1+60458.3365936938i</v>
      </c>
      <c r="X271" s="585">
        <f t="shared" si="231"/>
        <v>60458.336601963958</v>
      </c>
      <c r="Y271" s="586">
        <f t="shared" si="232"/>
        <v>1.5707797864787674</v>
      </c>
      <c r="Z271" s="273" t="str">
        <f t="shared" si="233"/>
        <v>1+9.06739038049698i</v>
      </c>
      <c r="AA271" s="585">
        <f t="shared" si="234"/>
        <v>9.1223663767867365</v>
      </c>
      <c r="AB271" s="586">
        <f t="shared" si="235"/>
        <v>1.460954905280776</v>
      </c>
      <c r="AC271" s="584" t="str">
        <f t="shared" si="236"/>
        <v>1+0.438367135103633i</v>
      </c>
      <c r="AD271" s="585">
        <f t="shared" si="237"/>
        <v>1.0918634278786734</v>
      </c>
      <c r="AE271" s="586">
        <f t="shared" si="238"/>
        <v>0.41313803466017751</v>
      </c>
      <c r="AF271" s="580" t="str">
        <f t="shared" si="253"/>
        <v>0.718330319169402-0.414119416777912i</v>
      </c>
      <c r="AG271" s="270">
        <f t="shared" si="254"/>
        <v>0.82915218071865016</v>
      </c>
      <c r="AH271" s="581">
        <f t="shared" si="255"/>
        <v>-0.52296291585816734</v>
      </c>
      <c r="AI271" s="582" t="str">
        <f t="shared" si="239"/>
        <v>4000</v>
      </c>
      <c r="AJ271" s="584" t="str">
        <f t="shared" si="256"/>
        <v>1+4749.75167289349i</v>
      </c>
      <c r="AK271" s="585">
        <f t="shared" si="257"/>
        <v>4749.75177816215</v>
      </c>
      <c r="AL271" s="586">
        <f t="shared" si="258"/>
        <v>1.5705857894754549</v>
      </c>
      <c r="AM271" s="273" t="str">
        <f t="shared" si="259"/>
        <v>1+0.166235490309111i</v>
      </c>
      <c r="AN271" s="585">
        <f t="shared" si="260"/>
        <v>1.0137229593130022</v>
      </c>
      <c r="AO271" s="586">
        <f t="shared" si="261"/>
        <v>0.16472912516145632</v>
      </c>
      <c r="AP271" s="584" t="str">
        <f t="shared" si="262"/>
        <v>1+0.0012026755615865i</v>
      </c>
      <c r="AQ271" s="585">
        <f t="shared" si="263"/>
        <v>1.0000007232139918</v>
      </c>
      <c r="AR271" s="586">
        <f t="shared" si="264"/>
        <v>1.2026749817255979E-3</v>
      </c>
      <c r="AS271" s="580" t="str">
        <f t="shared" si="265"/>
        <v>0.139159399653088-0.842287142297584i</v>
      </c>
      <c r="AT271" s="270">
        <f t="shared" si="266"/>
        <v>0.85370543432242385</v>
      </c>
      <c r="AU271" s="581">
        <f t="shared" si="267"/>
        <v>-1.4070593392957238</v>
      </c>
      <c r="AV271" s="580" t="str">
        <f t="shared" si="268"/>
        <v>-0.0118488067698608-0.165080546138427i</v>
      </c>
      <c r="AW271" s="270">
        <f t="shared" si="269"/>
        <v>-15.623765592710093</v>
      </c>
      <c r="AX271" s="581">
        <f t="shared" si="270"/>
        <v>-94.105416424166648</v>
      </c>
      <c r="AY271" s="299">
        <f t="shared" si="240"/>
        <v>85.894583575833352</v>
      </c>
      <c r="BB271" s="270">
        <f t="shared" si="219"/>
        <v>-41.373839080744702</v>
      </c>
      <c r="BC271" s="270">
        <f t="shared" si="220"/>
        <v>-80.618561666111077</v>
      </c>
      <c r="BD271" s="286"/>
      <c r="BE271" s="270">
        <f t="shared" si="271"/>
        <v>25.750073488034623</v>
      </c>
      <c r="BF271" s="581">
        <f t="shared" si="272"/>
        <v>-13.486854758055571</v>
      </c>
      <c r="BI271" s="286"/>
      <c r="BJ271" s="286"/>
      <c r="BL271" s="253">
        <f t="shared" si="241"/>
        <v>0</v>
      </c>
      <c r="BM271" s="253">
        <f t="shared" si="221"/>
        <v>0</v>
      </c>
      <c r="BN271" s="253">
        <f t="shared" si="242"/>
        <v>0</v>
      </c>
      <c r="BO271" s="253">
        <f t="shared" si="243"/>
        <v>0</v>
      </c>
    </row>
    <row r="272" spans="4:67" ht="13.6" thickBot="1" x14ac:dyDescent="0.25">
      <c r="D272" s="280">
        <v>17279</v>
      </c>
      <c r="E272" s="273" t="str">
        <f t="shared" si="222"/>
        <v>0.195420886060961i</v>
      </c>
      <c r="F272" s="579" t="str">
        <f t="shared" si="244"/>
        <v>0.002-0.141705977546684i</v>
      </c>
      <c r="G272" s="270" t="str">
        <f t="shared" si="245"/>
        <v>0.002-0.141705977546684i</v>
      </c>
      <c r="H272" s="271" t="str">
        <f t="shared" si="246"/>
        <v>0.0119583308492055-0.140717976089188i</v>
      </c>
      <c r="I272" s="271" t="str">
        <f t="shared" si="247"/>
        <v>0.0219583308492055-0.140717976089188i</v>
      </c>
      <c r="J272" s="270" t="str">
        <f t="shared" si="248"/>
        <v>0.00599461805331659-0.0709581552239181i</v>
      </c>
      <c r="K272" s="271" t="str">
        <f t="shared" si="223"/>
        <v>0.992460699452034-0.136390903169292i</v>
      </c>
      <c r="L272" s="580"/>
      <c r="M272" s="580" t="str">
        <f t="shared" si="224"/>
        <v>-0.0462842741834753-103.083057482387i</v>
      </c>
      <c r="N272" s="270" t="str">
        <f t="shared" si="225"/>
        <v>-6.70137987230428-77.3122931117903i</v>
      </c>
      <c r="O272" s="581" t="str">
        <f t="shared" si="226"/>
        <v>-6.06600810726388-38.3242471575685i</v>
      </c>
      <c r="P272" s="582" t="str">
        <f t="shared" si="227"/>
        <v>-5.52610990810812+0.0120598851621656i</v>
      </c>
      <c r="Q272" s="583" t="str">
        <f t="shared" si="228"/>
        <v>-5.46544982703548+0.395302356737852i</v>
      </c>
      <c r="R272" s="581" t="str">
        <f t="shared" si="249"/>
        <v>-0.631574955064421-4.58046327257021i</v>
      </c>
      <c r="S272" s="253" t="str">
        <f t="shared" si="250"/>
        <v>51.3407855847045-4.15274742276933i</v>
      </c>
      <c r="T272" s="253" t="str">
        <f t="shared" si="251"/>
        <v>18.8451652935322-4.55663924681376i</v>
      </c>
      <c r="U272" s="253" t="str">
        <f t="shared" si="252"/>
        <v>-0.415844331092171-2.70634331884593i</v>
      </c>
      <c r="V272" s="582" t="str">
        <f t="shared" si="229"/>
        <v>6000</v>
      </c>
      <c r="W272" s="584" t="str">
        <f t="shared" si="230"/>
        <v>1+60806.728638093i</v>
      </c>
      <c r="X272" s="585">
        <f t="shared" si="231"/>
        <v>60806.72864631578</v>
      </c>
      <c r="Y272" s="586">
        <f t="shared" si="232"/>
        <v>1.5707798812464795</v>
      </c>
      <c r="Z272" s="273" t="str">
        <f t="shared" si="233"/>
        <v>1+9.11964134951151i</v>
      </c>
      <c r="AA272" s="585">
        <f t="shared" si="234"/>
        <v>9.1743042430322781</v>
      </c>
      <c r="AB272" s="586">
        <f t="shared" si="235"/>
        <v>1.4615792345970149</v>
      </c>
      <c r="AC272" s="584" t="str">
        <f t="shared" si="236"/>
        <v>1+0.440893232098701i</v>
      </c>
      <c r="AD272" s="585">
        <f t="shared" si="237"/>
        <v>1.092880067578524</v>
      </c>
      <c r="AE272" s="586">
        <f t="shared" si="238"/>
        <v>0.4152549794024144</v>
      </c>
      <c r="AF272" s="580" t="str">
        <f t="shared" si="253"/>
        <v>0.716994487265142-0.414776508598986i</v>
      </c>
      <c r="AG272" s="270">
        <f t="shared" si="254"/>
        <v>0.82832399871920204</v>
      </c>
      <c r="AH272" s="581">
        <f t="shared" si="255"/>
        <v>-0.52445562605187956</v>
      </c>
      <c r="AI272" s="582" t="str">
        <f t="shared" si="239"/>
        <v>4000</v>
      </c>
      <c r="AJ272" s="584" t="str">
        <f t="shared" si="256"/>
        <v>1+4777.12218602601i</v>
      </c>
      <c r="AK272" s="585">
        <f t="shared" si="257"/>
        <v>4777.1222906915336</v>
      </c>
      <c r="AL272" s="586">
        <f t="shared" si="258"/>
        <v>1.5705869957486196</v>
      </c>
      <c r="AM272" s="273" t="str">
        <f t="shared" si="259"/>
        <v>1+0.167193424741044i</v>
      </c>
      <c r="AN272" s="585">
        <f t="shared" si="260"/>
        <v>1.0138804866830406</v>
      </c>
      <c r="AO272" s="586">
        <f t="shared" si="261"/>
        <v>0.16566115496347369</v>
      </c>
      <c r="AP272" s="584" t="str">
        <f t="shared" si="262"/>
        <v>1+0.00120960599701125i</v>
      </c>
      <c r="AQ272" s="585">
        <f t="shared" si="263"/>
        <v>1.0000007315730663</v>
      </c>
      <c r="AR272" s="586">
        <f t="shared" si="264"/>
        <v>1.2096054070681065E-3</v>
      </c>
      <c r="AS272" s="580" t="str">
        <f t="shared" si="265"/>
        <v>0.139157371496247-0.837463180918084i</v>
      </c>
      <c r="AT272" s="270">
        <f t="shared" si="266"/>
        <v>0.84894602504233441</v>
      </c>
      <c r="AU272" s="581">
        <f t="shared" si="267"/>
        <v>-1.4061354461922142</v>
      </c>
      <c r="AV272" s="580" t="str">
        <f t="shared" si="268"/>
        <v>-0.0119357393027259-0.164162220120918i</v>
      </c>
      <c r="AW272" s="270">
        <f t="shared" si="269"/>
        <v>-15.671638001065649</v>
      </c>
      <c r="AX272" s="581">
        <f t="shared" si="270"/>
        <v>-94.158485738322995</v>
      </c>
      <c r="AY272" s="299">
        <f t="shared" si="240"/>
        <v>85.841514261677005</v>
      </c>
      <c r="BB272" s="270">
        <f t="shared" si="219"/>
        <v>-41.422398415885027</v>
      </c>
      <c r="BC272" s="270">
        <f t="shared" si="220"/>
        <v>-80.565626490558742</v>
      </c>
      <c r="BD272" s="286"/>
      <c r="BE272" s="270">
        <f t="shared" si="271"/>
        <v>25.750760414819382</v>
      </c>
      <c r="BF272" s="581">
        <f t="shared" si="272"/>
        <v>-13.59285924776427</v>
      </c>
      <c r="BI272" s="286"/>
      <c r="BJ272" s="286"/>
      <c r="BL272" s="253">
        <f t="shared" si="241"/>
        <v>0</v>
      </c>
      <c r="BM272" s="253">
        <f t="shared" si="221"/>
        <v>0</v>
      </c>
      <c r="BN272" s="253">
        <f t="shared" si="242"/>
        <v>0</v>
      </c>
      <c r="BO272" s="253">
        <f t="shared" si="243"/>
        <v>0</v>
      </c>
    </row>
    <row r="273" spans="4:67" ht="13.6" thickBot="1" x14ac:dyDescent="0.25">
      <c r="D273" s="280">
        <v>17378</v>
      </c>
      <c r="E273" s="273" t="str">
        <f t="shared" si="222"/>
        <v>0.1965405496827i</v>
      </c>
      <c r="F273" s="579" t="str">
        <f t="shared" si="244"/>
        <v>0.002-0.140898698701183i</v>
      </c>
      <c r="G273" s="270" t="str">
        <f t="shared" si="245"/>
        <v>0.002-0.140898698701183i</v>
      </c>
      <c r="H273" s="271" t="str">
        <f t="shared" si="246"/>
        <v>0.011845726694354-0.139924250712269i</v>
      </c>
      <c r="I273" s="271" t="str">
        <f t="shared" si="247"/>
        <v>0.021845726694354-0.139924250712269i</v>
      </c>
      <c r="J273" s="270" t="str">
        <f t="shared" si="248"/>
        <v>0.00596612887057945-0.0705559147091207i</v>
      </c>
      <c r="K273" s="271" t="str">
        <f t="shared" si="223"/>
        <v>0.992374059139921-0.13717235460825i</v>
      </c>
      <c r="L273" s="580"/>
      <c r="M273" s="580" t="str">
        <f t="shared" si="224"/>
        <v>-0.0625337574130665-102.197956515441i</v>
      </c>
      <c r="N273" s="270" t="str">
        <f t="shared" si="225"/>
        <v>-6.71356698472647-76.6484673865808i</v>
      </c>
      <c r="O273" s="581" t="str">
        <f t="shared" si="226"/>
        <v>-6.04854092717627-37.9914270347688i</v>
      </c>
      <c r="P273" s="582" t="str">
        <f t="shared" si="227"/>
        <v>-5.44805673332456+0.0163872254075824i</v>
      </c>
      <c r="Q273" s="583" t="str">
        <f t="shared" si="228"/>
        <v>-5.38757132405281+0.396301495755269i</v>
      </c>
      <c r="R273" s="581" t="str">
        <f t="shared" si="249"/>
        <v>-0.630467426430073-4.54063378162883i</v>
      </c>
      <c r="S273" s="253" t="str">
        <f t="shared" si="250"/>
        <v>51.3379030990379-4.20967985984825i</v>
      </c>
      <c r="T273" s="253" t="str">
        <f t="shared" si="251"/>
        <v>18.8381939059378-4.59180541566293i</v>
      </c>
      <c r="U273" s="253" t="str">
        <f t="shared" si="252"/>
        <v>-0.419352835778188-2.69031343904836i</v>
      </c>
      <c r="V273" s="582" t="str">
        <f t="shared" si="229"/>
        <v>6000</v>
      </c>
      <c r="W273" s="584" t="str">
        <f t="shared" si="230"/>
        <v>1+61155.1206824922i</v>
      </c>
      <c r="X273" s="585">
        <f t="shared" si="231"/>
        <v>61155.120690668133</v>
      </c>
      <c r="Y273" s="586">
        <f t="shared" si="232"/>
        <v>1.5707799749344351</v>
      </c>
      <c r="Z273" s="273" t="str">
        <f t="shared" si="233"/>
        <v>1+9.17189231852603i</v>
      </c>
      <c r="AA273" s="585">
        <f t="shared" si="234"/>
        <v>9.2262456450409331</v>
      </c>
      <c r="AB273" s="586">
        <f t="shared" si="235"/>
        <v>1.4621965345230441</v>
      </c>
      <c r="AC273" s="584" t="str">
        <f t="shared" si="236"/>
        <v>1+0.443419329093769i</v>
      </c>
      <c r="AD273" s="585">
        <f t="shared" si="237"/>
        <v>1.0939015958549325</v>
      </c>
      <c r="AE273" s="586">
        <f t="shared" si="238"/>
        <v>0.41736797982696788</v>
      </c>
      <c r="AF273" s="580" t="str">
        <f t="shared" si="253"/>
        <v>0.715655981890992-0.415432143636764i</v>
      </c>
      <c r="AG273" s="270">
        <f t="shared" si="254"/>
        <v>0.82749462257044115</v>
      </c>
      <c r="AH273" s="581">
        <f t="shared" si="255"/>
        <v>-0.5259514202383605</v>
      </c>
      <c r="AI273" s="582" t="str">
        <f t="shared" si="239"/>
        <v>4000</v>
      </c>
      <c r="AJ273" s="584" t="str">
        <f t="shared" si="256"/>
        <v>1+4804.49269915852i</v>
      </c>
      <c r="AK273" s="585">
        <f t="shared" si="257"/>
        <v>4804.4928032277794</v>
      </c>
      <c r="AL273" s="586">
        <f t="shared" si="258"/>
        <v>1.570588188277851</v>
      </c>
      <c r="AM273" s="273" t="str">
        <f t="shared" si="259"/>
        <v>1+0.168151359172977i</v>
      </c>
      <c r="AN273" s="585">
        <f t="shared" si="260"/>
        <v>1.0140388945162406</v>
      </c>
      <c r="AO273" s="586">
        <f t="shared" si="261"/>
        <v>0.16659289438105732</v>
      </c>
      <c r="AP273" s="584" t="str">
        <f t="shared" si="262"/>
        <v>1+0.00121653643243599i</v>
      </c>
      <c r="AQ273" s="585">
        <f t="shared" si="263"/>
        <v>1.0000007399801718</v>
      </c>
      <c r="AR273" s="586">
        <f t="shared" si="264"/>
        <v>1.2165358322944087E-3</v>
      </c>
      <c r="AS273" s="580" t="str">
        <f t="shared" si="265"/>
        <v>0.139155377849994-0.832694193352704i</v>
      </c>
      <c r="AT273" s="270">
        <f t="shared" si="266"/>
        <v>0.84424157610715023</v>
      </c>
      <c r="AU273" s="581">
        <f t="shared" si="267"/>
        <v>-1.4052118297290885</v>
      </c>
      <c r="AV273" s="580" t="str">
        <f t="shared" si="268"/>
        <v>-0.0120213371563579-0.163254290963569i</v>
      </c>
      <c r="AW273" s="270">
        <f t="shared" si="269"/>
        <v>-15.719223151552598</v>
      </c>
      <c r="AX273" s="581">
        <f t="shared" si="270"/>
        <v>-94.211411687144931</v>
      </c>
      <c r="AY273" s="299">
        <f t="shared" si="240"/>
        <v>85.788588312855069</v>
      </c>
      <c r="BB273" s="270">
        <f t="shared" si="219"/>
        <v>-41.470665281744004</v>
      </c>
      <c r="BC273" s="270">
        <f t="shared" si="220"/>
        <v>-80.512707165332827</v>
      </c>
      <c r="BD273" s="286"/>
      <c r="BE273" s="270">
        <f t="shared" si="271"/>
        <v>25.751442130191421</v>
      </c>
      <c r="BF273" s="581">
        <f t="shared" si="272"/>
        <v>-13.698704521812111</v>
      </c>
      <c r="BI273" s="286"/>
      <c r="BJ273" s="286"/>
      <c r="BL273" s="253">
        <f t="shared" si="241"/>
        <v>0</v>
      </c>
      <c r="BM273" s="253">
        <f t="shared" si="221"/>
        <v>0</v>
      </c>
      <c r="BN273" s="253">
        <f t="shared" si="242"/>
        <v>0</v>
      </c>
      <c r="BO273" s="253">
        <f t="shared" si="243"/>
        <v>0</v>
      </c>
    </row>
    <row r="274" spans="4:67" ht="13.6" thickBot="1" x14ac:dyDescent="0.25">
      <c r="D274" s="280">
        <v>17479.25</v>
      </c>
      <c r="E274" s="273" t="str">
        <f t="shared" si="222"/>
        <v>0.197685660204934i</v>
      </c>
      <c r="F274" s="579" t="str">
        <f t="shared" si="244"/>
        <v>0.002-0.140082531345976i</v>
      </c>
      <c r="G274" s="270" t="str">
        <f t="shared" si="245"/>
        <v>0.002-0.140082531345976i</v>
      </c>
      <c r="H274" s="271" t="str">
        <f t="shared" si="246"/>
        <v>0.0117325238460389-0.139121648877384i</v>
      </c>
      <c r="I274" s="271" t="str">
        <f t="shared" si="247"/>
        <v>0.0217325238460389-0.139121648877384i</v>
      </c>
      <c r="J274" s="270" t="str">
        <f t="shared" si="248"/>
        <v>0.00593748949784802-0.0701492337525271i</v>
      </c>
      <c r="K274" s="271" t="str">
        <f t="shared" si="223"/>
        <v>0.992284937739893-0.137971566307184i</v>
      </c>
      <c r="L274" s="580"/>
      <c r="M274" s="580" t="str">
        <f t="shared" si="224"/>
        <v>-0.0782876052739626-101.310001865899i</v>
      </c>
      <c r="N274" s="270" t="str">
        <f t="shared" si="225"/>
        <v>-6.72538237062214-75.9825013994243i</v>
      </c>
      <c r="O274" s="581" t="str">
        <f t="shared" si="226"/>
        <v>-6.03089868613666-37.6575431051168i</v>
      </c>
      <c r="P274" s="582" t="str">
        <f t="shared" si="227"/>
        <v>-5.37004613896451+0.0206351159125931i</v>
      </c>
      <c r="Q274" s="583" t="str">
        <f t="shared" si="228"/>
        <v>-5.30973715210316+0.39721054696376i</v>
      </c>
      <c r="R274" s="581" t="str">
        <f t="shared" si="249"/>
        <v>-0.629338740088013-4.50067497719661i</v>
      </c>
      <c r="S274" s="253" t="str">
        <f t="shared" si="250"/>
        <v>51.3348497272565-4.26771552279864i</v>
      </c>
      <c r="T274" s="253" t="str">
        <f t="shared" si="251"/>
        <v>18.8309980575047-4.62770424099921i</v>
      </c>
      <c r="U274" s="253" t="str">
        <f t="shared" si="252"/>
        <v>-0.422878710770287-2.67409415012682i</v>
      </c>
      <c r="V274" s="582" t="str">
        <f t="shared" si="229"/>
        <v>6000</v>
      </c>
      <c r="W274" s="584" t="str">
        <f t="shared" si="230"/>
        <v>1+61511.4307279003i</v>
      </c>
      <c r="X274" s="585">
        <f t="shared" si="231"/>
        <v>61511.430736028859</v>
      </c>
      <c r="Y274" s="586">
        <f t="shared" si="232"/>
        <v>1.570780069653938</v>
      </c>
      <c r="Z274" s="273" t="str">
        <f t="shared" si="233"/>
        <v>1+9.2253308095636i</v>
      </c>
      <c r="AA274" s="585">
        <f t="shared" si="234"/>
        <v>9.2793711287933398</v>
      </c>
      <c r="AB274" s="586">
        <f t="shared" si="235"/>
        <v>1.462820715683752</v>
      </c>
      <c r="AC274" s="584" t="str">
        <f t="shared" si="236"/>
        <v>1+0.44600283738418i</v>
      </c>
      <c r="AD274" s="585">
        <f t="shared" si="237"/>
        <v>1.0949513829183191</v>
      </c>
      <c r="AE274" s="586">
        <f t="shared" si="238"/>
        <v>0.41952491505664063</v>
      </c>
      <c r="AF274" s="580" t="str">
        <f t="shared" si="253"/>
        <v>0.71428435075563-0.416101063638385i</v>
      </c>
      <c r="AG274" s="270">
        <f t="shared" si="254"/>
        <v>0.82664516504688235</v>
      </c>
      <c r="AH274" s="581">
        <f t="shared" si="255"/>
        <v>-0.52748426902682721</v>
      </c>
      <c r="AI274" s="582" t="str">
        <f t="shared" si="239"/>
        <v>4000</v>
      </c>
      <c r="AJ274" s="584" t="str">
        <f t="shared" si="256"/>
        <v>1+4832.48526940768i</v>
      </c>
      <c r="AK274" s="585">
        <f t="shared" si="257"/>
        <v>4832.4853728741091</v>
      </c>
      <c r="AL274" s="586">
        <f t="shared" si="258"/>
        <v>1.5705893939373756</v>
      </c>
      <c r="AM274" s="273" t="str">
        <f t="shared" si="259"/>
        <v>1+0.169131064841999i</v>
      </c>
      <c r="AN274" s="585">
        <f t="shared" si="260"/>
        <v>1.0142018128038366</v>
      </c>
      <c r="AO274" s="586">
        <f t="shared" si="261"/>
        <v>0.16754550779181271</v>
      </c>
      <c r="AP274" s="584" t="str">
        <f t="shared" si="262"/>
        <v>1+0.00122362437775675i</v>
      </c>
      <c r="AQ274" s="585">
        <f t="shared" si="263"/>
        <v>1.0000007486280287</v>
      </c>
      <c r="AR274" s="586">
        <f t="shared" si="264"/>
        <v>1.223623767064066E-3</v>
      </c>
      <c r="AS274" s="580" t="str">
        <f t="shared" si="265"/>
        <v>0.139153373776786-0.827872708329132i</v>
      </c>
      <c r="AT274" s="270">
        <f t="shared" si="266"/>
        <v>0.83948608245144474</v>
      </c>
      <c r="AU274" s="581">
        <f t="shared" si="267"/>
        <v>-1.4042675099126263</v>
      </c>
      <c r="AV274" s="580" t="str">
        <f t="shared" si="268"/>
        <v>-0.0121075313205634-0.162336300203832i</v>
      </c>
      <c r="AW274" s="270">
        <f t="shared" si="269"/>
        <v>-15.767595887265172</v>
      </c>
      <c r="AX274" s="581">
        <f t="shared" si="270"/>
        <v>-94.265394961757849</v>
      </c>
      <c r="AY274" s="299">
        <f t="shared" si="240"/>
        <v>85.734605038242151</v>
      </c>
      <c r="BB274" s="270">
        <f t="shared" si="219"/>
        <v>-41.519729989676293</v>
      </c>
      <c r="BC274" s="270">
        <f t="shared" si="220"/>
        <v>-80.458601625338986</v>
      </c>
      <c r="BD274" s="286"/>
      <c r="BE274" s="270">
        <f t="shared" si="271"/>
        <v>25.752134102411134</v>
      </c>
      <c r="BF274" s="581">
        <f t="shared" si="272"/>
        <v>-13.806793336418881</v>
      </c>
      <c r="BI274" s="286"/>
      <c r="BJ274" s="286"/>
      <c r="BL274" s="253">
        <f t="shared" si="241"/>
        <v>0</v>
      </c>
      <c r="BM274" s="253">
        <f t="shared" si="221"/>
        <v>0</v>
      </c>
      <c r="BN274" s="253">
        <f t="shared" si="242"/>
        <v>0</v>
      </c>
      <c r="BO274" s="253">
        <f t="shared" si="243"/>
        <v>0</v>
      </c>
    </row>
    <row r="275" spans="4:67" ht="13.6" thickBot="1" x14ac:dyDescent="0.25">
      <c r="D275" s="280">
        <v>17580.5</v>
      </c>
      <c r="E275" s="273" t="str">
        <f t="shared" si="222"/>
        <v>0.198830770727167i</v>
      </c>
      <c r="F275" s="579" t="str">
        <f t="shared" si="244"/>
        <v>0.002-0.139275764968525i</v>
      </c>
      <c r="G275" s="270" t="str">
        <f t="shared" si="245"/>
        <v>0.002-0.139275764968525i</v>
      </c>
      <c r="H275" s="271" t="str">
        <f t="shared" si="246"/>
        <v>0.011621258680331-0.13832815696526i</v>
      </c>
      <c r="I275" s="271" t="str">
        <f t="shared" si="247"/>
        <v>0.021621258680331-0.13832815696526i</v>
      </c>
      <c r="J275" s="270" t="str">
        <f t="shared" si="248"/>
        <v>0.00590934155476997-0.0697472258723209i</v>
      </c>
      <c r="K275" s="271" t="str">
        <f t="shared" si="223"/>
        <v>0.992195298597258-0.138770778006119i</v>
      </c>
      <c r="L275" s="580"/>
      <c r="M275" s="580" t="str">
        <f t="shared" si="224"/>
        <v>-0.0932122368722547-100.438983868974i</v>
      </c>
      <c r="N275" s="270" t="str">
        <f t="shared" si="225"/>
        <v>-6.73657584432086-75.3292379017305i</v>
      </c>
      <c r="O275" s="581" t="str">
        <f t="shared" si="226"/>
        <v>-6.01348030117115-37.3300360419871i</v>
      </c>
      <c r="P275" s="582" t="str">
        <f t="shared" si="227"/>
        <v>-5.2938140982955+0.0247112811980189i</v>
      </c>
      <c r="Q275" s="583" t="str">
        <f t="shared" si="228"/>
        <v>-5.23367929528379+0.39801164161789i</v>
      </c>
      <c r="R275" s="581" t="str">
        <f t="shared" si="249"/>
        <v>-0.62821477230542-4.46147737621971i</v>
      </c>
      <c r="S275" s="253" t="str">
        <f t="shared" si="250"/>
        <v>51.3316912730878-4.32556136381611i</v>
      </c>
      <c r="T275" s="253" t="str">
        <f t="shared" si="251"/>
        <v>18.8237358953039-4.66353656058035i</v>
      </c>
      <c r="U275" s="253" t="str">
        <f t="shared" si="252"/>
        <v>-0.426342913195629-2.65804885833387i</v>
      </c>
      <c r="V275" s="582" t="str">
        <f t="shared" si="229"/>
        <v>6000</v>
      </c>
      <c r="W275" s="584" t="str">
        <f t="shared" si="230"/>
        <v>1+61867.7407733085i</v>
      </c>
      <c r="X275" s="585">
        <f t="shared" si="231"/>
        <v>61867.740781390261</v>
      </c>
      <c r="Y275" s="586">
        <f t="shared" si="232"/>
        <v>1.5707801632824197</v>
      </c>
      <c r="Z275" s="273" t="str">
        <f t="shared" si="233"/>
        <v>1+9.27876930060117i</v>
      </c>
      <c r="AA275" s="585">
        <f t="shared" si="234"/>
        <v>9.3325001866476658</v>
      </c>
      <c r="AB275" s="586">
        <f t="shared" si="235"/>
        <v>1.4634377902717033</v>
      </c>
      <c r="AC275" s="584" t="str">
        <f t="shared" si="236"/>
        <v>1+0.44858634567459i</v>
      </c>
      <c r="AD275" s="585">
        <f t="shared" si="237"/>
        <v>1.0960062543278131</v>
      </c>
      <c r="AE275" s="586">
        <f t="shared" si="238"/>
        <v>0.42167770832178597</v>
      </c>
      <c r="AF275" s="580" t="str">
        <f t="shared" si="253"/>
        <v>0.71291004500685-0.416768241749933i</v>
      </c>
      <c r="AG275" s="270">
        <f t="shared" si="254"/>
        <v>0.82579446571347248</v>
      </c>
      <c r="AH275" s="581">
        <f t="shared" si="255"/>
        <v>-0.52902008133250156</v>
      </c>
      <c r="AI275" s="582" t="str">
        <f t="shared" si="239"/>
        <v>4000</v>
      </c>
      <c r="AJ275" s="584" t="str">
        <f t="shared" si="256"/>
        <v>1+4860.47783965684i</v>
      </c>
      <c r="AK275" s="585">
        <f t="shared" si="257"/>
        <v>4860.4779425273819</v>
      </c>
      <c r="AL275" s="586">
        <f t="shared" si="258"/>
        <v>1.5705905857095797</v>
      </c>
      <c r="AM275" s="273" t="str">
        <f t="shared" si="259"/>
        <v>1+0.170110770511021i</v>
      </c>
      <c r="AN275" s="585">
        <f t="shared" si="260"/>
        <v>1.0143656511553678</v>
      </c>
      <c r="AO275" s="586">
        <f t="shared" si="261"/>
        <v>0.16849781433802646</v>
      </c>
      <c r="AP275" s="584" t="str">
        <f t="shared" si="262"/>
        <v>1+0.00123071232307751i</v>
      </c>
      <c r="AQ275" s="585">
        <f t="shared" si="263"/>
        <v>1.0000007573261243</v>
      </c>
      <c r="AR275" s="586">
        <f t="shared" si="264"/>
        <v>1.2307117017107769E-3</v>
      </c>
      <c r="AS275" s="580" t="str">
        <f t="shared" si="265"/>
        <v>0.1391514041741-0.823106770649116i</v>
      </c>
      <c r="AT275" s="270">
        <f t="shared" si="266"/>
        <v>0.83478612181327039</v>
      </c>
      <c r="AU275" s="581">
        <f t="shared" si="267"/>
        <v>-1.4033234830732644</v>
      </c>
      <c r="AV275" s="580" t="str">
        <f t="shared" si="268"/>
        <v>-0.0121923923654943-0.161428821251574i</v>
      </c>
      <c r="AW275" s="270">
        <f t="shared" si="269"/>
        <v>-15.815674661175516</v>
      </c>
      <c r="AX275" s="581">
        <f t="shared" si="270"/>
        <v>-94.31923380971206</v>
      </c>
      <c r="AY275" s="299">
        <f t="shared" si="240"/>
        <v>85.68076619028794</v>
      </c>
      <c r="BB275" s="270">
        <f t="shared" si="219"/>
        <v>-41.568495592467457</v>
      </c>
      <c r="BC275" s="270">
        <f t="shared" si="220"/>
        <v>-80.404512871696468</v>
      </c>
      <c r="BD275" s="286"/>
      <c r="BE275" s="270">
        <f t="shared" si="271"/>
        <v>25.752820931291971</v>
      </c>
      <c r="BF275" s="581">
        <f t="shared" si="272"/>
        <v>-13.914720938015574</v>
      </c>
      <c r="BI275" s="286"/>
      <c r="BJ275" s="286"/>
      <c r="BL275" s="253">
        <f t="shared" si="241"/>
        <v>0</v>
      </c>
      <c r="BM275" s="253">
        <f t="shared" si="221"/>
        <v>0</v>
      </c>
      <c r="BN275" s="253">
        <f t="shared" si="242"/>
        <v>0</v>
      </c>
      <c r="BO275" s="253">
        <f t="shared" si="243"/>
        <v>0</v>
      </c>
    </row>
    <row r="276" spans="4:67" ht="13.6" thickBot="1" x14ac:dyDescent="0.25">
      <c r="D276" s="280">
        <v>17681.75</v>
      </c>
      <c r="E276" s="273" t="str">
        <f t="shared" si="222"/>
        <v>0.199975881249401i</v>
      </c>
      <c r="F276" s="579" t="str">
        <f t="shared" si="244"/>
        <v>0.002-0.138478238071976i</v>
      </c>
      <c r="G276" s="270" t="str">
        <f t="shared" si="245"/>
        <v>0.002-0.138478238071976i</v>
      </c>
      <c r="H276" s="271" t="str">
        <f t="shared" si="246"/>
        <v>0.0115118872954696-0.13754362151568i</v>
      </c>
      <c r="I276" s="271" t="str">
        <f t="shared" si="247"/>
        <v>0.0215118872954696-0.13754362151568i</v>
      </c>
      <c r="J276" s="270" t="str">
        <f t="shared" si="248"/>
        <v>0.00588167383327177-0.0693498111773165i</v>
      </c>
      <c r="K276" s="271" t="str">
        <f t="shared" si="223"/>
        <v>0.992105141712015-0.139569989705054i</v>
      </c>
      <c r="L276" s="580"/>
      <c r="M276" s="580" t="str">
        <f t="shared" si="224"/>
        <v>-0.107350776524096-99.5844000674496i</v>
      </c>
      <c r="N276" s="270" t="str">
        <f t="shared" si="225"/>
        <v>-6.74717974905974-74.6883000505872i</v>
      </c>
      <c r="O276" s="581" t="str">
        <f t="shared" si="226"/>
        <v>-5.99628494206433-37.0087158843342i</v>
      </c>
      <c r="P276" s="582" t="str">
        <f t="shared" si="227"/>
        <v>-5.21930421624141+0.0286234215176174i</v>
      </c>
      <c r="Q276" s="583" t="str">
        <f t="shared" si="228"/>
        <v>-5.15934136682076+0.398710580360957i</v>
      </c>
      <c r="R276" s="581" t="str">
        <f t="shared" si="249"/>
        <v>-0.627096125916293-4.42301833496145i</v>
      </c>
      <c r="S276" s="253" t="str">
        <f t="shared" si="250"/>
        <v>51.3284291829316-4.38322035387149i</v>
      </c>
      <c r="T276" s="253" t="str">
        <f t="shared" si="251"/>
        <v>18.8164078589696-4.69930317833183i</v>
      </c>
      <c r="U276" s="253" t="str">
        <f t="shared" si="252"/>
        <v>-0.429746811169858-2.64217472939497i</v>
      </c>
      <c r="V276" s="582" t="str">
        <f t="shared" si="229"/>
        <v>6000</v>
      </c>
      <c r="W276" s="584" t="str">
        <f t="shared" si="230"/>
        <v>1+62224.0508187167i</v>
      </c>
      <c r="X276" s="585">
        <f t="shared" si="231"/>
        <v>62224.05082675218</v>
      </c>
      <c r="Y276" s="586">
        <f t="shared" si="232"/>
        <v>1.5707802558386224</v>
      </c>
      <c r="Z276" s="273" t="str">
        <f t="shared" si="233"/>
        <v>1+9.33220779163874i</v>
      </c>
      <c r="AA276" s="585">
        <f t="shared" si="234"/>
        <v>9.3856327579083789</v>
      </c>
      <c r="AB276" s="586">
        <f t="shared" si="235"/>
        <v>1.4640478785049915</v>
      </c>
      <c r="AC276" s="584" t="str">
        <f t="shared" si="236"/>
        <v>1+0.451169853965i</v>
      </c>
      <c r="AD276" s="585">
        <f t="shared" si="237"/>
        <v>1.0970661954170311</v>
      </c>
      <c r="AE276" s="586">
        <f t="shared" si="238"/>
        <v>0.42382635164489846</v>
      </c>
      <c r="AF276" s="580" t="str">
        <f t="shared" si="253"/>
        <v>0.711533125775412-0.41743357238482i</v>
      </c>
      <c r="AG276" s="270">
        <f t="shared" si="254"/>
        <v>0.82494252916774802</v>
      </c>
      <c r="AH276" s="581">
        <f t="shared" si="255"/>
        <v>-0.53055872897852874</v>
      </c>
      <c r="AI276" s="582" t="str">
        <f t="shared" si="239"/>
        <v>4000</v>
      </c>
      <c r="AJ276" s="584" t="str">
        <f t="shared" si="256"/>
        <v>1+4888.47040990599i</v>
      </c>
      <c r="AK276" s="585">
        <f t="shared" si="257"/>
        <v>4888.4705121874713</v>
      </c>
      <c r="AL276" s="586">
        <f t="shared" si="258"/>
        <v>1.5705917638330293</v>
      </c>
      <c r="AM276" s="273" t="str">
        <f t="shared" si="259"/>
        <v>1+0.171090476180044i</v>
      </c>
      <c r="AN276" s="585">
        <f t="shared" si="260"/>
        <v>1.014530409125086</v>
      </c>
      <c r="AO276" s="586">
        <f t="shared" si="261"/>
        <v>0.1694498124415178</v>
      </c>
      <c r="AP276" s="584" t="str">
        <f t="shared" si="262"/>
        <v>1+0.00123780026839827i</v>
      </c>
      <c r="AQ276" s="585">
        <f t="shared" si="263"/>
        <v>1.0000007660744588</v>
      </c>
      <c r="AR276" s="586">
        <f t="shared" si="264"/>
        <v>1.2377996362338286E-3</v>
      </c>
      <c r="AS276" s="580" t="str">
        <f t="shared" si="265"/>
        <v>0.139149468254338-0.81839542608002i</v>
      </c>
      <c r="AT276" s="270">
        <f t="shared" si="266"/>
        <v>0.8301407398412407</v>
      </c>
      <c r="AU276" s="581">
        <f t="shared" si="267"/>
        <v>-1.4023797510277458</v>
      </c>
      <c r="AV276" s="580" t="str">
        <f t="shared" si="268"/>
        <v>-0.012275950788777-0.160531676654677i</v>
      </c>
      <c r="AW276" s="270">
        <f t="shared" si="269"/>
        <v>-15.86346267933777</v>
      </c>
      <c r="AX276" s="581">
        <f t="shared" si="270"/>
        <v>-94.372930937867793</v>
      </c>
      <c r="AY276" s="299">
        <f t="shared" si="240"/>
        <v>85.627069062132207</v>
      </c>
      <c r="BB276" s="270">
        <f t="shared" si="219"/>
        <v>-41.616965445132344</v>
      </c>
      <c r="BC276" s="270">
        <f t="shared" si="220"/>
        <v>-80.350441008497</v>
      </c>
      <c r="BD276" s="286"/>
      <c r="BE276" s="270">
        <f t="shared" si="271"/>
        <v>25.753502765794558</v>
      </c>
      <c r="BF276" s="581">
        <f t="shared" si="272"/>
        <v>-14.022489929370815</v>
      </c>
      <c r="BI276" s="286"/>
      <c r="BJ276" s="286"/>
      <c r="BL276" s="253">
        <f t="shared" si="241"/>
        <v>0</v>
      </c>
      <c r="BM276" s="253">
        <f t="shared" si="221"/>
        <v>0</v>
      </c>
      <c r="BN276" s="253">
        <f t="shared" si="242"/>
        <v>0</v>
      </c>
      <c r="BO276" s="253">
        <f t="shared" si="243"/>
        <v>0</v>
      </c>
    </row>
    <row r="277" spans="4:67" ht="13.6" thickBot="1" x14ac:dyDescent="0.25">
      <c r="D277" s="280">
        <v>17783</v>
      </c>
      <c r="E277" s="273" t="str">
        <f t="shared" si="222"/>
        <v>0.201120991771634i</v>
      </c>
      <c r="F277" s="579" t="str">
        <f t="shared" si="244"/>
        <v>0.002-0.137689792837494i</v>
      </c>
      <c r="G277" s="270" t="str">
        <f t="shared" si="245"/>
        <v>0.002-0.137689792837494i</v>
      </c>
      <c r="H277" s="271" t="str">
        <f t="shared" si="246"/>
        <v>0.0114043670240701-0.136767892478522i</v>
      </c>
      <c r="I277" s="271" t="str">
        <f t="shared" si="247"/>
        <v>0.0214043670240701-0.136767892478522i</v>
      </c>
      <c r="J277" s="270" t="str">
        <f t="shared" si="248"/>
        <v>0.00585447544268748-0.0689569115849053i</v>
      </c>
      <c r="K277" s="271" t="str">
        <f t="shared" si="223"/>
        <v>0.992014467084165-0.140369201403988i</v>
      </c>
      <c r="L277" s="580"/>
      <c r="M277" s="580" t="str">
        <f t="shared" si="224"/>
        <v>-0.120743850489583-98.7457680416703i</v>
      </c>
      <c r="N277" s="270" t="str">
        <f t="shared" si="225"/>
        <v>-6.75722455453386-74.0593260312527i</v>
      </c>
      <c r="O277" s="581" t="str">
        <f t="shared" si="226"/>
        <v>-5.97931153776904-36.6934002764753i</v>
      </c>
      <c r="P277" s="582" t="str">
        <f t="shared" si="227"/>
        <v>-5.14646240239001+0.0323788306143879i</v>
      </c>
      <c r="Q277" s="583" t="str">
        <f t="shared" si="228"/>
        <v>-5.08666928701232+0.399312833379142i</v>
      </c>
      <c r="R277" s="581" t="str">
        <f t="shared" si="249"/>
        <v>-0.625983346227924-4.38527611503417i</v>
      </c>
      <c r="S277" s="253" t="str">
        <f t="shared" si="250"/>
        <v>51.325064863024-4.44069539991835i</v>
      </c>
      <c r="T277" s="253" t="str">
        <f t="shared" si="251"/>
        <v>18.8090143765149-4.73500487950317i</v>
      </c>
      <c r="U277" s="253" t="str">
        <f t="shared" si="252"/>
        <v>-0.433091734934378-2.62646898938079i</v>
      </c>
      <c r="V277" s="582" t="str">
        <f t="shared" si="229"/>
        <v>6000</v>
      </c>
      <c r="W277" s="584" t="str">
        <f t="shared" si="230"/>
        <v>1+62580.3608641248i</v>
      </c>
      <c r="X277" s="585">
        <f t="shared" si="231"/>
        <v>62580.360872114521</v>
      </c>
      <c r="Y277" s="586">
        <f t="shared" si="232"/>
        <v>1.5707803473408617</v>
      </c>
      <c r="Z277" s="273" t="str">
        <f t="shared" si="233"/>
        <v>1+9.3856462826763i</v>
      </c>
      <c r="AA277" s="585">
        <f t="shared" si="234"/>
        <v>9.4387687832426259</v>
      </c>
      <c r="AB277" s="586">
        <f t="shared" si="235"/>
        <v>1.4646510979156877</v>
      </c>
      <c r="AC277" s="584" t="str">
        <f t="shared" si="236"/>
        <v>1+0.45375336225541i</v>
      </c>
      <c r="AD277" s="585">
        <f t="shared" si="237"/>
        <v>1.0981311915058645</v>
      </c>
      <c r="AE277" s="586">
        <f t="shared" si="238"/>
        <v>0.42597083723246826</v>
      </c>
      <c r="AF277" s="580" t="str">
        <f t="shared" si="253"/>
        <v>0.710153653895838-0.418096953014471i</v>
      </c>
      <c r="AG277" s="270">
        <f t="shared" si="254"/>
        <v>0.82408936060453686</v>
      </c>
      <c r="AH277" s="581">
        <f t="shared" si="255"/>
        <v>-0.53210008665764041</v>
      </c>
      <c r="AI277" s="582" t="str">
        <f t="shared" si="239"/>
        <v>4000</v>
      </c>
      <c r="AJ277" s="584" t="str">
        <f t="shared" si="256"/>
        <v>1+4916.46298015515i</v>
      </c>
      <c r="AK277" s="585">
        <f t="shared" si="257"/>
        <v>4916.4630818542782</v>
      </c>
      <c r="AL277" s="586">
        <f t="shared" si="258"/>
        <v>1.570592928540858</v>
      </c>
      <c r="AM277" s="273" t="str">
        <f t="shared" si="259"/>
        <v>1+0.172070181849066i</v>
      </c>
      <c r="AN277" s="585">
        <f t="shared" si="260"/>
        <v>1.0146960862650307</v>
      </c>
      <c r="AO277" s="586">
        <f t="shared" si="261"/>
        <v>0.17040150052736155</v>
      </c>
      <c r="AP277" s="584" t="str">
        <f t="shared" si="262"/>
        <v>1+0.00124488821371903i</v>
      </c>
      <c r="AQ277" s="585">
        <f t="shared" si="263"/>
        <v>1.000000774873032</v>
      </c>
      <c r="AR277" s="586">
        <f t="shared" si="264"/>
        <v>1.244887570632509E-3</v>
      </c>
      <c r="AS277" s="580" t="str">
        <f t="shared" si="265"/>
        <v>0.139147565252255-0.81373774212144i</v>
      </c>
      <c r="AT277" s="270">
        <f t="shared" si="266"/>
        <v>0.82554900391710839</v>
      </c>
      <c r="AU277" s="581">
        <f t="shared" si="267"/>
        <v>-1.401436315584129</v>
      </c>
      <c r="AV277" s="580" t="str">
        <f t="shared" si="268"/>
        <v>-0.012358236242942-0.159644692907154i</v>
      </c>
      <c r="AW277" s="270">
        <f t="shared" si="269"/>
        <v>-15.910963094737625</v>
      </c>
      <c r="AX277" s="581">
        <f t="shared" si="270"/>
        <v>-94.426488995446604</v>
      </c>
      <c r="AY277" s="299">
        <f t="shared" si="240"/>
        <v>85.573511004553396</v>
      </c>
      <c r="BB277" s="270">
        <f t="shared" si="219"/>
        <v>-41.665142845379677</v>
      </c>
      <c r="BC277" s="270">
        <f t="shared" si="220"/>
        <v>-80.296386139334714</v>
      </c>
      <c r="BD277" s="286"/>
      <c r="BE277" s="270">
        <f t="shared" si="271"/>
        <v>25.75417975064202</v>
      </c>
      <c r="BF277" s="581">
        <f t="shared" si="272"/>
        <v>-14.130102856111925</v>
      </c>
      <c r="BI277" s="286"/>
      <c r="BJ277" s="286"/>
      <c r="BL277" s="253">
        <f t="shared" si="241"/>
        <v>0</v>
      </c>
      <c r="BM277" s="253">
        <f t="shared" si="221"/>
        <v>0</v>
      </c>
      <c r="BN277" s="253">
        <f t="shared" si="242"/>
        <v>0</v>
      </c>
      <c r="BO277" s="253">
        <f t="shared" si="243"/>
        <v>0</v>
      </c>
    </row>
    <row r="278" spans="4:67" ht="13.6" thickBot="1" x14ac:dyDescent="0.25">
      <c r="D278" s="280">
        <v>17886.5</v>
      </c>
      <c r="E278" s="273" t="str">
        <f t="shared" si="222"/>
        <v>0.202291549194362i</v>
      </c>
      <c r="F278" s="579" t="str">
        <f t="shared" si="244"/>
        <v>0.002-0.136893052639094i</v>
      </c>
      <c r="G278" s="270" t="str">
        <f t="shared" si="245"/>
        <v>0.002-0.136893052639094i</v>
      </c>
      <c r="H278" s="271" t="str">
        <f t="shared" si="246"/>
        <v>0.0112963275097198-0.135983874386499i</v>
      </c>
      <c r="I278" s="271" t="str">
        <f t="shared" si="247"/>
        <v>0.0212963275097198-0.135983874386499i</v>
      </c>
      <c r="J278" s="270" t="str">
        <f t="shared" si="248"/>
        <v>0.00582714671588527-0.0685598681490037i</v>
      </c>
      <c r="K278" s="271" t="str">
        <f t="shared" si="223"/>
        <v>0.991921242336052-0.141186173362899i</v>
      </c>
      <c r="L278" s="580"/>
      <c r="M278" s="580" t="str">
        <f t="shared" si="224"/>
        <v>-0.133703907500511-97.9045048094641i</v>
      </c>
      <c r="N278" s="270" t="str">
        <f t="shared" si="225"/>
        <v>-6.76694459729205-73.4283786070981i</v>
      </c>
      <c r="O278" s="581" t="str">
        <f t="shared" si="226"/>
        <v>-5.96218901515711-36.3771015281055i</v>
      </c>
      <c r="P278" s="582" t="str">
        <f t="shared" si="227"/>
        <v>-5.07367193468446+0.0360628941088239i</v>
      </c>
      <c r="Q278" s="583" t="str">
        <f t="shared" si="228"/>
        <v>-5.01405004453289+0.39983390938988i</v>
      </c>
      <c r="R278" s="581" t="str">
        <f t="shared" si="249"/>
        <v>-0.624852414197799-4.34741433720061i</v>
      </c>
      <c r="S278" s="253" t="str">
        <f t="shared" si="250"/>
        <v>51.3215215413621-4.49926050986572i</v>
      </c>
      <c r="T278" s="253" t="str">
        <f t="shared" si="251"/>
        <v>18.8013893845332-4.77143365390405i</v>
      </c>
      <c r="U278" s="253" t="str">
        <f t="shared" si="252"/>
        <v>-0.436451382510547-2.61058544960343i</v>
      </c>
      <c r="V278" s="582" t="str">
        <f t="shared" si="229"/>
        <v>6000</v>
      </c>
      <c r="W278" s="584" t="str">
        <f t="shared" si="230"/>
        <v>1+62944.588910542i</v>
      </c>
      <c r="X278" s="585">
        <f t="shared" si="231"/>
        <v>62944.58891848549</v>
      </c>
      <c r="Y278" s="586">
        <f t="shared" si="232"/>
        <v>1.570780439805765</v>
      </c>
      <c r="Z278" s="273" t="str">
        <f t="shared" si="233"/>
        <v>1+9.44027229573692i</v>
      </c>
      <c r="AA278" s="585">
        <f t="shared" si="234"/>
        <v>9.4930891188094311</v>
      </c>
      <c r="AB278" s="586">
        <f t="shared" si="235"/>
        <v>1.4652607423673178</v>
      </c>
      <c r="AC278" s="584" t="str">
        <f t="shared" si="236"/>
        <v>1+0.456394281841162i</v>
      </c>
      <c r="AD278" s="585">
        <f t="shared" si="237"/>
        <v>1.0992250636231462</v>
      </c>
      <c r="AE278" s="586">
        <f t="shared" si="238"/>
        <v>0.42815867277880371</v>
      </c>
      <c r="AF278" s="580" t="str">
        <f t="shared" si="253"/>
        <v>0.708740951747766-0.418772956312212i</v>
      </c>
      <c r="AG278" s="270">
        <f t="shared" si="254"/>
        <v>0.82321596535951547</v>
      </c>
      <c r="AH278" s="581">
        <f t="shared" si="255"/>
        <v>-0.53367837021725251</v>
      </c>
      <c r="AI278" s="582" t="str">
        <f t="shared" si="239"/>
        <v>4000</v>
      </c>
      <c r="AJ278" s="584" t="str">
        <f t="shared" si="256"/>
        <v>1+4945.07760752095i</v>
      </c>
      <c r="AK278" s="585">
        <f t="shared" si="257"/>
        <v>4945.0777086315966</v>
      </c>
      <c r="AL278" s="586">
        <f t="shared" si="258"/>
        <v>1.5705941055021817</v>
      </c>
      <c r="AM278" s="273" t="str">
        <f t="shared" si="259"/>
        <v>1+0.173071658755177i</v>
      </c>
      <c r="AN278" s="585">
        <f t="shared" si="260"/>
        <v>1.0148663946866447</v>
      </c>
      <c r="AO278" s="586">
        <f t="shared" si="261"/>
        <v>0.17137401517277739</v>
      </c>
      <c r="AP278" s="584" t="str">
        <f t="shared" si="262"/>
        <v>1+0.0012521336689358i</v>
      </c>
      <c r="AQ278" s="585">
        <f t="shared" si="263"/>
        <v>1.0000007839190552</v>
      </c>
      <c r="AR278" s="586">
        <f t="shared" si="264"/>
        <v>1.2521330145551974E-3</v>
      </c>
      <c r="AS278" s="580" t="str">
        <f t="shared" si="265"/>
        <v>0.139145653210114-0.809031067775812i</v>
      </c>
      <c r="AT278" s="270">
        <f t="shared" si="266"/>
        <v>0.82090972794439454</v>
      </c>
      <c r="AU278" s="581">
        <f t="shared" si="267"/>
        <v>-1.4004722233439593</v>
      </c>
      <c r="AV278" s="580" t="str">
        <f t="shared" si="268"/>
        <v>-0.0124410645667086-0.158748323819589i</v>
      </c>
      <c r="AW278" s="270">
        <f t="shared" si="269"/>
        <v>-15.959225043051365</v>
      </c>
      <c r="AX278" s="581">
        <f t="shared" si="270"/>
        <v>-94.481096191218811</v>
      </c>
      <c r="AY278" s="299">
        <f t="shared" si="240"/>
        <v>85.518903808781189</v>
      </c>
      <c r="BB278" s="270">
        <f t="shared" ref="BB278:BB341" si="273">20*LOG10(IMABS(IMPRODUCT(COMPLEX($B$15,0),AS278)))</f>
        <v>-41.714091956542426</v>
      </c>
      <c r="BC278" s="270">
        <f t="shared" ref="BC278:BC341" si="274">180/PI()*IMARGUMENT(IMPRODUCT(COMPLEX($B$15,0),AS278))</f>
        <v>-80.241147722911677</v>
      </c>
      <c r="BD278" s="286"/>
      <c r="BE278" s="270">
        <f t="shared" si="271"/>
        <v>25.754866913491071</v>
      </c>
      <c r="BF278" s="581">
        <f t="shared" si="272"/>
        <v>-14.239948468307144</v>
      </c>
      <c r="BI278" s="286"/>
      <c r="BJ278" s="286"/>
      <c r="BL278" s="253">
        <f t="shared" si="241"/>
        <v>0</v>
      </c>
      <c r="BM278" s="253">
        <f t="shared" si="221"/>
        <v>0</v>
      </c>
      <c r="BN278" s="253">
        <f t="shared" si="242"/>
        <v>0</v>
      </c>
      <c r="BO278" s="253">
        <f t="shared" si="243"/>
        <v>0</v>
      </c>
    </row>
    <row r="279" spans="4:67" ht="13.6" thickBot="1" x14ac:dyDescent="0.25">
      <c r="D279" s="280">
        <v>17990</v>
      </c>
      <c r="E279" s="273" t="str">
        <f t="shared" si="222"/>
        <v>0.203462106617089i</v>
      </c>
      <c r="F279" s="579" t="str">
        <f t="shared" si="244"/>
        <v>0.002-0.13610548004609i</v>
      </c>
      <c r="G279" s="270" t="str">
        <f t="shared" si="245"/>
        <v>0.002-0.13610548004609i</v>
      </c>
      <c r="H279" s="271" t="str">
        <f t="shared" si="246"/>
        <v>0.0111901359049411-0.135208751884644i</v>
      </c>
      <c r="I279" s="271" t="str">
        <f t="shared" si="247"/>
        <v>0.0211901359049411-0.135208751884644i</v>
      </c>
      <c r="J279" s="270" t="str">
        <f t="shared" si="248"/>
        <v>0.00580028636707802-0.0681673832861967i</v>
      </c>
      <c r="K279" s="271" t="str">
        <f t="shared" si="223"/>
        <v>0.991827476578874-0.14200314532181i</v>
      </c>
      <c r="L279" s="580"/>
      <c r="M279" s="580" t="str">
        <f t="shared" si="224"/>
        <v>-0.145963547836318-97.078950652185i</v>
      </c>
      <c r="N279" s="270" t="str">
        <f t="shared" si="225"/>
        <v>-6.77613932754391-72.8092129891388i</v>
      </c>
      <c r="O279" s="581" t="str">
        <f t="shared" si="226"/>
        <v>-5.94529549890003-36.0667145400744i</v>
      </c>
      <c r="P279" s="582" t="str">
        <f t="shared" si="227"/>
        <v>-5.00251707715993+0.0395974012427752i</v>
      </c>
      <c r="Q279" s="583" t="str">
        <f t="shared" si="228"/>
        <v>-4.94306412217093+0.400264546643517i</v>
      </c>
      <c r="R279" s="581" t="str">
        <f t="shared" si="249"/>
        <v>-0.623728600177576-4.31025836195384i</v>
      </c>
      <c r="S279" s="253" t="str">
        <f t="shared" si="250"/>
        <v>51.317874244647-4.55763935477923i</v>
      </c>
      <c r="T279" s="253" t="str">
        <f t="shared" si="251"/>
        <v>18.7936968743136-4.80779619615728i</v>
      </c>
      <c r="U279" s="253" t="str">
        <f t="shared" si="252"/>
        <v>-0.439752100818329-2.59487219051254i</v>
      </c>
      <c r="V279" s="582" t="str">
        <f t="shared" si="229"/>
        <v>6000</v>
      </c>
      <c r="W279" s="584" t="str">
        <f t="shared" si="230"/>
        <v>1+63308.8169569591i</v>
      </c>
      <c r="X279" s="585">
        <f t="shared" si="231"/>
        <v>63308.816964856902</v>
      </c>
      <c r="Y279" s="586">
        <f t="shared" si="232"/>
        <v>1.5707805312067309</v>
      </c>
      <c r="Z279" s="273" t="str">
        <f t="shared" si="233"/>
        <v>1+9.49489830879753i</v>
      </c>
      <c r="AA279" s="585">
        <f t="shared" si="234"/>
        <v>9.5474129424889878</v>
      </c>
      <c r="AB279" s="586">
        <f t="shared" si="235"/>
        <v>1.4658634494090601</v>
      </c>
      <c r="AC279" s="584" t="str">
        <f t="shared" si="236"/>
        <v>1+0.459035201426914i</v>
      </c>
      <c r="AD279" s="585">
        <f t="shared" si="237"/>
        <v>1.1003241868417906</v>
      </c>
      <c r="AE279" s="586">
        <f t="shared" si="238"/>
        <v>0.43034214786406899</v>
      </c>
      <c r="AF279" s="580" t="str">
        <f t="shared" si="253"/>
        <v>0.707325709825584-0.41944671476606i</v>
      </c>
      <c r="AG279" s="270">
        <f t="shared" si="254"/>
        <v>0.82234129551440305</v>
      </c>
      <c r="AH279" s="581">
        <f t="shared" si="255"/>
        <v>-0.53525922966173833</v>
      </c>
      <c r="AI279" s="582" t="str">
        <f t="shared" si="239"/>
        <v>4000</v>
      </c>
      <c r="AJ279" s="584" t="str">
        <f t="shared" si="256"/>
        <v>1+4973.69223488675i</v>
      </c>
      <c r="AK279" s="585">
        <f t="shared" si="257"/>
        <v>4973.692335415687</v>
      </c>
      <c r="AL279" s="586">
        <f t="shared" si="258"/>
        <v>1.570595268920927</v>
      </c>
      <c r="AM279" s="273" t="str">
        <f t="shared" si="259"/>
        <v>1+0.174073135661288i</v>
      </c>
      <c r="AN279" s="585">
        <f t="shared" si="260"/>
        <v>1.015037662630778</v>
      </c>
      <c r="AO279" s="586">
        <f t="shared" si="261"/>
        <v>0.17234620255139799</v>
      </c>
      <c r="AP279" s="584" t="str">
        <f t="shared" si="262"/>
        <v>1+0.00125937912415258i</v>
      </c>
      <c r="AQ279" s="585">
        <f t="shared" si="263"/>
        <v>1.0000007930175747</v>
      </c>
      <c r="AR279" s="586">
        <f t="shared" si="264"/>
        <v>1.2593784583464305E-3</v>
      </c>
      <c r="AS279" s="580" t="str">
        <f t="shared" si="265"/>
        <v>0.139143774016144-0.8043785618524i</v>
      </c>
      <c r="AT279" s="270">
        <f t="shared" si="266"/>
        <v>0.81632460493065562</v>
      </c>
      <c r="AU279" s="581">
        <f t="shared" si="267"/>
        <v>-1.3995084448278747</v>
      </c>
      <c r="AV279" s="580" t="str">
        <f t="shared" si="268"/>
        <v>-0.0125226227913703-0.157862217710841i</v>
      </c>
      <c r="AW279" s="270">
        <f t="shared" si="269"/>
        <v>-16.00719296208888</v>
      </c>
      <c r="AX279" s="581">
        <f t="shared" si="270"/>
        <v>-94.535563487176077</v>
      </c>
      <c r="AY279" s="299">
        <f t="shared" si="240"/>
        <v>85.464436512823923</v>
      </c>
      <c r="BB279" s="270">
        <f t="shared" si="273"/>
        <v>-41.762742263700957</v>
      </c>
      <c r="BC279" s="270">
        <f t="shared" si="274"/>
        <v>-80.18592728155464</v>
      </c>
      <c r="BD279" s="286"/>
      <c r="BE279" s="270">
        <f t="shared" si="271"/>
        <v>25.755549301612074</v>
      </c>
      <c r="BF279" s="581">
        <f t="shared" si="272"/>
        <v>-14.349636205621428</v>
      </c>
      <c r="BI279" s="286"/>
      <c r="BJ279" s="286"/>
      <c r="BL279" s="253">
        <f t="shared" si="241"/>
        <v>0</v>
      </c>
      <c r="BM279" s="253">
        <f t="shared" si="221"/>
        <v>0</v>
      </c>
      <c r="BN279" s="253">
        <f t="shared" si="242"/>
        <v>0</v>
      </c>
      <c r="BO279" s="253">
        <f t="shared" si="243"/>
        <v>0</v>
      </c>
    </row>
    <row r="280" spans="4:67" ht="13.6" thickBot="1" x14ac:dyDescent="0.25">
      <c r="D280" s="280">
        <v>18093.5</v>
      </c>
      <c r="E280" s="273" t="str">
        <f t="shared" si="222"/>
        <v>0.204632664039817i</v>
      </c>
      <c r="F280" s="579" t="str">
        <f t="shared" si="244"/>
        <v>0.002-0.135326917734499i</v>
      </c>
      <c r="G280" s="270" t="str">
        <f t="shared" si="245"/>
        <v>0.002-0.135326917734499i</v>
      </c>
      <c r="H280" s="271" t="str">
        <f t="shared" si="246"/>
        <v>0.0110857503702797-0.134442375145162i</v>
      </c>
      <c r="I280" s="271" t="str">
        <f t="shared" si="247"/>
        <v>0.0210857503702797-0.134442375145162i</v>
      </c>
      <c r="J280" s="270" t="str">
        <f t="shared" si="248"/>
        <v>0.00577388372345159-0.067779379126825i</v>
      </c>
      <c r="K280" s="271" t="str">
        <f t="shared" si="223"/>
        <v>0.991733169812631-0.142820117280721i</v>
      </c>
      <c r="L280" s="580"/>
      <c r="M280" s="580" t="str">
        <f t="shared" si="224"/>
        <v>-0.15755908915556-96.2686489406402i</v>
      </c>
      <c r="N280" s="270" t="str">
        <f t="shared" si="225"/>
        <v>-6.78483598353334-72.2014867054801i</v>
      </c>
      <c r="O280" s="581" t="str">
        <f t="shared" si="226"/>
        <v>-5.92862922645798-35.7620667879783i</v>
      </c>
      <c r="P280" s="582" t="str">
        <f t="shared" si="227"/>
        <v>-4.93294679498276+0.042988981543453i</v>
      </c>
      <c r="Q280" s="583" t="str">
        <f t="shared" si="228"/>
        <v>-4.87366050271817+0.400609649423238i</v>
      </c>
      <c r="R280" s="581" t="str">
        <f t="shared" si="249"/>
        <v>-0.6226123286495-4.27378761949902i</v>
      </c>
      <c r="S280" s="253" t="str">
        <f t="shared" si="250"/>
        <v>51.3141243532496-4.61583484299024i</v>
      </c>
      <c r="T280" s="253" t="str">
        <f t="shared" si="251"/>
        <v>18.785937267845-4.84409328763674i</v>
      </c>
      <c r="U280" s="253" t="str">
        <f t="shared" si="252"/>
        <v>-0.442995195991555-2.57932643457418i</v>
      </c>
      <c r="V280" s="582" t="str">
        <f t="shared" si="229"/>
        <v>6000</v>
      </c>
      <c r="W280" s="584" t="str">
        <f t="shared" si="230"/>
        <v>1+63673.0450033762i</v>
      </c>
      <c r="X280" s="585">
        <f t="shared" si="231"/>
        <v>63673.045011228816</v>
      </c>
      <c r="Y280" s="586">
        <f t="shared" si="232"/>
        <v>1.5707806215620173</v>
      </c>
      <c r="Z280" s="273" t="str">
        <f t="shared" si="233"/>
        <v>1+9.54952432185814i</v>
      </c>
      <c r="AA280" s="585">
        <f t="shared" si="234"/>
        <v>9.6017401950771486</v>
      </c>
      <c r="AB280" s="586">
        <f t="shared" si="235"/>
        <v>1.4664593363561917</v>
      </c>
      <c r="AC280" s="584" t="str">
        <f t="shared" si="236"/>
        <v>1+0.461676121012666i</v>
      </c>
      <c r="AD280" s="585">
        <f t="shared" si="237"/>
        <v>1.1014285454414652</v>
      </c>
      <c r="AE280" s="586">
        <f t="shared" si="238"/>
        <v>0.43252125475378117</v>
      </c>
      <c r="AF280" s="580" t="str">
        <f t="shared" si="253"/>
        <v>0.70590799212543-0.420118128267441i</v>
      </c>
      <c r="AG280" s="270">
        <f t="shared" si="254"/>
        <v>0.82146535839650248</v>
      </c>
      <c r="AH280" s="581">
        <f t="shared" si="255"/>
        <v>-0.53684253995960685</v>
      </c>
      <c r="AI280" s="582" t="str">
        <f t="shared" si="239"/>
        <v>4000</v>
      </c>
      <c r="AJ280" s="584" t="str">
        <f t="shared" si="256"/>
        <v>1+5002.30686225254i</v>
      </c>
      <c r="AK280" s="585">
        <f t="shared" si="257"/>
        <v>5002.3069622064231</v>
      </c>
      <c r="AL280" s="586">
        <f t="shared" si="258"/>
        <v>1.5705964190294963</v>
      </c>
      <c r="AM280" s="273" t="str">
        <f t="shared" si="259"/>
        <v>1+0.175074612567399i</v>
      </c>
      <c r="AN280" s="585">
        <f t="shared" si="260"/>
        <v>1.0152098896118107</v>
      </c>
      <c r="AO280" s="586">
        <f t="shared" si="261"/>
        <v>0.17331806099159963</v>
      </c>
      <c r="AP280" s="584" t="str">
        <f t="shared" si="262"/>
        <v>1+0.00126662457936935i</v>
      </c>
      <c r="AQ280" s="585">
        <f t="shared" si="263"/>
        <v>1.0000008021685909</v>
      </c>
      <c r="AR280" s="586">
        <f t="shared" si="264"/>
        <v>1.2666239020054277E-3</v>
      </c>
      <c r="AS280" s="580" t="str">
        <f t="shared" si="265"/>
        <v>0.139141926920561-0.799779294774708i</v>
      </c>
      <c r="AT280" s="270">
        <f t="shared" si="266"/>
        <v>0.81179270517632518</v>
      </c>
      <c r="AU280" s="581">
        <f t="shared" si="267"/>
        <v>-1.398544981939903</v>
      </c>
      <c r="AV280" s="580" t="str">
        <f t="shared" si="268"/>
        <v>-0.0126029400295228-0.156986201339837i</v>
      </c>
      <c r="AW280" s="270">
        <f t="shared" si="269"/>
        <v>-16.054870055255133</v>
      </c>
      <c r="AX280" s="581">
        <f t="shared" si="270"/>
        <v>-94.589893536222135</v>
      </c>
      <c r="AY280" s="299">
        <f t="shared" si="240"/>
        <v>85.410106463777865</v>
      </c>
      <c r="BB280" s="270">
        <f t="shared" si="273"/>
        <v>-41.811097112010607</v>
      </c>
      <c r="BC280" s="270">
        <f t="shared" si="274"/>
        <v>-80.130724924356386</v>
      </c>
      <c r="BD280" s="286"/>
      <c r="BE280" s="270">
        <f t="shared" si="271"/>
        <v>25.756227056755478</v>
      </c>
      <c r="BF280" s="581">
        <f t="shared" si="272"/>
        <v>-14.459168611865749</v>
      </c>
      <c r="BI280" s="286"/>
      <c r="BJ280" s="286"/>
      <c r="BL280" s="253">
        <f t="shared" si="241"/>
        <v>0</v>
      </c>
      <c r="BM280" s="253">
        <f t="shared" si="221"/>
        <v>0</v>
      </c>
      <c r="BN280" s="253">
        <f t="shared" si="242"/>
        <v>0</v>
      </c>
      <c r="BO280" s="253">
        <f t="shared" si="243"/>
        <v>0</v>
      </c>
    </row>
    <row r="281" spans="4:67" ht="13.6" thickBot="1" x14ac:dyDescent="0.25">
      <c r="D281" s="280">
        <v>18197</v>
      </c>
      <c r="E281" s="273" t="str">
        <f t="shared" si="222"/>
        <v>0.205803221462544i</v>
      </c>
      <c r="F281" s="579" t="str">
        <f t="shared" si="244"/>
        <v>0.002-0.134557211959617i</v>
      </c>
      <c r="G281" s="270" t="str">
        <f t="shared" si="245"/>
        <v>0.002-0.134557211959617i</v>
      </c>
      <c r="H281" s="271" t="str">
        <f t="shared" si="246"/>
        <v>0.0109831302419653-0.133684597669973i</v>
      </c>
      <c r="I281" s="271" t="str">
        <f t="shared" si="247"/>
        <v>0.0209831302419653-0.133684597669973i</v>
      </c>
      <c r="J281" s="270" t="str">
        <f t="shared" si="248"/>
        <v>0.00574792841416165-0.0673957795626976i</v>
      </c>
      <c r="K281" s="271" t="str">
        <f t="shared" si="223"/>
        <v>0.991638322037322-0.143637089239632i</v>
      </c>
      <c r="L281" s="580"/>
      <c r="M281" s="580" t="str">
        <f t="shared" si="224"/>
        <v>-0.168524766624558-95.473160907597i</v>
      </c>
      <c r="N281" s="270" t="str">
        <f t="shared" si="225"/>
        <v>-6.79306024163509-71.6048706806978i</v>
      </c>
      <c r="O281" s="581" t="str">
        <f t="shared" si="226"/>
        <v>-5.91218827338303-35.4629925217124i</v>
      </c>
      <c r="P281" s="582" t="str">
        <f t="shared" si="227"/>
        <v>-4.86491210399378+0.0462439198234105i</v>
      </c>
      <c r="Q281" s="583" t="str">
        <f t="shared" si="228"/>
        <v>-4.80579022125997+0.400873845040534i</v>
      </c>
      <c r="R281" s="581" t="str">
        <f t="shared" si="249"/>
        <v>-0.621503979179455-4.23798234667609i</v>
      </c>
      <c r="S281" s="253" t="str">
        <f t="shared" si="250"/>
        <v>51.3102732091916-4.67384981994714i</v>
      </c>
      <c r="T281" s="253" t="str">
        <f t="shared" si="251"/>
        <v>18.7781109760353-4.88032569137335i</v>
      </c>
      <c r="U281" s="253" t="str">
        <f t="shared" si="252"/>
        <v>-0.446181938001806-2.56394546352493i</v>
      </c>
      <c r="V281" s="582" t="str">
        <f t="shared" si="229"/>
        <v>6000</v>
      </c>
      <c r="W281" s="584" t="str">
        <f t="shared" si="230"/>
        <v>1+64037.2730497934i</v>
      </c>
      <c r="X281" s="585">
        <f t="shared" si="231"/>
        <v>64037.273057601356</v>
      </c>
      <c r="Y281" s="586">
        <f t="shared" si="232"/>
        <v>1.5707807108894669</v>
      </c>
      <c r="Z281" s="273" t="str">
        <f t="shared" si="233"/>
        <v>1+9.60415033491875i</v>
      </c>
      <c r="AA281" s="585">
        <f t="shared" si="234"/>
        <v>9.6560708186984581</v>
      </c>
      <c r="AB281" s="586">
        <f t="shared" si="235"/>
        <v>1.4670485179032817</v>
      </c>
      <c r="AC281" s="584" t="str">
        <f t="shared" si="236"/>
        <v>1+0.464317040598418i</v>
      </c>
      <c r="AD281" s="585">
        <f t="shared" si="237"/>
        <v>1.102538123690094</v>
      </c>
      <c r="AE281" s="586">
        <f t="shared" si="238"/>
        <v>0.43469598591031089</v>
      </c>
      <c r="AF281" s="580" t="str">
        <f t="shared" si="253"/>
        <v>0.704487862303518-0.420787099717932i</v>
      </c>
      <c r="AG281" s="270">
        <f t="shared" si="254"/>
        <v>0.82058816188268857</v>
      </c>
      <c r="AH281" s="581">
        <f t="shared" si="255"/>
        <v>-0.5384281788964943</v>
      </c>
      <c r="AI281" s="582" t="str">
        <f t="shared" si="239"/>
        <v>4000</v>
      </c>
      <c r="AJ281" s="584" t="str">
        <f t="shared" si="256"/>
        <v>1+5030.92148961834i</v>
      </c>
      <c r="AK281" s="585">
        <f t="shared" si="257"/>
        <v>5030.9215890037112</v>
      </c>
      <c r="AL281" s="586">
        <f t="shared" si="258"/>
        <v>1.5705975560550045</v>
      </c>
      <c r="AM281" s="273" t="str">
        <f t="shared" si="259"/>
        <v>1+0.17607608947351i</v>
      </c>
      <c r="AN281" s="585">
        <f t="shared" si="260"/>
        <v>1.0153830751417336</v>
      </c>
      <c r="AO281" s="586">
        <f t="shared" si="261"/>
        <v>0.17428958882537499</v>
      </c>
      <c r="AP281" s="584" t="str">
        <f t="shared" si="262"/>
        <v>1+0.00127387003458613i</v>
      </c>
      <c r="AQ281" s="585">
        <f t="shared" si="263"/>
        <v>1.0000008113721033</v>
      </c>
      <c r="AR281" s="586">
        <f t="shared" si="264"/>
        <v>1.2738693455314485E-3</v>
      </c>
      <c r="AS281" s="580" t="str">
        <f t="shared" si="265"/>
        <v>0.139140111194846-0.79523235811502i</v>
      </c>
      <c r="AT281" s="270">
        <f t="shared" si="266"/>
        <v>0.80731312013151979</v>
      </c>
      <c r="AU281" s="581">
        <f t="shared" si="267"/>
        <v>-1.3975818365751613</v>
      </c>
      <c r="AV281" s="580" t="str">
        <f t="shared" si="268"/>
        <v>-0.0126820445868543-0.156120105317828i</v>
      </c>
      <c r="AW281" s="270">
        <f t="shared" si="269"/>
        <v>-16.102259472933923</v>
      </c>
      <c r="AX281" s="581">
        <f t="shared" si="270"/>
        <v>-94.644088934811052</v>
      </c>
      <c r="AY281" s="299">
        <f t="shared" si="240"/>
        <v>85.355911065188948</v>
      </c>
      <c r="BB281" s="270">
        <f t="shared" si="273"/>
        <v>-41.859159789563172</v>
      </c>
      <c r="BC281" s="270">
        <f t="shared" si="274"/>
        <v>-80.075540759899098</v>
      </c>
      <c r="BD281" s="286"/>
      <c r="BE281" s="270">
        <f t="shared" si="271"/>
        <v>25.756900316629277</v>
      </c>
      <c r="BF281" s="581">
        <f t="shared" si="272"/>
        <v>-14.568548174911964</v>
      </c>
      <c r="BI281" s="286"/>
      <c r="BJ281" s="286"/>
      <c r="BL281" s="253">
        <f t="shared" si="241"/>
        <v>0</v>
      </c>
      <c r="BM281" s="253">
        <f t="shared" si="221"/>
        <v>0</v>
      </c>
      <c r="BN281" s="253">
        <f t="shared" si="242"/>
        <v>0</v>
      </c>
      <c r="BO281" s="253">
        <f t="shared" si="243"/>
        <v>0</v>
      </c>
    </row>
    <row r="282" spans="4:67" ht="13.6" thickBot="1" x14ac:dyDescent="0.25">
      <c r="D282" s="280">
        <v>18303</v>
      </c>
      <c r="E282" s="273" t="str">
        <f t="shared" si="222"/>
        <v>0.207002053219154i</v>
      </c>
      <c r="F282" s="579" t="str">
        <f t="shared" si="244"/>
        <v>0.002-0.133777937279635i</v>
      </c>
      <c r="G282" s="270" t="str">
        <f t="shared" si="245"/>
        <v>0.002-0.133777937279635i</v>
      </c>
      <c r="H282" s="271" t="str">
        <f t="shared" si="246"/>
        <v>0.0108798199579061-0.1329172800636i</v>
      </c>
      <c r="I282" s="271" t="str">
        <f t="shared" si="247"/>
        <v>0.0208798199579061-0.1329172800636i</v>
      </c>
      <c r="J282" s="270" t="str">
        <f t="shared" si="248"/>
        <v>0.00572179930811923-0.0670074020518256i</v>
      </c>
      <c r="K282" s="271" t="str">
        <f t="shared" si="223"/>
        <v>0.991540622484281-0.144473794820739i</v>
      </c>
      <c r="L282" s="580"/>
      <c r="M282" s="580" t="str">
        <f t="shared" si="224"/>
        <v>-0.179136170921919-94.6733723173098i</v>
      </c>
      <c r="N282" s="270" t="str">
        <f t="shared" si="225"/>
        <v>-6.80101879485811-71.0050292379823i</v>
      </c>
      <c r="O282" s="581" t="str">
        <f t="shared" si="226"/>
        <v>-5.89558158468858-35.1623048727319i</v>
      </c>
      <c r="P282" s="582" t="str">
        <f t="shared" si="227"/>
        <v>-4.79677660648604+0.0494420735822069i</v>
      </c>
      <c r="Q282" s="583" t="str">
        <f t="shared" si="228"/>
        <v>-4.73782079063915+0.401065122309527i</v>
      </c>
      <c r="R282" s="581" t="str">
        <f t="shared" si="249"/>
        <v>-0.620377422605816-4.201982143542i</v>
      </c>
      <c r="S282" s="253" t="str">
        <f t="shared" si="250"/>
        <v>51.3062254548166-4.73308192942667i</v>
      </c>
      <c r="T282" s="253" t="str">
        <f t="shared" si="251"/>
        <v>18.7700269405138-4.91736700206329i</v>
      </c>
      <c r="U282" s="253" t="str">
        <f t="shared" si="252"/>
        <v>-0.449388533270915-2.54836099530299i</v>
      </c>
      <c r="V282" s="582" t="str">
        <f t="shared" si="229"/>
        <v>6000</v>
      </c>
      <c r="W282" s="584" t="str">
        <f t="shared" si="230"/>
        <v>1+64410.2988751095i</v>
      </c>
      <c r="X282" s="585">
        <f t="shared" si="231"/>
        <v>64410.298882872237</v>
      </c>
      <c r="Y282" s="586">
        <f t="shared" si="232"/>
        <v>1.5707808013274267</v>
      </c>
      <c r="Z282" s="273" t="str">
        <f t="shared" si="233"/>
        <v>1+9.66009581689388i</v>
      </c>
      <c r="AA282" s="585">
        <f t="shared" si="234"/>
        <v>9.7117172112644763</v>
      </c>
      <c r="AB282" s="586">
        <f t="shared" si="235"/>
        <v>1.4676450977458397</v>
      </c>
      <c r="AC282" s="584" t="str">
        <f t="shared" si="236"/>
        <v>1+0.467021750512329i</v>
      </c>
      <c r="AD282" s="585">
        <f t="shared" si="237"/>
        <v>1.1036798971855926</v>
      </c>
      <c r="AE282" s="586">
        <f t="shared" si="238"/>
        <v>0.43691870358416063</v>
      </c>
      <c r="AF282" s="580" t="str">
        <f t="shared" si="253"/>
        <v>0.703030995758682-0.421469600283687i</v>
      </c>
      <c r="AG282" s="270">
        <f t="shared" si="254"/>
        <v>0.81968848043676623</v>
      </c>
      <c r="AH282" s="581">
        <f t="shared" si="255"/>
        <v>-0.5400544071657466</v>
      </c>
      <c r="AI282" s="582" t="str">
        <f t="shared" si="239"/>
        <v>4000</v>
      </c>
      <c r="AJ282" s="584" t="str">
        <f t="shared" si="256"/>
        <v>1+5060.2272915582i</v>
      </c>
      <c r="AK282" s="585">
        <f t="shared" si="257"/>
        <v>5060.2273903679898</v>
      </c>
      <c r="AL282" s="586">
        <f t="shared" si="258"/>
        <v>1.5705987072159004</v>
      </c>
      <c r="AM282" s="273" t="str">
        <f t="shared" si="259"/>
        <v>1+0.177101756643054i</v>
      </c>
      <c r="AN282" s="585">
        <f t="shared" si="260"/>
        <v>1.0155614369431598</v>
      </c>
      <c r="AO282" s="586">
        <f t="shared" si="261"/>
        <v>0.1752842390946413</v>
      </c>
      <c r="AP282" s="584" t="str">
        <f t="shared" si="262"/>
        <v>1+0.00128129050079847i</v>
      </c>
      <c r="AQ282" s="585">
        <f t="shared" si="263"/>
        <v>1.0000008208523368</v>
      </c>
      <c r="AR282" s="586">
        <f t="shared" si="264"/>
        <v>1.2812897996320051E-3</v>
      </c>
      <c r="AS282" s="580" t="str">
        <f t="shared" si="265"/>
        <v>0.139138283387011-0.790628906192424i</v>
      </c>
      <c r="AT282" s="270">
        <f t="shared" si="266"/>
        <v>0.80277863026547547</v>
      </c>
      <c r="AU282" s="581">
        <f t="shared" si="267"/>
        <v>-1.396595757920891</v>
      </c>
      <c r="AV282" s="580" t="str">
        <f t="shared" si="268"/>
        <v>-0.0127618316655698-0.155243198726318i</v>
      </c>
      <c r="AW282" s="270">
        <f t="shared" si="269"/>
        <v>-16.15049861733554</v>
      </c>
      <c r="AX282" s="581">
        <f t="shared" si="270"/>
        <v>-94.699456487836443</v>
      </c>
      <c r="AY282" s="299">
        <f t="shared" si="240"/>
        <v>85.300543512163557</v>
      </c>
      <c r="BB282" s="270">
        <f t="shared" si="273"/>
        <v>-41.908083936478988</v>
      </c>
      <c r="BC282" s="270">
        <f t="shared" si="274"/>
        <v>-80.01904261474148</v>
      </c>
      <c r="BD282" s="286"/>
      <c r="BE282" s="270">
        <f t="shared" si="271"/>
        <v>25.757585319143438</v>
      </c>
      <c r="BF282" s="581">
        <f t="shared" si="272"/>
        <v>-14.680413873094979</v>
      </c>
      <c r="BI282" s="286"/>
      <c r="BJ282" s="286"/>
      <c r="BL282" s="253">
        <f t="shared" si="241"/>
        <v>0</v>
      </c>
      <c r="BM282" s="253">
        <f t="shared" ref="BM282:BM345" si="275">IF(BL282&gt;0,AY282,0)</f>
        <v>0</v>
      </c>
      <c r="BN282" s="253">
        <f t="shared" si="242"/>
        <v>0</v>
      </c>
      <c r="BO282" s="253">
        <f t="shared" si="243"/>
        <v>0</v>
      </c>
    </row>
    <row r="283" spans="4:67" ht="13.6" thickBot="1" x14ac:dyDescent="0.25">
      <c r="D283" s="280">
        <v>18409</v>
      </c>
      <c r="E283" s="273" t="str">
        <f t="shared" si="222"/>
        <v>0.208200884975764i</v>
      </c>
      <c r="F283" s="579" t="str">
        <f t="shared" si="244"/>
        <v>0.002-0.133007636809667i</v>
      </c>
      <c r="G283" s="270" t="str">
        <f t="shared" si="245"/>
        <v>0.002-0.133007636809667i</v>
      </c>
      <c r="H283" s="271" t="str">
        <f t="shared" si="246"/>
        <v>0.0107782786724804-0.132158681440675i</v>
      </c>
      <c r="I283" s="271" t="str">
        <f t="shared" si="247"/>
        <v>0.0207782786724804-0.132158681440675i</v>
      </c>
      <c r="J283" s="270" t="str">
        <f t="shared" si="248"/>
        <v>0.00569611831634557-0.066623488352104i</v>
      </c>
      <c r="K283" s="271" t="str">
        <f t="shared" si="223"/>
        <v>0.991442355470821-0.145310500401845i</v>
      </c>
      <c r="L283" s="580"/>
      <c r="M283" s="580" t="str">
        <f t="shared" si="224"/>
        <v>-0.189153476448357-93.8882438431024i</v>
      </c>
      <c r="N283" s="270" t="str">
        <f t="shared" si="225"/>
        <v>-6.80853177400294-70.4161828823268i</v>
      </c>
      <c r="O283" s="581" t="str">
        <f t="shared" si="226"/>
        <v>-5.87920670932966-34.8671316707603i</v>
      </c>
      <c r="P283" s="582" t="str">
        <f t="shared" si="227"/>
        <v>-4.73015394260564+0.0525092282570537i</v>
      </c>
      <c r="Q283" s="583" t="str">
        <f t="shared" si="228"/>
        <v>-4.67136187551235+0.401180544964656i</v>
      </c>
      <c r="R283" s="581" t="str">
        <f t="shared" si="249"/>
        <v>-0.619259852277562-4.16664041230379i</v>
      </c>
      <c r="S283" s="253" t="str">
        <f t="shared" si="250"/>
        <v>51.302074228669-4.79213054810053i</v>
      </c>
      <c r="T283" s="253" t="str">
        <f t="shared" si="251"/>
        <v>18.7618737975869-4.95434202535131i</v>
      </c>
      <c r="U283" s="253" t="str">
        <f t="shared" si="252"/>
        <v>-0.452538605268252-2.53294378143344i</v>
      </c>
      <c r="V283" s="582" t="str">
        <f t="shared" si="229"/>
        <v>6000</v>
      </c>
      <c r="W283" s="584" t="str">
        <f t="shared" si="230"/>
        <v>1+64783.3247004257i</v>
      </c>
      <c r="X283" s="585">
        <f t="shared" si="231"/>
        <v>64783.324708143744</v>
      </c>
      <c r="Y283" s="586">
        <f t="shared" si="232"/>
        <v>1.5707808907238932</v>
      </c>
      <c r="Z283" s="273" t="str">
        <f t="shared" si="233"/>
        <v>1+9.716041298869i</v>
      </c>
      <c r="AA283" s="585">
        <f t="shared" si="234"/>
        <v>9.7673670209185843</v>
      </c>
      <c r="AB283" s="586">
        <f t="shared" si="235"/>
        <v>1.468234879740175</v>
      </c>
      <c r="AC283" s="584" t="str">
        <f t="shared" si="236"/>
        <v>1+0.46972646042624i</v>
      </c>
      <c r="AD283" s="585">
        <f t="shared" si="237"/>
        <v>1.104827112096985</v>
      </c>
      <c r="AE283" s="586">
        <f t="shared" si="238"/>
        <v>0.43913681620869155</v>
      </c>
      <c r="AF283" s="580" t="str">
        <f t="shared" si="253"/>
        <v>0.701571733197378-0.422149342596037i</v>
      </c>
      <c r="AG283" s="270">
        <f t="shared" si="254"/>
        <v>0.81878749640907389</v>
      </c>
      <c r="AH283" s="581">
        <f t="shared" si="255"/>
        <v>-0.54168282719240923</v>
      </c>
      <c r="AI283" s="582" t="str">
        <f t="shared" si="239"/>
        <v>4000</v>
      </c>
      <c r="AJ283" s="584" t="str">
        <f t="shared" si="256"/>
        <v>1+5089.53309349805i</v>
      </c>
      <c r="AK283" s="585">
        <f t="shared" si="257"/>
        <v>5089.5331917388885</v>
      </c>
      <c r="AL283" s="586">
        <f t="shared" si="258"/>
        <v>1.5705998451199059</v>
      </c>
      <c r="AM283" s="273" t="str">
        <f t="shared" si="259"/>
        <v>1+0.178127423812598i</v>
      </c>
      <c r="AN283" s="585">
        <f t="shared" si="260"/>
        <v>1.0157408031156929</v>
      </c>
      <c r="AO283" s="586">
        <f t="shared" si="261"/>
        <v>0.17627853906357333</v>
      </c>
      <c r="AP283" s="584" t="str">
        <f t="shared" si="262"/>
        <v>1+0.00128871096701082i</v>
      </c>
      <c r="AQ283" s="585">
        <f t="shared" si="263"/>
        <v>1.0000008303876335</v>
      </c>
      <c r="AR283" s="586">
        <f t="shared" si="264"/>
        <v>1.2887102535914679E-3</v>
      </c>
      <c r="AS283" s="580" t="str">
        <f t="shared" si="265"/>
        <v>0.139136487001334-0.786078479981724i</v>
      </c>
      <c r="AT283" s="270">
        <f t="shared" si="266"/>
        <v>0.79829714937825635</v>
      </c>
      <c r="AU283" s="581">
        <f t="shared" si="267"/>
        <v>-1.3956100163099245</v>
      </c>
      <c r="AV283" s="580" t="str">
        <f t="shared" si="268"/>
        <v>-0.0128404043883911-0.154376349812265i</v>
      </c>
      <c r="AW283" s="270">
        <f t="shared" si="269"/>
        <v>-16.198442544227809</v>
      </c>
      <c r="AX283" s="581">
        <f t="shared" si="270"/>
        <v>-94.754688144594525</v>
      </c>
      <c r="AY283" s="299">
        <f t="shared" si="240"/>
        <v>85.245311855405475</v>
      </c>
      <c r="BB283" s="270">
        <f t="shared" si="273"/>
        <v>-41.95670843077599</v>
      </c>
      <c r="BC283" s="270">
        <f t="shared" si="274"/>
        <v>-79.962563780742641</v>
      </c>
      <c r="BD283" s="286"/>
      <c r="BE283" s="270">
        <f t="shared" si="271"/>
        <v>25.75826588654818</v>
      </c>
      <c r="BF283" s="581">
        <f t="shared" si="272"/>
        <v>-14.792124363851894</v>
      </c>
      <c r="BI283" s="286"/>
      <c r="BJ283" s="286"/>
      <c r="BL283" s="253">
        <f t="shared" si="241"/>
        <v>0</v>
      </c>
      <c r="BM283" s="253">
        <f t="shared" si="275"/>
        <v>0</v>
      </c>
      <c r="BN283" s="253">
        <f t="shared" si="242"/>
        <v>0</v>
      </c>
      <c r="BO283" s="253">
        <f t="shared" si="243"/>
        <v>0</v>
      </c>
    </row>
    <row r="284" spans="4:67" ht="13.6" thickBot="1" x14ac:dyDescent="0.25">
      <c r="D284" s="280">
        <v>18515</v>
      </c>
      <c r="E284" s="273" t="str">
        <f t="shared" si="222"/>
        <v>0.209399716732374i</v>
      </c>
      <c r="F284" s="579" t="str">
        <f t="shared" si="244"/>
        <v>0.002-0.132246156415294i</v>
      </c>
      <c r="G284" s="270" t="str">
        <f t="shared" si="245"/>
        <v>0.002-0.132246156415294i</v>
      </c>
      <c r="H284" s="271" t="str">
        <f t="shared" si="246"/>
        <v>0.0106784662855551-0.131408654699257i</v>
      </c>
      <c r="I284" s="271" t="str">
        <f t="shared" si="247"/>
        <v>0.0206784662855551-0.131408654699257i</v>
      </c>
      <c r="J284" s="270" t="str">
        <f t="shared" si="248"/>
        <v>0.00567087521771612-0.0662439621325798i</v>
      </c>
      <c r="K284" s="271" t="str">
        <f t="shared" si="223"/>
        <v>0.991343520996945-0.146147205982952i</v>
      </c>
      <c r="L284" s="580"/>
      <c r="M284" s="580" t="str">
        <f t="shared" si="224"/>
        <v>-0.198607510266916-93.1173568922944i</v>
      </c>
      <c r="N284" s="270" t="str">
        <f t="shared" si="225"/>
        <v>-6.81562229936686-69.8380176692208i</v>
      </c>
      <c r="O284" s="581" t="str">
        <f t="shared" si="226"/>
        <v>-5.86306117478858-34.577314858378i</v>
      </c>
      <c r="P284" s="582" t="str">
        <f t="shared" si="227"/>
        <v>-4.66499754148509+0.0554511418544199i</v>
      </c>
      <c r="Q284" s="583" t="str">
        <f t="shared" si="228"/>
        <v>-4.60636692973721+0.4012242904382i</v>
      </c>
      <c r="R284" s="581" t="str">
        <f t="shared" si="249"/>
        <v>-0.618151552101739-4.13193830410123i</v>
      </c>
      <c r="S284" s="253" t="str">
        <f t="shared" si="250"/>
        <v>51.297820855409-4.85099853811474i</v>
      </c>
      <c r="T284" s="253" t="str">
        <f t="shared" si="251"/>
        <v>18.7536519548828-4.99125152417015i</v>
      </c>
      <c r="U284" s="253" t="str">
        <f t="shared" si="252"/>
        <v>-0.455633407925565-2.51769108521282i</v>
      </c>
      <c r="V284" s="582" t="str">
        <f t="shared" si="229"/>
        <v>6000</v>
      </c>
      <c r="W284" s="584" t="str">
        <f t="shared" si="230"/>
        <v>1+65156.3505257418i</v>
      </c>
      <c r="X284" s="585">
        <f t="shared" si="231"/>
        <v>65156.350533415658</v>
      </c>
      <c r="Y284" s="586">
        <f t="shared" si="232"/>
        <v>1.5707809790967544</v>
      </c>
      <c r="Z284" s="273" t="str">
        <f t="shared" si="233"/>
        <v>1+9.77198678084413i</v>
      </c>
      <c r="AA284" s="585">
        <f t="shared" si="234"/>
        <v>9.8230201895848932</v>
      </c>
      <c r="AB284" s="586">
        <f t="shared" si="235"/>
        <v>1.4688179790138458</v>
      </c>
      <c r="AC284" s="584" t="str">
        <f t="shared" si="236"/>
        <v>1+0.47243117034015i</v>
      </c>
      <c r="AD284" s="585">
        <f t="shared" si="237"/>
        <v>1.1059797514913932</v>
      </c>
      <c r="AE284" s="586">
        <f t="shared" si="238"/>
        <v>0.44135031632182303</v>
      </c>
      <c r="AF284" s="580" t="str">
        <f t="shared" si="253"/>
        <v>0.700110141866862-0.422826231671675i</v>
      </c>
      <c r="AG284" s="270">
        <f t="shared" si="254"/>
        <v>0.81788521990222229</v>
      </c>
      <c r="AH284" s="581">
        <f t="shared" si="255"/>
        <v>-0.54331331640473202</v>
      </c>
      <c r="AI284" s="582" t="str">
        <f t="shared" si="239"/>
        <v>4000</v>
      </c>
      <c r="AJ284" s="584" t="str">
        <f t="shared" si="256"/>
        <v>1+5118.8388954379i</v>
      </c>
      <c r="AK284" s="585">
        <f t="shared" si="257"/>
        <v>5118.838993116301</v>
      </c>
      <c r="AL284" s="586">
        <f t="shared" si="258"/>
        <v>1.570600969994711</v>
      </c>
      <c r="AM284" s="273" t="str">
        <f t="shared" si="259"/>
        <v>1+0.179153090982142i</v>
      </c>
      <c r="AN284" s="585">
        <f t="shared" si="260"/>
        <v>1.0159211731273523</v>
      </c>
      <c r="AO284" s="586">
        <f t="shared" si="261"/>
        <v>0.17727248695224163</v>
      </c>
      <c r="AP284" s="584" t="str">
        <f t="shared" si="262"/>
        <v>1+0.00129613143322317i</v>
      </c>
      <c r="AQ284" s="585">
        <f t="shared" si="263"/>
        <v>1.0000008399779934</v>
      </c>
      <c r="AR284" s="586">
        <f t="shared" si="264"/>
        <v>1.29613070740901E-3</v>
      </c>
      <c r="AS284" s="580" t="str">
        <f t="shared" si="265"/>
        <v>0.139134721319951-0.781580168752488i</v>
      </c>
      <c r="AT284" s="270">
        <f t="shared" si="266"/>
        <v>0.79386776661100689</v>
      </c>
      <c r="AU284" s="581">
        <f t="shared" si="267"/>
        <v>-1.3946246137498788</v>
      </c>
      <c r="AV284" s="580" t="str">
        <f t="shared" si="268"/>
        <v>-0.0129177907007305-0.153519388494759i</v>
      </c>
      <c r="AW284" s="270">
        <f t="shared" si="269"/>
        <v>-16.246094472422694</v>
      </c>
      <c r="AX284" s="581">
        <f t="shared" si="270"/>
        <v>-94.809786519903128</v>
      </c>
      <c r="AY284" s="299">
        <f t="shared" si="240"/>
        <v>85.190213480096872</v>
      </c>
      <c r="BB284" s="270">
        <f t="shared" si="273"/>
        <v>-42.005036626867785</v>
      </c>
      <c r="BC284" s="270">
        <f t="shared" si="274"/>
        <v>-79.906104372930656</v>
      </c>
      <c r="BD284" s="286"/>
      <c r="BE284" s="270">
        <f t="shared" si="271"/>
        <v>25.758942154445105</v>
      </c>
      <c r="BF284" s="581">
        <f t="shared" si="272"/>
        <v>-14.903682146972459</v>
      </c>
      <c r="BI284" s="286"/>
      <c r="BJ284" s="286"/>
      <c r="BL284" s="253">
        <f t="shared" si="241"/>
        <v>0</v>
      </c>
      <c r="BM284" s="253">
        <f t="shared" si="275"/>
        <v>0</v>
      </c>
      <c r="BN284" s="253">
        <f t="shared" si="242"/>
        <v>0</v>
      </c>
      <c r="BO284" s="253">
        <f t="shared" si="243"/>
        <v>0</v>
      </c>
    </row>
    <row r="285" spans="4:67" ht="13.6" thickBot="1" x14ac:dyDescent="0.25">
      <c r="D285" s="280">
        <v>18621</v>
      </c>
      <c r="E285" s="273" t="str">
        <f t="shared" si="222"/>
        <v>0.210598548488984i</v>
      </c>
      <c r="F285" s="579" t="str">
        <f t="shared" si="244"/>
        <v>0.002-0.131493345471734i</v>
      </c>
      <c r="G285" s="270" t="str">
        <f t="shared" si="245"/>
        <v>0.002-0.131493345471734i</v>
      </c>
      <c r="H285" s="271" t="str">
        <f t="shared" si="246"/>
        <v>0.0105803438252084-0.130667056012812i</v>
      </c>
      <c r="I285" s="271" t="str">
        <f t="shared" si="247"/>
        <v>0.0205803438252084-0.130667056012812i</v>
      </c>
      <c r="J285" s="270" t="str">
        <f t="shared" si="248"/>
        <v>0.00564606008056645-0.065868748790849i</v>
      </c>
      <c r="K285" s="271" t="str">
        <f t="shared" si="223"/>
        <v>0.99124411906265-0.146983911564059i</v>
      </c>
      <c r="L285" s="580"/>
      <c r="M285" s="580" t="str">
        <f t="shared" si="224"/>
        <v>-0.207527344465969-92.3603089728941i</v>
      </c>
      <c r="N285" s="270" t="str">
        <f t="shared" si="225"/>
        <v>-6.82231217501615-69.2702317296706i</v>
      </c>
      <c r="O285" s="581" t="str">
        <f t="shared" si="226"/>
        <v>-5.84714240708773-34.2927024799726i</v>
      </c>
      <c r="P285" s="582" t="str">
        <f t="shared" si="227"/>
        <v>-4.60126267691409+0.0582732766884088i</v>
      </c>
      <c r="Q285" s="583" t="str">
        <f t="shared" si="228"/>
        <v>-4.54279125284322+0.401200301488134i</v>
      </c>
      <c r="R285" s="581" t="str">
        <f t="shared" si="249"/>
        <v>-0.617052770870328-4.09785769681776i</v>
      </c>
      <c r="S285" s="253" t="str">
        <f t="shared" si="250"/>
        <v>51.2934666228089-4.90968869940541i</v>
      </c>
      <c r="T285" s="253" t="str">
        <f t="shared" si="251"/>
        <v>18.7453618093861-5.0280962433083i</v>
      </c>
      <c r="U285" s="253" t="str">
        <f t="shared" si="252"/>
        <v>-0.458674160390938-2.50260022856791i</v>
      </c>
      <c r="V285" s="582" t="str">
        <f t="shared" si="229"/>
        <v>6000</v>
      </c>
      <c r="W285" s="584" t="str">
        <f t="shared" si="230"/>
        <v>1+65529.3763510579i</v>
      </c>
      <c r="X285" s="585">
        <f t="shared" si="231"/>
        <v>65529.376358688067</v>
      </c>
      <c r="Y285" s="586">
        <f t="shared" si="232"/>
        <v>1.5707810664634909</v>
      </c>
      <c r="Z285" s="273" t="str">
        <f t="shared" si="233"/>
        <v>1+9.82793226281925i</v>
      </c>
      <c r="AA285" s="585">
        <f t="shared" si="234"/>
        <v>9.8786766604927152</v>
      </c>
      <c r="AB285" s="586">
        <f t="shared" si="235"/>
        <v>1.4693945081183075</v>
      </c>
      <c r="AC285" s="584" t="str">
        <f t="shared" si="236"/>
        <v>1+0.475135880254061i</v>
      </c>
      <c r="AD285" s="585">
        <f t="shared" si="237"/>
        <v>1.107137798426556</v>
      </c>
      <c r="AE285" s="586">
        <f t="shared" si="238"/>
        <v>0.4435591966732722</v>
      </c>
      <c r="AF285" s="580" t="str">
        <f t="shared" si="253"/>
        <v>0.698646288623718-0.42350017551269i</v>
      </c>
      <c r="AG285" s="270">
        <f t="shared" si="254"/>
        <v>0.81698166152428098</v>
      </c>
      <c r="AH285" s="581">
        <f t="shared" si="255"/>
        <v>-0.54494575501845577</v>
      </c>
      <c r="AI285" s="582" t="str">
        <f t="shared" si="239"/>
        <v>4000</v>
      </c>
      <c r="AJ285" s="584" t="str">
        <f t="shared" si="256"/>
        <v>1+5148.14469737776i</v>
      </c>
      <c r="AK285" s="585">
        <f t="shared" si="257"/>
        <v>5148.1447945001264</v>
      </c>
      <c r="AL285" s="586">
        <f t="shared" si="258"/>
        <v>1.5706020820628221</v>
      </c>
      <c r="AM285" s="273" t="str">
        <f t="shared" si="259"/>
        <v>1+0.180178758151686i</v>
      </c>
      <c r="AN285" s="585">
        <f t="shared" si="260"/>
        <v>1.0161025464435585</v>
      </c>
      <c r="AO285" s="586">
        <f t="shared" si="261"/>
        <v>0.17826608098475968</v>
      </c>
      <c r="AP285" s="584" t="str">
        <f t="shared" si="262"/>
        <v>1+0.00130355189943552i</v>
      </c>
      <c r="AQ285" s="585">
        <f t="shared" si="263"/>
        <v>1.0000008496234163</v>
      </c>
      <c r="AR285" s="586">
        <f t="shared" si="264"/>
        <v>1.3035511610838136E-3</v>
      </c>
      <c r="AS285" s="580" t="str">
        <f t="shared" si="265"/>
        <v>0.139132985645371-0.777133082511608i</v>
      </c>
      <c r="AT285" s="270">
        <f t="shared" si="266"/>
        <v>0.78948959184310252</v>
      </c>
      <c r="AU285" s="581">
        <f t="shared" si="267"/>
        <v>-1.393639552239146</v>
      </c>
      <c r="AV285" s="580" t="str">
        <f t="shared" si="268"/>
        <v>-0.0129940177718461-0.152672148481674i</v>
      </c>
      <c r="AW285" s="270">
        <f t="shared" si="269"/>
        <v>-16.293457567364506</v>
      </c>
      <c r="AX285" s="581">
        <f t="shared" si="270"/>
        <v>-94.864754172890457</v>
      </c>
      <c r="AY285" s="299">
        <f t="shared" si="240"/>
        <v>85.135245827109543</v>
      </c>
      <c r="BB285" s="270">
        <f t="shared" si="273"/>
        <v>-42.053071821914322</v>
      </c>
      <c r="BC285" s="270">
        <f t="shared" si="274"/>
        <v>-79.849664505804881</v>
      </c>
      <c r="BD285" s="286"/>
      <c r="BE285" s="270">
        <f t="shared" si="271"/>
        <v>25.759614254549788</v>
      </c>
      <c r="BF285" s="581">
        <f t="shared" si="272"/>
        <v>-15.015089667085615</v>
      </c>
      <c r="BI285" s="286"/>
      <c r="BJ285" s="286"/>
      <c r="BL285" s="253">
        <f t="shared" si="241"/>
        <v>0</v>
      </c>
      <c r="BM285" s="253">
        <f t="shared" si="275"/>
        <v>0</v>
      </c>
      <c r="BN285" s="253">
        <f t="shared" si="242"/>
        <v>0</v>
      </c>
      <c r="BO285" s="253">
        <f t="shared" si="243"/>
        <v>0</v>
      </c>
    </row>
    <row r="286" spans="4:67" ht="13.6" thickBot="1" x14ac:dyDescent="0.25">
      <c r="D286" s="280">
        <v>18729.5</v>
      </c>
      <c r="E286" s="273" t="str">
        <f t="shared" si="222"/>
        <v>0.211825654579476i</v>
      </c>
      <c r="F286" s="579" t="str">
        <f t="shared" si="244"/>
        <v>0.002-0.130731604475782i</v>
      </c>
      <c r="G286" s="270" t="str">
        <f t="shared" si="245"/>
        <v>0.002-0.130731604475782i</v>
      </c>
      <c r="H286" s="271" t="str">
        <f t="shared" si="246"/>
        <v>0.0104816178035005-0.129916548570734i</v>
      </c>
      <c r="I286" s="271" t="str">
        <f t="shared" si="247"/>
        <v>0.0204816178035005-0.129916548570734i</v>
      </c>
      <c r="J286" s="270" t="str">
        <f t="shared" si="248"/>
        <v>0.00562109282836191-0.0654890766272179i</v>
      </c>
      <c r="K286" s="271" t="str">
        <f t="shared" si="223"/>
        <v>0.99114178504962-0.147840350767362i</v>
      </c>
      <c r="L286" s="580"/>
      <c r="M286" s="580" t="str">
        <f t="shared" si="224"/>
        <v>-0.216132926315982-91.5993345885744i</v>
      </c>
      <c r="N286" s="270" t="str">
        <f t="shared" si="225"/>
        <v>-6.82876636140366-68.6995009414308i</v>
      </c>
      <c r="O286" s="581" t="str">
        <f t="shared" si="226"/>
        <v>-5.83108027165172-34.0066150319158i</v>
      </c>
      <c r="P286" s="582" t="str">
        <f t="shared" si="227"/>
        <v>-4.53745201102563+0.0610433314574133i</v>
      </c>
      <c r="Q286" s="583" t="str">
        <f t="shared" si="228"/>
        <v>-4.47914120830913+0.401109481776573i</v>
      </c>
      <c r="R286" s="581" t="str">
        <f t="shared" si="249"/>
        <v>-0.615938159222032-4.06359877282691i</v>
      </c>
      <c r="S286" s="253" t="str">
        <f t="shared" si="250"/>
        <v>51.2889065472422-4.96958175228884i</v>
      </c>
      <c r="T286" s="253" t="str">
        <f t="shared" si="251"/>
        <v>18.7368058069993-5.06574361109967i</v>
      </c>
      <c r="U286" s="253" t="str">
        <f t="shared" si="252"/>
        <v>-0.461731888570941-2.48731833010751i</v>
      </c>
      <c r="V286" s="582" t="str">
        <f t="shared" si="229"/>
        <v>6000</v>
      </c>
      <c r="W286" s="584" t="str">
        <f t="shared" si="230"/>
        <v>1+65911.1999552731i</v>
      </c>
      <c r="X286" s="585">
        <f t="shared" si="231"/>
        <v>65911.199962859071</v>
      </c>
      <c r="Y286" s="586">
        <f t="shared" si="232"/>
        <v>1.5707811548665962</v>
      </c>
      <c r="Z286" s="273" t="str">
        <f t="shared" si="233"/>
        <v>1+9.88519721370888i</v>
      </c>
      <c r="AA286" s="585">
        <f t="shared" si="234"/>
        <v>9.9356491460758516</v>
      </c>
      <c r="AB286" s="586">
        <f t="shared" si="235"/>
        <v>1.4699779450269965</v>
      </c>
      <c r="AC286" s="584" t="str">
        <f t="shared" si="236"/>
        <v>1+0.47790438049613i</v>
      </c>
      <c r="AD286" s="585">
        <f t="shared" si="237"/>
        <v>1.1083287404454465</v>
      </c>
      <c r="AE286" s="586">
        <f t="shared" si="238"/>
        <v>0.44581538143114863</v>
      </c>
      <c r="AF286" s="580" t="str">
        <f t="shared" si="253"/>
        <v>0.697145637348138-0.424186871034083i</v>
      </c>
      <c r="AG286" s="270">
        <f t="shared" si="254"/>
        <v>0.81605547680977375</v>
      </c>
      <c r="AH286" s="581">
        <f t="shared" si="255"/>
        <v>-0.54661859127074686</v>
      </c>
      <c r="AI286" s="582" t="str">
        <f t="shared" si="239"/>
        <v>4000</v>
      </c>
      <c r="AJ286" s="584" t="str">
        <f t="shared" si="256"/>
        <v>1+5178.14167389167i</v>
      </c>
      <c r="AK286" s="585">
        <f t="shared" si="257"/>
        <v>5178.1417704514051</v>
      </c>
      <c r="AL286" s="586">
        <f t="shared" si="258"/>
        <v>1.5706032073225944</v>
      </c>
      <c r="AM286" s="273" t="str">
        <f t="shared" si="259"/>
        <v>1+0.181228615584663i</v>
      </c>
      <c r="AN286" s="585">
        <f t="shared" si="260"/>
        <v>1.0162892359494582</v>
      </c>
      <c r="AO286" s="586">
        <f t="shared" si="261"/>
        <v>0.17928274051633383</v>
      </c>
      <c r="AP286" s="584" t="str">
        <f t="shared" si="262"/>
        <v>1+0.00131114737664345i</v>
      </c>
      <c r="AQ286" s="585">
        <f t="shared" si="263"/>
        <v>1.0000008595533523</v>
      </c>
      <c r="AR286" s="586">
        <f t="shared" si="264"/>
        <v>1.3111466253098202E-3</v>
      </c>
      <c r="AS286" s="580" t="str">
        <f t="shared" si="265"/>
        <v>0.139131239404406-0.772633255782944i</v>
      </c>
      <c r="AT286" s="270">
        <f t="shared" si="266"/>
        <v>0.7850602841310711</v>
      </c>
      <c r="AU286" s="581">
        <f t="shared" si="267"/>
        <v>-1.3926316134315697</v>
      </c>
      <c r="AV286" s="580" t="str">
        <f t="shared" si="268"/>
        <v>-0.013070869647981-0.151814824607519i</v>
      </c>
      <c r="AW286" s="270">
        <f t="shared" si="269"/>
        <v>-16.341641833975743</v>
      </c>
      <c r="AX286" s="581">
        <f t="shared" si="270"/>
        <v>-94.920885463816063</v>
      </c>
      <c r="AY286" s="299">
        <f t="shared" si="240"/>
        <v>85.079114536183937</v>
      </c>
      <c r="BB286" s="270">
        <f t="shared" si="273"/>
        <v>-42.101939857190906</v>
      </c>
      <c r="BC286" s="270">
        <f t="shared" si="274"/>
        <v>-79.791913866123309</v>
      </c>
      <c r="BD286" s="286"/>
      <c r="BE286" s="270">
        <f t="shared" si="271"/>
        <v>25.76029802321516</v>
      </c>
      <c r="BF286" s="581">
        <f t="shared" si="272"/>
        <v>-15.128971597692768</v>
      </c>
      <c r="BI286" s="286"/>
      <c r="BJ286" s="286"/>
      <c r="BL286" s="253">
        <f t="shared" si="241"/>
        <v>0</v>
      </c>
      <c r="BM286" s="253">
        <f t="shared" si="275"/>
        <v>0</v>
      </c>
      <c r="BN286" s="253">
        <f t="shared" si="242"/>
        <v>0</v>
      </c>
      <c r="BO286" s="253">
        <f t="shared" si="243"/>
        <v>0</v>
      </c>
    </row>
    <row r="287" spans="4:67" ht="13.6" thickBot="1" x14ac:dyDescent="0.25">
      <c r="D287" s="280">
        <v>18838</v>
      </c>
      <c r="E287" s="273" t="str">
        <f t="shared" si="222"/>
        <v>0.213052760669968i</v>
      </c>
      <c r="F287" s="579" t="str">
        <f t="shared" si="244"/>
        <v>0.002-0.129978638179698i</v>
      </c>
      <c r="G287" s="270" t="str">
        <f t="shared" si="245"/>
        <v>0.002-0.129978638179698i</v>
      </c>
      <c r="H287" s="271" t="str">
        <f t="shared" si="246"/>
        <v>0.0103845831945544-0.12917457661224i</v>
      </c>
      <c r="I287" s="271" t="str">
        <f t="shared" si="247"/>
        <v>0.0203845831945544-0.12917457661224i</v>
      </c>
      <c r="J287" s="270" t="str">
        <f t="shared" si="248"/>
        <v>0.00559655379307563-0.0651137703487126i</v>
      </c>
      <c r="K287" s="271" t="str">
        <f t="shared" si="223"/>
        <v>0.991038856493523-0.148696789970665i</v>
      </c>
      <c r="L287" s="580"/>
      <c r="M287" s="580" t="str">
        <f t="shared" si="224"/>
        <v>-0.224235292881412-90.852054761773i</v>
      </c>
      <c r="N287" s="270" t="str">
        <f t="shared" si="225"/>
        <v>-6.83484313632773-68.1390410713298i</v>
      </c>
      <c r="O287" s="581" t="str">
        <f t="shared" si="226"/>
        <v>-5.81525000592186-33.7256765695806i</v>
      </c>
      <c r="P287" s="582" t="str">
        <f t="shared" si="227"/>
        <v>-4.47504143937976+0.0636985975840315i</v>
      </c>
      <c r="Q287" s="583" t="str">
        <f t="shared" si="228"/>
        <v>-4.41688893932054+0.400955363279839i</v>
      </c>
      <c r="R287" s="581" t="str">
        <f t="shared" si="249"/>
        <v>-0.614833947881534-4.02995477366911i</v>
      </c>
      <c r="S287" s="253" t="str">
        <f t="shared" si="250"/>
        <v>51.2842434158097-5.02929423301937i</v>
      </c>
      <c r="T287" s="253" t="str">
        <f t="shared" si="251"/>
        <v>18.7281790510255-5.10332463040778i</v>
      </c>
      <c r="U287" s="253" t="str">
        <f t="shared" si="252"/>
        <v>-0.464735465009855-2.47220049882774i</v>
      </c>
      <c r="V287" s="582" t="str">
        <f t="shared" si="229"/>
        <v>6000</v>
      </c>
      <c r="W287" s="584" t="str">
        <f t="shared" si="230"/>
        <v>1+66293.0235594882i</v>
      </c>
      <c r="X287" s="585">
        <f t="shared" si="231"/>
        <v>66293.023567030468</v>
      </c>
      <c r="Y287" s="586">
        <f t="shared" si="232"/>
        <v>1.5707812422513621</v>
      </c>
      <c r="Z287" s="273" t="str">
        <f t="shared" si="233"/>
        <v>1+9.94246216459852i</v>
      </c>
      <c r="AA287" s="585">
        <f t="shared" si="234"/>
        <v>9.9926249751740954</v>
      </c>
      <c r="AB287" s="586">
        <f t="shared" si="235"/>
        <v>1.4705547288630398</v>
      </c>
      <c r="AC287" s="584" t="str">
        <f t="shared" si="236"/>
        <v>1+0.480672880738199i</v>
      </c>
      <c r="AD287" s="585">
        <f t="shared" si="237"/>
        <v>1.1095253121390061</v>
      </c>
      <c r="AE287" s="586">
        <f t="shared" si="238"/>
        <v>0.44806671124691705</v>
      </c>
      <c r="AF287" s="580" t="str">
        <f t="shared" si="253"/>
        <v>0.69564275668401-0.424870294960837i</v>
      </c>
      <c r="AG287" s="270">
        <f t="shared" si="254"/>
        <v>0.81512797306130857</v>
      </c>
      <c r="AH287" s="581">
        <f t="shared" si="255"/>
        <v>-0.54829322463524055</v>
      </c>
      <c r="AI287" s="582" t="str">
        <f t="shared" si="239"/>
        <v>4000</v>
      </c>
      <c r="AJ287" s="584" t="str">
        <f t="shared" si="256"/>
        <v>1+5208.13865040558i</v>
      </c>
      <c r="AK287" s="585">
        <f t="shared" si="257"/>
        <v>5208.1387464091677</v>
      </c>
      <c r="AL287" s="586">
        <f t="shared" si="258"/>
        <v>1.5706043196201964</v>
      </c>
      <c r="AM287" s="273" t="str">
        <f t="shared" si="259"/>
        <v>1+0.18227847301764i</v>
      </c>
      <c r="AN287" s="585">
        <f t="shared" si="260"/>
        <v>1.0164769755019749</v>
      </c>
      <c r="AO287" s="586">
        <f t="shared" si="261"/>
        <v>0.18029902555147431</v>
      </c>
      <c r="AP287" s="584" t="str">
        <f t="shared" si="262"/>
        <v>1+0.00131874285385137i</v>
      </c>
      <c r="AQ287" s="585">
        <f t="shared" si="263"/>
        <v>1.0000008695409792</v>
      </c>
      <c r="AR287" s="586">
        <f t="shared" si="264"/>
        <v>1.3187420893845335E-3</v>
      </c>
      <c r="AS287" s="580" t="str">
        <f t="shared" si="265"/>
        <v>0.139129523186002-0.768185275925624i</v>
      </c>
      <c r="AT287" s="270">
        <f t="shared" si="266"/>
        <v>0.78068280522302491</v>
      </c>
      <c r="AU287" s="581">
        <f t="shared" si="267"/>
        <v>-1.3916240361581063</v>
      </c>
      <c r="AV287" s="580" t="str">
        <f t="shared" si="268"/>
        <v>-0.0131465621783658-0.150967345143885i</v>
      </c>
      <c r="AW287" s="270">
        <f t="shared" si="269"/>
        <v>-16.3895300274568</v>
      </c>
      <c r="AX287" s="581">
        <f t="shared" si="270"/>
        <v>-94.976885046988684</v>
      </c>
      <c r="AY287" s="299">
        <f t="shared" si="240"/>
        <v>85.023114953011316</v>
      </c>
      <c r="BB287" s="270">
        <f t="shared" si="273"/>
        <v>-42.150507719968843</v>
      </c>
      <c r="BC287" s="270">
        <f t="shared" si="274"/>
        <v>-79.734183940820557</v>
      </c>
      <c r="BD287" s="286"/>
      <c r="BE287" s="270">
        <f t="shared" si="271"/>
        <v>25.760977692512057</v>
      </c>
      <c r="BF287" s="581">
        <f t="shared" si="272"/>
        <v>-15.242701106168132</v>
      </c>
      <c r="BI287" s="286"/>
      <c r="BJ287" s="286"/>
      <c r="BL287" s="253">
        <f t="shared" si="241"/>
        <v>0</v>
      </c>
      <c r="BM287" s="253">
        <f t="shared" si="275"/>
        <v>0</v>
      </c>
      <c r="BN287" s="253">
        <f t="shared" si="242"/>
        <v>0</v>
      </c>
      <c r="BO287" s="253">
        <f t="shared" si="243"/>
        <v>0</v>
      </c>
    </row>
    <row r="288" spans="4:67" ht="13.6" thickBot="1" x14ac:dyDescent="0.25">
      <c r="D288" s="280">
        <v>18946.5</v>
      </c>
      <c r="E288" s="273" t="str">
        <f t="shared" si="222"/>
        <v>0.21427986676046i</v>
      </c>
      <c r="F288" s="579" t="str">
        <f t="shared" si="244"/>
        <v>0.002-0.129234295834543i</v>
      </c>
      <c r="G288" s="270" t="str">
        <f t="shared" si="245"/>
        <v>0.002-0.129234295834543i</v>
      </c>
      <c r="H288" s="271" t="str">
        <f t="shared" si="246"/>
        <v>0.0102892016339011-0.12844099597464i</v>
      </c>
      <c r="I288" s="271" t="str">
        <f t="shared" si="247"/>
        <v>0.0202892016339011-0.12844099597464i</v>
      </c>
      <c r="J288" s="270" t="str">
        <f t="shared" si="248"/>
        <v>0.00557243320330305-0.0647427552635354i</v>
      </c>
      <c r="K288" s="271" t="str">
        <f t="shared" si="223"/>
        <v>0.990935333394359-0.149553229173967i</v>
      </c>
      <c r="L288" s="580"/>
      <c r="M288" s="580" t="str">
        <f t="shared" si="224"/>
        <v>-0.231860611204687-90.1180853724152i</v>
      </c>
      <c r="N288" s="270" t="str">
        <f t="shared" si="225"/>
        <v>-6.84056212507018-67.5885640293114i</v>
      </c>
      <c r="O288" s="581" t="str">
        <f t="shared" si="226"/>
        <v>-5.79964861146601-33.449742135626i</v>
      </c>
      <c r="P288" s="582" t="str">
        <f t="shared" si="227"/>
        <v>-4.4139884350785+0.0662440811679193i</v>
      </c>
      <c r="Q288" s="583" t="str">
        <f t="shared" si="228"/>
        <v>-4.35599194896383+0.400741502524179i</v>
      </c>
      <c r="R288" s="581" t="str">
        <f t="shared" si="249"/>
        <v>-0.61374030744387-3.99690840928052i</v>
      </c>
      <c r="S288" s="253" t="str">
        <f t="shared" si="250"/>
        <v>51.2794784972784-5.08882895233718i</v>
      </c>
      <c r="T288" s="253" t="str">
        <f t="shared" si="251"/>
        <v>18.7194819348326-5.14084004397181i</v>
      </c>
      <c r="U288" s="253" t="str">
        <f t="shared" si="252"/>
        <v>-0.46768609128439-2.45724404361924i</v>
      </c>
      <c r="V288" s="582" t="str">
        <f t="shared" si="229"/>
        <v>6000</v>
      </c>
      <c r="W288" s="584" t="str">
        <f t="shared" si="230"/>
        <v>1+66674.8471637033i</v>
      </c>
      <c r="X288" s="585">
        <f t="shared" si="231"/>
        <v>66674.847171202375</v>
      </c>
      <c r="Y288" s="586">
        <f t="shared" si="232"/>
        <v>1.5707813286352839</v>
      </c>
      <c r="Z288" s="273" t="str">
        <f t="shared" si="233"/>
        <v>1+9.99972711548816i</v>
      </c>
      <c r="AA288" s="585">
        <f t="shared" si="234"/>
        <v>10.049604090919658</v>
      </c>
      <c r="AB288" s="586">
        <f t="shared" si="235"/>
        <v>1.471124972403884</v>
      </c>
      <c r="AC288" s="584" t="str">
        <f t="shared" si="236"/>
        <v>1+0.483441380980268i</v>
      </c>
      <c r="AD288" s="585">
        <f t="shared" si="237"/>
        <v>1.1107274953129183</v>
      </c>
      <c r="AE288" s="586">
        <f t="shared" si="238"/>
        <v>0.45031317902634349</v>
      </c>
      <c r="AF288" s="580" t="str">
        <f t="shared" si="253"/>
        <v>0.69413771703384-0.425550357857861i</v>
      </c>
      <c r="AG288" s="270">
        <f t="shared" si="254"/>
        <v>0.81419916315475593</v>
      </c>
      <c r="AH288" s="581">
        <f t="shared" si="255"/>
        <v>-0.54996953525774339</v>
      </c>
      <c r="AI288" s="582" t="str">
        <f t="shared" si="239"/>
        <v>4000</v>
      </c>
      <c r="AJ288" s="584" t="str">
        <f t="shared" si="256"/>
        <v>1+5238.13562691948i</v>
      </c>
      <c r="AK288" s="585">
        <f t="shared" si="257"/>
        <v>5238.1357223732884</v>
      </c>
      <c r="AL288" s="586">
        <f t="shared" si="258"/>
        <v>1.5706054191783179</v>
      </c>
      <c r="AM288" s="273" t="str">
        <f t="shared" si="259"/>
        <v>1+0.183328330450616i</v>
      </c>
      <c r="AN288" s="585">
        <f t="shared" si="260"/>
        <v>1.0166657645193971</v>
      </c>
      <c r="AO288" s="586">
        <f t="shared" si="261"/>
        <v>0.18131493419891992</v>
      </c>
      <c r="AP288" s="584" t="str">
        <f t="shared" si="262"/>
        <v>1+0.0013263383310593i</v>
      </c>
      <c r="AQ288" s="585">
        <f t="shared" si="263"/>
        <v>1.0000008795862974</v>
      </c>
      <c r="AR288" s="586">
        <f t="shared" si="264"/>
        <v>1.3263375533070978E-3</v>
      </c>
      <c r="AS288" s="580" t="str">
        <f t="shared" si="265"/>
        <v>0.13912783630405-0.763788252212904i</v>
      </c>
      <c r="AT288" s="270">
        <f t="shared" si="266"/>
        <v>0.77635626425829096</v>
      </c>
      <c r="AU288" s="581">
        <f t="shared" si="267"/>
        <v>-1.390616822532704</v>
      </c>
      <c r="AV288" s="580" t="str">
        <f t="shared" si="268"/>
        <v>-0.0132211221376533-0.150129543414398i</v>
      </c>
      <c r="AW288" s="270">
        <f t="shared" si="269"/>
        <v>-16.437125376385836</v>
      </c>
      <c r="AX288" s="581">
        <f t="shared" si="270"/>
        <v>-95.032755495245624</v>
      </c>
      <c r="AY288" s="299">
        <f t="shared" si="240"/>
        <v>84.967244504754376</v>
      </c>
      <c r="BB288" s="270">
        <f t="shared" si="273"/>
        <v>-42.198778768256993</v>
      </c>
      <c r="BC288" s="270">
        <f t="shared" si="274"/>
        <v>-79.676474851016948</v>
      </c>
      <c r="BD288" s="286"/>
      <c r="BE288" s="270">
        <f t="shared" si="271"/>
        <v>25.761653391871178</v>
      </c>
      <c r="BF288" s="581">
        <f t="shared" si="272"/>
        <v>-15.356280644228663</v>
      </c>
      <c r="BI288" s="286"/>
      <c r="BJ288" s="286"/>
      <c r="BL288" s="253">
        <f t="shared" si="241"/>
        <v>0</v>
      </c>
      <c r="BM288" s="253">
        <f t="shared" si="275"/>
        <v>0</v>
      </c>
      <c r="BN288" s="253">
        <f t="shared" si="242"/>
        <v>0</v>
      </c>
      <c r="BO288" s="253">
        <f t="shared" si="243"/>
        <v>0</v>
      </c>
    </row>
    <row r="289" spans="4:67" ht="13.6" thickBot="1" x14ac:dyDescent="0.25">
      <c r="D289" s="280">
        <v>19055</v>
      </c>
      <c r="E289" s="273" t="str">
        <f t="shared" si="222"/>
        <v>0.215506972850953i</v>
      </c>
      <c r="F289" s="579" t="str">
        <f t="shared" si="244"/>
        <v>0.002-0.128498430124857i</v>
      </c>
      <c r="G289" s="270" t="str">
        <f t="shared" si="245"/>
        <v>0.002-0.128498430124857i</v>
      </c>
      <c r="H289" s="271" t="str">
        <f t="shared" si="246"/>
        <v>0.0101954358371667-0.12771566570939i</v>
      </c>
      <c r="I289" s="271" t="str">
        <f t="shared" si="247"/>
        <v>0.0201954358371667-0.12771566570939i</v>
      </c>
      <c r="J289" s="270" t="str">
        <f t="shared" si="248"/>
        <v>0.0055487215644664-0.0643759583721976i</v>
      </c>
      <c r="K289" s="271" t="str">
        <f t="shared" si="223"/>
        <v>0.990831215752128-0.15040966837727i</v>
      </c>
      <c r="L289" s="580"/>
      <c r="M289" s="580" t="str">
        <f t="shared" si="224"/>
        <v>-0.239033568478449-89.3970568285638i</v>
      </c>
      <c r="N289" s="270" t="str">
        <f t="shared" si="225"/>
        <v>-6.84594184302551-67.0477926214229i</v>
      </c>
      <c r="O289" s="581" t="str">
        <f t="shared" si="226"/>
        <v>-5.78427303588427-33.1786722747007i</v>
      </c>
      <c r="P289" s="582" t="str">
        <f t="shared" si="227"/>
        <v>-4.35425213187794+0.0686845343367355i</v>
      </c>
      <c r="Q289" s="583" t="str">
        <f t="shared" si="228"/>
        <v>-4.29640940151909+0.400471257083741i</v>
      </c>
      <c r="R289" s="581" t="str">
        <f t="shared" si="249"/>
        <v>-0.612657381365352-3.96444304505837i</v>
      </c>
      <c r="S289" s="253" t="str">
        <f t="shared" si="250"/>
        <v>51.2746130250213-5.14818865960305i</v>
      </c>
      <c r="T289" s="253" t="str">
        <f t="shared" si="251"/>
        <v>18.7107148415942-5.17829057663173i</v>
      </c>
      <c r="U289" s="253" t="str">
        <f t="shared" si="252"/>
        <v>-0.470584935596185-2.44244633121302i</v>
      </c>
      <c r="V289" s="582" t="str">
        <f t="shared" si="229"/>
        <v>6000</v>
      </c>
      <c r="W289" s="584" t="str">
        <f t="shared" si="230"/>
        <v>1+67056.6707679185i</v>
      </c>
      <c r="X289" s="585">
        <f t="shared" si="231"/>
        <v>67056.670775374878</v>
      </c>
      <c r="Y289" s="586">
        <f t="shared" si="232"/>
        <v>1.5707814140354579</v>
      </c>
      <c r="Z289" s="273" t="str">
        <f t="shared" si="233"/>
        <v>1+10.0569920663778i</v>
      </c>
      <c r="AA289" s="585">
        <f t="shared" si="234"/>
        <v>10.106586437723967</v>
      </c>
      <c r="AB289" s="586">
        <f t="shared" si="235"/>
        <v>1.471688785900791</v>
      </c>
      <c r="AC289" s="584" t="str">
        <f t="shared" si="236"/>
        <v>1+0.486209881222337i</v>
      </c>
      <c r="AD289" s="585">
        <f t="shared" si="237"/>
        <v>1.1119352717664095</v>
      </c>
      <c r="AE289" s="586">
        <f t="shared" si="238"/>
        <v>0.45255477790209547</v>
      </c>
      <c r="AF289" s="580" t="str">
        <f t="shared" si="253"/>
        <v>0.692630588354682-0.426226973243589i</v>
      </c>
      <c r="AG289" s="270">
        <f t="shared" si="254"/>
        <v>0.81326906042523484</v>
      </c>
      <c r="AH289" s="581">
        <f t="shared" si="255"/>
        <v>-0.55164740603676254</v>
      </c>
      <c r="AI289" s="582" t="str">
        <f t="shared" si="239"/>
        <v>4000</v>
      </c>
      <c r="AJ289" s="584" t="str">
        <f t="shared" si="256"/>
        <v>1+5268.13260343339i</v>
      </c>
      <c r="AK289" s="585">
        <f t="shared" si="257"/>
        <v>5268.1326983436793</v>
      </c>
      <c r="AL289" s="586">
        <f t="shared" si="258"/>
        <v>1.570606506214576</v>
      </c>
      <c r="AM289" s="273" t="str">
        <f t="shared" si="259"/>
        <v>1+0.184378187883593i</v>
      </c>
      <c r="AN289" s="585">
        <f t="shared" si="260"/>
        <v>1.0168556024171955</v>
      </c>
      <c r="AO289" s="586">
        <f t="shared" si="261"/>
        <v>0.18233046457192056</v>
      </c>
      <c r="AP289" s="584" t="str">
        <f t="shared" si="262"/>
        <v>1+0.00133393380826722i</v>
      </c>
      <c r="AQ289" s="585">
        <f t="shared" si="263"/>
        <v>1.0000008896893067</v>
      </c>
      <c r="AR289" s="586">
        <f t="shared" si="264"/>
        <v>1.333933017076616E-3</v>
      </c>
      <c r="AS289" s="580" t="str">
        <f t="shared" si="265"/>
        <v>0.13912617809192-0.759441314205388i</v>
      </c>
      <c r="AT289" s="270">
        <f t="shared" si="266"/>
        <v>0.77207979066445687</v>
      </c>
      <c r="AU289" s="581">
        <f t="shared" si="267"/>
        <v>-1.3896099746597315</v>
      </c>
      <c r="AV289" s="580" t="str">
        <f t="shared" si="268"/>
        <v>-0.0132945755557581-0.149301256459987i</v>
      </c>
      <c r="AW289" s="270">
        <f t="shared" si="269"/>
        <v>-16.484431055753884</v>
      </c>
      <c r="AX289" s="581">
        <f t="shared" si="270"/>
        <v>-95.088499326618887</v>
      </c>
      <c r="AY289" s="299">
        <f t="shared" si="240"/>
        <v>84.911500673381113</v>
      </c>
      <c r="BB289" s="270">
        <f t="shared" si="273"/>
        <v>-42.246756302750853</v>
      </c>
      <c r="BC289" s="270">
        <f t="shared" si="274"/>
        <v>-79.618786717283882</v>
      </c>
      <c r="BD289" s="286"/>
      <c r="BE289" s="270">
        <f t="shared" si="271"/>
        <v>25.762325246996987</v>
      </c>
      <c r="BF289" s="581">
        <f t="shared" si="272"/>
        <v>-15.469712609335009</v>
      </c>
      <c r="BI289" s="286"/>
      <c r="BJ289" s="286"/>
      <c r="BL289" s="253">
        <f t="shared" si="241"/>
        <v>0</v>
      </c>
      <c r="BM289" s="253">
        <f t="shared" si="275"/>
        <v>0</v>
      </c>
      <c r="BN289" s="253">
        <f t="shared" si="242"/>
        <v>0</v>
      </c>
      <c r="BO289" s="253">
        <f t="shared" si="243"/>
        <v>0</v>
      </c>
    </row>
    <row r="290" spans="4:67" ht="13.6" thickBot="1" x14ac:dyDescent="0.25">
      <c r="D290" s="280">
        <v>19165.75</v>
      </c>
      <c r="E290" s="273" t="str">
        <f t="shared" si="222"/>
        <v>0.216759525841939i</v>
      </c>
      <c r="F290" s="579" t="str">
        <f t="shared" si="244"/>
        <v>0.002-0.12775589716182i</v>
      </c>
      <c r="G290" s="270" t="str">
        <f t="shared" si="245"/>
        <v>0.002-0.12775589716182i</v>
      </c>
      <c r="H290" s="271" t="str">
        <f t="shared" si="246"/>
        <v>0.0101013543312108-0.126983659709544i</v>
      </c>
      <c r="I290" s="271" t="str">
        <f t="shared" si="247"/>
        <v>0.0201013543312108-0.126983659709544i</v>
      </c>
      <c r="J290" s="270" t="str">
        <f t="shared" si="248"/>
        <v>0.00552493038882236-0.0640058313159181i</v>
      </c>
      <c r="K290" s="271" t="str">
        <f t="shared" si="223"/>
        <v>0.990724325823527-0.151283867840549i</v>
      </c>
      <c r="L290" s="580"/>
      <c r="M290" s="580" t="str">
        <f t="shared" si="224"/>
        <v>-0.245912934035619-88.6740528890874i</v>
      </c>
      <c r="N290" s="270" t="str">
        <f t="shared" si="225"/>
        <v>-6.85110136719338-66.5055396668156i</v>
      </c>
      <c r="O290" s="581" t="str">
        <f t="shared" si="226"/>
        <v>-5.76880828925851-32.9068587383257i</v>
      </c>
      <c r="P290" s="582" t="str">
        <f t="shared" si="227"/>
        <v>-4.29459421162881+0.071071961306615i</v>
      </c>
      <c r="Q290" s="583" t="str">
        <f t="shared" si="228"/>
        <v>-4.23690612873621+0.400140548689871i</v>
      </c>
      <c r="R290" s="581" t="str">
        <f t="shared" si="249"/>
        <v>-0.611563171312016-3.93188701111804i</v>
      </c>
      <c r="S290" s="253" t="str">
        <f t="shared" si="250"/>
        <v>51.2695441977797-5.20860162763055i</v>
      </c>
      <c r="T290" s="253" t="str">
        <f t="shared" si="251"/>
        <v>18.7016941610991-5.21645155472126i</v>
      </c>
      <c r="U290" s="253" t="str">
        <f t="shared" si="252"/>
        <v>-0.473491669800849-2.42750279285081i</v>
      </c>
      <c r="V290" s="582" t="str">
        <f t="shared" si="229"/>
        <v>6000</v>
      </c>
      <c r="W290" s="584" t="str">
        <f t="shared" si="230"/>
        <v>1+67446.4123731426i</v>
      </c>
      <c r="X290" s="585">
        <f t="shared" si="231"/>
        <v>67446.412380555892</v>
      </c>
      <c r="Y290" s="586">
        <f t="shared" si="232"/>
        <v>1.5707815002093934</v>
      </c>
      <c r="Z290" s="273" t="str">
        <f t="shared" si="233"/>
        <v>1+10.1154445392905i</v>
      </c>
      <c r="AA290" s="585">
        <f t="shared" si="234"/>
        <v>10.164753721928633</v>
      </c>
      <c r="AB290" s="586">
        <f t="shared" si="235"/>
        <v>1.4722577718702277</v>
      </c>
      <c r="AC290" s="584" t="str">
        <f t="shared" si="236"/>
        <v>1+0.489035792759747i</v>
      </c>
      <c r="AD290" s="585">
        <f t="shared" si="237"/>
        <v>1.1131738438357928</v>
      </c>
      <c r="AE290" s="586">
        <f t="shared" si="238"/>
        <v>0.454837833248458</v>
      </c>
      <c r="AF290" s="580" t="str">
        <f t="shared" si="253"/>
        <v>0.691090123573392-0.426913977529957i</v>
      </c>
      <c r="AG290" s="270">
        <f t="shared" si="254"/>
        <v>0.81231835083982618</v>
      </c>
      <c r="AH290" s="581">
        <f t="shared" si="255"/>
        <v>-0.55336156158762573</v>
      </c>
      <c r="AI290" s="582" t="str">
        <f t="shared" si="239"/>
        <v>4000</v>
      </c>
      <c r="AJ290" s="584" t="str">
        <f t="shared" si="256"/>
        <v>1+5298.75163706394i</v>
      </c>
      <c r="AK290" s="585">
        <f t="shared" si="257"/>
        <v>5298.7517314257875</v>
      </c>
      <c r="AL290" s="586">
        <f t="shared" si="258"/>
        <v>1.5706076030998413</v>
      </c>
      <c r="AM290" s="273" t="str">
        <f t="shared" si="259"/>
        <v>1+0.185449816553659i</v>
      </c>
      <c r="AN290" s="585">
        <f t="shared" si="260"/>
        <v>1.0170504581680231</v>
      </c>
      <c r="AO290" s="586">
        <f t="shared" si="261"/>
        <v>0.18336666225357939</v>
      </c>
      <c r="AP290" s="584" t="str">
        <f t="shared" si="262"/>
        <v>1+0.00134168679537116i</v>
      </c>
      <c r="AQ290" s="585">
        <f t="shared" si="263"/>
        <v>1.0000009000613235</v>
      </c>
      <c r="AR290" s="586">
        <f t="shared" si="264"/>
        <v>1.3416859903047388E-3</v>
      </c>
      <c r="AS290" s="580" t="str">
        <f t="shared" si="265"/>
        <v>0.139124514388071-0.755055003429136i</v>
      </c>
      <c r="AT290" s="270">
        <f t="shared" si="266"/>
        <v>0.76776538649973614</v>
      </c>
      <c r="AU290" s="581">
        <f t="shared" si="267"/>
        <v>-1.3885826268365662</v>
      </c>
      <c r="AV290" s="580" t="str">
        <f t="shared" si="268"/>
        <v>-0.0133684372814085-0.148465440383188i</v>
      </c>
      <c r="AW290" s="270">
        <f t="shared" si="269"/>
        <v>-16.532422228538568</v>
      </c>
      <c r="AX290" s="581">
        <f t="shared" si="270"/>
        <v>-95.145271112597555</v>
      </c>
      <c r="AY290" s="299">
        <f t="shared" si="240"/>
        <v>84.854728887402445</v>
      </c>
      <c r="BB290" s="270">
        <f t="shared" si="273"/>
        <v>-42.295429425279181</v>
      </c>
      <c r="BC290" s="270">
        <f t="shared" si="274"/>
        <v>-79.559924022924562</v>
      </c>
      <c r="BD290" s="286"/>
      <c r="BE290" s="270">
        <f t="shared" si="271"/>
        <v>25.763007196740627</v>
      </c>
      <c r="BF290" s="581">
        <f t="shared" si="272"/>
        <v>-15.585347089672974</v>
      </c>
      <c r="BI290" s="286"/>
      <c r="BJ290" s="286"/>
      <c r="BL290" s="253">
        <f t="shared" si="241"/>
        <v>0</v>
      </c>
      <c r="BM290" s="253">
        <f t="shared" si="275"/>
        <v>0</v>
      </c>
      <c r="BN290" s="253">
        <f t="shared" si="242"/>
        <v>0</v>
      </c>
      <c r="BO290" s="253">
        <f t="shared" si="243"/>
        <v>0</v>
      </c>
    </row>
    <row r="291" spans="4:67" ht="13.6" thickBot="1" x14ac:dyDescent="0.25">
      <c r="D291" s="280">
        <v>19276.5</v>
      </c>
      <c r="E291" s="273" t="str">
        <f t="shared" si="222"/>
        <v>0.218012078832925i</v>
      </c>
      <c r="F291" s="579" t="str">
        <f t="shared" si="244"/>
        <v>0.002-0.127021896403868i</v>
      </c>
      <c r="G291" s="270" t="str">
        <f t="shared" si="245"/>
        <v>0.002-0.127021896403868i</v>
      </c>
      <c r="H291" s="271" t="str">
        <f t="shared" si="246"/>
        <v>0.0100088810834561-0.126259962912904i</v>
      </c>
      <c r="I291" s="271" t="str">
        <f t="shared" si="247"/>
        <v>0.0200088810834561-0.126259962912904i</v>
      </c>
      <c r="J291" s="270" t="str">
        <f t="shared" si="248"/>
        <v>0.00550154615277814-0.0636399507072653i</v>
      </c>
      <c r="K291" s="271" t="str">
        <f t="shared" si="223"/>
        <v>0.990616816437716-0.152158067303828i</v>
      </c>
      <c r="L291" s="580"/>
      <c r="M291" s="580" t="str">
        <f t="shared" si="224"/>
        <v>-0.252368640718869-87.9637972955166i</v>
      </c>
      <c r="N291" s="270" t="str">
        <f t="shared" si="225"/>
        <v>-6.85594314720582-65.9728479716374i</v>
      </c>
      <c r="O291" s="581" t="str">
        <f t="shared" si="226"/>
        <v>-5.7535722722568-32.6398364303356i</v>
      </c>
      <c r="P291" s="582" t="str">
        <f t="shared" si="227"/>
        <v>-4.23622708057809+0.0733592159938128i</v>
      </c>
      <c r="Q291" s="583" t="str">
        <f t="shared" si="228"/>
        <v>-4.17869135785551+0.399757580297169i</v>
      </c>
      <c r="R291" s="581" t="str">
        <f t="shared" si="249"/>
        <v>-0.610480349936371-3.89990325732603i</v>
      </c>
      <c r="S291" s="253" t="str">
        <f t="shared" si="250"/>
        <v>51.264373092166-5.2688378497665i</v>
      </c>
      <c r="T291" s="253" t="str">
        <f t="shared" si="251"/>
        <v>18.6926013469179-5.25454640419657i</v>
      </c>
      <c r="U291" s="253" t="str">
        <f t="shared" si="252"/>
        <v>-0.476346810096239-2.41271928291465i</v>
      </c>
      <c r="V291" s="582" t="str">
        <f t="shared" si="229"/>
        <v>6000</v>
      </c>
      <c r="W291" s="584" t="str">
        <f t="shared" si="230"/>
        <v>1+67836.1539783667i</v>
      </c>
      <c r="X291" s="585">
        <f t="shared" si="231"/>
        <v>67836.153985737401</v>
      </c>
      <c r="Y291" s="586">
        <f t="shared" si="232"/>
        <v>1.5707815853931324</v>
      </c>
      <c r="Z291" s="273" t="str">
        <f t="shared" si="233"/>
        <v>1+10.1738970122032i</v>
      </c>
      <c r="AA291" s="585">
        <f t="shared" si="234"/>
        <v>10.222924259472785</v>
      </c>
      <c r="AB291" s="586">
        <f t="shared" si="235"/>
        <v>1.4728202827261221</v>
      </c>
      <c r="AC291" s="584" t="str">
        <f t="shared" si="236"/>
        <v>1+0.491861704297158i</v>
      </c>
      <c r="AD291" s="585">
        <f t="shared" si="237"/>
        <v>1.1144182052327147</v>
      </c>
      <c r="AE291" s="586">
        <f t="shared" si="238"/>
        <v>0.45711580191881901</v>
      </c>
      <c r="AF291" s="580" t="str">
        <f t="shared" si="253"/>
        <v>0.689547628077222-0.427597216840215i</v>
      </c>
      <c r="AG291" s="270">
        <f t="shared" si="254"/>
        <v>0.81136632370121253</v>
      </c>
      <c r="AH291" s="581">
        <f t="shared" si="255"/>
        <v>-0.55507710458582993</v>
      </c>
      <c r="AI291" s="582" t="str">
        <f t="shared" si="239"/>
        <v>4000</v>
      </c>
      <c r="AJ291" s="584" t="str">
        <f t="shared" si="256"/>
        <v>1+5329.37067069449i</v>
      </c>
      <c r="AK291" s="585">
        <f t="shared" si="257"/>
        <v>5329.3707645141976</v>
      </c>
      <c r="AL291" s="586">
        <f t="shared" si="258"/>
        <v>1.5706086873811544</v>
      </c>
      <c r="AM291" s="273" t="str">
        <f t="shared" si="259"/>
        <v>1+0.186521445223724i</v>
      </c>
      <c r="AN291" s="585">
        <f t="shared" si="260"/>
        <v>1.0172464055126205</v>
      </c>
      <c r="AO291" s="586">
        <f t="shared" si="261"/>
        <v>0.18440246185134712</v>
      </c>
      <c r="AP291" s="584" t="str">
        <f t="shared" si="262"/>
        <v>1+0.0013494397824751i</v>
      </c>
      <c r="AQ291" s="585">
        <f t="shared" si="263"/>
        <v>1.0000009104934489</v>
      </c>
      <c r="AR291" s="586">
        <f t="shared" si="264"/>
        <v>1.3494389633715677E-3</v>
      </c>
      <c r="AS291" s="580" t="str">
        <f t="shared" si="265"/>
        <v>0.139122879211128-0.75071910670126i</v>
      </c>
      <c r="AT291" s="270">
        <f t="shared" si="266"/>
        <v>0.7635013770035598</v>
      </c>
      <c r="AU291" s="581">
        <f t="shared" si="267"/>
        <v>-1.3875556644931786</v>
      </c>
      <c r="AV291" s="580" t="str">
        <f t="shared" si="268"/>
        <v>-0.0134411986334974-0.147639206097813i</v>
      </c>
      <c r="AW291" s="270">
        <f t="shared" si="269"/>
        <v>-16.580118112329366</v>
      </c>
      <c r="AX291" s="581">
        <f t="shared" si="270"/>
        <v>-95.201916109126373</v>
      </c>
      <c r="AY291" s="299">
        <f t="shared" si="240"/>
        <v>84.798083890873627</v>
      </c>
      <c r="BB291" s="270">
        <f t="shared" si="273"/>
        <v>-42.34380350680717</v>
      </c>
      <c r="BC291" s="270">
        <f t="shared" si="274"/>
        <v>-79.501083414929596</v>
      </c>
      <c r="BD291" s="286"/>
      <c r="BE291" s="270">
        <f t="shared" si="271"/>
        <v>25.763685394477793</v>
      </c>
      <c r="BF291" s="581">
        <f t="shared" si="272"/>
        <v>-15.700832694196796</v>
      </c>
      <c r="BI291" s="286"/>
      <c r="BJ291" s="286"/>
      <c r="BL291" s="253">
        <f t="shared" si="241"/>
        <v>0</v>
      </c>
      <c r="BM291" s="253">
        <f t="shared" si="275"/>
        <v>0</v>
      </c>
      <c r="BN291" s="253">
        <f t="shared" si="242"/>
        <v>0</v>
      </c>
      <c r="BO291" s="253">
        <f t="shared" si="243"/>
        <v>0</v>
      </c>
    </row>
    <row r="292" spans="4:67" ht="13.6" thickBot="1" x14ac:dyDescent="0.25">
      <c r="D292" s="280">
        <v>19387.25</v>
      </c>
      <c r="E292" s="273" t="str">
        <f t="shared" si="222"/>
        <v>0.219264631823911i</v>
      </c>
      <c r="F292" s="579" t="str">
        <f t="shared" si="244"/>
        <v>0.002-0.126296281629894i</v>
      </c>
      <c r="G292" s="270" t="str">
        <f t="shared" si="245"/>
        <v>0.002-0.126296281629894i</v>
      </c>
      <c r="H292" s="271" t="str">
        <f t="shared" si="246"/>
        <v>0.00991797969388234-0.125544435216369i</v>
      </c>
      <c r="I292" s="271" t="str">
        <f t="shared" si="247"/>
        <v>0.0199179796938823-0.125544435216369i</v>
      </c>
      <c r="J292" s="270" t="str">
        <f t="shared" si="248"/>
        <v>0.00547855959189513-0.0632782440632103i</v>
      </c>
      <c r="K292" s="271" t="str">
        <f t="shared" si="223"/>
        <v>0.990508687594695-0.153032266767107i</v>
      </c>
      <c r="L292" s="580"/>
      <c r="M292" s="580" t="str">
        <f t="shared" si="224"/>
        <v>-0.258422753190459-87.2659395226103i</v>
      </c>
      <c r="N292" s="270" t="str">
        <f t="shared" si="225"/>
        <v>-6.86048373155951-65.4494546419577i</v>
      </c>
      <c r="O292" s="581" t="str">
        <f t="shared" si="226"/>
        <v>-5.73856163209103-32.3774731434717i</v>
      </c>
      <c r="P292" s="582" t="str">
        <f t="shared" si="227"/>
        <v>-4.17911213359039+0.0755506264443038i</v>
      </c>
      <c r="Q292" s="583" t="str">
        <f t="shared" si="228"/>
        <v>-4.12172651726948+0.39932535787902i</v>
      </c>
      <c r="R292" s="581" t="str">
        <f t="shared" si="249"/>
        <v>-0.60940899657988-3.868476011438i</v>
      </c>
      <c r="S292" s="253" t="str">
        <f t="shared" si="250"/>
        <v>51.2591009131939-5.32890006240637i</v>
      </c>
      <c r="T292" s="253" t="str">
        <f t="shared" si="251"/>
        <v>18.6834367758567-5.29257584123527i</v>
      </c>
      <c r="U292" s="253" t="str">
        <f t="shared" si="252"/>
        <v>-0.479151498272801-2.39809317764738i</v>
      </c>
      <c r="V292" s="582" t="str">
        <f t="shared" si="229"/>
        <v>6000</v>
      </c>
      <c r="W292" s="584" t="str">
        <f t="shared" si="230"/>
        <v>1+68225.8955835908i</v>
      </c>
      <c r="X292" s="585">
        <f t="shared" si="231"/>
        <v>68225.895590919405</v>
      </c>
      <c r="Y292" s="586">
        <f t="shared" si="232"/>
        <v>1.5707816696036443</v>
      </c>
      <c r="Z292" s="273" t="str">
        <f t="shared" si="233"/>
        <v>1+10.2323494851158i</v>
      </c>
      <c r="AA292" s="585">
        <f t="shared" si="234"/>
        <v>10.281097995134058</v>
      </c>
      <c r="AB292" s="586">
        <f t="shared" si="235"/>
        <v>1.4733764280242205</v>
      </c>
      <c r="AC292" s="584" t="str">
        <f t="shared" si="236"/>
        <v>1+0.494687615834569i</v>
      </c>
      <c r="AD292" s="585">
        <f t="shared" si="237"/>
        <v>1.115668336585784</v>
      </c>
      <c r="AE292" s="586">
        <f t="shared" si="238"/>
        <v>0.45938867733167466</v>
      </c>
      <c r="AF292" s="580" t="str">
        <f t="shared" si="253"/>
        <v>0.688003174805796-0.428276608238818i</v>
      </c>
      <c r="AG292" s="270">
        <f t="shared" si="254"/>
        <v>0.81041299453266469</v>
      </c>
      <c r="AH292" s="581">
        <f t="shared" si="255"/>
        <v>-0.55679391891109731</v>
      </c>
      <c r="AI292" s="582" t="str">
        <f t="shared" si="239"/>
        <v>4000</v>
      </c>
      <c r="AJ292" s="584" t="str">
        <f t="shared" si="256"/>
        <v>1+5359.98970432504i</v>
      </c>
      <c r="AK292" s="585">
        <f t="shared" si="257"/>
        <v>5359.9897976088005</v>
      </c>
      <c r="AL292" s="586">
        <f t="shared" si="258"/>
        <v>1.5706097592745167</v>
      </c>
      <c r="AM292" s="273" t="str">
        <f t="shared" si="259"/>
        <v>1+0.18759307389379i</v>
      </c>
      <c r="AN292" s="585">
        <f t="shared" si="260"/>
        <v>1.0174434438203044</v>
      </c>
      <c r="AO292" s="586">
        <f t="shared" si="261"/>
        <v>0.18543786137329002</v>
      </c>
      <c r="AP292" s="584" t="str">
        <f t="shared" si="262"/>
        <v>1+0.00135719276957904i</v>
      </c>
      <c r="AQ292" s="585">
        <f t="shared" si="263"/>
        <v>1.0000009209856828</v>
      </c>
      <c r="AR292" s="586">
        <f t="shared" si="264"/>
        <v>1.3571919362761707E-3</v>
      </c>
      <c r="AS292" s="580" t="str">
        <f t="shared" si="265"/>
        <v>0.139121271910736-0.74643276004852i</v>
      </c>
      <c r="AT292" s="270">
        <f t="shared" si="266"/>
        <v>0.75928689806404026</v>
      </c>
      <c r="AU292" s="581">
        <f t="shared" si="267"/>
        <v>-1.3865290898375022</v>
      </c>
      <c r="AV292" s="580" t="str">
        <f t="shared" si="268"/>
        <v>-0.0135128850501836-0.146822391625114i</v>
      </c>
      <c r="AW292" s="270">
        <f t="shared" si="269"/>
        <v>-16.627521918548339</v>
      </c>
      <c r="AX292" s="581">
        <f t="shared" si="270"/>
        <v>-95.258436826871119</v>
      </c>
      <c r="AY292" s="299">
        <f t="shared" si="240"/>
        <v>84.741563173128881</v>
      </c>
      <c r="BB292" s="270">
        <f t="shared" si="273"/>
        <v>-42.391881881213749</v>
      </c>
      <c r="BC292" s="270">
        <f t="shared" si="274"/>
        <v>-79.442265019804239</v>
      </c>
      <c r="BD292" s="286"/>
      <c r="BE292" s="270">
        <f t="shared" si="271"/>
        <v>25.764359962665427</v>
      </c>
      <c r="BF292" s="581">
        <f t="shared" si="272"/>
        <v>-15.816171807066866</v>
      </c>
      <c r="BI292" s="286"/>
      <c r="BJ292" s="286"/>
      <c r="BL292" s="253">
        <f t="shared" si="241"/>
        <v>0</v>
      </c>
      <c r="BM292" s="253">
        <f t="shared" si="275"/>
        <v>0</v>
      </c>
      <c r="BN292" s="253">
        <f t="shared" si="242"/>
        <v>0</v>
      </c>
      <c r="BO292" s="253">
        <f t="shared" si="243"/>
        <v>0</v>
      </c>
    </row>
    <row r="293" spans="4:67" ht="13.6" thickBot="1" x14ac:dyDescent="0.25">
      <c r="D293" s="280">
        <v>19498</v>
      </c>
      <c r="E293" s="273" t="str">
        <f t="shared" si="222"/>
        <v>0.220517184814898i</v>
      </c>
      <c r="F293" s="579" t="str">
        <f t="shared" si="244"/>
        <v>0.002-0.125578909940976i</v>
      </c>
      <c r="G293" s="270" t="str">
        <f t="shared" si="245"/>
        <v>0.002-0.125578909940976i</v>
      </c>
      <c r="H293" s="271" t="str">
        <f t="shared" si="246"/>
        <v>0.00982861478513465-0.124836939635867i</v>
      </c>
      <c r="I293" s="271" t="str">
        <f t="shared" si="247"/>
        <v>0.0198286147851346-0.124836939635867i</v>
      </c>
      <c r="J293" s="270" t="str">
        <f t="shared" si="248"/>
        <v>0.00545596170358184-0.0629206405393452i</v>
      </c>
      <c r="K293" s="271" t="str">
        <f t="shared" si="223"/>
        <v>0.990399939294462-0.153906466230386i</v>
      </c>
      <c r="L293" s="580"/>
      <c r="M293" s="580" t="str">
        <f t="shared" si="224"/>
        <v>-0.26409609839339-86.5801420534433i</v>
      </c>
      <c r="N293" s="270" t="str">
        <f t="shared" si="225"/>
        <v>-6.86473874046171-64.9351065400825i</v>
      </c>
      <c r="O293" s="581" t="str">
        <f t="shared" si="226"/>
        <v>-5.72377299912284-32.1196415936207i</v>
      </c>
      <c r="P293" s="582" t="str">
        <f t="shared" si="227"/>
        <v>-4.12321224866567+0.0776503041844117i</v>
      </c>
      <c r="Q293" s="583" t="str">
        <f t="shared" si="228"/>
        <v>-4.06597451867444+0.398846720120617i</v>
      </c>
      <c r="R293" s="581" t="str">
        <f t="shared" si="249"/>
        <v>-0.608349170098894-3.8375900878457i</v>
      </c>
      <c r="S293" s="253" t="str">
        <f t="shared" si="250"/>
        <v>51.2537288322918-5.38879094207339i</v>
      </c>
      <c r="T293" s="253" t="str">
        <f t="shared" si="251"/>
        <v>18.6742008150679-5.3305405645584i</v>
      </c>
      <c r="U293" s="253" t="str">
        <f t="shared" si="252"/>
        <v>-0.481906844452767-2.38362190970426i</v>
      </c>
      <c r="V293" s="582" t="str">
        <f t="shared" si="229"/>
        <v>6000</v>
      </c>
      <c r="W293" s="584" t="str">
        <f t="shared" si="230"/>
        <v>1+68615.6371888155i</v>
      </c>
      <c r="X293" s="585">
        <f t="shared" si="231"/>
        <v>68615.637196102471</v>
      </c>
      <c r="Y293" s="586">
        <f t="shared" si="232"/>
        <v>1.570781752857513</v>
      </c>
      <c r="Z293" s="273" t="str">
        <f t="shared" si="233"/>
        <v>1+10.2908019580286i</v>
      </c>
      <c r="AA293" s="585">
        <f t="shared" si="234"/>
        <v>10.339274874930314</v>
      </c>
      <c r="AB293" s="586">
        <f t="shared" si="235"/>
        <v>1.4739263148704411</v>
      </c>
      <c r="AC293" s="584" t="str">
        <f t="shared" si="236"/>
        <v>1+0.497513527371984i</v>
      </c>
      <c r="AD293" s="585">
        <f t="shared" si="237"/>
        <v>1.1169242185207169</v>
      </c>
      <c r="AE293" s="586">
        <f t="shared" si="238"/>
        <v>0.46165645314541354</v>
      </c>
      <c r="AF293" s="580" t="str">
        <f t="shared" si="253"/>
        <v>0.686456836199136-0.428952071679119i</v>
      </c>
      <c r="AG293" s="270">
        <f t="shared" si="254"/>
        <v>0.80945837926500919</v>
      </c>
      <c r="AH293" s="581">
        <f t="shared" si="255"/>
        <v>-0.55851189113248534</v>
      </c>
      <c r="AI293" s="582" t="str">
        <f t="shared" si="239"/>
        <v>4000</v>
      </c>
      <c r="AJ293" s="584" t="str">
        <f t="shared" si="256"/>
        <v>1+5390.60873795564i</v>
      </c>
      <c r="AK293" s="585">
        <f t="shared" si="257"/>
        <v>5390.6088307095424</v>
      </c>
      <c r="AL293" s="586">
        <f t="shared" si="258"/>
        <v>1.5706108189910213</v>
      </c>
      <c r="AM293" s="273" t="str">
        <f t="shared" si="259"/>
        <v>1+0.188664702563858i</v>
      </c>
      <c r="AN293" s="585">
        <f t="shared" si="260"/>
        <v>1.0176415724573702</v>
      </c>
      <c r="AO293" s="586">
        <f t="shared" si="261"/>
        <v>0.18647285883244286</v>
      </c>
      <c r="AP293" s="584" t="str">
        <f t="shared" si="262"/>
        <v>1+0.00136494575668299i</v>
      </c>
      <c r="AQ293" s="585">
        <f t="shared" si="263"/>
        <v>1.0000009315380254</v>
      </c>
      <c r="AR293" s="586">
        <f t="shared" si="264"/>
        <v>1.364944909017626E-3</v>
      </c>
      <c r="AS293" s="580" t="str">
        <f t="shared" si="265"/>
        <v>0.139119691854954-0.742195119127376i</v>
      </c>
      <c r="AT293" s="270">
        <f t="shared" si="266"/>
        <v>0.75512110519989928</v>
      </c>
      <c r="AU293" s="581">
        <f t="shared" si="267"/>
        <v>-1.3855029050675964</v>
      </c>
      <c r="AV293" s="580" t="str">
        <f t="shared" si="268"/>
        <v>-0.0135835212629596-0.146014838593096i</v>
      </c>
      <c r="AW293" s="270">
        <f t="shared" si="269"/>
        <v>-16.674636805408603</v>
      </c>
      <c r="AX293" s="581">
        <f t="shared" si="270"/>
        <v>-95.314835723164322</v>
      </c>
      <c r="AY293" s="299">
        <f t="shared" si="240"/>
        <v>84.685164276835678</v>
      </c>
      <c r="BB293" s="270">
        <f t="shared" si="273"/>
        <v>-42.439667825635013</v>
      </c>
      <c r="BC293" s="270">
        <f t="shared" si="274"/>
        <v>-79.383468963488028</v>
      </c>
      <c r="BD293" s="286"/>
      <c r="BE293" s="270">
        <f t="shared" si="271"/>
        <v>25.765031020226388</v>
      </c>
      <c r="BF293" s="581">
        <f t="shared" si="272"/>
        <v>-15.931366759676292</v>
      </c>
      <c r="BI293" s="286"/>
      <c r="BJ293" s="286"/>
      <c r="BL293" s="253">
        <f t="shared" si="241"/>
        <v>0</v>
      </c>
      <c r="BM293" s="253">
        <f t="shared" si="275"/>
        <v>0</v>
      </c>
      <c r="BN293" s="253">
        <f t="shared" si="242"/>
        <v>0</v>
      </c>
      <c r="BO293" s="253">
        <f t="shared" si="243"/>
        <v>0</v>
      </c>
    </row>
    <row r="294" spans="4:67" ht="13.6" thickBot="1" x14ac:dyDescent="0.25">
      <c r="D294" s="280">
        <v>19611.75</v>
      </c>
      <c r="E294" s="273" t="str">
        <f t="shared" si="222"/>
        <v>0.221803667006543i</v>
      </c>
      <c r="F294" s="579" t="str">
        <f t="shared" si="244"/>
        <v>0.002-0.124850540417309i</v>
      </c>
      <c r="G294" s="270" t="str">
        <f t="shared" si="245"/>
        <v>0.002-0.124850540417309i</v>
      </c>
      <c r="H294" s="271" t="str">
        <f t="shared" si="246"/>
        <v>0.00973839251617651-0.124118500132956i</v>
      </c>
      <c r="I294" s="271" t="str">
        <f t="shared" si="247"/>
        <v>0.0197383925161765-0.124118500132956i</v>
      </c>
      <c r="J294" s="270" t="str">
        <f t="shared" si="248"/>
        <v>0.00543314710179794-0.0625575488511619i</v>
      </c>
      <c r="K294" s="271" t="str">
        <f t="shared" si="223"/>
        <v>0.990287600362049-0.154804346040301i</v>
      </c>
      <c r="L294" s="580"/>
      <c r="M294" s="580" t="str">
        <f t="shared" si="224"/>
        <v>-0.269547394970436-85.8879810290633i</v>
      </c>
      <c r="N294" s="270" t="str">
        <f t="shared" si="225"/>
        <v>-6.8688272128945-64.4159857717975i</v>
      </c>
      <c r="O294" s="581" t="str">
        <f t="shared" si="226"/>
        <v>-5.70881133155698-31.8594146906423i</v>
      </c>
      <c r="P294" s="582" t="str">
        <f t="shared" si="227"/>
        <v>-4.06702552537946+0.079715467515339i</v>
      </c>
      <c r="Q294" s="583" t="str">
        <f t="shared" si="228"/>
        <v>-4.00993741206389+0.398309614421761i</v>
      </c>
      <c r="R294" s="581" t="str">
        <f t="shared" si="249"/>
        <v>-0.607272676559131-3.8064156816322i</v>
      </c>
      <c r="S294" s="253" t="str">
        <f t="shared" si="250"/>
        <v>51.2481084305935-5.45012854038602i</v>
      </c>
      <c r="T294" s="253" t="str">
        <f t="shared" si="251"/>
        <v>18.6646407293991-5.36946702673301i</v>
      </c>
      <c r="U294" s="253" t="str">
        <f t="shared" si="252"/>
        <v>-0.484686596275162-2.3689171903625i</v>
      </c>
      <c r="V294" s="582" t="str">
        <f t="shared" si="229"/>
        <v>6000</v>
      </c>
      <c r="W294" s="584" t="str">
        <f t="shared" si="230"/>
        <v>1+69015.936128718i</v>
      </c>
      <c r="X294" s="585">
        <f t="shared" si="231"/>
        <v>69015.936135962722</v>
      </c>
      <c r="Y294" s="586">
        <f t="shared" si="232"/>
        <v>1.5707818373877245</v>
      </c>
      <c r="Z294" s="273" t="str">
        <f t="shared" si="233"/>
        <v>1+10.3508377936386i</v>
      </c>
      <c r="AA294" s="585">
        <f t="shared" si="234"/>
        <v>10.399030869759796</v>
      </c>
      <c r="AB294" s="586">
        <f t="shared" si="235"/>
        <v>1.4744846920149945</v>
      </c>
      <c r="AC294" s="584" t="str">
        <f t="shared" si="236"/>
        <v>1+0.500415987303182i</v>
      </c>
      <c r="AD294" s="585">
        <f t="shared" si="237"/>
        <v>1.1182200858277489</v>
      </c>
      <c r="AE294" s="586">
        <f t="shared" si="238"/>
        <v>0.46398034346574535</v>
      </c>
      <c r="AF294" s="580" t="str">
        <f t="shared" si="253"/>
        <v>0.684866723243094-0.429641661992316i</v>
      </c>
      <c r="AG294" s="270">
        <f t="shared" si="254"/>
        <v>0.8084765836592005</v>
      </c>
      <c r="AH294" s="581">
        <f t="shared" si="255"/>
        <v>-0.56027748883847561</v>
      </c>
      <c r="AI294" s="582" t="str">
        <f t="shared" si="239"/>
        <v>4000</v>
      </c>
      <c r="AJ294" s="584" t="str">
        <f t="shared" si="256"/>
        <v>1+5422.05718107503i</v>
      </c>
      <c r="AK294" s="585">
        <f t="shared" si="257"/>
        <v>5422.0572732909504</v>
      </c>
      <c r="AL294" s="586">
        <f t="shared" si="258"/>
        <v>1.5706118949537586</v>
      </c>
      <c r="AM294" s="273" t="str">
        <f t="shared" si="259"/>
        <v>1+0.189765359550042i</v>
      </c>
      <c r="AN294" s="585">
        <f t="shared" si="260"/>
        <v>1.017846202373009</v>
      </c>
      <c r="AO294" s="586">
        <f t="shared" si="261"/>
        <v>0.1875354717113786</v>
      </c>
      <c r="AP294" s="584" t="str">
        <f t="shared" si="262"/>
        <v>1+0.00137290875698161i</v>
      </c>
      <c r="AQ294" s="585">
        <f t="shared" si="263"/>
        <v>1.0000009424387835</v>
      </c>
      <c r="AR294" s="586">
        <f t="shared" si="264"/>
        <v>1.3729078943938732E-3</v>
      </c>
      <c r="AS294" s="580" t="str">
        <f t="shared" si="265"/>
        <v>0.139118096715203-0.737892524722828i</v>
      </c>
      <c r="AT294" s="270">
        <f t="shared" si="266"/>
        <v>0.75089228446927725</v>
      </c>
      <c r="AU294" s="581">
        <f t="shared" si="267"/>
        <v>-1.3844493311367732</v>
      </c>
      <c r="AV294" s="580" t="str">
        <f t="shared" si="268"/>
        <v>-0.0136550028662494-0.14519488903995i</v>
      </c>
      <c r="AW294" s="270">
        <f t="shared" si="269"/>
        <v>-16.722730439638326</v>
      </c>
      <c r="AX294" s="581">
        <f t="shared" si="270"/>
        <v>-95.372638065097178</v>
      </c>
      <c r="AY294" s="299">
        <f t="shared" si="240"/>
        <v>84.627361934902822</v>
      </c>
      <c r="BB294" s="270">
        <f t="shared" si="273"/>
        <v>-42.488447161801133</v>
      </c>
      <c r="BC294" s="270">
        <f t="shared" si="274"/>
        <v>-79.323103623846848</v>
      </c>
      <c r="BD294" s="286"/>
      <c r="BE294" s="270">
        <f t="shared" si="271"/>
        <v>25.765716722162782</v>
      </c>
      <c r="BF294" s="581">
        <f t="shared" si="272"/>
        <v>-16.049534441250334</v>
      </c>
      <c r="BI294" s="286"/>
      <c r="BJ294" s="286"/>
      <c r="BL294" s="253">
        <f t="shared" si="241"/>
        <v>0</v>
      </c>
      <c r="BM294" s="253">
        <f t="shared" si="275"/>
        <v>0</v>
      </c>
      <c r="BN294" s="253">
        <f t="shared" si="242"/>
        <v>0</v>
      </c>
      <c r="BO294" s="253">
        <f t="shared" si="243"/>
        <v>0</v>
      </c>
    </row>
    <row r="295" spans="4:67" ht="13.6" thickBot="1" x14ac:dyDescent="0.25">
      <c r="D295" s="280">
        <v>19725.5</v>
      </c>
      <c r="E295" s="273" t="str">
        <f t="shared" si="222"/>
        <v>0.223090149198188i</v>
      </c>
      <c r="F295" s="579" t="str">
        <f t="shared" si="244"/>
        <v>0.002-0.124130571393838i</v>
      </c>
      <c r="G295" s="270" t="str">
        <f t="shared" si="245"/>
        <v>0.002-0.124130571393838i</v>
      </c>
      <c r="H295" s="271" t="str">
        <f t="shared" si="246"/>
        <v>0.0096497186122754-0.123408250600672i</v>
      </c>
      <c r="I295" s="271" t="str">
        <f t="shared" si="247"/>
        <v>0.0196497186122754-0.123408250600672i</v>
      </c>
      <c r="J295" s="270" t="str">
        <f t="shared" si="248"/>
        <v>0.0054107240740841-0.0621986392040956i</v>
      </c>
      <c r="K295" s="271" t="str">
        <f t="shared" si="223"/>
        <v>0.990174607958132-0.155702225850215i</v>
      </c>
      <c r="L295" s="580"/>
      <c r="M295" s="580" t="str">
        <f t="shared" si="224"/>
        <v>-0.274637871875355-85.2078603664662i</v>
      </c>
      <c r="N295" s="270" t="str">
        <f t="shared" si="225"/>
        <v>-6.87264507057319-63.9058952748497i</v>
      </c>
      <c r="O295" s="581" t="str">
        <f t="shared" si="226"/>
        <v>-5.69407663504193-31.6037111516638i</v>
      </c>
      <c r="P295" s="582" t="str">
        <f t="shared" si="227"/>
        <v>-4.01204570935108+0.0816920050828614i</v>
      </c>
      <c r="Q295" s="583" t="str">
        <f t="shared" si="228"/>
        <v>-3.95510494300066+0.3977291165995i</v>
      </c>
      <c r="R295" s="581" t="str">
        <f t="shared" si="249"/>
        <v>-0.606208410057475-3.77578163319014i</v>
      </c>
      <c r="S295" s="253" t="str">
        <f t="shared" si="250"/>
        <v>51.2423850422638-5.51129093407461i</v>
      </c>
      <c r="T295" s="253" t="str">
        <f t="shared" si="251"/>
        <v>18.6550060892229-5.40832666132113i</v>
      </c>
      <c r="U295" s="253" t="str">
        <f t="shared" si="252"/>
        <v>-0.487416572479328-2.35437049686089i</v>
      </c>
      <c r="V295" s="582" t="str">
        <f t="shared" si="229"/>
        <v>6000</v>
      </c>
      <c r="W295" s="584" t="str">
        <f t="shared" si="230"/>
        <v>1+69416.2350686212i</v>
      </c>
      <c r="X295" s="585">
        <f t="shared" si="231"/>
        <v>69416.235075824137</v>
      </c>
      <c r="Y295" s="586">
        <f t="shared" si="232"/>
        <v>1.5707819209430243</v>
      </c>
      <c r="Z295" s="273" t="str">
        <f t="shared" si="233"/>
        <v>1+10.4108736292488i</v>
      </c>
      <c r="AA295" s="585">
        <f t="shared" si="234"/>
        <v>10.458790069801958</v>
      </c>
      <c r="AB295" s="586">
        <f t="shared" si="235"/>
        <v>1.4750366884444179</v>
      </c>
      <c r="AC295" s="584" t="str">
        <f t="shared" si="236"/>
        <v>1+0.503318447234385i</v>
      </c>
      <c r="AD295" s="585">
        <f t="shared" si="237"/>
        <v>1.1195219780452872</v>
      </c>
      <c r="AE295" s="586">
        <f t="shared" si="238"/>
        <v>0.46629884137828409</v>
      </c>
      <c r="AF295" s="580" t="str">
        <f t="shared" si="253"/>
        <v>0.683274774698394-0.430326946535236i</v>
      </c>
      <c r="AG295" s="270">
        <f t="shared" si="254"/>
        <v>0.807493466632072</v>
      </c>
      <c r="AH295" s="581">
        <f t="shared" si="255"/>
        <v>-0.5620440738768927</v>
      </c>
      <c r="AI295" s="582" t="str">
        <f t="shared" si="239"/>
        <v>4000</v>
      </c>
      <c r="AJ295" s="584" t="str">
        <f t="shared" si="256"/>
        <v>1+5453.50562419446i</v>
      </c>
      <c r="AK295" s="585">
        <f t="shared" si="257"/>
        <v>5453.5057158786049</v>
      </c>
      <c r="AL295" s="586">
        <f t="shared" si="258"/>
        <v>1.5706129585071011</v>
      </c>
      <c r="AM295" s="273" t="str">
        <f t="shared" si="259"/>
        <v>1+0.190866016536227i</v>
      </c>
      <c r="AN295" s="585">
        <f t="shared" si="260"/>
        <v>1.0180519811229716</v>
      </c>
      <c r="AO295" s="586">
        <f t="shared" si="261"/>
        <v>0.18859765621759386</v>
      </c>
      <c r="AP295" s="584" t="str">
        <f t="shared" si="262"/>
        <v>1+0.00138087175728024i</v>
      </c>
      <c r="AQ295" s="585">
        <f t="shared" si="263"/>
        <v>1.0000009534029506</v>
      </c>
      <c r="AR295" s="586">
        <f t="shared" si="264"/>
        <v>1.3808708795960206E-3</v>
      </c>
      <c r="AS295" s="580" t="str">
        <f t="shared" si="265"/>
        <v>0.139116529021736-0.733639566165416i</v>
      </c>
      <c r="AT295" s="270">
        <f t="shared" si="266"/>
        <v>0.74671307855858227</v>
      </c>
      <c r="AU295" s="581">
        <f t="shared" si="267"/>
        <v>-1.3833961731691036</v>
      </c>
      <c r="AV295" s="580" t="str">
        <f t="shared" si="268"/>
        <v>-0.0137254272948045-0.144384382070494i</v>
      </c>
      <c r="AW295" s="270">
        <f t="shared" si="269"/>
        <v>-16.770525876096823</v>
      </c>
      <c r="AX295" s="581">
        <f t="shared" si="270"/>
        <v>-95.430316984453725</v>
      </c>
      <c r="AY295" s="299">
        <f t="shared" si="240"/>
        <v>84.569683015546275</v>
      </c>
      <c r="BB295" s="270">
        <f t="shared" si="273"/>
        <v>-42.536924840152935</v>
      </c>
      <c r="BC295" s="270">
        <f t="shared" si="274"/>
        <v>-79.262762117138806</v>
      </c>
      <c r="BD295" s="286"/>
      <c r="BE295" s="270">
        <f t="shared" si="271"/>
        <v>25.766398964056112</v>
      </c>
      <c r="BF295" s="581">
        <f t="shared" si="272"/>
        <v>-16.167554867314923</v>
      </c>
      <c r="BI295" s="286"/>
      <c r="BJ295" s="286"/>
      <c r="BL295" s="253">
        <f t="shared" si="241"/>
        <v>0</v>
      </c>
      <c r="BM295" s="253">
        <f t="shared" si="275"/>
        <v>0</v>
      </c>
      <c r="BN295" s="253">
        <f t="shared" si="242"/>
        <v>0</v>
      </c>
      <c r="BO295" s="253">
        <f t="shared" si="243"/>
        <v>0</v>
      </c>
    </row>
    <row r="296" spans="4:67" ht="13.6" thickBot="1" x14ac:dyDescent="0.25">
      <c r="D296" s="280">
        <v>19839.25</v>
      </c>
      <c r="E296" s="273" t="str">
        <f t="shared" si="222"/>
        <v>0.224376631389833i</v>
      </c>
      <c r="F296" s="579" t="str">
        <f t="shared" si="244"/>
        <v>0.002-0.123418858375652i</v>
      </c>
      <c r="G296" s="270" t="str">
        <f t="shared" si="245"/>
        <v>0.002-0.123418858375652i</v>
      </c>
      <c r="H296" s="271" t="str">
        <f t="shared" si="246"/>
        <v>0.00956255788955639-0.122706052334378i</v>
      </c>
      <c r="I296" s="271" t="str">
        <f t="shared" si="247"/>
        <v>0.0195625578895564-0.122706052334378i</v>
      </c>
      <c r="J296" s="270" t="str">
        <f t="shared" si="248"/>
        <v>0.00538868367164247-0.0618438399381037i</v>
      </c>
      <c r="K296" s="271" t="str">
        <f t="shared" si="223"/>
        <v>0.990060962082713-0.156600105660129i</v>
      </c>
      <c r="L296" s="580"/>
      <c r="M296" s="580" t="str">
        <f t="shared" si="224"/>
        <v>-0.279386508601714-84.5394533568893i</v>
      </c>
      <c r="N296" s="270" t="str">
        <f t="shared" si="225"/>
        <v>-6.87620654811795-63.404590017667i</v>
      </c>
      <c r="O296" s="581" t="str">
        <f t="shared" si="226"/>
        <v>-5.67956525233532-31.3524078162215i</v>
      </c>
      <c r="P296" s="582" t="str">
        <f t="shared" si="227"/>
        <v>-3.95823701834237+0.0835837382077598i</v>
      </c>
      <c r="Q296" s="583" t="str">
        <f t="shared" si="228"/>
        <v>-3.90144136581901+0.397107816369974i</v>
      </c>
      <c r="R296" s="581" t="str">
        <f t="shared" si="249"/>
        <v>-0.605156378337873-3.74567324691884i</v>
      </c>
      <c r="S296" s="253" t="str">
        <f t="shared" si="250"/>
        <v>51.2365598330738-5.57228083615075i</v>
      </c>
      <c r="T296" s="253" t="str">
        <f t="shared" si="251"/>
        <v>18.6452972626364-5.44712017086948i</v>
      </c>
      <c r="U296" s="253" t="str">
        <f t="shared" si="252"/>
        <v>-0.490097878316409-2.3399792236644i</v>
      </c>
      <c r="V296" s="582" t="str">
        <f t="shared" si="229"/>
        <v>6000</v>
      </c>
      <c r="W296" s="584" t="str">
        <f t="shared" si="230"/>
        <v>1+69816.5340085243i</v>
      </c>
      <c r="X296" s="585">
        <f t="shared" si="231"/>
        <v>69816.534015685931</v>
      </c>
      <c r="Y296" s="586">
        <f t="shared" si="232"/>
        <v>1.5707820035401814</v>
      </c>
      <c r="Z296" s="273" t="str">
        <f t="shared" si="233"/>
        <v>1+10.4709094648589i</v>
      </c>
      <c r="AA296" s="585">
        <f t="shared" si="234"/>
        <v>10.518552420427048</v>
      </c>
      <c r="AB296" s="586">
        <f t="shared" si="235"/>
        <v>1.4755824125776957</v>
      </c>
      <c r="AC296" s="584" t="str">
        <f t="shared" si="236"/>
        <v>1+0.506220907165588i</v>
      </c>
      <c r="AD296" s="585">
        <f t="shared" si="237"/>
        <v>1.1208298741787492</v>
      </c>
      <c r="AE296" s="586">
        <f t="shared" si="238"/>
        <v>0.4686119407912045</v>
      </c>
      <c r="AF296" s="580" t="str">
        <f t="shared" si="253"/>
        <v>0.681681067382832-0.431007847611277i</v>
      </c>
      <c r="AG296" s="270">
        <f t="shared" si="254"/>
        <v>0.8065090466514947</v>
      </c>
      <c r="AH296" s="581">
        <f t="shared" si="255"/>
        <v>-0.56381153175369192</v>
      </c>
      <c r="AI296" s="582" t="str">
        <f t="shared" si="239"/>
        <v>4000</v>
      </c>
      <c r="AJ296" s="584" t="str">
        <f t="shared" si="256"/>
        <v>1+5484.9540673139i</v>
      </c>
      <c r="AK296" s="585">
        <f t="shared" si="257"/>
        <v>5484.9541584723656</v>
      </c>
      <c r="AL296" s="586">
        <f t="shared" si="258"/>
        <v>1.5706140098644998</v>
      </c>
      <c r="AM296" s="273" t="str">
        <f t="shared" si="259"/>
        <v>1+0.191966673522413i</v>
      </c>
      <c r="AN296" s="585">
        <f t="shared" si="260"/>
        <v>1.0182589080107576</v>
      </c>
      <c r="AO296" s="586">
        <f t="shared" si="261"/>
        <v>0.18965941021473684</v>
      </c>
      <c r="AP296" s="584" t="str">
        <f t="shared" si="262"/>
        <v>1+0.00138883475757888i</v>
      </c>
      <c r="AQ296" s="585">
        <f t="shared" si="263"/>
        <v>1.000000964430527</v>
      </c>
      <c r="AR296" s="586">
        <f t="shared" si="264"/>
        <v>1.3888338646230582E-3</v>
      </c>
      <c r="AS296" s="580" t="str">
        <f t="shared" si="265"/>
        <v>0.139114988146498-0.729435389681404i</v>
      </c>
      <c r="AT296" s="270">
        <f t="shared" si="266"/>
        <v>0.74258263354771625</v>
      </c>
      <c r="AU296" s="581">
        <f t="shared" si="267"/>
        <v>-1.382343433514386</v>
      </c>
      <c r="AV296" s="580" t="str">
        <f t="shared" si="268"/>
        <v>-0.0137948191680002-0.143583157324999i</v>
      </c>
      <c r="AW296" s="270">
        <f t="shared" si="269"/>
        <v>-16.818026369017389</v>
      </c>
      <c r="AX296" s="581">
        <f t="shared" si="270"/>
        <v>-95.48787497735583</v>
      </c>
      <c r="AY296" s="299">
        <f t="shared" si="240"/>
        <v>84.51212502264417</v>
      </c>
      <c r="BB296" s="270">
        <f t="shared" si="273"/>
        <v>-42.585104232889066</v>
      </c>
      <c r="BC296" s="270">
        <f t="shared" si="274"/>
        <v>-79.20244457799744</v>
      </c>
      <c r="BD296" s="286"/>
      <c r="BE296" s="270">
        <f t="shared" si="271"/>
        <v>25.767077863871645</v>
      </c>
      <c r="BF296" s="581">
        <f t="shared" si="272"/>
        <v>-16.285430399358422</v>
      </c>
      <c r="BI296" s="286"/>
      <c r="BJ296" s="286"/>
      <c r="BL296" s="253">
        <f t="shared" si="241"/>
        <v>0</v>
      </c>
      <c r="BM296" s="253">
        <f t="shared" si="275"/>
        <v>0</v>
      </c>
      <c r="BN296" s="253">
        <f t="shared" si="242"/>
        <v>0</v>
      </c>
      <c r="BO296" s="253">
        <f t="shared" si="243"/>
        <v>0</v>
      </c>
    </row>
    <row r="297" spans="4:67" ht="13.6" thickBot="1" x14ac:dyDescent="0.25">
      <c r="D297" s="280">
        <v>19953</v>
      </c>
      <c r="E297" s="273" t="str">
        <f t="shared" si="222"/>
        <v>0.225663113581478i</v>
      </c>
      <c r="F297" s="579" t="str">
        <f t="shared" si="244"/>
        <v>0.002-0.122715260162841i</v>
      </c>
      <c r="G297" s="270" t="str">
        <f t="shared" si="245"/>
        <v>0.002-0.122715260162841i</v>
      </c>
      <c r="H297" s="271" t="str">
        <f t="shared" si="246"/>
        <v>0.00947687615661217-0.122011769731565i</v>
      </c>
      <c r="I297" s="271" t="str">
        <f t="shared" si="247"/>
        <v>0.0194768761566122-0.122011769731565i</v>
      </c>
      <c r="J297" s="270" t="str">
        <f t="shared" si="248"/>
        <v>0.00536701719954838-0.061493081019464i</v>
      </c>
      <c r="K297" s="271" t="str">
        <f t="shared" si="223"/>
        <v>0.98994666273579-0.157497985470043i</v>
      </c>
      <c r="L297" s="580"/>
      <c r="M297" s="580" t="str">
        <f t="shared" si="224"/>
        <v>-0.283811221012926-83.8824452666949i</v>
      </c>
      <c r="N297" s="270" t="str">
        <f t="shared" si="225"/>
        <v>-6.87952508242636-62.9118339500212i</v>
      </c>
      <c r="O297" s="581" t="str">
        <f t="shared" si="226"/>
        <v>-5.66527353783228-31.1053860531152i</v>
      </c>
      <c r="P297" s="582" t="str">
        <f t="shared" si="227"/>
        <v>-3.90556503161383+0.0853942984041834i</v>
      </c>
      <c r="Q297" s="583" t="str">
        <f t="shared" si="228"/>
        <v>-3.84891229623549+0.396448158935337i</v>
      </c>
      <c r="R297" s="581" t="str">
        <f t="shared" si="249"/>
        <v>-0.604116573583944-3.71607636703623i</v>
      </c>
      <c r="S297" s="253" t="str">
        <f t="shared" si="250"/>
        <v>51.2306339361355-5.63310089978309i</v>
      </c>
      <c r="T297" s="253" t="str">
        <f t="shared" si="251"/>
        <v>18.6355146083697-5.48584824048001i</v>
      </c>
      <c r="U297" s="253" t="str">
        <f t="shared" si="252"/>
        <v>-0.492731588241502-2.32574082161462i</v>
      </c>
      <c r="V297" s="582" t="str">
        <f t="shared" si="229"/>
        <v>6000</v>
      </c>
      <c r="W297" s="584" t="str">
        <f t="shared" si="230"/>
        <v>1+70216.8329484269i</v>
      </c>
      <c r="X297" s="585">
        <f t="shared" si="231"/>
        <v>70216.832955547696</v>
      </c>
      <c r="Y297" s="586">
        <f t="shared" si="232"/>
        <v>1.5707820851955829</v>
      </c>
      <c r="Z297" s="273" t="str">
        <f t="shared" si="233"/>
        <v>1+10.5309453004689i</v>
      </c>
      <c r="AA297" s="585">
        <f t="shared" si="234"/>
        <v>10.578317868237276</v>
      </c>
      <c r="AB297" s="586">
        <f t="shared" si="235"/>
        <v>1.4761219703987685</v>
      </c>
      <c r="AC297" s="584" t="str">
        <f t="shared" si="236"/>
        <v>1+0.509123367096786i</v>
      </c>
      <c r="AD297" s="585">
        <f t="shared" si="237"/>
        <v>1.1221437532348379</v>
      </c>
      <c r="AE297" s="586">
        <f t="shared" si="238"/>
        <v>0.47091963587208929</v>
      </c>
      <c r="AF297" s="580" t="str">
        <f t="shared" si="253"/>
        <v>0.68008567754259-0.431684290418708i</v>
      </c>
      <c r="AG297" s="270">
        <f t="shared" si="254"/>
        <v>0.80552334254996427</v>
      </c>
      <c r="AH297" s="581">
        <f t="shared" si="255"/>
        <v>-0.56557975066890431</v>
      </c>
      <c r="AI297" s="582" t="str">
        <f t="shared" si="239"/>
        <v>4000</v>
      </c>
      <c r="AJ297" s="584" t="str">
        <f t="shared" si="256"/>
        <v>1+5516.40251043329i</v>
      </c>
      <c r="AK297" s="585">
        <f t="shared" si="257"/>
        <v>5516.4026010720709</v>
      </c>
      <c r="AL297" s="586">
        <f t="shared" si="258"/>
        <v>1.5706150492345383</v>
      </c>
      <c r="AM297" s="273" t="str">
        <f t="shared" si="259"/>
        <v>1+0.193067330508597i</v>
      </c>
      <c r="AN297" s="585">
        <f t="shared" si="260"/>
        <v>1.0184669823365486</v>
      </c>
      <c r="AO297" s="586">
        <f t="shared" si="261"/>
        <v>0.19072073157206682</v>
      </c>
      <c r="AP297" s="584" t="str">
        <f t="shared" si="262"/>
        <v>1+0.0013967977578775i</v>
      </c>
      <c r="AQ297" s="585">
        <f t="shared" si="263"/>
        <v>1.0000009755215125</v>
      </c>
      <c r="AR297" s="586">
        <f t="shared" si="264"/>
        <v>1.3967968494739463E-3</v>
      </c>
      <c r="AS297" s="580" t="str">
        <f t="shared" si="265"/>
        <v>0.139113473479282-0.725279160966172i</v>
      </c>
      <c r="AT297" s="270">
        <f t="shared" si="266"/>
        <v>0.73850011498662971</v>
      </c>
      <c r="AU297" s="581">
        <f t="shared" si="267"/>
        <v>-1.3812911145119462</v>
      </c>
      <c r="AV297" s="580" t="str">
        <f t="shared" si="268"/>
        <v>-0.0138632024179888-0.142791058030446i</v>
      </c>
      <c r="AW297" s="270">
        <f t="shared" si="269"/>
        <v>-16.865235118483454</v>
      </c>
      <c r="AX297" s="581">
        <f t="shared" si="270"/>
        <v>-95.545314486733659</v>
      </c>
      <c r="AY297" s="299">
        <f t="shared" si="240"/>
        <v>84.454685513266341</v>
      </c>
      <c r="BB297" s="270">
        <f t="shared" si="273"/>
        <v>-42.632988654622082</v>
      </c>
      <c r="BC297" s="270">
        <f t="shared" si="274"/>
        <v>-79.142151140456221</v>
      </c>
      <c r="BD297" s="286"/>
      <c r="BE297" s="270">
        <f t="shared" si="271"/>
        <v>25.767753536138631</v>
      </c>
      <c r="BF297" s="581">
        <f t="shared" si="272"/>
        <v>-16.403163346277459</v>
      </c>
      <c r="BI297" s="286"/>
      <c r="BJ297" s="286"/>
      <c r="BL297" s="253">
        <f t="shared" si="241"/>
        <v>0</v>
      </c>
      <c r="BM297" s="253">
        <f t="shared" si="275"/>
        <v>0</v>
      </c>
      <c r="BN297" s="253">
        <f t="shared" si="242"/>
        <v>0</v>
      </c>
      <c r="BO297" s="253">
        <f t="shared" si="243"/>
        <v>0</v>
      </c>
    </row>
    <row r="298" spans="4:67" ht="13.6" thickBot="1" x14ac:dyDescent="0.25">
      <c r="D298" s="280">
        <v>20069</v>
      </c>
      <c r="E298" s="273" t="str">
        <f t="shared" si="222"/>
        <v>0.226975042673617i</v>
      </c>
      <c r="F298" s="579" t="str">
        <f t="shared" si="244"/>
        <v>0.002-0.122005958743792i</v>
      </c>
      <c r="G298" s="270" t="str">
        <f t="shared" si="245"/>
        <v>0.002-0.122005958743792i</v>
      </c>
      <c r="H298" s="271" t="str">
        <f t="shared" si="246"/>
        <v>0.00939098833568768-0.121311768707361i</v>
      </c>
      <c r="I298" s="271" t="str">
        <f t="shared" si="247"/>
        <v>0.0193909883356877-0.121311768707361i</v>
      </c>
      <c r="J298" s="270" t="str">
        <f t="shared" si="248"/>
        <v>0.00534529849985861-0.0611394740739679i</v>
      </c>
      <c r="K298" s="271" t="str">
        <f t="shared" si="223"/>
        <v>0.989829429534608-0.158413625539934i</v>
      </c>
      <c r="L298" s="580"/>
      <c r="M298" s="580" t="str">
        <f t="shared" si="224"/>
        <v>-0.288007390276014-83.2238664020961i</v>
      </c>
      <c r="N298" s="270" t="str">
        <f t="shared" si="225"/>
        <v>-6.88267220937368-62.4178998015721i</v>
      </c>
      <c r="O298" s="581" t="str">
        <f t="shared" si="226"/>
        <v>-5.65092159770035-30.857769111823i</v>
      </c>
      <c r="P298" s="582" t="str">
        <f t="shared" si="227"/>
        <v>-3.85298750410553+0.0871606529309531i</v>
      </c>
      <c r="Q298" s="583" t="str">
        <f t="shared" si="228"/>
        <v>-3.79647828812851+0.395738344049182i</v>
      </c>
      <c r="R298" s="581" t="str">
        <f t="shared" si="249"/>
        <v>-0.603068770621381-3.68640669915124i</v>
      </c>
      <c r="S298" s="253" t="str">
        <f t="shared" si="250"/>
        <v>51.2244882705229-5.69495177654868i</v>
      </c>
      <c r="T298" s="253" t="str">
        <f t="shared" si="251"/>
        <v>18.6254627808891-5.52527565798076i</v>
      </c>
      <c r="U298" s="253" t="str">
        <f t="shared" si="252"/>
        <v>-0.495369458943259-2.31137563219834i</v>
      </c>
      <c r="V298" s="582" t="str">
        <f t="shared" si="229"/>
        <v>6000</v>
      </c>
      <c r="W298" s="584" t="str">
        <f t="shared" si="230"/>
        <v>1+70625.049889339i</v>
      </c>
      <c r="X298" s="585">
        <f t="shared" si="231"/>
        <v>70625.049896418626</v>
      </c>
      <c r="Y298" s="586">
        <f t="shared" si="232"/>
        <v>1.5707821675128641</v>
      </c>
      <c r="Z298" s="273" t="str">
        <f t="shared" si="233"/>
        <v>1+10.5921686581021i</v>
      </c>
      <c r="AA298" s="585">
        <f t="shared" si="234"/>
        <v>10.639268625318209</v>
      </c>
      <c r="AB298" s="586">
        <f t="shared" si="235"/>
        <v>1.4766659577201071</v>
      </c>
      <c r="AC298" s="584" t="str">
        <f t="shared" si="236"/>
        <v>1+0.512083238323331i</v>
      </c>
      <c r="AD298" s="585">
        <f t="shared" si="237"/>
        <v>1.1234897609554391</v>
      </c>
      <c r="AE298" s="586">
        <f t="shared" si="238"/>
        <v>0.473267406153283</v>
      </c>
      <c r="AF298" s="580" t="str">
        <f t="shared" si="253"/>
        <v>0.678457076207628-0.432369447388021i</v>
      </c>
      <c r="AG298" s="270">
        <f t="shared" si="254"/>
        <v>0.80451683841348276</v>
      </c>
      <c r="AH298" s="581">
        <f t="shared" si="255"/>
        <v>-0.5673836159460417</v>
      </c>
      <c r="AI298" s="582" t="str">
        <f t="shared" si="239"/>
        <v>4000</v>
      </c>
      <c r="AJ298" s="584" t="str">
        <f t="shared" si="256"/>
        <v>1+5548.47301066936i</v>
      </c>
      <c r="AK298" s="585">
        <f t="shared" si="257"/>
        <v>5548.4731007842429</v>
      </c>
      <c r="AL298" s="586">
        <f t="shared" si="258"/>
        <v>1.5706160970294729</v>
      </c>
      <c r="AM298" s="273" t="str">
        <f t="shared" si="259"/>
        <v>1+0.194189758731872i</v>
      </c>
      <c r="AN298" s="585">
        <f t="shared" si="260"/>
        <v>1.0186803533966593</v>
      </c>
      <c r="AO298" s="586">
        <f t="shared" si="261"/>
        <v>0.1918025983351177</v>
      </c>
      <c r="AP298" s="584" t="str">
        <f t="shared" si="262"/>
        <v>1+0.00140491826807215i</v>
      </c>
      <c r="AQ298" s="585">
        <f t="shared" si="263"/>
        <v>1.0000009868971831</v>
      </c>
      <c r="AR298" s="586">
        <f t="shared" si="264"/>
        <v>1.4049173437328678E-3</v>
      </c>
      <c r="AS298" s="580" t="str">
        <f t="shared" si="265"/>
        <v>0.139111955227756-0.721089255726672i</v>
      </c>
      <c r="AT298" s="270">
        <f t="shared" si="266"/>
        <v>0.73438535579880337</v>
      </c>
      <c r="AU298" s="581">
        <f t="shared" si="267"/>
        <v>-1.380218416038089</v>
      </c>
      <c r="AV298" s="580" t="str">
        <f t="shared" si="268"/>
        <v>-0.0139319236742676-0.141992529941902i</v>
      </c>
      <c r="AW298" s="270">
        <f t="shared" si="269"/>
        <v>-16.913080472962729</v>
      </c>
      <c r="AX298" s="581">
        <f t="shared" si="270"/>
        <v>-95.603770618647431</v>
      </c>
      <c r="AY298" s="299">
        <f t="shared" si="240"/>
        <v>84.396229381352569</v>
      </c>
      <c r="BB298" s="270">
        <f t="shared" si="273"/>
        <v>-42.681519837639058</v>
      </c>
      <c r="BC298" s="270">
        <f t="shared" si="274"/>
        <v>-79.08069004521407</v>
      </c>
      <c r="BD298" s="286"/>
      <c r="BE298" s="270">
        <f t="shared" si="271"/>
        <v>25.768439364676308</v>
      </c>
      <c r="BF298" s="581">
        <f t="shared" si="272"/>
        <v>-16.523080573433386</v>
      </c>
      <c r="BI298" s="286"/>
      <c r="BJ298" s="286"/>
      <c r="BL298" s="253">
        <f t="shared" si="241"/>
        <v>0</v>
      </c>
      <c r="BM298" s="253">
        <f t="shared" si="275"/>
        <v>0</v>
      </c>
      <c r="BN298" s="253">
        <f t="shared" si="242"/>
        <v>0</v>
      </c>
      <c r="BO298" s="253">
        <f t="shared" si="243"/>
        <v>0</v>
      </c>
    </row>
    <row r="299" spans="4:67" ht="13.6" thickBot="1" x14ac:dyDescent="0.25">
      <c r="D299" s="280">
        <v>20185</v>
      </c>
      <c r="E299" s="273" t="str">
        <f t="shared" si="222"/>
        <v>0.228286971765756i</v>
      </c>
      <c r="F299" s="579" t="str">
        <f t="shared" si="244"/>
        <v>0.002-0.121304809810709i</v>
      </c>
      <c r="G299" s="270" t="str">
        <f t="shared" si="245"/>
        <v>0.002-0.121304809810709i</v>
      </c>
      <c r="H299" s="271" t="str">
        <f t="shared" si="246"/>
        <v>0.00930656978485222-0.120619724247591i</v>
      </c>
      <c r="I299" s="271" t="str">
        <f t="shared" si="247"/>
        <v>0.0193065697848522-0.120619724247591i</v>
      </c>
      <c r="J299" s="270" t="str">
        <f t="shared" si="248"/>
        <v>0.00532395117601117-0.06078992676048i</v>
      </c>
      <c r="K299" s="271" t="str">
        <f t="shared" si="223"/>
        <v>0.989711516754627-0.159329265609824i</v>
      </c>
      <c r="L299" s="580"/>
      <c r="M299" s="580" t="str">
        <f t="shared" si="224"/>
        <v>-0.29190122553093-82.57651648856i</v>
      </c>
      <c r="N299" s="270" t="str">
        <f t="shared" si="225"/>
        <v>-6.88559258581487-61.93238736642i</v>
      </c>
      <c r="O299" s="581" t="str">
        <f t="shared" si="226"/>
        <v>-5.63679050479961-30.6143691228127i</v>
      </c>
      <c r="P299" s="582" t="str">
        <f t="shared" si="227"/>
        <v>-3.80152385085113+0.0888496624415589i</v>
      </c>
      <c r="Q299" s="583" t="str">
        <f t="shared" si="228"/>
        <v>-3.74515594580314+0.394993353669687i</v>
      </c>
      <c r="R299" s="581" t="str">
        <f t="shared" si="249"/>
        <v>-0.6020336234131-3.65724084912481i</v>
      </c>
      <c r="S299" s="253" t="str">
        <f t="shared" si="250"/>
        <v>51.2182401754571-5.75663141915366i</v>
      </c>
      <c r="T299" s="253" t="str">
        <f t="shared" si="251"/>
        <v>18.6153349012841-5.56463640671763i</v>
      </c>
      <c r="U299" s="253" t="str">
        <f t="shared" si="252"/>
        <v>-0.497959995589191-2.29716423961589i</v>
      </c>
      <c r="V299" s="582" t="str">
        <f t="shared" si="229"/>
        <v>6000</v>
      </c>
      <c r="W299" s="584" t="str">
        <f t="shared" si="230"/>
        <v>1+71033.2668302511i</v>
      </c>
      <c r="X299" s="585">
        <f t="shared" si="231"/>
        <v>71033.266837290052</v>
      </c>
      <c r="Y299" s="586">
        <f t="shared" si="232"/>
        <v>1.5707822488840169</v>
      </c>
      <c r="Z299" s="273" t="str">
        <f t="shared" si="233"/>
        <v>1+10.6533920157353i</v>
      </c>
      <c r="AA299" s="585">
        <f t="shared" si="234"/>
        <v>10.700222494926571</v>
      </c>
      <c r="AB299" s="586">
        <f t="shared" si="235"/>
        <v>1.4772037475462261</v>
      </c>
      <c r="AC299" s="584" t="str">
        <f t="shared" si="236"/>
        <v>1+0.515043109549875i</v>
      </c>
      <c r="AD299" s="585">
        <f t="shared" si="237"/>
        <v>1.1248419465395147</v>
      </c>
      <c r="AE299" s="586">
        <f t="shared" si="238"/>
        <v>0.47560954475469153</v>
      </c>
      <c r="AF299" s="580" t="str">
        <f t="shared" si="253"/>
        <v>0.676826883451536-0.433049819727627i</v>
      </c>
      <c r="AG299" s="270">
        <f t="shared" si="254"/>
        <v>0.80350903948172825</v>
      </c>
      <c r="AH299" s="581">
        <f t="shared" si="255"/>
        <v>-0.56918804609248386</v>
      </c>
      <c r="AI299" s="582" t="str">
        <f t="shared" si="239"/>
        <v>4000</v>
      </c>
      <c r="AJ299" s="584" t="str">
        <f t="shared" si="256"/>
        <v>1+5580.54351090544i</v>
      </c>
      <c r="AK299" s="585">
        <f t="shared" si="257"/>
        <v>5580.5436005024458</v>
      </c>
      <c r="AL299" s="586">
        <f t="shared" si="258"/>
        <v>1.5706171327813847</v>
      </c>
      <c r="AM299" s="273" t="str">
        <f t="shared" si="259"/>
        <v>1+0.195312186955147i</v>
      </c>
      <c r="AN299" s="585">
        <f t="shared" si="260"/>
        <v>1.0188949162564325</v>
      </c>
      <c r="AO299" s="586">
        <f t="shared" si="261"/>
        <v>0.19288401071601607</v>
      </c>
      <c r="AP299" s="584" t="str">
        <f t="shared" si="262"/>
        <v>1+0.0014130387782668i</v>
      </c>
      <c r="AQ299" s="585">
        <f t="shared" si="263"/>
        <v>1.0000009983387961</v>
      </c>
      <c r="AR299" s="586">
        <f t="shared" si="264"/>
        <v>1.4130378378065021E-3</v>
      </c>
      <c r="AS299" s="580" t="str">
        <f t="shared" si="265"/>
        <v>0.139110463003709-0.71694752089862i</v>
      </c>
      <c r="AT299" s="270">
        <f t="shared" si="266"/>
        <v>0.73031874454910684</v>
      </c>
      <c r="AU299" s="581">
        <f t="shared" si="267"/>
        <v>-1.3791461599031758</v>
      </c>
      <c r="AV299" s="580" t="str">
        <f t="shared" si="268"/>
        <v>-0.0139996441941168-0.14120317355159i</v>
      </c>
      <c r="AW299" s="270">
        <f t="shared" si="269"/>
        <v>-16.96062898317129</v>
      </c>
      <c r="AX299" s="581">
        <f t="shared" si="270"/>
        <v>-95.662108501914133</v>
      </c>
      <c r="AY299" s="299">
        <f t="shared" si="240"/>
        <v>84.337891498085867</v>
      </c>
      <c r="BB299" s="270">
        <f t="shared" si="273"/>
        <v>-42.729751050028135</v>
      </c>
      <c r="BC299" s="270">
        <f t="shared" si="274"/>
        <v>-79.01925429412654</v>
      </c>
      <c r="BD299" s="286"/>
      <c r="BE299" s="270">
        <f t="shared" si="271"/>
        <v>25.769122066856823</v>
      </c>
      <c r="BF299" s="581">
        <f t="shared" si="272"/>
        <v>-16.642854207787586</v>
      </c>
      <c r="BI299" s="286"/>
      <c r="BJ299" s="286"/>
      <c r="BL299" s="253">
        <f t="shared" si="241"/>
        <v>0</v>
      </c>
      <c r="BM299" s="253">
        <f t="shared" si="275"/>
        <v>0</v>
      </c>
      <c r="BN299" s="253">
        <f t="shared" si="242"/>
        <v>0</v>
      </c>
      <c r="BO299" s="253">
        <f t="shared" si="243"/>
        <v>0</v>
      </c>
    </row>
    <row r="300" spans="4:67" ht="13.6" thickBot="1" x14ac:dyDescent="0.25">
      <c r="D300" s="280">
        <v>20301</v>
      </c>
      <c r="E300" s="273" t="str">
        <f t="shared" si="222"/>
        <v>0.229598900857895i</v>
      </c>
      <c r="F300" s="579" t="str">
        <f t="shared" si="244"/>
        <v>0.002-0.120611673613574i</v>
      </c>
      <c r="G300" s="270" t="str">
        <f t="shared" si="245"/>
        <v>0.002-0.120611673613574i</v>
      </c>
      <c r="H300" s="271" t="str">
        <f t="shared" si="246"/>
        <v>0.00922358722167065-0.119935501965845i</v>
      </c>
      <c r="I300" s="271" t="str">
        <f t="shared" si="247"/>
        <v>0.0192235872216707-0.119935501965845i</v>
      </c>
      <c r="J300" s="270" t="str">
        <f t="shared" si="248"/>
        <v>0.00530296676835195-0.0604443697418623i</v>
      </c>
      <c r="K300" s="271" t="str">
        <f t="shared" si="223"/>
        <v>0.989592924395849-0.160244905679715i</v>
      </c>
      <c r="L300" s="580"/>
      <c r="M300" s="580" t="str">
        <f t="shared" si="224"/>
        <v>-0.295508718332188-81.9400967946134i</v>
      </c>
      <c r="N300" s="270" t="str">
        <f t="shared" si="225"/>
        <v>-6.88829820541581-61.45507259596i</v>
      </c>
      <c r="O300" s="581" t="str">
        <f t="shared" si="226"/>
        <v>-5.62287646421493-30.375073528003i</v>
      </c>
      <c r="P300" s="582" t="str">
        <f t="shared" si="227"/>
        <v>-3.75114154697701+0.0904646358973273i</v>
      </c>
      <c r="Q300" s="583" t="str">
        <f t="shared" si="228"/>
        <v>-3.69491278233486+0.394215371177358i</v>
      </c>
      <c r="R300" s="581" t="str">
        <f t="shared" si="249"/>
        <v>-0.601011082660653-3.62856538414512i</v>
      </c>
      <c r="S300" s="253" t="str">
        <f t="shared" si="250"/>
        <v>51.211890754521-5.81814245912824i</v>
      </c>
      <c r="T300" s="253" t="str">
        <f t="shared" si="251"/>
        <v>18.6051313218943-5.60393116014492i</v>
      </c>
      <c r="U300" s="253" t="str">
        <f t="shared" si="252"/>
        <v>-0.500504245155892-2.28310411207169i</v>
      </c>
      <c r="V300" s="582" t="str">
        <f t="shared" si="229"/>
        <v>6000</v>
      </c>
      <c r="W300" s="584" t="str">
        <f t="shared" si="230"/>
        <v>1+71441.4837711632i</v>
      </c>
      <c r="X300" s="585">
        <f t="shared" si="231"/>
        <v>71441.483778161928</v>
      </c>
      <c r="Y300" s="586">
        <f t="shared" si="232"/>
        <v>1.5707823293252592</v>
      </c>
      <c r="Z300" s="273" t="str">
        <f t="shared" si="233"/>
        <v>1+10.7146153733685i</v>
      </c>
      <c r="AA300" s="585">
        <f t="shared" si="234"/>
        <v>10.761179424172084</v>
      </c>
      <c r="AB300" s="586">
        <f t="shared" si="235"/>
        <v>1.4777354448809046</v>
      </c>
      <c r="AC300" s="584" t="str">
        <f t="shared" si="236"/>
        <v>1+0.518002980776419i</v>
      </c>
      <c r="AD300" s="585">
        <f t="shared" si="237"/>
        <v>1.1262002877344932</v>
      </c>
      <c r="AE300" s="586">
        <f t="shared" si="238"/>
        <v>0.47794604631175286</v>
      </c>
      <c r="AF300" s="580" t="str">
        <f t="shared" si="253"/>
        <v>0.675195178276146-0.433725336932794i</v>
      </c>
      <c r="AG300" s="270">
        <f t="shared" si="254"/>
        <v>0.80249996676935897</v>
      </c>
      <c r="AH300" s="581">
        <f t="shared" si="255"/>
        <v>-0.57099293075610935</v>
      </c>
      <c r="AI300" s="582" t="str">
        <f t="shared" si="239"/>
        <v>4000</v>
      </c>
      <c r="AJ300" s="584" t="str">
        <f t="shared" si="256"/>
        <v>1+5612.61401114151i</v>
      </c>
      <c r="AK300" s="585">
        <f t="shared" si="257"/>
        <v>5612.6141002265595</v>
      </c>
      <c r="AL300" s="586">
        <f t="shared" si="258"/>
        <v>1.5706181566967155</v>
      </c>
      <c r="AM300" s="273" t="str">
        <f t="shared" si="259"/>
        <v>1+0.196434615178422i</v>
      </c>
      <c r="AN300" s="585">
        <f t="shared" si="260"/>
        <v>1.0191106701631059</v>
      </c>
      <c r="AO300" s="586">
        <f t="shared" si="261"/>
        <v>0.19396496647323869</v>
      </c>
      <c r="AP300" s="584" t="str">
        <f t="shared" si="262"/>
        <v>1+0.00142115928846145i</v>
      </c>
      <c r="AQ300" s="585">
        <f t="shared" si="263"/>
        <v>1.0000010098463517</v>
      </c>
      <c r="AR300" s="586">
        <f t="shared" si="264"/>
        <v>1.421158331693778E-3</v>
      </c>
      <c r="AS300" s="580" t="str">
        <f t="shared" si="265"/>
        <v>0.139108996213542-0.712853130744316i</v>
      </c>
      <c r="AT300" s="270">
        <f t="shared" si="266"/>
        <v>0.72629945534848928</v>
      </c>
      <c r="AU300" s="581">
        <f t="shared" si="267"/>
        <v>-1.3780743485551701</v>
      </c>
      <c r="AV300" s="580" t="str">
        <f t="shared" si="268"/>
        <v>-0.0140663872937509-0.14042283349259i</v>
      </c>
      <c r="AW300" s="270">
        <f t="shared" si="269"/>
        <v>-17.007883876492592</v>
      </c>
      <c r="AX300" s="581">
        <f t="shared" si="270"/>
        <v>-95.720330565511389</v>
      </c>
      <c r="AY300" s="299">
        <f t="shared" si="240"/>
        <v>84.279669434488611</v>
      </c>
      <c r="BB300" s="270">
        <f t="shared" si="273"/>
        <v>-42.777685630312902</v>
      </c>
      <c r="BC300" s="270">
        <f t="shared" si="274"/>
        <v>-78.957844027451586</v>
      </c>
      <c r="BD300" s="286"/>
      <c r="BE300" s="270">
        <f t="shared" si="271"/>
        <v>25.769801753820332</v>
      </c>
      <c r="BF300" s="581">
        <f t="shared" si="272"/>
        <v>-16.7624865380598</v>
      </c>
      <c r="BI300" s="286"/>
      <c r="BJ300" s="286"/>
      <c r="BL300" s="253">
        <f t="shared" si="241"/>
        <v>0</v>
      </c>
      <c r="BM300" s="253">
        <f t="shared" si="275"/>
        <v>0</v>
      </c>
      <c r="BN300" s="253">
        <f t="shared" si="242"/>
        <v>0</v>
      </c>
      <c r="BO300" s="253">
        <f t="shared" si="243"/>
        <v>0</v>
      </c>
    </row>
    <row r="301" spans="4:67" ht="13.6" thickBot="1" x14ac:dyDescent="0.25">
      <c r="D301" s="280">
        <v>20417</v>
      </c>
      <c r="E301" s="273" t="str">
        <f t="shared" si="222"/>
        <v>0.230910829950034i</v>
      </c>
      <c r="F301" s="579" t="str">
        <f t="shared" si="244"/>
        <v>0.002-0.119926413578349i</v>
      </c>
      <c r="G301" s="270" t="str">
        <f t="shared" si="245"/>
        <v>0.002-0.119926413578349i</v>
      </c>
      <c r="H301" s="271" t="str">
        <f t="shared" si="246"/>
        <v>0.00914200829968083-0.119258970473733i</v>
      </c>
      <c r="I301" s="271" t="str">
        <f t="shared" si="247"/>
        <v>0.0191420082996808-0.119258970473733i</v>
      </c>
      <c r="J301" s="270" t="str">
        <f t="shared" si="248"/>
        <v>0.00528233705643151-0.0601027352495759i</v>
      </c>
      <c r="K301" s="271" t="str">
        <f t="shared" si="223"/>
        <v>0.989473652458271-0.161160545749605i</v>
      </c>
      <c r="L301" s="580"/>
      <c r="M301" s="580" t="str">
        <f t="shared" si="224"/>
        <v>-0.298844970031001-81.3143193333182i</v>
      </c>
      <c r="N301" s="270" t="str">
        <f t="shared" si="225"/>
        <v>-6.89080039418992-60.9857394999886i</v>
      </c>
      <c r="O301" s="581" t="str">
        <f t="shared" si="226"/>
        <v>-5.60917571429268-30.1397738307026i</v>
      </c>
      <c r="P301" s="582" t="str">
        <f t="shared" si="227"/>
        <v>-3.70180928543812+0.0920087200750014i</v>
      </c>
      <c r="Q301" s="583" t="str">
        <f t="shared" si="228"/>
        <v>-3.64571752829518+0.393406458382025i</v>
      </c>
      <c r="R301" s="581" t="str">
        <f t="shared" si="249"/>
        <v>-0.600001087882745-3.60036735555532i</v>
      </c>
      <c r="S301" s="253" t="str">
        <f t="shared" si="250"/>
        <v>51.205441080437-5.87948746989303i</v>
      </c>
      <c r="T301" s="253" t="str">
        <f t="shared" si="251"/>
        <v>18.5948523862319-5.64316057478136i</v>
      </c>
      <c r="U301" s="253" t="str">
        <f t="shared" si="252"/>
        <v>-0.503003225520112-2.26919277250414i</v>
      </c>
      <c r="V301" s="582" t="str">
        <f t="shared" si="229"/>
        <v>6000</v>
      </c>
      <c r="W301" s="584" t="str">
        <f t="shared" si="230"/>
        <v>1+71849.7007120753i</v>
      </c>
      <c r="X301" s="585">
        <f t="shared" si="231"/>
        <v>71849.70071903427</v>
      </c>
      <c r="Y301" s="586">
        <f t="shared" si="232"/>
        <v>1.5707824088524414</v>
      </c>
      <c r="Z301" s="273" t="str">
        <f t="shared" si="233"/>
        <v>1+10.7758387310016i</v>
      </c>
      <c r="AA301" s="585">
        <f t="shared" si="234"/>
        <v>10.822139361353383</v>
      </c>
      <c r="AB301" s="586">
        <f t="shared" si="235"/>
        <v>1.478261152375979</v>
      </c>
      <c r="AC301" s="584" t="str">
        <f t="shared" si="236"/>
        <v>1+0.520962852002964i</v>
      </c>
      <c r="AD301" s="585">
        <f t="shared" si="237"/>
        <v>1.1275647622939722</v>
      </c>
      <c r="AE301" s="586">
        <f t="shared" si="238"/>
        <v>0.48027690573188608</v>
      </c>
      <c r="AF301" s="580" t="str">
        <f t="shared" si="253"/>
        <v>0.673562039050656-0.434395931315728i</v>
      </c>
      <c r="AG301" s="270">
        <f t="shared" si="254"/>
        <v>0.80148964160102298</v>
      </c>
      <c r="AH301" s="581">
        <f t="shared" si="255"/>
        <v>-0.57279816220834767</v>
      </c>
      <c r="AI301" s="582" t="str">
        <f t="shared" si="239"/>
        <v>4000</v>
      </c>
      <c r="AJ301" s="584" t="str">
        <f t="shared" si="256"/>
        <v>1+5644.68451137759i</v>
      </c>
      <c r="AK301" s="585">
        <f t="shared" si="257"/>
        <v>5644.6845999564994</v>
      </c>
      <c r="AL301" s="586">
        <f t="shared" si="258"/>
        <v>1.5706191689772147</v>
      </c>
      <c r="AM301" s="273" t="str">
        <f t="shared" si="259"/>
        <v>1+0.197557043401697i</v>
      </c>
      <c r="AN301" s="585">
        <f t="shared" si="260"/>
        <v>1.0193276143603782</v>
      </c>
      <c r="AO301" s="586">
        <f t="shared" si="261"/>
        <v>0.19504546337142317</v>
      </c>
      <c r="AP301" s="584" t="str">
        <f t="shared" si="262"/>
        <v>1+0.0014292797986561i</v>
      </c>
      <c r="AQ301" s="585">
        <f t="shared" si="263"/>
        <v>1.0000010214198498</v>
      </c>
      <c r="AR301" s="586">
        <f t="shared" si="264"/>
        <v>1.4292788253936243E-3</v>
      </c>
      <c r="AS301" s="580" t="str">
        <f t="shared" si="265"/>
        <v>0.13910755428047-0.708805278291908i</v>
      </c>
      <c r="AT301" s="270">
        <f t="shared" si="266"/>
        <v>0.72232668107468034</v>
      </c>
      <c r="AU301" s="581">
        <f t="shared" si="267"/>
        <v>-1.3770029844311849</v>
      </c>
      <c r="AV301" s="580" t="str">
        <f t="shared" si="268"/>
        <v>-0.0141321756399874-0.139651357863899i</v>
      </c>
      <c r="AW301" s="270">
        <f t="shared" si="269"/>
        <v>-17.054848326761135</v>
      </c>
      <c r="AX301" s="581">
        <f t="shared" si="270"/>
        <v>-95.778439186866137</v>
      </c>
      <c r="AY301" s="299">
        <f t="shared" si="240"/>
        <v>84.221560813133863</v>
      </c>
      <c r="BB301" s="270">
        <f t="shared" si="273"/>
        <v>-42.825326860221949</v>
      </c>
      <c r="BC301" s="270">
        <f t="shared" si="274"/>
        <v>-78.896459384825491</v>
      </c>
      <c r="BD301" s="286"/>
      <c r="BE301" s="270">
        <f t="shared" si="271"/>
        <v>25.770478533460786</v>
      </c>
      <c r="BF301" s="581">
        <f t="shared" si="272"/>
        <v>-16.881979802040689</v>
      </c>
      <c r="BI301" s="286"/>
      <c r="BJ301" s="286"/>
      <c r="BL301" s="253">
        <f t="shared" si="241"/>
        <v>0</v>
      </c>
      <c r="BM301" s="253">
        <f t="shared" si="275"/>
        <v>0</v>
      </c>
      <c r="BN301" s="253">
        <f t="shared" si="242"/>
        <v>0</v>
      </c>
      <c r="BO301" s="253">
        <f t="shared" si="243"/>
        <v>0</v>
      </c>
    </row>
    <row r="302" spans="4:67" ht="13.6" thickBot="1" x14ac:dyDescent="0.25">
      <c r="D302" s="280">
        <v>20536</v>
      </c>
      <c r="E302" s="273" t="str">
        <f t="shared" si="222"/>
        <v>0.232256688242832i</v>
      </c>
      <c r="F302" s="579" t="str">
        <f t="shared" si="244"/>
        <v>0.002-0.119231475751322i</v>
      </c>
      <c r="G302" s="270" t="str">
        <f t="shared" si="245"/>
        <v>0.002-0.119231475751322i</v>
      </c>
      <c r="H302" s="271" t="str">
        <f t="shared" si="246"/>
        <v>0.00905974519239026-0.118572799557155i</v>
      </c>
      <c r="I302" s="271" t="str">
        <f t="shared" si="247"/>
        <v>0.0190597451923903-0.118572799557155i</v>
      </c>
      <c r="J302" s="270" t="str">
        <f t="shared" si="248"/>
        <v>0.00526153401962511-0.0597562719682875i</v>
      </c>
      <c r="K302" s="271" t="str">
        <f t="shared" si="223"/>
        <v>0.989350589732583-0.162099866166131i</v>
      </c>
      <c r="L302" s="580"/>
      <c r="M302" s="580" t="str">
        <f t="shared" si="224"/>
        <v>-0.302000596516602-80.683125595515i</v>
      </c>
      <c r="N302" s="270" t="str">
        <f t="shared" si="225"/>
        <v>-6.89316711405412-60.5123441966362i</v>
      </c>
      <c r="O302" s="581" t="str">
        <f t="shared" si="226"/>
        <v>-5.59533836731152-29.9024314195359i</v>
      </c>
      <c r="P302" s="582" t="str">
        <f t="shared" si="227"/>
        <v>-3.65226073052637+0.093522211192408i</v>
      </c>
      <c r="Q302" s="583" t="str">
        <f t="shared" si="228"/>
        <v>-3.59630734685325+0.392546525387768i</v>
      </c>
      <c r="R302" s="581" t="str">
        <f t="shared" si="249"/>
        <v>-0.598977935438203-3.57192310117266i</v>
      </c>
      <c r="S302" s="253" t="str">
        <f t="shared" si="250"/>
        <v>51.1987215214626-5.94224910153457i</v>
      </c>
      <c r="T302" s="253" t="str">
        <f t="shared" si="251"/>
        <v>18.5842296622838-5.68333731860846i</v>
      </c>
      <c r="U302" s="253" t="str">
        <f t="shared" si="252"/>
        <v>-0.505520831357905-2.2550737266191i</v>
      </c>
      <c r="V302" s="582" t="str">
        <f t="shared" si="229"/>
        <v>6000</v>
      </c>
      <c r="W302" s="584" t="str">
        <f t="shared" si="230"/>
        <v>1+72268.4749876659i</v>
      </c>
      <c r="X302" s="585">
        <f t="shared" si="231"/>
        <v>72268.474994584554</v>
      </c>
      <c r="Y302" s="586">
        <f t="shared" si="232"/>
        <v>1.5707824895027702</v>
      </c>
      <c r="Z302" s="273" t="str">
        <f t="shared" si="233"/>
        <v>1+10.8386454513322i</v>
      </c>
      <c r="AA302" s="585">
        <f t="shared" si="234"/>
        <v>10.884678921295023</v>
      </c>
      <c r="AB302" s="586">
        <f t="shared" si="235"/>
        <v>1.4787943367234881</v>
      </c>
      <c r="AC302" s="584" t="str">
        <f t="shared" si="236"/>
        <v>1+0.523999271623296i</v>
      </c>
      <c r="AD302" s="585">
        <f t="shared" si="237"/>
        <v>1.1289708750281138</v>
      </c>
      <c r="AE302" s="586">
        <f t="shared" si="238"/>
        <v>0.48266217804641376</v>
      </c>
      <c r="AF302" s="580" t="str">
        <f t="shared" si="253"/>
        <v>0.671885254771872-0.435078685167738i</v>
      </c>
      <c r="AG302" s="270">
        <f t="shared" si="254"/>
        <v>0.80045190852864556</v>
      </c>
      <c r="AH302" s="581">
        <f t="shared" si="255"/>
        <v>-0.57465033082569561</v>
      </c>
      <c r="AI302" s="582" t="str">
        <f t="shared" si="239"/>
        <v>4000</v>
      </c>
      <c r="AJ302" s="584" t="str">
        <f t="shared" si="256"/>
        <v>1+5677.5844211025i</v>
      </c>
      <c r="AK302" s="585">
        <f t="shared" si="257"/>
        <v>5677.5845091681194</v>
      </c>
      <c r="AL302" s="586">
        <f t="shared" si="258"/>
        <v>1.5706201955539516</v>
      </c>
      <c r="AM302" s="273" t="str">
        <f t="shared" si="259"/>
        <v>1+0.19870849994109i</v>
      </c>
      <c r="AN302" s="585">
        <f t="shared" si="260"/>
        <v>1.019551405250779</v>
      </c>
      <c r="AO302" s="586">
        <f t="shared" si="261"/>
        <v>0.19615342500551841</v>
      </c>
      <c r="AP302" s="584" t="str">
        <f t="shared" si="262"/>
        <v>1+0.00143761032204543i</v>
      </c>
      <c r="AQ302" s="585">
        <f t="shared" si="263"/>
        <v>1.0000010333611851</v>
      </c>
      <c r="AR302" s="586">
        <f t="shared" si="264"/>
        <v>1.4376093316656757E-3</v>
      </c>
      <c r="AS302" s="580" t="str">
        <f t="shared" si="265"/>
        <v>0.139106100298332-0.70470027206516i</v>
      </c>
      <c r="AT302" s="270">
        <f t="shared" si="266"/>
        <v>0.71829867088065813</v>
      </c>
      <c r="AU302" s="581">
        <f t="shared" si="267"/>
        <v>-1.3759043798800981</v>
      </c>
      <c r="AV302" s="580" t="str">
        <f t="shared" si="268"/>
        <v>-0.0141986963929257-0.138868985902044i</v>
      </c>
      <c r="AW302" s="270">
        <f t="shared" si="269"/>
        <v>-17.102728838725998</v>
      </c>
      <c r="AX302" s="581">
        <f t="shared" si="270"/>
        <v>-95.837935175277153</v>
      </c>
      <c r="AY302" s="299">
        <f t="shared" si="240"/>
        <v>84.162064824722847</v>
      </c>
      <c r="BB302" s="270">
        <f t="shared" si="273"/>
        <v>-42.873898743441217</v>
      </c>
      <c r="BC302" s="270">
        <f t="shared" si="274"/>
        <v>-78.833513980694363</v>
      </c>
      <c r="BD302" s="286"/>
      <c r="BE302" s="270">
        <f t="shared" si="271"/>
        <v>25.771169904715229</v>
      </c>
      <c r="BF302" s="581">
        <f t="shared" si="272"/>
        <v>-17.004421194582807</v>
      </c>
      <c r="BI302" s="286"/>
      <c r="BJ302" s="286"/>
      <c r="BL302" s="253">
        <f t="shared" si="241"/>
        <v>0</v>
      </c>
      <c r="BM302" s="253">
        <f t="shared" si="275"/>
        <v>0</v>
      </c>
      <c r="BN302" s="253">
        <f t="shared" si="242"/>
        <v>0</v>
      </c>
      <c r="BO302" s="253">
        <f t="shared" si="243"/>
        <v>0</v>
      </c>
    </row>
    <row r="303" spans="4:67" ht="13.6" thickBot="1" x14ac:dyDescent="0.25">
      <c r="D303" s="280">
        <v>20655</v>
      </c>
      <c r="E303" s="273" t="str">
        <f t="shared" si="222"/>
        <v>0.23360254653563i</v>
      </c>
      <c r="F303" s="579" t="str">
        <f t="shared" si="244"/>
        <v>0.002-0.118544545438352i</v>
      </c>
      <c r="G303" s="270" t="str">
        <f t="shared" si="245"/>
        <v>0.002-0.118544545438352i</v>
      </c>
      <c r="H303" s="271" t="str">
        <f t="shared" si="246"/>
        <v>0.0089788931929772-0.117894451580721i</v>
      </c>
      <c r="I303" s="271" t="str">
        <f t="shared" si="247"/>
        <v>0.0189788931929772-0.117894451580721i</v>
      </c>
      <c r="J303" s="270" t="str">
        <f t="shared" si="248"/>
        <v>0.00524108747409291-0.0594137971205961i</v>
      </c>
      <c r="K303" s="271" t="str">
        <f t="shared" si="223"/>
        <v>0.989226811822934-0.163039186582656i</v>
      </c>
      <c r="L303" s="580"/>
      <c r="M303" s="580" t="str">
        <f t="shared" si="224"/>
        <v>-0.304900324977361-80.0625503156915i</v>
      </c>
      <c r="N303" s="270" t="str">
        <f t="shared" si="225"/>
        <v>-6.89534191039969-60.0469127367686i</v>
      </c>
      <c r="O303" s="581" t="str">
        <f t="shared" si="226"/>
        <v>-5.58171758906377-29.6690752815077i</v>
      </c>
      <c r="P303" s="582" t="str">
        <f t="shared" si="227"/>
        <v>-3.60375418117669+0.0949673231390028i</v>
      </c>
      <c r="Q303" s="583" t="str">
        <f t="shared" si="228"/>
        <v>-3.54793700528604+0.39165807595408i</v>
      </c>
      <c r="R303" s="581" t="str">
        <f t="shared" si="249"/>
        <v>-0.59796782605469-3.54395516133423i</v>
      </c>
      <c r="S303" s="253" t="str">
        <f t="shared" si="250"/>
        <v>51.191898648524-6.00484131067069i</v>
      </c>
      <c r="T303" s="253" t="str">
        <f t="shared" si="251"/>
        <v>18.5735283390587-5.72344664728309i</v>
      </c>
      <c r="U303" s="253" t="str">
        <f t="shared" si="252"/>
        <v>-0.507992876459812-2.24110615359397i</v>
      </c>
      <c r="V303" s="582" t="str">
        <f t="shared" si="229"/>
        <v>6000</v>
      </c>
      <c r="W303" s="584" t="str">
        <f t="shared" si="230"/>
        <v>1+72687.2492632565i</v>
      </c>
      <c r="X303" s="585">
        <f t="shared" si="231"/>
        <v>72687.249270135289</v>
      </c>
      <c r="Y303" s="586">
        <f t="shared" si="232"/>
        <v>1.5707825692237947</v>
      </c>
      <c r="Z303" s="273" t="str">
        <f t="shared" si="233"/>
        <v>1+10.9014521716627i</v>
      </c>
      <c r="AA303" s="585">
        <f t="shared" si="234"/>
        <v>10.947221540237935</v>
      </c>
      <c r="AB303" s="586">
        <f t="shared" si="235"/>
        <v>1.479321428943793</v>
      </c>
      <c r="AC303" s="584" t="str">
        <f t="shared" si="236"/>
        <v>1+0.527035691243628i</v>
      </c>
      <c r="AD303" s="585">
        <f t="shared" si="237"/>
        <v>1.1303833950676421</v>
      </c>
      <c r="AE303" s="586">
        <f t="shared" si="238"/>
        <v>0.48504150262723261</v>
      </c>
      <c r="AF303" s="580" t="str">
        <f t="shared" si="253"/>
        <v>0.670207126335048-0.435756122748067i</v>
      </c>
      <c r="AG303" s="270">
        <f t="shared" si="254"/>
        <v>0.79941290376294993</v>
      </c>
      <c r="AH303" s="581">
        <f t="shared" si="255"/>
        <v>-0.57650264290723541</v>
      </c>
      <c r="AI303" s="582" t="str">
        <f t="shared" si="239"/>
        <v>4000</v>
      </c>
      <c r="AJ303" s="584" t="str">
        <f t="shared" si="256"/>
        <v>1+5710.48433082742i</v>
      </c>
      <c r="AK303" s="585">
        <f t="shared" si="257"/>
        <v>5710.4844183856667</v>
      </c>
      <c r="AL303" s="586">
        <f t="shared" si="258"/>
        <v>1.5706212103018209</v>
      </c>
      <c r="AM303" s="273" t="str">
        <f t="shared" si="259"/>
        <v>1+0.199859956480483i</v>
      </c>
      <c r="AN303" s="585">
        <f t="shared" si="260"/>
        <v>1.0197764471708399</v>
      </c>
      <c r="AO303" s="586">
        <f t="shared" si="261"/>
        <v>0.1972608989937783</v>
      </c>
      <c r="AP303" s="584" t="str">
        <f t="shared" si="262"/>
        <v>1+0.00144594084543476i</v>
      </c>
      <c r="AQ303" s="585">
        <f t="shared" si="263"/>
        <v>1.0000010453719179</v>
      </c>
      <c r="AR303" s="586">
        <f t="shared" si="264"/>
        <v>1.4459398377381942E-3</v>
      </c>
      <c r="AS303" s="580" t="str">
        <f t="shared" si="265"/>
        <v>0.13910467129779-0.700642579657992i</v>
      </c>
      <c r="AT303" s="270">
        <f t="shared" si="266"/>
        <v>0.71431795022011868</v>
      </c>
      <c r="AU303" s="581">
        <f t="shared" si="267"/>
        <v>-1.3748062511457819</v>
      </c>
      <c r="AV303" s="580" t="str">
        <f t="shared" si="268"/>
        <v>-0.0142642586904236-0.138095629733897i</v>
      </c>
      <c r="AW303" s="270">
        <f t="shared" si="269"/>
        <v>-17.15031028920486</v>
      </c>
      <c r="AX303" s="581">
        <f t="shared" si="270"/>
        <v>-95.897316686012758</v>
      </c>
      <c r="AY303" s="299">
        <f t="shared" si="240"/>
        <v>84.102683313987242</v>
      </c>
      <c r="BB303" s="270">
        <f t="shared" si="273"/>
        <v>-42.922168725533901</v>
      </c>
      <c r="BC303" s="270">
        <f t="shared" si="274"/>
        <v>-78.770595838855996</v>
      </c>
      <c r="BD303" s="286"/>
      <c r="BE303" s="270">
        <f t="shared" si="271"/>
        <v>25.771858436329012</v>
      </c>
      <c r="BF303" s="581">
        <f t="shared" si="272"/>
        <v>-17.12672084715679</v>
      </c>
      <c r="BI303" s="286"/>
      <c r="BJ303" s="286"/>
      <c r="BL303" s="253">
        <f t="shared" si="241"/>
        <v>0</v>
      </c>
      <c r="BM303" s="253">
        <f t="shared" si="275"/>
        <v>0</v>
      </c>
      <c r="BN303" s="253">
        <f t="shared" si="242"/>
        <v>0</v>
      </c>
      <c r="BO303" s="253">
        <f t="shared" si="243"/>
        <v>0</v>
      </c>
    </row>
    <row r="304" spans="4:67" ht="13.6" thickBot="1" x14ac:dyDescent="0.25">
      <c r="D304" s="280">
        <v>20774</v>
      </c>
      <c r="E304" s="273" t="str">
        <f t="shared" si="222"/>
        <v>0.234948404828428i</v>
      </c>
      <c r="F304" s="579" t="str">
        <f t="shared" si="244"/>
        <v>0.002-0.117865485030767i</v>
      </c>
      <c r="G304" s="270" t="str">
        <f t="shared" si="245"/>
        <v>0.002-0.117865485030767i</v>
      </c>
      <c r="H304" s="271" t="str">
        <f t="shared" si="246"/>
        <v>0.00889942024792193-0.117223793994765i</v>
      </c>
      <c r="I304" s="271" t="str">
        <f t="shared" si="247"/>
        <v>0.0188994202479219-0.117223793994765i</v>
      </c>
      <c r="J304" s="270" t="str">
        <f t="shared" si="248"/>
        <v>0.00522098927761805-0.0590752424033695i</v>
      </c>
      <c r="K304" s="271" t="str">
        <f t="shared" si="223"/>
        <v>0.989102318729325-0.163978506999182i</v>
      </c>
      <c r="L304" s="580"/>
      <c r="M304" s="580" t="str">
        <f t="shared" si="224"/>
        <v>-0.307557885060057-79.4523147386157i</v>
      </c>
      <c r="N304" s="270" t="str">
        <f t="shared" si="225"/>
        <v>-6.89733508046171-59.5892360539618i</v>
      </c>
      <c r="O304" s="581" t="str">
        <f t="shared" si="226"/>
        <v>-5.56830944998255-29.4396004347637i</v>
      </c>
      <c r="P304" s="582" t="str">
        <f t="shared" si="227"/>
        <v>-3.55625947701863+0.0963469793163541i</v>
      </c>
      <c r="Q304" s="583" t="str">
        <f t="shared" si="228"/>
        <v>-3.5005763825188+0.39074298366399i</v>
      </c>
      <c r="R304" s="581" t="str">
        <f t="shared" si="249"/>
        <v>-0.596970664870279-3.51645100534355i</v>
      </c>
      <c r="S304" s="253" t="str">
        <f t="shared" si="250"/>
        <v>51.184973525088-6.06726669494995i</v>
      </c>
      <c r="T304" s="253" t="str">
        <f t="shared" si="251"/>
        <v>18.5627487603808-5.76348921694946i</v>
      </c>
      <c r="U304" s="253" t="str">
        <f t="shared" si="252"/>
        <v>-0.51042037048351-2.22728754929945i</v>
      </c>
      <c r="V304" s="582" t="str">
        <f t="shared" si="229"/>
        <v>6000</v>
      </c>
      <c r="W304" s="584" t="str">
        <f t="shared" si="230"/>
        <v>1+73106.0235388476i</v>
      </c>
      <c r="X304" s="585">
        <f t="shared" si="231"/>
        <v>73106.023545686985</v>
      </c>
      <c r="Y304" s="586">
        <f t="shared" si="232"/>
        <v>1.5707826480314853</v>
      </c>
      <c r="Z304" s="273" t="str">
        <f t="shared" si="233"/>
        <v>1+10.9642588919933i</v>
      </c>
      <c r="AA304" s="585">
        <f t="shared" si="234"/>
        <v>11.009767166050976</v>
      </c>
      <c r="AB304" s="586">
        <f t="shared" si="235"/>
        <v>1.479842532568185</v>
      </c>
      <c r="AC304" s="584" t="str">
        <f t="shared" si="236"/>
        <v>1+0.530072110863964i</v>
      </c>
      <c r="AD304" s="585">
        <f t="shared" si="237"/>
        <v>1.1318022984230853</v>
      </c>
      <c r="AE304" s="586">
        <f t="shared" si="238"/>
        <v>0.48741487485404617</v>
      </c>
      <c r="AF304" s="580" t="str">
        <f t="shared" si="253"/>
        <v>0.668527736252544-0.436428179744065i</v>
      </c>
      <c r="AG304" s="270">
        <f t="shared" si="254"/>
        <v>0.79837265121850776</v>
      </c>
      <c r="AH304" s="581">
        <f t="shared" si="255"/>
        <v>-0.57835499031734561</v>
      </c>
      <c r="AI304" s="582" t="str">
        <f t="shared" si="239"/>
        <v>4000</v>
      </c>
      <c r="AJ304" s="584" t="str">
        <f t="shared" si="256"/>
        <v>1+5743.38424055238i</v>
      </c>
      <c r="AK304" s="585">
        <f t="shared" si="257"/>
        <v>5743.3843276090656</v>
      </c>
      <c r="AL304" s="586">
        <f t="shared" si="258"/>
        <v>1.5706222134241015</v>
      </c>
      <c r="AM304" s="273" t="str">
        <f t="shared" si="259"/>
        <v>1+0.201011413019878i</v>
      </c>
      <c r="AN304" s="585">
        <f t="shared" si="260"/>
        <v>1.0200027392925217</v>
      </c>
      <c r="AO304" s="586">
        <f t="shared" si="261"/>
        <v>0.19836788294324295</v>
      </c>
      <c r="AP304" s="584" t="str">
        <f t="shared" si="262"/>
        <v>1+0.0014542713688241i</v>
      </c>
      <c r="AQ304" s="585">
        <f t="shared" si="263"/>
        <v>1.0000010574520481</v>
      </c>
      <c r="AR304" s="586">
        <f t="shared" si="264"/>
        <v>1.454270343610034E-3</v>
      </c>
      <c r="AS304" s="580" t="str">
        <f t="shared" si="265"/>
        <v>0.13910326670764-0.696631387985216i</v>
      </c>
      <c r="AT304" s="270">
        <f t="shared" si="266"/>
        <v>0.71038370584842758</v>
      </c>
      <c r="AU304" s="581">
        <f t="shared" si="267"/>
        <v>-1.3737086008244683</v>
      </c>
      <c r="AV304" s="580" t="str">
        <f t="shared" si="268"/>
        <v>-0.0143288850119916-0.137331136114769i</v>
      </c>
      <c r="AW304" s="270">
        <f t="shared" si="269"/>
        <v>-17.197595936710165</v>
      </c>
      <c r="AX304" s="581">
        <f t="shared" si="270"/>
        <v>-95.956586125655775</v>
      </c>
      <c r="AY304" s="299">
        <f t="shared" si="240"/>
        <v>84.043413874344225</v>
      </c>
      <c r="BB304" s="270">
        <f t="shared" si="273"/>
        <v>-42.970140171539313</v>
      </c>
      <c r="BC304" s="270">
        <f t="shared" si="274"/>
        <v>-78.70770510806355</v>
      </c>
      <c r="BD304" s="286"/>
      <c r="BE304" s="270">
        <f t="shared" si="271"/>
        <v>25.772544234829123</v>
      </c>
      <c r="BF304" s="581">
        <f t="shared" si="272"/>
        <v>-17.248881017592261</v>
      </c>
      <c r="BI304" s="286"/>
      <c r="BJ304" s="286"/>
      <c r="BL304" s="253">
        <f t="shared" si="241"/>
        <v>0</v>
      </c>
      <c r="BM304" s="253">
        <f t="shared" si="275"/>
        <v>0</v>
      </c>
      <c r="BN304" s="253">
        <f t="shared" si="242"/>
        <v>0</v>
      </c>
      <c r="BO304" s="253">
        <f t="shared" si="243"/>
        <v>0</v>
      </c>
    </row>
    <row r="305" spans="4:67" ht="13.6" thickBot="1" x14ac:dyDescent="0.25">
      <c r="D305" s="280">
        <v>20893</v>
      </c>
      <c r="E305" s="273" t="str">
        <f t="shared" si="222"/>
        <v>0.236294263121226i</v>
      </c>
      <c r="F305" s="579" t="str">
        <f t="shared" si="244"/>
        <v>0.002-0.117194160055002i</v>
      </c>
      <c r="G305" s="270" t="str">
        <f t="shared" si="245"/>
        <v>0.002-0.117194160055002i</v>
      </c>
      <c r="H305" s="271" t="str">
        <f t="shared" si="246"/>
        <v>0.00882129520765224-0.116560697216556i</v>
      </c>
      <c r="I305" s="271" t="str">
        <f t="shared" si="247"/>
        <v>0.0188212952076522-0.116560697216556i</v>
      </c>
      <c r="J305" s="270" t="str">
        <f t="shared" si="248"/>
        <v>0.00520123151880387-0.0587405410628508i</v>
      </c>
      <c r="K305" s="271" t="str">
        <f t="shared" si="223"/>
        <v>0.988977110451756-0.164917827415707i</v>
      </c>
      <c r="L305" s="580"/>
      <c r="M305" s="580" t="str">
        <f t="shared" si="224"/>
        <v>-0.309986241851934-78.8521500097599i</v>
      </c>
      <c r="N305" s="270" t="str">
        <f t="shared" si="225"/>
        <v>-6.89915634805562-59.1391125073199i</v>
      </c>
      <c r="O305" s="581" t="str">
        <f t="shared" si="226"/>
        <v>-5.55511007083437-29.2139056377367i</v>
      </c>
      <c r="P305" s="582" t="str">
        <f t="shared" si="227"/>
        <v>-3.50974757610744+0.0976639607948285i</v>
      </c>
      <c r="Q305" s="583" t="str">
        <f t="shared" si="228"/>
        <v>-3.4541964753991+0.389803017172194i</v>
      </c>
      <c r="R305" s="581" t="str">
        <f t="shared" si="249"/>
        <v>-0.595986349121618-3.48939854846846i</v>
      </c>
      <c r="S305" s="253" t="str">
        <f t="shared" si="250"/>
        <v>51.1779471847594-6.12952779425164i</v>
      </c>
      <c r="T305" s="253" t="str">
        <f t="shared" si="251"/>
        <v>18.551891261558-5.80346566691941i</v>
      </c>
      <c r="U305" s="253" t="str">
        <f t="shared" si="252"/>
        <v>-0.512804294930004-2.21361546400831i</v>
      </c>
      <c r="V305" s="582" t="str">
        <f t="shared" si="229"/>
        <v>6000</v>
      </c>
      <c r="W305" s="584" t="str">
        <f t="shared" si="230"/>
        <v>1+73524.7978144382i</v>
      </c>
      <c r="X305" s="585">
        <f t="shared" si="231"/>
        <v>73524.797821238637</v>
      </c>
      <c r="Y305" s="586">
        <f t="shared" si="232"/>
        <v>1.5707827259414477</v>
      </c>
      <c r="Z305" s="273" t="str">
        <f t="shared" si="233"/>
        <v>1+11.0270656123239i</v>
      </c>
      <c r="AA305" s="585">
        <f t="shared" si="234"/>
        <v>11.072315747778161</v>
      </c>
      <c r="AB305" s="586">
        <f t="shared" si="235"/>
        <v>1.4803577488016979</v>
      </c>
      <c r="AC305" s="584" t="str">
        <f t="shared" si="236"/>
        <v>1+0.533108530484297i</v>
      </c>
      <c r="AD305" s="585">
        <f t="shared" si="237"/>
        <v>1.1332275611169746</v>
      </c>
      <c r="AE305" s="586">
        <f t="shared" si="238"/>
        <v>0.48978229039786769</v>
      </c>
      <c r="AF305" s="580" t="str">
        <f t="shared" si="253"/>
        <v>0.666847166322948-0.437094794647459i</v>
      </c>
      <c r="AG305" s="270">
        <f t="shared" si="254"/>
        <v>0.79733117507146911</v>
      </c>
      <c r="AH305" s="581">
        <f t="shared" si="255"/>
        <v>-0.58020726753761909</v>
      </c>
      <c r="AI305" s="582" t="str">
        <f t="shared" si="239"/>
        <v>4000</v>
      </c>
      <c r="AJ305" s="584" t="str">
        <f t="shared" si="256"/>
        <v>1+5776.28415027729i</v>
      </c>
      <c r="AK305" s="585">
        <f t="shared" si="257"/>
        <v>5776.284236838128</v>
      </c>
      <c r="AL305" s="586">
        <f t="shared" si="258"/>
        <v>1.57062320511944</v>
      </c>
      <c r="AM305" s="273" t="str">
        <f t="shared" si="259"/>
        <v>1+0.202162869559271i</v>
      </c>
      <c r="AN305" s="585">
        <f t="shared" si="260"/>
        <v>1.0202302807839212</v>
      </c>
      <c r="AO305" s="586">
        <f t="shared" si="261"/>
        <v>0.19947437446786795</v>
      </c>
      <c r="AP305" s="584" t="str">
        <f t="shared" si="262"/>
        <v>1+0.00146260189221344i</v>
      </c>
      <c r="AQ305" s="585">
        <f t="shared" si="263"/>
        <v>1.0000010696015755</v>
      </c>
      <c r="AR305" s="586">
        <f t="shared" si="264"/>
        <v>1.4626008492800288E-3</v>
      </c>
      <c r="AS305" s="580" t="str">
        <f t="shared" si="265"/>
        <v>0.139101885972892-0.692665902485976i</v>
      </c>
      <c r="AT305" s="270">
        <f t="shared" si="266"/>
        <v>0.70649514304623995</v>
      </c>
      <c r="AU305" s="581">
        <f t="shared" si="267"/>
        <v>-1.3726114315008513</v>
      </c>
      <c r="AV305" s="580" t="str">
        <f t="shared" si="268"/>
        <v>-0.0143925972087638-0.136575355229562i</v>
      </c>
      <c r="AW305" s="270">
        <f t="shared" si="269"/>
        <v>-17.244588985530356</v>
      </c>
      <c r="AX305" s="581">
        <f t="shared" si="270"/>
        <v>-96.015745849630122</v>
      </c>
      <c r="AY305" s="299">
        <f t="shared" si="240"/>
        <v>83.984254150369878</v>
      </c>
      <c r="BB305" s="270">
        <f t="shared" si="273"/>
        <v>-43.017816389131305</v>
      </c>
      <c r="BC305" s="270">
        <f t="shared" si="274"/>
        <v>-78.64484193640908</v>
      </c>
      <c r="BD305" s="286"/>
      <c r="BE305" s="270">
        <f t="shared" si="271"/>
        <v>25.773227403600941</v>
      </c>
      <c r="BF305" s="581">
        <f t="shared" si="272"/>
        <v>-17.370903913221049</v>
      </c>
      <c r="BI305" s="286"/>
      <c r="BJ305" s="286"/>
      <c r="BL305" s="253">
        <f t="shared" si="241"/>
        <v>0</v>
      </c>
      <c r="BM305" s="253">
        <f t="shared" si="275"/>
        <v>0</v>
      </c>
      <c r="BN305" s="253">
        <f t="shared" si="242"/>
        <v>0</v>
      </c>
      <c r="BO305" s="253">
        <f t="shared" si="243"/>
        <v>0</v>
      </c>
    </row>
    <row r="306" spans="4:67" ht="13.6" thickBot="1" x14ac:dyDescent="0.25">
      <c r="D306" s="280">
        <v>21014.75</v>
      </c>
      <c r="E306" s="273" t="str">
        <f t="shared" si="222"/>
        <v>0.237671223181294i</v>
      </c>
      <c r="F306" s="579" t="str">
        <f t="shared" si="244"/>
        <v>0.002-0.116515189856132i</v>
      </c>
      <c r="G306" s="270" t="str">
        <f t="shared" si="245"/>
        <v>0.002-0.116515189856132i</v>
      </c>
      <c r="H306" s="271" t="str">
        <f t="shared" si="246"/>
        <v>0.00874272817525746-0.115889969569962i</v>
      </c>
      <c r="I306" s="271" t="str">
        <f t="shared" si="247"/>
        <v>0.0187427281752575-0.115889969569962i</v>
      </c>
      <c r="J306" s="270" t="str">
        <f t="shared" si="248"/>
        <v>0.00518136148564481-0.058402024967547i</v>
      </c>
      <c r="K306" s="271" t="str">
        <f t="shared" si="223"/>
        <v>0.98884826853962-0.165878854816648i</v>
      </c>
      <c r="L306" s="580"/>
      <c r="M306" s="580" t="str">
        <f t="shared" si="224"/>
        <v>-0.312246275258896-78.248268091806i</v>
      </c>
      <c r="N306" s="270" t="str">
        <f t="shared" si="225"/>
        <v>-6.90085137311084-58.6862010688545i</v>
      </c>
      <c r="O306" s="581" t="str">
        <f t="shared" si="226"/>
        <v>-5.54181772563908-28.9868054572234i</v>
      </c>
      <c r="P306" s="582" t="str">
        <f t="shared" si="227"/>
        <v>-3.46314878559652+0.0989492722327803i</v>
      </c>
      <c r="Q306" s="583" t="str">
        <f t="shared" si="228"/>
        <v>-3.40773060834011+0.388817326805015i</v>
      </c>
      <c r="R306" s="581" t="str">
        <f t="shared" si="249"/>
        <v>-0.594992466209117-3.4621762507841i</v>
      </c>
      <c r="S306" s="253" t="str">
        <f t="shared" si="250"/>
        <v>51.1706547662042-6.19306026674754i</v>
      </c>
      <c r="T306" s="253" t="str">
        <f t="shared" si="251"/>
        <v>18.5407025532518-5.84429816265712i</v>
      </c>
      <c r="U306" s="253" t="str">
        <f t="shared" si="252"/>
        <v>-0.515199213626734-2.19977656491333i</v>
      </c>
      <c r="V306" s="582" t="str">
        <f t="shared" si="229"/>
        <v>6000</v>
      </c>
      <c r="W306" s="584" t="str">
        <f t="shared" si="230"/>
        <v>1+73953.2496468178i</v>
      </c>
      <c r="X306" s="585">
        <f t="shared" si="231"/>
        <v>73953.249653578823</v>
      </c>
      <c r="Y306" s="586">
        <f t="shared" si="232"/>
        <v>1.5707828047386689</v>
      </c>
      <c r="Z306" s="273" t="str">
        <f t="shared" si="233"/>
        <v>1+11.0913237484604i</v>
      </c>
      <c r="AA306" s="585">
        <f t="shared" si="234"/>
        <v>11.136312787146457</v>
      </c>
      <c r="AB306" s="586">
        <f t="shared" si="235"/>
        <v>1.4808788814252924</v>
      </c>
      <c r="AC306" s="584" t="str">
        <f t="shared" si="236"/>
        <v>1+0.536215119465604i</v>
      </c>
      <c r="AD306" s="585">
        <f t="shared" si="237"/>
        <v>1.1346923170373155</v>
      </c>
      <c r="AE306" s="586">
        <f t="shared" si="238"/>
        <v>0.49219824615742253</v>
      </c>
      <c r="AF306" s="580" t="str">
        <f t="shared" si="253"/>
        <v>0.665126623189434-0.437771121043669i</v>
      </c>
      <c r="AG306" s="270">
        <f t="shared" si="254"/>
        <v>0.79626439032221585</v>
      </c>
      <c r="AH306" s="581">
        <f t="shared" si="255"/>
        <v>-0.58210216947079629</v>
      </c>
      <c r="AI306" s="582" t="str">
        <f t="shared" si="239"/>
        <v>4000</v>
      </c>
      <c r="AJ306" s="584" t="str">
        <f t="shared" si="256"/>
        <v>1+5809.94435203368i</v>
      </c>
      <c r="AK306" s="585">
        <f t="shared" si="257"/>
        <v>5809.9444380930236</v>
      </c>
      <c r="AL306" s="586">
        <f t="shared" si="258"/>
        <v>1.5706242081084629</v>
      </c>
      <c r="AM306" s="273" t="str">
        <f t="shared" si="259"/>
        <v>1+0.20334093538844i</v>
      </c>
      <c r="AN306" s="585">
        <f t="shared" si="260"/>
        <v>1.0204643727267728</v>
      </c>
      <c r="AO306" s="586">
        <f t="shared" si="261"/>
        <v>0.20060592406798841</v>
      </c>
      <c r="AP306" s="584" t="str">
        <f t="shared" si="262"/>
        <v>1+0.0014711249276979i</v>
      </c>
      <c r="AQ306" s="585">
        <f t="shared" si="263"/>
        <v>1.0000010821036909</v>
      </c>
      <c r="AR306" s="586">
        <f t="shared" si="264"/>
        <v>1.471123866425561E-3</v>
      </c>
      <c r="AS306" s="580" t="str">
        <f t="shared" si="265"/>
        <v>0.139100497456737-0.688655270574572i</v>
      </c>
      <c r="AT306" s="270">
        <f t="shared" si="266"/>
        <v>0.70256318582946597</v>
      </c>
      <c r="AU306" s="581">
        <f t="shared" si="267"/>
        <v>-1.3714894079069002</v>
      </c>
      <c r="AV306" s="580" t="str">
        <f t="shared" si="268"/>
        <v>-0.0144568578416839-0.135810973151634i</v>
      </c>
      <c r="AW306" s="270">
        <f t="shared" si="269"/>
        <v>-17.292368474901281</v>
      </c>
      <c r="AX306" s="581">
        <f t="shared" si="270"/>
        <v>-96.076161566222936</v>
      </c>
      <c r="AY306" s="299">
        <f t="shared" si="240"/>
        <v>83.923838433777064</v>
      </c>
      <c r="BB306" s="270">
        <f t="shared" si="273"/>
        <v>-43.066292217836889</v>
      </c>
      <c r="BC306" s="270">
        <f t="shared" si="274"/>
        <v>-78.580554719961583</v>
      </c>
      <c r="BD306" s="286"/>
      <c r="BE306" s="270">
        <f t="shared" si="271"/>
        <v>25.773923742935597</v>
      </c>
      <c r="BF306" s="581">
        <f t="shared" si="272"/>
        <v>-17.495606846261403</v>
      </c>
      <c r="BI306" s="286"/>
      <c r="BJ306" s="286"/>
      <c r="BL306" s="253">
        <f t="shared" si="241"/>
        <v>0</v>
      </c>
      <c r="BM306" s="253">
        <f t="shared" si="275"/>
        <v>0</v>
      </c>
      <c r="BN306" s="253">
        <f t="shared" si="242"/>
        <v>0</v>
      </c>
      <c r="BO306" s="253">
        <f t="shared" si="243"/>
        <v>0</v>
      </c>
    </row>
    <row r="307" spans="4:67" ht="13.6" thickBot="1" x14ac:dyDescent="0.25">
      <c r="D307" s="280">
        <v>21136.5</v>
      </c>
      <c r="E307" s="273" t="str">
        <f t="shared" si="222"/>
        <v>0.239048183241362i</v>
      </c>
      <c r="F307" s="579" t="str">
        <f t="shared" si="244"/>
        <v>0.002-0.115844041635519i</v>
      </c>
      <c r="G307" s="270" t="str">
        <f t="shared" si="245"/>
        <v>0.002-0.115844041635519i</v>
      </c>
      <c r="H307" s="271" t="str">
        <f t="shared" si="246"/>
        <v>0.00866550886805426-0.115226890959508i</v>
      </c>
      <c r="I307" s="271" t="str">
        <f t="shared" si="247"/>
        <v>0.0186655088680543-0.115226890959508i</v>
      </c>
      <c r="J307" s="270" t="str">
        <f t="shared" si="248"/>
        <v>0.00516183175907846-0.0580674058195667i</v>
      </c>
      <c r="K307" s="271" t="str">
        <f t="shared" si="223"/>
        <v>0.988718678006869-0.16683988221759i</v>
      </c>
      <c r="L307" s="580"/>
      <c r="M307" s="580" t="str">
        <f t="shared" si="224"/>
        <v>-0.314291593210729-77.6543883708933i</v>
      </c>
      <c r="N307" s="270" t="str">
        <f t="shared" si="225"/>
        <v>-6.90238536157472-58.24079127817i</v>
      </c>
      <c r="O307" s="581" t="str">
        <f t="shared" si="226"/>
        <v>-5.52873585607165-28.7634589341564i</v>
      </c>
      <c r="P307" s="582" t="str">
        <f t="shared" si="227"/>
        <v>-3.41752061437495+0.100174445820078i</v>
      </c>
      <c r="Q307" s="583" t="str">
        <f t="shared" si="228"/>
        <v>-3.36223325581424+0.387809035161643i</v>
      </c>
      <c r="R307" s="581" t="str">
        <f t="shared" si="249"/>
        <v>-0.594011790141152-3.43540252349608i</v>
      </c>
      <c r="S307" s="253" t="str">
        <f t="shared" si="250"/>
        <v>51.1632584959882-6.25642597363624i</v>
      </c>
      <c r="T307" s="253" t="str">
        <f t="shared" si="251"/>
        <v>18.5294329658597-5.88506274927628i</v>
      </c>
      <c r="U307" s="253" t="str">
        <f t="shared" si="252"/>
        <v>-0.517550518015046-2.18608601534154i</v>
      </c>
      <c r="V307" s="582" t="str">
        <f t="shared" si="229"/>
        <v>6000</v>
      </c>
      <c r="W307" s="584" t="str">
        <f t="shared" si="230"/>
        <v>1+74381.7014791973i</v>
      </c>
      <c r="X307" s="585">
        <f t="shared" si="231"/>
        <v>74381.701485919388</v>
      </c>
      <c r="Y307" s="586">
        <f t="shared" si="232"/>
        <v>1.5707828826281183</v>
      </c>
      <c r="Z307" s="273" t="str">
        <f t="shared" si="233"/>
        <v>1+11.1555818845969i</v>
      </c>
      <c r="AA307" s="585">
        <f t="shared" si="234"/>
        <v>11.200312816343413</v>
      </c>
      <c r="AB307" s="586">
        <f t="shared" si="235"/>
        <v>1.4813940585496808</v>
      </c>
      <c r="AC307" s="584" t="str">
        <f t="shared" si="236"/>
        <v>1+0.539321708446911i</v>
      </c>
      <c r="AD307" s="585">
        <f t="shared" si="237"/>
        <v>1.1361636788782217</v>
      </c>
      <c r="AE307" s="586">
        <f t="shared" si="238"/>
        <v>0.4946079584993292</v>
      </c>
      <c r="AF307" s="580" t="str">
        <f t="shared" si="253"/>
        <v>0.663405015972804-0.438441629331351i</v>
      </c>
      <c r="AG307" s="270">
        <f t="shared" si="254"/>
        <v>0.79519637671999366</v>
      </c>
      <c r="AH307" s="581">
        <f t="shared" si="255"/>
        <v>-0.58399678257776799</v>
      </c>
      <c r="AI307" s="582" t="str">
        <f t="shared" si="239"/>
        <v>4000</v>
      </c>
      <c r="AJ307" s="584" t="str">
        <f t="shared" si="256"/>
        <v>1+5843.60455379006i</v>
      </c>
      <c r="AK307" s="585">
        <f t="shared" si="257"/>
        <v>5843.6046393536872</v>
      </c>
      <c r="AL307" s="586">
        <f t="shared" si="258"/>
        <v>1.5706251995426959</v>
      </c>
      <c r="AM307" s="273" t="str">
        <f t="shared" si="259"/>
        <v>1+0.20451900121761i</v>
      </c>
      <c r="AN307" s="585">
        <f t="shared" si="260"/>
        <v>1.0206997706764946</v>
      </c>
      <c r="AO307" s="586">
        <f t="shared" si="261"/>
        <v>0.20173695319054921</v>
      </c>
      <c r="AP307" s="584" t="str">
        <f t="shared" si="262"/>
        <v>1+0.00147964796318237i</v>
      </c>
      <c r="AQ307" s="585">
        <f t="shared" si="263"/>
        <v>1.0000010946784483</v>
      </c>
      <c r="AR307" s="586">
        <f t="shared" si="264"/>
        <v>1.4796468833573732E-3</v>
      </c>
      <c r="AS307" s="580" t="str">
        <f t="shared" si="265"/>
        <v>0.139099132785639-0.684690856211888i</v>
      </c>
      <c r="AT307" s="270">
        <f t="shared" si="266"/>
        <v>0.69867742007444678</v>
      </c>
      <c r="AU307" s="581">
        <f t="shared" si="267"/>
        <v>-1.3703678932355039</v>
      </c>
      <c r="AV307" s="580" t="str">
        <f t="shared" si="268"/>
        <v>-0.0145202059610195-0.135055404473287i</v>
      </c>
      <c r="AW307" s="270">
        <f t="shared" si="269"/>
        <v>-17.339848302901192</v>
      </c>
      <c r="AX307" s="581">
        <f t="shared" si="270"/>
        <v>-96.13646726766676</v>
      </c>
      <c r="AY307" s="299">
        <f t="shared" si="240"/>
        <v>83.86353273233324</v>
      </c>
      <c r="BB307" s="270">
        <f t="shared" si="273"/>
        <v>-43.114465841812489</v>
      </c>
      <c r="BC307" s="270">
        <f t="shared" si="274"/>
        <v>-78.516296662628562</v>
      </c>
      <c r="BD307" s="286"/>
      <c r="BE307" s="270">
        <f t="shared" si="271"/>
        <v>25.774617538911272</v>
      </c>
      <c r="BF307" s="581">
        <f t="shared" si="272"/>
        <v>-17.620170605038208</v>
      </c>
      <c r="BI307" s="286"/>
      <c r="BJ307" s="286"/>
      <c r="BL307" s="253">
        <f t="shared" si="241"/>
        <v>0</v>
      </c>
      <c r="BM307" s="253">
        <f t="shared" si="275"/>
        <v>0</v>
      </c>
      <c r="BN307" s="253">
        <f t="shared" si="242"/>
        <v>0</v>
      </c>
      <c r="BO307" s="253">
        <f t="shared" si="243"/>
        <v>0</v>
      </c>
    </row>
    <row r="308" spans="4:67" ht="13.6" thickBot="1" x14ac:dyDescent="0.25">
      <c r="D308" s="280">
        <v>21258.25</v>
      </c>
      <c r="E308" s="273" t="str">
        <f t="shared" si="222"/>
        <v>0.240425143301431i</v>
      </c>
      <c r="F308" s="579" t="str">
        <f t="shared" si="244"/>
        <v>0.002-0.115180580999337i</v>
      </c>
      <c r="G308" s="270" t="str">
        <f t="shared" si="245"/>
        <v>0.002-0.115180580999337i</v>
      </c>
      <c r="H308" s="271" t="str">
        <f t="shared" si="246"/>
        <v>0.00858960667026-0.114571331724195i</v>
      </c>
      <c r="I308" s="271" t="str">
        <f t="shared" si="247"/>
        <v>0.01858960667026-0.114571331724195i</v>
      </c>
      <c r="J308" s="270" t="str">
        <f t="shared" si="248"/>
        <v>0.00514263456673681-0.0577366168849283i</v>
      </c>
      <c r="K308" s="271" t="str">
        <f t="shared" si="223"/>
        <v>0.988588338853501-0.167800909618531i</v>
      </c>
      <c r="L308" s="580"/>
      <c r="M308" s="580" t="str">
        <f t="shared" si="224"/>
        <v>-0.316133889153501-77.0702523094024i</v>
      </c>
      <c r="N308" s="270" t="str">
        <f t="shared" si="225"/>
        <v>-6.9037670835318-57.8026892320518i</v>
      </c>
      <c r="O308" s="581" t="str">
        <f t="shared" si="226"/>
        <v>-5.51586048454228-28.5437687446181i</v>
      </c>
      <c r="P308" s="582" t="str">
        <f t="shared" si="227"/>
        <v>-3.37283527435402+0.101342047469559i</v>
      </c>
      <c r="Q308" s="583" t="str">
        <f t="shared" si="228"/>
        <v>-3.3176766695086+0.386779734915742i</v>
      </c>
      <c r="R308" s="581" t="str">
        <f t="shared" si="249"/>
        <v>-0.593044190765509-3.40906574815444i</v>
      </c>
      <c r="S308" s="253" t="str">
        <f t="shared" si="250"/>
        <v>51.1557593903311-6.31962745712363i</v>
      </c>
      <c r="T308" s="253" t="str">
        <f t="shared" si="251"/>
        <v>18.5180828326533-5.92576005962921i</v>
      </c>
      <c r="U308" s="253" t="str">
        <f t="shared" si="252"/>
        <v>-0.519859173689978-2.17254135925059i</v>
      </c>
      <c r="V308" s="582" t="str">
        <f t="shared" si="229"/>
        <v>6000</v>
      </c>
      <c r="W308" s="584" t="str">
        <f t="shared" si="230"/>
        <v>1+74810.1533115769i</v>
      </c>
      <c r="X308" s="585">
        <f t="shared" si="231"/>
        <v>74810.153318260476</v>
      </c>
      <c r="Y308" s="586">
        <f t="shared" si="232"/>
        <v>1.5707829596253926</v>
      </c>
      <c r="Z308" s="273" t="str">
        <f t="shared" si="233"/>
        <v>1+11.2198400207334i</v>
      </c>
      <c r="AA308" s="585">
        <f t="shared" si="234"/>
        <v>11.264315784407451</v>
      </c>
      <c r="AB308" s="586">
        <f t="shared" si="235"/>
        <v>1.4819033814150941</v>
      </c>
      <c r="AC308" s="584" t="str">
        <f t="shared" si="236"/>
        <v>1+0.542428297428219i</v>
      </c>
      <c r="AD308" s="585">
        <f t="shared" si="237"/>
        <v>1.1376416210085125</v>
      </c>
      <c r="AE308" s="586">
        <f t="shared" si="238"/>
        <v>0.49701142371758117</v>
      </c>
      <c r="AF308" s="580" t="str">
        <f t="shared" si="253"/>
        <v>0.661682429937282-0.439106262275587i</v>
      </c>
      <c r="AG308" s="270">
        <f t="shared" si="254"/>
        <v>0.79412716088630464</v>
      </c>
      <c r="AH308" s="581">
        <f t="shared" si="255"/>
        <v>-0.58589100192787846</v>
      </c>
      <c r="AI308" s="582" t="str">
        <f t="shared" si="239"/>
        <v>4000</v>
      </c>
      <c r="AJ308" s="584" t="str">
        <f t="shared" si="256"/>
        <v>1+5877.26475554645i</v>
      </c>
      <c r="AK308" s="585">
        <f t="shared" si="257"/>
        <v>5877.2648406200378</v>
      </c>
      <c r="AL308" s="586">
        <f t="shared" si="258"/>
        <v>1.570626179620668</v>
      </c>
      <c r="AM308" s="273" t="str">
        <f t="shared" si="259"/>
        <v>1+0.205697067046779i</v>
      </c>
      <c r="AN308" s="585">
        <f t="shared" si="260"/>
        <v>1.0209364737297062</v>
      </c>
      <c r="AO308" s="586">
        <f t="shared" si="261"/>
        <v>0.20286745930288821</v>
      </c>
      <c r="AP308" s="584" t="str">
        <f t="shared" si="262"/>
        <v>1+0.00148817099866683i</v>
      </c>
      <c r="AQ308" s="585">
        <f t="shared" si="263"/>
        <v>1.0000011073258475</v>
      </c>
      <c r="AR308" s="586">
        <f t="shared" si="264"/>
        <v>1.4881699000742067E-3</v>
      </c>
      <c r="AS308" s="580" t="str">
        <f t="shared" si="265"/>
        <v>0.139097791414442-0.680771865308208i</v>
      </c>
      <c r="AT308" s="270">
        <f t="shared" si="266"/>
        <v>0.69483705152473885</v>
      </c>
      <c r="AU308" s="581">
        <f t="shared" si="267"/>
        <v>-1.3692468902178534</v>
      </c>
      <c r="AV308" s="580" t="str">
        <f t="shared" si="268"/>
        <v>-0.0145826630591089-0.134308499286636i</v>
      </c>
      <c r="AW308" s="270">
        <f t="shared" si="269"/>
        <v>-17.387031732642665</v>
      </c>
      <c r="AX308" s="581">
        <f t="shared" si="270"/>
        <v>-96.196665319100703</v>
      </c>
      <c r="AY308" s="299">
        <f t="shared" si="240"/>
        <v>83.803334680899297</v>
      </c>
      <c r="BB308" s="270">
        <f t="shared" si="273"/>
        <v>-43.162340625347753</v>
      </c>
      <c r="BC308" s="270">
        <f t="shared" si="274"/>
        <v>-78.452067920895772</v>
      </c>
      <c r="BD308" s="286"/>
      <c r="BE308" s="270">
        <f t="shared" si="271"/>
        <v>25.775308892705105</v>
      </c>
      <c r="BF308" s="581">
        <f t="shared" si="272"/>
        <v>-17.744597398204927</v>
      </c>
      <c r="BI308" s="286"/>
      <c r="BJ308" s="286"/>
      <c r="BL308" s="253">
        <f t="shared" si="241"/>
        <v>0</v>
      </c>
      <c r="BM308" s="253">
        <f t="shared" si="275"/>
        <v>0</v>
      </c>
      <c r="BN308" s="253">
        <f t="shared" si="242"/>
        <v>0</v>
      </c>
      <c r="BO308" s="253">
        <f t="shared" si="243"/>
        <v>0</v>
      </c>
    </row>
    <row r="309" spans="4:67" ht="13.6" thickBot="1" x14ac:dyDescent="0.25">
      <c r="D309" s="280">
        <v>21380</v>
      </c>
      <c r="E309" s="273" t="str">
        <f t="shared" si="222"/>
        <v>0.241802103361499i</v>
      </c>
      <c r="F309" s="579" t="str">
        <f t="shared" si="244"/>
        <v>0.002-0.114524676615021i</v>
      </c>
      <c r="G309" s="270" t="str">
        <f t="shared" si="245"/>
        <v>0.002-0.114524676615021i</v>
      </c>
      <c r="H309" s="271" t="str">
        <f t="shared" si="246"/>
        <v>0.00851499182959451-0.113923165107082i</v>
      </c>
      <c r="I309" s="271" t="str">
        <f t="shared" si="247"/>
        <v>0.0185149918295945-0.113923165107082i</v>
      </c>
      <c r="J309" s="270" t="str">
        <f t="shared" si="248"/>
        <v>0.0051237623565616-0.0574095929434282i</v>
      </c>
      <c r="K309" s="271" t="str">
        <f t="shared" si="223"/>
        <v>0.988457251079518-0.168761937019472i</v>
      </c>
      <c r="L309" s="580"/>
      <c r="M309" s="580" t="str">
        <f t="shared" si="224"/>
        <v>-0.317784205989452-76.4956104173719i</v>
      </c>
      <c r="N309" s="270" t="str">
        <f t="shared" si="225"/>
        <v>-6.90500482115876-57.3717078130289i</v>
      </c>
      <c r="O309" s="581" t="str">
        <f t="shared" si="226"/>
        <v>-5.50318769632101-28.3276409808517i</v>
      </c>
      <c r="P309" s="582" t="str">
        <f t="shared" si="227"/>
        <v>-3.32906599578982+0.102454519231085i</v>
      </c>
      <c r="Q309" s="583" t="str">
        <f t="shared" si="228"/>
        <v>-3.27403411882661+0.385730929039602i</v>
      </c>
      <c r="R309" s="581" t="str">
        <f t="shared" si="249"/>
        <v>-0.592089532774217-3.38315471370338i</v>
      </c>
      <c r="S309" s="253" t="str">
        <f t="shared" si="250"/>
        <v>51.1481584368766-6.38266720262311i</v>
      </c>
      <c r="T309" s="253" t="str">
        <f t="shared" si="251"/>
        <v>18.5066524787844-5.96639071002589i</v>
      </c>
      <c r="U309" s="253" t="str">
        <f t="shared" si="252"/>
        <v>-0.522126119301647-2.15914019406798i</v>
      </c>
      <c r="V309" s="582" t="str">
        <f t="shared" si="229"/>
        <v>6000</v>
      </c>
      <c r="W309" s="584" t="str">
        <f t="shared" si="230"/>
        <v>1+75238.605143957i</v>
      </c>
      <c r="X309" s="585">
        <f t="shared" si="231"/>
        <v>75238.605150602525</v>
      </c>
      <c r="Y309" s="586">
        <f t="shared" si="232"/>
        <v>1.5707830357457333</v>
      </c>
      <c r="Z309" s="273" t="str">
        <f t="shared" si="233"/>
        <v>1+11.28409815687i</v>
      </c>
      <c r="AA309" s="585">
        <f t="shared" si="234"/>
        <v>11.328321641526468</v>
      </c>
      <c r="AB309" s="586">
        <f t="shared" si="235"/>
        <v>1.482406948986013</v>
      </c>
      <c r="AC309" s="584" t="str">
        <f t="shared" si="236"/>
        <v>1+0.54553488640953i</v>
      </c>
      <c r="AD309" s="585">
        <f t="shared" si="237"/>
        <v>1.1391261178156959</v>
      </c>
      <c r="AE309" s="586">
        <f t="shared" si="238"/>
        <v>0.49940863841406025</v>
      </c>
      <c r="AF309" s="580" t="str">
        <f t="shared" si="253"/>
        <v>0.659958949553796-0.439764965399543i</v>
      </c>
      <c r="AG309" s="270">
        <f t="shared" si="254"/>
        <v>0.79305676965083094</v>
      </c>
      <c r="AH309" s="581">
        <f t="shared" si="255"/>
        <v>-0.58778472517378044</v>
      </c>
      <c r="AI309" s="582" t="str">
        <f t="shared" si="239"/>
        <v>4000</v>
      </c>
      <c r="AJ309" s="584" t="str">
        <f t="shared" si="256"/>
        <v>1+5910.92495730288i</v>
      </c>
      <c r="AK309" s="585">
        <f t="shared" si="257"/>
        <v>5910.9250418920101</v>
      </c>
      <c r="AL309" s="586">
        <f t="shared" si="258"/>
        <v>1.5706271485363867</v>
      </c>
      <c r="AM309" s="273" t="str">
        <f t="shared" si="259"/>
        <v>1+0.20687513287595i</v>
      </c>
      <c r="AN309" s="585">
        <f t="shared" si="260"/>
        <v>1.021174480978859</v>
      </c>
      <c r="AO309" s="586">
        <f t="shared" si="261"/>
        <v>0.20399743988003713</v>
      </c>
      <c r="AP309" s="584" t="str">
        <f t="shared" si="262"/>
        <v>1+0.00149669403415131i</v>
      </c>
      <c r="AQ309" s="585">
        <f t="shared" si="263"/>
        <v>1.0000011200458887</v>
      </c>
      <c r="AR309" s="586">
        <f t="shared" si="264"/>
        <v>1.4966929165748533E-3</v>
      </c>
      <c r="AS309" s="580" t="str">
        <f t="shared" si="265"/>
        <v>0.13909647281347-0.67689752186182i</v>
      </c>
      <c r="AT309" s="270">
        <f t="shared" si="266"/>
        <v>0.69104130401287978</v>
      </c>
      <c r="AU309" s="581">
        <f t="shared" si="267"/>
        <v>-1.3681264015729238</v>
      </c>
      <c r="AV309" s="580" t="str">
        <f t="shared" si="268"/>
        <v>-0.0146442500269234-0.133570111040387i</v>
      </c>
      <c r="AW309" s="270">
        <f t="shared" si="269"/>
        <v>-17.433921972929046</v>
      </c>
      <c r="AX309" s="581">
        <f t="shared" si="270"/>
        <v>-96.256758035446495</v>
      </c>
      <c r="AY309" s="299">
        <f t="shared" si="240"/>
        <v>83.743241964553505</v>
      </c>
      <c r="BB309" s="270">
        <f t="shared" si="273"/>
        <v>-43.209919875416844</v>
      </c>
      <c r="BC309" s="270">
        <f t="shared" si="274"/>
        <v>-78.387868650548967</v>
      </c>
      <c r="BD309" s="286"/>
      <c r="BE309" s="270">
        <f t="shared" si="271"/>
        <v>25.775997902487813</v>
      </c>
      <c r="BF309" s="581">
        <f t="shared" si="272"/>
        <v>-17.8688893848975</v>
      </c>
      <c r="BI309" s="286"/>
      <c r="BJ309" s="286"/>
      <c r="BL309" s="253">
        <f t="shared" si="241"/>
        <v>0</v>
      </c>
      <c r="BM309" s="253">
        <f t="shared" si="275"/>
        <v>0</v>
      </c>
      <c r="BN309" s="253">
        <f t="shared" si="242"/>
        <v>0</v>
      </c>
      <c r="BO309" s="253">
        <f t="shared" si="243"/>
        <v>0</v>
      </c>
    </row>
    <row r="310" spans="4:67" ht="13.6" thickBot="1" x14ac:dyDescent="0.25">
      <c r="D310" s="280">
        <v>21504.5</v>
      </c>
      <c r="E310" s="273" t="str">
        <f t="shared" si="222"/>
        <v>0.243210165188838i</v>
      </c>
      <c r="F310" s="579" t="str">
        <f t="shared" si="244"/>
        <v>0.002-0.113861637612089i</v>
      </c>
      <c r="G310" s="270" t="str">
        <f t="shared" si="245"/>
        <v>0.002-0.113861637612089i</v>
      </c>
      <c r="H310" s="271" t="str">
        <f t="shared" si="246"/>
        <v>0.00843999282047269-0.113267874036066i</v>
      </c>
      <c r="I310" s="271" t="str">
        <f t="shared" si="247"/>
        <v>0.0184399928204727-0.113267874036066i</v>
      </c>
      <c r="J310" s="270" t="str">
        <f t="shared" si="248"/>
        <v>0.00510479230480127-0.0570790095260209i</v>
      </c>
      <c r="K310" s="271" t="str">
        <f t="shared" si="223"/>
        <v>0.988322428215196-0.169744671404828i</v>
      </c>
      <c r="L310" s="580"/>
      <c r="M310" s="580" t="str">
        <f t="shared" si="224"/>
        <v>-0.319284132338769-75.9175563103283i</v>
      </c>
      <c r="N310" s="270" t="str">
        <f t="shared" si="225"/>
        <v>-6.90612976592075-56.9381672327462i</v>
      </c>
      <c r="O310" s="581" t="str">
        <f t="shared" si="226"/>
        <v>-5.49043415129242-28.110221090688i</v>
      </c>
      <c r="P310" s="582" t="str">
        <f t="shared" si="227"/>
        <v>-3.28522854795712+0.103537528757716i</v>
      </c>
      <c r="Q310" s="583" t="str">
        <f t="shared" si="228"/>
        <v>-3.2303242064442+0.384639739664598i</v>
      </c>
      <c r="R310" s="581" t="str">
        <f t="shared" si="249"/>
        <v>-0.591126549170592-3.35708742071591i</v>
      </c>
      <c r="S310" s="253" t="str">
        <f t="shared" si="250"/>
        <v>51.1402814742739-6.44696611643307i</v>
      </c>
      <c r="T310" s="253" t="str">
        <f t="shared" si="251"/>
        <v>18.4948813159302-6.00787078567294i</v>
      </c>
      <c r="U310" s="253" t="str">
        <f t="shared" si="252"/>
        <v>-0.524402085854619-2.14558227350218i</v>
      </c>
      <c r="V310" s="582" t="str">
        <f t="shared" si="229"/>
        <v>6000</v>
      </c>
      <c r="W310" s="584" t="str">
        <f t="shared" si="230"/>
        <v>1+75676.7345331251i</v>
      </c>
      <c r="X310" s="585">
        <f t="shared" si="231"/>
        <v>75676.734539732148</v>
      </c>
      <c r="Y310" s="586">
        <f t="shared" si="232"/>
        <v>1.5707831126940754</v>
      </c>
      <c r="Z310" s="273" t="str">
        <f t="shared" si="233"/>
        <v>1+11.3498077088124i</v>
      </c>
      <c r="AA310" s="585">
        <f t="shared" si="234"/>
        <v>11.393776153102946</v>
      </c>
      <c r="AB310" s="586">
        <f t="shared" si="235"/>
        <v>1.4829160398113839</v>
      </c>
      <c r="AC310" s="584" t="str">
        <f t="shared" si="236"/>
        <v>1+0.548711644751808i</v>
      </c>
      <c r="AD310" s="585">
        <f t="shared" si="237"/>
        <v>1.1406508971136762</v>
      </c>
      <c r="AE310" s="586">
        <f t="shared" si="238"/>
        <v>0.50185353253315501</v>
      </c>
      <c r="AF310" s="580" t="str">
        <f t="shared" si="253"/>
        <v>0.658195702756416-0.440432360639063i</v>
      </c>
      <c r="AG310" s="270">
        <f t="shared" si="254"/>
        <v>0.79196101382903317</v>
      </c>
      <c r="AH310" s="581">
        <f t="shared" si="255"/>
        <v>-0.58972060541584492</v>
      </c>
      <c r="AI310" s="582" t="str">
        <f t="shared" si="239"/>
        <v>4000</v>
      </c>
      <c r="AJ310" s="584" t="str">
        <f t="shared" si="256"/>
        <v>1+5945.34545109069i</v>
      </c>
      <c r="AK310" s="585">
        <f t="shared" si="257"/>
        <v>5945.3455351900921</v>
      </c>
      <c r="AL310" s="586">
        <f t="shared" si="258"/>
        <v>1.570628127991514</v>
      </c>
      <c r="AM310" s="273" t="str">
        <f t="shared" si="259"/>
        <v>1+0.208079807994894i</v>
      </c>
      <c r="AN310" s="585">
        <f t="shared" si="260"/>
        <v>1.0214192119277921</v>
      </c>
      <c r="AO310" s="586">
        <f t="shared" si="261"/>
        <v>0.20515239753483908</v>
      </c>
      <c r="AP310" s="584" t="str">
        <f t="shared" si="262"/>
        <v>1+0.0015054095817309i</v>
      </c>
      <c r="AQ310" s="585">
        <f t="shared" si="263"/>
        <v>1.0000011331283625</v>
      </c>
      <c r="AR310" s="586">
        <f t="shared" si="264"/>
        <v>1.5054084445169395E-3</v>
      </c>
      <c r="AS310" s="580" t="str">
        <f t="shared" si="265"/>
        <v>0.139095147440196-0.672981049001008i</v>
      </c>
      <c r="AT310" s="270">
        <f t="shared" si="266"/>
        <v>0.6872051748611232</v>
      </c>
      <c r="AU310" s="581">
        <f t="shared" si="267"/>
        <v>-1.3669811389011921</v>
      </c>
      <c r="AV310" s="580" t="str">
        <f t="shared" si="268"/>
        <v>-0.0147063494007645-0.132823703018787i</v>
      </c>
      <c r="AW310" s="270">
        <f t="shared" si="269"/>
        <v>-17.481571425600674</v>
      </c>
      <c r="AX310" s="581">
        <f t="shared" si="270"/>
        <v>-96.318101512116002</v>
      </c>
      <c r="AY310" s="299">
        <f t="shared" si="240"/>
        <v>83.681898487883998</v>
      </c>
      <c r="BB310" s="270">
        <f t="shared" si="273"/>
        <v>-43.258271575935332</v>
      </c>
      <c r="BC310" s="270">
        <f t="shared" si="274"/>
        <v>-78.322249933024864</v>
      </c>
      <c r="BD310" s="286"/>
      <c r="BE310" s="270">
        <f t="shared" si="271"/>
        <v>25.776700150334641</v>
      </c>
      <c r="BF310" s="581">
        <f t="shared" si="272"/>
        <v>-17.995851579091138</v>
      </c>
      <c r="BI310" s="286"/>
      <c r="BJ310" s="286"/>
      <c r="BL310" s="253">
        <f t="shared" si="241"/>
        <v>0</v>
      </c>
      <c r="BM310" s="253">
        <f t="shared" si="275"/>
        <v>0</v>
      </c>
      <c r="BN310" s="253">
        <f t="shared" si="242"/>
        <v>0</v>
      </c>
      <c r="BO310" s="253">
        <f t="shared" si="243"/>
        <v>0</v>
      </c>
    </row>
    <row r="311" spans="4:67" ht="13.6" thickBot="1" x14ac:dyDescent="0.25">
      <c r="D311" s="280">
        <v>21629</v>
      </c>
      <c r="E311" s="273" t="str">
        <f t="shared" si="222"/>
        <v>0.244618227016177i</v>
      </c>
      <c r="F311" s="579" t="str">
        <f t="shared" si="244"/>
        <v>0.002-0.113206231727272i</v>
      </c>
      <c r="G311" s="270" t="str">
        <f t="shared" si="245"/>
        <v>0.002-0.113206231727272i</v>
      </c>
      <c r="H311" s="271" t="str">
        <f t="shared" si="246"/>
        <v>0.00836627969529351-0.112620054174158i</v>
      </c>
      <c r="I311" s="271" t="str">
        <f t="shared" si="247"/>
        <v>0.0183662796952935-0.112620054174158i</v>
      </c>
      <c r="J311" s="270" t="str">
        <f t="shared" si="248"/>
        <v>0.00508614678278594-0.056752229827358i</v>
      </c>
      <c r="K311" s="271" t="str">
        <f t="shared" si="223"/>
        <v>0.988186822529734-0.170727405790185i</v>
      </c>
      <c r="L311" s="580"/>
      <c r="M311" s="580" t="str">
        <f t="shared" si="224"/>
        <v>-0.320604749951036-75.3489297163702i</v>
      </c>
      <c r="N311" s="270" t="str">
        <f t="shared" si="225"/>
        <v>-6.90712022912995-56.5116972872776i</v>
      </c>
      <c r="O311" s="581" t="str">
        <f t="shared" si="226"/>
        <v>-5.47788437052528-27.8963380568744i</v>
      </c>
      <c r="P311" s="582" t="str">
        <f t="shared" si="227"/>
        <v>-3.24229545971337+0.104567687341317i</v>
      </c>
      <c r="Q311" s="583" t="str">
        <f t="shared" si="228"/>
        <v>-3.18751661600811+0.383531067910059i</v>
      </c>
      <c r="R311" s="581" t="str">
        <f t="shared" si="249"/>
        <v>-0.590176798435868-3.33144283513915i</v>
      </c>
      <c r="S311" s="253" t="str">
        <f t="shared" si="250"/>
        <v>51.1323000124284-6.51110098463399i</v>
      </c>
      <c r="T311" s="253" t="str">
        <f t="shared" si="251"/>
        <v>18.4830269304404-6.04928240845985i</v>
      </c>
      <c r="U311" s="253" t="str">
        <f t="shared" si="252"/>
        <v>-0.526636339639822-2.13216948279361i</v>
      </c>
      <c r="V311" s="582" t="str">
        <f t="shared" si="229"/>
        <v>6000</v>
      </c>
      <c r="W311" s="584" t="str">
        <f t="shared" si="230"/>
        <v>1+76114.8639222936i</v>
      </c>
      <c r="X311" s="585">
        <f t="shared" si="231"/>
        <v>76114.863928862629</v>
      </c>
      <c r="Y311" s="586">
        <f t="shared" si="232"/>
        <v>1.5707831887565633</v>
      </c>
      <c r="Z311" s="273" t="str">
        <f t="shared" si="233"/>
        <v>1+11.4155172607549i</v>
      </c>
      <c r="AA311" s="585">
        <f t="shared" si="234"/>
        <v>11.459233583909223</v>
      </c>
      <c r="AB311" s="586">
        <f t="shared" si="235"/>
        <v>1.4834193147090173</v>
      </c>
      <c r="AC311" s="584" t="str">
        <f t="shared" si="236"/>
        <v>1+0.551888403094091i</v>
      </c>
      <c r="AD311" s="585">
        <f t="shared" si="237"/>
        <v>1.1421824764326172</v>
      </c>
      <c r="AE311" s="586">
        <f t="shared" si="238"/>
        <v>0.50429188436309069</v>
      </c>
      <c r="AF311" s="580" t="str">
        <f t="shared" si="253"/>
        <v>0.656431696859778-0.441093448449688i</v>
      </c>
      <c r="AG311" s="270">
        <f t="shared" si="254"/>
        <v>0.79086408624203253</v>
      </c>
      <c r="AH311" s="581">
        <f t="shared" si="255"/>
        <v>-0.59165575841063844</v>
      </c>
      <c r="AI311" s="582" t="str">
        <f t="shared" si="239"/>
        <v>4000</v>
      </c>
      <c r="AJ311" s="584" t="str">
        <f t="shared" si="256"/>
        <v>1+5979.76594487854i</v>
      </c>
      <c r="AK311" s="585">
        <f t="shared" si="257"/>
        <v>5979.766028493852</v>
      </c>
      <c r="AL311" s="586">
        <f t="shared" si="258"/>
        <v>1.5706290961708393</v>
      </c>
      <c r="AM311" s="273" t="str">
        <f t="shared" si="259"/>
        <v>1+0.20928448311384i</v>
      </c>
      <c r="AN311" s="585">
        <f t="shared" si="260"/>
        <v>1.0216653047217701</v>
      </c>
      <c r="AO311" s="586">
        <f t="shared" si="261"/>
        <v>0.20630680032995621</v>
      </c>
      <c r="AP311" s="584" t="str">
        <f t="shared" si="262"/>
        <v>1+0.0015141251293105i</v>
      </c>
      <c r="AQ311" s="585">
        <f t="shared" si="263"/>
        <v>1.0000011462867966</v>
      </c>
      <c r="AR311" s="586">
        <f t="shared" si="264"/>
        <v>1.5141239722303325E-3</v>
      </c>
      <c r="AS311" s="580" t="str">
        <f t="shared" si="265"/>
        <v>0.139093844804442-0.669109677775556i</v>
      </c>
      <c r="AT311" s="270">
        <f t="shared" si="266"/>
        <v>0.68341411937081797</v>
      </c>
      <c r="AU311" s="581">
        <f t="shared" si="267"/>
        <v>-1.3658364198131143</v>
      </c>
      <c r="AV311" s="580" t="str">
        <f t="shared" si="268"/>
        <v>-0.0147675812371891-0.132085901422445i</v>
      </c>
      <c r="AW311" s="270">
        <f t="shared" si="269"/>
        <v>-17.528920912448093</v>
      </c>
      <c r="AX311" s="581">
        <f t="shared" si="270"/>
        <v>-96.379339582607045</v>
      </c>
      <c r="AY311" s="299">
        <f t="shared" si="240"/>
        <v>83.620660417392955</v>
      </c>
      <c r="BB311" s="270">
        <f t="shared" si="273"/>
        <v>-43.306321057965185</v>
      </c>
      <c r="BC311" s="270">
        <f t="shared" si="274"/>
        <v>-78.256662360549939</v>
      </c>
      <c r="BD311" s="286"/>
      <c r="BE311" s="270">
        <f t="shared" si="271"/>
        <v>25.77740014551706</v>
      </c>
      <c r="BF311" s="581">
        <f t="shared" si="272"/>
        <v>-18.122677222057131</v>
      </c>
      <c r="BI311" s="286"/>
      <c r="BJ311" s="286"/>
      <c r="BL311" s="253">
        <f t="shared" si="241"/>
        <v>0</v>
      </c>
      <c r="BM311" s="253">
        <f t="shared" si="275"/>
        <v>0</v>
      </c>
      <c r="BN311" s="253">
        <f t="shared" si="242"/>
        <v>0</v>
      </c>
      <c r="BO311" s="253">
        <f t="shared" si="243"/>
        <v>0</v>
      </c>
    </row>
    <row r="312" spans="4:67" ht="13.6" thickBot="1" x14ac:dyDescent="0.25">
      <c r="D312" s="280">
        <v>21753.5</v>
      </c>
      <c r="E312" s="273" t="str">
        <f t="shared" si="222"/>
        <v>0.246026288843516i</v>
      </c>
      <c r="F312" s="579" t="str">
        <f t="shared" si="244"/>
        <v>0.002-0.112558327902598i</v>
      </c>
      <c r="G312" s="270" t="str">
        <f t="shared" si="245"/>
        <v>0.002-0.112558327902598i</v>
      </c>
      <c r="H312" s="271" t="str">
        <f t="shared" si="246"/>
        <v>0.00829382325600499-0.111979578884905i</v>
      </c>
      <c r="I312" s="271" t="str">
        <f t="shared" si="247"/>
        <v>0.018293823256005-0.111979578884905i</v>
      </c>
      <c r="J312" s="270" t="str">
        <f t="shared" si="248"/>
        <v>0.00506781838228505-0.0564291887451531i</v>
      </c>
      <c r="K312" s="271" t="str">
        <f t="shared" si="223"/>
        <v>0.988050434023131-0.171710140175542i</v>
      </c>
      <c r="L312" s="580"/>
      <c r="M312" s="580" t="str">
        <f t="shared" si="224"/>
        <v>-0.32175600428306-74.7894906995963i</v>
      </c>
      <c r="N312" s="270" t="str">
        <f t="shared" si="225"/>
        <v>-6.90798366987896-56.0921180246972i</v>
      </c>
      <c r="O312" s="581" t="str">
        <f t="shared" si="226"/>
        <v>-5.46553437793808-27.685901596707i</v>
      </c>
      <c r="P312" s="582" t="str">
        <f t="shared" si="227"/>
        <v>-3.20024112175778+0.105547247529172i</v>
      </c>
      <c r="Q312" s="583" t="str">
        <f t="shared" si="228"/>
        <v>-3.14558577797841+0.382406263496243i</v>
      </c>
      <c r="R312" s="581" t="str">
        <f t="shared" si="249"/>
        <v>-0.589240123465936-3.30621017749289i</v>
      </c>
      <c r="S312" s="253" t="str">
        <f t="shared" si="250"/>
        <v>51.124215020784-6.57507429037081i</v>
      </c>
      <c r="T312" s="253" t="str">
        <f t="shared" si="251"/>
        <v>18.4710896454283-6.09062618658571i</v>
      </c>
      <c r="U312" s="253" t="str">
        <f t="shared" si="252"/>
        <v>-0.528829802654237-2.11889941715034i</v>
      </c>
      <c r="V312" s="582" t="str">
        <f t="shared" si="229"/>
        <v>6000</v>
      </c>
      <c r="W312" s="584" t="str">
        <f t="shared" si="230"/>
        <v>1+76552.9933114622i</v>
      </c>
      <c r="X312" s="585">
        <f t="shared" si="231"/>
        <v>76552.993317993605</v>
      </c>
      <c r="Y312" s="586">
        <f t="shared" si="232"/>
        <v>1.5707832639484072</v>
      </c>
      <c r="Z312" s="273" t="str">
        <f t="shared" si="233"/>
        <v>1+11.4812268126974i</v>
      </c>
      <c r="AA312" s="585">
        <f t="shared" si="234"/>
        <v>11.52469388420368</v>
      </c>
      <c r="AB312" s="586">
        <f t="shared" si="235"/>
        <v>1.4839168725252387</v>
      </c>
      <c r="AC312" s="584" t="str">
        <f t="shared" si="236"/>
        <v>1+0.555065161436373i</v>
      </c>
      <c r="AD312" s="585">
        <f t="shared" si="237"/>
        <v>1.1437208284543858</v>
      </c>
      <c r="AE312" s="586">
        <f t="shared" si="238"/>
        <v>0.50672369125015859</v>
      </c>
      <c r="AF312" s="580" t="str">
        <f t="shared" si="253"/>
        <v>0.65466701960148-0.441748179051925i</v>
      </c>
      <c r="AG312" s="270">
        <f t="shared" si="254"/>
        <v>0.78976601613995534</v>
      </c>
      <c r="AH312" s="581">
        <f t="shared" si="255"/>
        <v>-0.59359008267332736</v>
      </c>
      <c r="AI312" s="582" t="str">
        <f t="shared" si="239"/>
        <v>4000</v>
      </c>
      <c r="AJ312" s="584" t="str">
        <f t="shared" si="256"/>
        <v>1+6014.1864386664i</v>
      </c>
      <c r="AK312" s="585">
        <f t="shared" si="257"/>
        <v>6014.1865218031635</v>
      </c>
      <c r="AL312" s="586">
        <f t="shared" si="258"/>
        <v>1.5706300532679645</v>
      </c>
      <c r="AM312" s="273" t="str">
        <f t="shared" si="259"/>
        <v>1+0.210489158232786i</v>
      </c>
      <c r="AN312" s="585">
        <f t="shared" si="260"/>
        <v>1.0219127583769305</v>
      </c>
      <c r="AO312" s="586">
        <f t="shared" si="261"/>
        <v>0.20746064559053956</v>
      </c>
      <c r="AP312" s="584" t="str">
        <f t="shared" si="262"/>
        <v>1+0.0015228406768901i</v>
      </c>
      <c r="AQ312" s="585">
        <f t="shared" si="263"/>
        <v>1.0000011595211913</v>
      </c>
      <c r="AR312" s="586">
        <f t="shared" si="264"/>
        <v>1.5228394997136984E-3</v>
      </c>
      <c r="AS312" s="580" t="str">
        <f t="shared" si="265"/>
        <v>0.139092564386692-0.66528263380622i</v>
      </c>
      <c r="AT312" s="270">
        <f t="shared" si="266"/>
        <v>0.67966736298854835</v>
      </c>
      <c r="AU312" s="581">
        <f t="shared" si="267"/>
        <v>-1.3646922471771381</v>
      </c>
      <c r="AV312" s="580" t="str">
        <f t="shared" si="268"/>
        <v>-0.0148279660514178-0.131356559835943i</v>
      </c>
      <c r="AW312" s="270">
        <f t="shared" si="269"/>
        <v>-17.575973696206077</v>
      </c>
      <c r="AX312" s="581">
        <f t="shared" si="270"/>
        <v>-96.440474568069206</v>
      </c>
      <c r="AY312" s="299">
        <f t="shared" si="240"/>
        <v>83.559525431930794</v>
      </c>
      <c r="BB312" s="270">
        <f t="shared" si="273"/>
        <v>-43.35407168009786</v>
      </c>
      <c r="BC312" s="270">
        <f t="shared" si="274"/>
        <v>-78.191106097474147</v>
      </c>
      <c r="BD312" s="286"/>
      <c r="BE312" s="270">
        <f t="shared" si="271"/>
        <v>25.778097983891769</v>
      </c>
      <c r="BF312" s="581">
        <f t="shared" si="272"/>
        <v>-18.249368470595069</v>
      </c>
      <c r="BI312" s="286"/>
      <c r="BJ312" s="286"/>
      <c r="BL312" s="253">
        <f t="shared" si="241"/>
        <v>0</v>
      </c>
      <c r="BM312" s="253">
        <f t="shared" si="275"/>
        <v>0</v>
      </c>
      <c r="BN312" s="253">
        <f t="shared" si="242"/>
        <v>0</v>
      </c>
      <c r="BO312" s="253">
        <f t="shared" si="243"/>
        <v>0</v>
      </c>
    </row>
    <row r="313" spans="4:67" ht="13.6" thickBot="1" x14ac:dyDescent="0.25">
      <c r="D313" s="280">
        <v>21878</v>
      </c>
      <c r="E313" s="273" t="str">
        <f t="shared" si="222"/>
        <v>0.247434350670855i</v>
      </c>
      <c r="F313" s="579" t="str">
        <f t="shared" si="244"/>
        <v>0.002-0.111917798063313i</v>
      </c>
      <c r="G313" s="270" t="str">
        <f t="shared" si="245"/>
        <v>0.002-0.111917798063313i</v>
      </c>
      <c r="H313" s="271" t="str">
        <f t="shared" si="246"/>
        <v>0.00822259512775032-0.111346324368413i</v>
      </c>
      <c r="I313" s="271" t="str">
        <f t="shared" si="247"/>
        <v>0.0182225951277503-0.111346324368413i</v>
      </c>
      <c r="J313" s="270" t="str">
        <f t="shared" si="248"/>
        <v>0.00504979990492761-0.0561098226531451i</v>
      </c>
      <c r="K313" s="271" t="str">
        <f t="shared" si="223"/>
        <v>0.987913262695386-0.172692874560898i</v>
      </c>
      <c r="L313" s="580"/>
      <c r="M313" s="580" t="str">
        <f t="shared" si="224"/>
        <v>-0.322747287518165-74.2390075969741i</v>
      </c>
      <c r="N313" s="270" t="str">
        <f t="shared" si="225"/>
        <v>-6.90872713230529-55.6792556977306i</v>
      </c>
      <c r="O313" s="581" t="str">
        <f t="shared" si="226"/>
        <v>-5.45338026935013-27.4788245494757i</v>
      </c>
      <c r="P313" s="582" t="str">
        <f t="shared" si="227"/>
        <v>-3.15904085227467+0.106478354023781i</v>
      </c>
      <c r="Q313" s="583" t="str">
        <f t="shared" si="228"/>
        <v>-3.10450704958116+0.381266599518538i</v>
      </c>
      <c r="R313" s="581" t="str">
        <f t="shared" si="249"/>
        <v>-0.58831636421459-3.28137904067707i</v>
      </c>
      <c r="S313" s="253" t="str">
        <f t="shared" si="250"/>
        <v>51.1160274414976-6.63888846108375i</v>
      </c>
      <c r="T313" s="253" t="str">
        <f t="shared" si="251"/>
        <v>18.4590697762842-6.13190271202968i</v>
      </c>
      <c r="U313" s="253" t="str">
        <f t="shared" si="252"/>
        <v>-0.530983371163931-2.10576972421309i</v>
      </c>
      <c r="V313" s="582" t="str">
        <f t="shared" si="229"/>
        <v>6000</v>
      </c>
      <c r="W313" s="584" t="str">
        <f t="shared" si="230"/>
        <v>1+76991.1227006308i</v>
      </c>
      <c r="X313" s="585">
        <f t="shared" si="231"/>
        <v>76991.122707125061</v>
      </c>
      <c r="Y313" s="586">
        <f t="shared" si="232"/>
        <v>1.57078333828447</v>
      </c>
      <c r="Z313" s="273" t="str">
        <f t="shared" si="233"/>
        <v>1+11.5469363646399i</v>
      </c>
      <c r="AA313" s="585">
        <f t="shared" si="234"/>
        <v>11.590157005366375</v>
      </c>
      <c r="AB313" s="586">
        <f t="shared" si="235"/>
        <v>1.4844088098846424</v>
      </c>
      <c r="AC313" s="584" t="str">
        <f t="shared" si="236"/>
        <v>1+0.558241919778656i</v>
      </c>
      <c r="AD313" s="585">
        <f t="shared" si="237"/>
        <v>1.1452659258871536</v>
      </c>
      <c r="AE313" s="586">
        <f t="shared" si="238"/>
        <v>0.5091489508645185</v>
      </c>
      <c r="AF313" s="580" t="str">
        <f t="shared" si="253"/>
        <v>0.652901757842976-0.442396505369059i</v>
      </c>
      <c r="AG313" s="270">
        <f t="shared" si="254"/>
        <v>0.78866683292579509</v>
      </c>
      <c r="AH313" s="581">
        <f t="shared" si="255"/>
        <v>-0.59552347926434746</v>
      </c>
      <c r="AI313" s="582" t="str">
        <f t="shared" si="239"/>
        <v>4000</v>
      </c>
      <c r="AJ313" s="584" t="str">
        <f t="shared" si="256"/>
        <v>1+6048.60693245425i</v>
      </c>
      <c r="AK313" s="585">
        <f t="shared" si="257"/>
        <v>6048.6070151179119</v>
      </c>
      <c r="AL313" s="586">
        <f t="shared" si="258"/>
        <v>1.570630999472084</v>
      </c>
      <c r="AM313" s="273" t="str">
        <f t="shared" si="259"/>
        <v>1+0.211693833351732i</v>
      </c>
      <c r="AN313" s="585">
        <f t="shared" si="260"/>
        <v>1.0221615719049268</v>
      </c>
      <c r="AO313" s="586">
        <f t="shared" si="261"/>
        <v>0.20861393065026337</v>
      </c>
      <c r="AP313" s="584" t="str">
        <f t="shared" si="262"/>
        <v>1+0.00153155622446971i</v>
      </c>
      <c r="AQ313" s="585">
        <f t="shared" si="263"/>
        <v>1.0000011728315465</v>
      </c>
      <c r="AR313" s="586">
        <f t="shared" si="264"/>
        <v>1.5315550269657228E-3</v>
      </c>
      <c r="AS313" s="580" t="str">
        <f t="shared" si="265"/>
        <v>0.139091305682168-0.661499160340632i</v>
      </c>
      <c r="AT313" s="270">
        <f t="shared" si="266"/>
        <v>0.67596414878877376</v>
      </c>
      <c r="AU313" s="581">
        <f t="shared" si="267"/>
        <v>-1.3635486238487855</v>
      </c>
      <c r="AV313" s="580" t="str">
        <f t="shared" si="268"/>
        <v>-0.0148875237843646-0.130635535122134i</v>
      </c>
      <c r="AW313" s="270">
        <f t="shared" si="269"/>
        <v>-17.622732985330472</v>
      </c>
      <c r="AX313" s="581">
        <f t="shared" si="270"/>
        <v>-96.501508740462398</v>
      </c>
      <c r="AY313" s="299">
        <f t="shared" si="240"/>
        <v>83.498491259537602</v>
      </c>
      <c r="BB313" s="270">
        <f t="shared" si="273"/>
        <v>-43.401526743773537</v>
      </c>
      <c r="BC313" s="270">
        <f t="shared" si="274"/>
        <v>-78.125581307406833</v>
      </c>
      <c r="BD313" s="286"/>
      <c r="BE313" s="270">
        <f t="shared" si="271"/>
        <v>25.778793758443047</v>
      </c>
      <c r="BF313" s="581">
        <f t="shared" si="272"/>
        <v>-18.375927433055601</v>
      </c>
      <c r="BI313" s="286"/>
      <c r="BJ313" s="286"/>
      <c r="BL313" s="253">
        <f t="shared" si="241"/>
        <v>0</v>
      </c>
      <c r="BM313" s="253">
        <f t="shared" si="275"/>
        <v>0</v>
      </c>
      <c r="BN313" s="253">
        <f t="shared" si="242"/>
        <v>0</v>
      </c>
      <c r="BO313" s="253">
        <f t="shared" si="243"/>
        <v>0</v>
      </c>
    </row>
    <row r="314" spans="4:67" ht="13.6" thickBot="1" x14ac:dyDescent="0.25">
      <c r="D314" s="280">
        <v>22005.25</v>
      </c>
      <c r="E314" s="273" t="str">
        <f t="shared" si="222"/>
        <v>0.248873514265464i</v>
      </c>
      <c r="F314" s="579" t="str">
        <f t="shared" si="244"/>
        <v>0.002-0.111270609787626i</v>
      </c>
      <c r="G314" s="270" t="str">
        <f t="shared" si="245"/>
        <v>0.002-0.111270609787626i</v>
      </c>
      <c r="H314" s="271" t="str">
        <f t="shared" si="246"/>
        <v>0.00815103428993892-0.110706418091614i</v>
      </c>
      <c r="I314" s="271" t="str">
        <f t="shared" si="247"/>
        <v>0.0181510342899389-0.110706418091614i</v>
      </c>
      <c r="J314" s="270" t="str">
        <f t="shared" si="248"/>
        <v>0.00503169641517727-0.0557871352057814i</v>
      </c>
      <c r="K314" s="271" t="str">
        <f t="shared" si="223"/>
        <v>0.987772252529924-0.17369731593067i</v>
      </c>
      <c r="L314" s="580"/>
      <c r="M314" s="580" t="str">
        <f t="shared" si="224"/>
        <v>-0.323604389385889-73.6853871858536i</v>
      </c>
      <c r="N314" s="270" t="str">
        <f t="shared" si="225"/>
        <v>-6.90936995870609-55.2640403893902i</v>
      </c>
      <c r="O314" s="581" t="str">
        <f t="shared" si="226"/>
        <v>-5.44115612970113-27.270557442185i</v>
      </c>
      <c r="P314" s="582" t="str">
        <f t="shared" si="227"/>
        <v>-3.11778834527303+0.107382082157594i</v>
      </c>
      <c r="Q314" s="583" t="str">
        <f t="shared" si="228"/>
        <v>-3.06337678397601+0.380087656579443i</v>
      </c>
      <c r="R314" s="581" t="str">
        <f t="shared" si="249"/>
        <v>-0.587385378317548-3.2564038863116i</v>
      </c>
      <c r="S314" s="253" t="str">
        <f t="shared" si="250"/>
        <v>51.1075539535722-6.70395020554905i</v>
      </c>
      <c r="T314" s="253" t="str">
        <f t="shared" si="251"/>
        <v>18.4466993880357-6.17402207033763i</v>
      </c>
      <c r="U314" s="253" t="str">
        <f t="shared" si="252"/>
        <v>-0.533144189377578-2.09249268046436i</v>
      </c>
      <c r="V314" s="582" t="str">
        <f t="shared" si="229"/>
        <v>6000</v>
      </c>
      <c r="W314" s="584" t="str">
        <f t="shared" si="230"/>
        <v>1+77438.9296465884i</v>
      </c>
      <c r="X314" s="585">
        <f t="shared" si="231"/>
        <v>77438.929653045096</v>
      </c>
      <c r="Y314" s="586">
        <f t="shared" si="232"/>
        <v>1.5707834133932714</v>
      </c>
      <c r="Z314" s="273" t="str">
        <f t="shared" si="233"/>
        <v>1+11.6140973323884i</v>
      </c>
      <c r="AA314" s="585">
        <f t="shared" si="234"/>
        <v>11.657068964632206</v>
      </c>
      <c r="AB314" s="586">
        <f t="shared" si="235"/>
        <v>1.4849059036067105</v>
      </c>
      <c r="AC314" s="584" t="str">
        <f t="shared" si="236"/>
        <v>1+0.561488847481913i</v>
      </c>
      <c r="AD314" s="585">
        <f t="shared" si="237"/>
        <v>1.1468520941457825</v>
      </c>
      <c r="AE314" s="586">
        <f t="shared" si="238"/>
        <v>0.51162101258299564</v>
      </c>
      <c r="AF314" s="580" t="str">
        <f t="shared" si="253"/>
        <v>0.65109698985285-0.443052487855006i</v>
      </c>
      <c r="AG314" s="270">
        <f t="shared" si="254"/>
        <v>0.78754225105066744</v>
      </c>
      <c r="AH314" s="581">
        <f t="shared" si="255"/>
        <v>-0.59749852236955869</v>
      </c>
      <c r="AI314" s="582" t="str">
        <f t="shared" si="239"/>
        <v>4000</v>
      </c>
      <c r="AJ314" s="584" t="str">
        <f t="shared" si="256"/>
        <v>1+6083.78771827358i</v>
      </c>
      <c r="AK314" s="585">
        <f t="shared" si="257"/>
        <v>6083.7878004592221</v>
      </c>
      <c r="AL314" s="586">
        <f t="shared" si="258"/>
        <v>1.5706319555121857</v>
      </c>
      <c r="AM314" s="273" t="str">
        <f t="shared" si="259"/>
        <v>1+0.212925117760454i</v>
      </c>
      <c r="AN314" s="585">
        <f t="shared" si="260"/>
        <v>1.0224172855411351</v>
      </c>
      <c r="AO314" s="586">
        <f t="shared" si="261"/>
        <v>0.20979210821292568</v>
      </c>
      <c r="AP314" s="584" t="str">
        <f t="shared" si="262"/>
        <v>1+0.00154046428414444i</v>
      </c>
      <c r="AQ314" s="585">
        <f t="shared" si="263"/>
        <v>1.0000011865144014</v>
      </c>
      <c r="AR314" s="586">
        <f t="shared" si="264"/>
        <v>1.5404630656234133E-3</v>
      </c>
      <c r="AS314" s="580" t="str">
        <f t="shared" si="265"/>
        <v>0.139090041102309-0.65767637106822i</v>
      </c>
      <c r="AT314" s="270">
        <f t="shared" si="266"/>
        <v>0.67222336213144573</v>
      </c>
      <c r="AU314" s="581">
        <f t="shared" si="267"/>
        <v>-1.3623803103648833</v>
      </c>
      <c r="AV314" s="580" t="str">
        <f t="shared" si="268"/>
        <v>-0.0149475625403093-0.129907032952395i</v>
      </c>
      <c r="AW314" s="270">
        <f t="shared" si="269"/>
        <v>-17.670225104111079</v>
      </c>
      <c r="AX314" s="581">
        <f t="shared" si="270"/>
        <v>-96.563789194357852</v>
      </c>
      <c r="AY314" s="299">
        <f t="shared" si="240"/>
        <v>83.436210805642148</v>
      </c>
      <c r="BB314" s="270">
        <f t="shared" si="273"/>
        <v>-43.449727966802271</v>
      </c>
      <c r="BC314" s="270">
        <f t="shared" si="274"/>
        <v>-78.058641875631011</v>
      </c>
      <c r="BD314" s="286"/>
      <c r="BE314" s="270">
        <f t="shared" si="271"/>
        <v>25.779502862691185</v>
      </c>
      <c r="BF314" s="581">
        <f t="shared" si="272"/>
        <v>-18.505147318726834</v>
      </c>
      <c r="BI314" s="286"/>
      <c r="BJ314" s="286"/>
      <c r="BL314" s="253">
        <f t="shared" si="241"/>
        <v>0</v>
      </c>
      <c r="BM314" s="253">
        <f t="shared" si="275"/>
        <v>0</v>
      </c>
      <c r="BN314" s="253">
        <f t="shared" si="242"/>
        <v>0</v>
      </c>
      <c r="BO314" s="253">
        <f t="shared" si="243"/>
        <v>0</v>
      </c>
    </row>
    <row r="315" spans="4:67" ht="13.6" thickBot="1" x14ac:dyDescent="0.25">
      <c r="D315" s="280">
        <v>22132.5</v>
      </c>
      <c r="E315" s="273" t="str">
        <f t="shared" si="222"/>
        <v>0.250312677860074i</v>
      </c>
      <c r="F315" s="579" t="str">
        <f t="shared" si="244"/>
        <v>0.002-0.110630863482623i</v>
      </c>
      <c r="G315" s="270" t="str">
        <f t="shared" si="245"/>
        <v>0.002-0.110630863482623i</v>
      </c>
      <c r="H315" s="271" t="str">
        <f t="shared" si="246"/>
        <v>0.00808069919928085-0.110073802315328i</v>
      </c>
      <c r="I315" s="271" t="str">
        <f t="shared" si="247"/>
        <v>0.0180806991992809-0.110073802315328i</v>
      </c>
      <c r="J315" s="270" t="str">
        <f t="shared" si="248"/>
        <v>0.00501390212584716-0.0554681570265162i</v>
      </c>
      <c r="K315" s="271" t="str">
        <f t="shared" si="223"/>
        <v>0.987630424578925-0.174701757300442i</v>
      </c>
      <c r="L315" s="580"/>
      <c r="M315" s="580" t="str">
        <f t="shared" si="224"/>
        <v>-0.324312588249255-73.1406582595999i</v>
      </c>
      <c r="N315" s="270" t="str">
        <f t="shared" si="225"/>
        <v>-6.90990110785361-54.8554936946999i</v>
      </c>
      <c r="O315" s="581" t="str">
        <f t="shared" si="226"/>
        <v>-5.42912860631446-27.0656250803366i</v>
      </c>
      <c r="P315" s="582" t="str">
        <f t="shared" si="227"/>
        <v>-3.07737870587874+0.108239403237871i</v>
      </c>
      <c r="Q315" s="583" t="str">
        <f t="shared" si="228"/>
        <v>-3.02308741981559+0.378895654041238i</v>
      </c>
      <c r="R315" s="581" t="str">
        <f t="shared" si="249"/>
        <v>-0.586467539764004-3.23182732431914i</v>
      </c>
      <c r="S315" s="253" t="str">
        <f t="shared" si="250"/>
        <v>51.0989752028332-6.76885066334385i</v>
      </c>
      <c r="T315" s="253" t="str">
        <f t="shared" si="251"/>
        <v>18.4342433697474-6.21607237266794i</v>
      </c>
      <c r="U315" s="253" t="str">
        <f t="shared" si="252"/>
        <v>-0.535265145889557-2.07935747155871i</v>
      </c>
      <c r="V315" s="582" t="str">
        <f t="shared" si="229"/>
        <v>6000</v>
      </c>
      <c r="W315" s="584" t="str">
        <f t="shared" si="230"/>
        <v>1+77886.7365925455i</v>
      </c>
      <c r="X315" s="585">
        <f t="shared" si="231"/>
        <v>77886.736598965086</v>
      </c>
      <c r="Y315" s="586">
        <f t="shared" si="232"/>
        <v>1.5707834876384024</v>
      </c>
      <c r="Z315" s="273" t="str">
        <f t="shared" si="233"/>
        <v>1+11.6812583001368i</v>
      </c>
      <c r="AA315" s="585">
        <f t="shared" si="234"/>
        <v>11.723983771505099</v>
      </c>
      <c r="AB315" s="586">
        <f t="shared" si="235"/>
        <v>1.4853973231098454</v>
      </c>
      <c r="AC315" s="584" t="str">
        <f t="shared" si="236"/>
        <v>1+0.564735775185167i</v>
      </c>
      <c r="AD315" s="585">
        <f t="shared" si="237"/>
        <v>1.1484452515353056</v>
      </c>
      <c r="AE315" s="586">
        <f t="shared" si="238"/>
        <v>0.51408623069690318</v>
      </c>
      <c r="AF315" s="580" t="str">
        <f t="shared" si="253"/>
        <v>0.649291791935958-0.443701688890071i</v>
      </c>
      <c r="AG315" s="270">
        <f t="shared" si="254"/>
        <v>0.78641656887384359</v>
      </c>
      <c r="AH315" s="581">
        <f t="shared" si="255"/>
        <v>-0.59947239522546114</v>
      </c>
      <c r="AI315" s="582" t="str">
        <f t="shared" si="239"/>
        <v>4000</v>
      </c>
      <c r="AJ315" s="584" t="str">
        <f t="shared" si="256"/>
        <v>1+6118.96850409286i</v>
      </c>
      <c r="AK315" s="585">
        <f t="shared" si="257"/>
        <v>6118.9685858059775</v>
      </c>
      <c r="AL315" s="586">
        <f t="shared" si="258"/>
        <v>1.5706329005588524</v>
      </c>
      <c r="AM315" s="273" t="str">
        <f t="shared" si="259"/>
        <v>1+0.214156402169174i</v>
      </c>
      <c r="AN315" s="585">
        <f t="shared" si="260"/>
        <v>1.0226744176863158</v>
      </c>
      <c r="AO315" s="586">
        <f t="shared" si="261"/>
        <v>0.21096969494857248</v>
      </c>
      <c r="AP315" s="584" t="str">
        <f t="shared" si="262"/>
        <v>1+0.00154937234381917i</v>
      </c>
      <c r="AQ315" s="585">
        <f t="shared" si="263"/>
        <v>1.0000012002766094</v>
      </c>
      <c r="AR315" s="586">
        <f t="shared" si="264"/>
        <v>1.5493711040366225E-3</v>
      </c>
      <c r="AS315" s="580" t="str">
        <f t="shared" si="265"/>
        <v>0.139088798184182-0.65389755400292i</v>
      </c>
      <c r="AT315" s="270">
        <f t="shared" si="266"/>
        <v>0.66852651773233496</v>
      </c>
      <c r="AU315" s="581">
        <f t="shared" si="267"/>
        <v>-1.3612125767143164</v>
      </c>
      <c r="AV315" s="580" t="str">
        <f t="shared" si="268"/>
        <v>-0.015006777642598-0.129186926851127i</v>
      </c>
      <c r="AW315" s="270">
        <f t="shared" si="269"/>
        <v>-17.717417228652302</v>
      </c>
      <c r="AX315" s="581">
        <f t="shared" si="270"/>
        <v>-96.625968980166988</v>
      </c>
      <c r="AY315" s="299">
        <f t="shared" si="240"/>
        <v>83.374031019833012</v>
      </c>
      <c r="BB315" s="270">
        <f t="shared" si="273"/>
        <v>-43.497627227234673</v>
      </c>
      <c r="BC315" s="270">
        <f t="shared" si="274"/>
        <v>-77.99173566585813</v>
      </c>
      <c r="BD315" s="286"/>
      <c r="BE315" s="270">
        <f t="shared" si="271"/>
        <v>25.780209998582336</v>
      </c>
      <c r="BF315" s="581">
        <f t="shared" si="272"/>
        <v>-18.634233314308901</v>
      </c>
      <c r="BI315" s="286"/>
      <c r="BJ315" s="286"/>
      <c r="BL315" s="253">
        <f t="shared" si="241"/>
        <v>0</v>
      </c>
      <c r="BM315" s="253">
        <f t="shared" si="275"/>
        <v>0</v>
      </c>
      <c r="BN315" s="253">
        <f t="shared" si="242"/>
        <v>0</v>
      </c>
      <c r="BO315" s="253">
        <f t="shared" si="243"/>
        <v>0</v>
      </c>
    </row>
    <row r="316" spans="4:67" ht="13.6" thickBot="1" x14ac:dyDescent="0.25">
      <c r="D316" s="280">
        <v>22259.75</v>
      </c>
      <c r="E316" s="273" t="str">
        <f t="shared" si="222"/>
        <v>0.251751841454683i</v>
      </c>
      <c r="F316" s="579" t="str">
        <f t="shared" si="244"/>
        <v>0.002-0.109998431520083i</v>
      </c>
      <c r="G316" s="270" t="str">
        <f t="shared" si="245"/>
        <v>0.002-0.109998431520083i</v>
      </c>
      <c r="H316" s="271" t="str">
        <f t="shared" si="246"/>
        <v>0.00801156204870606-0.109448353536854i</v>
      </c>
      <c r="I316" s="271" t="str">
        <f t="shared" si="247"/>
        <v>0.0180115620487061-0.109448353536854i</v>
      </c>
      <c r="J316" s="270" t="str">
        <f t="shared" si="248"/>
        <v>0.00499640998546751-0.0551528246937717i</v>
      </c>
      <c r="K316" s="271" t="str">
        <f t="shared" si="223"/>
        <v>0.98748777884239-0.175706198670215i</v>
      </c>
      <c r="L316" s="580"/>
      <c r="M316" s="580" t="str">
        <f t="shared" si="224"/>
        <v>-0.324880329817992-72.6045979979112i</v>
      </c>
      <c r="N316" s="270" t="str">
        <f t="shared" si="225"/>
        <v>-6.91032691403016-54.4534484984334i</v>
      </c>
      <c r="O316" s="581" t="str">
        <f t="shared" si="226"/>
        <v>-5.41729376381976-26.8639436558393i</v>
      </c>
      <c r="P316" s="582" t="str">
        <f t="shared" si="227"/>
        <v>-3.03778832540153+0.109052295045444i</v>
      </c>
      <c r="Q316" s="583" t="str">
        <f t="shared" si="228"/>
        <v>-2.98361538776334+0.37769173160384i</v>
      </c>
      <c r="R316" s="581" t="str">
        <f t="shared" si="249"/>
        <v>-0.585562671409333-3.20763934684406i</v>
      </c>
      <c r="S316" s="253" t="str">
        <f t="shared" si="250"/>
        <v>51.0902921126593-6.83359225547132i</v>
      </c>
      <c r="T316" s="253" t="str">
        <f t="shared" si="251"/>
        <v>18.4217020348523-6.2580542013576i</v>
      </c>
      <c r="U316" s="253" t="str">
        <f t="shared" si="252"/>
        <v>-0.537347119787989-2.06636174659944i</v>
      </c>
      <c r="V316" s="582" t="str">
        <f t="shared" si="229"/>
        <v>6000</v>
      </c>
      <c r="W316" s="584" t="str">
        <f t="shared" si="230"/>
        <v>1+78334.543538503i</v>
      </c>
      <c r="X316" s="585">
        <f t="shared" si="231"/>
        <v>78334.543544885892</v>
      </c>
      <c r="Y316" s="586">
        <f t="shared" si="232"/>
        <v>1.5707835610346741</v>
      </c>
      <c r="Z316" s="273" t="str">
        <f t="shared" si="233"/>
        <v>1+11.7484192678853i</v>
      </c>
      <c r="AA316" s="585">
        <f t="shared" si="234"/>
        <v>11.790901377503696</v>
      </c>
      <c r="AB316" s="586">
        <f t="shared" si="235"/>
        <v>1.4858831647643558</v>
      </c>
      <c r="AC316" s="584" t="str">
        <f t="shared" si="236"/>
        <v>1+0.567982702888424i</v>
      </c>
      <c r="AD316" s="585">
        <f t="shared" si="237"/>
        <v>1.1500453690096055</v>
      </c>
      <c r="AE316" s="586">
        <f t="shared" si="238"/>
        <v>0.51654460374614852</v>
      </c>
      <c r="AF316" s="580" t="str">
        <f t="shared" si="253"/>
        <v>0.647486253990744-0.444344066489917i</v>
      </c>
      <c r="AG316" s="270">
        <f t="shared" si="254"/>
        <v>0.78528981817655197</v>
      </c>
      <c r="AH316" s="581">
        <f t="shared" si="255"/>
        <v>-0.60144500001646939</v>
      </c>
      <c r="AI316" s="582" t="str">
        <f t="shared" si="239"/>
        <v>4000</v>
      </c>
      <c r="AJ316" s="584" t="str">
        <f t="shared" si="256"/>
        <v>1+6154.14928991218i</v>
      </c>
      <c r="AK316" s="585">
        <f t="shared" si="257"/>
        <v>6154.1493711581779</v>
      </c>
      <c r="AL316" s="586">
        <f t="shared" si="258"/>
        <v>1.5706338348006192</v>
      </c>
      <c r="AM316" s="273" t="str">
        <f t="shared" si="259"/>
        <v>1+0.215387686577896i</v>
      </c>
      <c r="AN316" s="585">
        <f t="shared" si="260"/>
        <v>1.0229329672707679</v>
      </c>
      <c r="AO316" s="586">
        <f t="shared" si="261"/>
        <v>0.21214668803804443</v>
      </c>
      <c r="AP316" s="584" t="str">
        <f t="shared" si="262"/>
        <v>1+0.0015582804034939i</v>
      </c>
      <c r="AQ316" s="585">
        <f t="shared" si="263"/>
        <v>1.0000012141181709</v>
      </c>
      <c r="AR316" s="586">
        <f t="shared" si="264"/>
        <v>1.5582791422039364E-3</v>
      </c>
      <c r="AS316" s="580" t="str">
        <f t="shared" si="265"/>
        <v>0.139087576433378-0.650161955030764i</v>
      </c>
      <c r="AT316" s="270">
        <f t="shared" si="266"/>
        <v>0.66487286129570367</v>
      </c>
      <c r="AU316" s="581">
        <f t="shared" si="267"/>
        <v>-1.3600454259047794</v>
      </c>
      <c r="AV316" s="580" t="str">
        <f t="shared" si="268"/>
        <v>-0.0150651886443771-0.128475074020293i</v>
      </c>
      <c r="AW316" s="270">
        <f t="shared" si="269"/>
        <v>-17.764312616681401</v>
      </c>
      <c r="AX316" s="581">
        <f t="shared" si="270"/>
        <v>-96.688050372952134</v>
      </c>
      <c r="AY316" s="299">
        <f t="shared" si="240"/>
        <v>83.311949627047866</v>
      </c>
      <c r="BB316" s="270">
        <f t="shared" si="273"/>
        <v>-43.545227873384952</v>
      </c>
      <c r="BC316" s="270">
        <f t="shared" si="274"/>
        <v>-77.924862850416375</v>
      </c>
      <c r="BD316" s="286"/>
      <c r="BE316" s="270">
        <f t="shared" si="271"/>
        <v>25.780915256703558</v>
      </c>
      <c r="BF316" s="581">
        <f t="shared" si="272"/>
        <v>-18.763187522535752</v>
      </c>
      <c r="BI316" s="286"/>
      <c r="BJ316" s="286"/>
      <c r="BL316" s="253">
        <f t="shared" si="241"/>
        <v>0</v>
      </c>
      <c r="BM316" s="253">
        <f t="shared" si="275"/>
        <v>0</v>
      </c>
      <c r="BN316" s="253">
        <f t="shared" si="242"/>
        <v>0</v>
      </c>
      <c r="BO316" s="253">
        <f t="shared" si="243"/>
        <v>0</v>
      </c>
    </row>
    <row r="317" spans="4:67" ht="13.6" thickBot="1" x14ac:dyDescent="0.25">
      <c r="D317" s="280">
        <v>22387</v>
      </c>
      <c r="E317" s="273" t="str">
        <f t="shared" si="222"/>
        <v>0.253191005049293i</v>
      </c>
      <c r="F317" s="579" t="str">
        <f t="shared" si="244"/>
        <v>0.002-0.10937318917359i</v>
      </c>
      <c r="G317" s="270" t="str">
        <f t="shared" si="245"/>
        <v>0.002-0.10937318917359i</v>
      </c>
      <c r="H317" s="271" t="str">
        <f t="shared" si="246"/>
        <v>0.00794359581444626-0.108829951018705i</v>
      </c>
      <c r="I317" s="271" t="str">
        <f t="shared" si="247"/>
        <v>0.0179435958144463-0.108829951018705i</v>
      </c>
      <c r="J317" s="270" t="str">
        <f t="shared" si="248"/>
        <v>0.00497921314210781-0.0548410762224914i</v>
      </c>
      <c r="K317" s="271" t="str">
        <f t="shared" si="223"/>
        <v>0.98734431532032-0.176710640039987i</v>
      </c>
      <c r="L317" s="580"/>
      <c r="M317" s="580" t="str">
        <f t="shared" si="224"/>
        <v>-0.325315589487148-72.0769911497299i</v>
      </c>
      <c r="N317" s="270" t="str">
        <f t="shared" si="225"/>
        <v>-6.91065335878203-54.0577433622974i</v>
      </c>
      <c r="O317" s="581" t="str">
        <f t="shared" si="226"/>
        <v>-5.40564774496576-26.6654322156455i</v>
      </c>
      <c r="P317" s="582" t="str">
        <f t="shared" si="227"/>
        <v>-2.99899444017223+0.109822641413939i</v>
      </c>
      <c r="Q317" s="583" t="str">
        <f t="shared" si="228"/>
        <v>-2.94493796272258+0.376476963570395i</v>
      </c>
      <c r="R317" s="581" t="str">
        <f t="shared" si="249"/>
        <v>-0.584670594937929-3.18383028662807i</v>
      </c>
      <c r="S317" s="253" t="str">
        <f t="shared" si="250"/>
        <v>51.0815055804257-6.89817734841261i</v>
      </c>
      <c r="T317" s="253" t="str">
        <f t="shared" si="251"/>
        <v>18.4090756894582-6.29996812287515i</v>
      </c>
      <c r="U317" s="253" t="str">
        <f t="shared" si="252"/>
        <v>-0.539390965637302-2.05350320599538i</v>
      </c>
      <c r="V317" s="582" t="str">
        <f t="shared" si="229"/>
        <v>6000</v>
      </c>
      <c r="W317" s="584" t="str">
        <f t="shared" si="230"/>
        <v>1+78782.3504844601i</v>
      </c>
      <c r="X317" s="585">
        <f t="shared" si="231"/>
        <v>78782.350490806697</v>
      </c>
      <c r="Y317" s="586">
        <f t="shared" si="232"/>
        <v>1.5707836335965624</v>
      </c>
      <c r="Z317" s="273" t="str">
        <f t="shared" si="233"/>
        <v>1+11.8155802356336i</v>
      </c>
      <c r="AA317" s="585">
        <f t="shared" si="234"/>
        <v>11.857821735238533</v>
      </c>
      <c r="AB317" s="586">
        <f t="shared" si="235"/>
        <v>1.4863635227757286</v>
      </c>
      <c r="AC317" s="584" t="str">
        <f t="shared" si="236"/>
        <v>1+0.571229630591678i</v>
      </c>
      <c r="AD317" s="585">
        <f t="shared" si="237"/>
        <v>1.1516524175574439</v>
      </c>
      <c r="AE317" s="586">
        <f t="shared" si="238"/>
        <v>0.51899613060967598</v>
      </c>
      <c r="AF317" s="580" t="str">
        <f t="shared" si="253"/>
        <v>0.645680464953882-0.444979581308673i</v>
      </c>
      <c r="AG317" s="270">
        <f t="shared" si="254"/>
        <v>0.78416203083591274</v>
      </c>
      <c r="AH317" s="581">
        <f t="shared" si="255"/>
        <v>-0.60341624143051098</v>
      </c>
      <c r="AI317" s="582" t="str">
        <f t="shared" si="239"/>
        <v>4000</v>
      </c>
      <c r="AJ317" s="584" t="str">
        <f t="shared" si="256"/>
        <v>1+6189.33007573146i</v>
      </c>
      <c r="AK317" s="585">
        <f t="shared" si="257"/>
        <v>6189.3301565156471</v>
      </c>
      <c r="AL317" s="586">
        <f t="shared" si="258"/>
        <v>1.5706347584217346</v>
      </c>
      <c r="AM317" s="273" t="str">
        <f t="shared" si="259"/>
        <v>1+0.216618970986617i</v>
      </c>
      <c r="AN317" s="585">
        <f t="shared" si="260"/>
        <v>1.0231929332199772</v>
      </c>
      <c r="AO317" s="586">
        <f t="shared" si="261"/>
        <v>0.21332308467159622</v>
      </c>
      <c r="AP317" s="584" t="str">
        <f t="shared" si="262"/>
        <v>1+0.00156718846316863i</v>
      </c>
      <c r="AQ317" s="585">
        <f t="shared" si="263"/>
        <v>1.0000012280390855</v>
      </c>
      <c r="AR317" s="586">
        <f t="shared" si="264"/>
        <v>1.5671871801239414E-3</v>
      </c>
      <c r="AS317" s="580" t="str">
        <f t="shared" si="265"/>
        <v>0.139086375369499-0.646468837183632i</v>
      </c>
      <c r="AT317" s="270">
        <f t="shared" si="266"/>
        <v>0.66126165567268647</v>
      </c>
      <c r="AU317" s="581">
        <f t="shared" si="267"/>
        <v>-1.358878860930262</v>
      </c>
      <c r="AV317" s="580" t="str">
        <f t="shared" si="268"/>
        <v>-0.0151228145513955-0.127771334857436i</v>
      </c>
      <c r="AW317" s="270">
        <f t="shared" si="269"/>
        <v>-17.810914471783214</v>
      </c>
      <c r="AX317" s="581">
        <f t="shared" si="270"/>
        <v>-96.750035599684722</v>
      </c>
      <c r="AY317" s="299">
        <f t="shared" si="240"/>
        <v>83.249964400315278</v>
      </c>
      <c r="BB317" s="270">
        <f t="shared" si="273"/>
        <v>-43.592533196686219</v>
      </c>
      <c r="BC317" s="270">
        <f t="shared" si="274"/>
        <v>-77.858023600848753</v>
      </c>
      <c r="BD317" s="286"/>
      <c r="BE317" s="270">
        <f t="shared" si="271"/>
        <v>25.781618724903005</v>
      </c>
      <c r="BF317" s="581">
        <f t="shared" si="272"/>
        <v>-18.892011998835958</v>
      </c>
      <c r="BI317" s="286"/>
      <c r="BJ317" s="286"/>
      <c r="BL317" s="253">
        <f t="shared" si="241"/>
        <v>0</v>
      </c>
      <c r="BM317" s="253">
        <f t="shared" si="275"/>
        <v>0</v>
      </c>
      <c r="BN317" s="253">
        <f t="shared" si="242"/>
        <v>0</v>
      </c>
      <c r="BO317" s="253">
        <f t="shared" si="243"/>
        <v>0</v>
      </c>
    </row>
    <row r="318" spans="4:67" ht="13.6" thickBot="1" x14ac:dyDescent="0.25">
      <c r="D318" s="280">
        <v>22517.5</v>
      </c>
      <c r="E318" s="273" t="str">
        <f t="shared" si="222"/>
        <v>0.254666925277949i</v>
      </c>
      <c r="F318" s="579" t="str">
        <f t="shared" si="244"/>
        <v>0.002-0.108739317687539i</v>
      </c>
      <c r="G318" s="270" t="str">
        <f t="shared" si="245"/>
        <v>0.002-0.108739317687539i</v>
      </c>
      <c r="H318" s="271" t="str">
        <f t="shared" si="246"/>
        <v>0.00787508235140797-0.108202949197529i</v>
      </c>
      <c r="I318" s="271" t="str">
        <f t="shared" si="247"/>
        <v>0.017875082351408-0.108202949197529i</v>
      </c>
      <c r="J318" s="270" t="str">
        <f t="shared" si="248"/>
        <v>0.00496187681888079-0.0545250244825523i</v>
      </c>
      <c r="K318" s="271" t="str">
        <f t="shared" si="223"/>
        <v>0.987196338318477-0.177740735118613i</v>
      </c>
      <c r="L318" s="580"/>
      <c r="M318" s="580" t="str">
        <f t="shared" si="224"/>
        <v>-0.325632253521284-71.5444712684641i</v>
      </c>
      <c r="N318" s="270" t="str">
        <f t="shared" si="225"/>
        <v>-6.91089085680763-53.6583534513481i</v>
      </c>
      <c r="O318" s="581" t="str">
        <f t="shared" si="226"/>
        <v>-5.39389644414634-26.4650612841126i</v>
      </c>
      <c r="P318" s="582" t="str">
        <f t="shared" si="227"/>
        <v>-2.96001402476841+0.110570353034127i</v>
      </c>
      <c r="Q318" s="583" t="str">
        <f t="shared" si="228"/>
        <v>-2.90607506032695+0.375220965875253i</v>
      </c>
      <c r="R318" s="581" t="str">
        <f t="shared" si="249"/>
        <v>-0.583768833111797-3.15979691117872i</v>
      </c>
      <c r="S318" s="253" t="str">
        <f t="shared" si="250"/>
        <v>51.0723881125192-6.96425183952307i</v>
      </c>
      <c r="T318" s="253" t="str">
        <f t="shared" si="251"/>
        <v>18.3960388819052-6.34288258369171i</v>
      </c>
      <c r="U318" s="253" t="str">
        <f t="shared" si="252"/>
        <v>-0.541448280834379-2.04045638326644i</v>
      </c>
      <c r="V318" s="582" t="str">
        <f t="shared" si="229"/>
        <v>6000</v>
      </c>
      <c r="W318" s="584" t="str">
        <f t="shared" si="230"/>
        <v>1+79241.5945429861i</v>
      </c>
      <c r="X318" s="585">
        <f t="shared" si="231"/>
        <v>79241.594549295929</v>
      </c>
      <c r="Y318" s="586">
        <f t="shared" si="232"/>
        <v>1.5707837071598967</v>
      </c>
      <c r="Z318" s="273" t="str">
        <f t="shared" si="233"/>
        <v>1+11.8844565129709i</v>
      </c>
      <c r="AA318" s="585">
        <f t="shared" si="234"/>
        <v>11.926454066850567</v>
      </c>
      <c r="AB318" s="586">
        <f t="shared" si="235"/>
        <v>1.4868505502106313</v>
      </c>
      <c r="AC318" s="584" t="str">
        <f t="shared" si="236"/>
        <v>1+0.57455948572154i</v>
      </c>
      <c r="AD318" s="585">
        <f t="shared" si="237"/>
        <v>1.1533076790833401</v>
      </c>
      <c r="AE318" s="586">
        <f t="shared" si="238"/>
        <v>0.52150315862403929</v>
      </c>
      <c r="AF318" s="580" t="str">
        <f t="shared" si="253"/>
        <v>0.643828386919962-0.44562416090525i</v>
      </c>
      <c r="AG318" s="270">
        <f t="shared" si="254"/>
        <v>0.7830043962753136</v>
      </c>
      <c r="AH318" s="581">
        <f t="shared" si="255"/>
        <v>-0.60543631557330468</v>
      </c>
      <c r="AI318" s="582" t="str">
        <f t="shared" si="239"/>
        <v>4000</v>
      </c>
      <c r="AJ318" s="584" t="str">
        <f t="shared" si="256"/>
        <v>1+6225.40938849704i</v>
      </c>
      <c r="AK318" s="585">
        <f t="shared" si="257"/>
        <v>6225.4094688130426</v>
      </c>
      <c r="AL318" s="586">
        <f t="shared" si="258"/>
        <v>1.5706356947899964</v>
      </c>
      <c r="AM318" s="273" t="str">
        <f t="shared" si="259"/>
        <v>1+0.217881702737801i</v>
      </c>
      <c r="AN318" s="585">
        <f t="shared" si="260"/>
        <v>1.0234610087286782</v>
      </c>
      <c r="AO318" s="586">
        <f t="shared" si="261"/>
        <v>0.2145289043646256</v>
      </c>
      <c r="AP318" s="584" t="str">
        <f t="shared" si="262"/>
        <v>1+0.0015763240371376i</v>
      </c>
      <c r="AQ318" s="585">
        <f t="shared" si="263"/>
        <v>1.0000012423979632</v>
      </c>
      <c r="AR318" s="586">
        <f t="shared" si="264"/>
        <v>1.5763227315242199E-3</v>
      </c>
      <c r="AS318" s="580" t="str">
        <f t="shared" si="265"/>
        <v>0.139085164627374-0.642724764143368i</v>
      </c>
      <c r="AT318" s="270">
        <f t="shared" si="266"/>
        <v>0.65760155524646668</v>
      </c>
      <c r="AU318" s="581">
        <f t="shared" si="267"/>
        <v>-1.3576831131568941</v>
      </c>
      <c r="AV318" s="580" t="str">
        <f t="shared" si="268"/>
        <v>-0.0151811161621097-0.127057906199096i</v>
      </c>
      <c r="AW318" s="270">
        <f t="shared" si="269"/>
        <v>-17.858404976935134</v>
      </c>
      <c r="AX318" s="581">
        <f t="shared" si="270"/>
        <v>-96.813506347961663</v>
      </c>
      <c r="AY318" s="299">
        <f t="shared" si="240"/>
        <v>83.186493652038337</v>
      </c>
      <c r="BB318" s="270">
        <f t="shared" si="273"/>
        <v>-43.64074336695866</v>
      </c>
      <c r="BC318" s="270">
        <f t="shared" si="274"/>
        <v>-77.789512300072602</v>
      </c>
      <c r="BD318" s="286"/>
      <c r="BE318" s="270">
        <f t="shared" si="271"/>
        <v>25.782338390023543</v>
      </c>
      <c r="BF318" s="581">
        <f t="shared" si="272"/>
        <v>-19.023994047889087</v>
      </c>
      <c r="BI318" s="286"/>
      <c r="BJ318" s="286"/>
      <c r="BL318" s="253">
        <f t="shared" si="241"/>
        <v>0</v>
      </c>
      <c r="BM318" s="253">
        <f t="shared" si="275"/>
        <v>0</v>
      </c>
      <c r="BN318" s="253">
        <f t="shared" si="242"/>
        <v>0</v>
      </c>
      <c r="BO318" s="253">
        <f t="shared" si="243"/>
        <v>0</v>
      </c>
    </row>
    <row r="319" spans="4:67" ht="13.6" thickBot="1" x14ac:dyDescent="0.25">
      <c r="D319" s="280">
        <v>22648</v>
      </c>
      <c r="E319" s="273" t="str">
        <f t="shared" si="222"/>
        <v>0.256142845506606i</v>
      </c>
      <c r="F319" s="579" t="str">
        <f t="shared" si="244"/>
        <v>0.002-0.108112751060984i</v>
      </c>
      <c r="G319" s="270" t="str">
        <f t="shared" si="245"/>
        <v>0.002-0.108112751060984i</v>
      </c>
      <c r="H319" s="271" t="str">
        <f t="shared" si="246"/>
        <v>0.00780774522499712-0.107583109543512i</v>
      </c>
      <c r="I319" s="271" t="str">
        <f t="shared" si="247"/>
        <v>0.0178077452249971-0.107583109543512i</v>
      </c>
      <c r="J319" s="270" t="str">
        <f t="shared" si="248"/>
        <v>0.00494483708741215-0.0542126144212021i</v>
      </c>
      <c r="K319" s="271" t="str">
        <f t="shared" si="223"/>
        <v>0.987047501224717-0.17877083019724i</v>
      </c>
      <c r="L319" s="580"/>
      <c r="M319" s="580" t="str">
        <f t="shared" si="224"/>
        <v>-0.32582517509819-71.0204066113852i</v>
      </c>
      <c r="N319" s="270" t="str">
        <f t="shared" si="225"/>
        <v>-6.91103554799031-53.2653049585389i</v>
      </c>
      <c r="O319" s="581" t="str">
        <f t="shared" si="226"/>
        <v>-5.38233576790306-26.26786056432i</v>
      </c>
      <c r="P319" s="582" t="str">
        <f t="shared" si="227"/>
        <v>-2.92182538463514+0.111277049983118i</v>
      </c>
      <c r="Q319" s="583" t="str">
        <f t="shared" si="228"/>
        <v>-2.86800202695611+0.373955655626318i</v>
      </c>
      <c r="R319" s="581" t="str">
        <f t="shared" si="249"/>
        <v>-0.582880142965535-3.13614249797054i</v>
      </c>
      <c r="S319" s="253" t="str">
        <f t="shared" si="250"/>
        <v>51.0631636826874-7.03016660699983i</v>
      </c>
      <c r="T319" s="253" t="str">
        <f t="shared" si="251"/>
        <v>18.3829132955737-6.38572678169065i</v>
      </c>
      <c r="U319" s="253" t="str">
        <f t="shared" si="252"/>
        <v>-0.543467240364513-2.02754910259447i</v>
      </c>
      <c r="V319" s="582" t="str">
        <f t="shared" si="229"/>
        <v>6000</v>
      </c>
      <c r="W319" s="584" t="str">
        <f t="shared" si="230"/>
        <v>1+79700.8386015122i</v>
      </c>
      <c r="X319" s="585">
        <f t="shared" si="231"/>
        <v>79700.838607785656</v>
      </c>
      <c r="Y319" s="586">
        <f t="shared" si="232"/>
        <v>1.5707837798754727</v>
      </c>
      <c r="Z319" s="273" t="str">
        <f t="shared" si="233"/>
        <v>1+11.9533327903083i</v>
      </c>
      <c r="AA319" s="585">
        <f t="shared" si="234"/>
        <v>11.995089194993907</v>
      </c>
      <c r="AB319" s="586">
        <f t="shared" si="235"/>
        <v>1.4873320042793907</v>
      </c>
      <c r="AC319" s="584" t="str">
        <f t="shared" si="236"/>
        <v>1+0.577889340851402i</v>
      </c>
      <c r="AD319" s="585">
        <f t="shared" si="237"/>
        <v>1.1549701685626637</v>
      </c>
      <c r="AE319" s="586">
        <f t="shared" si="238"/>
        <v>0.52400298497008913</v>
      </c>
      <c r="AF319" s="580" t="str">
        <f t="shared" si="253"/>
        <v>0.641976231161874-0.446261447069783i</v>
      </c>
      <c r="AG319" s="270">
        <f t="shared" si="254"/>
        <v>0.78184573959165415</v>
      </c>
      <c r="AH319" s="581">
        <f t="shared" si="255"/>
        <v>-0.60745476056617165</v>
      </c>
      <c r="AI319" s="582" t="str">
        <f t="shared" si="239"/>
        <v>4000</v>
      </c>
      <c r="AJ319" s="584" t="str">
        <f t="shared" si="256"/>
        <v>1+6261.48870126262i</v>
      </c>
      <c r="AK319" s="585">
        <f t="shared" si="257"/>
        <v>6261.4887811158351</v>
      </c>
      <c r="AL319" s="586">
        <f t="shared" si="258"/>
        <v>1.5706366203673667</v>
      </c>
      <c r="AM319" s="273" t="str">
        <f t="shared" si="259"/>
        <v>1+0.219144434488985i</v>
      </c>
      <c r="AN319" s="585">
        <f t="shared" si="260"/>
        <v>1.0237305715702238</v>
      </c>
      <c r="AO319" s="586">
        <f t="shared" si="261"/>
        <v>0.21573409079022857</v>
      </c>
      <c r="AP319" s="584" t="str">
        <f t="shared" si="262"/>
        <v>1+0.00158545961110658i</v>
      </c>
      <c r="AQ319" s="585">
        <f t="shared" si="263"/>
        <v>1.0000012568402994</v>
      </c>
      <c r="AR319" s="586">
        <f t="shared" si="264"/>
        <v>1.585458282661394E-3</v>
      </c>
      <c r="AS319" s="580" t="str">
        <f t="shared" si="265"/>
        <v>0.139083974662143-0.639023853164684i</v>
      </c>
      <c r="AT319" s="270">
        <f t="shared" si="266"/>
        <v>0.65398458462050868</v>
      </c>
      <c r="AU319" s="581">
        <f t="shared" si="267"/>
        <v>-1.3564879878597997</v>
      </c>
      <c r="AV319" s="580" t="str">
        <f t="shared" si="268"/>
        <v>-0.0152386308627493-0.126352723484338i</v>
      </c>
      <c r="AW319" s="270">
        <f t="shared" si="269"/>
        <v>-17.905593418988307</v>
      </c>
      <c r="AX319" s="581">
        <f t="shared" si="270"/>
        <v>-96.87688054980201</v>
      </c>
      <c r="AY319" s="299">
        <f t="shared" si="240"/>
        <v>83.12311945019799</v>
      </c>
      <c r="BB319" s="270">
        <f t="shared" si="273"/>
        <v>-43.688649770308302</v>
      </c>
      <c r="BC319" s="270">
        <f t="shared" si="274"/>
        <v>-77.721036664559776</v>
      </c>
      <c r="BD319" s="286"/>
      <c r="BE319" s="270">
        <f t="shared" si="271"/>
        <v>25.78305635132002</v>
      </c>
      <c r="BF319" s="581">
        <f t="shared" si="272"/>
        <v>-19.155843885242231</v>
      </c>
      <c r="BI319" s="286"/>
      <c r="BJ319" s="286"/>
      <c r="BL319" s="253">
        <f t="shared" si="241"/>
        <v>0</v>
      </c>
      <c r="BM319" s="253">
        <f t="shared" si="275"/>
        <v>0</v>
      </c>
      <c r="BN319" s="253">
        <f t="shared" si="242"/>
        <v>0</v>
      </c>
      <c r="BO319" s="253">
        <f t="shared" si="243"/>
        <v>0</v>
      </c>
    </row>
    <row r="320" spans="4:67" ht="13.6" thickBot="1" x14ac:dyDescent="0.25">
      <c r="D320" s="280">
        <v>22778.5</v>
      </c>
      <c r="E320" s="273" t="str">
        <f t="shared" si="222"/>
        <v>0.257618765735262i</v>
      </c>
      <c r="F320" s="579" t="str">
        <f t="shared" si="244"/>
        <v>0.002-0.107493363743405i</v>
      </c>
      <c r="G320" s="270" t="str">
        <f t="shared" si="245"/>
        <v>0.002-0.107493363743405i</v>
      </c>
      <c r="H320" s="271" t="str">
        <f t="shared" si="246"/>
        <v>0.00774155768482886-0.106970310394932i</v>
      </c>
      <c r="I320" s="271" t="str">
        <f t="shared" si="247"/>
        <v>0.0177415576848289-0.106970310394932i</v>
      </c>
      <c r="J320" s="270" t="str">
        <f t="shared" si="248"/>
        <v>0.0049280871677187-0.0539037836277028i</v>
      </c>
      <c r="K320" s="271" t="str">
        <f t="shared" si="223"/>
        <v>0.986897804039039-0.179800925275867i</v>
      </c>
      <c r="L320" s="580"/>
      <c r="M320" s="580" t="str">
        <f t="shared" si="224"/>
        <v>-0.325901594400145-70.5045877513411i</v>
      </c>
      <c r="N320" s="270" t="str">
        <f t="shared" si="225"/>
        <v>-6.91109286246678-52.8784408135058i</v>
      </c>
      <c r="O320" s="581" t="str">
        <f t="shared" si="226"/>
        <v>-5.37096180789848-26.0737513165731i</v>
      </c>
      <c r="P320" s="582" t="str">
        <f t="shared" si="227"/>
        <v>-2.88440650023194+0.11194448866736i</v>
      </c>
      <c r="Q320" s="583" t="str">
        <f t="shared" si="228"/>
        <v>-2.83069688215295+0.372682001833092i</v>
      </c>
      <c r="R320" s="581" t="str">
        <f t="shared" si="249"/>
        <v>-0.582004330799507-3.11285764310234i</v>
      </c>
      <c r="S320" s="253" t="str">
        <f t="shared" si="250"/>
        <v>51.0538331791863-7.09592403410389i</v>
      </c>
      <c r="T320" s="253" t="str">
        <f t="shared" si="251"/>
        <v>18.3696992382551-6.42850127862395i</v>
      </c>
      <c r="U320" s="253" t="str">
        <f t="shared" si="252"/>
        <v>-0.545448690842713-2.01477904285316i</v>
      </c>
      <c r="V320" s="582" t="str">
        <f t="shared" si="229"/>
        <v>6000</v>
      </c>
      <c r="W320" s="584" t="str">
        <f t="shared" si="230"/>
        <v>1+80160.0826600382i</v>
      </c>
      <c r="X320" s="585">
        <f t="shared" si="231"/>
        <v>80160.082666275717</v>
      </c>
      <c r="Y320" s="586">
        <f t="shared" si="232"/>
        <v>1.5707838517578612</v>
      </c>
      <c r="Z320" s="273" t="str">
        <f t="shared" si="233"/>
        <v>1+12.0222090676456i</v>
      </c>
      <c r="AA320" s="585">
        <f t="shared" si="234"/>
        <v>12.06372707193677</v>
      </c>
      <c r="AB320" s="586">
        <f t="shared" si="235"/>
        <v>1.4878079798876822</v>
      </c>
      <c r="AC320" s="584" t="str">
        <f t="shared" si="236"/>
        <v>1+0.581219195981264i</v>
      </c>
      <c r="AD320" s="585">
        <f t="shared" si="237"/>
        <v>1.1566398548282464</v>
      </c>
      <c r="AE320" s="586">
        <f t="shared" si="238"/>
        <v>0.52649560952557428</v>
      </c>
      <c r="AF320" s="580" t="str">
        <f t="shared" si="253"/>
        <v>0.64012409045016-0.446891405535116i</v>
      </c>
      <c r="AG320" s="270">
        <f t="shared" si="254"/>
        <v>0.78068609537751865</v>
      </c>
      <c r="AH320" s="581">
        <f t="shared" si="255"/>
        <v>-0.60947148139575191</v>
      </c>
      <c r="AI320" s="582" t="str">
        <f t="shared" si="239"/>
        <v>4000</v>
      </c>
      <c r="AJ320" s="584" t="str">
        <f t="shared" si="256"/>
        <v>1+6297.5680140282i</v>
      </c>
      <c r="AK320" s="585">
        <f t="shared" si="257"/>
        <v>6297.5680934239281</v>
      </c>
      <c r="AL320" s="586">
        <f t="shared" si="258"/>
        <v>1.5706375353393114</v>
      </c>
      <c r="AM320" s="273" t="str">
        <f t="shared" si="259"/>
        <v>1+0.220407166240169i</v>
      </c>
      <c r="AN320" s="585">
        <f t="shared" si="260"/>
        <v>1.0240016205700171</v>
      </c>
      <c r="AO320" s="586">
        <f t="shared" si="261"/>
        <v>0.21693864094890108</v>
      </c>
      <c r="AP320" s="584" t="str">
        <f t="shared" si="262"/>
        <v>1+0.00159459518507556i</v>
      </c>
      <c r="AQ320" s="585">
        <f t="shared" si="263"/>
        <v>1.000001271366094</v>
      </c>
      <c r="AR320" s="586">
        <f t="shared" si="264"/>
        <v>1.5945938335339281E-3</v>
      </c>
      <c r="AS320" s="580" t="str">
        <f t="shared" si="265"/>
        <v>0.139082804998513-0.63536536241008i</v>
      </c>
      <c r="AT320" s="270">
        <f t="shared" si="266"/>
        <v>0.65041000176561448</v>
      </c>
      <c r="AU320" s="581">
        <f t="shared" si="267"/>
        <v>-1.3552934882239447</v>
      </c>
      <c r="AV320" s="580" t="str">
        <f t="shared" si="268"/>
        <v>-0.01529537747611-0.125655646036457i</v>
      </c>
      <c r="AW320" s="270">
        <f t="shared" si="269"/>
        <v>-17.952483083685454</v>
      </c>
      <c r="AX320" s="581">
        <f t="shared" si="270"/>
        <v>-96.940160458018752</v>
      </c>
      <c r="AY320" s="299">
        <f t="shared" si="240"/>
        <v>83.059839541981248</v>
      </c>
      <c r="BB320" s="270">
        <f t="shared" si="273"/>
        <v>-43.736255778838881</v>
      </c>
      <c r="BC320" s="270">
        <f t="shared" si="274"/>
        <v>-77.652596876795371</v>
      </c>
      <c r="BD320" s="286"/>
      <c r="BE320" s="270">
        <f t="shared" si="271"/>
        <v>25.783772695153409</v>
      </c>
      <c r="BF320" s="581">
        <f t="shared" si="272"/>
        <v>-19.287563581223409</v>
      </c>
      <c r="BI320" s="286"/>
      <c r="BJ320" s="286"/>
      <c r="BL320" s="253">
        <f t="shared" si="241"/>
        <v>0</v>
      </c>
      <c r="BM320" s="253">
        <f t="shared" si="275"/>
        <v>0</v>
      </c>
      <c r="BN320" s="253">
        <f t="shared" si="242"/>
        <v>0</v>
      </c>
      <c r="BO320" s="253">
        <f t="shared" si="243"/>
        <v>0</v>
      </c>
    </row>
    <row r="321" spans="4:67" ht="13.6" thickBot="1" x14ac:dyDescent="0.25">
      <c r="D321" s="280">
        <v>22909</v>
      </c>
      <c r="E321" s="273" t="str">
        <f t="shared" si="222"/>
        <v>0.259094685963919i</v>
      </c>
      <c r="F321" s="579" t="str">
        <f t="shared" si="244"/>
        <v>0.002-0.106881033045055i</v>
      </c>
      <c r="G321" s="270" t="str">
        <f t="shared" si="245"/>
        <v>0.002-0.106881033045055i</v>
      </c>
      <c r="H321" s="271" t="str">
        <f t="shared" si="246"/>
        <v>0.00767649373589238-0.106364432821905i</v>
      </c>
      <c r="I321" s="271" t="str">
        <f t="shared" si="247"/>
        <v>0.0176764937358924-0.106364432821905i</v>
      </c>
      <c r="J321" s="270" t="str">
        <f t="shared" si="248"/>
        <v>0.0049116204721034-0.0535984711082576i</v>
      </c>
      <c r="K321" s="271" t="str">
        <f t="shared" si="223"/>
        <v>0.986747246761446-0.180831020354494i</v>
      </c>
      <c r="L321" s="580"/>
      <c r="M321" s="580" t="str">
        <f t="shared" si="224"/>
        <v>-0.325868346039489-69.996812296344i</v>
      </c>
      <c r="N321" s="270" t="str">
        <f t="shared" si="225"/>
        <v>-6.91106792619629-52.497609222258i</v>
      </c>
      <c r="O321" s="581" t="str">
        <f t="shared" si="226"/>
        <v>-5.35977073912184-25.8826574535104i</v>
      </c>
      <c r="P321" s="582" t="str">
        <f t="shared" si="227"/>
        <v>-2.8477361338622+0.112574342376911i</v>
      </c>
      <c r="Q321" s="583" t="str">
        <f t="shared" si="228"/>
        <v>-2.79413842647097+0.371400916912016i</v>
      </c>
      <c r="R321" s="581" t="str">
        <f t="shared" si="249"/>
        <v>-0.581141203153165-3.08993325913934i</v>
      </c>
      <c r="S321" s="253" t="str">
        <f t="shared" si="250"/>
        <v>51.044397465157-7.1615264500209i</v>
      </c>
      <c r="T321" s="253" t="str">
        <f t="shared" si="251"/>
        <v>18.3563970107056-6.47120662051258i</v>
      </c>
      <c r="U321" s="253" t="str">
        <f t="shared" si="252"/>
        <v>-0.54739345519794-2.00214393378345i</v>
      </c>
      <c r="V321" s="582" t="str">
        <f t="shared" si="229"/>
        <v>6000</v>
      </c>
      <c r="W321" s="584" t="str">
        <f t="shared" si="230"/>
        <v>1+80619.3267185643i</v>
      </c>
      <c r="X321" s="585">
        <f t="shared" si="231"/>
        <v>80619.326724766273</v>
      </c>
      <c r="Y321" s="586">
        <f t="shared" si="232"/>
        <v>1.5707839228213005</v>
      </c>
      <c r="Z321" s="273" t="str">
        <f t="shared" si="233"/>
        <v>1+12.0910853449829i</v>
      </c>
      <c r="AA321" s="585">
        <f t="shared" si="234"/>
        <v>12.132367651025922</v>
      </c>
      <c r="AB321" s="586">
        <f t="shared" si="235"/>
        <v>1.4882785698034735</v>
      </c>
      <c r="AC321" s="584" t="str">
        <f t="shared" si="236"/>
        <v>1+0.584549051111126i</v>
      </c>
      <c r="AD321" s="585">
        <f t="shared" si="237"/>
        <v>1.1583167067580946</v>
      </c>
      <c r="AE321" s="586">
        <f t="shared" si="238"/>
        <v>0.5289810325269122</v>
      </c>
      <c r="AF321" s="580" t="str">
        <f t="shared" si="253"/>
        <v>0.638272056489534-0.447514004638444i</v>
      </c>
      <c r="AG321" s="270">
        <f t="shared" si="254"/>
        <v>0.77952549826347317</v>
      </c>
      <c r="AH321" s="581">
        <f t="shared" si="255"/>
        <v>-0.61148638554473955</v>
      </c>
      <c r="AI321" s="582" t="str">
        <f t="shared" si="239"/>
        <v>4000</v>
      </c>
      <c r="AJ321" s="584" t="str">
        <f t="shared" si="256"/>
        <v>1+6333.64732679378i</v>
      </c>
      <c r="AK321" s="585">
        <f t="shared" si="257"/>
        <v>6333.6474057372343</v>
      </c>
      <c r="AL321" s="586">
        <f t="shared" si="258"/>
        <v>1.5706384398870703</v>
      </c>
      <c r="AM321" s="273" t="str">
        <f t="shared" si="259"/>
        <v>1+0.221669897991353i</v>
      </c>
      <c r="AN321" s="585">
        <f t="shared" si="260"/>
        <v>1.0242741545482326</v>
      </c>
      <c r="AO321" s="586">
        <f t="shared" si="261"/>
        <v>0.21814255185169085</v>
      </c>
      <c r="AP321" s="584" t="str">
        <f t="shared" si="262"/>
        <v>1+0.00160373075904454i</v>
      </c>
      <c r="AQ321" s="585">
        <f t="shared" si="263"/>
        <v>1.0000012859753469</v>
      </c>
      <c r="AR321" s="586">
        <f t="shared" si="264"/>
        <v>1.603729384140298E-3</v>
      </c>
      <c r="AS321" s="580" t="str">
        <f t="shared" si="265"/>
        <v>0.139081655174688-0.63174856694542i</v>
      </c>
      <c r="AT321" s="270">
        <f t="shared" si="266"/>
        <v>0.64687708155701629</v>
      </c>
      <c r="AU321" s="581">
        <f t="shared" si="267"/>
        <v>-1.354099617419521</v>
      </c>
      <c r="AV321" s="580" t="str">
        <f t="shared" si="268"/>
        <v>-0.0153513742962391-0.124966536335527i</v>
      </c>
      <c r="AW321" s="270">
        <f t="shared" si="269"/>
        <v>-17.999077202039086</v>
      </c>
      <c r="AX321" s="581">
        <f t="shared" si="270"/>
        <v>-97.003348277770144</v>
      </c>
      <c r="AY321" s="299">
        <f t="shared" si="240"/>
        <v>82.996651722229856</v>
      </c>
      <c r="BB321" s="270">
        <f t="shared" si="273"/>
        <v>-43.78356470727649</v>
      </c>
      <c r="BC321" s="270">
        <f t="shared" si="274"/>
        <v>-77.584193118418</v>
      </c>
      <c r="BD321" s="286"/>
      <c r="BE321" s="270">
        <f t="shared" si="271"/>
        <v>25.784487505237436</v>
      </c>
      <c r="BF321" s="581">
        <f t="shared" si="272"/>
        <v>-19.419155159352119</v>
      </c>
      <c r="BI321" s="286"/>
      <c r="BJ321" s="286"/>
      <c r="BL321" s="253">
        <f t="shared" si="241"/>
        <v>0</v>
      </c>
      <c r="BM321" s="253">
        <f t="shared" si="275"/>
        <v>0</v>
      </c>
      <c r="BN321" s="253">
        <f t="shared" si="242"/>
        <v>0</v>
      </c>
      <c r="BO321" s="253">
        <f t="shared" si="243"/>
        <v>0</v>
      </c>
    </row>
    <row r="322" spans="4:67" ht="13.6" thickBot="1" x14ac:dyDescent="0.25">
      <c r="D322" s="280">
        <v>23042.25</v>
      </c>
      <c r="E322" s="273" t="str">
        <f t="shared" si="222"/>
        <v>0.260601707959846i</v>
      </c>
      <c r="F322" s="579" t="str">
        <f t="shared" si="244"/>
        <v>0.002-0.106262955485213i</v>
      </c>
      <c r="G322" s="270" t="str">
        <f t="shared" si="245"/>
        <v>0.002-0.106262955485213i</v>
      </c>
      <c r="H322" s="271" t="str">
        <f t="shared" si="246"/>
        <v>0.00761119181557742-0.105752808807861i</v>
      </c>
      <c r="I322" s="271" t="str">
        <f t="shared" si="247"/>
        <v>0.0176111918155774-0.105752808807861i</v>
      </c>
      <c r="J322" s="270" t="str">
        <f t="shared" si="248"/>
        <v>0.004895092365495-0.0532902931258995i</v>
      </c>
      <c r="K322" s="271" t="str">
        <f t="shared" si="223"/>
        <v>0.986592629351216-0.181882822417536i</v>
      </c>
      <c r="L322" s="580"/>
      <c r="M322" s="580" t="str">
        <f t="shared" si="224"/>
        <v>-0.325727942163146-69.4864327649594i</v>
      </c>
      <c r="N322" s="270" t="str">
        <f t="shared" si="225"/>
        <v>-6.91096262328903-52.1148245737196i</v>
      </c>
      <c r="O322" s="581" t="str">
        <f t="shared" si="226"/>
        <v>-5.34852866754501-25.6905716684533i</v>
      </c>
      <c r="P322" s="582" t="str">
        <f t="shared" si="227"/>
        <v>-2.81104407811383+0.113180344077282i</v>
      </c>
      <c r="Q322" s="583" t="str">
        <f t="shared" si="228"/>
        <v>-2.75755879143839+0.370086060761814i</v>
      </c>
      <c r="R322" s="581" t="str">
        <f t="shared" si="249"/>
        <v>-0.580272774814775-3.06688861340619i</v>
      </c>
      <c r="S322" s="253" t="str">
        <f t="shared" si="250"/>
        <v>51.0346552262497-7.22835371219269i</v>
      </c>
      <c r="T322" s="253" t="str">
        <f t="shared" si="251"/>
        <v>18.342723796636-6.5147410784372i</v>
      </c>
      <c r="U322" s="253" t="str">
        <f t="shared" si="252"/>
        <v>-0.549342178464334-1.98937950665785i</v>
      </c>
      <c r="V322" s="582" t="str">
        <f t="shared" si="229"/>
        <v>6000</v>
      </c>
      <c r="W322" s="584" t="str">
        <f t="shared" si="230"/>
        <v>1+81088.2483338794i</v>
      </c>
      <c r="X322" s="585">
        <f t="shared" si="231"/>
        <v>81088.248340045509</v>
      </c>
      <c r="Y322" s="586">
        <f t="shared" si="232"/>
        <v>1.5707839945516864</v>
      </c>
      <c r="Z322" s="273" t="str">
        <f t="shared" si="233"/>
        <v>1+12.1614130381262i</v>
      </c>
      <c r="AA322" s="585">
        <f t="shared" si="234"/>
        <v>12.202457419876781</v>
      </c>
      <c r="AB322" s="586">
        <f t="shared" si="235"/>
        <v>1.4887536134622337</v>
      </c>
      <c r="AC322" s="584" t="str">
        <f t="shared" si="236"/>
        <v>1+0.587949075601963i</v>
      </c>
      <c r="AD322" s="585">
        <f t="shared" si="237"/>
        <v>1.1600362561149555</v>
      </c>
      <c r="AE322" s="586">
        <f t="shared" si="238"/>
        <v>0.53151140016996334</v>
      </c>
      <c r="AF322" s="580" t="str">
        <f t="shared" si="253"/>
        <v>0.63638119931778-0.448142099769272i</v>
      </c>
      <c r="AG322" s="270">
        <f t="shared" si="254"/>
        <v>0.77833949689756088</v>
      </c>
      <c r="AH322" s="581">
        <f t="shared" si="255"/>
        <v>-0.6135417812594135</v>
      </c>
      <c r="AI322" s="582" t="str">
        <f t="shared" si="239"/>
        <v>4000</v>
      </c>
      <c r="AJ322" s="584" t="str">
        <f t="shared" si="256"/>
        <v>1+6370.48693159083i</v>
      </c>
      <c r="AK322" s="585">
        <f t="shared" si="257"/>
        <v>6370.4870100777662</v>
      </c>
      <c r="AL322" s="586">
        <f t="shared" si="258"/>
        <v>1.5706393529242137</v>
      </c>
      <c r="AM322" s="273" t="str">
        <f t="shared" si="259"/>
        <v>1+0.222959239032313i</v>
      </c>
      <c r="AN322" s="585">
        <f t="shared" si="260"/>
        <v>1.0245539625953668</v>
      </c>
      <c r="AO322" s="586">
        <f t="shared" si="261"/>
        <v>0.21937116982557892</v>
      </c>
      <c r="AP322" s="584" t="str">
        <f t="shared" si="262"/>
        <v>1+0.00161305884510865i</v>
      </c>
      <c r="AQ322" s="585">
        <f t="shared" si="263"/>
        <v>1.0000013009785726</v>
      </c>
      <c r="AR322" s="586">
        <f t="shared" si="264"/>
        <v>1.6130574460732617E-3</v>
      </c>
      <c r="AS322" s="580" t="str">
        <f t="shared" si="265"/>
        <v>0.139080501125969-0.62809784187702i</v>
      </c>
      <c r="AT322" s="270">
        <f t="shared" si="266"/>
        <v>0.64331196535119772</v>
      </c>
      <c r="AU322" s="581">
        <f t="shared" si="267"/>
        <v>-1.3528812405447086</v>
      </c>
      <c r="AV322" s="580" t="str">
        <f t="shared" si="268"/>
        <v>-0.015407795941026-0.124270986847083i</v>
      </c>
      <c r="AW322" s="270">
        <f t="shared" si="269"/>
        <v>-18.046351536226194</v>
      </c>
      <c r="AX322" s="581">
        <f t="shared" si="270"/>
        <v>-97.067774864769888</v>
      </c>
      <c r="AY322" s="299">
        <f t="shared" si="240"/>
        <v>82.932225135230112</v>
      </c>
      <c r="BB322" s="270">
        <f t="shared" si="273"/>
        <v>-43.831567416336725</v>
      </c>
      <c r="BC322" s="270">
        <f t="shared" si="274"/>
        <v>-77.514385265634914</v>
      </c>
      <c r="BD322" s="286"/>
      <c r="BE322" s="270">
        <f t="shared" si="271"/>
        <v>25.785215880110535</v>
      </c>
      <c r="BF322" s="581">
        <f t="shared" si="272"/>
        <v>-19.553389599134988</v>
      </c>
      <c r="BI322" s="286"/>
      <c r="BJ322" s="286"/>
      <c r="BL322" s="253">
        <f t="shared" si="241"/>
        <v>0</v>
      </c>
      <c r="BM322" s="253">
        <f t="shared" si="275"/>
        <v>0</v>
      </c>
      <c r="BN322" s="253">
        <f t="shared" si="242"/>
        <v>0</v>
      </c>
      <c r="BO322" s="253">
        <f t="shared" si="243"/>
        <v>0</v>
      </c>
    </row>
    <row r="323" spans="4:67" ht="13.6" thickBot="1" x14ac:dyDescent="0.25">
      <c r="D323" s="280">
        <v>23175.5</v>
      </c>
      <c r="E323" s="273" t="str">
        <f t="shared" si="222"/>
        <v>0.262108729955773i</v>
      </c>
      <c r="F323" s="579" t="str">
        <f t="shared" si="244"/>
        <v>0.002-0.105651985330593i</v>
      </c>
      <c r="G323" s="270" t="str">
        <f t="shared" si="245"/>
        <v>0.002-0.105651985330593i</v>
      </c>
      <c r="H323" s="271" t="str">
        <f t="shared" si="246"/>
        <v>0.00754700886389918-0.105148158936767i</v>
      </c>
      <c r="I323" s="271" t="str">
        <f t="shared" si="247"/>
        <v>0.0175470088638992-0.105148158936767i</v>
      </c>
      <c r="J323" s="270" t="str">
        <f t="shared" si="248"/>
        <v>0.00487884624931573-0.0529856590824394i</v>
      </c>
      <c r="K323" s="271" t="str">
        <f t="shared" si="223"/>
        <v>0.98643711521805-0.182934624480579i</v>
      </c>
      <c r="L323" s="580"/>
      <c r="M323" s="580" t="str">
        <f t="shared" si="224"/>
        <v>-0.325486411616054-68.9840339001355i</v>
      </c>
      <c r="N323" s="270" t="str">
        <f t="shared" si="225"/>
        <v>-6.91078147537871-51.7380254251016i</v>
      </c>
      <c r="O323" s="581" t="str">
        <f t="shared" si="226"/>
        <v>-5.33746947751358-25.5014773433534i</v>
      </c>
      <c r="P323" s="582" t="str">
        <f t="shared" si="227"/>
        <v>-2.77509001705401+0.113750439955395i</v>
      </c>
      <c r="Q323" s="583" t="str">
        <f t="shared" si="228"/>
        <v>-2.72171532227887+0.368765213388928i</v>
      </c>
      <c r="R323" s="581" t="str">
        <f t="shared" si="249"/>
        <v>-0.579417165563674-3.04420159434425i</v>
      </c>
      <c r="S323" s="253" t="str">
        <f t="shared" si="250"/>
        <v>51.0248050382157-7.29502410309999i</v>
      </c>
      <c r="T323" s="253" t="str">
        <f t="shared" si="251"/>
        <v>18.3289592695503-6.55820453825022i</v>
      </c>
      <c r="U323" s="253" t="str">
        <f t="shared" si="252"/>
        <v>-0.551254315054417-1.97675115020164i</v>
      </c>
      <c r="V323" s="582" t="str">
        <f t="shared" si="229"/>
        <v>6000</v>
      </c>
      <c r="W323" s="584" t="str">
        <f t="shared" si="230"/>
        <v>1+81557.1699491944i</v>
      </c>
      <c r="X323" s="585">
        <f t="shared" si="231"/>
        <v>81557.169955325066</v>
      </c>
      <c r="Y323" s="586">
        <f t="shared" si="232"/>
        <v>1.5707840654572292</v>
      </c>
      <c r="Z323" s="273" t="str">
        <f t="shared" si="233"/>
        <v>1+12.2317407312695i</v>
      </c>
      <c r="AA323" s="585">
        <f t="shared" si="234"/>
        <v>12.272549910959714</v>
      </c>
      <c r="AB323" s="586">
        <f t="shared" si="235"/>
        <v>1.4892232309708409</v>
      </c>
      <c r="AC323" s="584" t="str">
        <f t="shared" si="236"/>
        <v>1+0.5913491000928i</v>
      </c>
      <c r="AD323" s="585">
        <f t="shared" si="237"/>
        <v>1.1617632108913436</v>
      </c>
      <c r="AE323" s="586">
        <f t="shared" si="238"/>
        <v>0.53403426117053465</v>
      </c>
      <c r="AF323" s="580" t="str">
        <f t="shared" si="253"/>
        <v>0.634490643283794-0.448762463371721i</v>
      </c>
      <c r="AG323" s="270">
        <f t="shared" si="254"/>
        <v>0.77715257507527946</v>
      </c>
      <c r="AH323" s="581">
        <f t="shared" si="255"/>
        <v>-0.61559509565692228</v>
      </c>
      <c r="AI323" s="582" t="str">
        <f t="shared" si="239"/>
        <v>4000</v>
      </c>
      <c r="AJ323" s="584" t="str">
        <f t="shared" si="256"/>
        <v>1+6407.32653638788i</v>
      </c>
      <c r="AK323" s="585">
        <f t="shared" si="257"/>
        <v>6407.3266144235467</v>
      </c>
      <c r="AL323" s="586">
        <f t="shared" si="258"/>
        <v>1.5706402554621495</v>
      </c>
      <c r="AM323" s="273" t="str">
        <f t="shared" si="259"/>
        <v>1+0.224248580073273i</v>
      </c>
      <c r="AN323" s="585">
        <f t="shared" si="260"/>
        <v>1.0248353163630139</v>
      </c>
      <c r="AO323" s="586">
        <f t="shared" si="261"/>
        <v>0.2205991150534877</v>
      </c>
      <c r="AP323" s="584" t="str">
        <f t="shared" si="262"/>
        <v>1+0.00162238693117277i</v>
      </c>
      <c r="AQ323" s="585">
        <f t="shared" si="263"/>
        <v>1.0000013160688113</v>
      </c>
      <c r="AR323" s="586">
        <f t="shared" si="264"/>
        <v>1.6223855077255214E-3</v>
      </c>
      <c r="AS323" s="580" t="str">
        <f t="shared" si="265"/>
        <v>0.139079366830032-0.62448911217678i</v>
      </c>
      <c r="AT323" s="270">
        <f t="shared" si="266"/>
        <v>0.63978881008125299</v>
      </c>
      <c r="AU323" s="581">
        <f t="shared" si="267"/>
        <v>-1.3516635259163883</v>
      </c>
      <c r="AV323" s="580" t="str">
        <f t="shared" si="268"/>
        <v>-0.0154634727970311-0.123583464360875i</v>
      </c>
      <c r="AW323" s="270">
        <f t="shared" si="269"/>
        <v>-18.093324375844315</v>
      </c>
      <c r="AX323" s="581">
        <f t="shared" si="270"/>
        <v>-97.132109941501383</v>
      </c>
      <c r="AY323" s="299">
        <f t="shared" si="240"/>
        <v>82.867890058498617</v>
      </c>
      <c r="BB323" s="270">
        <f t="shared" si="273"/>
        <v>-43.879267200088648</v>
      </c>
      <c r="BC323" s="270">
        <f t="shared" si="274"/>
        <v>-77.444615356780815</v>
      </c>
      <c r="BD323" s="286"/>
      <c r="BE323" s="270">
        <f t="shared" si="271"/>
        <v>25.785942824244344</v>
      </c>
      <c r="BF323" s="581">
        <f t="shared" si="272"/>
        <v>-19.687494584720547</v>
      </c>
      <c r="BI323" s="286"/>
      <c r="BJ323" s="286"/>
      <c r="BL323" s="253">
        <f t="shared" si="241"/>
        <v>0</v>
      </c>
      <c r="BM323" s="253">
        <f t="shared" si="275"/>
        <v>0</v>
      </c>
      <c r="BN323" s="253">
        <f t="shared" si="242"/>
        <v>0</v>
      </c>
      <c r="BO323" s="253">
        <f t="shared" si="243"/>
        <v>0</v>
      </c>
    </row>
    <row r="324" spans="4:67" ht="13.6" thickBot="1" x14ac:dyDescent="0.25">
      <c r="D324" s="280">
        <v>23308.75</v>
      </c>
      <c r="E324" s="273" t="str">
        <f t="shared" si="222"/>
        <v>0.2636157519517i</v>
      </c>
      <c r="F324" s="579" t="str">
        <f t="shared" si="244"/>
        <v>0.002-0.105048000687689i</v>
      </c>
      <c r="G324" s="270" t="str">
        <f t="shared" si="245"/>
        <v>0.002-0.105048000687689i</v>
      </c>
      <c r="H324" s="271" t="str">
        <f t="shared" si="246"/>
        <v>0.00748391948421591-0.104550364933194i</v>
      </c>
      <c r="I324" s="271" t="str">
        <f t="shared" si="247"/>
        <v>0.0174839194842159-0.104550364933194i</v>
      </c>
      <c r="J324" s="270" t="str">
        <f t="shared" si="248"/>
        <v>0.00486287568989446-0.0526845083649608i</v>
      </c>
      <c r="K324" s="271" t="str">
        <f t="shared" si="223"/>
        <v>0.986280704361948-0.183986426543621i</v>
      </c>
      <c r="L324" s="580"/>
      <c r="M324" s="580" t="str">
        <f t="shared" si="224"/>
        <v>-0.325149873162618-68.4894210816742i</v>
      </c>
      <c r="N324" s="270" t="str">
        <f t="shared" si="225"/>
        <v>-6.91052907153863-51.3670658112556i</v>
      </c>
      <c r="O324" s="581" t="str">
        <f t="shared" si="226"/>
        <v>-5.32658935875896-25.3153013330951i</v>
      </c>
      <c r="P324" s="582" t="str">
        <f t="shared" si="227"/>
        <v>-2.73985365224288+0.114286171081018i</v>
      </c>
      <c r="Q324" s="583" t="str">
        <f t="shared" si="228"/>
        <v>-2.6865877586553+0.36743918441197i</v>
      </c>
      <c r="R324" s="581" t="str">
        <f t="shared" si="249"/>
        <v>-0.578574172005781-3.0218634650704i</v>
      </c>
      <c r="S324" s="253" t="str">
        <f t="shared" si="250"/>
        <v>51.0148477441756-7.36153993704965i</v>
      </c>
      <c r="T324" s="253" t="str">
        <f t="shared" si="251"/>
        <v>18.3151037284679-6.60159753316368i</v>
      </c>
      <c r="U324" s="253" t="str">
        <f t="shared" si="252"/>
        <v>-0.553130669585418-1.96425660300602i</v>
      </c>
      <c r="V324" s="582" t="str">
        <f t="shared" si="229"/>
        <v>6000</v>
      </c>
      <c r="W324" s="584" t="str">
        <f t="shared" si="230"/>
        <v>1+82026.0915645089i</v>
      </c>
      <c r="X324" s="585">
        <f t="shared" si="231"/>
        <v>82026.09157060452</v>
      </c>
      <c r="Y324" s="586">
        <f t="shared" si="232"/>
        <v>1.5707841355520753</v>
      </c>
      <c r="Z324" s="273" t="str">
        <f t="shared" si="233"/>
        <v>1+12.3020684244127i</v>
      </c>
      <c r="AA324" s="585">
        <f t="shared" si="234"/>
        <v>12.342645077896876</v>
      </c>
      <c r="AB324" s="586">
        <f t="shared" si="235"/>
        <v>1.4896875145673858</v>
      </c>
      <c r="AC324" s="584" t="str">
        <f t="shared" si="236"/>
        <v>1+0.594749124583633i</v>
      </c>
      <c r="AD324" s="585">
        <f t="shared" si="237"/>
        <v>1.1634975381121344</v>
      </c>
      <c r="AE324" s="586">
        <f t="shared" si="238"/>
        <v>0.53654961691086778</v>
      </c>
      <c r="AF324" s="580" t="str">
        <f t="shared" si="253"/>
        <v>0.632600482575228-0.449375069670776i</v>
      </c>
      <c r="AG324" s="270">
        <f t="shared" si="254"/>
        <v>0.77596476968740413</v>
      </c>
      <c r="AH324" s="581">
        <f t="shared" si="255"/>
        <v>-0.61764623789555662</v>
      </c>
      <c r="AI324" s="582" t="str">
        <f t="shared" si="239"/>
        <v>4000</v>
      </c>
      <c r="AJ324" s="584" t="str">
        <f t="shared" si="256"/>
        <v>1+6444.16614118488i</v>
      </c>
      <c r="AK324" s="585">
        <f t="shared" si="257"/>
        <v>6444.1662187744369</v>
      </c>
      <c r="AL324" s="586">
        <f t="shared" si="258"/>
        <v>1.5706411476809408</v>
      </c>
      <c r="AM324" s="273" t="str">
        <f t="shared" si="259"/>
        <v>1+0.225537921114232i</v>
      </c>
      <c r="AN324" s="585">
        <f t="shared" si="260"/>
        <v>1.0251182145784601</v>
      </c>
      <c r="AO324" s="586">
        <f t="shared" si="261"/>
        <v>0.22182638438775898</v>
      </c>
      <c r="AP324" s="584" t="str">
        <f t="shared" si="262"/>
        <v>1+0.00163171501723687i</v>
      </c>
      <c r="AQ324" s="585">
        <f t="shared" si="263"/>
        <v>1.0000013312460627</v>
      </c>
      <c r="AR324" s="586">
        <f t="shared" si="264"/>
        <v>1.6317135690954248E-3</v>
      </c>
      <c r="AS324" s="580" t="str">
        <f t="shared" si="265"/>
        <v>0.139078251835935-0.620921657615308i</v>
      </c>
      <c r="AT324" s="270">
        <f t="shared" si="266"/>
        <v>0.63630689531819595</v>
      </c>
      <c r="AU324" s="581">
        <f t="shared" si="267"/>
        <v>-1.350446476862277</v>
      </c>
      <c r="AV324" s="580" t="str">
        <f t="shared" si="268"/>
        <v>-0.0155184227445199-0.122903832107134i</v>
      </c>
      <c r="AW324" s="270">
        <f t="shared" si="269"/>
        <v>-18.139998991646824</v>
      </c>
      <c r="AX324" s="581">
        <f t="shared" si="270"/>
        <v>-97.196355709907465</v>
      </c>
      <c r="AY324" s="299">
        <f t="shared" si="240"/>
        <v>82.803644290092535</v>
      </c>
      <c r="BB324" s="270">
        <f t="shared" si="273"/>
        <v>-43.926667410415604</v>
      </c>
      <c r="BC324" s="270">
        <f t="shared" si="274"/>
        <v>-77.374883582519857</v>
      </c>
      <c r="BD324" s="286"/>
      <c r="BE324" s="270">
        <f t="shared" si="271"/>
        <v>25.786668418768798</v>
      </c>
      <c r="BF324" s="581">
        <f t="shared" si="272"/>
        <v>-19.821472127387604</v>
      </c>
      <c r="BI324" s="286"/>
      <c r="BJ324" s="286"/>
      <c r="BL324" s="253">
        <f t="shared" si="241"/>
        <v>0</v>
      </c>
      <c r="BM324" s="253">
        <f t="shared" si="275"/>
        <v>0</v>
      </c>
      <c r="BN324" s="253">
        <f t="shared" si="242"/>
        <v>0</v>
      </c>
      <c r="BO324" s="253">
        <f t="shared" si="243"/>
        <v>0</v>
      </c>
    </row>
    <row r="325" spans="4:67" ht="13.6" thickBot="1" x14ac:dyDescent="0.25">
      <c r="D325" s="280">
        <v>23442</v>
      </c>
      <c r="E325" s="273" t="str">
        <f t="shared" si="222"/>
        <v>0.265122773947627i</v>
      </c>
      <c r="F325" s="579" t="str">
        <f t="shared" si="244"/>
        <v>0.002-0.104450882434483i</v>
      </c>
      <c r="G325" s="270" t="str">
        <f t="shared" si="245"/>
        <v>0.002-0.104450882434483i</v>
      </c>
      <c r="H325" s="271" t="str">
        <f t="shared" si="246"/>
        <v>0.00742189899568556-0.10395931117359i</v>
      </c>
      <c r="I325" s="271" t="str">
        <f t="shared" si="247"/>
        <v>0.0174218989956856-0.10395931117359i</v>
      </c>
      <c r="J325" s="270" t="str">
        <f t="shared" si="248"/>
        <v>0.00484717443564715-0.052386781733942i</v>
      </c>
      <c r="K325" s="271" t="str">
        <f t="shared" si="223"/>
        <v>0.98612339678291-0.185038228606663i</v>
      </c>
      <c r="L325" s="580"/>
      <c r="M325" s="580" t="str">
        <f t="shared" si="224"/>
        <v>-0.324724101629808-68.0024061292533i</v>
      </c>
      <c r="N325" s="270" t="str">
        <f t="shared" si="225"/>
        <v>-6.91020974288903-51.00180459694i</v>
      </c>
      <c r="O325" s="581" t="str">
        <f t="shared" si="226"/>
        <v>-5.31588458645056-25.131972919359i</v>
      </c>
      <c r="P325" s="582" t="str">
        <f t="shared" si="227"/>
        <v>-2.70531539746775+0.114789006122328i</v>
      </c>
      <c r="Q325" s="583" t="str">
        <f t="shared" si="228"/>
        <v>-2.65215655160324+0.366108735315917i</v>
      </c>
      <c r="R325" s="581" t="str">
        <f t="shared" si="249"/>
        <v>-0.577743592105714-2.99986577830322i</v>
      </c>
      <c r="S325" s="253" t="str">
        <f t="shared" si="250"/>
        <v>51.0047841634195-7.42790347565769i</v>
      </c>
      <c r="T325" s="253" t="str">
        <f t="shared" si="251"/>
        <v>18.3011574657744-6.64492058106979i</v>
      </c>
      <c r="U325" s="253" t="str">
        <f t="shared" si="252"/>
        <v>-0.554972024196113-1.95189365320837i</v>
      </c>
      <c r="V325" s="582" t="str">
        <f t="shared" si="229"/>
        <v>6000</v>
      </c>
      <c r="W325" s="584" t="str">
        <f t="shared" si="230"/>
        <v>1+82495.013179824i</v>
      </c>
      <c r="X325" s="585">
        <f t="shared" si="231"/>
        <v>82495.013185884978</v>
      </c>
      <c r="Y325" s="586">
        <f t="shared" si="232"/>
        <v>1.5707842048500493</v>
      </c>
      <c r="Z325" s="273" t="str">
        <f t="shared" si="233"/>
        <v>1+12.3723961175559i</v>
      </c>
      <c r="AA325" s="585">
        <f t="shared" si="234"/>
        <v>12.412742875356448</v>
      </c>
      <c r="AB325" s="586">
        <f t="shared" si="235"/>
        <v>1.4901465544157138</v>
      </c>
      <c r="AC325" s="584" t="str">
        <f t="shared" si="236"/>
        <v>1+0.59814914907447i</v>
      </c>
      <c r="AD325" s="585">
        <f t="shared" si="237"/>
        <v>1.1652392048581752</v>
      </c>
      <c r="AE325" s="586">
        <f t="shared" si="238"/>
        <v>0.53905746914488617</v>
      </c>
      <c r="AF325" s="580" t="str">
        <f t="shared" si="253"/>
        <v>0.630710810223636-0.449979895410443i</v>
      </c>
      <c r="AG325" s="270">
        <f t="shared" si="254"/>
        <v>0.77477611760207765</v>
      </c>
      <c r="AH325" s="581">
        <f t="shared" si="255"/>
        <v>-0.61969511957922141</v>
      </c>
      <c r="AI325" s="582" t="str">
        <f t="shared" si="239"/>
        <v>4000</v>
      </c>
      <c r="AJ325" s="584" t="str">
        <f t="shared" si="256"/>
        <v>1+6481.00574598193i</v>
      </c>
      <c r="AK325" s="585">
        <f t="shared" si="257"/>
        <v>6481.0058231304492</v>
      </c>
      <c r="AL325" s="586">
        <f t="shared" si="258"/>
        <v>1.5706420297565575</v>
      </c>
      <c r="AM325" s="273" t="str">
        <f t="shared" si="259"/>
        <v>1+0.226827262155192i</v>
      </c>
      <c r="AN325" s="585">
        <f t="shared" si="260"/>
        <v>1.0254026559634124</v>
      </c>
      <c r="AO325" s="586">
        <f t="shared" si="261"/>
        <v>0.22305297469234572</v>
      </c>
      <c r="AP325" s="584" t="str">
        <f t="shared" si="262"/>
        <v>1+0.00164104310330098i</v>
      </c>
      <c r="AQ325" s="585">
        <f t="shared" si="263"/>
        <v>1.0000013465103268</v>
      </c>
      <c r="AR325" s="586">
        <f t="shared" si="264"/>
        <v>1.6410416301813782E-3</v>
      </c>
      <c r="AS325" s="580" t="str">
        <f t="shared" si="265"/>
        <v>0.139077155705512-0.617394774339036i</v>
      </c>
      <c r="AT325" s="270">
        <f t="shared" si="266"/>
        <v>0.63286551700996041</v>
      </c>
      <c r="AU325" s="581">
        <f t="shared" si="267"/>
        <v>-1.3492300966943926</v>
      </c>
      <c r="AV325" s="580" t="str">
        <f t="shared" si="268"/>
        <v>-0.015572663161918-0.122231956380292i</v>
      </c>
      <c r="AW325" s="270">
        <f t="shared" si="269"/>
        <v>-18.186378600025606</v>
      </c>
      <c r="AX325" s="581">
        <f t="shared" si="270"/>
        <v>-97.260514325526529</v>
      </c>
      <c r="AY325" s="299">
        <f t="shared" si="240"/>
        <v>82.739485674473471</v>
      </c>
      <c r="BB325" s="270">
        <f t="shared" si="273"/>
        <v>-43.973771342324497</v>
      </c>
      <c r="BC325" s="270">
        <f t="shared" si="274"/>
        <v>-77.305190132616659</v>
      </c>
      <c r="BD325" s="286"/>
      <c r="BE325" s="270">
        <f t="shared" si="271"/>
        <v>25.787392742298859</v>
      </c>
      <c r="BF325" s="581">
        <f t="shared" si="272"/>
        <v>-19.955324192909892</v>
      </c>
      <c r="BI325" s="286"/>
      <c r="BJ325" s="286"/>
      <c r="BL325" s="253">
        <f t="shared" si="241"/>
        <v>0</v>
      </c>
      <c r="BM325" s="253">
        <f t="shared" si="275"/>
        <v>0</v>
      </c>
      <c r="BN325" s="253">
        <f t="shared" si="242"/>
        <v>0</v>
      </c>
      <c r="BO325" s="253">
        <f t="shared" si="243"/>
        <v>0</v>
      </c>
    </row>
    <row r="326" spans="4:67" ht="13.6" thickBot="1" x14ac:dyDescent="0.25">
      <c r="D326" s="280">
        <v>23578.5</v>
      </c>
      <c r="E326" s="273" t="str">
        <f t="shared" si="222"/>
        <v>0.266666552577601i</v>
      </c>
      <c r="F326" s="579" t="str">
        <f t="shared" si="244"/>
        <v>0.002-0.103846198275088i</v>
      </c>
      <c r="G326" s="270" t="str">
        <f t="shared" si="245"/>
        <v>0.002-0.103846198275088i</v>
      </c>
      <c r="H326" s="271" t="str">
        <f t="shared" si="246"/>
        <v>0.00735944905535697-0.103360712160029i</v>
      </c>
      <c r="I326" s="271" t="str">
        <f t="shared" si="247"/>
        <v>0.017359449055357-0.103360712160029i</v>
      </c>
      <c r="J326" s="270" t="str">
        <f t="shared" si="248"/>
        <v>0.00483136311202569-0.0520852833338713i</v>
      </c>
      <c r="K326" s="271" t="str">
        <f t="shared" si="223"/>
        <v>0.985961322637054-0.18611568437856i</v>
      </c>
      <c r="L326" s="580"/>
      <c r="M326" s="580" t="str">
        <f t="shared" si="224"/>
        <v>-0.324201117721039-67.511200642647i</v>
      </c>
      <c r="N326" s="270" t="str">
        <f t="shared" si="225"/>
        <v>-6.90981750495745-50.6334004819852i</v>
      </c>
      <c r="O326" s="581" t="str">
        <f t="shared" si="226"/>
        <v>-5.30509673055113-24.9470542273921i</v>
      </c>
      <c r="P326" s="582" t="str">
        <f t="shared" si="227"/>
        <v>-2.67063884766586+0.115271459205965i</v>
      </c>
      <c r="Q326" s="583" t="str">
        <f t="shared" si="228"/>
        <v>-2.61758788036034+0.364742001479886i</v>
      </c>
      <c r="R326" s="581" t="str">
        <f t="shared" si="249"/>
        <v>-0.576905416122822-2.97767602335201i</v>
      </c>
      <c r="S326" s="253" t="str">
        <f t="shared" si="250"/>
        <v>50.9943657547962-7.49573003491592i</v>
      </c>
      <c r="T326" s="253" t="str">
        <f t="shared" si="251"/>
        <v>18.2867772815563-6.68922828751717i</v>
      </c>
      <c r="U326" s="253" t="str">
        <f t="shared" si="252"/>
        <v>-0.556822793808512-1.93936335773514i</v>
      </c>
      <c r="V326" s="582" t="str">
        <f t="shared" si="229"/>
        <v>6000</v>
      </c>
      <c r="W326" s="584" t="str">
        <f t="shared" si="230"/>
        <v>1+82975.3719077075i</v>
      </c>
      <c r="X326" s="585">
        <f t="shared" si="231"/>
        <v>82975.371913733383</v>
      </c>
      <c r="Y326" s="586">
        <f t="shared" si="232"/>
        <v>1.570784275026077</v>
      </c>
      <c r="Z326" s="273" t="str">
        <f t="shared" si="233"/>
        <v>1+12.4444391202881i</v>
      </c>
      <c r="AA326" s="585">
        <f t="shared" si="234"/>
        <v>12.484553056419637</v>
      </c>
      <c r="AB326" s="586">
        <f t="shared" si="235"/>
        <v>1.4906114453346222</v>
      </c>
      <c r="AC326" s="584" t="str">
        <f t="shared" si="236"/>
        <v>1+0.601632100991912i</v>
      </c>
      <c r="AD326" s="585">
        <f t="shared" si="237"/>
        <v>1.1670309271582917</v>
      </c>
      <c r="AE326" s="586">
        <f t="shared" si="238"/>
        <v>0.54161871046929111</v>
      </c>
      <c r="AF326" s="580" t="str">
        <f t="shared" si="253"/>
        <v>0.628775650704096-0.450591383731037i</v>
      </c>
      <c r="AG326" s="270">
        <f t="shared" si="254"/>
        <v>0.77355763457612525</v>
      </c>
      <c r="AH326" s="581">
        <f t="shared" si="255"/>
        <v>-0.62179154016074645</v>
      </c>
      <c r="AI326" s="582" t="str">
        <f t="shared" si="239"/>
        <v>4000</v>
      </c>
      <c r="AJ326" s="584" t="str">
        <f t="shared" si="256"/>
        <v>1+6518.74387772524i</v>
      </c>
      <c r="AK326" s="585">
        <f t="shared" si="257"/>
        <v>6518.7439544271338</v>
      </c>
      <c r="AL326" s="586">
        <f t="shared" si="258"/>
        <v>1.5706429230086898</v>
      </c>
      <c r="AM326" s="273" t="str">
        <f t="shared" si="259"/>
        <v>1+0.228148050538615i</v>
      </c>
      <c r="AN326" s="585">
        <f t="shared" si="260"/>
        <v>1.0256956336869969</v>
      </c>
      <c r="AO326" s="586">
        <f t="shared" si="261"/>
        <v>0.22430877449351552</v>
      </c>
      <c r="AP326" s="584" t="str">
        <f t="shared" si="262"/>
        <v>1+0.00165059870365934i</v>
      </c>
      <c r="AQ326" s="585">
        <f t="shared" si="263"/>
        <v>1.0000013622371124</v>
      </c>
      <c r="AR326" s="586">
        <f t="shared" si="264"/>
        <v>1.6505972046562283E-3</v>
      </c>
      <c r="AS326" s="580" t="str">
        <f t="shared" si="265"/>
        <v>0.139076051954587-0.613823218173688i</v>
      </c>
      <c r="AT326" s="270">
        <f t="shared" si="266"/>
        <v>0.62938151497829831</v>
      </c>
      <c r="AU326" s="581">
        <f t="shared" si="267"/>
        <v>-1.3479847457198308</v>
      </c>
      <c r="AV326" s="580" t="str">
        <f t="shared" si="268"/>
        <v>-0.0156275084725057-0.121551599418412i</v>
      </c>
      <c r="AW326" s="270">
        <f t="shared" si="269"/>
        <v>-18.233586836479493</v>
      </c>
      <c r="AX326" s="581">
        <f t="shared" si="270"/>
        <v>-97.326149623936146</v>
      </c>
      <c r="AY326" s="299">
        <f t="shared" si="240"/>
        <v>82.673850376063854</v>
      </c>
      <c r="BB326" s="270">
        <f t="shared" si="273"/>
        <v>-44.021720330483696</v>
      </c>
      <c r="BC326" s="270">
        <f t="shared" si="274"/>
        <v>-77.233836777761766</v>
      </c>
      <c r="BD326" s="286"/>
      <c r="BE326" s="270">
        <f t="shared" si="271"/>
        <v>25.788133494004207</v>
      </c>
      <c r="BF326" s="581">
        <f t="shared" si="272"/>
        <v>-20.092312846174391</v>
      </c>
      <c r="BI326" s="286"/>
      <c r="BJ326" s="286"/>
      <c r="BL326" s="253">
        <f t="shared" si="241"/>
        <v>0</v>
      </c>
      <c r="BM326" s="253">
        <f t="shared" si="275"/>
        <v>0</v>
      </c>
      <c r="BN326" s="253">
        <f t="shared" si="242"/>
        <v>0</v>
      </c>
      <c r="BO326" s="253">
        <f t="shared" si="243"/>
        <v>0</v>
      </c>
    </row>
    <row r="327" spans="4:67" ht="13.6" thickBot="1" x14ac:dyDescent="0.25">
      <c r="D327" s="280">
        <v>23715</v>
      </c>
      <c r="E327" s="273" t="str">
        <f t="shared" si="222"/>
        <v>0.268210331207575i</v>
      </c>
      <c r="F327" s="579" t="str">
        <f t="shared" si="244"/>
        <v>0.002-0.10324847505921i</v>
      </c>
      <c r="G327" s="270" t="str">
        <f t="shared" si="245"/>
        <v>0.002-0.10324847505921i</v>
      </c>
      <c r="H327" s="271" t="str">
        <f t="shared" si="246"/>
        <v>0.00729807055207586-0.102768948782739i</v>
      </c>
      <c r="I327" s="271" t="str">
        <f t="shared" si="247"/>
        <v>0.0172980705520759-0.102768948782739i</v>
      </c>
      <c r="J327" s="270" t="str">
        <f t="shared" si="248"/>
        <v>0.00481582166951997-0.0517872564928359i</v>
      </c>
      <c r="K327" s="271" t="str">
        <f t="shared" si="223"/>
        <v>0.985798307492235-0.187193140150457i</v>
      </c>
      <c r="L327" s="580"/>
      <c r="M327" s="580" t="str">
        <f t="shared" si="224"/>
        <v>-0.323595743685475-67.0275879828467i</v>
      </c>
      <c r="N327" s="270" t="str">
        <f t="shared" si="225"/>
        <v>-6.90936347443078-50.270690987135i</v>
      </c>
      <c r="O327" s="581" t="str">
        <f t="shared" si="226"/>
        <v>-5.2944852345542-24.7649808778509i</v>
      </c>
      <c r="P327" s="582" t="str">
        <f t="shared" si="227"/>
        <v>-2.63665543056561+0.115722295454992i</v>
      </c>
      <c r="Q327" s="583" t="str">
        <f t="shared" si="228"/>
        <v>-2.58371057822007+0.363372104233503i</v>
      </c>
      <c r="R327" s="581" t="str">
        <f t="shared" si="249"/>
        <v>-0.576079842762841-2.95582645556778i</v>
      </c>
      <c r="S327" s="253" t="str">
        <f t="shared" si="250"/>
        <v>50.983837478703-7.56340142022769i</v>
      </c>
      <c r="T327" s="253" t="str">
        <f t="shared" si="251"/>
        <v>18.2723024970951-6.73346364597606i</v>
      </c>
      <c r="U327" s="253" t="str">
        <f t="shared" si="252"/>
        <v>-0.558638427791076-1.92696661221485i</v>
      </c>
      <c r="V327" s="582" t="str">
        <f t="shared" si="229"/>
        <v>6000</v>
      </c>
      <c r="W327" s="584" t="str">
        <f t="shared" si="230"/>
        <v>1+83455.7306355911i</v>
      </c>
      <c r="X327" s="585">
        <f t="shared" si="231"/>
        <v>83455.730641582282</v>
      </c>
      <c r="Y327" s="586">
        <f t="shared" si="232"/>
        <v>1.5707843443942593</v>
      </c>
      <c r="Z327" s="273" t="str">
        <f t="shared" si="233"/>
        <v>1+12.5164821230202i</v>
      </c>
      <c r="AA327" s="585">
        <f t="shared" si="234"/>
        <v>12.556365904826293</v>
      </c>
      <c r="AB327" s="586">
        <f t="shared" si="235"/>
        <v>1.4910710187080409</v>
      </c>
      <c r="AC327" s="584" t="str">
        <f t="shared" si="236"/>
        <v>1+0.605115052909353i</v>
      </c>
      <c r="AD327" s="585">
        <f t="shared" si="237"/>
        <v>1.1688302816309513</v>
      </c>
      <c r="AE327" s="586">
        <f t="shared" si="238"/>
        <v>0.54417208270064266</v>
      </c>
      <c r="AF327" s="580" t="str">
        <f t="shared" si="253"/>
        <v>0.62684119757268-0.451194665708529i</v>
      </c>
      <c r="AG327" s="270">
        <f t="shared" si="254"/>
        <v>0.77233834123276757</v>
      </c>
      <c r="AH327" s="581">
        <f t="shared" si="255"/>
        <v>-0.62388540838685913</v>
      </c>
      <c r="AI327" s="582" t="str">
        <f t="shared" si="239"/>
        <v>4000</v>
      </c>
      <c r="AJ327" s="584" t="str">
        <f t="shared" si="256"/>
        <v>1+6556.48200946854i</v>
      </c>
      <c r="AK327" s="585">
        <f t="shared" si="257"/>
        <v>6556.4820857289487</v>
      </c>
      <c r="AL327" s="586">
        <f t="shared" si="258"/>
        <v>1.5706438059779704</v>
      </c>
      <c r="AM327" s="273" t="str">
        <f t="shared" si="259"/>
        <v>1+0.229468838922037i</v>
      </c>
      <c r="AN327" s="585">
        <f t="shared" si="260"/>
        <v>1.0259902280412947</v>
      </c>
      <c r="AO327" s="586">
        <f t="shared" si="261"/>
        <v>0.22556385511309182</v>
      </c>
      <c r="AP327" s="584" t="str">
        <f t="shared" si="262"/>
        <v>1+0.00166015430401769i</v>
      </c>
      <c r="AQ327" s="585">
        <f t="shared" si="263"/>
        <v>1.0000013780552071</v>
      </c>
      <c r="AR327" s="586">
        <f t="shared" si="264"/>
        <v>1.660152778829639E-3</v>
      </c>
      <c r="AS327" s="580" t="str">
        <f t="shared" si="265"/>
        <v>0.139074967107187-0.610292791981728i</v>
      </c>
      <c r="AT327" s="270">
        <f t="shared" si="266"/>
        <v>0.62593860595166839</v>
      </c>
      <c r="AU327" s="581">
        <f t="shared" si="267"/>
        <v>-1.3467401036437074</v>
      </c>
      <c r="AV327" s="580" t="str">
        <f t="shared" si="268"/>
        <v>-0.0156816445945412-0.120879107419684i</v>
      </c>
      <c r="AW327" s="270">
        <f t="shared" si="269"/>
        <v>-18.280492162452276</v>
      </c>
      <c r="AX327" s="581">
        <f t="shared" si="270"/>
        <v>-97.391697901567554</v>
      </c>
      <c r="AY327" s="299">
        <f t="shared" si="240"/>
        <v>82.608302098432446</v>
      </c>
      <c r="BB327" s="270">
        <f t="shared" si="273"/>
        <v>-44.069365233681822</v>
      </c>
      <c r="BC327" s="270">
        <f t="shared" si="274"/>
        <v>-77.1625240397955</v>
      </c>
      <c r="BD327" s="286"/>
      <c r="BE327" s="270">
        <f t="shared" si="271"/>
        <v>25.788873071229574</v>
      </c>
      <c r="BF327" s="581">
        <f t="shared" si="272"/>
        <v>-20.229173861772058</v>
      </c>
      <c r="BI327" s="286"/>
      <c r="BJ327" s="286"/>
      <c r="BL327" s="253">
        <f t="shared" si="241"/>
        <v>0</v>
      </c>
      <c r="BM327" s="253">
        <f t="shared" si="275"/>
        <v>0</v>
      </c>
      <c r="BN327" s="253">
        <f t="shared" si="242"/>
        <v>0</v>
      </c>
      <c r="BO327" s="253">
        <f t="shared" si="243"/>
        <v>0</v>
      </c>
    </row>
    <row r="328" spans="4:67" ht="13.6" thickBot="1" x14ac:dyDescent="0.25">
      <c r="D328" s="280">
        <v>23851.5</v>
      </c>
      <c r="E328" s="273" t="str">
        <f t="shared" si="222"/>
        <v>0.269754109837549i</v>
      </c>
      <c r="F328" s="579" t="str">
        <f t="shared" si="244"/>
        <v>0.002-0.102657593276279i</v>
      </c>
      <c r="G328" s="270" t="str">
        <f t="shared" si="245"/>
        <v>0.002-0.102657593276279i</v>
      </c>
      <c r="H328" s="271" t="str">
        <f t="shared" si="246"/>
        <v>0.00723773913676147-0.102183904931077i</v>
      </c>
      <c r="I328" s="271" t="str">
        <f t="shared" si="247"/>
        <v>0.0172377391367615-0.102183904931077i</v>
      </c>
      <c r="J328" s="270" t="str">
        <f t="shared" si="248"/>
        <v>0.00480054394276566-0.0514926417640779i</v>
      </c>
      <c r="K328" s="271" t="str">
        <f t="shared" si="223"/>
        <v>0.985634351348451-0.188270595922354i</v>
      </c>
      <c r="L328" s="580"/>
      <c r="M328" s="580" t="str">
        <f t="shared" si="224"/>
        <v>-0.322913194450195-66.5513851766366i</v>
      </c>
      <c r="N328" s="270" t="str">
        <f t="shared" si="225"/>
        <v>-6.90885156250432-49.9135388824775i</v>
      </c>
      <c r="O328" s="581" t="str">
        <f t="shared" si="226"/>
        <v>-5.28404636348152-24.5856841277196i</v>
      </c>
      <c r="P328" s="582" t="str">
        <f t="shared" si="227"/>
        <v>-2.60334622237263+0.116142881764949i</v>
      </c>
      <c r="Q328" s="583" t="str">
        <f t="shared" si="228"/>
        <v>-2.55050575873782+0.361999723042147i</v>
      </c>
      <c r="R328" s="581" t="str">
        <f t="shared" si="249"/>
        <v>-0.575266660523964-2.93430886284884i</v>
      </c>
      <c r="S328" s="253" t="str">
        <f t="shared" si="250"/>
        <v>50.9732001431583-7.6309198999097i</v>
      </c>
      <c r="T328" s="253" t="str">
        <f t="shared" si="251"/>
        <v>18.2577334065326-6.77762716583108i</v>
      </c>
      <c r="U328" s="253" t="str">
        <f t="shared" si="252"/>
        <v>-0.560419698346547-1.91470119206259i</v>
      </c>
      <c r="V328" s="582" t="str">
        <f t="shared" si="229"/>
        <v>6000</v>
      </c>
      <c r="W328" s="584" t="str">
        <f t="shared" si="230"/>
        <v>1+83936.0893634746i</v>
      </c>
      <c r="X328" s="585">
        <f t="shared" si="231"/>
        <v>83936.089369431516</v>
      </c>
      <c r="Y328" s="586">
        <f t="shared" si="232"/>
        <v>1.5707844129684658</v>
      </c>
      <c r="Z328" s="273" t="str">
        <f t="shared" si="233"/>
        <v>1+12.5885251257523i</v>
      </c>
      <c r="AA328" s="585">
        <f t="shared" si="234"/>
        <v>12.628181375071273</v>
      </c>
      <c r="AB328" s="586">
        <f t="shared" si="235"/>
        <v>1.4915253650615485</v>
      </c>
      <c r="AC328" s="584" t="str">
        <f t="shared" si="236"/>
        <v>1+0.608598004826794i</v>
      </c>
      <c r="AD328" s="585">
        <f t="shared" si="237"/>
        <v>1.1706372330825439</v>
      </c>
      <c r="AE328" s="586">
        <f t="shared" si="238"/>
        <v>0.54671758890735067</v>
      </c>
      <c r="AF328" s="580" t="str">
        <f t="shared" si="253"/>
        <v>0.624907547071686-0.451789724091132i</v>
      </c>
      <c r="AG328" s="270">
        <f t="shared" si="254"/>
        <v>0.77111827703763614</v>
      </c>
      <c r="AH328" s="581">
        <f t="shared" si="255"/>
        <v>-0.62597663681426785</v>
      </c>
      <c r="AI328" s="582" t="str">
        <f t="shared" si="239"/>
        <v>4000</v>
      </c>
      <c r="AJ328" s="584" t="str">
        <f t="shared" si="256"/>
        <v>1+6594.22014121184i</v>
      </c>
      <c r="AK328" s="585">
        <f t="shared" si="257"/>
        <v>6594.2202170358169</v>
      </c>
      <c r="AL328" s="586">
        <f t="shared" si="258"/>
        <v>1.5706446788409429</v>
      </c>
      <c r="AM328" s="273" t="str">
        <f t="shared" si="259"/>
        <v>1+0.230789627305459i</v>
      </c>
      <c r="AN328" s="585">
        <f t="shared" si="260"/>
        <v>1.0262864376341494</v>
      </c>
      <c r="AO328" s="586">
        <f t="shared" si="261"/>
        <v>0.22681821321803097</v>
      </c>
      <c r="AP328" s="584" t="str">
        <f t="shared" si="262"/>
        <v>1+0.00166970990437605i</v>
      </c>
      <c r="AQ328" s="585">
        <f t="shared" si="263"/>
        <v>1.0000013939646109</v>
      </c>
      <c r="AR328" s="586">
        <f t="shared" si="264"/>
        <v>1.6697083526998862E-3</v>
      </c>
      <c r="AS328" s="580" t="str">
        <f t="shared" si="265"/>
        <v>0.13907390073124-0.606802789613752i</v>
      </c>
      <c r="AT328" s="270">
        <f t="shared" si="266"/>
        <v>0.62253608357077117</v>
      </c>
      <c r="AU328" s="581">
        <f t="shared" si="267"/>
        <v>-1.3454961739756113</v>
      </c>
      <c r="AV328" s="580" t="str">
        <f t="shared" si="268"/>
        <v>-0.0157350886783069-0.120214346107623i</v>
      </c>
      <c r="AW328" s="270">
        <f t="shared" si="269"/>
        <v>-18.32709786583737</v>
      </c>
      <c r="AX328" s="581">
        <f t="shared" si="270"/>
        <v>-97.457161332170031</v>
      </c>
      <c r="AY328" s="299">
        <f t="shared" si="240"/>
        <v>82.542838667829969</v>
      </c>
      <c r="BB328" s="270">
        <f t="shared" si="273"/>
        <v>-44.116709416644369</v>
      </c>
      <c r="BC328" s="270">
        <f t="shared" si="274"/>
        <v>-77.09125211980249</v>
      </c>
      <c r="BD328" s="286"/>
      <c r="BE328" s="270">
        <f t="shared" si="271"/>
        <v>25.78961155080702</v>
      </c>
      <c r="BF328" s="581">
        <f t="shared" si="272"/>
        <v>-20.365909212367537</v>
      </c>
      <c r="BI328" s="286"/>
      <c r="BJ328" s="286"/>
      <c r="BL328" s="253">
        <f t="shared" si="241"/>
        <v>0</v>
      </c>
      <c r="BM328" s="253">
        <f t="shared" si="275"/>
        <v>0</v>
      </c>
      <c r="BN328" s="253">
        <f t="shared" si="242"/>
        <v>0</v>
      </c>
      <c r="BO328" s="253">
        <f t="shared" si="243"/>
        <v>0</v>
      </c>
    </row>
    <row r="329" spans="4:67" ht="13.6" thickBot="1" x14ac:dyDescent="0.25">
      <c r="D329" s="280">
        <v>23988</v>
      </c>
      <c r="E329" s="273" t="str">
        <f t="shared" si="222"/>
        <v>0.271297888467523i</v>
      </c>
      <c r="F329" s="579" t="str">
        <f t="shared" si="244"/>
        <v>0.002-0.10207343613595i</v>
      </c>
      <c r="G329" s="270" t="str">
        <f t="shared" si="245"/>
        <v>0.002-0.10207343613595i</v>
      </c>
      <c r="H329" s="271" t="str">
        <f t="shared" si="246"/>
        <v>0.00717843114751248-0.101605467102202i</v>
      </c>
      <c r="I329" s="271" t="str">
        <f t="shared" si="247"/>
        <v>0.0171784311475125-0.101605467102202i</v>
      </c>
      <c r="J329" s="270" t="str">
        <f t="shared" si="248"/>
        <v>0.00478552394108986-0.051201381049466i</v>
      </c>
      <c r="K329" s="271" t="str">
        <f t="shared" si="223"/>
        <v>0.985469454205702-0.189348051694251i</v>
      </c>
      <c r="L329" s="580"/>
      <c r="M329" s="580" t="str">
        <f t="shared" si="224"/>
        <v>-0.322158389278204-66.0824152360475i</v>
      </c>
      <c r="N329" s="270" t="str">
        <f t="shared" si="225"/>
        <v>-6.90828545862532-49.5618114270356i</v>
      </c>
      <c r="O329" s="581" t="str">
        <f t="shared" si="226"/>
        <v>-5.27377646969881-24.4090974884728i</v>
      </c>
      <c r="P329" s="582" t="str">
        <f t="shared" si="227"/>
        <v>-2.57069295783156+0.1165345210177i</v>
      </c>
      <c r="Q329" s="583" t="str">
        <f t="shared" si="228"/>
        <v>-2.51795519313457+0.360625495902428i</v>
      </c>
      <c r="R329" s="581" t="str">
        <f t="shared" si="249"/>
        <v>-0.574465660159709-2.91311530217352i</v>
      </c>
      <c r="S329" s="253" t="str">
        <f t="shared" si="250"/>
        <v>50.9624545332747-7.6982876902735i</v>
      </c>
      <c r="T329" s="253" t="str">
        <f t="shared" si="251"/>
        <v>18.2430702976808-6.82171934135635i</v>
      </c>
      <c r="U329" s="253" t="str">
        <f t="shared" si="252"/>
        <v>-0.562167356067505-1.90256492157375i</v>
      </c>
      <c r="V329" s="582" t="str">
        <f t="shared" si="229"/>
        <v>6000</v>
      </c>
      <c r="W329" s="584" t="str">
        <f t="shared" si="230"/>
        <v>1+84416.4480913581i</v>
      </c>
      <c r="X329" s="585">
        <f t="shared" si="231"/>
        <v>84416.448097281129</v>
      </c>
      <c r="Y329" s="586">
        <f t="shared" si="232"/>
        <v>1.5707844807622506</v>
      </c>
      <c r="Z329" s="273" t="str">
        <f t="shared" si="233"/>
        <v>1+12.6605681284844i</v>
      </c>
      <c r="AA329" s="585">
        <f t="shared" si="234"/>
        <v>12.699999422676955</v>
      </c>
      <c r="AB329" s="586">
        <f t="shared" si="235"/>
        <v>1.4919745728817917</v>
      </c>
      <c r="AC329" s="584" t="str">
        <f t="shared" si="236"/>
        <v>1+0.612080956744236i</v>
      </c>
      <c r="AD329" s="585">
        <f t="shared" si="237"/>
        <v>1.1724517463882851</v>
      </c>
      <c r="AE329" s="586">
        <f t="shared" si="238"/>
        <v>0.54925523254669639</v>
      </c>
      <c r="AF329" s="580" t="str">
        <f t="shared" si="253"/>
        <v>0.622974794178048-0.452376544087245i</v>
      </c>
      <c r="AG329" s="270">
        <f t="shared" si="254"/>
        <v>0.76989748137105918</v>
      </c>
      <c r="AH329" s="581">
        <f t="shared" si="255"/>
        <v>-0.62806514042715411</v>
      </c>
      <c r="AI329" s="582" t="str">
        <f t="shared" si="239"/>
        <v>4000</v>
      </c>
      <c r="AJ329" s="584" t="str">
        <f t="shared" si="256"/>
        <v>1+6631.95827295515i</v>
      </c>
      <c r="AK329" s="585">
        <f t="shared" si="257"/>
        <v>6631.9583483476636</v>
      </c>
      <c r="AL329" s="586">
        <f t="shared" si="258"/>
        <v>1.5706455417701326</v>
      </c>
      <c r="AM329" s="273" t="str">
        <f t="shared" si="259"/>
        <v>1+0.232110415688881i</v>
      </c>
      <c r="AN329" s="585">
        <f t="shared" si="260"/>
        <v>1.0265842610673832</v>
      </c>
      <c r="AO329" s="586">
        <f t="shared" si="261"/>
        <v>0.22807184548821935</v>
      </c>
      <c r="AP329" s="584" t="str">
        <f t="shared" si="262"/>
        <v>1+0.00167926550473441i</v>
      </c>
      <c r="AQ329" s="585">
        <f t="shared" si="263"/>
        <v>1.0000014099653236</v>
      </c>
      <c r="AR329" s="586">
        <f t="shared" si="264"/>
        <v>1.6792639262652139E-3</v>
      </c>
      <c r="AS329" s="580" t="str">
        <f t="shared" si="265"/>
        <v>0.139072852406932-0.60335252099328i</v>
      </c>
      <c r="AT329" s="270">
        <f t="shared" si="266"/>
        <v>0.619173257550378</v>
      </c>
      <c r="AU329" s="581">
        <f t="shared" si="267"/>
        <v>-1.3442529602081787</v>
      </c>
      <c r="AV329" s="580" t="str">
        <f t="shared" si="268"/>
        <v>-0.0157878573915732-0.119557184218853i</v>
      </c>
      <c r="AW329" s="270">
        <f t="shared" si="269"/>
        <v>-18.373407179830679</v>
      </c>
      <c r="AX329" s="581">
        <f t="shared" si="270"/>
        <v>-97.522542043711056</v>
      </c>
      <c r="AY329" s="299">
        <f t="shared" si="240"/>
        <v>82.477457956288944</v>
      </c>
      <c r="BB329" s="270">
        <f t="shared" si="273"/>
        <v>-44.163756186978389</v>
      </c>
      <c r="BC329" s="270">
        <f t="shared" si="274"/>
        <v>-77.02002121789603</v>
      </c>
      <c r="BD329" s="286"/>
      <c r="BE329" s="270">
        <f t="shared" si="271"/>
        <v>25.790349007147718</v>
      </c>
      <c r="BF329" s="581">
        <f t="shared" si="272"/>
        <v>-20.50252082581504</v>
      </c>
      <c r="BI329" s="286"/>
      <c r="BJ329" s="286"/>
      <c r="BL329" s="253">
        <f t="shared" si="241"/>
        <v>0</v>
      </c>
      <c r="BM329" s="253">
        <f t="shared" si="275"/>
        <v>0</v>
      </c>
      <c r="BN329" s="253">
        <f t="shared" si="242"/>
        <v>0</v>
      </c>
      <c r="BO329" s="253">
        <f t="shared" si="243"/>
        <v>0</v>
      </c>
    </row>
    <row r="330" spans="4:67" ht="13.6" thickBot="1" x14ac:dyDescent="0.25">
      <c r="D330" s="280">
        <v>24127.75</v>
      </c>
      <c r="E330" s="273" t="str">
        <f t="shared" si="222"/>
        <v>0.272878423731544i</v>
      </c>
      <c r="F330" s="579" t="str">
        <f t="shared" si="244"/>
        <v>0.002-0.101482218028169i</v>
      </c>
      <c r="G330" s="270" t="str">
        <f t="shared" si="245"/>
        <v>0.002-0.101482218028169i</v>
      </c>
      <c r="H330" s="271" t="str">
        <f t="shared" si="246"/>
        <v>0.00711874731957319-0.101019984909473i</v>
      </c>
      <c r="I330" s="271" t="str">
        <f t="shared" si="247"/>
        <v>0.0171187473195732-0.101019984909473i</v>
      </c>
      <c r="J330" s="270" t="str">
        <f t="shared" si="248"/>
        <v>0.00477040724461442-0.0509066010162961i</v>
      </c>
      <c r="K330" s="271" t="str">
        <f t="shared" si="223"/>
        <v>0.985299656067713-0.190451161175003i</v>
      </c>
      <c r="L330" s="580"/>
      <c r="M330" s="580" t="str">
        <f t="shared" si="224"/>
        <v>-0.321315600457799-65.6095937899615i</v>
      </c>
      <c r="N330" s="270" t="str">
        <f t="shared" si="225"/>
        <v>-6.90765336701002-49.2071953424711i</v>
      </c>
      <c r="O330" s="581" t="str">
        <f t="shared" si="226"/>
        <v>-5.26343339566825-24.2310469156683i</v>
      </c>
      <c r="P330" s="582" t="str">
        <f t="shared" si="227"/>
        <v>-2.53792338009539+0.116906792764372i</v>
      </c>
      <c r="Q330" s="583" t="str">
        <f t="shared" si="228"/>
        <v>-2.48528904613871+0.359217261921057i</v>
      </c>
      <c r="R330" s="581" t="str">
        <f t="shared" si="249"/>
        <v>-0.573657992765011-2.89174480607011i</v>
      </c>
      <c r="S330" s="253" t="str">
        <f t="shared" si="250"/>
        <v>50.951341700141-7.76710562302287i</v>
      </c>
      <c r="T330" s="253" t="str">
        <f t="shared" si="251"/>
        <v>18.2279609585811-6.86678791871212i</v>
      </c>
      <c r="U330" s="253" t="str">
        <f t="shared" si="252"/>
        <v>-0.563922563709665-1.89027126905673i</v>
      </c>
      <c r="V330" s="582" t="str">
        <f t="shared" si="229"/>
        <v>6000</v>
      </c>
      <c r="W330" s="584" t="str">
        <f t="shared" si="230"/>
        <v>1+84908.2439318101i</v>
      </c>
      <c r="X330" s="585">
        <f t="shared" si="231"/>
        <v>84908.243937698804</v>
      </c>
      <c r="Y330" s="586">
        <f t="shared" si="232"/>
        <v>1.5707845493754891</v>
      </c>
      <c r="Z330" s="273" t="str">
        <f t="shared" si="233"/>
        <v>1+12.7343264408054i</v>
      </c>
      <c r="AA330" s="585">
        <f t="shared" si="234"/>
        <v>12.773530048541614</v>
      </c>
      <c r="AB330" s="586">
        <f t="shared" si="235"/>
        <v>1.4924292429353854</v>
      </c>
      <c r="AC330" s="584" t="str">
        <f t="shared" si="236"/>
        <v>1+0.615646836088282i</v>
      </c>
      <c r="AD330" s="585">
        <f t="shared" si="237"/>
        <v>1.1743172598516602</v>
      </c>
      <c r="AE330" s="586">
        <f t="shared" si="238"/>
        <v>0.55184515468395234</v>
      </c>
      <c r="AF330" s="580" t="str">
        <f t="shared" si="253"/>
        <v>0.620997051127998-0.452968788098843i</v>
      </c>
      <c r="AG330" s="270">
        <f t="shared" si="254"/>
        <v>0.76864690235595423</v>
      </c>
      <c r="AH330" s="581">
        <f t="shared" si="255"/>
        <v>-0.63020046112405492</v>
      </c>
      <c r="AI330" s="582" t="str">
        <f t="shared" si="239"/>
        <v>4000</v>
      </c>
      <c r="AJ330" s="584" t="str">
        <f t="shared" si="256"/>
        <v>1+6670.5949316447i</v>
      </c>
      <c r="AK330" s="585">
        <f t="shared" si="257"/>
        <v>6670.5950066005335</v>
      </c>
      <c r="AL330" s="586">
        <f t="shared" si="258"/>
        <v>1.5706464151299317</v>
      </c>
      <c r="AM330" s="273" t="str">
        <f t="shared" si="259"/>
        <v>1+0.233462651414765i</v>
      </c>
      <c r="AN330" s="585">
        <f t="shared" si="260"/>
        <v>1.0268908460034163</v>
      </c>
      <c r="AO330" s="586">
        <f t="shared" si="261"/>
        <v>0.22935457072932894</v>
      </c>
      <c r="AP330" s="584" t="str">
        <f t="shared" si="262"/>
        <v>1+0.001689048619387i</v>
      </c>
      <c r="AQ330" s="585">
        <f t="shared" si="263"/>
        <v>1.0000014264416019</v>
      </c>
      <c r="AR330" s="586">
        <f t="shared" si="264"/>
        <v>1.689047013169125E-3</v>
      </c>
      <c r="AS330" s="580" t="str">
        <f t="shared" si="265"/>
        <v>0.139071797398042-0.599860563004372i</v>
      </c>
      <c r="AT330" s="270">
        <f t="shared" si="266"/>
        <v>0.61577078517857942</v>
      </c>
      <c r="AU330" s="581">
        <f t="shared" si="267"/>
        <v>-1.3429808914137724</v>
      </c>
      <c r="AV330" s="580" t="str">
        <f t="shared" si="268"/>
        <v>-0.0158411997353906-0.118892114612426i</v>
      </c>
      <c r="AW330" s="270">
        <f t="shared" si="269"/>
        <v>-18.42051535779661</v>
      </c>
      <c r="AX330" s="581">
        <f t="shared" si="270"/>
        <v>-97.589395917382276</v>
      </c>
      <c r="AY330" s="299">
        <f t="shared" si="240"/>
        <v>82.410604082617724</v>
      </c>
      <c r="BB330" s="270">
        <f t="shared" si="273"/>
        <v>-44.211618394941269</v>
      </c>
      <c r="BC330" s="270">
        <f t="shared" si="274"/>
        <v>-76.947137044726261</v>
      </c>
      <c r="BD330" s="286"/>
      <c r="BE330" s="270">
        <f t="shared" si="271"/>
        <v>25.79110303714468</v>
      </c>
      <c r="BF330" s="581">
        <f t="shared" si="272"/>
        <v>-20.642258872656026</v>
      </c>
      <c r="BI330" s="286"/>
      <c r="BJ330" s="286"/>
      <c r="BL330" s="253">
        <f t="shared" si="241"/>
        <v>0</v>
      </c>
      <c r="BM330" s="253">
        <f t="shared" si="275"/>
        <v>0</v>
      </c>
      <c r="BN330" s="253">
        <f t="shared" si="242"/>
        <v>0</v>
      </c>
      <c r="BO330" s="253">
        <f t="shared" si="243"/>
        <v>0</v>
      </c>
    </row>
    <row r="331" spans="4:67" ht="13.6" thickBot="1" x14ac:dyDescent="0.25">
      <c r="D331" s="280">
        <v>24267.5</v>
      </c>
      <c r="E331" s="273" t="str">
        <f t="shared" si="222"/>
        <v>0.274458958995565i</v>
      </c>
      <c r="F331" s="579" t="str">
        <f t="shared" si="244"/>
        <v>0.002-0.100897809252257i</v>
      </c>
      <c r="G331" s="270" t="str">
        <f t="shared" si="245"/>
        <v>0.002-0.100897809252257i</v>
      </c>
      <c r="H331" s="271" t="str">
        <f t="shared" si="246"/>
        <v>0.00706008814586868-0.10044119434439i</v>
      </c>
      <c r="I331" s="271" t="str">
        <f t="shared" si="247"/>
        <v>0.0170600881458687-0.10044119434439i</v>
      </c>
      <c r="J331" s="270" t="str">
        <f t="shared" si="248"/>
        <v>0.00475554851955226-0.0506152175368753i</v>
      </c>
      <c r="K331" s="271" t="str">
        <f t="shared" si="223"/>
        <v>0.985128871587839-0.191554270655755i</v>
      </c>
      <c r="L331" s="580"/>
      <c r="M331" s="580" t="str">
        <f t="shared" si="224"/>
        <v>-0.32040663491266-65.1439964554496i</v>
      </c>
      <c r="N331" s="270" t="str">
        <f t="shared" si="225"/>
        <v>-6.90697164285116-48.8579973415872i</v>
      </c>
      <c r="O331" s="581" t="str">
        <f t="shared" si="226"/>
        <v>-5.25325997625675-24.0557028433833i</v>
      </c>
      <c r="P331" s="582" t="str">
        <f t="shared" si="227"/>
        <v>-2.50580460263126+0.117251295297867i</v>
      </c>
      <c r="Q331" s="583" t="str">
        <f t="shared" si="228"/>
        <v>-2.45327200286869+0.3578083237317i</v>
      </c>
      <c r="R331" s="581" t="str">
        <f t="shared" si="249"/>
        <v>-0.5728626581647-2.87069792297928i</v>
      </c>
      <c r="S331" s="253" t="str">
        <f t="shared" si="250"/>
        <v>50.9401169705493-7.83577014586147i</v>
      </c>
      <c r="T331" s="253" t="str">
        <f t="shared" si="251"/>
        <v>18.2127536620031-6.91178271569061i</v>
      </c>
      <c r="U331" s="253" t="str">
        <f t="shared" si="252"/>
        <v>-0.565644064780142-1.87810852532961i</v>
      </c>
      <c r="V331" s="582" t="str">
        <f t="shared" si="229"/>
        <v>6000</v>
      </c>
      <c r="W331" s="584" t="str">
        <f t="shared" si="230"/>
        <v>1+85400.0397722627i</v>
      </c>
      <c r="X331" s="585">
        <f t="shared" si="231"/>
        <v>85400.039778117483</v>
      </c>
      <c r="Y331" s="586">
        <f t="shared" si="232"/>
        <v>1.570784617198477</v>
      </c>
      <c r="Z331" s="273" t="str">
        <f t="shared" si="233"/>
        <v>1+12.8080847531264i</v>
      </c>
      <c r="AA331" s="585">
        <f t="shared" si="234"/>
        <v>12.84706328478493</v>
      </c>
      <c r="AB331" s="586">
        <f t="shared" si="235"/>
        <v>1.4928787082556392</v>
      </c>
      <c r="AC331" s="584" t="str">
        <f t="shared" si="236"/>
        <v>1+0.619212715432332i</v>
      </c>
      <c r="AD331" s="585">
        <f t="shared" si="237"/>
        <v>1.1761906252615186</v>
      </c>
      <c r="AE331" s="586">
        <f t="shared" si="238"/>
        <v>0.55442684394934305</v>
      </c>
      <c r="AF331" s="580" t="str">
        <f t="shared" si="253"/>
        <v>0.619020446362818-0.453552372955649i</v>
      </c>
      <c r="AG331" s="270">
        <f t="shared" si="254"/>
        <v>0.76739563982923609</v>
      </c>
      <c r="AH331" s="581">
        <f t="shared" si="255"/>
        <v>-0.63233275289218338</v>
      </c>
      <c r="AI331" s="582" t="str">
        <f t="shared" si="239"/>
        <v>4000</v>
      </c>
      <c r="AJ331" s="584" t="str">
        <f t="shared" si="256"/>
        <v>1+6709.23159033431i</v>
      </c>
      <c r="AK331" s="585">
        <f t="shared" si="257"/>
        <v>6709.2316648584911</v>
      </c>
      <c r="AL331" s="586">
        <f t="shared" si="258"/>
        <v>1.5706472784308432</v>
      </c>
      <c r="AM331" s="273" t="str">
        <f t="shared" si="259"/>
        <v>1+0.234814887140651i</v>
      </c>
      <c r="AN331" s="585">
        <f t="shared" si="260"/>
        <v>1.0271991195590446</v>
      </c>
      <c r="AO331" s="586">
        <f t="shared" si="261"/>
        <v>0.23063652815928862</v>
      </c>
      <c r="AP331" s="584" t="str">
        <f t="shared" si="262"/>
        <v>1+0.00169883173403961i</v>
      </c>
      <c r="AQ331" s="585">
        <f t="shared" si="263"/>
        <v>1.0000014430135893</v>
      </c>
      <c r="AR331" s="586">
        <f t="shared" si="264"/>
        <v>1.6988300997497422E-3</v>
      </c>
      <c r="AS331" s="580" t="str">
        <f t="shared" si="265"/>
        <v>0.13907076045766-0.596408839164692i</v>
      </c>
      <c r="AT331" s="270">
        <f t="shared" si="266"/>
        <v>0.61240850732827623</v>
      </c>
      <c r="AU331" s="581">
        <f t="shared" si="267"/>
        <v>-1.3417095803713053</v>
      </c>
      <c r="AV331" s="580" t="str">
        <f t="shared" si="268"/>
        <v>-0.0158938680422082-0.11823474147937i</v>
      </c>
      <c r="AW331" s="270">
        <f t="shared" si="269"/>
        <v>-18.467319552798315</v>
      </c>
      <c r="AX331" s="581">
        <f t="shared" si="270"/>
        <v>-97.656167458483694</v>
      </c>
      <c r="AY331" s="299">
        <f t="shared" si="240"/>
        <v>82.343832541516306</v>
      </c>
      <c r="BB331" s="270">
        <f t="shared" si="273"/>
        <v>-44.259175697814413</v>
      </c>
      <c r="BC331" s="270">
        <f t="shared" si="274"/>
        <v>-76.87429628754451</v>
      </c>
      <c r="BD331" s="286"/>
      <c r="BE331" s="270">
        <f t="shared" si="271"/>
        <v>25.791856145016073</v>
      </c>
      <c r="BF331" s="581">
        <f t="shared" si="272"/>
        <v>-20.781871170939191</v>
      </c>
      <c r="BI331" s="286"/>
      <c r="BJ331" s="286"/>
      <c r="BL331" s="253">
        <f t="shared" si="241"/>
        <v>0</v>
      </c>
      <c r="BM331" s="253">
        <f t="shared" si="275"/>
        <v>0</v>
      </c>
      <c r="BN331" s="253">
        <f t="shared" si="242"/>
        <v>0</v>
      </c>
      <c r="BO331" s="253">
        <f t="shared" si="243"/>
        <v>0</v>
      </c>
    </row>
    <row r="332" spans="4:67" ht="13.6" thickBot="1" x14ac:dyDescent="0.25">
      <c r="D332" s="280">
        <v>24407.25</v>
      </c>
      <c r="E332" s="273" t="str">
        <f t="shared" si="222"/>
        <v>0.276039494259586i</v>
      </c>
      <c r="F332" s="579" t="str">
        <f t="shared" si="244"/>
        <v>0.002-0.100320092842461i</v>
      </c>
      <c r="G332" s="270" t="str">
        <f t="shared" si="245"/>
        <v>0.002-0.100320092842461i</v>
      </c>
      <c r="H332" s="271" t="str">
        <f t="shared" si="246"/>
        <v>0.00700243032431268-0.0998689816307013i</v>
      </c>
      <c r="I332" s="271" t="str">
        <f t="shared" si="247"/>
        <v>0.0170024303243127-0.0998689816307013i</v>
      </c>
      <c r="J332" s="270" t="str">
        <f t="shared" si="248"/>
        <v>0.00474094186832927-0.0503271724127011i</v>
      </c>
      <c r="K332" s="271" t="str">
        <f t="shared" si="223"/>
        <v>0.984957100766079-0.192657380136506i</v>
      </c>
      <c r="L332" s="580"/>
      <c r="M332" s="580" t="str">
        <f t="shared" si="224"/>
        <v>-0.319435919890008-64.6854512319427i</v>
      </c>
      <c r="N332" s="270" t="str">
        <f t="shared" si="225"/>
        <v>-6.90624360658418-48.514088423957i</v>
      </c>
      <c r="O332" s="581" t="str">
        <f t="shared" si="226"/>
        <v>-5.24325256985432-23.8830006733531i</v>
      </c>
      <c r="P332" s="582" t="str">
        <f t="shared" si="227"/>
        <v>-2.47431899202485+0.117569239699711i</v>
      </c>
      <c r="Q332" s="583" t="str">
        <f t="shared" si="228"/>
        <v>-2.42188646632631+0.356399246433241i</v>
      </c>
      <c r="R332" s="581" t="str">
        <f t="shared" si="249"/>
        <v>-0.572079439962229-2.84996693500263i</v>
      </c>
      <c r="S332" s="253" t="str">
        <f t="shared" si="250"/>
        <v>50.9287811173122-7.90428347681712i</v>
      </c>
      <c r="T332" s="253" t="str">
        <f t="shared" si="251"/>
        <v>18.1974486976222-6.95670421613292i</v>
      </c>
      <c r="U332" s="253" t="str">
        <f t="shared" si="252"/>
        <v>-0.567332598985846-1.86607450626879i</v>
      </c>
      <c r="V332" s="582" t="str">
        <f t="shared" si="229"/>
        <v>6000</v>
      </c>
      <c r="W332" s="584" t="str">
        <f t="shared" si="230"/>
        <v>1+85891.8356127147i</v>
      </c>
      <c r="X332" s="585">
        <f t="shared" si="231"/>
        <v>85891.835618535973</v>
      </c>
      <c r="Y332" s="586">
        <f t="shared" si="232"/>
        <v>1.570784684244789</v>
      </c>
      <c r="Z332" s="273" t="str">
        <f t="shared" si="233"/>
        <v>1+12.8818430654474i</v>
      </c>
      <c r="AA332" s="585">
        <f t="shared" si="234"/>
        <v>12.920599086838632</v>
      </c>
      <c r="AB332" s="586">
        <f t="shared" si="235"/>
        <v>1.493323057525443</v>
      </c>
      <c r="AC332" s="584" t="str">
        <f t="shared" si="236"/>
        <v>1+0.622778594776378i</v>
      </c>
      <c r="AD332" s="585">
        <f t="shared" si="237"/>
        <v>1.1780718051594479</v>
      </c>
      <c r="AE332" s="586">
        <f t="shared" si="238"/>
        <v>0.55700030528608724</v>
      </c>
      <c r="AF332" s="580" t="str">
        <f t="shared" si="253"/>
        <v>0.617045077702962-0.454127290321235i</v>
      </c>
      <c r="AG332" s="270">
        <f t="shared" si="254"/>
        <v>0.76614373568669325</v>
      </c>
      <c r="AH332" s="581">
        <f t="shared" si="255"/>
        <v>-0.63446193200543344</v>
      </c>
      <c r="AI332" s="582" t="str">
        <f t="shared" si="239"/>
        <v>4000</v>
      </c>
      <c r="AJ332" s="584" t="str">
        <f t="shared" si="256"/>
        <v>1+6747.86824902386i</v>
      </c>
      <c r="AK332" s="585">
        <f t="shared" si="257"/>
        <v>6747.8683231213345</v>
      </c>
      <c r="AL332" s="586">
        <f t="shared" si="258"/>
        <v>1.5706481318456511</v>
      </c>
      <c r="AM332" s="273" t="str">
        <f t="shared" si="259"/>
        <v>1+0.236167122866535i</v>
      </c>
      <c r="AN332" s="585">
        <f t="shared" si="260"/>
        <v>1.0275090802144071</v>
      </c>
      <c r="AO332" s="586">
        <f t="shared" si="261"/>
        <v>0.23191771425749927</v>
      </c>
      <c r="AP332" s="584" t="str">
        <f t="shared" si="262"/>
        <v>1+0.00170861484869221i</v>
      </c>
      <c r="AQ332" s="585">
        <f t="shared" si="263"/>
        <v>1.0000014596812852</v>
      </c>
      <c r="AR332" s="586">
        <f t="shared" si="264"/>
        <v>1.7086131860051634E-3</v>
      </c>
      <c r="AS332" s="580" t="str">
        <f t="shared" si="265"/>
        <v>0.139069741172541-0.592996658361328i</v>
      </c>
      <c r="AT332" s="270">
        <f t="shared" si="266"/>
        <v>0.60908573266618138</v>
      </c>
      <c r="AU332" s="581">
        <f t="shared" si="267"/>
        <v>-1.3404390307741565</v>
      </c>
      <c r="AV332" s="580" t="str">
        <f t="shared" si="268"/>
        <v>-0.0159458787299607-0.117584933231432i</v>
      </c>
      <c r="AW332" s="270">
        <f t="shared" si="269"/>
        <v>-18.51382306419012</v>
      </c>
      <c r="AX332" s="581">
        <f t="shared" si="270"/>
        <v>-97.722858809447089</v>
      </c>
      <c r="AY332" s="299">
        <f t="shared" si="240"/>
        <v>82.277141190552911</v>
      </c>
      <c r="BB332" s="270">
        <f t="shared" si="273"/>
        <v>-44.306431467430741</v>
      </c>
      <c r="BC332" s="270">
        <f t="shared" si="274"/>
        <v>-76.801499157965836</v>
      </c>
      <c r="BD332" s="286"/>
      <c r="BE332" s="270">
        <f t="shared" si="271"/>
        <v>25.792608403240621</v>
      </c>
      <c r="BF332" s="581">
        <f t="shared" si="272"/>
        <v>-20.921359651481261</v>
      </c>
      <c r="BI332" s="286"/>
      <c r="BJ332" s="286"/>
      <c r="BL332" s="253">
        <f t="shared" si="241"/>
        <v>0</v>
      </c>
      <c r="BM332" s="253">
        <f t="shared" si="275"/>
        <v>0</v>
      </c>
      <c r="BN332" s="253">
        <f t="shared" si="242"/>
        <v>0</v>
      </c>
      <c r="BO332" s="253">
        <f t="shared" si="243"/>
        <v>0</v>
      </c>
    </row>
    <row r="333" spans="4:67" ht="13.6" thickBot="1" x14ac:dyDescent="0.25">
      <c r="D333" s="280">
        <v>24547</v>
      </c>
      <c r="E333" s="273" t="str">
        <f t="shared" ref="E333:E396" si="276">COMPLEX(0,2*PI()*D333*Lf)</f>
        <v>0.277620029523607i</v>
      </c>
      <c r="F333" s="579" t="str">
        <f t="shared" si="244"/>
        <v>0.002-0.0997489544966458i</v>
      </c>
      <c r="G333" s="270" t="str">
        <f t="shared" si="245"/>
        <v>0.002-0.0997489544966458i</v>
      </c>
      <c r="H333" s="271" t="str">
        <f t="shared" si="246"/>
        <v>0.00694575121093002-0.0993032355503534i</v>
      </c>
      <c r="I333" s="271" t="str">
        <f t="shared" si="247"/>
        <v>0.01694575121093-0.0993032355503534i</v>
      </c>
      <c r="J333" s="270" t="str">
        <f t="shared" si="248"/>
        <v>0.00472658156056803-0.0500424087664284i</v>
      </c>
      <c r="K333" s="271" t="str">
        <f t="shared" ref="K333:K396" si="277">IMSUM(COMPLEX(1,0),COMPLEX(0,2*PI()*D333/(Fsw*PI()*(-2)/PI())),IMPRODUCT(COMPLEX(0,2*PI()*D333/(Fsw*PI())),COMPLEX(0,2*PI()*D333/(Fsw*PI()))))</f>
        <v>0.984784343602434-0.193760489617258i</v>
      </c>
      <c r="L333" s="580"/>
      <c r="M333" s="580" t="str">
        <f t="shared" ref="M333:M396" si="278">IF(Vin&gt;=Vout,IMDIV(COMPLEX(Vin,0),IMSUM(E333,J333)),IMDIV(IMSUM(COMPLEX(Vout,0),IMPRODUCT(J333,COMPLEX($B$4,0))),IMSUM(E333,IMPRODUCT(J333,COMPLEX((1-$B$11)^2,0)))))</f>
        <v>-0.318407629039228-64.2337916796178i</v>
      </c>
      <c r="N333" s="270" t="str">
        <f t="shared" ref="N333:N396" si="279">IF(Vin&gt;=Vout,0,IMSUB(IMPRODUCT(M333,COMPLEX(1-$B$11,0)),COMPLEX($B$4/(1-$B$11),0)))</f>
        <v>-6.90547238844609-48.1753437597133i</v>
      </c>
      <c r="O333" s="581" t="str">
        <f t="shared" ref="O333:O396" si="280">IMDIV(IF(Vin&gt;=Vout,M333,N333),IMPRODUCT(I333,IMSUM(IMDIV(COMPLEX(1,0),F333),IMDIV(COMPLEX(1,0),I333))))</f>
        <v>-5.23340762287301-23.7128779010267i</v>
      </c>
      <c r="P333" s="582" t="str">
        <f t="shared" ref="P333:P396" si="281">IF(Vin&gt;=Vout,IMDIV(IMPRODUCT(COMPLEX(Vin,0),J333),IMSUM(J333,E333)),IMPRODUCT(N333,J333))</f>
        <v>-2.44344952334502+0.117861780499217i</v>
      </c>
      <c r="Q333" s="583" t="str">
        <f t="shared" ref="Q333:Q396" si="282">IF(Vin&gt;=Vout,IMDIV(IMPRODUCT(P333,H333),IMSUM(COMPLEX($B$15,0),H333)),IMPRODUCT(O333,H333))</f>
        <v>-2.39111544711628+0.354990559509482i</v>
      </c>
      <c r="R333" s="581" t="str">
        <f t="shared" si="249"/>
        <v>-0.571308124720871-2.82954437416874i</v>
      </c>
      <c r="S333" s="253" t="str">
        <f t="shared" si="250"/>
        <v>50.9173348912797-7.97264778271895i</v>
      </c>
      <c r="T333" s="253" t="str">
        <f t="shared" si="251"/>
        <v>18.1820463490965-7.00155288901487i</v>
      </c>
      <c r="U333" s="253" t="str">
        <f t="shared" si="252"/>
        <v>-0.56898888530968-1.85416707584904i</v>
      </c>
      <c r="V333" s="582" t="str">
        <f t="shared" ref="V333:V396" si="283">COMPLEX(AEA,0)</f>
        <v>6000</v>
      </c>
      <c r="W333" s="584" t="str">
        <f t="shared" ref="W333:W396" si="284">IMSUM(COMPLEX(1,0),IMDIV(COMPLEX(0,2*PI()*D333),COMPLEX(2*PI()*EA_Pole1,0)))</f>
        <v>1+86383.6314531667i</v>
      </c>
      <c r="X333" s="585">
        <f t="shared" ref="X333:X396" si="285">IMABS(W333)</f>
        <v>86383.631458954842</v>
      </c>
      <c r="Y333" s="586">
        <f t="shared" ref="Y333:Y396" si="286">IMARGUMENT(W333)</f>
        <v>1.5707847505276902</v>
      </c>
      <c r="Z333" s="273" t="str">
        <f t="shared" ref="Z333:Z396" si="287">IMSUM(COMPLEX(1,0),IMDIV(COMPLEX(0,2*PI()*D333),COMPLEX(2*PI()*EA_Zero1,0)))</f>
        <v>1+12.9556013777683i</v>
      </c>
      <c r="AA333" s="585">
        <f t="shared" ref="AA333:AA396" si="288">IMABS(Z333)</f>
        <v>12.994137411141683</v>
      </c>
      <c r="AB333" s="586">
        <f t="shared" ref="AB333:AB396" si="289">IMARGUMENT(Z333)</f>
        <v>1.493762377428324</v>
      </c>
      <c r="AC333" s="584" t="str">
        <f t="shared" ref="AC333:AC396" si="290">IMSUM(COMPLEX(1,0),IMDIV(COMPLEX(0,2*PI()*D333),COMPLEX(2*PI()*EA_Pole2,0)))</f>
        <v>1+0.626344474120424i</v>
      </c>
      <c r="AD333" s="585">
        <f t="shared" ref="AD333:AD396" si="291">IMABS(AC333)</f>
        <v>1.1799607621701624</v>
      </c>
      <c r="AE333" s="586">
        <f t="shared" ref="AE333:AE396" si="292">IMARGUMENT(AC333)</f>
        <v>0.55956554404188152</v>
      </c>
      <c r="AF333" s="580" t="str">
        <f t="shared" si="253"/>
        <v>0.615071041592394-0.454693534246766i</v>
      </c>
      <c r="AG333" s="270">
        <f t="shared" si="254"/>
        <v>0.76489123167373774</v>
      </c>
      <c r="AH333" s="581">
        <f t="shared" si="255"/>
        <v>-0.63658791714124963</v>
      </c>
      <c r="AI333" s="582" t="str">
        <f t="shared" ref="AI333:AI396" si="293">COMPLEX(AIL,0)</f>
        <v>4000</v>
      </c>
      <c r="AJ333" s="584" t="str">
        <f t="shared" si="256"/>
        <v>1+6786.50490771342i</v>
      </c>
      <c r="AK333" s="585">
        <f t="shared" si="257"/>
        <v>6786.5049813890455</v>
      </c>
      <c r="AL333" s="586">
        <f t="shared" si="258"/>
        <v>1.5706489755432052</v>
      </c>
      <c r="AM333" s="273" t="str">
        <f t="shared" si="259"/>
        <v>1+0.237519358592419i</v>
      </c>
      <c r="AN333" s="585">
        <f t="shared" si="260"/>
        <v>1.0278207264431642</v>
      </c>
      <c r="AO333" s="586">
        <f t="shared" si="261"/>
        <v>0.23319812551773153</v>
      </c>
      <c r="AP333" s="584" t="str">
        <f t="shared" si="262"/>
        <v>1+0.00171839796334481i</v>
      </c>
      <c r="AQ333" s="585">
        <f t="shared" si="263"/>
        <v>1.0000014764446903</v>
      </c>
      <c r="AR333" s="586">
        <f t="shared" si="264"/>
        <v>1.7183962719335255E-3</v>
      </c>
      <c r="AS333" s="580" t="str">
        <f t="shared" si="265"/>
        <v>0.139068739141171-0.589623345219836i</v>
      </c>
      <c r="AT333" s="270">
        <f t="shared" si="266"/>
        <v>0.6058017855986767</v>
      </c>
      <c r="AU333" s="581">
        <f t="shared" si="267"/>
        <v>-1.3391692462974067</v>
      </c>
      <c r="AV333" s="580" t="str">
        <f t="shared" si="268"/>
        <v>-0.0159972477537937-0.116942561236019i</v>
      </c>
      <c r="AW333" s="270">
        <f t="shared" si="269"/>
        <v>-18.560029136424109</v>
      </c>
      <c r="AX333" s="581">
        <f t="shared" si="270"/>
        <v>-97.789472067638897</v>
      </c>
      <c r="AY333" s="299">
        <f t="shared" ref="AY333:AY396" si="294">IF(AX333&gt;0,AX333-180,AX333+180)</f>
        <v>82.210527932361103</v>
      </c>
      <c r="BB333" s="270">
        <f t="shared" si="273"/>
        <v>-44.353389018395731</v>
      </c>
      <c r="BC333" s="270">
        <f t="shared" si="274"/>
        <v>-76.728745866556849</v>
      </c>
      <c r="BD333" s="286"/>
      <c r="BE333" s="270">
        <f t="shared" si="271"/>
        <v>25.793359881971632</v>
      </c>
      <c r="BF333" s="581">
        <f t="shared" si="272"/>
        <v>-21.060726201082055</v>
      </c>
      <c r="BI333" s="286"/>
      <c r="BJ333" s="286"/>
      <c r="BL333" s="253">
        <f t="shared" ref="BL333:BL396" si="295">SUM((AW334&lt;0)*(AW333&gt;0))*D333</f>
        <v>0</v>
      </c>
      <c r="BM333" s="253">
        <f t="shared" si="275"/>
        <v>0</v>
      </c>
      <c r="BN333" s="253">
        <f t="shared" ref="BN333:BN396" si="296">SUM((BB334&lt;0)*(BB333&gt;0))*D333</f>
        <v>0</v>
      </c>
      <c r="BO333" s="253">
        <f t="shared" ref="BO333:BO396" si="297">IF(BN333&gt;0,BC333,0)</f>
        <v>0</v>
      </c>
    </row>
    <row r="334" spans="4:67" ht="13.6" thickBot="1" x14ac:dyDescent="0.25">
      <c r="D334" s="280">
        <v>24690</v>
      </c>
      <c r="E334" s="273" t="str">
        <f t="shared" si="276"/>
        <v>0.279237321421675i</v>
      </c>
      <c r="F334" s="579" t="str">
        <f t="shared" ref="F334:F397" si="298">IMSUM(COMPLEX($B$8,0),IMDIV(COMPLEX(1,0),COMPLEX(0,2*PI()*D334*$B$6)))</f>
        <v>0.002-0.0991712266516464i</v>
      </c>
      <c r="G334" s="270" t="str">
        <f t="shared" ref="G334:G397" si="299">IMSUM(COMPLEX($B$9,0),IMDIV(COMPLEX(1,0),COMPLEX(0,2*PI()*D334*$B$7)))</f>
        <v>0.002-0.0991712266516464i</v>
      </c>
      <c r="H334" s="271" t="str">
        <f t="shared" ref="H334:H397" si="300">IMDIV(COMPLEX(1,0),IMSUM(IMDIV(COMPLEX(1,0),COMPLEX($B$5,0)), IMDIV(COMPLEX(1,0),G334)))</f>
        <v>0.00688874413789891-0.0987309131353886i</v>
      </c>
      <c r="I334" s="271" t="str">
        <f t="shared" ref="I334:I397" si="301">IMSUM(H334,COMPLEX($B$15,0))</f>
        <v>0.0168887441378989-0.0987309131353886i</v>
      </c>
      <c r="J334" s="270" t="str">
        <f t="shared" ref="J334:J397" si="302">IMDIV(COMPLEX(1,0),IMSUM(IMDIV(COMPLEX(1,0),F334),IMDIV(COMPLEX(1,0),IMSUM(COMPLEX($B$15,0),H334))))</f>
        <v>0.0047121364872785-0.0497543615589241i</v>
      </c>
      <c r="K334" s="271" t="str">
        <f t="shared" si="277"/>
        <v>0.984606547814449-0.194889252806864i</v>
      </c>
      <c r="L334" s="580"/>
      <c r="M334" s="580" t="str">
        <f t="shared" si="278"/>
        <v>-0.317299928367812-63.7785881176398i</v>
      </c>
      <c r="N334" s="270" t="str">
        <f t="shared" si="279"/>
        <v>-6.90464161294253-47.8339410882298i</v>
      </c>
      <c r="O334" s="581" t="str">
        <f t="shared" si="280"/>
        <v>-5.22349827739259-23.5414057628446i</v>
      </c>
      <c r="P334" s="582" t="str">
        <f t="shared" si="281"/>
        <v>-2.41248281336799+0.118135976112958i</v>
      </c>
      <c r="Q334" s="583" t="str">
        <f t="shared" si="282"/>
        <v>-2.36024783059406+0.353550033741404i</v>
      </c>
      <c r="R334" s="581" t="str">
        <f t="shared" ref="R334:R397" si="303">IMPRODUCT(M334,COMPLEX($B$29,0),K334,COMPLEX($B$34,0))</f>
        <v>-0.570530973850358-2.80895860077339i</v>
      </c>
      <c r="S334" s="253" t="str">
        <f t="shared" ref="S334:S397" si="304">IMDIV(IMPRODUCT(COMPLEX($B$34,0),M334),IMSUM(COMPLEX(1,0),R334))</f>
        <v>50.9055089820894-8.04244990042783i</v>
      </c>
      <c r="T334" s="253" t="str">
        <f t="shared" ref="T334:T397" si="305">IMDIV(IMPRODUCT(COMPLEX($B$34,0),O334),IMSUM(COMPLEX(1,0),R334))</f>
        <v>18.1661852886374-7.04736964059481i</v>
      </c>
      <c r="U334" s="253" t="str">
        <f t="shared" ref="U334:U397" si="306">IMDIV(IMPRODUCT(COMPLEX($B$34,0),Q334),IMSUM(COMPLEX(1,0),R334))</f>
        <v>-0.570651037403454-1.84211158803309i</v>
      </c>
      <c r="V334" s="582" t="str">
        <f t="shared" si="283"/>
        <v>6000</v>
      </c>
      <c r="W334" s="584" t="str">
        <f t="shared" si="284"/>
        <v>1+86886.8644061877i</v>
      </c>
      <c r="X334" s="585">
        <f t="shared" si="285"/>
        <v>86886.864411942297</v>
      </c>
      <c r="Y334" s="586">
        <f t="shared" si="286"/>
        <v>1.5707848175753294</v>
      </c>
      <c r="Z334" s="273" t="str">
        <f t="shared" si="287"/>
        <v>1+13.0310749996782i</v>
      </c>
      <c r="AA334" s="585">
        <f t="shared" si="288"/>
        <v>13.069388495535597</v>
      </c>
      <c r="AB334" s="586">
        <f t="shared" si="289"/>
        <v>1.4942067962906729</v>
      </c>
      <c r="AC334" s="584" t="str">
        <f t="shared" si="290"/>
        <v>1+0.629993280891078i</v>
      </c>
      <c r="AD334" s="585">
        <f t="shared" si="291"/>
        <v>1.1819016600241767</v>
      </c>
      <c r="AE334" s="586">
        <f t="shared" si="292"/>
        <v>0.56218193387119175</v>
      </c>
      <c r="AF334" s="580" t="str">
        <f t="shared" ref="AF334:AF397" si="307">IMPRODUCT(V334,IMDIV(Z334,IMPRODUCT(W334,AC334)))</f>
        <v>0.613052576227794-0.455263964509443i</v>
      </c>
      <c r="AG334" s="270">
        <f t="shared" ref="AG334:AG397" si="308">IMABS(AF334)</f>
        <v>0.7636090220789632</v>
      </c>
      <c r="AH334" s="581">
        <f t="shared" ref="AH334:AH397" si="309">IMARGUMENT(AF334)</f>
        <v>-0.63875995515584616</v>
      </c>
      <c r="AI334" s="582" t="str">
        <f t="shared" si="293"/>
        <v>4000</v>
      </c>
      <c r="AJ334" s="584" t="str">
        <f t="shared" ref="AJ334:AJ397" si="310">IMSUM(COMPLEX(1,0),IMDIV(COMPLEX(0,2*PI()*D334),COMPLEX(2*PI()*IL_Pole1,0)))</f>
        <v>1+6826.04009334928i</v>
      </c>
      <c r="AK334" s="585">
        <f t="shared" ref="AK334:AK397" si="311">IMABS(AJ334)</f>
        <v>6826.0401665981908</v>
      </c>
      <c r="AL334" s="586">
        <f t="shared" ref="AL334:AL397" si="312">IMARGUMENT(AJ334)</f>
        <v>1.5706498289749058</v>
      </c>
      <c r="AM334" s="273" t="str">
        <f t="shared" ref="AM334:AM397" si="313">IMSUM(COMPLEX(1,0),IMDIV(COMPLEX(0,2*PI()*D334),COMPLEX(2*PI()*IL_Zero1,0)))</f>
        <v>1+0.238903041660767i</v>
      </c>
      <c r="AN334" s="585">
        <f t="shared" ref="AN334:AN397" si="314">IMABS(AM334)</f>
        <v>1.028141363487904</v>
      </c>
      <c r="AO334" s="586">
        <f t="shared" ref="AO334:AO397" si="315">IMARGUMENT(AM334)</f>
        <v>0.23450750806476423</v>
      </c>
      <c r="AP334" s="584" t="str">
        <f t="shared" ref="AP334:AP397" si="316">IMSUM(COMPLEX(1,0),IMDIV(COMPLEX(0,2*PI()*D334),COMPLEX(2*PI()*IL_Pole2,0)))</f>
        <v>1+0.00172840859229166i</v>
      </c>
      <c r="AQ334" s="585">
        <f t="shared" ref="AQ334:AQ397" si="317">IMABS(AP334)</f>
        <v>1.0000014936970154</v>
      </c>
      <c r="AR334" s="586">
        <f t="shared" ref="AR334:AR397" si="318">IMARGUMENT(AP334)</f>
        <v>1.7284068711476226E-3</v>
      </c>
      <c r="AS334" s="580" t="str">
        <f t="shared" ref="AS334:AS397" si="319">IMPRODUCT(AI334,IMDIV(AM334,IMPRODUCT(AJ334,AP334)))</f>
        <v>0.139067731260073-0.586211128464308i</v>
      </c>
      <c r="AT334" s="270">
        <f t="shared" ref="AT334:AT397" si="320">IMABS(AS334)</f>
        <v>0.60248097149471969</v>
      </c>
      <c r="AU334" s="581">
        <f t="shared" ref="AU334:AU397" si="321">IMARGUMENT(AS334)</f>
        <v>-1.3378707277812902</v>
      </c>
      <c r="AV334" s="580" t="str">
        <f t="shared" ref="AV334:AV397" si="322">IMPRODUCT(T334,AS334,COMPLEX($B$15,0))</f>
        <v>-0.0160491633597727-0.116292816852125i</v>
      </c>
      <c r="AW334" s="270">
        <f t="shared" ref="AW334:AW397" si="323">20*LOG10(IMABS(AV334))</f>
        <v>-18.607005201330558</v>
      </c>
      <c r="AX334" s="581">
        <f t="shared" ref="AX334:AX397" si="324">(180/PI())*IMARGUMENT(AV334)</f>
        <v>-97.857555775243654</v>
      </c>
      <c r="AY334" s="299">
        <f t="shared" si="294"/>
        <v>82.142444224756346</v>
      </c>
      <c r="BB334" s="270">
        <f t="shared" si="273"/>
        <v>-44.401133302210212</v>
      </c>
      <c r="BC334" s="270">
        <f t="shared" si="274"/>
        <v>-76.654346235963786</v>
      </c>
      <c r="BD334" s="286"/>
      <c r="BE334" s="270">
        <f t="shared" ref="BE334:BE397" si="325">20*LOG10(IMABS(T334))</f>
        <v>25.794128100879643</v>
      </c>
      <c r="BF334" s="581">
        <f t="shared" ref="BF334:BF397" si="326">180/PI()*IMARGUMENT(T334)</f>
        <v>-21.203209539279886</v>
      </c>
      <c r="BI334" s="286"/>
      <c r="BJ334" s="286"/>
      <c r="BL334" s="253">
        <f t="shared" si="295"/>
        <v>0</v>
      </c>
      <c r="BM334" s="253">
        <f t="shared" si="275"/>
        <v>0</v>
      </c>
      <c r="BN334" s="253">
        <f t="shared" si="296"/>
        <v>0</v>
      </c>
      <c r="BO334" s="253">
        <f t="shared" si="297"/>
        <v>0</v>
      </c>
    </row>
    <row r="335" spans="4:67" ht="13.6" thickBot="1" x14ac:dyDescent="0.25">
      <c r="D335" s="280">
        <v>24833</v>
      </c>
      <c r="E335" s="273" t="str">
        <f t="shared" si="276"/>
        <v>0.280854613319743i</v>
      </c>
      <c r="F335" s="579" t="str">
        <f t="shared" si="298"/>
        <v>0.002-0.0986001524595964i</v>
      </c>
      <c r="G335" s="270" t="str">
        <f t="shared" si="299"/>
        <v>0.002-0.0986001524595964i</v>
      </c>
      <c r="H335" s="271" t="str">
        <f t="shared" si="300"/>
        <v>0.00683271586912451-0.0981651339124798i</v>
      </c>
      <c r="I335" s="271" t="str">
        <f t="shared" si="301"/>
        <v>0.0168327158691245-0.0981651339124798i</v>
      </c>
      <c r="J335" s="270" t="str">
        <f t="shared" si="302"/>
        <v>0.00469793772096642-0.0494696338159583i</v>
      </c>
      <c r="K335" s="271" t="str">
        <f t="shared" si="277"/>
        <v>0.984427719274766-0.196018015996471i</v>
      </c>
      <c r="L335" s="580"/>
      <c r="M335" s="580" t="str">
        <f t="shared" si="278"/>
        <v>-0.316140035630029-63.3302584879802i</v>
      </c>
      <c r="N335" s="270" t="str">
        <f t="shared" si="279"/>
        <v>-6.90377169338919-47.4976938659852i</v>
      </c>
      <c r="O335" s="581" t="str">
        <f t="shared" si="280"/>
        <v>-5.21375178093787-23.3725083267649i</v>
      </c>
      <c r="P335" s="582" t="str">
        <f t="shared" si="281"/>
        <v>-2.38212701210809+0.118385849949014i</v>
      </c>
      <c r="Q335" s="583" t="str">
        <f t="shared" si="282"/>
        <v>-2.32998949429872+0.352110933216665i</v>
      </c>
      <c r="R335" s="581" t="str">
        <f t="shared" si="303"/>
        <v>-0.569765843659182-2.788680704307i</v>
      </c>
      <c r="S335" s="253" t="str">
        <f t="shared" si="304"/>
        <v>50.8935690301455-8.1121004131646i</v>
      </c>
      <c r="T335" s="253" t="str">
        <f t="shared" si="305"/>
        <v>18.150222844409-7.09311108546924i</v>
      </c>
      <c r="U335" s="253" t="str">
        <f t="shared" si="306"/>
        <v>-0.572280883904043-1.83018426873791i</v>
      </c>
      <c r="V335" s="582" t="str">
        <f t="shared" si="283"/>
        <v>6000</v>
      </c>
      <c r="W335" s="584" t="str">
        <f t="shared" si="284"/>
        <v>1+87390.0973592088i</v>
      </c>
      <c r="X335" s="585">
        <f t="shared" si="285"/>
        <v>87390.097364930276</v>
      </c>
      <c r="Y335" s="586">
        <f t="shared" si="286"/>
        <v>1.5707848838507854</v>
      </c>
      <c r="Z335" s="273" t="str">
        <f t="shared" si="287"/>
        <v>1+13.1065486215881i</v>
      </c>
      <c r="AA335" s="585">
        <f t="shared" si="288"/>
        <v>13.144642131684412</v>
      </c>
      <c r="AB335" s="586">
        <f t="shared" si="289"/>
        <v>1.4946461266051299</v>
      </c>
      <c r="AC335" s="584" t="str">
        <f t="shared" si="290"/>
        <v>1+0.633642087661732i</v>
      </c>
      <c r="AD335" s="585">
        <f t="shared" si="291"/>
        <v>1.1838506220196525</v>
      </c>
      <c r="AE335" s="586">
        <f t="shared" si="292"/>
        <v>0.5647897268280021</v>
      </c>
      <c r="AF335" s="580" t="str">
        <f t="shared" si="307"/>
        <v>0.611035706029656-0.455825307960743i</v>
      </c>
      <c r="AG335" s="270">
        <f t="shared" si="308"/>
        <v>0.76232627228809746</v>
      </c>
      <c r="AH335" s="581">
        <f t="shared" si="309"/>
        <v>-0.64092848407365743</v>
      </c>
      <c r="AI335" s="582" t="str">
        <f t="shared" si="293"/>
        <v>4000</v>
      </c>
      <c r="AJ335" s="584" t="str">
        <f t="shared" si="310"/>
        <v>1+6865.57527898513i</v>
      </c>
      <c r="AK335" s="585">
        <f t="shared" si="311"/>
        <v>6865.5753518122383</v>
      </c>
      <c r="AL335" s="586">
        <f t="shared" si="312"/>
        <v>1.5706506725776908</v>
      </c>
      <c r="AM335" s="273" t="str">
        <f t="shared" si="313"/>
        <v>1+0.240286724729114i</v>
      </c>
      <c r="AN335" s="585">
        <f t="shared" si="314"/>
        <v>1.0284637621623063</v>
      </c>
      <c r="AO335" s="586">
        <f t="shared" si="315"/>
        <v>0.2358160719342115</v>
      </c>
      <c r="AP335" s="584" t="str">
        <f t="shared" si="316"/>
        <v>1+0.00173841922123852i</v>
      </c>
      <c r="AQ335" s="585">
        <f t="shared" si="317"/>
        <v>1.0000015110495528</v>
      </c>
      <c r="AR335" s="586">
        <f t="shared" si="318"/>
        <v>1.7384174700153146E-3</v>
      </c>
      <c r="AS335" s="580" t="str">
        <f t="shared" si="319"/>
        <v>0.139066740629882-0.582838226001628i</v>
      </c>
      <c r="AT335" s="270">
        <f t="shared" si="320"/>
        <v>0.59919942927054237</v>
      </c>
      <c r="AU335" s="581">
        <f t="shared" si="321"/>
        <v>-1.3365730181134956</v>
      </c>
      <c r="AV335" s="580" t="str">
        <f t="shared" si="322"/>
        <v>-0.0161004394920939-0.115650595237515i</v>
      </c>
      <c r="AW335" s="270">
        <f t="shared" si="323"/>
        <v>-18.653676534257158</v>
      </c>
      <c r="AX335" s="581">
        <f t="shared" si="324"/>
        <v>-97.92556201950336</v>
      </c>
      <c r="AY335" s="299">
        <f t="shared" si="294"/>
        <v>82.07443798049664</v>
      </c>
      <c r="BB335" s="270">
        <f t="shared" si="273"/>
        <v>-44.44857217936179</v>
      </c>
      <c r="BC335" s="270">
        <f t="shared" si="274"/>
        <v>-76.579992948965824</v>
      </c>
      <c r="BD335" s="286"/>
      <c r="BE335" s="270">
        <f t="shared" si="325"/>
        <v>25.794895645104599</v>
      </c>
      <c r="BF335" s="581">
        <f t="shared" si="326"/>
        <v>-21.345569070537557</v>
      </c>
      <c r="BI335" s="286"/>
      <c r="BJ335" s="286"/>
      <c r="BL335" s="253">
        <f t="shared" si="295"/>
        <v>0</v>
      </c>
      <c r="BM335" s="253">
        <f t="shared" si="275"/>
        <v>0</v>
      </c>
      <c r="BN335" s="253">
        <f t="shared" si="296"/>
        <v>0</v>
      </c>
      <c r="BO335" s="253">
        <f t="shared" si="297"/>
        <v>0</v>
      </c>
    </row>
    <row r="336" spans="4:67" ht="13.6" thickBot="1" x14ac:dyDescent="0.25">
      <c r="D336" s="280">
        <v>24976</v>
      </c>
      <c r="E336" s="273" t="str">
        <f t="shared" si="276"/>
        <v>0.282471905217811i</v>
      </c>
      <c r="F336" s="579" t="str">
        <f t="shared" si="298"/>
        <v>0.002-0.0980356176340954i</v>
      </c>
      <c r="G336" s="270" t="str">
        <f t="shared" si="299"/>
        <v>0.002-0.0980356176340954i</v>
      </c>
      <c r="H336" s="271" t="str">
        <f t="shared" si="300"/>
        <v>0.00677764414200785-0.0976057865827301i</v>
      </c>
      <c r="I336" s="271" t="str">
        <f t="shared" si="301"/>
        <v>0.0167776441420079-0.0976057865827301i</v>
      </c>
      <c r="J336" s="270" t="str">
        <f t="shared" si="302"/>
        <v>0.00468397962959608-0.0491881686557687i</v>
      </c>
      <c r="K336" s="271" t="str">
        <f t="shared" si="277"/>
        <v>0.984247857983384-0.197146779186077i</v>
      </c>
      <c r="L336" s="580"/>
      <c r="M336" s="580" t="str">
        <f t="shared" si="278"/>
        <v>-0.314931693260403-62.8886411118973i</v>
      </c>
      <c r="N336" s="270" t="str">
        <f t="shared" si="279"/>
        <v>-6.90286543661197-47.166480833923i</v>
      </c>
      <c r="O336" s="581" t="str">
        <f t="shared" si="280"/>
        <v>-5.20416459927694-23.2061248912335i</v>
      </c>
      <c r="P336" s="582" t="str">
        <f t="shared" si="281"/>
        <v>-2.35236569524902+0.118612473878317i</v>
      </c>
      <c r="Q336" s="583" t="str">
        <f t="shared" si="282"/>
        <v>-2.30032404925625+0.350673722790653i</v>
      </c>
      <c r="R336" s="581" t="str">
        <f t="shared" si="303"/>
        <v>-0.569012515545006-2.76870343158884i</v>
      </c>
      <c r="S336" s="253" t="str">
        <f t="shared" si="304"/>
        <v>50.881515773195-8.18160148488811i</v>
      </c>
      <c r="T336" s="253" t="str">
        <f t="shared" si="305"/>
        <v>18.1341593021307-7.13877768036592i</v>
      </c>
      <c r="U336" s="253" t="str">
        <f t="shared" si="306"/>
        <v>-0.573879132167028-1.81838297742743i</v>
      </c>
      <c r="V336" s="582" t="str">
        <f t="shared" si="283"/>
        <v>6000</v>
      </c>
      <c r="W336" s="584" t="str">
        <f t="shared" si="284"/>
        <v>1+87893.3303122292i</v>
      </c>
      <c r="X336" s="585">
        <f t="shared" si="285"/>
        <v>87893.330317917906</v>
      </c>
      <c r="Y336" s="586">
        <f t="shared" si="286"/>
        <v>1.5707849493673216</v>
      </c>
      <c r="Z336" s="273" t="str">
        <f t="shared" si="287"/>
        <v>1+13.1820222434978i</v>
      </c>
      <c r="AA336" s="585">
        <f t="shared" si="288"/>
        <v>13.219898276010703</v>
      </c>
      <c r="AB336" s="586">
        <f t="shared" si="289"/>
        <v>1.4950804551024774</v>
      </c>
      <c r="AC336" s="584" t="str">
        <f t="shared" si="290"/>
        <v>1+0.637290894432383i</v>
      </c>
      <c r="AD336" s="585">
        <f t="shared" si="291"/>
        <v>1.1858076083945601</v>
      </c>
      <c r="AE336" s="586">
        <f t="shared" si="292"/>
        <v>0.56738892991951162</v>
      </c>
      <c r="AF336" s="580" t="str">
        <f t="shared" si="307"/>
        <v>0.609020529881964-0.456377565511442i</v>
      </c>
      <c r="AG336" s="270">
        <f t="shared" si="308"/>
        <v>0.76104302645767596</v>
      </c>
      <c r="AH336" s="581">
        <f t="shared" si="309"/>
        <v>-0.64309342418435544</v>
      </c>
      <c r="AI336" s="582" t="str">
        <f t="shared" si="293"/>
        <v>4000</v>
      </c>
      <c r="AJ336" s="584" t="str">
        <f t="shared" si="310"/>
        <v>1+6905.11046462095i</v>
      </c>
      <c r="AK336" s="585">
        <f t="shared" si="311"/>
        <v>6905.1105370310879</v>
      </c>
      <c r="AL336" s="586">
        <f t="shared" si="312"/>
        <v>1.5706515065203865</v>
      </c>
      <c r="AM336" s="273" t="str">
        <f t="shared" si="313"/>
        <v>1+0.24167040779746i</v>
      </c>
      <c r="AN336" s="585">
        <f t="shared" si="314"/>
        <v>1.028787920810208</v>
      </c>
      <c r="AO336" s="586">
        <f t="shared" si="315"/>
        <v>0.23712381341644193</v>
      </c>
      <c r="AP336" s="584" t="str">
        <f t="shared" si="316"/>
        <v>1+0.00174842985018536i</v>
      </c>
      <c r="AQ336" s="585">
        <f t="shared" si="317"/>
        <v>1.0000015285023023</v>
      </c>
      <c r="AR336" s="586">
        <f t="shared" si="318"/>
        <v>1.7484280685345652E-3</v>
      </c>
      <c r="AS336" s="580" t="str">
        <f t="shared" si="319"/>
        <v>0.139065766856016-0.579503962550316i</v>
      </c>
      <c r="AT336" s="270">
        <f t="shared" si="320"/>
        <v>0.59595648341365481</v>
      </c>
      <c r="AU336" s="581">
        <f t="shared" si="321"/>
        <v>-1.3352761211724782</v>
      </c>
      <c r="AV336" s="580" t="str">
        <f t="shared" si="322"/>
        <v>-0.0161510918389784-0.115015767656381i</v>
      </c>
      <c r="AW336" s="270">
        <f t="shared" si="323"/>
        <v>-18.700046440689395</v>
      </c>
      <c r="AX336" s="581">
        <f t="shared" si="324"/>
        <v>-97.993492908831954</v>
      </c>
      <c r="AY336" s="299">
        <f t="shared" si="294"/>
        <v>82.006507091168046</v>
      </c>
      <c r="BB336" s="270">
        <f t="shared" si="273"/>
        <v>-44.495709023426969</v>
      </c>
      <c r="BC336" s="270">
        <f t="shared" si="274"/>
        <v>-76.505686227782107</v>
      </c>
      <c r="BD336" s="286"/>
      <c r="BE336" s="270">
        <f t="shared" si="325"/>
        <v>25.795662582737585</v>
      </c>
      <c r="BF336" s="581">
        <f t="shared" si="326"/>
        <v>-21.487806681049857</v>
      </c>
      <c r="BI336" s="286"/>
      <c r="BJ336" s="286"/>
      <c r="BL336" s="253">
        <f t="shared" si="295"/>
        <v>0</v>
      </c>
      <c r="BM336" s="253">
        <f t="shared" si="275"/>
        <v>0</v>
      </c>
      <c r="BN336" s="253">
        <f t="shared" si="296"/>
        <v>0</v>
      </c>
      <c r="BO336" s="253">
        <f t="shared" si="297"/>
        <v>0</v>
      </c>
    </row>
    <row r="337" spans="4:67" ht="13.6" thickBot="1" x14ac:dyDescent="0.25">
      <c r="D337" s="280">
        <v>25119</v>
      </c>
      <c r="E337" s="273" t="str">
        <f t="shared" si="276"/>
        <v>0.284089197115879i</v>
      </c>
      <c r="F337" s="579" t="str">
        <f t="shared" si="298"/>
        <v>0.002-0.0974775104912278i</v>
      </c>
      <c r="G337" s="270" t="str">
        <f t="shared" si="299"/>
        <v>0.002-0.0974775104912278i</v>
      </c>
      <c r="H337" s="271" t="str">
        <f t="shared" si="300"/>
        <v>0.00672350732281711-0.0970527623510779i</v>
      </c>
      <c r="I337" s="271" t="str">
        <f t="shared" si="301"/>
        <v>0.0167235073228171-0.0970527623510779i</v>
      </c>
      <c r="J337" s="270" t="str">
        <f t="shared" si="302"/>
        <v>0.00467025674080342-0.048909910487983i</v>
      </c>
      <c r="K337" s="271" t="str">
        <f t="shared" si="277"/>
        <v>0.984066963940305-0.198275542375683i</v>
      </c>
      <c r="L337" s="580"/>
      <c r="M337" s="580" t="str">
        <f t="shared" si="278"/>
        <v>-0.313678426670286-62.4535794757996i</v>
      </c>
      <c r="N337" s="270" t="str">
        <f t="shared" si="279"/>
        <v>-6.90192548666938-46.8401846068497i</v>
      </c>
      <c r="O337" s="581" t="str">
        <f t="shared" si="280"/>
        <v>-5.1947332858753-23.0421966986806i</v>
      </c>
      <c r="P337" s="582" t="str">
        <f t="shared" si="281"/>
        <v>-2.32318300039026+0.118816869847112i</v>
      </c>
      <c r="Q337" s="583" t="str">
        <f t="shared" si="282"/>
        <v>-2.2712356675315+0.349238836833918i</v>
      </c>
      <c r="R337" s="581" t="str">
        <f t="shared" si="303"/>
        <v>-0.568270774406238-2.74901976152398i</v>
      </c>
      <c r="S337" s="253" t="str">
        <f t="shared" si="304"/>
        <v>50.8693499279779-8.25095522927203i</v>
      </c>
      <c r="T337" s="253" t="str">
        <f t="shared" si="305"/>
        <v>18.1179949418241-7.18436986742598i</v>
      </c>
      <c r="U337" s="253" t="str">
        <f t="shared" si="306"/>
        <v>-0.57544646971942-1.80670562078035i</v>
      </c>
      <c r="V337" s="582" t="str">
        <f t="shared" si="283"/>
        <v>6000</v>
      </c>
      <c r="W337" s="584" t="str">
        <f t="shared" si="284"/>
        <v>1+88396.5632652503i</v>
      </c>
      <c r="X337" s="585">
        <f t="shared" si="285"/>
        <v>88396.563270906627</v>
      </c>
      <c r="Y337" s="586">
        <f t="shared" si="286"/>
        <v>1.5707850141378994</v>
      </c>
      <c r="Z337" s="273" t="str">
        <f t="shared" si="287"/>
        <v>1+13.2574958654077i</v>
      </c>
      <c r="AA337" s="585">
        <f t="shared" si="288"/>
        <v>13.295156885922868</v>
      </c>
      <c r="AB337" s="586">
        <f t="shared" si="289"/>
        <v>1.4955098665573543</v>
      </c>
      <c r="AC337" s="584" t="str">
        <f t="shared" si="290"/>
        <v>1+0.640939701203037i</v>
      </c>
      <c r="AD337" s="585">
        <f t="shared" si="291"/>
        <v>1.1877725794857525</v>
      </c>
      <c r="AE337" s="586">
        <f t="shared" si="292"/>
        <v>0.56997955057109384</v>
      </c>
      <c r="AF337" s="580" t="str">
        <f t="shared" si="307"/>
        <v>0.60700714518051-0.456920740373622i</v>
      </c>
      <c r="AG337" s="270">
        <f t="shared" si="308"/>
        <v>0.7597593285269828</v>
      </c>
      <c r="AH337" s="581">
        <f t="shared" si="309"/>
        <v>-0.64525469815163838</v>
      </c>
      <c r="AI337" s="582" t="str">
        <f t="shared" si="293"/>
        <v>4000</v>
      </c>
      <c r="AJ337" s="584" t="str">
        <f t="shared" si="310"/>
        <v>1+6944.6456502568i</v>
      </c>
      <c r="AK337" s="585">
        <f t="shared" si="311"/>
        <v>6944.6457222547133</v>
      </c>
      <c r="AL337" s="586">
        <f t="shared" si="312"/>
        <v>1.5706523309679747</v>
      </c>
      <c r="AM337" s="273" t="str">
        <f t="shared" si="313"/>
        <v>1+0.243054090865808i</v>
      </c>
      <c r="AN337" s="585">
        <f t="shared" si="314"/>
        <v>1.029113837768497</v>
      </c>
      <c r="AO337" s="586">
        <f t="shared" si="315"/>
        <v>0.23843072881773961</v>
      </c>
      <c r="AP337" s="584" t="str">
        <f t="shared" si="316"/>
        <v>1+0.00175844047913221i</v>
      </c>
      <c r="AQ337" s="585">
        <f t="shared" si="317"/>
        <v>1.0000015460552643</v>
      </c>
      <c r="AR337" s="586">
        <f t="shared" si="318"/>
        <v>1.7584386667033984E-3</v>
      </c>
      <c r="AS337" s="580" t="str">
        <f t="shared" si="319"/>
        <v>0.13906480955509-0.576207678206132i</v>
      </c>
      <c r="AT337" s="270">
        <f t="shared" si="320"/>
        <v>0.59275147379006543</v>
      </c>
      <c r="AU337" s="581">
        <f t="shared" si="321"/>
        <v>-1.3339800408169382</v>
      </c>
      <c r="AV337" s="580" t="str">
        <f t="shared" si="322"/>
        <v>-0.0162011356457877-0.114388208265658i</v>
      </c>
      <c r="AW337" s="270">
        <f t="shared" si="323"/>
        <v>-18.746118171130224</v>
      </c>
      <c r="AX337" s="581">
        <f t="shared" si="324"/>
        <v>-98.06135050737781</v>
      </c>
      <c r="AY337" s="299">
        <f t="shared" si="294"/>
        <v>81.93864949262219</v>
      </c>
      <c r="BB337" s="270">
        <f t="shared" si="273"/>
        <v>-44.542547150771199</v>
      </c>
      <c r="BC337" s="270">
        <f t="shared" si="274"/>
        <v>-76.431426293499854</v>
      </c>
      <c r="BD337" s="286"/>
      <c r="BE337" s="270">
        <f t="shared" si="325"/>
        <v>25.796428979640996</v>
      </c>
      <c r="BF337" s="581">
        <f t="shared" si="326"/>
        <v>-21.629924213877938</v>
      </c>
      <c r="BI337" s="286"/>
      <c r="BJ337" s="286"/>
      <c r="BL337" s="253">
        <f t="shared" si="295"/>
        <v>0</v>
      </c>
      <c r="BM337" s="253">
        <f t="shared" si="275"/>
        <v>0</v>
      </c>
      <c r="BN337" s="253">
        <f t="shared" si="296"/>
        <v>0</v>
      </c>
      <c r="BO337" s="253">
        <f t="shared" si="297"/>
        <v>0</v>
      </c>
    </row>
    <row r="338" spans="4:67" ht="13.6" thickBot="1" x14ac:dyDescent="0.25">
      <c r="D338" s="280">
        <v>25265.25</v>
      </c>
      <c r="E338" s="273" t="str">
        <f t="shared" si="276"/>
        <v>0.285743245647994i</v>
      </c>
      <c r="F338" s="579" t="str">
        <f t="shared" si="298"/>
        <v>0.002-0.0969132538181561i</v>
      </c>
      <c r="G338" s="270" t="str">
        <f t="shared" si="299"/>
        <v>0.002-0.0969132538181561i</v>
      </c>
      <c r="H338" s="271" t="str">
        <f t="shared" si="300"/>
        <v>0.00666908523308169-0.0964935988443474i</v>
      </c>
      <c r="I338" s="271" t="str">
        <f t="shared" si="301"/>
        <v>0.0166690852330817-0.0964935988443474i</v>
      </c>
      <c r="J338" s="270" t="str">
        <f t="shared" si="302"/>
        <v>0.00465645970821791-0.0486285888005868i</v>
      </c>
      <c r="K338" s="271" t="str">
        <f t="shared" si="277"/>
        <v>0.983880890443107-0.199429959274145i</v>
      </c>
      <c r="L338" s="580"/>
      <c r="M338" s="580" t="str">
        <f t="shared" si="278"/>
        <v>-0.312353669775144-62.01525307843i</v>
      </c>
      <c r="N338" s="270" t="str">
        <f t="shared" si="279"/>
        <v>-6.90093191899803-46.5114398088225i</v>
      </c>
      <c r="O338" s="581" t="str">
        <f t="shared" si="280"/>
        <v>-5.18524534435271-22.8770231627267i</v>
      </c>
      <c r="P338" s="582" t="str">
        <f t="shared" si="281"/>
        <v>-2.29391959241644+0.119003935188815i</v>
      </c>
      <c r="Q338" s="583" t="str">
        <f t="shared" si="282"/>
        <v>-2.24206713897292+0.347774166816082i</v>
      </c>
      <c r="R338" s="581" t="str">
        <f t="shared" si="303"/>
        <v>-0.567523940019564-2.72918533911826i</v>
      </c>
      <c r="S338" s="253" t="str">
        <f t="shared" si="304"/>
        <v>50.8567918563975-8.32173495877417i</v>
      </c>
      <c r="T338" s="253" t="str">
        <f t="shared" si="305"/>
        <v>18.1013592147264-7.2309217227944i</v>
      </c>
      <c r="U338" s="253" t="str">
        <f t="shared" si="306"/>
        <v>-0.577018152556562-1.7948889278863i</v>
      </c>
      <c r="V338" s="582" t="str">
        <f t="shared" si="283"/>
        <v>6000</v>
      </c>
      <c r="W338" s="584" t="str">
        <f t="shared" si="284"/>
        <v>1+88911.2333308398i</v>
      </c>
      <c r="X338" s="585">
        <f t="shared" si="285"/>
        <v>88911.233336463381</v>
      </c>
      <c r="Y338" s="586">
        <f t="shared" si="286"/>
        <v>1.5707850796221547</v>
      </c>
      <c r="Z338" s="273" t="str">
        <f t="shared" si="287"/>
        <v>1+13.3346847969064i</v>
      </c>
      <c r="AA338" s="585">
        <f t="shared" si="288"/>
        <v>13.372128425678788</v>
      </c>
      <c r="AB338" s="586">
        <f t="shared" si="289"/>
        <v>1.4959440377828996</v>
      </c>
      <c r="AC338" s="584" t="str">
        <f t="shared" si="290"/>
        <v>1+0.644671435400296i</v>
      </c>
      <c r="AD338" s="585">
        <f t="shared" si="291"/>
        <v>1.1897904267647634</v>
      </c>
      <c r="AE338" s="586">
        <f t="shared" si="292"/>
        <v>0.57262017989533898</v>
      </c>
      <c r="AF338" s="580" t="str">
        <f t="shared" si="307"/>
        <v>0.604949954667816-0.457466871128788i</v>
      </c>
      <c r="AG338" s="270">
        <f t="shared" si="308"/>
        <v>0.75844603356663143</v>
      </c>
      <c r="AH338" s="581">
        <f t="shared" si="309"/>
        <v>-0.64746122173459575</v>
      </c>
      <c r="AI338" s="582" t="str">
        <f t="shared" si="293"/>
        <v>4000</v>
      </c>
      <c r="AJ338" s="584" t="str">
        <f t="shared" si="310"/>
        <v>1+6985.07936283891i</v>
      </c>
      <c r="AK338" s="585">
        <f t="shared" si="311"/>
        <v>6985.0794344200585</v>
      </c>
      <c r="AL338" s="586">
        <f t="shared" si="312"/>
        <v>1.5706531644997783</v>
      </c>
      <c r="AM338" s="273" t="str">
        <f t="shared" si="313"/>
        <v>1+0.244469221276617i</v>
      </c>
      <c r="AN338" s="585">
        <f t="shared" si="314"/>
        <v>1.0294489788967667</v>
      </c>
      <c r="AO338" s="586">
        <f t="shared" si="315"/>
        <v>0.23976648855284213</v>
      </c>
      <c r="AP338" s="584" t="str">
        <f t="shared" si="316"/>
        <v>1+0.00176867862237331i</v>
      </c>
      <c r="AQ338" s="585">
        <f t="shared" si="317"/>
        <v>1.0000015641108115</v>
      </c>
      <c r="AR338" s="586">
        <f t="shared" si="318"/>
        <v>1.7686767781024259E-3</v>
      </c>
      <c r="AS338" s="580" t="str">
        <f t="shared" si="319"/>
        <v>0.13906384714788-0.572875089883156i</v>
      </c>
      <c r="AT338" s="270">
        <f t="shared" si="320"/>
        <v>0.58951219002850408</v>
      </c>
      <c r="AU338" s="581">
        <f t="shared" si="321"/>
        <v>-1.3326553527250387</v>
      </c>
      <c r="AV338" s="580" t="str">
        <f t="shared" si="322"/>
        <v>-0.0162517028087833-0.113753775803406i</v>
      </c>
      <c r="AW338" s="270">
        <f t="shared" si="323"/>
        <v>-18.792931899554432</v>
      </c>
      <c r="AX338" s="581">
        <f t="shared" si="324"/>
        <v>-98.130676621898289</v>
      </c>
      <c r="AY338" s="299">
        <f t="shared" si="294"/>
        <v>81.869323378101711</v>
      </c>
      <c r="BB338" s="270">
        <f t="shared" si="273"/>
        <v>-44.590144201288702</v>
      </c>
      <c r="BC338" s="270">
        <f t="shared" si="274"/>
        <v>-76.355527256662768</v>
      </c>
      <c r="BD338" s="286"/>
      <c r="BE338" s="270">
        <f t="shared" si="325"/>
        <v>25.797212301734302</v>
      </c>
      <c r="BF338" s="581">
        <f t="shared" si="326"/>
        <v>-21.775149365235478</v>
      </c>
      <c r="BI338" s="286"/>
      <c r="BJ338" s="286"/>
      <c r="BL338" s="253">
        <f t="shared" si="295"/>
        <v>0</v>
      </c>
      <c r="BM338" s="253">
        <f t="shared" si="275"/>
        <v>0</v>
      </c>
      <c r="BN338" s="253">
        <f t="shared" si="296"/>
        <v>0</v>
      </c>
      <c r="BO338" s="253">
        <f t="shared" si="297"/>
        <v>0</v>
      </c>
    </row>
    <row r="339" spans="4:67" ht="13.6" thickBot="1" x14ac:dyDescent="0.25">
      <c r="D339" s="280">
        <v>25411.5</v>
      </c>
      <c r="E339" s="273" t="str">
        <f t="shared" si="276"/>
        <v>0.287397294180109i</v>
      </c>
      <c r="F339" s="579" t="str">
        <f t="shared" si="298"/>
        <v>0.002-0.0963554920421527i</v>
      </c>
      <c r="G339" s="270" t="str">
        <f t="shared" si="299"/>
        <v>0.002-0.0963554920421527i</v>
      </c>
      <c r="H339" s="271" t="str">
        <f t="shared" si="300"/>
        <v>0.00661559718243809-0.0959408266546646i</v>
      </c>
      <c r="I339" s="271" t="str">
        <f t="shared" si="301"/>
        <v>0.0166155971824381-0.0959408266546646i</v>
      </c>
      <c r="J339" s="270" t="str">
        <f t="shared" si="302"/>
        <v>0.00464289760098927-0.0483505079004375i</v>
      </c>
      <c r="K339" s="271" t="str">
        <f t="shared" si="277"/>
        <v>0.983693736717507-0.200584376172606i</v>
      </c>
      <c r="L339" s="580"/>
      <c r="M339" s="580" t="str">
        <f t="shared" si="278"/>
        <v>-0.310988742367726-61.5834683127033i</v>
      </c>
      <c r="N339" s="270" t="str">
        <f t="shared" si="279"/>
        <v>-6.89990822344246-46.1876012345275i</v>
      </c>
      <c r="O339" s="581" t="str">
        <f t="shared" si="280"/>
        <v>-5.17591341612047-22.7142993170213i</v>
      </c>
      <c r="P339" s="582" t="str">
        <f t="shared" si="281"/>
        <v>-2.26522954572995+0.119169764102612i</v>
      </c>
      <c r="Q339" s="583" t="str">
        <f t="shared" si="282"/>
        <v>-2.21347041156874+0.346312757272825i</v>
      </c>
      <c r="R339" s="581" t="str">
        <f t="shared" si="303"/>
        <v>-0.566788781513039-2.70964386534395i</v>
      </c>
      <c r="S339" s="253" t="str">
        <f t="shared" si="304"/>
        <v>50.8441174729027-8.39236490487727i</v>
      </c>
      <c r="T339" s="253" t="str">
        <f t="shared" si="305"/>
        <v>18.0846186099634-7.2773966401579i</v>
      </c>
      <c r="U339" s="253" t="str">
        <f t="shared" si="306"/>
        <v>-0.578558897629088-1.78319758388234i</v>
      </c>
      <c r="V339" s="582" t="str">
        <f t="shared" si="283"/>
        <v>6000</v>
      </c>
      <c r="W339" s="584" t="str">
        <f t="shared" si="284"/>
        <v>1+89425.9033964292i</v>
      </c>
      <c r="X339" s="585">
        <f t="shared" si="285"/>
        <v>89425.903402020427</v>
      </c>
      <c r="Y339" s="586">
        <f t="shared" si="286"/>
        <v>1.5707851443526515</v>
      </c>
      <c r="Z339" s="273" t="str">
        <f t="shared" si="287"/>
        <v>1+13.4118737284051i</v>
      </c>
      <c r="AA339" s="585">
        <f t="shared" si="288"/>
        <v>13.44910245728996</v>
      </c>
      <c r="AB339" s="586">
        <f t="shared" si="289"/>
        <v>1.4963732392536433</v>
      </c>
      <c r="AC339" s="584" t="str">
        <f t="shared" si="290"/>
        <v>1+0.648403169597555i</v>
      </c>
      <c r="AD339" s="585">
        <f t="shared" si="291"/>
        <v>1.1918165422346494</v>
      </c>
      <c r="AE339" s="586">
        <f t="shared" si="292"/>
        <v>0.57525184925726047</v>
      </c>
      <c r="AF339" s="580" t="str">
        <f t="shared" si="307"/>
        <v>0.602894839279488-0.458003515500016i</v>
      </c>
      <c r="AG339" s="270">
        <f t="shared" si="308"/>
        <v>0.75713235794028322</v>
      </c>
      <c r="AH339" s="581">
        <f t="shared" si="309"/>
        <v>-0.64966375435627099</v>
      </c>
      <c r="AI339" s="582" t="str">
        <f t="shared" si="293"/>
        <v>4000</v>
      </c>
      <c r="AJ339" s="584" t="str">
        <f t="shared" si="310"/>
        <v>1+7025.51307542102i</v>
      </c>
      <c r="AK339" s="585">
        <f t="shared" si="311"/>
        <v>7025.5131465901995</v>
      </c>
      <c r="AL339" s="586">
        <f t="shared" si="312"/>
        <v>1.5706539884371837</v>
      </c>
      <c r="AM339" s="273" t="str">
        <f t="shared" si="313"/>
        <v>1+0.245884351687427i</v>
      </c>
      <c r="AN339" s="585">
        <f t="shared" si="314"/>
        <v>1.0297859556260933</v>
      </c>
      <c r="AO339" s="586">
        <f t="shared" si="315"/>
        <v>0.24110137646744745</v>
      </c>
      <c r="AP339" s="584" t="str">
        <f t="shared" si="316"/>
        <v>1+0.0017789167656144i</v>
      </c>
      <c r="AQ339" s="585">
        <f t="shared" si="317"/>
        <v>1.0000015822711776</v>
      </c>
      <c r="AR339" s="586">
        <f t="shared" si="318"/>
        <v>1.7789148891306612E-3</v>
      </c>
      <c r="AS339" s="580" t="str">
        <f t="shared" si="319"/>
        <v>0.139062901194003-0.569580877815864i</v>
      </c>
      <c r="AT339" s="270">
        <f t="shared" si="320"/>
        <v>0.5863112371957262</v>
      </c>
      <c r="AU339" s="581">
        <f t="shared" si="321"/>
        <v>-1.3313315268588666</v>
      </c>
      <c r="AV339" s="580" t="str">
        <f t="shared" si="322"/>
        <v>-0.0163016643562679-0.113126688327479i</v>
      </c>
      <c r="AW339" s="270">
        <f t="shared" si="323"/>
        <v>-18.839440450860092</v>
      </c>
      <c r="AX339" s="581">
        <f t="shared" si="324"/>
        <v>-98.199930306899262</v>
      </c>
      <c r="AY339" s="299">
        <f t="shared" si="294"/>
        <v>81.800069693100738</v>
      </c>
      <c r="BB339" s="270">
        <f t="shared" si="273"/>
        <v>-44.637435641621181</v>
      </c>
      <c r="BC339" s="270">
        <f t="shared" si="274"/>
        <v>-76.27967762172085</v>
      </c>
      <c r="BD339" s="286"/>
      <c r="BE339" s="270">
        <f t="shared" si="325"/>
        <v>25.797995190761096</v>
      </c>
      <c r="BF339" s="581">
        <f t="shared" si="326"/>
        <v>-21.920252685178404</v>
      </c>
      <c r="BI339" s="286"/>
      <c r="BJ339" s="286"/>
      <c r="BL339" s="253">
        <f t="shared" si="295"/>
        <v>0</v>
      </c>
      <c r="BM339" s="253">
        <f t="shared" si="275"/>
        <v>0</v>
      </c>
      <c r="BN339" s="253">
        <f t="shared" si="296"/>
        <v>0</v>
      </c>
      <c r="BO339" s="253">
        <f t="shared" si="297"/>
        <v>0</v>
      </c>
    </row>
    <row r="340" spans="4:67" ht="13.6" thickBot="1" x14ac:dyDescent="0.25">
      <c r="D340" s="280">
        <v>25557.75</v>
      </c>
      <c r="E340" s="273" t="str">
        <f t="shared" si="276"/>
        <v>0.289051342712224i</v>
      </c>
      <c r="F340" s="579" t="str">
        <f t="shared" si="298"/>
        <v>0.002-0.0958041136652936i</v>
      </c>
      <c r="G340" s="270" t="str">
        <f t="shared" si="299"/>
        <v>0.002-0.0958041136652936i</v>
      </c>
      <c r="H340" s="271" t="str">
        <f t="shared" si="300"/>
        <v>0.00656302193431375-0.0953943370785233i</v>
      </c>
      <c r="I340" s="271" t="str">
        <f t="shared" si="301"/>
        <v>0.0165630219343137-0.0953943370785233i</v>
      </c>
      <c r="J340" s="270" t="str">
        <f t="shared" si="302"/>
        <v>0.00462956504888565-0.0480756122783259i</v>
      </c>
      <c r="K340" s="271" t="str">
        <f t="shared" si="277"/>
        <v>0.983505502763503-0.201738793071067i</v>
      </c>
      <c r="L340" s="580"/>
      <c r="M340" s="580" t="str">
        <f t="shared" si="278"/>
        <v>-0.309586792875963-61.158073197354i</v>
      </c>
      <c r="N340" s="270" t="str">
        <f t="shared" si="279"/>
        <v>-6.89885676132364-45.8685548980155i</v>
      </c>
      <c r="O340" s="581" t="str">
        <f t="shared" si="280"/>
        <v>-5.1667340848379-22.5539681190577i</v>
      </c>
      <c r="P340" s="582" t="str">
        <f t="shared" si="281"/>
        <v>-2.23709756718359+0.119315304222357i</v>
      </c>
      <c r="Q340" s="583" t="str">
        <f t="shared" si="282"/>
        <v>-2.18543022633522+0.344854985412934i</v>
      </c>
      <c r="R340" s="581" t="str">
        <f t="shared" si="303"/>
        <v>-0.56606508030707-2.69038852347397i</v>
      </c>
      <c r="S340" s="253" t="str">
        <f t="shared" si="304"/>
        <v>50.8313274805287-8.46284717418032i</v>
      </c>
      <c r="T340" s="253" t="str">
        <f t="shared" si="305"/>
        <v>18.067773409904-7.32379504770144i</v>
      </c>
      <c r="U340" s="253" t="str">
        <f t="shared" si="306"/>
        <v>-0.580069380281042-1.77162949446325i</v>
      </c>
      <c r="V340" s="582" t="str">
        <f t="shared" si="283"/>
        <v>6000</v>
      </c>
      <c r="W340" s="584" t="str">
        <f t="shared" si="284"/>
        <v>1+89940.5734620187i</v>
      </c>
      <c r="X340" s="585">
        <f t="shared" si="285"/>
        <v>89940.573467577939</v>
      </c>
      <c r="Y340" s="586">
        <f t="shared" si="286"/>
        <v>1.5707852083423288</v>
      </c>
      <c r="Z340" s="273" t="str">
        <f t="shared" si="287"/>
        <v>1+13.4890626599038i</v>
      </c>
      <c r="AA340" s="585">
        <f t="shared" si="288"/>
        <v>13.526078938214539</v>
      </c>
      <c r="AB340" s="586">
        <f t="shared" si="289"/>
        <v>1.4967975556582347</v>
      </c>
      <c r="AC340" s="584" t="str">
        <f t="shared" si="290"/>
        <v>1+0.652134903794813i</v>
      </c>
      <c r="AD340" s="585">
        <f t="shared" si="291"/>
        <v>1.1938508837989232</v>
      </c>
      <c r="AE340" s="586">
        <f t="shared" si="292"/>
        <v>0.57787456791599012</v>
      </c>
      <c r="AF340" s="580" t="str">
        <f t="shared" si="307"/>
        <v>0.600841898414796-0.458530683913424i</v>
      </c>
      <c r="AG340" s="270">
        <f t="shared" si="308"/>
        <v>0.75581834787256152</v>
      </c>
      <c r="AH340" s="581">
        <f t="shared" si="309"/>
        <v>-0.65186222060008392</v>
      </c>
      <c r="AI340" s="582" t="str">
        <f t="shared" si="293"/>
        <v>4000</v>
      </c>
      <c r="AJ340" s="584" t="str">
        <f t="shared" si="310"/>
        <v>1+7065.94678800314i</v>
      </c>
      <c r="AK340" s="585">
        <f t="shared" si="311"/>
        <v>7065.9468587650645</v>
      </c>
      <c r="AL340" s="586">
        <f t="shared" si="312"/>
        <v>1.5706548029448979</v>
      </c>
      <c r="AM340" s="273" t="str">
        <f t="shared" si="313"/>
        <v>1+0.247299482098236i</v>
      </c>
      <c r="AN340" s="585">
        <f t="shared" si="314"/>
        <v>1.0301247661550788</v>
      </c>
      <c r="AO340" s="586">
        <f t="shared" si="315"/>
        <v>0.24243538866213038</v>
      </c>
      <c r="AP340" s="584" t="str">
        <f t="shared" si="316"/>
        <v>1+0.0017891549088555i</v>
      </c>
      <c r="AQ340" s="585">
        <f t="shared" si="317"/>
        <v>1.0000016005363632</v>
      </c>
      <c r="AR340" s="586">
        <f t="shared" si="318"/>
        <v>1.7891529997859784E-3</v>
      </c>
      <c r="AS340" s="580" t="str">
        <f t="shared" si="319"/>
        <v>0.139061971317266-0.566324383198968i</v>
      </c>
      <c r="AT340" s="270">
        <f t="shared" si="320"/>
        <v>0.58314795624467008</v>
      </c>
      <c r="AU340" s="581">
        <f t="shared" si="321"/>
        <v>-1.3300085672825537</v>
      </c>
      <c r="AV340" s="580" t="str">
        <f t="shared" si="322"/>
        <v>-0.0163510352537024-0.112506820089996i</v>
      </c>
      <c r="AW340" s="270">
        <f t="shared" si="323"/>
        <v>-18.885647131687509</v>
      </c>
      <c r="AX340" s="581">
        <f t="shared" si="324"/>
        <v>-98.269113634471324</v>
      </c>
      <c r="AY340" s="299">
        <f t="shared" si="294"/>
        <v>81.730886365528676</v>
      </c>
      <c r="BB340" s="270">
        <f t="shared" si="273"/>
        <v>-44.684424842097698</v>
      </c>
      <c r="BC340" s="270">
        <f t="shared" si="274"/>
        <v>-76.203877621531717</v>
      </c>
      <c r="BD340" s="286"/>
      <c r="BE340" s="270">
        <f t="shared" si="325"/>
        <v>25.798777710410175</v>
      </c>
      <c r="BF340" s="581">
        <f t="shared" si="326"/>
        <v>-22.065236012939632</v>
      </c>
      <c r="BI340" s="286"/>
      <c r="BJ340" s="286"/>
      <c r="BL340" s="253">
        <f t="shared" si="295"/>
        <v>0</v>
      </c>
      <c r="BM340" s="253">
        <f t="shared" si="275"/>
        <v>0</v>
      </c>
      <c r="BN340" s="253">
        <f t="shared" si="296"/>
        <v>0</v>
      </c>
      <c r="BO340" s="253">
        <f t="shared" si="297"/>
        <v>0</v>
      </c>
    </row>
    <row r="341" spans="4:67" ht="13.6" thickBot="1" x14ac:dyDescent="0.25">
      <c r="D341" s="280">
        <v>25704</v>
      </c>
      <c r="E341" s="273" t="str">
        <f t="shared" si="276"/>
        <v>0.290705391244339i</v>
      </c>
      <c r="F341" s="579" t="str">
        <f t="shared" si="298"/>
        <v>0.002-0.0952590097272468i</v>
      </c>
      <c r="G341" s="270" t="str">
        <f t="shared" si="299"/>
        <v>0.002-0.0952590097272468i</v>
      </c>
      <c r="H341" s="271" t="str">
        <f t="shared" si="300"/>
        <v>0.00651133885182125-0.0948540238578778i</v>
      </c>
      <c r="I341" s="271" t="str">
        <f t="shared" si="301"/>
        <v>0.0165113388518212-0.0948540238578778i</v>
      </c>
      <c r="J341" s="270" t="str">
        <f t="shared" si="302"/>
        <v>0.00461645683385023-0.0478038476847479i</v>
      </c>
      <c r="K341" s="271" t="str">
        <f t="shared" si="277"/>
        <v>0.983316188581096-0.202893209969528i</v>
      </c>
      <c r="L341" s="580"/>
      <c r="M341" s="580" t="str">
        <f t="shared" si="278"/>
        <v>-0.308150784438539-60.7389205482208i</v>
      </c>
      <c r="N341" s="270" t="str">
        <f t="shared" si="279"/>
        <v>-6.89777975499557-45.5541904111656i</v>
      </c>
      <c r="O341" s="581" t="str">
        <f t="shared" si="280"/>
        <v>-5.15770402072793-22.3959743310947i</v>
      </c>
      <c r="P341" s="582" t="str">
        <f t="shared" si="281"/>
        <v>-2.20950888230571+0.119441459136606i</v>
      </c>
      <c r="Q341" s="583" t="str">
        <f t="shared" si="282"/>
        <v>-2.15793184209844+0.343401202447551i</v>
      </c>
      <c r="R341" s="581" t="str">
        <f t="shared" si="303"/>
        <v>-0.565352621725507-2.67141271227508i</v>
      </c>
      <c r="S341" s="253" t="str">
        <f t="shared" si="304"/>
        <v>50.8184225622621-8.53318382400103i</v>
      </c>
      <c r="T341" s="253" t="str">
        <f t="shared" si="305"/>
        <v>18.0508238915399-7.37011735932873i</v>
      </c>
      <c r="U341" s="253" t="str">
        <f t="shared" si="306"/>
        <v>-0.58155025692476-1.76018261156676i</v>
      </c>
      <c r="V341" s="582" t="str">
        <f t="shared" si="283"/>
        <v>6000</v>
      </c>
      <c r="W341" s="584" t="str">
        <f t="shared" si="284"/>
        <v>1+90455.2435276082i</v>
      </c>
      <c r="X341" s="585">
        <f t="shared" si="285"/>
        <v>90455.243533135799</v>
      </c>
      <c r="Y341" s="586">
        <f t="shared" si="286"/>
        <v>1.5707852716038324</v>
      </c>
      <c r="Z341" s="273" t="str">
        <f t="shared" si="287"/>
        <v>1+13.5662515914025i</v>
      </c>
      <c r="AA341" s="585">
        <f t="shared" si="288"/>
        <v>13.603057826872266</v>
      </c>
      <c r="AB341" s="586">
        <f t="shared" si="289"/>
        <v>1.4972170697754603</v>
      </c>
      <c r="AC341" s="584" t="str">
        <f t="shared" si="290"/>
        <v>1+0.655866637992072i</v>
      </c>
      <c r="AD341" s="585">
        <f t="shared" si="291"/>
        <v>1.1958934094772091</v>
      </c>
      <c r="AE341" s="586">
        <f t="shared" si="292"/>
        <v>0.58048834556033513</v>
      </c>
      <c r="AF341" s="580" t="str">
        <f t="shared" si="307"/>
        <v>0.598791229873607-0.459048388996592i</v>
      </c>
      <c r="AG341" s="270">
        <f t="shared" si="308"/>
        <v>0.75450404930252901</v>
      </c>
      <c r="AH341" s="581">
        <f t="shared" si="309"/>
        <v>-0.65405654738870678</v>
      </c>
      <c r="AI341" s="582" t="str">
        <f t="shared" si="293"/>
        <v>4000</v>
      </c>
      <c r="AJ341" s="584" t="str">
        <f t="shared" si="310"/>
        <v>1+7106.38050058525i</v>
      </c>
      <c r="AK341" s="585">
        <f t="shared" si="311"/>
        <v>7106.380570944556</v>
      </c>
      <c r="AL341" s="586">
        <f t="shared" si="312"/>
        <v>1.5706556081838798</v>
      </c>
      <c r="AM341" s="273" t="str">
        <f t="shared" si="313"/>
        <v>1+0.248714612509046i</v>
      </c>
      <c r="AN341" s="585">
        <f t="shared" si="314"/>
        <v>1.0304654086748981</v>
      </c>
      <c r="AO341" s="586">
        <f t="shared" si="315"/>
        <v>0.2437685212550515</v>
      </c>
      <c r="AP341" s="584" t="str">
        <f t="shared" si="316"/>
        <v>1+0.00179939305209659i</v>
      </c>
      <c r="AQ341" s="585">
        <f t="shared" si="317"/>
        <v>1.0000016189063674</v>
      </c>
      <c r="AR341" s="586">
        <f t="shared" si="318"/>
        <v>1.7993911100662111E-3</v>
      </c>
      <c r="AS341" s="580" t="str">
        <f t="shared" si="319"/>
        <v>0.139061057152151-0.563104962220992i</v>
      </c>
      <c r="AT341" s="270">
        <f t="shared" si="320"/>
        <v>0.58002170312340784</v>
      </c>
      <c r="AU341" s="581">
        <f t="shared" si="321"/>
        <v>-1.3286864780388947</v>
      </c>
      <c r="AV341" s="580" t="str">
        <f t="shared" si="322"/>
        <v>-0.0163998300436424-0.11189404816827i</v>
      </c>
      <c r="AW341" s="270">
        <f t="shared" si="323"/>
        <v>-18.931555193732343</v>
      </c>
      <c r="AX341" s="581">
        <f t="shared" si="324"/>
        <v>-98.33822863330623</v>
      </c>
      <c r="AY341" s="299">
        <f t="shared" si="294"/>
        <v>81.66177136669377</v>
      </c>
      <c r="BB341" s="270">
        <f t="shared" si="273"/>
        <v>-44.731115115969104</v>
      </c>
      <c r="BC341" s="270">
        <f t="shared" si="274"/>
        <v>-76.12812748773041</v>
      </c>
      <c r="BD341" s="286"/>
      <c r="BE341" s="270">
        <f t="shared" si="325"/>
        <v>25.799559922236778</v>
      </c>
      <c r="BF341" s="581">
        <f t="shared" si="326"/>
        <v>-22.210101145575802</v>
      </c>
      <c r="BI341" s="286"/>
      <c r="BJ341" s="286"/>
      <c r="BL341" s="253">
        <f t="shared" si="295"/>
        <v>0</v>
      </c>
      <c r="BM341" s="253">
        <f t="shared" si="275"/>
        <v>0</v>
      </c>
      <c r="BN341" s="253">
        <f t="shared" si="296"/>
        <v>0</v>
      </c>
      <c r="BO341" s="253">
        <f t="shared" si="297"/>
        <v>0</v>
      </c>
    </row>
    <row r="342" spans="4:67" ht="13.6" thickBot="1" x14ac:dyDescent="0.25">
      <c r="D342" s="280">
        <v>25853.75</v>
      </c>
      <c r="E342" s="273" t="str">
        <f t="shared" si="276"/>
        <v>0.29239902384389i</v>
      </c>
      <c r="F342" s="579" t="str">
        <f t="shared" si="298"/>
        <v>0.002-0.0947072508254766i</v>
      </c>
      <c r="G342" s="270" t="str">
        <f t="shared" si="299"/>
        <v>0.002-0.0947072508254766i</v>
      </c>
      <c r="H342" s="271" t="str">
        <f t="shared" si="300"/>
        <v>0.00645932241139158-0.0943070714201674i</v>
      </c>
      <c r="I342" s="271" t="str">
        <f t="shared" si="301"/>
        <v>0.0164593224113916-0.0943070714201674i</v>
      </c>
      <c r="J342" s="270" t="str">
        <f t="shared" si="302"/>
        <v>0.00460326207683966-0.0475287682693617i</v>
      </c>
      <c r="K342" s="271" t="str">
        <f t="shared" si="277"/>
        <v>0.983121224487702-0.204075253939063i</v>
      </c>
      <c r="L342" s="580"/>
      <c r="M342" s="580" t="str">
        <f t="shared" si="278"/>
        <v>-0.306648030563248-60.3160563505591i</v>
      </c>
      <c r="N342" s="270" t="str">
        <f t="shared" si="279"/>
        <v>-6.89665268958911-45.2370422629193i</v>
      </c>
      <c r="O342" s="581" t="str">
        <f t="shared" si="280"/>
        <v>-5.14860913151491-22.2365656089543i</v>
      </c>
      <c r="P342" s="582" t="str">
        <f t="shared" si="281"/>
        <v>-2.18180799868873+0.119551446400462i</v>
      </c>
      <c r="Q342" s="583" t="str">
        <f t="shared" si="282"/>
        <v>-2.13032190737358+0.341917102490005i</v>
      </c>
      <c r="R342" s="581" t="str">
        <f t="shared" si="303"/>
        <v>-0.564634542155359-2.65226574696387i</v>
      </c>
      <c r="S342" s="253" t="str">
        <f t="shared" si="304"/>
        <v>50.8050904169872-8.60505495391982i</v>
      </c>
      <c r="T342" s="253" t="str">
        <f t="shared" si="305"/>
        <v>18.0333609346026-7.41746980745129i</v>
      </c>
      <c r="U342" s="253" t="str">
        <f t="shared" si="306"/>
        <v>-0.583036562450651-1.74858528656832i</v>
      </c>
      <c r="V342" s="582" t="str">
        <f t="shared" si="283"/>
        <v>6000</v>
      </c>
      <c r="W342" s="584" t="str">
        <f t="shared" si="284"/>
        <v>1+90982.2304836562i</v>
      </c>
      <c r="X342" s="585">
        <f t="shared" si="285"/>
        <v>90982.230489151771</v>
      </c>
      <c r="Y342" s="586">
        <f t="shared" si="286"/>
        <v>1.5707853356376713</v>
      </c>
      <c r="Z342" s="273" t="str">
        <f t="shared" si="287"/>
        <v>1+13.6452877793815i</v>
      </c>
      <c r="AA342" s="585">
        <f t="shared" si="288"/>
        <v>13.681881397751484</v>
      </c>
      <c r="AB342" s="586">
        <f t="shared" si="289"/>
        <v>1.4976417320024071</v>
      </c>
      <c r="AC342" s="584" t="str">
        <f t="shared" si="290"/>
        <v>1+0.659687678648752i</v>
      </c>
      <c r="AD342" s="585">
        <f t="shared" si="291"/>
        <v>1.1979932526358315</v>
      </c>
      <c r="AE342" s="586">
        <f t="shared" si="292"/>
        <v>0.58315542117765462</v>
      </c>
      <c r="AF342" s="580" t="str">
        <f t="shared" si="307"/>
        <v>0.596693940523961-0.459568693276955i</v>
      </c>
      <c r="AG342" s="270">
        <f t="shared" si="308"/>
        <v>0.75315804616182658</v>
      </c>
      <c r="AH342" s="581">
        <f t="shared" si="309"/>
        <v>-0.65629902481291991</v>
      </c>
      <c r="AI342" s="582" t="str">
        <f t="shared" si="293"/>
        <v>4000</v>
      </c>
      <c r="AJ342" s="584" t="str">
        <f t="shared" si="310"/>
        <v>1+7147.78185757103i</v>
      </c>
      <c r="AK342" s="585">
        <f t="shared" si="311"/>
        <v>7147.7819275228003</v>
      </c>
      <c r="AL342" s="586">
        <f t="shared" si="312"/>
        <v>1.5706564232537139</v>
      </c>
      <c r="AM342" s="273" t="str">
        <f t="shared" si="313"/>
        <v>1+0.250163609288661i</v>
      </c>
      <c r="AN342" s="585">
        <f t="shared" si="314"/>
        <v>1.0308160997056313</v>
      </c>
      <c r="AO342" s="586">
        <f t="shared" si="315"/>
        <v>0.24513264241087138</v>
      </c>
      <c r="AP342" s="584" t="str">
        <f t="shared" si="316"/>
        <v>1+0.00180987621073149i</v>
      </c>
      <c r="AQ342" s="585">
        <f t="shared" si="317"/>
        <v>1.0000016378246079</v>
      </c>
      <c r="AR342" s="586">
        <f t="shared" si="318"/>
        <v>1.8098742345605589E-3</v>
      </c>
      <c r="AS342" s="580" t="str">
        <f t="shared" si="319"/>
        <v>0.139060137018772-0.55984625325244i</v>
      </c>
      <c r="AT342" s="270">
        <f t="shared" si="320"/>
        <v>0.5768583439532402</v>
      </c>
      <c r="AU342" s="581">
        <f t="shared" si="321"/>
        <v>-1.3273336550774042</v>
      </c>
      <c r="AV342" s="580" t="str">
        <f t="shared" si="322"/>
        <v>-0.0164492103783989-0.11127383920543i</v>
      </c>
      <c r="AW342" s="270">
        <f t="shared" si="323"/>
        <v>-18.978255826105645</v>
      </c>
      <c r="AX342" s="581">
        <f t="shared" si="324"/>
        <v>-98.40892893967262</v>
      </c>
      <c r="AY342" s="299">
        <f t="shared" si="294"/>
        <v>81.59107106032738</v>
      </c>
      <c r="BB342" s="270">
        <f t="shared" ref="BB342:BB405" si="327">20*LOG10(IMABS(IMPRODUCT(COMPLEX($B$15,0),AS342)))</f>
        <v>-44.778616422931883</v>
      </c>
      <c r="BC342" s="270">
        <f t="shared" ref="BC342:BC405" si="328">180/PI()*IMARGUMENT(IMPRODUCT(COMPLEX($B$15,0),AS342))</f>
        <v>-76.050616441608611</v>
      </c>
      <c r="BD342" s="286"/>
      <c r="BE342" s="270">
        <f t="shared" si="325"/>
        <v>25.800360596826216</v>
      </c>
      <c r="BF342" s="581">
        <f t="shared" si="326"/>
        <v>-22.358312498064059</v>
      </c>
      <c r="BI342" s="286"/>
      <c r="BJ342" s="286"/>
      <c r="BL342" s="253">
        <f t="shared" si="295"/>
        <v>0</v>
      </c>
      <c r="BM342" s="253">
        <f t="shared" si="275"/>
        <v>0</v>
      </c>
      <c r="BN342" s="253">
        <f t="shared" si="296"/>
        <v>0</v>
      </c>
      <c r="BO342" s="253">
        <f t="shared" si="297"/>
        <v>0</v>
      </c>
    </row>
    <row r="343" spans="4:67" ht="13.6" thickBot="1" x14ac:dyDescent="0.25">
      <c r="D343" s="280">
        <v>26003.5</v>
      </c>
      <c r="E343" s="273" t="str">
        <f t="shared" si="276"/>
        <v>0.29409265644344i</v>
      </c>
      <c r="F343" s="579" t="str">
        <f t="shared" si="298"/>
        <v>0.002-0.0941618469063455i</v>
      </c>
      <c r="G343" s="270" t="str">
        <f t="shared" si="299"/>
        <v>0.002-0.0941618469063455i</v>
      </c>
      <c r="H343" s="271" t="str">
        <f t="shared" si="300"/>
        <v>0.00640819939905165-0.0937663765843821i</v>
      </c>
      <c r="I343" s="271" t="str">
        <f t="shared" si="301"/>
        <v>0.0164081993990517-0.0937663765843821i</v>
      </c>
      <c r="J343" s="270" t="str">
        <f t="shared" si="302"/>
        <v>0.00459029191725254-0.0472568603164285i</v>
      </c>
      <c r="K343" s="271" t="str">
        <f t="shared" si="277"/>
        <v>0.982925127843994-0.205257297908598i</v>
      </c>
      <c r="L343" s="580"/>
      <c r="M343" s="580" t="str">
        <f t="shared" si="278"/>
        <v>-0.305115307680622-59.8994392582483i</v>
      </c>
      <c r="N343" s="270" t="str">
        <f t="shared" si="279"/>
        <v>-6.89550314742714-44.9245794436862i</v>
      </c>
      <c r="O343" s="581" t="str">
        <f t="shared" si="280"/>
        <v>-5.13966394204721-22.079495790682i</v>
      </c>
      <c r="P343" s="582" t="str">
        <f t="shared" si="281"/>
        <v>-2.1546469479076+0.119642895143135i</v>
      </c>
      <c r="Q343" s="583" t="str">
        <f t="shared" si="282"/>
        <v>-2.10325030848712+0.340437853049957i</v>
      </c>
      <c r="R343" s="581" t="str">
        <f t="shared" si="303"/>
        <v>-0.563927806729864-2.63339849982856i</v>
      </c>
      <c r="S343" s="253" t="str">
        <f t="shared" si="304"/>
        <v>50.7916391670097-8.67677762407857i</v>
      </c>
      <c r="T343" s="253" t="str">
        <f t="shared" si="305"/>
        <v>18.0157891779388-7.46474330795963i</v>
      </c>
      <c r="U343" s="253" t="str">
        <f t="shared" si="306"/>
        <v>-0.584493162736378-1.73711083610359i</v>
      </c>
      <c r="V343" s="582" t="str">
        <f t="shared" si="283"/>
        <v>6000</v>
      </c>
      <c r="W343" s="584" t="str">
        <f t="shared" si="284"/>
        <v>1+91509.2174397042i</v>
      </c>
      <c r="X343" s="585">
        <f t="shared" si="285"/>
        <v>91509.217445168135</v>
      </c>
      <c r="Y343" s="586">
        <f t="shared" si="286"/>
        <v>1.5707853989339888</v>
      </c>
      <c r="Z343" s="273" t="str">
        <f t="shared" si="287"/>
        <v>1+13.7243239673605i</v>
      </c>
      <c r="AA343" s="585">
        <f t="shared" si="288"/>
        <v>13.76070740772675</v>
      </c>
      <c r="AB343" s="586">
        <f t="shared" si="289"/>
        <v>1.4980615290851393</v>
      </c>
      <c r="AC343" s="584" t="str">
        <f t="shared" si="290"/>
        <v>1+0.663508719305432i</v>
      </c>
      <c r="AD343" s="585">
        <f t="shared" si="291"/>
        <v>1.200101587614288</v>
      </c>
      <c r="AE343" s="586">
        <f t="shared" si="292"/>
        <v>0.58581314462354883</v>
      </c>
      <c r="AF343" s="580" t="str">
        <f t="shared" si="307"/>
        <v>0.594599235984673-0.460079109409817i</v>
      </c>
      <c r="AG343" s="270">
        <f t="shared" si="308"/>
        <v>0.75181183706356158</v>
      </c>
      <c r="AH343" s="581">
        <f t="shared" si="309"/>
        <v>-0.6585370144723981</v>
      </c>
      <c r="AI343" s="582" t="str">
        <f t="shared" si="293"/>
        <v>4000</v>
      </c>
      <c r="AJ343" s="584" t="str">
        <f t="shared" si="310"/>
        <v>1+7189.18321455681i</v>
      </c>
      <c r="AK343" s="585">
        <f t="shared" si="311"/>
        <v>7189.1832841057394</v>
      </c>
      <c r="AL343" s="586">
        <f t="shared" si="312"/>
        <v>1.5706572289358345</v>
      </c>
      <c r="AM343" s="273" t="str">
        <f t="shared" si="313"/>
        <v>1+0.251612606068276i</v>
      </c>
      <c r="AN343" s="585">
        <f t="shared" si="314"/>
        <v>1.0311687075995224</v>
      </c>
      <c r="AO343" s="586">
        <f t="shared" si="315"/>
        <v>0.2464958331801024</v>
      </c>
      <c r="AP343" s="584" t="str">
        <f t="shared" si="316"/>
        <v>1+0.00182035936936639i</v>
      </c>
      <c r="AQ343" s="585">
        <f t="shared" si="317"/>
        <v>1.0000016568527441</v>
      </c>
      <c r="AR343" s="586">
        <f t="shared" si="318"/>
        <v>1.820357358657111E-3</v>
      </c>
      <c r="AS343" s="580" t="str">
        <f t="shared" si="319"/>
        <v>0.139059232615144-0.556625093830448i</v>
      </c>
      <c r="AT343" s="270">
        <f t="shared" si="320"/>
        <v>0.57373248579566039</v>
      </c>
      <c r="AU343" s="581">
        <f t="shared" si="321"/>
        <v>-1.3259817531143883</v>
      </c>
      <c r="AV343" s="580" t="str">
        <f t="shared" si="322"/>
        <v>-0.0164980162617285-0.110660818176737i</v>
      </c>
      <c r="AW343" s="270">
        <f t="shared" si="323"/>
        <v>-19.024650104524703</v>
      </c>
      <c r="AX343" s="581">
        <f t="shared" si="324"/>
        <v>-98.479561778120953</v>
      </c>
      <c r="AY343" s="299">
        <f t="shared" si="294"/>
        <v>81.520438221879047</v>
      </c>
      <c r="BB343" s="270">
        <f t="shared" si="327"/>
        <v>-44.825811177273053</v>
      </c>
      <c r="BC343" s="270">
        <f t="shared" si="328"/>
        <v>-75.973158164812347</v>
      </c>
      <c r="BD343" s="286"/>
      <c r="BE343" s="270">
        <f t="shared" si="325"/>
        <v>25.801161072748311</v>
      </c>
      <c r="BF343" s="581">
        <f t="shared" si="326"/>
        <v>-22.506403613308649</v>
      </c>
      <c r="BI343" s="286"/>
      <c r="BJ343" s="286"/>
      <c r="BL343" s="253">
        <f t="shared" si="295"/>
        <v>0</v>
      </c>
      <c r="BM343" s="253">
        <f t="shared" si="275"/>
        <v>0</v>
      </c>
      <c r="BN343" s="253">
        <f t="shared" si="296"/>
        <v>0</v>
      </c>
      <c r="BO343" s="253">
        <f t="shared" si="297"/>
        <v>0</v>
      </c>
    </row>
    <row r="344" spans="4:67" ht="13.6" thickBot="1" x14ac:dyDescent="0.25">
      <c r="D344" s="280">
        <v>26153.25</v>
      </c>
      <c r="E344" s="273" t="str">
        <f t="shared" si="276"/>
        <v>0.29578628904299i</v>
      </c>
      <c r="F344" s="579" t="str">
        <f t="shared" si="298"/>
        <v>0.002-0.0936226888065219i</v>
      </c>
      <c r="G344" s="270" t="str">
        <f t="shared" si="299"/>
        <v>0.002-0.0936226888065219i</v>
      </c>
      <c r="H344" s="271" t="str">
        <f t="shared" si="300"/>
        <v>0.00635794948556074-0.0932318328106441i</v>
      </c>
      <c r="I344" s="271" t="str">
        <f t="shared" si="301"/>
        <v>0.0163579494855607-0.0932318328106441i</v>
      </c>
      <c r="J344" s="270" t="str">
        <f t="shared" si="302"/>
        <v>0.00457754121634978-0.0469880694646927i</v>
      </c>
      <c r="K344" s="271" t="str">
        <f t="shared" si="277"/>
        <v>0.982727898649971-0.206439341878134i</v>
      </c>
      <c r="L344" s="580"/>
      <c r="M344" s="580" t="str">
        <f t="shared" si="278"/>
        <v>-0.303555262973312-59.4889256849381i</v>
      </c>
      <c r="N344" s="270" t="str">
        <f t="shared" si="279"/>
        <v>-6.89433311389665-44.6166942637036i</v>
      </c>
      <c r="O344" s="581" t="str">
        <f t="shared" si="280"/>
        <v>-5.1308651450847-21.9247110010914i</v>
      </c>
      <c r="P344" s="582" t="str">
        <f t="shared" si="281"/>
        <v>-2.12801142333597+0.119716646339127i</v>
      </c>
      <c r="Q344" s="583" t="str">
        <f t="shared" si="282"/>
        <v>-2.07670277188512+0.338963756350041i</v>
      </c>
      <c r="R344" s="581" t="str">
        <f t="shared" si="303"/>
        <v>-0.563232197640423-2.61480453195055i</v>
      </c>
      <c r="S344" s="253" t="str">
        <f t="shared" si="304"/>
        <v>50.7780694845023-8.74835389104221i</v>
      </c>
      <c r="T344" s="253" t="str">
        <f t="shared" si="305"/>
        <v>17.9981089026462-7.51193826116238i</v>
      </c>
      <c r="U344" s="253" t="str">
        <f t="shared" si="306"/>
        <v>-0.585920704809926-1.7257572041224i</v>
      </c>
      <c r="V344" s="582" t="str">
        <f t="shared" si="283"/>
        <v>6000</v>
      </c>
      <c r="W344" s="584" t="str">
        <f t="shared" si="284"/>
        <v>1+92036.2043957527i</v>
      </c>
      <c r="X344" s="585">
        <f t="shared" si="285"/>
        <v>92036.204401185343</v>
      </c>
      <c r="Y344" s="586">
        <f t="shared" si="286"/>
        <v>1.570785461505454</v>
      </c>
      <c r="Z344" s="273" t="str">
        <f t="shared" si="287"/>
        <v>1+13.8033601553396i</v>
      </c>
      <c r="AA344" s="585">
        <f t="shared" si="288"/>
        <v>13.839535815120998</v>
      </c>
      <c r="AB344" s="586">
        <f t="shared" si="289"/>
        <v>1.4984765440083256</v>
      </c>
      <c r="AC344" s="584" t="str">
        <f t="shared" si="290"/>
        <v>1+0.667329759962116i</v>
      </c>
      <c r="AD344" s="585">
        <f t="shared" si="291"/>
        <v>1.2022183697361704</v>
      </c>
      <c r="AE344" s="586">
        <f t="shared" si="292"/>
        <v>0.58846152765395909</v>
      </c>
      <c r="AF344" s="580" t="str">
        <f t="shared" si="307"/>
        <v>0.592507216088306-0.46057965764476i</v>
      </c>
      <c r="AG344" s="270">
        <f t="shared" si="308"/>
        <v>0.75046547032683575</v>
      </c>
      <c r="AH344" s="581">
        <f t="shared" si="309"/>
        <v>-0.66077044515108796</v>
      </c>
      <c r="AI344" s="582" t="str">
        <f t="shared" si="293"/>
        <v>4000</v>
      </c>
      <c r="AJ344" s="584" t="str">
        <f t="shared" si="310"/>
        <v>1+7230.58457154263i</v>
      </c>
      <c r="AK344" s="585">
        <f t="shared" si="311"/>
        <v>7230.5846406933324</v>
      </c>
      <c r="AL344" s="586">
        <f t="shared" si="312"/>
        <v>1.5706580253914997</v>
      </c>
      <c r="AM344" s="273" t="str">
        <f t="shared" si="313"/>
        <v>1+0.253061602847892i</v>
      </c>
      <c r="AN344" s="585">
        <f t="shared" si="314"/>
        <v>1.0315232303908353</v>
      </c>
      <c r="AO344" s="586">
        <f t="shared" si="315"/>
        <v>0.2478580894530566</v>
      </c>
      <c r="AP344" s="584" t="str">
        <f t="shared" si="316"/>
        <v>1+0.0018308425280013i</v>
      </c>
      <c r="AQ344" s="585">
        <f t="shared" si="317"/>
        <v>1.0000016759907766</v>
      </c>
      <c r="AR344" s="586">
        <f t="shared" si="318"/>
        <v>1.8308404823535729E-3</v>
      </c>
      <c r="AS344" s="580" t="str">
        <f t="shared" si="319"/>
        <v>0.139058343581336-0.553440838944072i</v>
      </c>
      <c r="AT344" s="270">
        <f t="shared" si="320"/>
        <v>0.57064348338582049</v>
      </c>
      <c r="AU344" s="581">
        <f t="shared" si="321"/>
        <v>-1.3246307764207959</v>
      </c>
      <c r="AV344" s="580" t="str">
        <f t="shared" si="322"/>
        <v>-0.016546262017553-0.110054861821698i</v>
      </c>
      <c r="AW344" s="270">
        <f t="shared" si="323"/>
        <v>-19.070741348624992</v>
      </c>
      <c r="AX344" s="581">
        <f t="shared" si="324"/>
        <v>-98.550129192588287</v>
      </c>
      <c r="AY344" s="299">
        <f t="shared" si="294"/>
        <v>81.449870807411713</v>
      </c>
      <c r="BB344" s="270">
        <f t="shared" si="327"/>
        <v>-44.872702758205932</v>
      </c>
      <c r="BC344" s="270">
        <f t="shared" si="328"/>
        <v>-75.895752902048969</v>
      </c>
      <c r="BD344" s="286"/>
      <c r="BE344" s="270">
        <f t="shared" si="325"/>
        <v>25.801961409580937</v>
      </c>
      <c r="BF344" s="581">
        <f t="shared" si="326"/>
        <v>-22.65437629053935</v>
      </c>
      <c r="BI344" s="286"/>
      <c r="BJ344" s="286"/>
      <c r="BL344" s="253">
        <f t="shared" si="295"/>
        <v>0</v>
      </c>
      <c r="BM344" s="253">
        <f t="shared" si="275"/>
        <v>0</v>
      </c>
      <c r="BN344" s="253">
        <f t="shared" si="296"/>
        <v>0</v>
      </c>
      <c r="BO344" s="253">
        <f t="shared" si="297"/>
        <v>0</v>
      </c>
    </row>
    <row r="345" spans="4:67" ht="13.6" thickBot="1" x14ac:dyDescent="0.25">
      <c r="D345" s="280">
        <v>26303</v>
      </c>
      <c r="E345" s="273" t="str">
        <f t="shared" si="276"/>
        <v>0.29747992164254i</v>
      </c>
      <c r="F345" s="579" t="str">
        <f t="shared" si="298"/>
        <v>0.002-0.0930896698486545i</v>
      </c>
      <c r="G345" s="270" t="str">
        <f t="shared" si="299"/>
        <v>0.002-0.0930896698486545i</v>
      </c>
      <c r="H345" s="271" t="str">
        <f t="shared" si="300"/>
        <v>0.00630855291621123-0.0927033359585993i</v>
      </c>
      <c r="I345" s="271" t="str">
        <f t="shared" si="301"/>
        <v>0.0163085529162112-0.0927033359585993i</v>
      </c>
      <c r="J345" s="270" t="str">
        <f t="shared" si="302"/>
        <v>0.00456500498110518-0.0467223425874673i</v>
      </c>
      <c r="K345" s="271" t="str">
        <f t="shared" si="277"/>
        <v>0.982529536905634-0.207621385847669i</v>
      </c>
      <c r="L345" s="580"/>
      <c r="M345" s="580" t="str">
        <f t="shared" si="278"/>
        <v>-0.301970384789877-59.0843765287128i</v>
      </c>
      <c r="N345" s="270" t="str">
        <f t="shared" si="279"/>
        <v>-6.89314445525908-44.3132823965346i</v>
      </c>
      <c r="O345" s="581" t="str">
        <f t="shared" si="280"/>
        <v>-5.12220951873712-21.7721590515033i</v>
      </c>
      <c r="P345" s="582" t="str">
        <f t="shared" si="281"/>
        <v>-2.10188760007981+0.119773501874214i</v>
      </c>
      <c r="Q345" s="583" t="str">
        <f t="shared" si="282"/>
        <v>-2.05066550489244+0.337495092389247i</v>
      </c>
      <c r="R345" s="581" t="str">
        <f t="shared" si="303"/>
        <v>-0.562547501296554-2.59647760581042i</v>
      </c>
      <c r="S345" s="253" t="str">
        <f t="shared" si="304"/>
        <v>50.7643820224187-8.81978576285677i</v>
      </c>
      <c r="T345" s="253" t="str">
        <f t="shared" si="305"/>
        <v>17.980320384738-7.55905505332492i</v>
      </c>
      <c r="U345" s="253" t="str">
        <f t="shared" si="306"/>
        <v>-0.587319817540376-1.71452238007007i</v>
      </c>
      <c r="V345" s="582" t="str">
        <f t="shared" si="283"/>
        <v>6000</v>
      </c>
      <c r="W345" s="584" t="str">
        <f t="shared" si="284"/>
        <v>1+92563.1913518007i</v>
      </c>
      <c r="X345" s="585">
        <f t="shared" si="285"/>
        <v>92563.19135720242</v>
      </c>
      <c r="Y345" s="586">
        <f t="shared" si="286"/>
        <v>1.570785523364447</v>
      </c>
      <c r="Z345" s="273" t="str">
        <f t="shared" si="287"/>
        <v>1+13.8823963433186i</v>
      </c>
      <c r="AA345" s="585">
        <f t="shared" si="288"/>
        <v>13.918366579199789</v>
      </c>
      <c r="AB345" s="586">
        <f t="shared" si="289"/>
        <v>1.4988868578832772</v>
      </c>
      <c r="AC345" s="584" t="str">
        <f t="shared" si="290"/>
        <v>1+0.671150800618795i</v>
      </c>
      <c r="AD345" s="585">
        <f t="shared" si="291"/>
        <v>1.2043435544607899</v>
      </c>
      <c r="AE345" s="586">
        <f t="shared" si="292"/>
        <v>0.5911005824664356</v>
      </c>
      <c r="AF345" s="580" t="str">
        <f t="shared" si="307"/>
        <v>0.590417978947192-0.461070360333464i</v>
      </c>
      <c r="AG345" s="270">
        <f t="shared" si="308"/>
        <v>0.74911899391359527</v>
      </c>
      <c r="AH345" s="581">
        <f t="shared" si="309"/>
        <v>-0.66299924794760523</v>
      </c>
      <c r="AI345" s="582" t="str">
        <f t="shared" si="293"/>
        <v>4000</v>
      </c>
      <c r="AJ345" s="584" t="str">
        <f t="shared" si="310"/>
        <v>1+7271.98592852841i</v>
      </c>
      <c r="AK345" s="585">
        <f t="shared" si="311"/>
        <v>7271.9859972854192</v>
      </c>
      <c r="AL345" s="586">
        <f t="shared" si="312"/>
        <v>1.5706588127782959</v>
      </c>
      <c r="AM345" s="273" t="str">
        <f t="shared" si="313"/>
        <v>1+0.254510599627507i</v>
      </c>
      <c r="AN345" s="585">
        <f t="shared" si="314"/>
        <v>1.0318796661058658</v>
      </c>
      <c r="AO345" s="586">
        <f t="shared" si="315"/>
        <v>0.24921940713954932</v>
      </c>
      <c r="AP345" s="584" t="str">
        <f t="shared" si="316"/>
        <v>1+0.0018413256866362i</v>
      </c>
      <c r="AQ345" s="585">
        <f t="shared" si="317"/>
        <v>1.0000016952387052</v>
      </c>
      <c r="AR345" s="586">
        <f t="shared" si="318"/>
        <v>1.8413236056476208E-3</v>
      </c>
      <c r="AS345" s="580" t="str">
        <f t="shared" si="319"/>
        <v>0.139057469567634-0.55029285827124i</v>
      </c>
      <c r="AT345" s="270">
        <f t="shared" si="320"/>
        <v>0.56759070614914453</v>
      </c>
      <c r="AU345" s="581">
        <f t="shared" si="321"/>
        <v>-1.3232807292443944</v>
      </c>
      <c r="AV345" s="580" t="str">
        <f t="shared" si="322"/>
        <v>-0.0165939615640682-0.109455849651879i</v>
      </c>
      <c r="AW345" s="270">
        <f t="shared" si="323"/>
        <v>-19.116532822879233</v>
      </c>
      <c r="AX345" s="581">
        <f t="shared" si="324"/>
        <v>-98.620633184253819</v>
      </c>
      <c r="AY345" s="299">
        <f t="shared" si="294"/>
        <v>81.379366815746181</v>
      </c>
      <c r="BB345" s="270">
        <f t="shared" si="327"/>
        <v>-44.919294487729864</v>
      </c>
      <c r="BC345" s="270">
        <f t="shared" si="328"/>
        <v>-75.818400896697611</v>
      </c>
      <c r="BD345" s="286"/>
      <c r="BE345" s="270">
        <f t="shared" si="325"/>
        <v>25.802761664850642</v>
      </c>
      <c r="BF345" s="581">
        <f t="shared" si="326"/>
        <v>-22.802232287556183</v>
      </c>
      <c r="BI345" s="286"/>
      <c r="BJ345" s="286"/>
      <c r="BL345" s="253">
        <f t="shared" si="295"/>
        <v>0</v>
      </c>
      <c r="BM345" s="253">
        <f t="shared" si="275"/>
        <v>0</v>
      </c>
      <c r="BN345" s="253">
        <f t="shared" si="296"/>
        <v>0</v>
      </c>
      <c r="BO345" s="253">
        <f t="shared" si="297"/>
        <v>0</v>
      </c>
    </row>
    <row r="346" spans="4:67" ht="13.6" thickBot="1" x14ac:dyDescent="0.25">
      <c r="D346" s="280">
        <v>26456</v>
      </c>
      <c r="E346" s="273" t="str">
        <f t="shared" si="276"/>
        <v>0.299210310876138i</v>
      </c>
      <c r="F346" s="579" t="str">
        <f t="shared" si="298"/>
        <v>0.002-0.0925513148635153i</v>
      </c>
      <c r="G346" s="270" t="str">
        <f t="shared" si="299"/>
        <v>0.002-0.0925513148635153i</v>
      </c>
      <c r="H346" s="271" t="str">
        <f t="shared" si="300"/>
        <v>0.00625894565672597-0.0921695085298908i</v>
      </c>
      <c r="I346" s="271" t="str">
        <f t="shared" si="301"/>
        <v>0.016258945656726-0.0921695085298908i</v>
      </c>
      <c r="J346" s="270" t="str">
        <f t="shared" si="302"/>
        <v>0.00455241312508676-0.0464539591133946i</v>
      </c>
      <c r="K346" s="271" t="str">
        <f t="shared" si="277"/>
        <v>0.98232570046211-0.208829083526059i</v>
      </c>
      <c r="L346" s="580"/>
      <c r="M346" s="580" t="str">
        <f t="shared" si="278"/>
        <v>-0.300327894951432-58.6770672993061i</v>
      </c>
      <c r="N346" s="270" t="str">
        <f t="shared" si="279"/>
        <v>-6.89191258788024-44.0078004744796i</v>
      </c>
      <c r="O346" s="581" t="str">
        <f t="shared" si="280"/>
        <v>-5.11351064107347-21.6185497502075i</v>
      </c>
      <c r="P346" s="582" t="str">
        <f t="shared" si="281"/>
        <v>-2.07571139723392+0.119814937084258i</v>
      </c>
      <c r="Q346" s="583" t="str">
        <f t="shared" si="282"/>
        <v>-2.02457629082319+0.336000434586333i</v>
      </c>
      <c r="R346" s="581" t="str">
        <f t="shared" si="303"/>
        <v>-0.561858997855412-2.57802244499742i</v>
      </c>
      <c r="S346" s="253" t="str">
        <f t="shared" si="304"/>
        <v>50.7502765218393-8.89262081871307i</v>
      </c>
      <c r="T346" s="253" t="str">
        <f t="shared" si="305"/>
        <v>17.9620342956468-7.60711407720862i</v>
      </c>
      <c r="U346" s="253" t="str">
        <f t="shared" si="306"/>
        <v>-0.58872056928643-1.70316438684058i</v>
      </c>
      <c r="V346" s="582" t="str">
        <f t="shared" si="283"/>
        <v>6000</v>
      </c>
      <c r="W346" s="584" t="str">
        <f t="shared" si="284"/>
        <v>1+93101.6154204172i</v>
      </c>
      <c r="X346" s="585">
        <f t="shared" si="285"/>
        <v>93101.615425787691</v>
      </c>
      <c r="Y346" s="586">
        <f t="shared" si="286"/>
        <v>1.5707855858427076</v>
      </c>
      <c r="Z346" s="273" t="str">
        <f t="shared" si="287"/>
        <v>1+13.9631478408864i</v>
      </c>
      <c r="AA346" s="585">
        <f t="shared" si="288"/>
        <v>13.998910587129648</v>
      </c>
      <c r="AB346" s="586">
        <f t="shared" si="289"/>
        <v>1.4993013040120335</v>
      </c>
      <c r="AC346" s="584" t="str">
        <f t="shared" si="290"/>
        <v>1+0.67505476870208i</v>
      </c>
      <c r="AD346" s="585">
        <f t="shared" si="291"/>
        <v>1.2065234936574665</v>
      </c>
      <c r="AE346" s="586">
        <f t="shared" si="292"/>
        <v>0.59378729131265351</v>
      </c>
      <c r="AF346" s="580" t="str">
        <f t="shared" si="307"/>
        <v>0.588286373706001-0.461561569655359i</v>
      </c>
      <c r="AG346" s="270">
        <f t="shared" si="308"/>
        <v>0.74774323137750676</v>
      </c>
      <c r="AH346" s="581">
        <f t="shared" si="309"/>
        <v>-0.66527157314332674</v>
      </c>
      <c r="AI346" s="582" t="str">
        <f t="shared" si="293"/>
        <v>4000</v>
      </c>
      <c r="AJ346" s="584" t="str">
        <f t="shared" si="310"/>
        <v>1+7314.28581246044i</v>
      </c>
      <c r="AK346" s="585">
        <f t="shared" si="311"/>
        <v>7314.2858808198134</v>
      </c>
      <c r="AL346" s="586">
        <f t="shared" si="312"/>
        <v>1.5706596080475836</v>
      </c>
      <c r="AM346" s="273" t="str">
        <f t="shared" si="313"/>
        <v>1+0.255991043749584i</v>
      </c>
      <c r="AN346" s="585">
        <f t="shared" si="314"/>
        <v>1.0322458110740877</v>
      </c>
      <c r="AO346" s="586">
        <f t="shared" si="315"/>
        <v>0.25060929568644369</v>
      </c>
      <c r="AP346" s="584" t="str">
        <f t="shared" si="316"/>
        <v>1+0.00185203635956534i</v>
      </c>
      <c r="AQ346" s="585">
        <f t="shared" si="317"/>
        <v>1.0000017150178679</v>
      </c>
      <c r="AR346" s="586">
        <f t="shared" si="318"/>
        <v>1.8520342420509162E-3</v>
      </c>
      <c r="AS346" s="580" t="str">
        <f t="shared" si="319"/>
        <v>0.139056591744498-0.547113380346932i</v>
      </c>
      <c r="AT346" s="270">
        <f t="shared" si="320"/>
        <v>0.564508446936131</v>
      </c>
      <c r="AU346" s="581">
        <f t="shared" si="321"/>
        <v>-1.3219023466031907</v>
      </c>
      <c r="AV346" s="580" t="str">
        <f t="shared" si="322"/>
        <v>-0.0166421462751591-0.108850886579871i</v>
      </c>
      <c r="AW346" s="270">
        <f t="shared" si="323"/>
        <v>-19.163011842360778</v>
      </c>
      <c r="AX346" s="581">
        <f t="shared" si="324"/>
        <v>-98.692603848447661</v>
      </c>
      <c r="AY346" s="299">
        <f t="shared" si="294"/>
        <v>81.307396151552339</v>
      </c>
      <c r="BB346" s="270">
        <f t="shared" si="327"/>
        <v>-44.966591103821742</v>
      </c>
      <c r="BC346" s="270">
        <f t="shared" si="328"/>
        <v>-75.739425388802545</v>
      </c>
      <c r="BD346" s="286"/>
      <c r="BE346" s="270">
        <f t="shared" si="325"/>
        <v>25.803579261460939</v>
      </c>
      <c r="BF346" s="581">
        <f t="shared" si="326"/>
        <v>-22.953178459645176</v>
      </c>
      <c r="BI346" s="286"/>
      <c r="BJ346" s="286"/>
      <c r="BL346" s="253">
        <f t="shared" si="295"/>
        <v>0</v>
      </c>
      <c r="BM346" s="253">
        <f t="shared" ref="BM346:BM409" si="329">IF(BL346&gt;0,AY346,0)</f>
        <v>0</v>
      </c>
      <c r="BN346" s="253">
        <f t="shared" si="296"/>
        <v>0</v>
      </c>
      <c r="BO346" s="253">
        <f t="shared" si="297"/>
        <v>0</v>
      </c>
    </row>
    <row r="347" spans="4:67" ht="13.6" thickBot="1" x14ac:dyDescent="0.25">
      <c r="D347" s="280">
        <v>26609</v>
      </c>
      <c r="E347" s="273" t="str">
        <f t="shared" si="276"/>
        <v>0.300940700109735i</v>
      </c>
      <c r="F347" s="579" t="str">
        <f t="shared" si="298"/>
        <v>0.002-0.0920191508898929i</v>
      </c>
      <c r="G347" s="270" t="str">
        <f t="shared" si="299"/>
        <v>0.002-0.0920191508898929i</v>
      </c>
      <c r="H347" s="271" t="str">
        <f t="shared" si="300"/>
        <v>0.00621018924474843-0.0916417809383705i</v>
      </c>
      <c r="I347" s="271" t="str">
        <f t="shared" si="301"/>
        <v>0.0162101892447484-0.0916417809383705i</v>
      </c>
      <c r="J347" s="270" t="str">
        <f t="shared" si="302"/>
        <v>0.00454003505169592-0.0461886657250458i</v>
      </c>
      <c r="K347" s="271" t="str">
        <f t="shared" si="277"/>
        <v>0.982120681775713-0.210036781204449i</v>
      </c>
      <c r="L347" s="580"/>
      <c r="M347" s="580" t="str">
        <f t="shared" si="278"/>
        <v>-0.298664266751371-58.2757041930874i</v>
      </c>
      <c r="N347" s="270" t="str">
        <f t="shared" si="279"/>
        <v>-6.8906648667302-43.7067781448156i</v>
      </c>
      <c r="O347" s="581" t="str">
        <f t="shared" si="280"/>
        <v>-5.10495467884029-21.4671662215646i</v>
      </c>
      <c r="P347" s="582" t="str">
        <f t="shared" si="281"/>
        <v>-2.05004162567407+0.119840311378558i</v>
      </c>
      <c r="Q347" s="583" t="str">
        <f t="shared" si="282"/>
        <v>-1.99899207888567+0.334511973594204i</v>
      </c>
      <c r="R347" s="581" t="str">
        <f t="shared" si="303"/>
        <v>-0.561181448520022-2.55983348846549i</v>
      </c>
      <c r="S347" s="253" t="str">
        <f t="shared" si="304"/>
        <v>50.7360493932877-8.96530923233853i</v>
      </c>
      <c r="T347" s="253" t="str">
        <f t="shared" si="305"/>
        <v>17.9436357816826-7.65509228258799i</v>
      </c>
      <c r="U347" s="253" t="str">
        <f t="shared" si="306"/>
        <v>-0.590092916080851-1.69192631130375i</v>
      </c>
      <c r="V347" s="582" t="str">
        <f t="shared" si="283"/>
        <v>6000</v>
      </c>
      <c r="W347" s="584" t="str">
        <f t="shared" si="284"/>
        <v>1+93640.0394890342i</v>
      </c>
      <c r="X347" s="585">
        <f t="shared" si="285"/>
        <v>93640.039494373792</v>
      </c>
      <c r="Y347" s="586">
        <f t="shared" si="286"/>
        <v>1.5707856476024762</v>
      </c>
      <c r="Z347" s="273" t="str">
        <f t="shared" si="287"/>
        <v>1+14.0438993384543i</v>
      </c>
      <c r="AA347" s="585">
        <f t="shared" si="288"/>
        <v>14.07945697207947</v>
      </c>
      <c r="AB347" s="586">
        <f t="shared" si="289"/>
        <v>1.4997110082467244</v>
      </c>
      <c r="AC347" s="584" t="str">
        <f t="shared" si="290"/>
        <v>1+0.678958736785368i</v>
      </c>
      <c r="AD347" s="585">
        <f t="shared" si="291"/>
        <v>1.2087121105776937</v>
      </c>
      <c r="AE347" s="586">
        <f t="shared" si="292"/>
        <v>0.59646428976849186</v>
      </c>
      <c r="AF347" s="580" t="str">
        <f t="shared" si="307"/>
        <v>0.586157874928419-0.462042555004324i</v>
      </c>
      <c r="AG347" s="270">
        <f t="shared" si="308"/>
        <v>0.74636745439195284</v>
      </c>
      <c r="AH347" s="581">
        <f t="shared" si="309"/>
        <v>-0.66753892912424373</v>
      </c>
      <c r="AI347" s="582" t="str">
        <f t="shared" si="293"/>
        <v>4000</v>
      </c>
      <c r="AJ347" s="584" t="str">
        <f t="shared" si="310"/>
        <v>1+7356.58569639252i</v>
      </c>
      <c r="AK347" s="585">
        <f t="shared" si="311"/>
        <v>7356.5857643588306</v>
      </c>
      <c r="AL347" s="586">
        <f t="shared" si="312"/>
        <v>1.5706603941713793</v>
      </c>
      <c r="AM347" s="273" t="str">
        <f t="shared" si="313"/>
        <v>1+0.257471487871663i</v>
      </c>
      <c r="AN347" s="585">
        <f t="shared" si="314"/>
        <v>1.0326139487082517</v>
      </c>
      <c r="AO347" s="586">
        <f t="shared" si="315"/>
        <v>0.25199819589531008</v>
      </c>
      <c r="AP347" s="584" t="str">
        <f t="shared" si="316"/>
        <v>1+0.00186274703249449i</v>
      </c>
      <c r="AQ347" s="585">
        <f t="shared" si="317"/>
        <v>1.0000017349117485</v>
      </c>
      <c r="AR347" s="586">
        <f t="shared" si="318"/>
        <v>1.862744878029299E-3</v>
      </c>
      <c r="AS347" s="580" t="str">
        <f t="shared" si="319"/>
        <v>0.13905572889361-0.54397048311678i</v>
      </c>
      <c r="AT347" s="270">
        <f t="shared" si="320"/>
        <v>0.56146271669669767</v>
      </c>
      <c r="AU347" s="581">
        <f t="shared" si="321"/>
        <v>-1.320524943154098</v>
      </c>
      <c r="AV347" s="580" t="str">
        <f t="shared" si="322"/>
        <v>-0.0166897889463959-0.108252926621365i</v>
      </c>
      <c r="AW347" s="270">
        <f t="shared" si="323"/>
        <v>-19.209184657611186</v>
      </c>
      <c r="AX347" s="581">
        <f t="shared" si="324"/>
        <v>-98.764512398750782</v>
      </c>
      <c r="AY347" s="299">
        <f t="shared" si="294"/>
        <v>81.235487601249218</v>
      </c>
      <c r="BB347" s="270">
        <f t="shared" si="327"/>
        <v>-45.013581545681205</v>
      </c>
      <c r="BC347" s="270">
        <f t="shared" si="328"/>
        <v>-75.660505984482768</v>
      </c>
      <c r="BD347" s="286"/>
      <c r="BE347" s="270">
        <f t="shared" si="325"/>
        <v>25.804396888070059</v>
      </c>
      <c r="BF347" s="581">
        <f t="shared" si="326"/>
        <v>-23.104006414267971</v>
      </c>
      <c r="BI347" s="286"/>
      <c r="BJ347" s="286"/>
      <c r="BL347" s="253">
        <f t="shared" si="295"/>
        <v>0</v>
      </c>
      <c r="BM347" s="253">
        <f t="shared" si="329"/>
        <v>0</v>
      </c>
      <c r="BN347" s="253">
        <f t="shared" si="296"/>
        <v>0</v>
      </c>
      <c r="BO347" s="253">
        <f t="shared" si="297"/>
        <v>0</v>
      </c>
    </row>
    <row r="348" spans="4:67" ht="13.6" thickBot="1" x14ac:dyDescent="0.25">
      <c r="D348" s="280">
        <v>26762</v>
      </c>
      <c r="E348" s="273" t="str">
        <f t="shared" si="276"/>
        <v>0.302671089343332i</v>
      </c>
      <c r="F348" s="579" t="str">
        <f t="shared" si="298"/>
        <v>0.002-0.0914930717446065i</v>
      </c>
      <c r="G348" s="270" t="str">
        <f t="shared" si="299"/>
        <v>0.002-0.0914930717446065i</v>
      </c>
      <c r="H348" s="271" t="str">
        <f t="shared" si="300"/>
        <v>0.00616226434642074-0.0911200494481798i</v>
      </c>
      <c r="I348" s="271" t="str">
        <f t="shared" si="301"/>
        <v>0.0161622643464207-0.0911200494481798i</v>
      </c>
      <c r="J348" s="270" t="str">
        <f t="shared" si="302"/>
        <v>0.00452786587566864-0.0459264095319121i</v>
      </c>
      <c r="K348" s="271" t="str">
        <f t="shared" si="277"/>
        <v>0.981914480846443-0.211244478882839i</v>
      </c>
      <c r="L348" s="580"/>
      <c r="M348" s="580" t="str">
        <f t="shared" si="278"/>
        <v>-0.296981700162678-57.8801522427723i</v>
      </c>
      <c r="N348" s="270" t="str">
        <f t="shared" si="279"/>
        <v>-6.88940294178868-43.4101141820792i</v>
      </c>
      <c r="O348" s="581" t="str">
        <f t="shared" si="280"/>
        <v>-5.09653845676446-21.3179578392554i</v>
      </c>
      <c r="P348" s="582" t="str">
        <f t="shared" si="281"/>
        <v>-2.02486497423709+0.119850366271031i</v>
      </c>
      <c r="Q348" s="583" t="str">
        <f t="shared" si="282"/>
        <v>-1.97389958966945+0.333029944663583i</v>
      </c>
      <c r="R348" s="581" t="str">
        <f t="shared" si="303"/>
        <v>-0.560514638878622-2.54190468495622i</v>
      </c>
      <c r="S348" s="253" t="str">
        <f t="shared" si="304"/>
        <v>50.7217012751008-9.03785299685218i</v>
      </c>
      <c r="T348" s="253" t="str">
        <f t="shared" si="305"/>
        <v>17.9251251219779-7.70299003846648i</v>
      </c>
      <c r="U348" s="253" t="str">
        <f t="shared" si="306"/>
        <v>-0.591437473759608-1.68080614835432i</v>
      </c>
      <c r="V348" s="582" t="str">
        <f t="shared" si="283"/>
        <v>6000</v>
      </c>
      <c r="W348" s="584" t="str">
        <f t="shared" si="284"/>
        <v>1+94178.4635576506i</v>
      </c>
      <c r="X348" s="585">
        <f t="shared" si="285"/>
        <v>94178.463562959674</v>
      </c>
      <c r="Y348" s="586">
        <f t="shared" si="286"/>
        <v>1.5707857086560761</v>
      </c>
      <c r="Z348" s="273" t="str">
        <f t="shared" si="287"/>
        <v>1+14.1246508360222i</v>
      </c>
      <c r="AA348" s="585">
        <f t="shared" si="288"/>
        <v>14.160005693485532</v>
      </c>
      <c r="AB348" s="586">
        <f t="shared" si="289"/>
        <v>1.5001160513709384</v>
      </c>
      <c r="AC348" s="584" t="str">
        <f t="shared" si="290"/>
        <v>1+0.682862704868652i</v>
      </c>
      <c r="AD348" s="585">
        <f t="shared" si="291"/>
        <v>1.2109093581686996</v>
      </c>
      <c r="AE348" s="586">
        <f t="shared" si="292"/>
        <v>0.59913159222161749</v>
      </c>
      <c r="AF348" s="580" t="str">
        <f t="shared" si="307"/>
        <v>0.584032581759529-0.462513346538616i</v>
      </c>
      <c r="AG348" s="270">
        <f t="shared" si="308"/>
        <v>0.74499171289555344</v>
      </c>
      <c r="AH348" s="581">
        <f t="shared" si="309"/>
        <v>-0.66980124950675468</v>
      </c>
      <c r="AI348" s="582" t="str">
        <f t="shared" si="293"/>
        <v>4000</v>
      </c>
      <c r="AJ348" s="584" t="str">
        <f t="shared" si="310"/>
        <v>1+7398.88558032456i</v>
      </c>
      <c r="AK348" s="585">
        <f t="shared" si="311"/>
        <v>7398.8856479023034</v>
      </c>
      <c r="AL348" s="586">
        <f t="shared" si="312"/>
        <v>1.570661171306539</v>
      </c>
      <c r="AM348" s="273" t="str">
        <f t="shared" si="313"/>
        <v>1+0.25895193199374i</v>
      </c>
      <c r="AN348" s="585">
        <f t="shared" si="314"/>
        <v>1.0329840768779017</v>
      </c>
      <c r="AO348" s="586">
        <f t="shared" si="315"/>
        <v>0.25338610346720108</v>
      </c>
      <c r="AP348" s="584" t="str">
        <f t="shared" si="316"/>
        <v>1+0.00187345770542363i</v>
      </c>
      <c r="AQ348" s="585">
        <f t="shared" si="317"/>
        <v>1.0000017549203473</v>
      </c>
      <c r="AR348" s="586">
        <f t="shared" si="318"/>
        <v>1.8734555135802914E-3</v>
      </c>
      <c r="AS348" s="580" t="str">
        <f t="shared" si="319"/>
        <v>0.139054880672834-0.5408635391786i</v>
      </c>
      <c r="AT348" s="270">
        <f t="shared" si="320"/>
        <v>0.55845288776380864</v>
      </c>
      <c r="AU348" s="581">
        <f t="shared" si="321"/>
        <v>-1.3191485233529183</v>
      </c>
      <c r="AV348" s="580" t="str">
        <f t="shared" si="322"/>
        <v>-0.0167369031958022-0.107661849743152i</v>
      </c>
      <c r="AW348" s="270">
        <f t="shared" si="323"/>
        <v>-19.255054579782399</v>
      </c>
      <c r="AX348" s="581">
        <f t="shared" si="324"/>
        <v>-98.836360838531633</v>
      </c>
      <c r="AY348" s="299">
        <f t="shared" si="294"/>
        <v>81.163639161468367</v>
      </c>
      <c r="BB348" s="270">
        <f t="shared" si="327"/>
        <v>-45.060269179606024</v>
      </c>
      <c r="BC348" s="270">
        <f t="shared" si="328"/>
        <v>-75.581642939036939</v>
      </c>
      <c r="BD348" s="286"/>
      <c r="BE348" s="270">
        <f t="shared" si="325"/>
        <v>25.805214599823611</v>
      </c>
      <c r="BF348" s="581">
        <f t="shared" si="326"/>
        <v>-23.254717899494739</v>
      </c>
      <c r="BI348" s="286"/>
      <c r="BJ348" s="286"/>
      <c r="BL348" s="253">
        <f t="shared" si="295"/>
        <v>0</v>
      </c>
      <c r="BM348" s="253">
        <f t="shared" si="329"/>
        <v>0</v>
      </c>
      <c r="BN348" s="253">
        <f t="shared" si="296"/>
        <v>0</v>
      </c>
      <c r="BO348" s="253">
        <f t="shared" si="297"/>
        <v>0</v>
      </c>
    </row>
    <row r="349" spans="4:67" ht="13.6" thickBot="1" x14ac:dyDescent="0.25">
      <c r="D349" s="280">
        <v>26915</v>
      </c>
      <c r="E349" s="273" t="str">
        <f t="shared" si="276"/>
        <v>0.304401478576929i</v>
      </c>
      <c r="F349" s="579" t="str">
        <f t="shared" si="298"/>
        <v>0.002-0.0909729736588951i</v>
      </c>
      <c r="G349" s="270" t="str">
        <f t="shared" si="299"/>
        <v>0.002-0.0909729736588951i</v>
      </c>
      <c r="H349" s="271" t="str">
        <f t="shared" si="300"/>
        <v>0.00611515217356137-0.0906042126574353i</v>
      </c>
      <c r="I349" s="271" t="str">
        <f t="shared" si="301"/>
        <v>0.0161151521735614-0.0906042126574353i</v>
      </c>
      <c r="J349" s="270" t="str">
        <f t="shared" si="302"/>
        <v>0.00451590085006288-0.0456671388429623i</v>
      </c>
      <c r="K349" s="271" t="str">
        <f t="shared" si="277"/>
        <v>0.981707097674301-0.212452176561229i</v>
      </c>
      <c r="L349" s="580"/>
      <c r="M349" s="580" t="str">
        <f t="shared" si="278"/>
        <v>-0.295282260306543-57.4902806444332i</v>
      </c>
      <c r="N349" s="270" t="str">
        <f t="shared" si="279"/>
        <v>-6.88812836189658-43.1177104833249i</v>
      </c>
      <c r="O349" s="581" t="str">
        <f t="shared" si="280"/>
        <v>-5.0882588826077-21.170875542158i</v>
      </c>
      <c r="P349" s="582" t="str">
        <f t="shared" si="281"/>
        <v>-2.00016857595748+0.119845808846466i</v>
      </c>
      <c r="Q349" s="583" t="str">
        <f t="shared" si="282"/>
        <v>-1.9492859871314+0.331554564268047i</v>
      </c>
      <c r="R349" s="581" t="str">
        <f t="shared" si="303"/>
        <v>-0.559858358927793-2.52423017014682i</v>
      </c>
      <c r="S349" s="253" t="str">
        <f t="shared" si="304"/>
        <v>50.7072327873543-9.11025405802151i</v>
      </c>
      <c r="T349" s="253" t="str">
        <f t="shared" si="305"/>
        <v>17.9065025909097-7.7508077001611i</v>
      </c>
      <c r="U349" s="253" t="str">
        <f t="shared" si="306"/>
        <v>-0.592754840892598-1.6698019372522i</v>
      </c>
      <c r="V349" s="582" t="str">
        <f t="shared" si="283"/>
        <v>6000</v>
      </c>
      <c r="W349" s="584" t="str">
        <f t="shared" si="284"/>
        <v>1+94716.8876262676i</v>
      </c>
      <c r="X349" s="585">
        <f t="shared" si="285"/>
        <v>94716.887631546488</v>
      </c>
      <c r="Y349" s="586">
        <f t="shared" si="286"/>
        <v>1.57078576901555</v>
      </c>
      <c r="Z349" s="273" t="str">
        <f t="shared" si="287"/>
        <v>1+14.2054023335901i</v>
      </c>
      <c r="AA349" s="585">
        <f t="shared" si="288"/>
        <v>14.240556711700812</v>
      </c>
      <c r="AB349" s="586">
        <f t="shared" si="289"/>
        <v>1.5005165123466679</v>
      </c>
      <c r="AC349" s="584" t="str">
        <f t="shared" si="290"/>
        <v>1+0.68676667295194i</v>
      </c>
      <c r="AD349" s="585">
        <f t="shared" si="291"/>
        <v>1.213115189533738</v>
      </c>
      <c r="AE349" s="586">
        <f t="shared" si="292"/>
        <v>0.60178921350753067</v>
      </c>
      <c r="AF349" s="580" t="str">
        <f t="shared" si="307"/>
        <v>0.581910591517486-0.462973976391034i</v>
      </c>
      <c r="AG349" s="270">
        <f t="shared" si="308"/>
        <v>0.7436160563997769</v>
      </c>
      <c r="AH349" s="581">
        <f t="shared" si="309"/>
        <v>-0.67205847017641263</v>
      </c>
      <c r="AI349" s="582" t="str">
        <f t="shared" si="293"/>
        <v>4000</v>
      </c>
      <c r="AJ349" s="584" t="str">
        <f t="shared" si="310"/>
        <v>1+7441.18546425663i</v>
      </c>
      <c r="AK349" s="585">
        <f t="shared" si="311"/>
        <v>7441.1855314502254</v>
      </c>
      <c r="AL349" s="586">
        <f t="shared" si="312"/>
        <v>1.5706619396063521</v>
      </c>
      <c r="AM349" s="273" t="str">
        <f t="shared" si="313"/>
        <v>1+0.260432376115818i</v>
      </c>
      <c r="AN349" s="585">
        <f t="shared" si="314"/>
        <v>1.0333561934441244</v>
      </c>
      <c r="AO349" s="586">
        <f t="shared" si="315"/>
        <v>0.25477301412461528</v>
      </c>
      <c r="AP349" s="584" t="str">
        <f t="shared" si="316"/>
        <v>1+0.00188416837835279i</v>
      </c>
      <c r="AQ349" s="585">
        <f t="shared" si="317"/>
        <v>1.0000017750436636</v>
      </c>
      <c r="AR349" s="586">
        <f t="shared" si="318"/>
        <v>1.8841661487014663E-3</v>
      </c>
      <c r="AS349" s="580" t="str">
        <f t="shared" si="319"/>
        <v>0.139054046749732-0.53779193539622i</v>
      </c>
      <c r="AT349" s="270">
        <f t="shared" si="320"/>
        <v>0.55547834673791618</v>
      </c>
      <c r="AU349" s="581">
        <f t="shared" si="321"/>
        <v>-1.3177730916304391</v>
      </c>
      <c r="AV349" s="580" t="str">
        <f t="shared" si="322"/>
        <v>-0.0167835022555301-0.107077538608291i</v>
      </c>
      <c r="AW349" s="270">
        <f t="shared" si="323"/>
        <v>-19.300624865128519</v>
      </c>
      <c r="AX349" s="581">
        <f t="shared" si="324"/>
        <v>-98.908151129386638</v>
      </c>
      <c r="AY349" s="299">
        <f t="shared" si="294"/>
        <v>81.091848870613362</v>
      </c>
      <c r="BB349" s="270">
        <f t="shared" si="327"/>
        <v>-45.106657315039186</v>
      </c>
      <c r="BC349" s="270">
        <f t="shared" si="328"/>
        <v>-75.502836506330468</v>
      </c>
      <c r="BD349" s="286"/>
      <c r="BE349" s="270">
        <f t="shared" si="325"/>
        <v>25.806032449910695</v>
      </c>
      <c r="BF349" s="581">
        <f t="shared" si="326"/>
        <v>-23.405314623056146</v>
      </c>
      <c r="BI349" s="286"/>
      <c r="BJ349" s="286"/>
      <c r="BL349" s="253">
        <f t="shared" si="295"/>
        <v>0</v>
      </c>
      <c r="BM349" s="253">
        <f t="shared" si="329"/>
        <v>0</v>
      </c>
      <c r="BN349" s="253">
        <f t="shared" si="296"/>
        <v>0</v>
      </c>
      <c r="BO349" s="253">
        <f t="shared" si="297"/>
        <v>0</v>
      </c>
    </row>
    <row r="350" spans="4:67" ht="13.6" thickBot="1" x14ac:dyDescent="0.25">
      <c r="D350" s="280">
        <v>27071.75</v>
      </c>
      <c r="E350" s="273" t="str">
        <f t="shared" si="276"/>
        <v>0.30617427931135i</v>
      </c>
      <c r="F350" s="579" t="str">
        <f t="shared" si="298"/>
        <v>0.002-0.0904462247926036i</v>
      </c>
      <c r="G350" s="270" t="str">
        <f t="shared" si="299"/>
        <v>0.002-0.0904462247926036i</v>
      </c>
      <c r="H350" s="271" t="str">
        <f t="shared" si="300"/>
        <v>0.00606770905063431-0.0900817423618568i</v>
      </c>
      <c r="I350" s="271" t="str">
        <f t="shared" si="301"/>
        <v>0.0160677090506343-0.0900817423618568i</v>
      </c>
      <c r="J350" s="270" t="str">
        <f t="shared" si="302"/>
        <v>0.00450384945875841-0.0454045568235093i</v>
      </c>
      <c r="K350" s="271" t="str">
        <f t="shared" si="277"/>
        <v>0.981493405518484-0.213689474672913i</v>
      </c>
      <c r="L350" s="580"/>
      <c r="M350" s="580" t="str">
        <f t="shared" si="278"/>
        <v>-0.293525694759924-57.0966117124621i</v>
      </c>
      <c r="N350" s="270" t="str">
        <f t="shared" si="279"/>
        <v>-6.88681093773661-42.8224587843466i</v>
      </c>
      <c r="O350" s="581" t="str">
        <f t="shared" si="280"/>
        <v>-5.07991494229376-21.0223434623292i</v>
      </c>
      <c r="P350" s="582" t="str">
        <f t="shared" si="281"/>
        <v>-1.97535192291075+0.119826690736644i</v>
      </c>
      <c r="Q350" s="583" t="str">
        <f t="shared" si="282"/>
        <v>-1.92455277348781+0.330050125359935i</v>
      </c>
      <c r="R350" s="581" t="str">
        <f t="shared" si="303"/>
        <v>-0.559196698667195-2.50638022795978i</v>
      </c>
      <c r="S350" s="253" t="str">
        <f t="shared" si="304"/>
        <v>50.6922854784938-9.18428364826793i</v>
      </c>
      <c r="T350" s="253" t="str">
        <f t="shared" si="305"/>
        <v>17.8873078894319-7.79971465798437i</v>
      </c>
      <c r="U350" s="253" t="str">
        <f t="shared" si="306"/>
        <v>-0.594076906344358-1.65864626006562i</v>
      </c>
      <c r="V350" s="582" t="str">
        <f t="shared" si="283"/>
        <v>6000</v>
      </c>
      <c r="W350" s="584" t="str">
        <f t="shared" si="284"/>
        <v>1+95268.5083632326i</v>
      </c>
      <c r="X350" s="585">
        <f t="shared" si="285"/>
        <v>95268.508368480907</v>
      </c>
      <c r="Y350" s="586">
        <f t="shared" si="286"/>
        <v>1.5707858301468736</v>
      </c>
      <c r="Z350" s="273" t="str">
        <f t="shared" si="287"/>
        <v>1+14.2881330345297i</v>
      </c>
      <c r="AA350" s="585">
        <f t="shared" si="288"/>
        <v>14.323084361003355</v>
      </c>
      <c r="AB350" s="586">
        <f t="shared" si="289"/>
        <v>1.5009221172516538</v>
      </c>
      <c r="AC350" s="584" t="str">
        <f t="shared" si="290"/>
        <v>1+0.690766326527462i</v>
      </c>
      <c r="AD350" s="585">
        <f t="shared" si="291"/>
        <v>1.215383938459055</v>
      </c>
      <c r="AE350" s="586">
        <f t="shared" si="292"/>
        <v>0.60450194854307349</v>
      </c>
      <c r="AF350" s="580" t="str">
        <f t="shared" si="307"/>
        <v>0.579740116902304-0.463435393460081i</v>
      </c>
      <c r="AG350" s="270">
        <f t="shared" si="308"/>
        <v>0.74220682229240997</v>
      </c>
      <c r="AH350" s="581">
        <f t="shared" si="309"/>
        <v>-0.67436566143829368</v>
      </c>
      <c r="AI350" s="582" t="str">
        <f t="shared" si="293"/>
        <v>4000</v>
      </c>
      <c r="AJ350" s="584" t="str">
        <f t="shared" si="310"/>
        <v>1+7484.52211004975i</v>
      </c>
      <c r="AK350" s="585">
        <f t="shared" si="311"/>
        <v>7484.5221768542824</v>
      </c>
      <c r="AL350" s="586">
        <f t="shared" si="312"/>
        <v>1.5706627177308381</v>
      </c>
      <c r="AM350" s="273" t="str">
        <f t="shared" si="313"/>
        <v>1+0.261949105633044i</v>
      </c>
      <c r="AN350" s="585">
        <f t="shared" si="314"/>
        <v>1.0337394903659005</v>
      </c>
      <c r="AO350" s="586">
        <f t="shared" si="315"/>
        <v>0.2561928793754219</v>
      </c>
      <c r="AP350" s="584" t="str">
        <f t="shared" si="316"/>
        <v>1+0.00189514156777529i</v>
      </c>
      <c r="AQ350" s="585">
        <f t="shared" si="317"/>
        <v>1.0000017957791685</v>
      </c>
      <c r="AR350" s="586">
        <f t="shared" si="318"/>
        <v>1.8951392989409763E-3</v>
      </c>
      <c r="AS350" s="580" t="str">
        <f t="shared" si="319"/>
        <v>0.139053206877234-0.53468107077246i</v>
      </c>
      <c r="AT350" s="270">
        <f t="shared" si="320"/>
        <v>0.55246686940053447</v>
      </c>
      <c r="AU350" s="581">
        <f t="shared" si="321"/>
        <v>-1.3163649776543567</v>
      </c>
      <c r="AV350" s="580" t="str">
        <f t="shared" si="322"/>
        <v>-0.0168307226062478-0.106485802714782i</v>
      </c>
      <c r="AW350" s="270">
        <f t="shared" si="323"/>
        <v>-19.347004674430835</v>
      </c>
      <c r="AX350" s="581">
        <f t="shared" si="324"/>
        <v>-98.981642690137036</v>
      </c>
      <c r="AY350" s="299">
        <f t="shared" si="294"/>
        <v>81.018357309862964</v>
      </c>
      <c r="BB350" s="270">
        <f t="shared" si="327"/>
        <v>-45.153875216855141</v>
      </c>
      <c r="BC350" s="270">
        <f t="shared" si="328"/>
        <v>-75.422157518427554</v>
      </c>
      <c r="BD350" s="286"/>
      <c r="BE350" s="270">
        <f t="shared" si="325"/>
        <v>25.806870542424321</v>
      </c>
      <c r="BF350" s="581">
        <f t="shared" si="326"/>
        <v>-23.559485171709486</v>
      </c>
      <c r="BI350" s="286"/>
      <c r="BJ350" s="286"/>
      <c r="BL350" s="253">
        <f t="shared" si="295"/>
        <v>0</v>
      </c>
      <c r="BM350" s="253">
        <f t="shared" si="329"/>
        <v>0</v>
      </c>
      <c r="BN350" s="253">
        <f t="shared" si="296"/>
        <v>0</v>
      </c>
      <c r="BO350" s="253">
        <f t="shared" si="297"/>
        <v>0</v>
      </c>
    </row>
    <row r="351" spans="4:67" ht="13.6" thickBot="1" x14ac:dyDescent="0.25">
      <c r="D351" s="280">
        <v>27228.5</v>
      </c>
      <c r="E351" s="273" t="str">
        <f t="shared" si="276"/>
        <v>0.307947080045771i</v>
      </c>
      <c r="F351" s="579" t="str">
        <f t="shared" si="298"/>
        <v>0.002-0.0899255407396349i</v>
      </c>
      <c r="G351" s="270" t="str">
        <f t="shared" si="299"/>
        <v>0.002-0.0899255407396349i</v>
      </c>
      <c r="H351" s="271" t="str">
        <f t="shared" si="300"/>
        <v>0.00602108073391241-0.0895652510181993i</v>
      </c>
      <c r="I351" s="271" t="str">
        <f t="shared" si="301"/>
        <v>0.0160210807339124-0.0895652510181993i</v>
      </c>
      <c r="J351" s="270" t="str">
        <f t="shared" si="302"/>
        <v>0.00449200268589369-0.0451450023231101i</v>
      </c>
      <c r="K351" s="271" t="str">
        <f t="shared" si="277"/>
        <v>0.981278472456504-0.214926772784597i</v>
      </c>
      <c r="L351" s="580"/>
      <c r="M351" s="580" t="str">
        <f t="shared" si="278"/>
        <v>-0.291755407746561-56.7086397453008i</v>
      </c>
      <c r="N351" s="270" t="str">
        <f t="shared" si="279"/>
        <v>-6.88548322247659-42.5314798089756i</v>
      </c>
      <c r="O351" s="581" t="str">
        <f t="shared" si="280"/>
        <v>-5.07170811655523-20.8759434876865i</v>
      </c>
      <c r="P351" s="582" t="str">
        <f t="shared" si="281"/>
        <v>-1.95101336391055+0.11979363453749i</v>
      </c>
      <c r="Q351" s="583" t="str">
        <f t="shared" si="282"/>
        <v>-1.900296282745+0.328553069414354i</v>
      </c>
      <c r="R351" s="581" t="str">
        <f t="shared" si="303"/>
        <v>-0.558545658261965-2.48878530132502i</v>
      </c>
      <c r="S351" s="253" t="str">
        <f t="shared" si="304"/>
        <v>50.6772130887976-9.25816744200453i</v>
      </c>
      <c r="T351" s="253" t="str">
        <f t="shared" si="305"/>
        <v>17.8679963340039-7.84853825993099i</v>
      </c>
      <c r="U351" s="253" t="str">
        <f t="shared" si="306"/>
        <v>-0.595371650896371-1.64760825935357i</v>
      </c>
      <c r="V351" s="582" t="str">
        <f t="shared" si="283"/>
        <v>6000</v>
      </c>
      <c r="W351" s="584" t="str">
        <f t="shared" si="284"/>
        <v>1+95820.1291001975i</v>
      </c>
      <c r="X351" s="585">
        <f t="shared" si="285"/>
        <v>95820.129105415617</v>
      </c>
      <c r="Y351" s="586">
        <f t="shared" si="286"/>
        <v>1.5707858905743515</v>
      </c>
      <c r="Z351" s="273" t="str">
        <f t="shared" si="287"/>
        <v>1+14.3708637354693i</v>
      </c>
      <c r="AA351" s="585">
        <f t="shared" si="288"/>
        <v>14.405614339674189</v>
      </c>
      <c r="AB351" s="586">
        <f t="shared" si="289"/>
        <v>1.5013230747889159</v>
      </c>
      <c r="AC351" s="584" t="str">
        <f t="shared" si="290"/>
        <v>1+0.694765980102984i</v>
      </c>
      <c r="AD351" s="585">
        <f t="shared" si="291"/>
        <v>1.2176615979443797</v>
      </c>
      <c r="AE351" s="586">
        <f t="shared" si="292"/>
        <v>0.60720455495873848</v>
      </c>
      <c r="AF351" s="580" t="str">
        <f t="shared" si="307"/>
        <v>0.577573310081138-0.46388621893697i</v>
      </c>
      <c r="AG351" s="270">
        <f t="shared" si="308"/>
        <v>0.74079778120464224</v>
      </c>
      <c r="AH351" s="581">
        <f t="shared" si="309"/>
        <v>-0.67666737074417393</v>
      </c>
      <c r="AI351" s="582" t="str">
        <f t="shared" si="293"/>
        <v>4000</v>
      </c>
      <c r="AJ351" s="584" t="str">
        <f t="shared" si="310"/>
        <v>1+7527.85875584287i</v>
      </c>
      <c r="AK351" s="585">
        <f t="shared" si="311"/>
        <v>7527.8588222628196</v>
      </c>
      <c r="AL351" s="586">
        <f t="shared" si="312"/>
        <v>1.5706634868962546</v>
      </c>
      <c r="AM351" s="273" t="str">
        <f t="shared" si="313"/>
        <v>1+0.26346583515027i</v>
      </c>
      <c r="AN351" s="585">
        <f t="shared" si="314"/>
        <v>1.034124869777064</v>
      </c>
      <c r="AO351" s="586">
        <f t="shared" si="315"/>
        <v>0.25761168922414041</v>
      </c>
      <c r="AP351" s="584" t="str">
        <f t="shared" si="316"/>
        <v>1+0.00190611475719779i</v>
      </c>
      <c r="AQ351" s="585">
        <f t="shared" si="317"/>
        <v>1.0000018166350837</v>
      </c>
      <c r="AR351" s="586">
        <f t="shared" si="318"/>
        <v>1.9061124487240978E-3</v>
      </c>
      <c r="AS351" s="580" t="str">
        <f t="shared" si="319"/>
        <v>0.139052381335243-0.531606041178528i</v>
      </c>
      <c r="AT351" s="270">
        <f t="shared" si="320"/>
        <v>0.54949117169660577</v>
      </c>
      <c r="AU351" s="581">
        <f t="shared" si="321"/>
        <v>-1.3149579101208377</v>
      </c>
      <c r="AV351" s="580" t="str">
        <f t="shared" si="322"/>
        <v>-0.0168774291346749-0.105900927299564i</v>
      </c>
      <c r="AW351" s="270">
        <f t="shared" si="323"/>
        <v>-19.393076726871538</v>
      </c>
      <c r="AX351" s="581">
        <f t="shared" si="324"/>
        <v>-99.055077255301541</v>
      </c>
      <c r="AY351" s="299">
        <f t="shared" si="294"/>
        <v>80.944922744698459</v>
      </c>
      <c r="BB351" s="270">
        <f t="shared" si="327"/>
        <v>-45.200785614009021</v>
      </c>
      <c r="BC351" s="270">
        <f t="shared" si="328"/>
        <v>-75.341538487267044</v>
      </c>
      <c r="BD351" s="286"/>
      <c r="BE351" s="270">
        <f t="shared" si="325"/>
        <v>25.807708887137512</v>
      </c>
      <c r="BF351" s="581">
        <f t="shared" si="326"/>
        <v>-23.713538768034493</v>
      </c>
      <c r="BI351" s="286"/>
      <c r="BJ351" s="286"/>
      <c r="BL351" s="253">
        <f t="shared" si="295"/>
        <v>0</v>
      </c>
      <c r="BM351" s="253">
        <f t="shared" si="329"/>
        <v>0</v>
      </c>
      <c r="BN351" s="253">
        <f t="shared" si="296"/>
        <v>0</v>
      </c>
      <c r="BO351" s="253">
        <f t="shared" si="297"/>
        <v>0</v>
      </c>
    </row>
    <row r="352" spans="4:67" ht="13.6" thickBot="1" x14ac:dyDescent="0.25">
      <c r="D352" s="280">
        <v>27385.25</v>
      </c>
      <c r="E352" s="273" t="str">
        <f t="shared" si="276"/>
        <v>0.309719880780192i</v>
      </c>
      <c r="F352" s="579" t="str">
        <f t="shared" si="298"/>
        <v>0.002-0.0894108173571231i</v>
      </c>
      <c r="G352" s="270" t="str">
        <f t="shared" si="299"/>
        <v>0.002-0.0894108173571231i</v>
      </c>
      <c r="H352" s="271" t="str">
        <f t="shared" si="300"/>
        <v>0.00597524868355469-0.0890546367859829i</v>
      </c>
      <c r="I352" s="271" t="str">
        <f t="shared" si="301"/>
        <v>0.0159752486835547-0.0890546367859829i</v>
      </c>
      <c r="J352" s="270" t="str">
        <f t="shared" si="302"/>
        <v>0.0044803558485502-0.0448884234550741i</v>
      </c>
      <c r="K352" s="271" t="str">
        <f t="shared" si="277"/>
        <v>0.981062298488359-0.216164070896281i</v>
      </c>
      <c r="L352" s="580"/>
      <c r="M352" s="580" t="str">
        <f t="shared" si="278"/>
        <v>-0.289973231106117-56.3262366451812i</v>
      </c>
      <c r="N352" s="270" t="str">
        <f t="shared" si="279"/>
        <v>-6.88414658999626-42.2446774838859i</v>
      </c>
      <c r="O352" s="581" t="str">
        <f t="shared" si="280"/>
        <v>-5.06363533601-20.7316275822651i</v>
      </c>
      <c r="P352" s="582" t="str">
        <f t="shared" si="281"/>
        <v>-1.92714039805647+0.119747299423511i</v>
      </c>
      <c r="Q352" s="583" t="str">
        <f t="shared" si="282"/>
        <v>-1.87650404469638+0.327063575246163i</v>
      </c>
      <c r="R352" s="581" t="str">
        <f t="shared" si="303"/>
        <v>-0.557905025880821-2.47143964802683i</v>
      </c>
      <c r="S352" s="253" t="str">
        <f t="shared" si="304"/>
        <v>50.6620162293677-9.33190738525505i</v>
      </c>
      <c r="T352" s="253" t="str">
        <f t="shared" si="305"/>
        <v>17.848568205301-7.8972788458215i</v>
      </c>
      <c r="U352" s="253" t="str">
        <f t="shared" si="306"/>
        <v>-0.5966396655402-1.63668596370008i</v>
      </c>
      <c r="V352" s="582" t="str">
        <f t="shared" si="283"/>
        <v>6000</v>
      </c>
      <c r="W352" s="584" t="str">
        <f t="shared" si="284"/>
        <v>1+96371.749837163i</v>
      </c>
      <c r="X352" s="585">
        <f t="shared" si="285"/>
        <v>96371.749842351244</v>
      </c>
      <c r="Y352" s="586">
        <f t="shared" si="286"/>
        <v>1.5707859503100694</v>
      </c>
      <c r="Z352" s="273" t="str">
        <f t="shared" si="287"/>
        <v>1+14.453594436409i</v>
      </c>
      <c r="AA352" s="585">
        <f t="shared" si="288"/>
        <v>14.488146607906518</v>
      </c>
      <c r="AB352" s="586">
        <f t="shared" si="289"/>
        <v>1.5017194642501308</v>
      </c>
      <c r="AC352" s="584" t="str">
        <f t="shared" si="290"/>
        <v>1+0.69876563367851i</v>
      </c>
      <c r="AD352" s="585">
        <f t="shared" si="291"/>
        <v>1.2199481180813099</v>
      </c>
      <c r="AE352" s="586">
        <f t="shared" si="292"/>
        <v>0.60989705011572992</v>
      </c>
      <c r="AF352" s="580" t="str">
        <f t="shared" si="307"/>
        <v>0.575410269824483-0.464326493342532i</v>
      </c>
      <c r="AG352" s="270">
        <f t="shared" si="308"/>
        <v>0.73938898493232696</v>
      </c>
      <c r="AH352" s="581">
        <f t="shared" si="309"/>
        <v>-0.67896353617566818</v>
      </c>
      <c r="AI352" s="582" t="str">
        <f t="shared" si="293"/>
        <v>4000</v>
      </c>
      <c r="AJ352" s="584" t="str">
        <f t="shared" si="310"/>
        <v>1+7571.19540163603i</v>
      </c>
      <c r="AK352" s="585">
        <f t="shared" si="311"/>
        <v>7571.1954676757987</v>
      </c>
      <c r="AL352" s="586">
        <f t="shared" si="312"/>
        <v>1.5706642472564436</v>
      </c>
      <c r="AM352" s="273" t="str">
        <f t="shared" si="313"/>
        <v>1+0.264982564667498i</v>
      </c>
      <c r="AN352" s="585">
        <f t="shared" si="314"/>
        <v>1.0345123293502909</v>
      </c>
      <c r="AO352" s="586">
        <f t="shared" si="315"/>
        <v>0.25902943914127141</v>
      </c>
      <c r="AP352" s="584" t="str">
        <f t="shared" si="316"/>
        <v>1+0.00191708794662031i</v>
      </c>
      <c r="AQ352" s="585">
        <f t="shared" si="317"/>
        <v>1.0000018376114093</v>
      </c>
      <c r="AR352" s="586">
        <f t="shared" si="318"/>
        <v>1.9170855980482091E-3</v>
      </c>
      <c r="AS352" s="580" t="str">
        <f t="shared" si="319"/>
        <v>0.139051569795831-0.528566231267772i</v>
      </c>
      <c r="AT352" s="270">
        <f t="shared" si="320"/>
        <v>0.54655063800100057</v>
      </c>
      <c r="AU352" s="581">
        <f t="shared" si="321"/>
        <v>-1.31355189371322</v>
      </c>
      <c r="AV352" s="580" t="str">
        <f t="shared" si="322"/>
        <v>-0.0169236348925151-0.105322794504286i</v>
      </c>
      <c r="AW352" s="270">
        <f t="shared" si="323"/>
        <v>-19.438844352719908</v>
      </c>
      <c r="AX352" s="581">
        <f t="shared" si="324"/>
        <v>-99.128456805085349</v>
      </c>
      <c r="AY352" s="299">
        <f t="shared" si="294"/>
        <v>80.871543194914651</v>
      </c>
      <c r="BB352" s="270">
        <f t="shared" si="327"/>
        <v>-45.247391887987106</v>
      </c>
      <c r="BC352" s="270">
        <f t="shared" si="328"/>
        <v>-75.260979681184395</v>
      </c>
      <c r="BD352" s="286"/>
      <c r="BE352" s="270">
        <f t="shared" si="325"/>
        <v>25.808547535267209</v>
      </c>
      <c r="BF352" s="581">
        <f t="shared" si="326"/>
        <v>-23.86747712390094</v>
      </c>
      <c r="BI352" s="286"/>
      <c r="BJ352" s="286"/>
      <c r="BL352" s="253">
        <f t="shared" si="295"/>
        <v>0</v>
      </c>
      <c r="BM352" s="253">
        <f t="shared" si="329"/>
        <v>0</v>
      </c>
      <c r="BN352" s="253">
        <f t="shared" si="296"/>
        <v>0</v>
      </c>
      <c r="BO352" s="253">
        <f t="shared" si="297"/>
        <v>0</v>
      </c>
    </row>
    <row r="353" spans="4:67" ht="13.6" thickBot="1" x14ac:dyDescent="0.25">
      <c r="D353" s="280">
        <v>27542</v>
      </c>
      <c r="E353" s="273" t="str">
        <f t="shared" si="276"/>
        <v>0.311492681514612i</v>
      </c>
      <c r="F353" s="579" t="str">
        <f t="shared" si="298"/>
        <v>0.002-0.0889019528730361i</v>
      </c>
      <c r="G353" s="270" t="str">
        <f t="shared" si="299"/>
        <v>0.002-0.0889019528730361i</v>
      </c>
      <c r="H353" s="271" t="str">
        <f t="shared" si="300"/>
        <v>0.0059301948837033-0.0885498001198766i</v>
      </c>
      <c r="I353" s="271" t="str">
        <f t="shared" si="301"/>
        <v>0.0159301948837033-0.0885498001198766i</v>
      </c>
      <c r="J353" s="270" t="str">
        <f t="shared" si="302"/>
        <v>0.00446890439656621-0.0446347695109556i</v>
      </c>
      <c r="K353" s="271" t="str">
        <f t="shared" si="277"/>
        <v>0.98084488361405-0.217401369007965i</v>
      </c>
      <c r="L353" s="580"/>
      <c r="M353" s="580" t="str">
        <f t="shared" si="278"/>
        <v>-0.288180881083635-55.9492782289459i</v>
      </c>
      <c r="N353" s="270" t="str">
        <f t="shared" si="279"/>
        <v>-6.8828023274794-41.9619586717094i</v>
      </c>
      <c r="O353" s="581" t="str">
        <f t="shared" si="280"/>
        <v>-5.05569361263685-20.5893491812763i</v>
      </c>
      <c r="P353" s="582" t="str">
        <f t="shared" si="281"/>
        <v>-1.90372093912196+0.11968831387998i</v>
      </c>
      <c r="Q353" s="583" t="str">
        <f t="shared" si="282"/>
        <v>-1.85316400299559+0.325581805692745i</v>
      </c>
      <c r="R353" s="581" t="str">
        <f t="shared" si="303"/>
        <v>-0.557274594268032-2.4543377015768i</v>
      </c>
      <c r="S353" s="253" t="str">
        <f t="shared" si="304"/>
        <v>50.6466954937685-9.40550537732428i</v>
      </c>
      <c r="T353" s="253" t="str">
        <f t="shared" si="305"/>
        <v>17.8290237795146-7.94593674199478i</v>
      </c>
      <c r="U353" s="253" t="str">
        <f t="shared" si="306"/>
        <v>-0.597881524670118-1.62587744542215i</v>
      </c>
      <c r="V353" s="582" t="str">
        <f t="shared" si="283"/>
        <v>6000</v>
      </c>
      <c r="W353" s="584" t="str">
        <f t="shared" si="284"/>
        <v>1+96923.370574128i</v>
      </c>
      <c r="X353" s="585">
        <f t="shared" si="285"/>
        <v>96923.370579286697</v>
      </c>
      <c r="Y353" s="586">
        <f t="shared" si="286"/>
        <v>1.5707860093658386</v>
      </c>
      <c r="Z353" s="273" t="str">
        <f t="shared" si="287"/>
        <v>1+14.5363251373486i</v>
      </c>
      <c r="AA353" s="585">
        <f t="shared" si="288"/>
        <v>14.570681126794067</v>
      </c>
      <c r="AB353" s="586">
        <f t="shared" si="289"/>
        <v>1.5021113631362228</v>
      </c>
      <c r="AC353" s="584" t="str">
        <f t="shared" si="290"/>
        <v>1+0.702765287254032i</v>
      </c>
      <c r="AD353" s="585">
        <f t="shared" si="291"/>
        <v>1.222243449141472</v>
      </c>
      <c r="AE353" s="586">
        <f t="shared" si="292"/>
        <v>0.61257945183199614</v>
      </c>
      <c r="AF353" s="580" t="str">
        <f t="shared" si="307"/>
        <v>0.573251092949071-0.46475625905537i</v>
      </c>
      <c r="AG353" s="270">
        <f t="shared" si="308"/>
        <v>0.73798048476802336</v>
      </c>
      <c r="AH353" s="581">
        <f t="shared" si="309"/>
        <v>-0.68125409806161141</v>
      </c>
      <c r="AI353" s="582" t="str">
        <f t="shared" si="293"/>
        <v>4000</v>
      </c>
      <c r="AJ353" s="584" t="str">
        <f t="shared" si="310"/>
        <v>1+7614.53204742915i</v>
      </c>
      <c r="AK353" s="585">
        <f t="shared" si="311"/>
        <v>7614.532113093067</v>
      </c>
      <c r="AL353" s="586">
        <f t="shared" si="312"/>
        <v>1.5706649989617452</v>
      </c>
      <c r="AM353" s="273" t="str">
        <f t="shared" si="313"/>
        <v>1+0.266499294184724i</v>
      </c>
      <c r="AN353" s="585">
        <f t="shared" si="314"/>
        <v>1.0349018667491889</v>
      </c>
      <c r="AO353" s="586">
        <f t="shared" si="315"/>
        <v>0.26044612462111871</v>
      </c>
      <c r="AP353" s="584" t="str">
        <f t="shared" si="316"/>
        <v>1+0.00192806113604281i</v>
      </c>
      <c r="AQ353" s="585">
        <f t="shared" si="317"/>
        <v>1.0000018587081447</v>
      </c>
      <c r="AR353" s="586">
        <f t="shared" si="318"/>
        <v>1.9280587469106272E-3</v>
      </c>
      <c r="AS353" s="580" t="str">
        <f t="shared" si="319"/>
        <v>0.139050771940375-0.525561039702064i</v>
      </c>
      <c r="AT353" s="270">
        <f t="shared" si="320"/>
        <v>0.54364466669868894</v>
      </c>
      <c r="AU353" s="581">
        <f t="shared" si="321"/>
        <v>-1.3121469330875377</v>
      </c>
      <c r="AV353" s="580" t="str">
        <f t="shared" si="322"/>
        <v>-0.016969352560448-0.104751289121983i</v>
      </c>
      <c r="AW353" s="270">
        <f t="shared" si="323"/>
        <v>-19.484310827010273</v>
      </c>
      <c r="AX353" s="581">
        <f t="shared" si="324"/>
        <v>-99.201783278424074</v>
      </c>
      <c r="AY353" s="299">
        <f t="shared" si="294"/>
        <v>80.798216721575926</v>
      </c>
      <c r="BB353" s="270">
        <f t="shared" si="327"/>
        <v>-45.293697363152965</v>
      </c>
      <c r="BC353" s="270">
        <f t="shared" si="328"/>
        <v>-75.180481366950744</v>
      </c>
      <c r="BD353" s="286"/>
      <c r="BE353" s="270">
        <f t="shared" si="325"/>
        <v>25.809386536142675</v>
      </c>
      <c r="BF353" s="581">
        <f t="shared" si="326"/>
        <v>-24.021301911473365</v>
      </c>
      <c r="BI353" s="286"/>
      <c r="BJ353" s="286"/>
      <c r="BL353" s="253">
        <f t="shared" si="295"/>
        <v>0</v>
      </c>
      <c r="BM353" s="253">
        <f t="shared" si="329"/>
        <v>0</v>
      </c>
      <c r="BN353" s="253">
        <f t="shared" si="296"/>
        <v>0</v>
      </c>
      <c r="BO353" s="253">
        <f t="shared" si="297"/>
        <v>0</v>
      </c>
    </row>
    <row r="354" spans="4:67" ht="13.6" thickBot="1" x14ac:dyDescent="0.25">
      <c r="D354" s="280">
        <v>27702.5</v>
      </c>
      <c r="E354" s="273" t="str">
        <f t="shared" si="276"/>
        <v>0.313307893749856i</v>
      </c>
      <c r="F354" s="579" t="str">
        <f t="shared" si="298"/>
        <v>0.002-0.0883868815460392i</v>
      </c>
      <c r="G354" s="270" t="str">
        <f t="shared" si="299"/>
        <v>0.002-0.0883868815460392i</v>
      </c>
      <c r="H354" s="271" t="str">
        <f t="shared" si="300"/>
        <v>0.00588485135813537-0.0880387709451403i</v>
      </c>
      <c r="I354" s="271" t="str">
        <f t="shared" si="301"/>
        <v>0.0158848513581354-0.0880387709451403i</v>
      </c>
      <c r="J354" s="270" t="str">
        <f t="shared" si="302"/>
        <v>0.00445737682151114-0.0443780262542154i</v>
      </c>
      <c r="K354" s="271" t="str">
        <f t="shared" si="277"/>
        <v>0.980620981635565-0.218668267552943i</v>
      </c>
      <c r="L354" s="580"/>
      <c r="M354" s="580" t="str">
        <f t="shared" si="278"/>
        <v>-0.286336788993545-55.5688175468781i</v>
      </c>
      <c r="N354" s="270" t="str">
        <f t="shared" si="279"/>
        <v>-6.88141925841183-41.6766131601586i</v>
      </c>
      <c r="O354" s="581" t="str">
        <f t="shared" si="280"/>
        <v>-5.04769465574064-20.4457310464249i</v>
      </c>
      <c r="P354" s="582" t="str">
        <f t="shared" si="281"/>
        <v>-1.88019891170984+0.119615435016887i</v>
      </c>
      <c r="Q354" s="583" t="str">
        <f t="shared" si="282"/>
        <v>-1.82972196515243+0.324072745481135i</v>
      </c>
      <c r="R354" s="581" t="str">
        <f t="shared" si="303"/>
        <v>-0.55663943856356-2.43707350335091i</v>
      </c>
      <c r="S354" s="253" t="str">
        <f t="shared" si="304"/>
        <v>50.6308804785934-9.4807189371122i</v>
      </c>
      <c r="T354" s="253" t="str">
        <f t="shared" si="305"/>
        <v>17.808891563966-7.99567334902167i</v>
      </c>
      <c r="U354" s="253" t="str">
        <f t="shared" si="306"/>
        <v>-0.59912657481959-1.61492627435404i</v>
      </c>
      <c r="V354" s="582" t="str">
        <f t="shared" si="283"/>
        <v>6000</v>
      </c>
      <c r="W354" s="584" t="str">
        <f t="shared" si="284"/>
        <v>1+97488.1879794414i</v>
      </c>
      <c r="X354" s="585">
        <f t="shared" si="285"/>
        <v>97488.187984570221</v>
      </c>
      <c r="Y354" s="586">
        <f t="shared" si="286"/>
        <v>1.5707860691419369</v>
      </c>
      <c r="Z354" s="273" t="str">
        <f t="shared" si="287"/>
        <v>1+14.6210350416599i</v>
      </c>
      <c r="AA354" s="585">
        <f t="shared" si="288"/>
        <v>14.655192448052217</v>
      </c>
      <c r="AB354" s="586">
        <f t="shared" si="289"/>
        <v>1.5025080637046373</v>
      </c>
      <c r="AC354" s="584" t="str">
        <f t="shared" si="290"/>
        <v>1+0.706860626321792i</v>
      </c>
      <c r="AD354" s="585">
        <f t="shared" si="291"/>
        <v>1.2246027703071867</v>
      </c>
      <c r="AE354" s="586">
        <f t="shared" si="292"/>
        <v>0.61531558638418393</v>
      </c>
      <c r="AF354" s="580" t="str">
        <f t="shared" si="307"/>
        <v>0.57104436333182-0.465185463573166i</v>
      </c>
      <c r="AG354" s="270">
        <f t="shared" si="308"/>
        <v>0.73653864828182969</v>
      </c>
      <c r="AH354" s="581">
        <f t="shared" si="309"/>
        <v>-0.68359359182148305</v>
      </c>
      <c r="AI354" s="582" t="str">
        <f t="shared" si="293"/>
        <v>4000</v>
      </c>
      <c r="AJ354" s="584" t="str">
        <f t="shared" si="310"/>
        <v>1+7658.90545508335i</v>
      </c>
      <c r="AK354" s="585">
        <f t="shared" si="311"/>
        <v>7658.9055203668286</v>
      </c>
      <c r="AL354" s="586">
        <f t="shared" si="312"/>
        <v>1.5706657598359255</v>
      </c>
      <c r="AM354" s="273" t="str">
        <f t="shared" si="313"/>
        <v>1+0.268052309097099i</v>
      </c>
      <c r="AN354" s="585">
        <f t="shared" si="314"/>
        <v>1.0353028737583445</v>
      </c>
      <c r="AO354" s="586">
        <f t="shared" si="315"/>
        <v>0.26189559447785726</v>
      </c>
      <c r="AP354" s="584" t="str">
        <f t="shared" si="316"/>
        <v>1+0.00193929684195868i</v>
      </c>
      <c r="AQ354" s="585">
        <f t="shared" si="317"/>
        <v>1.0000018804343527</v>
      </c>
      <c r="AR354" s="586">
        <f t="shared" si="318"/>
        <v>1.9392944108149457E-3</v>
      </c>
      <c r="AS354" s="580" t="str">
        <f t="shared" si="319"/>
        <v>0.139049968853055-0.522519210379936i</v>
      </c>
      <c r="AT354" s="270">
        <f t="shared" si="320"/>
        <v>0.54070437306730501</v>
      </c>
      <c r="AU354" s="581">
        <f t="shared" si="321"/>
        <v>-1.3107094597688835</v>
      </c>
      <c r="AV354" s="580" t="str">
        <f t="shared" si="322"/>
        <v>-0.017015671075098-0.104172860878861i</v>
      </c>
      <c r="AW354" s="270">
        <f t="shared" si="323"/>
        <v>-19.530556335214705</v>
      </c>
      <c r="AX354" s="581">
        <f t="shared" si="324"/>
        <v>-99.276810960213282</v>
      </c>
      <c r="AY354" s="299">
        <f t="shared" si="294"/>
        <v>80.723189039786718</v>
      </c>
      <c r="BB354" s="270">
        <f t="shared" si="327"/>
        <v>-45.340802359132255</v>
      </c>
      <c r="BC354" s="270">
        <f t="shared" si="328"/>
        <v>-75.098120212629198</v>
      </c>
      <c r="BD354" s="286"/>
      <c r="BE354" s="270">
        <f t="shared" si="325"/>
        <v>25.810246023917529</v>
      </c>
      <c r="BF354" s="581">
        <f t="shared" si="326"/>
        <v>-24.178690747584081</v>
      </c>
      <c r="BI354" s="286"/>
      <c r="BJ354" s="286"/>
      <c r="BL354" s="253">
        <f t="shared" si="295"/>
        <v>0</v>
      </c>
      <c r="BM354" s="253">
        <f t="shared" si="329"/>
        <v>0</v>
      </c>
      <c r="BN354" s="253">
        <f t="shared" si="296"/>
        <v>0</v>
      </c>
      <c r="BO354" s="253">
        <f t="shared" si="297"/>
        <v>0</v>
      </c>
    </row>
    <row r="355" spans="4:67" ht="13.6" thickBot="1" x14ac:dyDescent="0.25">
      <c r="D355" s="280">
        <v>27863</v>
      </c>
      <c r="E355" s="273" t="str">
        <f t="shared" si="276"/>
        <v>0.315123105985101i</v>
      </c>
      <c r="F355" s="579" t="str">
        <f t="shared" si="298"/>
        <v>0.002-0.087877744177912i</v>
      </c>
      <c r="G355" s="270" t="str">
        <f t="shared" si="299"/>
        <v>0.002-0.087877744177912i</v>
      </c>
      <c r="H355" s="271" t="str">
        <f t="shared" si="300"/>
        <v>0.00584028714498722-0.0875335949531328i</v>
      </c>
      <c r="I355" s="271" t="str">
        <f t="shared" si="301"/>
        <v>0.0158402871449872-0.0875335949531328i</v>
      </c>
      <c r="J355" s="270" t="str">
        <f t="shared" si="302"/>
        <v>0.00444604484444255-0.0441242455875473i</v>
      </c>
      <c r="K355" s="271" t="str">
        <f t="shared" si="277"/>
        <v>0.980395778667206-0.219935166097921i</v>
      </c>
      <c r="L355" s="580"/>
      <c r="M355" s="580" t="str">
        <f t="shared" si="278"/>
        <v>-0.284485331219278-55.193813602045i</v>
      </c>
      <c r="N355" s="270" t="str">
        <f t="shared" si="279"/>
        <v>-6.88003066508113-41.3953602015337i</v>
      </c>
      <c r="O355" s="581" t="str">
        <f t="shared" si="280"/>
        <v>-5.03982701251122-20.3041547476474i</v>
      </c>
      <c r="P355" s="582" t="str">
        <f t="shared" si="281"/>
        <v>-1.85712796458555+0.119530534908025i</v>
      </c>
      <c r="Q355" s="583" t="str">
        <f t="shared" si="282"/>
        <v>-1.80672969446042+0.322572082384498i</v>
      </c>
      <c r="R355" s="581" t="str">
        <f t="shared" si="303"/>
        <v>-0.55601455212287-2.42005353604823i</v>
      </c>
      <c r="S355" s="253" t="str">
        <f t="shared" si="304"/>
        <v>50.6149367949377-9.55578755806735i</v>
      </c>
      <c r="T355" s="253" t="str">
        <f t="shared" si="305"/>
        <v>17.7886379927135-8.04532391330483i</v>
      </c>
      <c r="U355" s="253" t="str">
        <f t="shared" si="306"/>
        <v>-0.600345370898302-1.60409043465022i</v>
      </c>
      <c r="V355" s="582" t="str">
        <f t="shared" si="283"/>
        <v>6000</v>
      </c>
      <c r="W355" s="584" t="str">
        <f t="shared" si="284"/>
        <v>1+98053.0053847554i</v>
      </c>
      <c r="X355" s="585">
        <f t="shared" si="285"/>
        <v>98053.00538985469</v>
      </c>
      <c r="Y355" s="586">
        <f t="shared" si="286"/>
        <v>1.5707861282293754</v>
      </c>
      <c r="Z355" s="273" t="str">
        <f t="shared" si="287"/>
        <v>1+14.7057449459714i</v>
      </c>
      <c r="AA355" s="585">
        <f t="shared" si="288"/>
        <v>14.739706049170838</v>
      </c>
      <c r="AB355" s="586">
        <f t="shared" si="289"/>
        <v>1.5029002151805526</v>
      </c>
      <c r="AC355" s="584" t="str">
        <f t="shared" si="290"/>
        <v>1+0.710955965389555i</v>
      </c>
      <c r="AD355" s="585">
        <f t="shared" si="291"/>
        <v>1.226971224081068</v>
      </c>
      <c r="AE355" s="586">
        <f t="shared" si="292"/>
        <v>0.61804117801555514</v>
      </c>
      <c r="AF355" s="580" t="str">
        <f t="shared" si="307"/>
        <v>0.568841883386484-0.465603746147536i</v>
      </c>
      <c r="AG355" s="270">
        <f t="shared" si="308"/>
        <v>0.73509722943383582</v>
      </c>
      <c r="AH355" s="581">
        <f t="shared" si="309"/>
        <v>-0.68592709106437755</v>
      </c>
      <c r="AI355" s="582" t="str">
        <f t="shared" si="293"/>
        <v>4000</v>
      </c>
      <c r="AJ355" s="584" t="str">
        <f t="shared" si="310"/>
        <v>1+7703.27886273759i</v>
      </c>
      <c r="AK355" s="585">
        <f t="shared" si="311"/>
        <v>7703.2789276450148</v>
      </c>
      <c r="AL355" s="586">
        <f t="shared" si="312"/>
        <v>1.5706665119443373</v>
      </c>
      <c r="AM355" s="273" t="str">
        <f t="shared" si="313"/>
        <v>1+0.269605324009475i</v>
      </c>
      <c r="AN355" s="585">
        <f t="shared" si="314"/>
        <v>1.0357060542133825</v>
      </c>
      <c r="AO355" s="586">
        <f t="shared" si="315"/>
        <v>0.26334393887404828</v>
      </c>
      <c r="AP355" s="584" t="str">
        <f t="shared" si="316"/>
        <v>1+0.00195053254787455i</v>
      </c>
      <c r="AQ355" s="585">
        <f t="shared" si="317"/>
        <v>1.0000019022868007</v>
      </c>
      <c r="AR355" s="586">
        <f t="shared" si="318"/>
        <v>1.9505300742296303E-3</v>
      </c>
      <c r="AS355" s="580" t="str">
        <f t="shared" si="319"/>
        <v>0.139049179464712-0.519512442910928i</v>
      </c>
      <c r="AT355" s="270">
        <f t="shared" si="320"/>
        <v>0.5377990820455999</v>
      </c>
      <c r="AU355" s="581">
        <f t="shared" si="321"/>
        <v>-1.3092731031445186</v>
      </c>
      <c r="AV355" s="580" t="str">
        <f t="shared" si="322"/>
        <v>-0.0170615036352909-0.103601144683256i</v>
      </c>
      <c r="AW355" s="270">
        <f t="shared" si="323"/>
        <v>-19.57649288755751</v>
      </c>
      <c r="AX355" s="581">
        <f t="shared" si="324"/>
        <v>-99.351786982042867</v>
      </c>
      <c r="AY355" s="299">
        <f t="shared" si="294"/>
        <v>80.648213017957133</v>
      </c>
      <c r="BB355" s="270">
        <f t="shared" si="327"/>
        <v>-45.387598867946828</v>
      </c>
      <c r="BC355" s="270">
        <f t="shared" si="328"/>
        <v>-75.015823040177423</v>
      </c>
      <c r="BD355" s="286"/>
      <c r="BE355" s="270">
        <f t="shared" si="325"/>
        <v>25.811105980389314</v>
      </c>
      <c r="BF355" s="581">
        <f t="shared" si="326"/>
        <v>-24.335963941865419</v>
      </c>
      <c r="BI355" s="286"/>
      <c r="BJ355" s="286"/>
      <c r="BL355" s="253">
        <f t="shared" si="295"/>
        <v>0</v>
      </c>
      <c r="BM355" s="253">
        <f t="shared" si="329"/>
        <v>0</v>
      </c>
      <c r="BN355" s="253">
        <f t="shared" si="296"/>
        <v>0</v>
      </c>
      <c r="BO355" s="253">
        <f t="shared" si="297"/>
        <v>0</v>
      </c>
    </row>
    <row r="356" spans="4:67" ht="13.6" thickBot="1" x14ac:dyDescent="0.25">
      <c r="D356" s="280">
        <v>28023.5</v>
      </c>
      <c r="E356" s="273" t="str">
        <f t="shared" si="276"/>
        <v>0.316938318220345i</v>
      </c>
      <c r="F356" s="579" t="str">
        <f t="shared" si="298"/>
        <v>0.002-0.0873744388113245i</v>
      </c>
      <c r="G356" s="270" t="str">
        <f t="shared" si="299"/>
        <v>0.002-0.0873744388113245i</v>
      </c>
      <c r="H356" s="271" t="str">
        <f t="shared" si="300"/>
        <v>0.00579648449869789-0.0870341723488994i</v>
      </c>
      <c r="I356" s="271" t="str">
        <f t="shared" si="301"/>
        <v>0.0157964844986979-0.0870341723488994i</v>
      </c>
      <c r="J356" s="270" t="str">
        <f t="shared" si="302"/>
        <v>0.00443490398464098-0.043873376701464i</v>
      </c>
      <c r="K356" s="271" t="str">
        <f t="shared" si="277"/>
        <v>0.980169274708972-0.221202064642898i</v>
      </c>
      <c r="L356" s="580"/>
      <c r="M356" s="580" t="str">
        <f t="shared" si="278"/>
        <v>-0.282628017800242-54.824144879915i</v>
      </c>
      <c r="N356" s="270" t="str">
        <f t="shared" si="279"/>
        <v>-6.87863768001685-41.1181086599363i</v>
      </c>
      <c r="O356" s="581" t="str">
        <f t="shared" si="280"/>
        <v>-5.03208772506354-20.1645747300803i</v>
      </c>
      <c r="P356" s="582" t="str">
        <f t="shared" si="281"/>
        <v>-1.83449636814512+0.119434198191411i</v>
      </c>
      <c r="Q356" s="583" t="str">
        <f t="shared" si="282"/>
        <v>-1.78417549089449+0.321079945492216i</v>
      </c>
      <c r="R356" s="581" t="str">
        <f t="shared" si="303"/>
        <v>-0.555399726850962-2.40327235351397i</v>
      </c>
      <c r="S356" s="253" t="str">
        <f t="shared" si="304"/>
        <v>50.5988650266245-9.63071313500086i</v>
      </c>
      <c r="T356" s="253" t="str">
        <f t="shared" si="305"/>
        <v>17.7682633487489-8.09488874362525i</v>
      </c>
      <c r="U356" s="253" t="str">
        <f t="shared" si="306"/>
        <v>-0.601538478988042-1.59336799175675i</v>
      </c>
      <c r="V356" s="582" t="str">
        <f t="shared" si="283"/>
        <v>6000</v>
      </c>
      <c r="W356" s="584" t="str">
        <f t="shared" si="284"/>
        <v>1+98617.8227900688i</v>
      </c>
      <c r="X356" s="585">
        <f t="shared" si="285"/>
        <v>98617.822795138884</v>
      </c>
      <c r="Y356" s="586">
        <f t="shared" si="286"/>
        <v>1.5707861866399868</v>
      </c>
      <c r="Z356" s="273" t="str">
        <f t="shared" si="287"/>
        <v>1+14.7904548502828i</v>
      </c>
      <c r="AA356" s="585">
        <f t="shared" si="288"/>
        <v>14.824221891156849</v>
      </c>
      <c r="AB356" s="586">
        <f t="shared" si="289"/>
        <v>1.5032878952481592</v>
      </c>
      <c r="AC356" s="584" t="str">
        <f t="shared" si="290"/>
        <v>1+0.715051304457315i</v>
      </c>
      <c r="AD356" s="585">
        <f t="shared" si="291"/>
        <v>1.2293487576786775</v>
      </c>
      <c r="AE356" s="586">
        <f t="shared" si="292"/>
        <v>0.62075624728276313</v>
      </c>
      <c r="AF356" s="580" t="str">
        <f t="shared" si="307"/>
        <v>0.566643750782756-0.466011157844161i</v>
      </c>
      <c r="AG356" s="270">
        <f t="shared" si="308"/>
        <v>0.73365628160358964</v>
      </c>
      <c r="AH356" s="581">
        <f t="shared" si="309"/>
        <v>-0.68825453867458986</v>
      </c>
      <c r="AI356" s="582" t="str">
        <f t="shared" si="293"/>
        <v>4000</v>
      </c>
      <c r="AJ356" s="584" t="str">
        <f t="shared" si="310"/>
        <v>1+7747.65227039179i</v>
      </c>
      <c r="AK356" s="585">
        <f t="shared" si="311"/>
        <v>7747.6523349274676</v>
      </c>
      <c r="AL356" s="586">
        <f t="shared" si="312"/>
        <v>1.5706672554375942</v>
      </c>
      <c r="AM356" s="273" t="str">
        <f t="shared" si="313"/>
        <v>1+0.271158338921851i</v>
      </c>
      <c r="AN356" s="585">
        <f t="shared" si="314"/>
        <v>1.0361114055770535</v>
      </c>
      <c r="AO356" s="586">
        <f t="shared" si="315"/>
        <v>0.26479115305070844</v>
      </c>
      <c r="AP356" s="584" t="str">
        <f t="shared" si="316"/>
        <v>1+0.00196176825379042i</v>
      </c>
      <c r="AQ356" s="585">
        <f t="shared" si="317"/>
        <v>1.0000019242654894</v>
      </c>
      <c r="AR356" s="586">
        <f t="shared" si="318"/>
        <v>1.9617657371518442E-3</v>
      </c>
      <c r="AS356" s="580" t="str">
        <f t="shared" si="319"/>
        <v>0.13904840346161-0.51654013486204i</v>
      </c>
      <c r="AT356" s="270">
        <f t="shared" si="320"/>
        <v>0.5349281909083845</v>
      </c>
      <c r="AU356" s="581">
        <f t="shared" si="321"/>
        <v>-1.3078378681240381</v>
      </c>
      <c r="AV356" s="580" t="str">
        <f t="shared" si="322"/>
        <v>-0.0171068627239642-0.103036025024274i</v>
      </c>
      <c r="AW356" s="270">
        <f t="shared" si="323"/>
        <v>-19.622123827768842</v>
      </c>
      <c r="AX356" s="581">
        <f t="shared" si="324"/>
        <v>-99.426713297963673</v>
      </c>
      <c r="AY356" s="299">
        <f t="shared" si="294"/>
        <v>80.573286702036327</v>
      </c>
      <c r="BB356" s="270">
        <f t="shared" si="327"/>
        <v>-45.434090280524174</v>
      </c>
      <c r="BC356" s="270">
        <f t="shared" si="328"/>
        <v>-74.93359013089453</v>
      </c>
      <c r="BD356" s="286"/>
      <c r="BE356" s="270">
        <f t="shared" si="325"/>
        <v>25.811966452755378</v>
      </c>
      <c r="BF356" s="581">
        <f t="shared" si="326"/>
        <v>-24.493123167069115</v>
      </c>
      <c r="BI356" s="286"/>
      <c r="BJ356" s="286"/>
      <c r="BL356" s="253">
        <f t="shared" si="295"/>
        <v>0</v>
      </c>
      <c r="BM356" s="253">
        <f t="shared" si="329"/>
        <v>0</v>
      </c>
      <c r="BN356" s="253">
        <f t="shared" si="296"/>
        <v>0</v>
      </c>
      <c r="BO356" s="253">
        <f t="shared" si="297"/>
        <v>0</v>
      </c>
    </row>
    <row r="357" spans="4:67" ht="13.6" thickBot="1" x14ac:dyDescent="0.25">
      <c r="D357" s="280">
        <v>28184</v>
      </c>
      <c r="E357" s="273" t="str">
        <f t="shared" si="276"/>
        <v>0.318753530455589i</v>
      </c>
      <c r="F357" s="579" t="str">
        <f t="shared" si="298"/>
        <v>0.002-0.0868768658114236i</v>
      </c>
      <c r="G357" s="270" t="str">
        <f t="shared" si="299"/>
        <v>0.002-0.0868768658114236i</v>
      </c>
      <c r="H357" s="271" t="str">
        <f t="shared" si="300"/>
        <v>0.00575342617563205-0.0865404055889265i</v>
      </c>
      <c r="I357" s="271" t="str">
        <f t="shared" si="301"/>
        <v>0.0157534261756321-0.0865404055889265i</v>
      </c>
      <c r="J357" s="270" t="str">
        <f t="shared" si="302"/>
        <v>0.00442394988849497-0.043625369941087i</v>
      </c>
      <c r="K357" s="271" t="str">
        <f t="shared" si="277"/>
        <v>0.979941469760864-0.222468963187876i</v>
      </c>
      <c r="L357" s="580"/>
      <c r="M357" s="580" t="str">
        <f t="shared" si="278"/>
        <v>-0.280766260122349-54.4596935437051i</v>
      </c>
      <c r="N357" s="270" t="str">
        <f t="shared" si="279"/>
        <v>-6.87724136175843-40.8447701577788i</v>
      </c>
      <c r="O357" s="581" t="str">
        <f t="shared" si="280"/>
        <v>-5.02447391478848-20.0269468205616i</v>
      </c>
      <c r="P357" s="582" t="str">
        <f t="shared" si="281"/>
        <v>-1.81229277944727+0.119326982195748i</v>
      </c>
      <c r="Q357" s="583" t="str">
        <f t="shared" si="282"/>
        <v>-1.76204804029939+0.319596450401366i</v>
      </c>
      <c r="R357" s="581" t="str">
        <f t="shared" si="303"/>
        <v>-0.554794759327595-2.38672467465216i</v>
      </c>
      <c r="S357" s="253" t="str">
        <f t="shared" si="304"/>
        <v>50.5826657406753-9.70549751674029i</v>
      </c>
      <c r="T357" s="253" t="str">
        <f t="shared" si="305"/>
        <v>17.7477679108614-8.14436813551913i</v>
      </c>
      <c r="U357" s="253" t="str">
        <f t="shared" si="306"/>
        <v>-0.602706449255962-1.58275705411896i</v>
      </c>
      <c r="V357" s="582" t="str">
        <f t="shared" si="283"/>
        <v>6000</v>
      </c>
      <c r="W357" s="584" t="str">
        <f t="shared" si="284"/>
        <v>1+99182.6401953823i</v>
      </c>
      <c r="X357" s="585">
        <f t="shared" si="285"/>
        <v>99182.640200423484</v>
      </c>
      <c r="Y357" s="586">
        <f t="shared" si="286"/>
        <v>1.5707862443853338</v>
      </c>
      <c r="Z357" s="273" t="str">
        <f t="shared" si="287"/>
        <v>1+14.8751647545941i</v>
      </c>
      <c r="AA357" s="585">
        <f t="shared" si="288"/>
        <v>14.908739935900639</v>
      </c>
      <c r="AB357" s="586">
        <f t="shared" si="289"/>
        <v>1.5036711798355207</v>
      </c>
      <c r="AC357" s="584" t="str">
        <f t="shared" si="290"/>
        <v>1+0.719146643525075i</v>
      </c>
      <c r="AD357" s="585">
        <f t="shared" si="291"/>
        <v>1.2317353185215487</v>
      </c>
      <c r="AE357" s="586">
        <f t="shared" si="292"/>
        <v>0.62346081520458763</v>
      </c>
      <c r="AF357" s="580" t="str">
        <f t="shared" si="307"/>
        <v>0.564450061114177-0.466407751452584i</v>
      </c>
      <c r="AG357" s="270">
        <f t="shared" si="308"/>
        <v>0.73221585759040586</v>
      </c>
      <c r="AH357" s="581">
        <f t="shared" si="309"/>
        <v>-0.6905758797544006</v>
      </c>
      <c r="AI357" s="582" t="str">
        <f t="shared" si="293"/>
        <v>4000</v>
      </c>
      <c r="AJ357" s="584" t="str">
        <f t="shared" si="310"/>
        <v>1+7792.02567804599i</v>
      </c>
      <c r="AK357" s="585">
        <f t="shared" si="311"/>
        <v>7792.0257422141558</v>
      </c>
      <c r="AL357" s="586">
        <f t="shared" si="312"/>
        <v>1.5706679904628786</v>
      </c>
      <c r="AM357" s="273" t="str">
        <f t="shared" si="313"/>
        <v>1+0.272711353834226i</v>
      </c>
      <c r="AN357" s="585">
        <f t="shared" si="314"/>
        <v>1.0365189253024261</v>
      </c>
      <c r="AO357" s="586">
        <f t="shared" si="315"/>
        <v>0.2662372322752164</v>
      </c>
      <c r="AP357" s="584" t="str">
        <f t="shared" si="316"/>
        <v>1+0.00197300395970628i</v>
      </c>
      <c r="AQ357" s="585">
        <f t="shared" si="317"/>
        <v>1.0000019463704184</v>
      </c>
      <c r="AR357" s="586">
        <f t="shared" si="318"/>
        <v>1.9730013995787397E-3</v>
      </c>
      <c r="AS357" s="580" t="str">
        <f t="shared" si="319"/>
        <v>0.139047640538922-0.513601697523016i</v>
      </c>
      <c r="AT357" s="270">
        <f t="shared" si="320"/>
        <v>0.53209111065489989</v>
      </c>
      <c r="AU357" s="581">
        <f t="shared" si="321"/>
        <v>-1.3064037595872398</v>
      </c>
      <c r="AV357" s="580" t="str">
        <f t="shared" si="322"/>
        <v>-0.0171517604681732-0.102477388991872i</v>
      </c>
      <c r="AW357" s="270">
        <f t="shared" si="323"/>
        <v>-19.667452444141592</v>
      </c>
      <c r="AX357" s="581">
        <f t="shared" si="324"/>
        <v>-99.501591821334742</v>
      </c>
      <c r="AY357" s="299">
        <f t="shared" si="294"/>
        <v>80.498408178665258</v>
      </c>
      <c r="BB357" s="270">
        <f t="shared" si="327"/>
        <v>-45.480279930536668</v>
      </c>
      <c r="BC357" s="270">
        <f t="shared" si="328"/>
        <v>-74.85142176437229</v>
      </c>
      <c r="BD357" s="286"/>
      <c r="BE357" s="270">
        <f t="shared" si="325"/>
        <v>25.812827486395111</v>
      </c>
      <c r="BF357" s="581">
        <f t="shared" si="326"/>
        <v>-24.650170056962391</v>
      </c>
      <c r="BI357" s="286"/>
      <c r="BJ357" s="286"/>
      <c r="BL357" s="253">
        <f t="shared" si="295"/>
        <v>0</v>
      </c>
      <c r="BM357" s="253">
        <f t="shared" si="329"/>
        <v>0</v>
      </c>
      <c r="BN357" s="253">
        <f t="shared" si="296"/>
        <v>0</v>
      </c>
      <c r="BO357" s="253">
        <f t="shared" si="297"/>
        <v>0</v>
      </c>
    </row>
    <row r="358" spans="4:67" ht="13.6" thickBot="1" x14ac:dyDescent="0.25">
      <c r="D358" s="280">
        <v>28348</v>
      </c>
      <c r="E358" s="273" t="str">
        <f t="shared" si="276"/>
        <v>0.320608326758268i</v>
      </c>
      <c r="F358" s="579" t="str">
        <f t="shared" si="298"/>
        <v>0.002-0.0863742622417514i</v>
      </c>
      <c r="G358" s="270" t="str">
        <f t="shared" si="299"/>
        <v>0.002-0.0863742622417514i</v>
      </c>
      <c r="H358" s="271" t="str">
        <f t="shared" si="300"/>
        <v>0.00571018029928195-0.0860416143221204i</v>
      </c>
      <c r="I358" s="271" t="str">
        <f t="shared" si="301"/>
        <v>0.015710180299282-0.0860416143221204i</v>
      </c>
      <c r="J358" s="270" t="str">
        <f t="shared" si="302"/>
        <v>0.00441294543384104-0.0433748608706444i</v>
      </c>
      <c r="K358" s="271" t="str">
        <f t="shared" si="277"/>
        <v>0.979707353248655-0.223763488803928i</v>
      </c>
      <c r="L358" s="580"/>
      <c r="M358" s="580" t="str">
        <f t="shared" si="278"/>
        <v>-0.278860684331549-54.0925650551246i</v>
      </c>
      <c r="N358" s="270" t="str">
        <f t="shared" si="279"/>
        <v>-6.87581217991533-40.5694237913435i</v>
      </c>
      <c r="O358" s="581" t="str">
        <f t="shared" si="280"/>
        <v>-5.01682076803298-19.8882895352665i</v>
      </c>
      <c r="P358" s="582" t="str">
        <f t="shared" si="281"/>
        <v>-1.79003569651504+0.119206743202938i</v>
      </c>
      <c r="Q358" s="583" t="str">
        <f t="shared" si="282"/>
        <v>-1.73986748883471+0.318089638555603i</v>
      </c>
      <c r="R358" s="581" t="str">
        <f t="shared" si="303"/>
        <v>-0.554186575051624-2.37005201144096i</v>
      </c>
      <c r="S358" s="253" t="str">
        <f t="shared" si="304"/>
        <v>50.5659820531627-9.78176874007606i</v>
      </c>
      <c r="T358" s="253" t="str">
        <f t="shared" si="305"/>
        <v>17.7267010439628-8.19483855783399i</v>
      </c>
      <c r="U358" s="253" t="str">
        <f t="shared" si="306"/>
        <v>-0.603874479552697-1.57202798011691i</v>
      </c>
      <c r="V358" s="582" t="str">
        <f t="shared" si="283"/>
        <v>6000</v>
      </c>
      <c r="W358" s="584" t="str">
        <f t="shared" si="284"/>
        <v>1+99759.7744911547i</v>
      </c>
      <c r="X358" s="585">
        <f t="shared" si="285"/>
        <v>99759.774496166749</v>
      </c>
      <c r="Y358" s="586">
        <f t="shared" si="286"/>
        <v>1.5707863027144988</v>
      </c>
      <c r="Z358" s="273" t="str">
        <f t="shared" si="287"/>
        <v>1+14.9617219153859i</v>
      </c>
      <c r="AA358" s="585">
        <f t="shared" si="288"/>
        <v>14.995103289852283</v>
      </c>
      <c r="AB358" s="586">
        <f t="shared" si="289"/>
        <v>1.5040583595654857</v>
      </c>
      <c r="AC358" s="584" t="str">
        <f t="shared" si="290"/>
        <v>1+0.72333128905226i</v>
      </c>
      <c r="AD358" s="585">
        <f t="shared" si="291"/>
        <v>1.2341831929345026</v>
      </c>
      <c r="AE358" s="586">
        <f t="shared" si="292"/>
        <v>0.62621353624103182</v>
      </c>
      <c r="AF358" s="580" t="str">
        <f t="shared" si="307"/>
        <v>0.5622132206061-0.466801875646741i</v>
      </c>
      <c r="AG358" s="270">
        <f t="shared" si="308"/>
        <v>0.7307446178601652</v>
      </c>
      <c r="AH358" s="581">
        <f t="shared" si="309"/>
        <v>-0.69294147939004491</v>
      </c>
      <c r="AI358" s="582" t="str">
        <f t="shared" si="293"/>
        <v>4000</v>
      </c>
      <c r="AJ358" s="584" t="str">
        <f t="shared" si="310"/>
        <v>1+7837.36673010391i</v>
      </c>
      <c r="AK358" s="585">
        <f t="shared" si="311"/>
        <v>7837.3667939008483</v>
      </c>
      <c r="AL358" s="586">
        <f t="shared" si="312"/>
        <v>1.5706687329194267</v>
      </c>
      <c r="AM358" s="273" t="str">
        <f t="shared" si="313"/>
        <v>1+0.274298235115408i</v>
      </c>
      <c r="AN358" s="585">
        <f t="shared" si="314"/>
        <v>1.0369375688957498</v>
      </c>
      <c r="AO358" s="586">
        <f t="shared" si="315"/>
        <v>0.26771366869457097</v>
      </c>
      <c r="AP358" s="584" t="str">
        <f t="shared" si="316"/>
        <v>1+0.00198448468101596i</v>
      </c>
      <c r="AQ358" s="585">
        <f t="shared" si="317"/>
        <v>1.0000019690877859</v>
      </c>
      <c r="AR358" s="586">
        <f t="shared" si="318"/>
        <v>1.9844820759365197E-3</v>
      </c>
      <c r="AS358" s="580" t="str">
        <f t="shared" si="319"/>
        <v>0.139046874182518-0.510633570215064i</v>
      </c>
      <c r="AT358" s="270">
        <f t="shared" si="320"/>
        <v>0.52922648861381794</v>
      </c>
      <c r="AU358" s="581">
        <f t="shared" si="321"/>
        <v>-1.3049395463007936</v>
      </c>
      <c r="AV358" s="580" t="str">
        <f t="shared" si="322"/>
        <v>-0.0171971730039183-0.10191315328111i</v>
      </c>
      <c r="AW358" s="270">
        <f t="shared" si="323"/>
        <v>-19.713460614831227</v>
      </c>
      <c r="AX358" s="581">
        <f t="shared" si="324"/>
        <v>-99.578055791818841</v>
      </c>
      <c r="AY358" s="299">
        <f t="shared" si="294"/>
        <v>80.421944208181159</v>
      </c>
      <c r="BB358" s="270">
        <f t="shared" si="327"/>
        <v>-45.527168536443696</v>
      </c>
      <c r="BC358" s="270">
        <f t="shared" si="328"/>
        <v>-74.767528522751945</v>
      </c>
      <c r="BD358" s="286"/>
      <c r="BE358" s="270">
        <f t="shared" si="325"/>
        <v>25.813707921612483</v>
      </c>
      <c r="BF358" s="581">
        <f t="shared" si="326"/>
        <v>-24.810527269066881</v>
      </c>
      <c r="BI358" s="286"/>
      <c r="BJ358" s="286"/>
      <c r="BL358" s="253">
        <f t="shared" si="295"/>
        <v>0</v>
      </c>
      <c r="BM358" s="253">
        <f t="shared" si="329"/>
        <v>0</v>
      </c>
      <c r="BN358" s="253">
        <f t="shared" si="296"/>
        <v>0</v>
      </c>
      <c r="BO358" s="253">
        <f t="shared" si="297"/>
        <v>0</v>
      </c>
    </row>
    <row r="359" spans="4:67" ht="13.6" thickBot="1" x14ac:dyDescent="0.25">
      <c r="D359" s="280">
        <v>28512</v>
      </c>
      <c r="E359" s="273" t="str">
        <f t="shared" si="276"/>
        <v>0.322463123060948i</v>
      </c>
      <c r="F359" s="579" t="str">
        <f t="shared" si="298"/>
        <v>0.002-0.0858774405874423i</v>
      </c>
      <c r="G359" s="270" t="str">
        <f t="shared" si="299"/>
        <v>0.002-0.0858774405874423i</v>
      </c>
      <c r="H359" s="271" t="str">
        <f t="shared" si="300"/>
        <v>0.00566767669333862-0.0855485292739177i</v>
      </c>
      <c r="I359" s="271" t="str">
        <f t="shared" si="301"/>
        <v>0.0156676766933386-0.0855485292739177i</v>
      </c>
      <c r="J359" s="270" t="str">
        <f t="shared" si="302"/>
        <v>0.00440212717450412-0.0431272388444908i</v>
      </c>
      <c r="K359" s="271" t="str">
        <f t="shared" si="277"/>
        <v>0.979471878386909-0.22505801441998i</v>
      </c>
      <c r="L359" s="580"/>
      <c r="M359" s="580" t="str">
        <f t="shared" si="278"/>
        <v>-0.276953158244268-53.7306463854527i</v>
      </c>
      <c r="N359" s="270" t="str">
        <f t="shared" si="279"/>
        <v>-6.87438153534987-40.2979847890895i</v>
      </c>
      <c r="O359" s="581" t="str">
        <f t="shared" si="280"/>
        <v>-5.00929279707788-19.751581366153i</v>
      </c>
      <c r="P359" s="582" t="str">
        <f t="shared" si="281"/>
        <v>-1.76820271671539+0.119076240465387i</v>
      </c>
      <c r="Q359" s="583" t="str">
        <f t="shared" si="282"/>
        <v>-1.71810978874461+0.316592054126915i</v>
      </c>
      <c r="R359" s="581" t="str">
        <f t="shared" si="303"/>
        <v>-0.553588268267118-2.35361249915172i</v>
      </c>
      <c r="S359" s="253" t="str">
        <f t="shared" si="304"/>
        <v>50.5491663715809-9.85789630428131i</v>
      </c>
      <c r="T359" s="253" t="str">
        <f t="shared" si="305"/>
        <v>17.7055086332299-8.24522035793365i</v>
      </c>
      <c r="U359" s="253" t="str">
        <f t="shared" si="306"/>
        <v>-0.605017376536323-1.56141146687357i</v>
      </c>
      <c r="V359" s="582" t="str">
        <f t="shared" si="283"/>
        <v>6000</v>
      </c>
      <c r="W359" s="584" t="str">
        <f t="shared" si="284"/>
        <v>1+100336.908786927i</v>
      </c>
      <c r="X359" s="585">
        <f t="shared" si="285"/>
        <v>100336.9087919102</v>
      </c>
      <c r="Y359" s="586">
        <f t="shared" si="286"/>
        <v>1.5707863603726493</v>
      </c>
      <c r="Z359" s="273" t="str">
        <f t="shared" si="287"/>
        <v>1+15.0482790761775i</v>
      </c>
      <c r="AA359" s="585">
        <f t="shared" si="288"/>
        <v>15.081468865946762</v>
      </c>
      <c r="AB359" s="586">
        <f t="shared" si="289"/>
        <v>1.5044411049035236</v>
      </c>
      <c r="AC359" s="584" t="str">
        <f t="shared" si="290"/>
        <v>1+0.72751593457944i</v>
      </c>
      <c r="AD359" s="585">
        <f t="shared" si="291"/>
        <v>1.2366403822724681</v>
      </c>
      <c r="AE359" s="586">
        <f t="shared" si="292"/>
        <v>0.6289553387386092</v>
      </c>
      <c r="AF359" s="580" t="str">
        <f t="shared" si="307"/>
        <v>0.559981214162662-0.467184821414011i</v>
      </c>
      <c r="AG359" s="270">
        <f t="shared" si="308"/>
        <v>0.72927403462260376</v>
      </c>
      <c r="AH359" s="581">
        <f t="shared" si="309"/>
        <v>-0.69530059420773249</v>
      </c>
      <c r="AI359" s="582" t="str">
        <f t="shared" si="293"/>
        <v>4000</v>
      </c>
      <c r="AJ359" s="584" t="str">
        <f t="shared" si="310"/>
        <v>1+7882.70778216177i</v>
      </c>
      <c r="AK359" s="585">
        <f t="shared" si="311"/>
        <v>7882.7078455917508</v>
      </c>
      <c r="AL359" s="586">
        <f t="shared" si="312"/>
        <v>1.570669466834808</v>
      </c>
      <c r="AM359" s="273" t="str">
        <f t="shared" si="313"/>
        <v>1+0.275885116396588i</v>
      </c>
      <c r="AN359" s="585">
        <f t="shared" si="314"/>
        <v>1.0373584710451633</v>
      </c>
      <c r="AO359" s="586">
        <f t="shared" si="315"/>
        <v>0.26918891021664909</v>
      </c>
      <c r="AP359" s="584" t="str">
        <f t="shared" si="316"/>
        <v>1+0.00199596540232563i</v>
      </c>
      <c r="AQ359" s="585">
        <f t="shared" si="317"/>
        <v>1.0000019919369598</v>
      </c>
      <c r="AR359" s="586">
        <f t="shared" si="318"/>
        <v>1.9959627517711557E-3</v>
      </c>
      <c r="AS359" s="580" t="str">
        <f t="shared" si="319"/>
        <v>0.139046120866922-0.507699606384236i</v>
      </c>
      <c r="AT359" s="270">
        <f t="shared" si="320"/>
        <v>0.52639596697813595</v>
      </c>
      <c r="AU359" s="581">
        <f t="shared" si="321"/>
        <v>-1.3034765193699307</v>
      </c>
      <c r="AV359" s="580" t="str">
        <f t="shared" si="322"/>
        <v>-0.0172421283684779-0.101355456703872i</v>
      </c>
      <c r="AW359" s="270">
        <f t="shared" si="323"/>
        <v>-19.759159902126115</v>
      </c>
      <c r="AX359" s="581">
        <f t="shared" si="324"/>
        <v>-99.654473776290388</v>
      </c>
      <c r="AY359" s="299">
        <f t="shared" si="294"/>
        <v>80.345526223709612</v>
      </c>
      <c r="BB359" s="270">
        <f t="shared" si="327"/>
        <v>-45.573748935216763</v>
      </c>
      <c r="BC359" s="270">
        <f t="shared" si="328"/>
        <v>-74.68370325429953</v>
      </c>
      <c r="BD359" s="286"/>
      <c r="BE359" s="270">
        <f t="shared" si="325"/>
        <v>25.814589033090623</v>
      </c>
      <c r="BF359" s="581">
        <f t="shared" si="326"/>
        <v>-24.97077052199089</v>
      </c>
      <c r="BI359" s="286"/>
      <c r="BJ359" s="286"/>
      <c r="BL359" s="253">
        <f t="shared" si="295"/>
        <v>0</v>
      </c>
      <c r="BM359" s="253">
        <f t="shared" si="329"/>
        <v>0</v>
      </c>
      <c r="BN359" s="253">
        <f t="shared" si="296"/>
        <v>0</v>
      </c>
      <c r="BO359" s="253">
        <f t="shared" si="297"/>
        <v>0</v>
      </c>
    </row>
    <row r="360" spans="4:67" ht="13.6" thickBot="1" x14ac:dyDescent="0.25">
      <c r="D360" s="280">
        <v>28676</v>
      </c>
      <c r="E360" s="273" t="str">
        <f t="shared" si="276"/>
        <v>0.324317919363627i</v>
      </c>
      <c r="F360" s="579" t="str">
        <f t="shared" si="298"/>
        <v>0.002-0.0853863016469927i</v>
      </c>
      <c r="G360" s="270" t="str">
        <f t="shared" si="299"/>
        <v>0.002-0.0853863016469927i</v>
      </c>
      <c r="H360" s="271" t="str">
        <f t="shared" si="300"/>
        <v>0.00562589847762141-0.0850610532615084i</v>
      </c>
      <c r="I360" s="271" t="str">
        <f t="shared" si="301"/>
        <v>0.0156258984776214-0.0850610532615084i</v>
      </c>
      <c r="J360" s="270" t="str">
        <f t="shared" si="302"/>
        <v>0.00439149084970851-0.0428824544156105i</v>
      </c>
      <c r="K360" s="271" t="str">
        <f t="shared" si="277"/>
        <v>0.979235045175627-0.226352540036032i</v>
      </c>
      <c r="L360" s="580"/>
      <c r="M360" s="580" t="str">
        <f t="shared" si="278"/>
        <v>-0.275044906319958-53.3738228307899i</v>
      </c>
      <c r="N360" s="270" t="str">
        <f t="shared" si="279"/>
        <v>-6.87295034640664-40.0303671230924i</v>
      </c>
      <c r="O360" s="581" t="str">
        <f t="shared" si="280"/>
        <v>-5.00188717212976-19.6167793229028i</v>
      </c>
      <c r="P360" s="582" t="str">
        <f t="shared" si="281"/>
        <v>-1.74678289195291+0.118935988999004i</v>
      </c>
      <c r="Q360" s="583" t="str">
        <f t="shared" si="282"/>
        <v>-1.69676402023161+0.315103782228031i</v>
      </c>
      <c r="R360" s="581" t="str">
        <f t="shared" si="303"/>
        <v>-0.55299963647456-2.33740099774109i</v>
      </c>
      <c r="S360" s="253" t="str">
        <f t="shared" si="304"/>
        <v>50.5322192501228-9.93388204099487i</v>
      </c>
      <c r="T360" s="253" t="str">
        <f t="shared" si="305"/>
        <v>17.6841909635582-8.29551381060248i</v>
      </c>
      <c r="U360" s="253" t="str">
        <f t="shared" si="306"/>
        <v>-0.606135679055386-1.55090562795607i</v>
      </c>
      <c r="V360" s="582" t="str">
        <f t="shared" si="283"/>
        <v>6000</v>
      </c>
      <c r="W360" s="584" t="str">
        <f t="shared" si="284"/>
        <v>1+100914.043082699i</v>
      </c>
      <c r="X360" s="585">
        <f t="shared" si="285"/>
        <v>100914.04308765373</v>
      </c>
      <c r="Y360" s="586">
        <f t="shared" si="286"/>
        <v>1.570786417371298</v>
      </c>
      <c r="Z360" s="273" t="str">
        <f t="shared" si="287"/>
        <v>1+15.1348362369693i</v>
      </c>
      <c r="AA360" s="585">
        <f t="shared" si="288"/>
        <v>15.167836626225871</v>
      </c>
      <c r="AB360" s="586">
        <f t="shared" si="289"/>
        <v>1.5048194914866504</v>
      </c>
      <c r="AC360" s="584" t="str">
        <f t="shared" si="290"/>
        <v>1+0.731700580106625i</v>
      </c>
      <c r="AD360" s="585">
        <f t="shared" si="291"/>
        <v>1.2391068311200497</v>
      </c>
      <c r="AE360" s="586">
        <f t="shared" si="292"/>
        <v>0.63168624655240491</v>
      </c>
      <c r="AF360" s="580" t="str">
        <f t="shared" si="307"/>
        <v>0.557754137174747-0.467556650172473i</v>
      </c>
      <c r="AG360" s="270">
        <f t="shared" si="308"/>
        <v>0.72780416229645928</v>
      </c>
      <c r="AH360" s="581">
        <f t="shared" si="309"/>
        <v>-0.69765317243705327</v>
      </c>
      <c r="AI360" s="582" t="str">
        <f t="shared" si="293"/>
        <v>4000</v>
      </c>
      <c r="AJ360" s="584" t="str">
        <f t="shared" si="310"/>
        <v>1+7928.04883421969i</v>
      </c>
      <c r="AK360" s="585">
        <f t="shared" si="311"/>
        <v>7928.0488972869107</v>
      </c>
      <c r="AL360" s="586">
        <f t="shared" si="312"/>
        <v>1.5706701923555653</v>
      </c>
      <c r="AM360" s="273" t="str">
        <f t="shared" si="313"/>
        <v>1+0.27747199767777i</v>
      </c>
      <c r="AN360" s="585">
        <f t="shared" si="314"/>
        <v>1.0377816290026012</v>
      </c>
      <c r="AO360" s="586">
        <f t="shared" si="315"/>
        <v>0.27066295187800282</v>
      </c>
      <c r="AP360" s="584" t="str">
        <f t="shared" si="316"/>
        <v>1+0.00200744612363531i</v>
      </c>
      <c r="AQ360" s="585">
        <f t="shared" si="317"/>
        <v>1.0000020149179396</v>
      </c>
      <c r="AR360" s="586">
        <f t="shared" si="318"/>
        <v>2.0074434270796414E-3</v>
      </c>
      <c r="AS360" s="580" t="str">
        <f t="shared" si="319"/>
        <v>0.139045380293827-0.504799219880792i</v>
      </c>
      <c r="AT360" s="270">
        <f t="shared" si="320"/>
        <v>0.52359895929357148</v>
      </c>
      <c r="AU360" s="581">
        <f t="shared" si="321"/>
        <v>-1.3020146839046416</v>
      </c>
      <c r="AV360" s="580" t="str">
        <f t="shared" si="322"/>
        <v>-0.0172866384238586-0.10080418675155i</v>
      </c>
      <c r="AW360" s="270">
        <f t="shared" si="323"/>
        <v>-19.804553642763636</v>
      </c>
      <c r="AX360" s="581">
        <f t="shared" si="324"/>
        <v>-99.730847691305385</v>
      </c>
      <c r="AY360" s="299">
        <f t="shared" si="294"/>
        <v>80.269152308694615</v>
      </c>
      <c r="BB360" s="270">
        <f t="shared" si="327"/>
        <v>-45.620024506501586</v>
      </c>
      <c r="BC360" s="270">
        <f t="shared" si="328"/>
        <v>-74.599946251795913</v>
      </c>
      <c r="BD360" s="286"/>
      <c r="BE360" s="270">
        <f t="shared" si="325"/>
        <v>25.815470863737989</v>
      </c>
      <c r="BF360" s="581">
        <f t="shared" si="326"/>
        <v>-25.130901439509429</v>
      </c>
      <c r="BI360" s="286"/>
      <c r="BJ360" s="286"/>
      <c r="BL360" s="253">
        <f t="shared" si="295"/>
        <v>0</v>
      </c>
      <c r="BM360" s="253">
        <f t="shared" si="329"/>
        <v>0</v>
      </c>
      <c r="BN360" s="253">
        <f t="shared" si="296"/>
        <v>0</v>
      </c>
      <c r="BO360" s="253">
        <f t="shared" si="297"/>
        <v>0</v>
      </c>
    </row>
    <row r="361" spans="4:67" ht="13.6" thickBot="1" x14ac:dyDescent="0.25">
      <c r="D361" s="280">
        <v>28840</v>
      </c>
      <c r="E361" s="273" t="str">
        <f t="shared" si="276"/>
        <v>0.326172715666307i</v>
      </c>
      <c r="F361" s="579" t="str">
        <f t="shared" si="298"/>
        <v>0.002-0.0849007484753519i</v>
      </c>
      <c r="G361" s="270" t="str">
        <f t="shared" si="299"/>
        <v>0.002-0.0849007484753519i</v>
      </c>
      <c r="H361" s="271" t="str">
        <f t="shared" si="300"/>
        <v>0.00558482924879589-0.0845790912923945i</v>
      </c>
      <c r="I361" s="271" t="str">
        <f t="shared" si="301"/>
        <v>0.0155848292487959-0.0845790912923945i</v>
      </c>
      <c r="J361" s="270" t="str">
        <f t="shared" si="302"/>
        <v>0.00438103231938071-0.0426404592591366i</v>
      </c>
      <c r="K361" s="271" t="str">
        <f t="shared" si="277"/>
        <v>0.978996853614808-0.227647065652085i</v>
      </c>
      <c r="L361" s="580"/>
      <c r="M361" s="580" t="str">
        <f t="shared" si="278"/>
        <v>-0.273137069707017-53.0219831195672i</v>
      </c>
      <c r="N361" s="270" t="str">
        <f t="shared" si="279"/>
        <v>-6.87151946894693-39.7664873396754i</v>
      </c>
      <c r="O361" s="581" t="str">
        <f t="shared" si="280"/>
        <v>-4.99460113980318-19.4838417042868i</v>
      </c>
      <c r="P361" s="582" t="str">
        <f t="shared" si="281"/>
        <v>-1.72576563216311+0.118786479700634i</v>
      </c>
      <c r="Q361" s="583" t="str">
        <f t="shared" si="282"/>
        <v>-1.67581962076508+0.313624896743501i</v>
      </c>
      <c r="R361" s="581" t="str">
        <f t="shared" si="303"/>
        <v>-0.552420481862351-2.32141252117788i</v>
      </c>
      <c r="S361" s="253" t="str">
        <f t="shared" si="304"/>
        <v>50.5151412270302-10.0097277369703i</v>
      </c>
      <c r="T361" s="253" t="str">
        <f t="shared" si="305"/>
        <v>17.6627483159555-8.34571917772511i</v>
      </c>
      <c r="U361" s="253" t="str">
        <f t="shared" si="306"/>
        <v>-0.60722991082443-1.54050861885578i</v>
      </c>
      <c r="V361" s="582" t="str">
        <f t="shared" si="283"/>
        <v>6000</v>
      </c>
      <c r="W361" s="584" t="str">
        <f t="shared" si="284"/>
        <v>1+101491.177378471i</v>
      </c>
      <c r="X361" s="585">
        <f t="shared" si="285"/>
        <v>101491.17738339755</v>
      </c>
      <c r="Y361" s="586">
        <f t="shared" si="286"/>
        <v>1.5707864737216957</v>
      </c>
      <c r="Z361" s="273" t="str">
        <f t="shared" si="287"/>
        <v>1+15.221393397761i</v>
      </c>
      <c r="AA361" s="585">
        <f t="shared" si="288"/>
        <v>15.25420653358942</v>
      </c>
      <c r="AB361" s="586">
        <f t="shared" si="289"/>
        <v>1.5051935932438989</v>
      </c>
      <c r="AC361" s="584" t="str">
        <f t="shared" si="290"/>
        <v>1+0.735885225633806i</v>
      </c>
      <c r="AD361" s="585">
        <f t="shared" si="291"/>
        <v>1.2415824842941838</v>
      </c>
      <c r="AE361" s="586">
        <f t="shared" si="292"/>
        <v>0.63440628399830068</v>
      </c>
      <c r="AF361" s="580" t="str">
        <f t="shared" si="307"/>
        <v>0.555532082854188-0.467917424904341i</v>
      </c>
      <c r="AG361" s="270">
        <f t="shared" si="308"/>
        <v>0.72633505464724879</v>
      </c>
      <c r="AH361" s="581">
        <f t="shared" si="309"/>
        <v>-0.69999916447609556</v>
      </c>
      <c r="AI361" s="582" t="str">
        <f t="shared" si="293"/>
        <v>4000</v>
      </c>
      <c r="AJ361" s="584" t="str">
        <f t="shared" si="310"/>
        <v>1+7973.38988627756i</v>
      </c>
      <c r="AK361" s="585">
        <f t="shared" si="311"/>
        <v>7973.3899489861451</v>
      </c>
      <c r="AL361" s="586">
        <f t="shared" si="312"/>
        <v>1.5706709096249074</v>
      </c>
      <c r="AM361" s="273" t="str">
        <f t="shared" si="313"/>
        <v>1+0.279058878958951i</v>
      </c>
      <c r="AN361" s="585">
        <f t="shared" si="314"/>
        <v>1.0382070400097596</v>
      </c>
      <c r="AO361" s="586">
        <f t="shared" si="315"/>
        <v>0.27213578874410482</v>
      </c>
      <c r="AP361" s="584" t="str">
        <f t="shared" si="316"/>
        <v>1+0.00201892684494498i</v>
      </c>
      <c r="AQ361" s="585">
        <f t="shared" si="317"/>
        <v>1.0000020380307257</v>
      </c>
      <c r="AR361" s="586">
        <f t="shared" si="318"/>
        <v>2.0189241018589315E-3</v>
      </c>
      <c r="AS361" s="580" t="str">
        <f t="shared" si="319"/>
        <v>0.139044652173384-0.501931837887672i</v>
      </c>
      <c r="AT361" s="270">
        <f t="shared" si="320"/>
        <v>0.52083489244031411</v>
      </c>
      <c r="AU361" s="581">
        <f t="shared" si="321"/>
        <v>-1.3005540449826609</v>
      </c>
      <c r="AV361" s="580" t="str">
        <f t="shared" si="322"/>
        <v>-0.017330714693519-0.100259233445785i</v>
      </c>
      <c r="AW361" s="270">
        <f t="shared" si="323"/>
        <v>-19.849645118299314</v>
      </c>
      <c r="AX361" s="581">
        <f t="shared" si="324"/>
        <v>-99.80717941361371</v>
      </c>
      <c r="AY361" s="299">
        <f t="shared" si="294"/>
        <v>80.19282058638629</v>
      </c>
      <c r="BB361" s="270">
        <f t="shared" si="327"/>
        <v>-45.665998573026066</v>
      </c>
      <c r="BC361" s="270">
        <f t="shared" si="328"/>
        <v>-74.516257806173883</v>
      </c>
      <c r="BD361" s="286"/>
      <c r="BE361" s="270">
        <f t="shared" si="325"/>
        <v>25.816353454726713</v>
      </c>
      <c r="BF361" s="581">
        <f t="shared" si="326"/>
        <v>-25.290921607439873</v>
      </c>
      <c r="BI361" s="286"/>
      <c r="BJ361" s="286"/>
      <c r="BL361" s="253">
        <f t="shared" si="295"/>
        <v>0</v>
      </c>
      <c r="BM361" s="253">
        <f t="shared" si="329"/>
        <v>0</v>
      </c>
      <c r="BN361" s="253">
        <f t="shared" si="296"/>
        <v>0</v>
      </c>
      <c r="BO361" s="253">
        <f t="shared" si="297"/>
        <v>0</v>
      </c>
    </row>
    <row r="362" spans="4:67" ht="13.6" thickBot="1" x14ac:dyDescent="0.25">
      <c r="D362" s="280">
        <v>29008</v>
      </c>
      <c r="E362" s="273" t="str">
        <f t="shared" si="276"/>
        <v>0.328072750903198i</v>
      </c>
      <c r="F362" s="579" t="str">
        <f t="shared" si="298"/>
        <v>0.002-0.0844090452988537i</v>
      </c>
      <c r="G362" s="270" t="str">
        <f t="shared" si="299"/>
        <v>0.002-0.0844090452988537i</v>
      </c>
      <c r="H362" s="271" t="str">
        <f t="shared" si="300"/>
        <v>0.00554347680568628-0.0840909945119395i</v>
      </c>
      <c r="I362" s="271" t="str">
        <f t="shared" si="301"/>
        <v>0.0155434768056863-0.0840909945119395i</v>
      </c>
      <c r="J362" s="270" t="str">
        <f t="shared" si="302"/>
        <v>0.0043704988499337-0.0423954045624985i</v>
      </c>
      <c r="K362" s="271" t="str">
        <f t="shared" si="277"/>
        <v>0.978751444054443-0.22897316506365i</v>
      </c>
      <c r="L362" s="580"/>
      <c r="M362" s="580" t="str">
        <f t="shared" si="278"/>
        <v>-0.27118424182361-52.6666167728543i</v>
      </c>
      <c r="N362" s="270" t="str">
        <f t="shared" si="279"/>
        <v>-6.87005484803438-39.4999625796407i</v>
      </c>
      <c r="O362" s="581" t="str">
        <f t="shared" si="280"/>
        <v>-4.98725860264528-19.3495526079732i</v>
      </c>
      <c r="P362" s="582" t="str">
        <f t="shared" si="281"/>
        <v>-1.70464246057974+0.118624213622228i</v>
      </c>
      <c r="Q362" s="583" t="str">
        <f t="shared" si="282"/>
        <v>-1.65476987455328+0.312119739701961i</v>
      </c>
      <c r="R362" s="581" t="str">
        <f t="shared" si="303"/>
        <v>-0.551836826300008-2.30526027626395i</v>
      </c>
      <c r="S362" s="253" t="str">
        <f t="shared" si="304"/>
        <v>50.4975114835571-10.0872799439328i</v>
      </c>
      <c r="T362" s="253" t="str">
        <f t="shared" si="305"/>
        <v>17.6406533792992-8.39705799217077i</v>
      </c>
      <c r="U362" s="253" t="str">
        <f t="shared" si="306"/>
        <v>-0.608326404690774-1.52996898272127i</v>
      </c>
      <c r="V362" s="582" t="str">
        <f t="shared" si="283"/>
        <v>6000</v>
      </c>
      <c r="W362" s="584" t="str">
        <f t="shared" si="284"/>
        <v>1+102082.388120481i</v>
      </c>
      <c r="X362" s="585">
        <f t="shared" si="285"/>
        <v>102082.38812537899</v>
      </c>
      <c r="Y362" s="586">
        <f t="shared" si="286"/>
        <v>1.5707865307858262</v>
      </c>
      <c r="Z362" s="273" t="str">
        <f t="shared" si="287"/>
        <v>1+15.3100617088159i</v>
      </c>
      <c r="AA362" s="585">
        <f t="shared" si="288"/>
        <v>15.342685212431062</v>
      </c>
      <c r="AB362" s="586">
        <f t="shared" si="289"/>
        <v>1.5055724521052483</v>
      </c>
      <c r="AC362" s="584" t="str">
        <f t="shared" si="290"/>
        <v>1+0.740171935686041i</v>
      </c>
      <c r="AD362" s="585">
        <f t="shared" si="291"/>
        <v>1.2441280056237063</v>
      </c>
      <c r="AE362" s="586">
        <f t="shared" si="292"/>
        <v>0.63718141841447595</v>
      </c>
      <c r="AF362" s="580" t="str">
        <f t="shared" si="307"/>
        <v>0.553261135171228-0.46827560469297i</v>
      </c>
      <c r="AG362" s="270">
        <f t="shared" si="308"/>
        <v>0.72483096349529841</v>
      </c>
      <c r="AH362" s="581">
        <f t="shared" si="309"/>
        <v>-0.70239549709505289</v>
      </c>
      <c r="AI362" s="582" t="str">
        <f t="shared" si="293"/>
        <v>4000</v>
      </c>
      <c r="AJ362" s="584" t="str">
        <f t="shared" si="310"/>
        <v>1+8019.83681765392i</v>
      </c>
      <c r="AK362" s="585">
        <f t="shared" si="311"/>
        <v>8019.8368799993268</v>
      </c>
      <c r="AL362" s="586">
        <f t="shared" si="312"/>
        <v>1.5706716359791664</v>
      </c>
      <c r="AM362" s="273" t="str">
        <f t="shared" si="313"/>
        <v>1+0.280684464661624i</v>
      </c>
      <c r="AN362" s="585">
        <f t="shared" si="314"/>
        <v>1.0386451601496935</v>
      </c>
      <c r="AO362" s="586">
        <f t="shared" si="315"/>
        <v>0.27364329410146387</v>
      </c>
      <c r="AP362" s="584" t="str">
        <f t="shared" si="316"/>
        <v>1+0.00203068758384757i</v>
      </c>
      <c r="AQ362" s="585">
        <f t="shared" si="317"/>
        <v>1.0000020618439061</v>
      </c>
      <c r="AR362" s="586">
        <f t="shared" si="318"/>
        <v>2.0306847925443852E-3</v>
      </c>
      <c r="AS362" s="580" t="str">
        <f t="shared" si="319"/>
        <v>0.139043918911458-0.499028156408224i</v>
      </c>
      <c r="AT362" s="270">
        <f t="shared" si="320"/>
        <v>0.51803697963991624</v>
      </c>
      <c r="AU362" s="581">
        <f t="shared" si="321"/>
        <v>-1.2990590266702455</v>
      </c>
      <c r="AV362" s="580" t="str">
        <f t="shared" si="322"/>
        <v>-0.0173754279106951-0.0997074258426639i</v>
      </c>
      <c r="AW362" s="270">
        <f t="shared" si="323"/>
        <v>-19.895526345959485</v>
      </c>
      <c r="AX362" s="581">
        <f t="shared" si="324"/>
        <v>-99.88533105739775</v>
      </c>
      <c r="AY362" s="299">
        <f t="shared" si="294"/>
        <v>80.11466894260225</v>
      </c>
      <c r="BB362" s="270">
        <f t="shared" si="327"/>
        <v>-45.712784747939821</v>
      </c>
      <c r="BC362" s="270">
        <f t="shared" si="328"/>
        <v>-74.430599566577712</v>
      </c>
      <c r="BD362" s="286"/>
      <c r="BE362" s="270">
        <f t="shared" si="325"/>
        <v>25.817258401980332</v>
      </c>
      <c r="BF362" s="581">
        <f t="shared" si="326"/>
        <v>-25.454731490820024</v>
      </c>
      <c r="BI362" s="286"/>
      <c r="BJ362" s="286"/>
      <c r="BL362" s="253">
        <f t="shared" si="295"/>
        <v>0</v>
      </c>
      <c r="BM362" s="253">
        <f t="shared" si="329"/>
        <v>0</v>
      </c>
      <c r="BN362" s="253">
        <f t="shared" si="296"/>
        <v>0</v>
      </c>
      <c r="BO362" s="253">
        <f t="shared" si="297"/>
        <v>0</v>
      </c>
    </row>
    <row r="363" spans="4:67" ht="13.6" thickBot="1" x14ac:dyDescent="0.25">
      <c r="D363" s="280">
        <v>29176</v>
      </c>
      <c r="E363" s="273" t="str">
        <f t="shared" si="276"/>
        <v>0.329972786140089i</v>
      </c>
      <c r="F363" s="579" t="str">
        <f t="shared" si="298"/>
        <v>0.002-0.0839230047309141i</v>
      </c>
      <c r="G363" s="270" t="str">
        <f t="shared" si="299"/>
        <v>0.002-0.0839230047309141i</v>
      </c>
      <c r="H363" s="271" t="str">
        <f t="shared" si="300"/>
        <v>0.00550283497477186-0.0836084890190847i</v>
      </c>
      <c r="I363" s="271" t="str">
        <f t="shared" si="301"/>
        <v>0.0155028349747719-0.0836084890190847i</v>
      </c>
      <c r="J363" s="270" t="str">
        <f t="shared" si="302"/>
        <v>0.00436014352949246-0.042153177675029i</v>
      </c>
      <c r="K363" s="271" t="str">
        <f t="shared" si="277"/>
        <v>0.978504609075528-0.230299264475216i</v>
      </c>
      <c r="L363" s="580"/>
      <c r="M363" s="580" t="str">
        <f t="shared" si="278"/>
        <v>-0.269234027929549-52.3162544571475i</v>
      </c>
      <c r="N363" s="270" t="str">
        <f t="shared" si="279"/>
        <v>-6.86859218761383-39.2371908428606i</v>
      </c>
      <c r="O363" s="581" t="str">
        <f t="shared" si="280"/>
        <v>-4.98003594967281-19.2171353436217i</v>
      </c>
      <c r="P363" s="582" t="str">
        <f t="shared" si="281"/>
        <v>-1.68392032485167+0.118453203092842i</v>
      </c>
      <c r="Q363" s="583" t="str">
        <f t="shared" si="282"/>
        <v>-1.63411996535494+0.31062455652906i</v>
      </c>
      <c r="R363" s="581" t="str">
        <f t="shared" si="303"/>
        <v>-0.55126271027404-2.28933194664135i</v>
      </c>
      <c r="S363" s="253" t="str">
        <f t="shared" si="304"/>
        <v>50.4797454695391-10.1646888521094i</v>
      </c>
      <c r="T363" s="253" t="str">
        <f t="shared" si="305"/>
        <v>17.6184278790099-8.44830488818355i</v>
      </c>
      <c r="U363" s="253" t="str">
        <f t="shared" si="306"/>
        <v>-0.609398705340462-1.51953976147197i</v>
      </c>
      <c r="V363" s="582" t="str">
        <f t="shared" si="283"/>
        <v>6000</v>
      </c>
      <c r="W363" s="584" t="str">
        <f t="shared" si="284"/>
        <v>1+102673.598862492i</v>
      </c>
      <c r="X363" s="585">
        <f t="shared" si="285"/>
        <v>102673.59886736181</v>
      </c>
      <c r="Y363" s="586">
        <f t="shared" si="286"/>
        <v>1.5707865871927882</v>
      </c>
      <c r="Z363" s="273" t="str">
        <f t="shared" si="287"/>
        <v>1+15.3987300198709i</v>
      </c>
      <c r="AA363" s="585">
        <f t="shared" si="288"/>
        <v>15.431166068216401</v>
      </c>
      <c r="AB363" s="586">
        <f t="shared" si="289"/>
        <v>1.5059469663376406</v>
      </c>
      <c r="AC363" s="584" t="str">
        <f t="shared" si="290"/>
        <v>1+0.74445864573828i</v>
      </c>
      <c r="AD363" s="585">
        <f t="shared" si="291"/>
        <v>1.2466830692740132</v>
      </c>
      <c r="AE363" s="586">
        <f t="shared" si="292"/>
        <v>0.63994519882626932</v>
      </c>
      <c r="AF363" s="580" t="str">
        <f t="shared" si="307"/>
        <v>0.550995649251308-0.468622323169366i</v>
      </c>
      <c r="AG363" s="270">
        <f t="shared" si="308"/>
        <v>0.72332778687571797</v>
      </c>
      <c r="AH363" s="581">
        <f t="shared" si="309"/>
        <v>-0.70478481968141504</v>
      </c>
      <c r="AI363" s="582" t="str">
        <f t="shared" si="293"/>
        <v>4000</v>
      </c>
      <c r="AJ363" s="584" t="str">
        <f t="shared" si="310"/>
        <v>1+8066.28374903033i</v>
      </c>
      <c r="AK363" s="585">
        <f t="shared" si="311"/>
        <v>8066.283811016744</v>
      </c>
      <c r="AL363" s="586">
        <f t="shared" si="312"/>
        <v>1.570672353968501</v>
      </c>
      <c r="AM363" s="273" t="str">
        <f t="shared" si="313"/>
        <v>1+0.282310050364299i</v>
      </c>
      <c r="AN363" s="585">
        <f t="shared" si="314"/>
        <v>1.0390856386923519</v>
      </c>
      <c r="AO363" s="586">
        <f t="shared" si="315"/>
        <v>0.27514952478696547</v>
      </c>
      <c r="AP363" s="584" t="str">
        <f t="shared" si="316"/>
        <v>1+0.00204244832275017i</v>
      </c>
      <c r="AQ363" s="585">
        <f t="shared" si="317"/>
        <v>1.0000020857954002</v>
      </c>
      <c r="AR363" s="586">
        <f t="shared" si="318"/>
        <v>2.0424454826681055E-3</v>
      </c>
      <c r="AS363" s="580" t="str">
        <f t="shared" si="319"/>
        <v>0.13904319812728-0.496157933460504i</v>
      </c>
      <c r="AT363" s="270">
        <f t="shared" si="320"/>
        <v>0.51527245791062815</v>
      </c>
      <c r="AU363" s="581">
        <f t="shared" si="321"/>
        <v>-1.2975652746642041</v>
      </c>
      <c r="AV363" s="580" t="str">
        <f t="shared" si="322"/>
        <v>-0.0174197093629306-0.0991620209767986i</v>
      </c>
      <c r="AW363" s="270">
        <f t="shared" si="323"/>
        <v>-19.941097183026198</v>
      </c>
      <c r="AX363" s="581">
        <f t="shared" si="324"/>
        <v>-99.963442288540364</v>
      </c>
      <c r="AY363" s="299">
        <f t="shared" si="294"/>
        <v>80.036557711459636</v>
      </c>
      <c r="BB363" s="270">
        <f t="shared" si="327"/>
        <v>-45.759261412261345</v>
      </c>
      <c r="BC363" s="270">
        <f t="shared" si="328"/>
        <v>-74.34501388099234</v>
      </c>
      <c r="BD363" s="286"/>
      <c r="BE363" s="270">
        <f t="shared" si="325"/>
        <v>25.818164229235148</v>
      </c>
      <c r="BF363" s="581">
        <f t="shared" si="326"/>
        <v>-25.618428407548027</v>
      </c>
      <c r="BI363" s="286"/>
      <c r="BJ363" s="286"/>
      <c r="BL363" s="253">
        <f t="shared" si="295"/>
        <v>0</v>
      </c>
      <c r="BM363" s="253">
        <f t="shared" si="329"/>
        <v>0</v>
      </c>
      <c r="BN363" s="253">
        <f t="shared" si="296"/>
        <v>0</v>
      </c>
      <c r="BO363" s="253">
        <f t="shared" si="297"/>
        <v>0</v>
      </c>
    </row>
    <row r="364" spans="4:67" ht="13.6" thickBot="1" x14ac:dyDescent="0.25">
      <c r="D364" s="280">
        <v>29344</v>
      </c>
      <c r="E364" s="273" t="str">
        <f t="shared" si="276"/>
        <v>0.33187282137698i</v>
      </c>
      <c r="F364" s="579" t="str">
        <f t="shared" si="298"/>
        <v>0.002-0.083442529512989i</v>
      </c>
      <c r="G364" s="270" t="str">
        <f t="shared" si="299"/>
        <v>0.002-0.083442529512989i</v>
      </c>
      <c r="H364" s="271" t="str">
        <f t="shared" si="300"/>
        <v>0.00546288757634919-0.0831314794546264i</v>
      </c>
      <c r="I364" s="271" t="str">
        <f t="shared" si="301"/>
        <v>0.0154628875763492-0.0831314794546264i</v>
      </c>
      <c r="J364" s="270" t="str">
        <f t="shared" si="302"/>
        <v>0.0043499622754131-0.0419137301079946i</v>
      </c>
      <c r="K364" s="271" t="str">
        <f t="shared" si="277"/>
        <v>0.978256348678064-0.231625363886781i</v>
      </c>
      <c r="L364" s="580"/>
      <c r="M364" s="580" t="str">
        <f t="shared" si="278"/>
        <v>-0.26728741539365-51.9707869347231i</v>
      </c>
      <c r="N364" s="270" t="str">
        <f t="shared" si="279"/>
        <v>-6.86713222821191-38.9780902010423i</v>
      </c>
      <c r="O364" s="581" t="str">
        <f t="shared" si="280"/>
        <v>-4.97293045542692-19.0865489799602i</v>
      </c>
      <c r="P364" s="582" t="str">
        <f t="shared" si="281"/>
        <v>-1.66358891894455+0.118273904887003i</v>
      </c>
      <c r="Q364" s="583" t="str">
        <f t="shared" si="282"/>
        <v>-1.61385961439028+0.309139394686604i</v>
      </c>
      <c r="R364" s="581" t="str">
        <f t="shared" si="303"/>
        <v>-0.550697935771659-2.27362263800561i</v>
      </c>
      <c r="S364" s="253" t="str">
        <f t="shared" si="304"/>
        <v>50.4618437149652-10.2419562435448i</v>
      </c>
      <c r="T364" s="253" t="str">
        <f t="shared" si="305"/>
        <v>17.5960721054906-8.49946010747983i</v>
      </c>
      <c r="U364" s="253" t="str">
        <f t="shared" si="306"/>
        <v>-0.610447329602748-1.50921910174654i</v>
      </c>
      <c r="V364" s="582" t="str">
        <f t="shared" si="283"/>
        <v>6000</v>
      </c>
      <c r="W364" s="584" t="str">
        <f t="shared" si="284"/>
        <v>1+103264.809604503i</v>
      </c>
      <c r="X364" s="585">
        <f t="shared" si="285"/>
        <v>103264.8096093449</v>
      </c>
      <c r="Y364" s="586">
        <f t="shared" si="286"/>
        <v>1.5707866429538688</v>
      </c>
      <c r="Z364" s="273" t="str">
        <f t="shared" si="287"/>
        <v>1+15.4873983309258i</v>
      </c>
      <c r="AA364" s="585">
        <f t="shared" si="288"/>
        <v>15.519649063711565</v>
      </c>
      <c r="AB364" s="586">
        <f t="shared" si="289"/>
        <v>1.5063172101458948</v>
      </c>
      <c r="AC364" s="584" t="str">
        <f t="shared" si="290"/>
        <v>1+0.748745355790515i</v>
      </c>
      <c r="AD364" s="585">
        <f t="shared" si="291"/>
        <v>1.2492476166948909</v>
      </c>
      <c r="AE364" s="586">
        <f t="shared" si="292"/>
        <v>0.64269765280732583</v>
      </c>
      <c r="AF364" s="580" t="str">
        <f t="shared" si="307"/>
        <v>0.548735718326781-0.46895765266649i</v>
      </c>
      <c r="AG364" s="270">
        <f t="shared" si="308"/>
        <v>0.72182558042928391</v>
      </c>
      <c r="AH364" s="581">
        <f t="shared" si="309"/>
        <v>-0.70716708561529906</v>
      </c>
      <c r="AI364" s="582" t="str">
        <f t="shared" si="293"/>
        <v>4000</v>
      </c>
      <c r="AJ364" s="584" t="str">
        <f t="shared" si="310"/>
        <v>1+8112.7306804067i</v>
      </c>
      <c r="AK364" s="585">
        <f t="shared" si="311"/>
        <v>8112.7307420382303</v>
      </c>
      <c r="AL364" s="586">
        <f t="shared" si="312"/>
        <v>1.5706730637365838</v>
      </c>
      <c r="AM364" s="273" t="str">
        <f t="shared" si="313"/>
        <v>1+0.283935636066972i</v>
      </c>
      <c r="AN364" s="585">
        <f t="shared" si="314"/>
        <v>1.0395284726397618</v>
      </c>
      <c r="AO364" s="586">
        <f t="shared" si="315"/>
        <v>0.27665447559084838</v>
      </c>
      <c r="AP364" s="584" t="str">
        <f t="shared" si="316"/>
        <v>1+0.00205420906165276i</v>
      </c>
      <c r="AQ364" s="585">
        <f t="shared" si="317"/>
        <v>1.0000021098852088</v>
      </c>
      <c r="AR364" s="586">
        <f t="shared" si="318"/>
        <v>2.0542061722268177E-3</v>
      </c>
      <c r="AS364" s="580" t="str">
        <f t="shared" si="319"/>
        <v>0.139042489535044-0.493320594375112i</v>
      </c>
      <c r="AT364" s="270">
        <f t="shared" si="320"/>
        <v>0.51254075226338502</v>
      </c>
      <c r="AU364" s="581">
        <f t="shared" si="321"/>
        <v>-1.2960727943179631</v>
      </c>
      <c r="AV364" s="580" t="str">
        <f t="shared" si="322"/>
        <v>-0.0174635704050395-0.0986229084279574i</v>
      </c>
      <c r="AW364" s="270">
        <f t="shared" si="323"/>
        <v>-19.986360984949304</v>
      </c>
      <c r="AX364" s="581">
        <f t="shared" si="324"/>
        <v>-100.04151500136747</v>
      </c>
      <c r="AY364" s="299">
        <f t="shared" si="294"/>
        <v>79.958484998632528</v>
      </c>
      <c r="BB364" s="270">
        <f t="shared" si="327"/>
        <v>-45.805431960390941</v>
      </c>
      <c r="BC364" s="270">
        <f t="shared" si="328"/>
        <v>-74.259501056146505</v>
      </c>
      <c r="BD364" s="286"/>
      <c r="BE364" s="270">
        <f t="shared" si="325"/>
        <v>25.819070975441633</v>
      </c>
      <c r="BF364" s="581">
        <f t="shared" si="326"/>
        <v>-25.782013945220953</v>
      </c>
      <c r="BI364" s="286"/>
      <c r="BJ364" s="286"/>
      <c r="BL364" s="253">
        <f t="shared" si="295"/>
        <v>0</v>
      </c>
      <c r="BM364" s="253">
        <f t="shared" si="329"/>
        <v>0</v>
      </c>
      <c r="BN364" s="253">
        <f t="shared" si="296"/>
        <v>0</v>
      </c>
      <c r="BO364" s="253">
        <f t="shared" si="297"/>
        <v>0</v>
      </c>
    </row>
    <row r="365" spans="4:67" ht="13.6" thickBot="1" x14ac:dyDescent="0.25">
      <c r="D365" s="280">
        <v>29512</v>
      </c>
      <c r="E365" s="273" t="str">
        <f t="shared" si="276"/>
        <v>0.333772856613871i</v>
      </c>
      <c r="F365" s="579" t="str">
        <f t="shared" si="298"/>
        <v>0.002-0.0829675246011504i</v>
      </c>
      <c r="G365" s="270" t="str">
        <f t="shared" si="299"/>
        <v>0.002-0.0829675246011504i</v>
      </c>
      <c r="H365" s="271" t="str">
        <f t="shared" si="300"/>
        <v>0.00542361888833399-0.082659872611766i</v>
      </c>
      <c r="I365" s="271" t="str">
        <f t="shared" si="301"/>
        <v>0.015423618888334-0.082659872611766i</v>
      </c>
      <c r="J365" s="270" t="str">
        <f t="shared" si="302"/>
        <v>0.004339951120837-0.0416770144743488i</v>
      </c>
      <c r="K365" s="271" t="str">
        <f t="shared" si="277"/>
        <v>0.978006662862049-0.232951463298347i</v>
      </c>
      <c r="L365" s="580"/>
      <c r="M365" s="580" t="str">
        <f t="shared" si="278"/>
        <v>-0.265345320724947-51.6301082086364i</v>
      </c>
      <c r="N365" s="270" t="str">
        <f t="shared" si="279"/>
        <v>-6.86567565721038-38.7225811564773i</v>
      </c>
      <c r="O365" s="581" t="str">
        <f t="shared" si="280"/>
        <v>-4.96593946867555-18.9577538024904i</v>
      </c>
      <c r="P365" s="582" t="str">
        <f t="shared" si="281"/>
        <v>-1.64363827210646+0.118086754249986i</v>
      </c>
      <c r="Q365" s="583" t="str">
        <f t="shared" si="282"/>
        <v>-1.59397887741971+0.307664292274889i</v>
      </c>
      <c r="R365" s="581" t="str">
        <f t="shared" si="303"/>
        <v>-0.550142309490153-2.25812760144007i</v>
      </c>
      <c r="S365" s="253" t="str">
        <f t="shared" si="304"/>
        <v>50.4438067345304-10.319083856024i</v>
      </c>
      <c r="T365" s="253" t="str">
        <f t="shared" si="305"/>
        <v>17.5735863455293-8.55052387908834i</v>
      </c>
      <c r="U365" s="253" t="str">
        <f t="shared" si="306"/>
        <v>-0.611472779769923-1.4990051914691i</v>
      </c>
      <c r="V365" s="582" t="str">
        <f t="shared" si="283"/>
        <v>6000</v>
      </c>
      <c r="W365" s="584" t="str">
        <f t="shared" si="284"/>
        <v>1+103856.020346513i</v>
      </c>
      <c r="X365" s="585">
        <f t="shared" si="285"/>
        <v>103856.02035132736</v>
      </c>
      <c r="Y365" s="586">
        <f t="shared" si="286"/>
        <v>1.5707866980800986</v>
      </c>
      <c r="Z365" s="273" t="str">
        <f t="shared" si="287"/>
        <v>1+15.5760666419807i</v>
      </c>
      <c r="AA365" s="585">
        <f t="shared" si="288"/>
        <v>15.608134162526408</v>
      </c>
      <c r="AB365" s="586">
        <f t="shared" si="289"/>
        <v>1.5066832560568579</v>
      </c>
      <c r="AC365" s="584" t="str">
        <f t="shared" si="290"/>
        <v>1+0.75303206584275i</v>
      </c>
      <c r="AD365" s="585">
        <f t="shared" si="291"/>
        <v>1.2518215895994924</v>
      </c>
      <c r="AE365" s="586">
        <f t="shared" si="292"/>
        <v>0.64543880839223566</v>
      </c>
      <c r="AF365" s="580" t="str">
        <f t="shared" si="307"/>
        <v>0.546481433329452-0.469281666925417i</v>
      </c>
      <c r="AG365" s="270">
        <f t="shared" si="308"/>
        <v>0.72032439906344303</v>
      </c>
      <c r="AH365" s="581">
        <f t="shared" si="309"/>
        <v>-0.70954225041547569</v>
      </c>
      <c r="AI365" s="582" t="str">
        <f t="shared" si="293"/>
        <v>4000</v>
      </c>
      <c r="AJ365" s="584" t="str">
        <f t="shared" si="310"/>
        <v>1+8159.17761178307i</v>
      </c>
      <c r="AK365" s="585">
        <f t="shared" si="311"/>
        <v>8159.1776730637539</v>
      </c>
      <c r="AL365" s="586">
        <f t="shared" si="312"/>
        <v>1.5706737654238156</v>
      </c>
      <c r="AM365" s="273" t="str">
        <f t="shared" si="313"/>
        <v>1+0.285561221769646i</v>
      </c>
      <c r="AN365" s="585">
        <f t="shared" si="314"/>
        <v>1.0399736589830402</v>
      </c>
      <c r="AO365" s="586">
        <f t="shared" si="315"/>
        <v>0.27815814133539785</v>
      </c>
      <c r="AP365" s="584" t="str">
        <f t="shared" si="316"/>
        <v>1+0.00206596980055535i</v>
      </c>
      <c r="AQ365" s="585">
        <f t="shared" si="317"/>
        <v>1.0000021341133312</v>
      </c>
      <c r="AR365" s="586">
        <f t="shared" si="318"/>
        <v>2.0659668612172787E-3</v>
      </c>
      <c r="AS365" s="580" t="str">
        <f t="shared" si="319"/>
        <v>0.139041792857054-0.490515577568088i</v>
      </c>
      <c r="AT365" s="270">
        <f t="shared" si="320"/>
        <v>0.50984130079649181</v>
      </c>
      <c r="AU365" s="581">
        <f t="shared" si="321"/>
        <v>-1.2945815909496352</v>
      </c>
      <c r="AV365" s="580" t="str">
        <f t="shared" si="322"/>
        <v>-0.0175070220665011-0.0980899802623546i</v>
      </c>
      <c r="AW365" s="270">
        <f t="shared" si="323"/>
        <v>-20.031321051698136</v>
      </c>
      <c r="AX365" s="581">
        <f t="shared" si="324"/>
        <v>-100.11955105085165</v>
      </c>
      <c r="AY365" s="299">
        <f t="shared" si="294"/>
        <v>79.880448949148345</v>
      </c>
      <c r="BB365" s="270">
        <f t="shared" si="327"/>
        <v>-45.851299729571423</v>
      </c>
      <c r="BC365" s="270">
        <f t="shared" si="328"/>
        <v>-74.174061396745643</v>
      </c>
      <c r="BD365" s="286"/>
      <c r="BE365" s="270">
        <f t="shared" si="325"/>
        <v>25.819978677873294</v>
      </c>
      <c r="BF365" s="581">
        <f t="shared" si="326"/>
        <v>-25.945489654106012</v>
      </c>
      <c r="BI365" s="286"/>
      <c r="BJ365" s="286"/>
      <c r="BL365" s="253">
        <f t="shared" si="295"/>
        <v>0</v>
      </c>
      <c r="BM365" s="253">
        <f t="shared" si="329"/>
        <v>0</v>
      </c>
      <c r="BN365" s="253">
        <f t="shared" si="296"/>
        <v>0</v>
      </c>
      <c r="BO365" s="253">
        <f t="shared" si="297"/>
        <v>0</v>
      </c>
    </row>
    <row r="366" spans="4:67" ht="13.6" thickBot="1" x14ac:dyDescent="0.25">
      <c r="D366" s="280">
        <v>29684</v>
      </c>
      <c r="E366" s="273" t="str">
        <f t="shared" si="276"/>
        <v>0.335718130784974i</v>
      </c>
      <c r="F366" s="579" t="str">
        <f t="shared" si="298"/>
        <v>0.002-0.0824867802866583i</v>
      </c>
      <c r="G366" s="270" t="str">
        <f t="shared" si="299"/>
        <v>0.002-0.0824867802866583i</v>
      </c>
      <c r="H366" s="271" t="str">
        <f t="shared" si="300"/>
        <v>0.005384102421096-0.0821825391108228i</v>
      </c>
      <c r="I366" s="271" t="str">
        <f t="shared" si="301"/>
        <v>0.015384102421096-0.0821825391108228i</v>
      </c>
      <c r="J366" s="270" t="str">
        <f t="shared" si="302"/>
        <v>0.0043298738033557-0.0414374446729164i</v>
      </c>
      <c r="K366" s="271" t="str">
        <f t="shared" si="277"/>
        <v>0.977749555415267-0.234309136505426i</v>
      </c>
      <c r="L366" s="580"/>
      <c r="M366" s="580" t="str">
        <f t="shared" si="278"/>
        <v>-0.263362553513748-51.286171858594i</v>
      </c>
      <c r="N366" s="270" t="str">
        <f t="shared" si="279"/>
        <v>-6.86418858180198-38.4646288939455i</v>
      </c>
      <c r="O366" s="581" t="str">
        <f t="shared" si="280"/>
        <v>-4.95889796643027-18.8277074973419i</v>
      </c>
      <c r="P366" s="582" t="str">
        <f t="shared" si="281"/>
        <v>-1.62359700197877+0.117887445579191i</v>
      </c>
      <c r="Q366" s="583" t="str">
        <f t="shared" si="282"/>
        <v>-1.57400802231446+0.30616452055261i</v>
      </c>
      <c r="R366" s="581" t="str">
        <f t="shared" si="303"/>
        <v>-0.549582734526967-2.24248080887027i</v>
      </c>
      <c r="S366" s="253" t="str">
        <f t="shared" si="304"/>
        <v>50.4252007304318-10.3979047989535i</v>
      </c>
      <c r="T366" s="253" t="str">
        <f t="shared" si="305"/>
        <v>17.5504308405067-8.60270894138744i</v>
      </c>
      <c r="U366" s="253" t="str">
        <f t="shared" si="306"/>
        <v>-0.612499146854948-1.48865683500104i</v>
      </c>
      <c r="V366" s="582" t="str">
        <f t="shared" si="283"/>
        <v>6000</v>
      </c>
      <c r="W366" s="584" t="str">
        <f t="shared" si="284"/>
        <v>1+104461.307534762i</v>
      </c>
      <c r="X366" s="585">
        <f t="shared" si="285"/>
        <v>104461.30753954846</v>
      </c>
      <c r="Y366" s="586">
        <f t="shared" si="286"/>
        <v>1.5707867538724092</v>
      </c>
      <c r="Z366" s="273" t="str">
        <f t="shared" si="287"/>
        <v>1+15.6668461032988i</v>
      </c>
      <c r="AA366" s="585">
        <f t="shared" si="288"/>
        <v>15.698728191304188</v>
      </c>
      <c r="AB366" s="586">
        <f t="shared" si="289"/>
        <v>1.5070537423556578</v>
      </c>
      <c r="AC366" s="584" t="str">
        <f t="shared" si="290"/>
        <v>1+0.757420840420039i</v>
      </c>
      <c r="AD366" s="585">
        <f t="shared" si="291"/>
        <v>1.2544665517671636</v>
      </c>
      <c r="AE366" s="586">
        <f t="shared" si="292"/>
        <v>0.6482335542198957</v>
      </c>
      <c r="AF366" s="580" t="str">
        <f t="shared" si="307"/>
        <v>0.544179416610748-0.469601751651791i</v>
      </c>
      <c r="AG366" s="270">
        <f t="shared" si="308"/>
        <v>0.71878859382800742</v>
      </c>
      <c r="AH366" s="581">
        <f t="shared" si="309"/>
        <v>-0.7119665657366494</v>
      </c>
      <c r="AI366" s="582" t="str">
        <f t="shared" si="293"/>
        <v>4000</v>
      </c>
      <c r="AJ366" s="584" t="str">
        <f t="shared" si="310"/>
        <v>1+8206.73042247793i</v>
      </c>
      <c r="AK366" s="585">
        <f t="shared" si="311"/>
        <v>8206.7304834035313</v>
      </c>
      <c r="AL366" s="586">
        <f t="shared" si="312"/>
        <v>1.570674475589414</v>
      </c>
      <c r="AM366" s="273" t="str">
        <f t="shared" si="313"/>
        <v>1+0.287225511893811i</v>
      </c>
      <c r="AN366" s="585">
        <f t="shared" si="314"/>
        <v>1.0404318789246423</v>
      </c>
      <c r="AO366" s="586">
        <f t="shared" si="315"/>
        <v>0.27969627195376123</v>
      </c>
      <c r="AP366" s="584" t="str">
        <f t="shared" si="316"/>
        <v>1+0.00207801055705086i</v>
      </c>
      <c r="AQ366" s="585">
        <f t="shared" si="317"/>
        <v>1.0000021590616068</v>
      </c>
      <c r="AR366" s="586">
        <f t="shared" si="318"/>
        <v>2.0780075660201719E-3</v>
      </c>
      <c r="AS366" s="580" t="str">
        <f t="shared" si="319"/>
        <v>0.139041091652876-0.48767668739114i</v>
      </c>
      <c r="AT366" s="270">
        <f t="shared" si="320"/>
        <v>0.50711041854099104</v>
      </c>
      <c r="AU366" s="581">
        <f t="shared" si="321"/>
        <v>-1.2930562112016739</v>
      </c>
      <c r="AV366" s="580" t="str">
        <f t="shared" si="322"/>
        <v>-0.0175510953608361-0.0975506601696808i</v>
      </c>
      <c r="AW366" s="270">
        <f t="shared" si="323"/>
        <v>-20.077040316203369</v>
      </c>
      <c r="AX366" s="581">
        <f t="shared" si="324"/>
        <v>-100.1994090151337</v>
      </c>
      <c r="AY366" s="299">
        <f t="shared" si="294"/>
        <v>79.800590984866304</v>
      </c>
      <c r="BB366" s="270">
        <f t="shared" si="327"/>
        <v>-45.897949336335707</v>
      </c>
      <c r="BC366" s="270">
        <f t="shared" si="328"/>
        <v>-74.086663575032716</v>
      </c>
      <c r="BD366" s="286"/>
      <c r="BE366" s="270">
        <f t="shared" si="325"/>
        <v>25.820909020132333</v>
      </c>
      <c r="BF366" s="581">
        <f t="shared" si="326"/>
        <v>-26.112745440101012</v>
      </c>
      <c r="BI366" s="286"/>
      <c r="BJ366" s="286"/>
      <c r="BL366" s="253">
        <f t="shared" si="295"/>
        <v>0</v>
      </c>
      <c r="BM366" s="253">
        <f t="shared" si="329"/>
        <v>0</v>
      </c>
      <c r="BN366" s="253">
        <f t="shared" si="296"/>
        <v>0</v>
      </c>
      <c r="BO366" s="253">
        <f t="shared" si="297"/>
        <v>0</v>
      </c>
    </row>
    <row r="367" spans="4:67" ht="13.6" thickBot="1" x14ac:dyDescent="0.25">
      <c r="D367" s="280">
        <v>29856</v>
      </c>
      <c r="E367" s="273" t="str">
        <f t="shared" si="276"/>
        <v>0.337663404956077i</v>
      </c>
      <c r="F367" s="579" t="str">
        <f t="shared" si="298"/>
        <v>0.002-0.0820115750947601i</v>
      </c>
      <c r="G367" s="270" t="str">
        <f t="shared" si="299"/>
        <v>0.002-0.0820115750947601i</v>
      </c>
      <c r="H367" s="271" t="str">
        <f t="shared" si="300"/>
        <v>0.00534526542055413-0.0817106775989418i</v>
      </c>
      <c r="I367" s="271" t="str">
        <f t="shared" si="301"/>
        <v>0.0153452654205541-0.0817106775989418i</v>
      </c>
      <c r="J367" s="270" t="str">
        <f t="shared" si="302"/>
        <v>0.00431996672188056-0.0412006413271561i</v>
      </c>
      <c r="K367" s="271" t="str">
        <f t="shared" si="277"/>
        <v>0.977490953864801-0.235666809712505i</v>
      </c>
      <c r="L367" s="580"/>
      <c r="M367" s="580" t="str">
        <f t="shared" si="278"/>
        <v>-0.261386257431458-50.9470400936642i</v>
      </c>
      <c r="N367" s="270" t="str">
        <f t="shared" si="279"/>
        <v>-6.86270635974026-38.2102800702481i</v>
      </c>
      <c r="O367" s="581" t="str">
        <f t="shared" si="280"/>
        <v>-4.95197109370533-18.6994581539556i</v>
      </c>
      <c r="P367" s="582" t="str">
        <f t="shared" si="281"/>
        <v>-1.60393470728059+0.117680764924044i</v>
      </c>
      <c r="Q367" s="583" t="str">
        <f t="shared" si="282"/>
        <v>-1.55441499634354+0.304675346463598i</v>
      </c>
      <c r="R367" s="581" t="str">
        <f t="shared" si="303"/>
        <v>-0.549032353188588-2.22704898293659i</v>
      </c>
      <c r="S367" s="253" t="str">
        <f t="shared" si="304"/>
        <v>50.4064540294238-10.4765827769645i</v>
      </c>
      <c r="T367" s="253" t="str">
        <f t="shared" si="305"/>
        <v>17.5271396829405-8.65479859611763i</v>
      </c>
      <c r="U367" s="253" t="str">
        <f t="shared" si="306"/>
        <v>-0.613502244102698-1.47841665552206i</v>
      </c>
      <c r="V367" s="582" t="str">
        <f t="shared" si="283"/>
        <v>6000</v>
      </c>
      <c r="W367" s="584" t="str">
        <f t="shared" si="284"/>
        <v>1+105066.594723011i</v>
      </c>
      <c r="X367" s="585">
        <f t="shared" si="285"/>
        <v>105066.59472776989</v>
      </c>
      <c r="Y367" s="586">
        <f t="shared" si="286"/>
        <v>1.5707868090218822</v>
      </c>
      <c r="Z367" s="273" t="str">
        <f t="shared" si="287"/>
        <v>1+15.7576255646169i</v>
      </c>
      <c r="AA367" s="585">
        <f t="shared" si="288"/>
        <v>15.789324350163566</v>
      </c>
      <c r="AB367" s="586">
        <f t="shared" si="289"/>
        <v>1.5074199771435299</v>
      </c>
      <c r="AC367" s="584" t="str">
        <f t="shared" si="290"/>
        <v>1+0.761809614997329i</v>
      </c>
      <c r="AD367" s="585">
        <f t="shared" si="291"/>
        <v>1.2571212708018182</v>
      </c>
      <c r="AE367" s="586">
        <f t="shared" si="292"/>
        <v>0.65101651812914452</v>
      </c>
      <c r="AF367" s="580" t="str">
        <f t="shared" si="307"/>
        <v>0.541883503492078-0.469910136540662i</v>
      </c>
      <c r="AG367" s="270">
        <f t="shared" si="308"/>
        <v>0.71725397717998918</v>
      </c>
      <c r="AH367" s="581">
        <f t="shared" si="309"/>
        <v>-0.71438335000749653</v>
      </c>
      <c r="AI367" s="582" t="str">
        <f t="shared" si="293"/>
        <v>4000</v>
      </c>
      <c r="AJ367" s="584" t="str">
        <f t="shared" si="310"/>
        <v>1+8254.2832331728i</v>
      </c>
      <c r="AK367" s="585">
        <f t="shared" si="311"/>
        <v>8254.2832937474122</v>
      </c>
      <c r="AL367" s="586">
        <f t="shared" si="312"/>
        <v>1.5706751775725039</v>
      </c>
      <c r="AM367" s="273" t="str">
        <f t="shared" si="313"/>
        <v>1+0.288889802017977i</v>
      </c>
      <c r="AN367" s="585">
        <f t="shared" si="314"/>
        <v>1.0408925581970436</v>
      </c>
      <c r="AO367" s="586">
        <f t="shared" si="315"/>
        <v>0.28123304471043437</v>
      </c>
      <c r="AP367" s="584" t="str">
        <f t="shared" si="316"/>
        <v>1+0.00209005131354638i</v>
      </c>
      <c r="AQ367" s="585">
        <f t="shared" si="317"/>
        <v>1.0000021841548614</v>
      </c>
      <c r="AR367" s="586">
        <f t="shared" si="318"/>
        <v>2.0900482702205419E-3</v>
      </c>
      <c r="AS367" s="580" t="str">
        <f t="shared" si="319"/>
        <v>0.139040402372835-0.484870526107216i</v>
      </c>
      <c r="AT367" s="270">
        <f t="shared" si="320"/>
        <v>0.50441219313126073</v>
      </c>
      <c r="AU367" s="581">
        <f t="shared" si="321"/>
        <v>-1.2915321811322888</v>
      </c>
      <c r="AV367" s="580" t="str">
        <f t="shared" si="322"/>
        <v>-0.0175947619469062-0.0970176011848207i</v>
      </c>
      <c r="AW367" s="270">
        <f t="shared" si="323"/>
        <v>-20.122448037247977</v>
      </c>
      <c r="AX367" s="581">
        <f t="shared" si="324"/>
        <v>-100.27923236249555</v>
      </c>
      <c r="AY367" s="299">
        <f t="shared" si="294"/>
        <v>79.720767637504451</v>
      </c>
      <c r="BB367" s="270">
        <f t="shared" si="327"/>
        <v>-45.94428847585619</v>
      </c>
      <c r="BC367" s="270">
        <f t="shared" si="328"/>
        <v>-73.999343084205918</v>
      </c>
      <c r="BD367" s="286"/>
      <c r="BE367" s="270">
        <f t="shared" si="325"/>
        <v>25.821840438608209</v>
      </c>
      <c r="BF367" s="581">
        <f t="shared" si="326"/>
        <v>-26.279889278289637</v>
      </c>
      <c r="BI367" s="286"/>
      <c r="BJ367" s="286"/>
      <c r="BL367" s="253">
        <f t="shared" si="295"/>
        <v>0</v>
      </c>
      <c r="BM367" s="253">
        <f t="shared" si="329"/>
        <v>0</v>
      </c>
      <c r="BN367" s="253">
        <f t="shared" si="296"/>
        <v>0</v>
      </c>
      <c r="BO367" s="253">
        <f t="shared" si="297"/>
        <v>0</v>
      </c>
    </row>
    <row r="368" spans="4:67" ht="13.6" thickBot="1" x14ac:dyDescent="0.25">
      <c r="D368" s="280">
        <v>30028</v>
      </c>
      <c r="E368" s="273" t="str">
        <f t="shared" si="276"/>
        <v>0.33960867912718i</v>
      </c>
      <c r="F368" s="579" t="str">
        <f t="shared" si="298"/>
        <v>0.002-0.0815418138413864i</v>
      </c>
      <c r="G368" s="270" t="str">
        <f t="shared" si="299"/>
        <v>0.002-0.0815418138413864i</v>
      </c>
      <c r="H368" s="271" t="str">
        <f t="shared" si="300"/>
        <v>0.00530709240658275-0.0812441946761822i</v>
      </c>
      <c r="I368" s="271" t="str">
        <f t="shared" si="301"/>
        <v>0.0153070924065828-0.0812441946761822i</v>
      </c>
      <c r="J368" s="270" t="str">
        <f t="shared" si="302"/>
        <v>0.0043102259715109-0.0409665569730332i</v>
      </c>
      <c r="K368" s="271" t="str">
        <f t="shared" si="277"/>
        <v>0.977230858210651-0.237024482919584i</v>
      </c>
      <c r="L368" s="580"/>
      <c r="M368" s="580" t="str">
        <f t="shared" si="278"/>
        <v>-0.259417213240171-50.61260894781i</v>
      </c>
      <c r="N368" s="270" t="str">
        <f t="shared" si="279"/>
        <v>-6.8612295765968-37.9594567108575i</v>
      </c>
      <c r="O368" s="581" t="str">
        <f t="shared" si="280"/>
        <v>-4.9451562323243-18.5729668258681i</v>
      </c>
      <c r="P368" s="582" t="str">
        <f t="shared" si="281"/>
        <v>-1.58464169592828+0.117467116175132i</v>
      </c>
      <c r="Q368" s="583" t="str">
        <f t="shared" si="282"/>
        <v>-1.53519013360504+0.303196784433813i</v>
      </c>
      <c r="R368" s="581" t="str">
        <f t="shared" si="303"/>
        <v>-0.548490972651306-2.2118274662527i</v>
      </c>
      <c r="S368" s="253" t="str">
        <f t="shared" si="304"/>
        <v>50.3875671373528-10.5551195184977i</v>
      </c>
      <c r="T368" s="253" t="str">
        <f t="shared" si="305"/>
        <v>17.5037131698-8.70679305000085i</v>
      </c>
      <c r="U368" s="253" t="str">
        <f t="shared" si="306"/>
        <v>-0.614482566309053-1.46828283560464i</v>
      </c>
      <c r="V368" s="582" t="str">
        <f t="shared" si="283"/>
        <v>6000</v>
      </c>
      <c r="W368" s="584" t="str">
        <f t="shared" si="284"/>
        <v>1+105671.88191126i</v>
      </c>
      <c r="X368" s="585">
        <f t="shared" si="285"/>
        <v>105671.88191599163</v>
      </c>
      <c r="Y368" s="586">
        <f t="shared" si="286"/>
        <v>1.5707868635395643</v>
      </c>
      <c r="Z368" s="273" t="str">
        <f t="shared" si="287"/>
        <v>1+15.8484050259351i</v>
      </c>
      <c r="AA368" s="585">
        <f t="shared" si="288"/>
        <v>15.879922602647817</v>
      </c>
      <c r="AB368" s="586">
        <f t="shared" si="289"/>
        <v>1.5077820330886349</v>
      </c>
      <c r="AC368" s="584" t="str">
        <f t="shared" si="290"/>
        <v>1+0.766198389574618i</v>
      </c>
      <c r="AD368" s="585">
        <f t="shared" si="291"/>
        <v>1.2597856850221543</v>
      </c>
      <c r="AE368" s="586">
        <f t="shared" si="292"/>
        <v>0.65378773163193282</v>
      </c>
      <c r="AF368" s="580" t="str">
        <f t="shared" si="307"/>
        <v>0.539593784230478-0.470206904839781i</v>
      </c>
      <c r="AG368" s="270">
        <f t="shared" si="308"/>
        <v>0.71572060564103812</v>
      </c>
      <c r="AH368" s="581">
        <f t="shared" si="309"/>
        <v>-0.71679256208286068</v>
      </c>
      <c r="AI368" s="582" t="str">
        <f t="shared" si="293"/>
        <v>4000</v>
      </c>
      <c r="AJ368" s="584" t="str">
        <f t="shared" si="310"/>
        <v>1+8301.83604386766i</v>
      </c>
      <c r="AK368" s="585">
        <f t="shared" si="311"/>
        <v>8301.8361040953005</v>
      </c>
      <c r="AL368" s="586">
        <f t="shared" si="312"/>
        <v>1.5706758715136939</v>
      </c>
      <c r="AM368" s="273" t="str">
        <f t="shared" si="313"/>
        <v>1+0.290554092142143i</v>
      </c>
      <c r="AN368" s="585">
        <f t="shared" si="314"/>
        <v>1.0413556935363368</v>
      </c>
      <c r="AO368" s="586">
        <f t="shared" si="315"/>
        <v>0.28276845415363794</v>
      </c>
      <c r="AP368" s="584" t="str">
        <f t="shared" si="316"/>
        <v>1+0.00210209207004189i</v>
      </c>
      <c r="AQ368" s="585">
        <f t="shared" si="317"/>
        <v>1.0000022093930947</v>
      </c>
      <c r="AR368" s="586">
        <f t="shared" si="318"/>
        <v>2.1020889738148757E-3</v>
      </c>
      <c r="AS368" s="580" t="str">
        <f t="shared" si="319"/>
        <v>0.139039724743587-0.482096531304308i</v>
      </c>
      <c r="AT368" s="270">
        <f t="shared" si="320"/>
        <v>0.50174606182053694</v>
      </c>
      <c r="AU368" s="581">
        <f t="shared" si="321"/>
        <v>-1.2900095063338706</v>
      </c>
      <c r="AV368" s="580" t="str">
        <f t="shared" si="322"/>
        <v>-0.0176380326707018-0.0964906951317761i</v>
      </c>
      <c r="AW368" s="270">
        <f t="shared" si="323"/>
        <v>-20.167547583466728</v>
      </c>
      <c r="AX368" s="581">
        <f t="shared" si="324"/>
        <v>-100.35902296208531</v>
      </c>
      <c r="AY368" s="299">
        <f t="shared" si="294"/>
        <v>79.640977037914695</v>
      </c>
      <c r="BB368" s="270">
        <f t="shared" si="327"/>
        <v>-45.990320551650463</v>
      </c>
      <c r="BC368" s="270">
        <f t="shared" si="328"/>
        <v>-73.912100244685618</v>
      </c>
      <c r="BD368" s="286"/>
      <c r="BE368" s="270">
        <f t="shared" si="325"/>
        <v>25.822772968183735</v>
      </c>
      <c r="BF368" s="581">
        <f t="shared" si="326"/>
        <v>-26.446922717399669</v>
      </c>
      <c r="BI368" s="286"/>
      <c r="BJ368" s="286"/>
      <c r="BL368" s="253">
        <f t="shared" si="295"/>
        <v>0</v>
      </c>
      <c r="BM368" s="253">
        <f t="shared" si="329"/>
        <v>0</v>
      </c>
      <c r="BN368" s="253">
        <f t="shared" si="296"/>
        <v>0</v>
      </c>
      <c r="BO368" s="253">
        <f t="shared" si="297"/>
        <v>0</v>
      </c>
    </row>
    <row r="369" spans="4:67" ht="13.6" thickBot="1" x14ac:dyDescent="0.25">
      <c r="D369" s="280">
        <v>30200</v>
      </c>
      <c r="E369" s="273" t="str">
        <f t="shared" si="276"/>
        <v>0.341553953298282i</v>
      </c>
      <c r="F369" s="579" t="str">
        <f t="shared" si="298"/>
        <v>0.002-0.0810774035108995i</v>
      </c>
      <c r="G369" s="270" t="str">
        <f t="shared" si="299"/>
        <v>0.002-0.0810774035108995i</v>
      </c>
      <c r="H369" s="271" t="str">
        <f t="shared" si="300"/>
        <v>0.00526956833716888-0.0807829990526467i</v>
      </c>
      <c r="I369" s="271" t="str">
        <f t="shared" si="301"/>
        <v>0.0152695683371689-0.0807829990526467i</v>
      </c>
      <c r="J369" s="270" t="str">
        <f t="shared" si="302"/>
        <v>0.00430064775814987-0.0407351452255447i</v>
      </c>
      <c r="K369" s="271" t="str">
        <f t="shared" si="277"/>
        <v>0.976969268452817-0.238382156126663i</v>
      </c>
      <c r="L369" s="580"/>
      <c r="M369" s="580" t="str">
        <f t="shared" si="278"/>
        <v>-0.257456141804381-50.2827775120498i</v>
      </c>
      <c r="N369" s="270" t="str">
        <f t="shared" si="279"/>
        <v>-6.85975877301996-37.7120831340373i</v>
      </c>
      <c r="O369" s="581" t="str">
        <f t="shared" si="280"/>
        <v>-4.93845083591261-18.4481957140699i</v>
      </c>
      <c r="P369" s="582" t="str">
        <f t="shared" si="281"/>
        <v>-1.56570858941146+0.117246884045613i</v>
      </c>
      <c r="Q369" s="583" t="str">
        <f t="shared" si="282"/>
        <v>-1.51632408105234+0.301728841186313i</v>
      </c>
      <c r="R369" s="581" t="str">
        <f t="shared" si="303"/>
        <v>-0.547958404781445-2.19681173855133i</v>
      </c>
      <c r="S369" s="253" t="str">
        <f t="shared" si="304"/>
        <v>50.3685405454389-10.6335167084528i</v>
      </c>
      <c r="T369" s="253" t="str">
        <f t="shared" si="305"/>
        <v>17.4801515947236-8.75869249731516i</v>
      </c>
      <c r="U369" s="253" t="str">
        <f t="shared" si="306"/>
        <v>-0.615440594340568-1.45825359837552i</v>
      </c>
      <c r="V369" s="582" t="str">
        <f t="shared" si="283"/>
        <v>6000</v>
      </c>
      <c r="W369" s="584" t="str">
        <f t="shared" si="284"/>
        <v>1+106277.169099508i</v>
      </c>
      <c r="X369" s="585">
        <f t="shared" si="285"/>
        <v>106277.16910421269</v>
      </c>
      <c r="Y369" s="586">
        <f t="shared" si="286"/>
        <v>1.5707869174362503</v>
      </c>
      <c r="Z369" s="273" t="str">
        <f t="shared" si="287"/>
        <v>1+15.9391844872531i</v>
      </c>
      <c r="AA369" s="585">
        <f t="shared" si="288"/>
        <v>15.97052291312623</v>
      </c>
      <c r="AB369" s="586">
        <f t="shared" si="289"/>
        <v>1.5081399812145937</v>
      </c>
      <c r="AC369" s="584" t="str">
        <f t="shared" si="290"/>
        <v>1+0.770587164151904i</v>
      </c>
      <c r="AD369" s="585">
        <f t="shared" si="291"/>
        <v>1.2624597330432656</v>
      </c>
      <c r="AE369" s="586">
        <f t="shared" si="292"/>
        <v>0.65654722669658494</v>
      </c>
      <c r="AF369" s="580" t="str">
        <f t="shared" si="307"/>
        <v>0.537310346670082-0.470492141031721i</v>
      </c>
      <c r="AG369" s="270">
        <f t="shared" si="308"/>
        <v>0.71418853492011236</v>
      </c>
      <c r="AH369" s="581">
        <f t="shared" si="309"/>
        <v>-0.71919416291824256</v>
      </c>
      <c r="AI369" s="582" t="str">
        <f t="shared" si="293"/>
        <v>4000</v>
      </c>
      <c r="AJ369" s="584" t="str">
        <f t="shared" si="310"/>
        <v>1+8349.38885456248i</v>
      </c>
      <c r="AK369" s="585">
        <f t="shared" si="311"/>
        <v>8349.3889144471032</v>
      </c>
      <c r="AL369" s="586">
        <f t="shared" si="312"/>
        <v>1.570676557550388</v>
      </c>
      <c r="AM369" s="273" t="str">
        <f t="shared" si="313"/>
        <v>1+0.292218382266308i</v>
      </c>
      <c r="AN369" s="585">
        <f t="shared" si="314"/>
        <v>1.0418212816670325</v>
      </c>
      <c r="AO369" s="586">
        <f t="shared" si="315"/>
        <v>0.2843024948669729</v>
      </c>
      <c r="AP369" s="584" t="str">
        <f t="shared" si="316"/>
        <v>1+0.00211413282653739i</v>
      </c>
      <c r="AQ369" s="585">
        <f t="shared" si="317"/>
        <v>1.0000022347763071</v>
      </c>
      <c r="AR369" s="586">
        <f t="shared" si="318"/>
        <v>2.1141296767996838E-3</v>
      </c>
      <c r="AS369" s="580" t="str">
        <f t="shared" si="319"/>
        <v>0.139039058499553-0.47935415338296i</v>
      </c>
      <c r="AT369" s="270">
        <f t="shared" si="320"/>
        <v>0.49911147467668632</v>
      </c>
      <c r="AU369" s="581">
        <f t="shared" si="321"/>
        <v>-1.2884881923602138</v>
      </c>
      <c r="AV369" s="580" t="str">
        <f t="shared" si="322"/>
        <v>-0.0176809180663236-0.0959698362720833i</v>
      </c>
      <c r="AW369" s="270">
        <f t="shared" si="323"/>
        <v>-20.212342267846289</v>
      </c>
      <c r="AX369" s="581">
        <f t="shared" si="324"/>
        <v>-100.43878264421912</v>
      </c>
      <c r="AY369" s="299">
        <f t="shared" si="294"/>
        <v>79.561217355780883</v>
      </c>
      <c r="BB369" s="270">
        <f t="shared" si="327"/>
        <v>-46.036048909971427</v>
      </c>
      <c r="BC369" s="270">
        <f t="shared" si="328"/>
        <v>-73.82493537468082</v>
      </c>
      <c r="BD369" s="286"/>
      <c r="BE369" s="270">
        <f t="shared" si="325"/>
        <v>25.823706642125131</v>
      </c>
      <c r="BF369" s="581">
        <f t="shared" si="326"/>
        <v>-26.613847269538326</v>
      </c>
      <c r="BI369" s="286"/>
      <c r="BJ369" s="286"/>
      <c r="BL369" s="253">
        <f t="shared" si="295"/>
        <v>0</v>
      </c>
      <c r="BM369" s="253">
        <f t="shared" si="329"/>
        <v>0</v>
      </c>
      <c r="BN369" s="253">
        <f t="shared" si="296"/>
        <v>0</v>
      </c>
      <c r="BO369" s="253">
        <f t="shared" si="297"/>
        <v>0</v>
      </c>
    </row>
    <row r="370" spans="4:67" ht="13.6" thickBot="1" x14ac:dyDescent="0.25">
      <c r="D370" s="280">
        <v>30375.75</v>
      </c>
      <c r="E370" s="273" t="str">
        <f t="shared" si="276"/>
        <v>0.343541638970209i</v>
      </c>
      <c r="F370" s="579" t="str">
        <f t="shared" si="298"/>
        <v>0.002-0.0806083005696703i</v>
      </c>
      <c r="G370" s="270" t="str">
        <f t="shared" si="299"/>
        <v>0.002-0.0806083005696703i</v>
      </c>
      <c r="H370" s="271" t="str">
        <f t="shared" si="300"/>
        <v>0.00523188126967106-0.080317116923781i</v>
      </c>
      <c r="I370" s="271" t="str">
        <f t="shared" si="301"/>
        <v>0.0152318812696711-0.080317116923781i</v>
      </c>
      <c r="J370" s="270" t="str">
        <f t="shared" si="302"/>
        <v>0.00429102477304247-0.0405014016447816i</v>
      </c>
      <c r="K370" s="271" t="str">
        <f t="shared" si="277"/>
        <v>0.976700432108722-0.239769429767036i</v>
      </c>
      <c r="L370" s="580"/>
      <c r="M370" s="580" t="str">
        <f t="shared" si="278"/>
        <v>-0.255461241221916-49.9504043021807i</v>
      </c>
      <c r="N370" s="270" t="str">
        <f t="shared" si="279"/>
        <v>-6.85826259758311-37.4628032266355i</v>
      </c>
      <c r="O370" s="581" t="str">
        <f t="shared" si="280"/>
        <v>-4.93170974050431-18.3224430117471i</v>
      </c>
      <c r="P370" s="582" t="str">
        <f t="shared" si="281"/>
        <v>-1.54672501492764+0.117015431336988i</v>
      </c>
      <c r="Q370" s="583" t="str">
        <f t="shared" si="282"/>
        <v>-1.4974079175226+0.300239861454459i</v>
      </c>
      <c r="R370" s="581" t="str">
        <f t="shared" si="303"/>
        <v>-0.547423137699794-2.18167663596574i</v>
      </c>
      <c r="S370" s="253" t="str">
        <f t="shared" si="304"/>
        <v>50.348955324174-10.7134806996439i</v>
      </c>
      <c r="T370" s="253" t="str">
        <f t="shared" si="305"/>
        <v>17.4559371136696-8.81162552656571i</v>
      </c>
      <c r="U370" s="253" t="str">
        <f t="shared" si="306"/>
        <v>-0.616396967276186-1.44811192072057i</v>
      </c>
      <c r="V370" s="582" t="str">
        <f t="shared" si="283"/>
        <v>6000</v>
      </c>
      <c r="W370" s="584" t="str">
        <f t="shared" si="284"/>
        <v>1+106895.652956106i</v>
      </c>
      <c r="X370" s="585">
        <f t="shared" si="285"/>
        <v>106895.65296078345</v>
      </c>
      <c r="Y370" s="586">
        <f t="shared" si="286"/>
        <v>1.5707869718775327</v>
      </c>
      <c r="Z370" s="273" t="str">
        <f t="shared" si="287"/>
        <v>1+16.031943151943i</v>
      </c>
      <c r="AA370" s="585">
        <f t="shared" si="288"/>
        <v>16.063100610627206</v>
      </c>
      <c r="AB370" s="586">
        <f t="shared" si="289"/>
        <v>1.5085015625312053</v>
      </c>
      <c r="AC370" s="584" t="str">
        <f t="shared" si="290"/>
        <v>1+0.775071624221431i</v>
      </c>
      <c r="AD370" s="585">
        <f t="shared" si="291"/>
        <v>1.2652019691232097</v>
      </c>
      <c r="AE370" s="586">
        <f t="shared" si="292"/>
        <v>0.65935481443989841</v>
      </c>
      <c r="AF370" s="580" t="str">
        <f t="shared" si="307"/>
        <v>0.534983702392241-0.470771773162728i</v>
      </c>
      <c r="AG370" s="270">
        <f t="shared" si="308"/>
        <v>0.71262446227454812</v>
      </c>
      <c r="AH370" s="581">
        <f t="shared" si="309"/>
        <v>-0.72164022378622739</v>
      </c>
      <c r="AI370" s="582" t="str">
        <f t="shared" si="293"/>
        <v>4000</v>
      </c>
      <c r="AJ370" s="584" t="str">
        <f t="shared" si="310"/>
        <v>1+8397.97842711843i</v>
      </c>
      <c r="AK370" s="585">
        <f t="shared" si="311"/>
        <v>8397.9784866565697</v>
      </c>
      <c r="AL370" s="586">
        <f t="shared" si="312"/>
        <v>1.5706772505191058</v>
      </c>
      <c r="AM370" s="273" t="str">
        <f t="shared" si="313"/>
        <v>1+0.293918957785623i</v>
      </c>
      <c r="AN370" s="585">
        <f t="shared" si="314"/>
        <v>1.0422995508709514</v>
      </c>
      <c r="AO370" s="586">
        <f t="shared" si="315"/>
        <v>0.28586856181955361</v>
      </c>
      <c r="AP370" s="584" t="str">
        <f t="shared" si="316"/>
        <v>1+0.00212643609952626i</v>
      </c>
      <c r="AQ370" s="585">
        <f t="shared" si="317"/>
        <v>1.0000022608626868</v>
      </c>
      <c r="AR370" s="586">
        <f t="shared" si="318"/>
        <v>2.1264328944779766E-3</v>
      </c>
      <c r="AS370" s="580" t="str">
        <f t="shared" si="319"/>
        <v>0.139038389221625-0.476584084816272i</v>
      </c>
      <c r="AT370" s="270">
        <f t="shared" si="320"/>
        <v>0.49645147152315661</v>
      </c>
      <c r="AU370" s="581">
        <f t="shared" si="321"/>
        <v>-1.2869351215940308</v>
      </c>
      <c r="AV370" s="580" t="str">
        <f t="shared" si="322"/>
        <v>-0.0177243510868342-0.0954437603356647i</v>
      </c>
      <c r="AW370" s="270">
        <f t="shared" si="323"/>
        <v>-20.257802066266422</v>
      </c>
      <c r="AX370" s="581">
        <f t="shared" si="324"/>
        <v>-100.52025120179916</v>
      </c>
      <c r="AY370" s="299">
        <f t="shared" si="294"/>
        <v>79.479748798200845</v>
      </c>
      <c r="BB370" s="270">
        <f t="shared" si="327"/>
        <v>-46.082463953634011</v>
      </c>
      <c r="BC370" s="270">
        <f t="shared" si="328"/>
        <v>-73.735950974493377</v>
      </c>
      <c r="BD370" s="286"/>
      <c r="BE370" s="270">
        <f t="shared" si="325"/>
        <v>25.82466188736759</v>
      </c>
      <c r="BF370" s="581">
        <f t="shared" si="326"/>
        <v>-26.784300227305774</v>
      </c>
      <c r="BI370" s="286"/>
      <c r="BJ370" s="286"/>
      <c r="BL370" s="253">
        <f t="shared" si="295"/>
        <v>0</v>
      </c>
      <c r="BM370" s="253">
        <f t="shared" si="329"/>
        <v>0</v>
      </c>
      <c r="BN370" s="253">
        <f t="shared" si="296"/>
        <v>0</v>
      </c>
      <c r="BO370" s="253">
        <f t="shared" si="297"/>
        <v>0</v>
      </c>
    </row>
    <row r="371" spans="4:67" ht="13.6" thickBot="1" x14ac:dyDescent="0.25">
      <c r="D371" s="280">
        <v>30551.5</v>
      </c>
      <c r="E371" s="273" t="str">
        <f t="shared" si="276"/>
        <v>0.345529324642135i</v>
      </c>
      <c r="F371" s="579" t="str">
        <f t="shared" si="298"/>
        <v>0.002-0.0801445947344373i</v>
      </c>
      <c r="G371" s="270" t="str">
        <f t="shared" si="299"/>
        <v>0.002-0.0801445947344373i</v>
      </c>
      <c r="H371" s="271" t="str">
        <f t="shared" si="300"/>
        <v>0.00519484133590195-0.0798565689387111i</v>
      </c>
      <c r="I371" s="271" t="str">
        <f t="shared" si="301"/>
        <v>0.0151948413359019-0.0798565689387111i</v>
      </c>
      <c r="J371" s="270" t="str">
        <f t="shared" si="302"/>
        <v>0.00428156381843183-0.0402703538800116i</v>
      </c>
      <c r="K371" s="271" t="str">
        <f t="shared" si="277"/>
        <v>0.976430035800864-0.241156703407408i</v>
      </c>
      <c r="L371" s="580"/>
      <c r="M371" s="580" t="str">
        <f t="shared" si="278"/>
        <v>-0.253476011397701-49.6226298277395i</v>
      </c>
      <c r="N371" s="270" t="str">
        <f t="shared" si="279"/>
        <v>-6.85677367521495-37.2169723708046i</v>
      </c>
      <c r="O371" s="581" t="str">
        <f t="shared" si="280"/>
        <v>-4.92507777974653-18.1984100453781i</v>
      </c>
      <c r="P371" s="582" t="str">
        <f t="shared" si="281"/>
        <v>-1.52809836179389+0.11677786004164i</v>
      </c>
      <c r="Q371" s="583" t="str">
        <f t="shared" si="282"/>
        <v>-1.47884758399643+0.29876196049542i</v>
      </c>
      <c r="R371" s="581" t="str">
        <f t="shared" si="303"/>
        <v>-0.546896689086365-2.16674726787142i</v>
      </c>
      <c r="S371" s="253" t="str">
        <f t="shared" si="304"/>
        <v>50.3292252374536-10.793302410512i</v>
      </c>
      <c r="T371" s="253" t="str">
        <f t="shared" si="305"/>
        <v>17.4315822269883-8.8644597332075i</v>
      </c>
      <c r="U371" s="253" t="str">
        <f t="shared" si="306"/>
        <v>-0.61733103588638-1.43807580966281i</v>
      </c>
      <c r="V371" s="582" t="str">
        <f t="shared" si="283"/>
        <v>6000</v>
      </c>
      <c r="W371" s="584" t="str">
        <f t="shared" si="284"/>
        <v>1+107514.136812703i</v>
      </c>
      <c r="X371" s="585">
        <f t="shared" si="285"/>
        <v>107514.13681735354</v>
      </c>
      <c r="Y371" s="586">
        <f t="shared" si="286"/>
        <v>1.5707870256924592</v>
      </c>
      <c r="Z371" s="273" t="str">
        <f t="shared" si="287"/>
        <v>1+16.124701816633i</v>
      </c>
      <c r="AA371" s="585">
        <f t="shared" si="288"/>
        <v>16.155680384166047</v>
      </c>
      <c r="AB371" s="586">
        <f t="shared" si="289"/>
        <v>1.5088589998264308</v>
      </c>
      <c r="AC371" s="584" t="str">
        <f t="shared" si="290"/>
        <v>1+0.779556084290958i</v>
      </c>
      <c r="AD371" s="585">
        <f t="shared" si="291"/>
        <v>1.2679541350360632</v>
      </c>
      <c r="AE371" s="586">
        <f t="shared" si="292"/>
        <v>0.66215023608387535</v>
      </c>
      <c r="AF371" s="580" t="str">
        <f t="shared" si="307"/>
        <v>0.532663794566456-0.471039546820662i</v>
      </c>
      <c r="AG371" s="270">
        <f t="shared" si="308"/>
        <v>0.71106186278758488</v>
      </c>
      <c r="AH371" s="581">
        <f t="shared" si="309"/>
        <v>-0.72407826194990466</v>
      </c>
      <c r="AI371" s="582" t="str">
        <f t="shared" si="293"/>
        <v>4000</v>
      </c>
      <c r="AJ371" s="584" t="str">
        <f t="shared" si="310"/>
        <v>1+8446.56799967438i</v>
      </c>
      <c r="AK371" s="585">
        <f t="shared" si="311"/>
        <v>8446.5680588700197</v>
      </c>
      <c r="AL371" s="586">
        <f t="shared" si="312"/>
        <v>1.570677935515105</v>
      </c>
      <c r="AM371" s="273" t="str">
        <f t="shared" si="313"/>
        <v>1+0.295619533304938i</v>
      </c>
      <c r="AN371" s="585">
        <f t="shared" si="314"/>
        <v>1.0427803740344508</v>
      </c>
      <c r="AO371" s="586">
        <f t="shared" si="315"/>
        <v>0.28743318838821003</v>
      </c>
      <c r="AP371" s="584" t="str">
        <f t="shared" si="316"/>
        <v>1+0.00213873937251514i</v>
      </c>
      <c r="AQ371" s="585">
        <f t="shared" si="317"/>
        <v>1.0000022871004364</v>
      </c>
      <c r="AR371" s="586">
        <f t="shared" si="318"/>
        <v>2.1387361115125262E-3</v>
      </c>
      <c r="AS371" s="580" t="str">
        <f t="shared" si="319"/>
        <v>0.139037731293821-0.473845906012332i</v>
      </c>
      <c r="AT371" s="270">
        <f t="shared" si="320"/>
        <v>0.49382328151675936</v>
      </c>
      <c r="AU371" s="581">
        <f t="shared" si="321"/>
        <v>-1.2853834832384075</v>
      </c>
      <c r="AV371" s="580" t="str">
        <f t="shared" si="322"/>
        <v>-0.017767403078894-0.0949237824402634i</v>
      </c>
      <c r="AW371" s="270">
        <f t="shared" si="323"/>
        <v>-20.302950385624193</v>
      </c>
      <c r="AX371" s="581">
        <f t="shared" si="324"/>
        <v>-100.60169122308844</v>
      </c>
      <c r="AY371" s="299">
        <f t="shared" si="294"/>
        <v>79.398308776911563</v>
      </c>
      <c r="BB371" s="270">
        <f t="shared" si="327"/>
        <v>-46.128568778324315</v>
      </c>
      <c r="BC371" s="270">
        <f t="shared" si="328"/>
        <v>-73.647048645385539</v>
      </c>
      <c r="BD371" s="286"/>
      <c r="BE371" s="270">
        <f t="shared" si="325"/>
        <v>25.825618392700122</v>
      </c>
      <c r="BF371" s="581">
        <f t="shared" si="326"/>
        <v>-26.954642577702892</v>
      </c>
      <c r="BI371" s="286"/>
      <c r="BJ371" s="286"/>
      <c r="BL371" s="253">
        <f t="shared" si="295"/>
        <v>0</v>
      </c>
      <c r="BM371" s="253">
        <f t="shared" si="329"/>
        <v>0</v>
      </c>
      <c r="BN371" s="253">
        <f t="shared" si="296"/>
        <v>0</v>
      </c>
      <c r="BO371" s="253">
        <f t="shared" si="297"/>
        <v>0</v>
      </c>
    </row>
    <row r="372" spans="4:67" ht="13.6" thickBot="1" x14ac:dyDescent="0.25">
      <c r="D372" s="280">
        <v>30727.25</v>
      </c>
      <c r="E372" s="273" t="str">
        <f t="shared" si="276"/>
        <v>0.347517010314061i</v>
      </c>
      <c r="F372" s="579" t="str">
        <f t="shared" si="298"/>
        <v>0.002-0.0796861933960625i</v>
      </c>
      <c r="G372" s="270" t="str">
        <f t="shared" si="299"/>
        <v>0.002-0.0796861933960625i</v>
      </c>
      <c r="H372" s="271" t="str">
        <f t="shared" si="300"/>
        <v>0.00515843381185109-0.0794012641547321i</v>
      </c>
      <c r="I372" s="271" t="str">
        <f t="shared" si="301"/>
        <v>0.0151584338118511-0.0794012641547321i</v>
      </c>
      <c r="J372" s="270" t="str">
        <f t="shared" si="302"/>
        <v>0.00427226118126439-0.0400419557423243i</v>
      </c>
      <c r="K372" s="271" t="str">
        <f t="shared" si="277"/>
        <v>0.976158079529242-0.242543977047781i</v>
      </c>
      <c r="L372" s="580"/>
      <c r="M372" s="580" t="str">
        <f t="shared" si="278"/>
        <v>-0.251501051503623-49.2993556071751i</v>
      </c>
      <c r="N372" s="270" t="str">
        <f t="shared" si="279"/>
        <v>-6.85529245529439-36.9745167053813i</v>
      </c>
      <c r="O372" s="581" t="str">
        <f t="shared" si="280"/>
        <v>-4.91855245493544-18.0760599317219i</v>
      </c>
      <c r="P372" s="582" t="str">
        <f t="shared" si="281"/>
        <v>-1.50981956135368+0.116534524679175i</v>
      </c>
      <c r="Q372" s="583" t="str">
        <f t="shared" si="282"/>
        <v>-1.46063403680432+0.297295123996394i</v>
      </c>
      <c r="R372" s="581" t="str">
        <f t="shared" si="303"/>
        <v>-0.546378872647545-2.15201922323106i</v>
      </c>
      <c r="S372" s="253" t="str">
        <f t="shared" si="304"/>
        <v>50.3093507651973-10.8729835052632i</v>
      </c>
      <c r="T372" s="253" t="str">
        <f t="shared" si="305"/>
        <v>17.4070872381049-8.91719528646644i</v>
      </c>
      <c r="U372" s="253" t="str">
        <f t="shared" si="306"/>
        <v>-0.61824327108517-1.42814349362982i</v>
      </c>
      <c r="V372" s="582" t="str">
        <f t="shared" si="283"/>
        <v>6000</v>
      </c>
      <c r="W372" s="584" t="str">
        <f t="shared" si="284"/>
        <v>1+108132.620669301i</v>
      </c>
      <c r="X372" s="585">
        <f t="shared" si="285"/>
        <v>108132.62067392495</v>
      </c>
      <c r="Y372" s="586">
        <f t="shared" si="286"/>
        <v>1.5707870788917775</v>
      </c>
      <c r="Z372" s="273" t="str">
        <f t="shared" si="287"/>
        <v>1+16.2174604813229i</v>
      </c>
      <c r="AA372" s="585">
        <f t="shared" si="288"/>
        <v>16.248262198255848</v>
      </c>
      <c r="AB372" s="586">
        <f t="shared" si="289"/>
        <v>1.509212363845448</v>
      </c>
      <c r="AC372" s="584" t="str">
        <f t="shared" si="290"/>
        <v>1+0.784040544360485i</v>
      </c>
      <c r="AD372" s="585">
        <f t="shared" si="291"/>
        <v>1.2707161662625865</v>
      </c>
      <c r="AE372" s="586">
        <f t="shared" si="292"/>
        <v>0.66493352713068787</v>
      </c>
      <c r="AF372" s="580" t="str">
        <f t="shared" si="307"/>
        <v>0.530350709294415-0.471295555664485i</v>
      </c>
      <c r="AG372" s="270">
        <f t="shared" si="308"/>
        <v>0.70950079326113835</v>
      </c>
      <c r="AH372" s="581">
        <f t="shared" si="309"/>
        <v>-0.72650824217701981</v>
      </c>
      <c r="AI372" s="582" t="str">
        <f t="shared" si="293"/>
        <v>4000</v>
      </c>
      <c r="AJ372" s="584" t="str">
        <f t="shared" si="310"/>
        <v>1+8495.15757223032i</v>
      </c>
      <c r="AK372" s="585">
        <f t="shared" si="311"/>
        <v>8495.1576310873807</v>
      </c>
      <c r="AL372" s="586">
        <f t="shared" si="312"/>
        <v>1.5706786126751904</v>
      </c>
      <c r="AM372" s="273" t="str">
        <f t="shared" si="313"/>
        <v>1+0.297320108824253i</v>
      </c>
      <c r="AN372" s="585">
        <f t="shared" si="314"/>
        <v>1.0432637476262969</v>
      </c>
      <c r="AO372" s="586">
        <f t="shared" si="315"/>
        <v>0.28899636890921687</v>
      </c>
      <c r="AP372" s="584" t="str">
        <f t="shared" si="316"/>
        <v>1+0.00215104264550401i</v>
      </c>
      <c r="AQ372" s="585">
        <f t="shared" si="317"/>
        <v>1.0000023134895553</v>
      </c>
      <c r="AR372" s="586">
        <f t="shared" si="318"/>
        <v>2.1510393278995872E-3</v>
      </c>
      <c r="AS372" s="580" t="str">
        <f t="shared" si="319"/>
        <v>0.139037084456247-0.471139069773564i</v>
      </c>
      <c r="AT372" s="270">
        <f t="shared" si="320"/>
        <v>0.49122635711166068</v>
      </c>
      <c r="AU372" s="581">
        <f t="shared" si="321"/>
        <v>-1.2838332830938726</v>
      </c>
      <c r="AV372" s="580" t="str">
        <f t="shared" si="322"/>
        <v>-0.0178100843379336-0.094409797229853i</v>
      </c>
      <c r="AW372" s="270">
        <f t="shared" si="323"/>
        <v>-20.347790588322653</v>
      </c>
      <c r="AX372" s="581">
        <f t="shared" si="324"/>
        <v>-100.68310454164448</v>
      </c>
      <c r="AY372" s="299">
        <f t="shared" si="294"/>
        <v>79.316895458355518</v>
      </c>
      <c r="BB372" s="270">
        <f t="shared" si="327"/>
        <v>-46.174366777034201</v>
      </c>
      <c r="BC372" s="270">
        <f t="shared" si="328"/>
        <v>-73.558228719703123</v>
      </c>
      <c r="BD372" s="286"/>
      <c r="BE372" s="270">
        <f t="shared" si="325"/>
        <v>25.826576188711549</v>
      </c>
      <c r="BF372" s="581">
        <f t="shared" si="326"/>
        <v>-27.124875821941345</v>
      </c>
      <c r="BI372" s="286"/>
      <c r="BJ372" s="286"/>
      <c r="BL372" s="253">
        <f t="shared" si="295"/>
        <v>0</v>
      </c>
      <c r="BM372" s="253">
        <f t="shared" si="329"/>
        <v>0</v>
      </c>
      <c r="BN372" s="253">
        <f t="shared" si="296"/>
        <v>0</v>
      </c>
      <c r="BO372" s="253">
        <f t="shared" si="297"/>
        <v>0</v>
      </c>
    </row>
    <row r="373" spans="4:67" ht="13.6" thickBot="1" x14ac:dyDescent="0.25">
      <c r="D373" s="280">
        <v>30903</v>
      </c>
      <c r="E373" s="273" t="str">
        <f t="shared" si="276"/>
        <v>0.349504695985987i</v>
      </c>
      <c r="F373" s="579" t="str">
        <f t="shared" si="298"/>
        <v>0.002-0.079233006052136i</v>
      </c>
      <c r="G373" s="270" t="str">
        <f t="shared" si="299"/>
        <v>0.002-0.079233006052136i</v>
      </c>
      <c r="H373" s="271" t="str">
        <f t="shared" si="300"/>
        <v>0.00512264438968445-0.078951113681489i</v>
      </c>
      <c r="I373" s="271" t="str">
        <f t="shared" si="301"/>
        <v>0.0151226443896844-0.078951113681489i</v>
      </c>
      <c r="J373" s="270" t="str">
        <f t="shared" si="302"/>
        <v>0.00426311325370111-0.0398161620914351i</v>
      </c>
      <c r="K373" s="271" t="str">
        <f t="shared" si="277"/>
        <v>0.975884563293856-0.243931250688154i</v>
      </c>
      <c r="L373" s="580"/>
      <c r="M373" s="580" t="str">
        <f t="shared" si="278"/>
        <v>-0.249536910700061-48.9804860243655i</v>
      </c>
      <c r="N373" s="270" t="str">
        <f t="shared" si="279"/>
        <v>-6.85381934969172-36.7353645182741i</v>
      </c>
      <c r="O373" s="581" t="str">
        <f t="shared" si="280"/>
        <v>-4.91213133617442-17.9553568627579i</v>
      </c>
      <c r="P373" s="582" t="str">
        <f t="shared" si="281"/>
        <v>-1.4918798362557+0.116285762815344i</v>
      </c>
      <c r="Q373" s="583" t="str">
        <f t="shared" si="282"/>
        <v>-1.44275852289395+0.295839331442922i</v>
      </c>
      <c r="R373" s="581" t="str">
        <f t="shared" si="303"/>
        <v>-0.54586950669853-2.13748821950731i</v>
      </c>
      <c r="S373" s="253" t="str">
        <f t="shared" si="304"/>
        <v>50.2893323734625-10.9525256056006i</v>
      </c>
      <c r="T373" s="253" t="str">
        <f t="shared" si="305"/>
        <v>17.3824524474255-8.96983234346327i</v>
      </c>
      <c r="U373" s="253" t="str">
        <f t="shared" si="306"/>
        <v>-0.619134130543906-1.41831324057042i</v>
      </c>
      <c r="V373" s="582" t="str">
        <f t="shared" si="283"/>
        <v>6000</v>
      </c>
      <c r="W373" s="584" t="str">
        <f t="shared" si="284"/>
        <v>1+108751.104525898i</v>
      </c>
      <c r="X373" s="585">
        <f t="shared" si="285"/>
        <v>108751.10453049565</v>
      </c>
      <c r="Y373" s="586">
        <f t="shared" si="286"/>
        <v>1.5707871314859907</v>
      </c>
      <c r="Z373" s="273" t="str">
        <f t="shared" si="287"/>
        <v>1+16.3102191460128i</v>
      </c>
      <c r="AA373" s="585">
        <f t="shared" si="288"/>
        <v>16.340846018213455</v>
      </c>
      <c r="AB373" s="586">
        <f t="shared" si="289"/>
        <v>1.5095617237342485</v>
      </c>
      <c r="AC373" s="584" t="str">
        <f t="shared" si="290"/>
        <v>1+0.788525004430012i</v>
      </c>
      <c r="AD373" s="585">
        <f t="shared" si="291"/>
        <v>1.2734879986130023</v>
      </c>
      <c r="AE373" s="586">
        <f t="shared" si="292"/>
        <v>0.66770472352684129</v>
      </c>
      <c r="AF373" s="580" t="str">
        <f t="shared" si="307"/>
        <v>0.528044530177861-0.471539894393108i</v>
      </c>
      <c r="AG373" s="270">
        <f t="shared" si="308"/>
        <v>0.70794130961190671</v>
      </c>
      <c r="AH373" s="581">
        <f t="shared" si="309"/>
        <v>-0.72893013127858464</v>
      </c>
      <c r="AI373" s="582" t="str">
        <f t="shared" si="293"/>
        <v>4000</v>
      </c>
      <c r="AJ373" s="584" t="str">
        <f t="shared" si="310"/>
        <v>1+8543.74714478627i</v>
      </c>
      <c r="AK373" s="585">
        <f t="shared" si="311"/>
        <v>8543.7472033085996</v>
      </c>
      <c r="AL373" s="586">
        <f t="shared" si="312"/>
        <v>1.5706792821330535</v>
      </c>
      <c r="AM373" s="273" t="str">
        <f t="shared" si="313"/>
        <v>1+0.299020684343567i</v>
      </c>
      <c r="AN373" s="585">
        <f t="shared" si="314"/>
        <v>1.0437496681030827</v>
      </c>
      <c r="AO373" s="586">
        <f t="shared" si="315"/>
        <v>0.2905580977575794</v>
      </c>
      <c r="AP373" s="584" t="str">
        <f t="shared" si="316"/>
        <v>1+0.00216334591849289i</v>
      </c>
      <c r="AQ373" s="585">
        <f t="shared" si="317"/>
        <v>1.0000023400300437</v>
      </c>
      <c r="AR373" s="586">
        <f t="shared" si="318"/>
        <v>2.1633425436354552E-3</v>
      </c>
      <c r="AS373" s="580" t="str">
        <f t="shared" si="319"/>
        <v>0.139036448456381-0.468463041350376i</v>
      </c>
      <c r="AT373" s="270">
        <f t="shared" si="320"/>
        <v>0.48866016321223482</v>
      </c>
      <c r="AU373" s="581">
        <f t="shared" si="321"/>
        <v>-1.2822845269191088</v>
      </c>
      <c r="AV373" s="580" t="str">
        <f t="shared" si="322"/>
        <v>-0.017852404862698-0.0939017017193355i</v>
      </c>
      <c r="AW373" s="270">
        <f t="shared" si="323"/>
        <v>-20.392325981384975</v>
      </c>
      <c r="AX373" s="581">
        <f t="shared" si="324"/>
        <v>-100.764492952982</v>
      </c>
      <c r="AY373" s="299">
        <f t="shared" si="294"/>
        <v>79.235507047018004</v>
      </c>
      <c r="BB373" s="270">
        <f t="shared" si="327"/>
        <v>-46.219861285828621</v>
      </c>
      <c r="BC373" s="270">
        <f t="shared" si="328"/>
        <v>-73.469491527394325</v>
      </c>
      <c r="BD373" s="286"/>
      <c r="BE373" s="270">
        <f t="shared" si="325"/>
        <v>25.827535304443646</v>
      </c>
      <c r="BF373" s="581">
        <f t="shared" si="326"/>
        <v>-27.295001425587706</v>
      </c>
      <c r="BI373" s="286"/>
      <c r="BJ373" s="286"/>
      <c r="BL373" s="253">
        <f t="shared" si="295"/>
        <v>0</v>
      </c>
      <c r="BM373" s="253">
        <f t="shared" si="329"/>
        <v>0</v>
      </c>
      <c r="BN373" s="253">
        <f t="shared" si="296"/>
        <v>0</v>
      </c>
      <c r="BO373" s="253">
        <f t="shared" si="297"/>
        <v>0</v>
      </c>
    </row>
    <row r="374" spans="4:67" ht="13.6" thickBot="1" x14ac:dyDescent="0.25">
      <c r="D374" s="280">
        <v>31083</v>
      </c>
      <c r="E374" s="273" t="str">
        <f t="shared" si="276"/>
        <v>0.351540448025514i</v>
      </c>
      <c r="F374" s="579" t="str">
        <f t="shared" si="298"/>
        <v>0.002-0.0787741719277148i</v>
      </c>
      <c r="G374" s="270" t="str">
        <f t="shared" si="299"/>
        <v>0.002-0.0787741719277148i</v>
      </c>
      <c r="H374" s="271" t="str">
        <f t="shared" si="300"/>
        <v>0.00508661568017959-0.0784953296290257i</v>
      </c>
      <c r="I374" s="271" t="str">
        <f t="shared" si="301"/>
        <v>0.0150866156801796-0.0784953296290257i</v>
      </c>
      <c r="J374" s="270" t="str">
        <f t="shared" si="302"/>
        <v>0.00425390081383234-0.0395875619053864i</v>
      </c>
      <c r="K374" s="271" t="str">
        <f t="shared" si="277"/>
        <v>0.975602815863236-0.24535207148626i</v>
      </c>
      <c r="L374" s="580"/>
      <c r="M374" s="580" t="str">
        <f t="shared" si="278"/>
        <v>-0.247537012279641-48.6583741982031i</v>
      </c>
      <c r="N374" s="270" t="str">
        <f t="shared" si="279"/>
        <v>-6.8523194258764-36.4937806486523i</v>
      </c>
      <c r="O374" s="581" t="str">
        <f t="shared" si="280"/>
        <v>-4.9056604887943-17.8334058846092i</v>
      </c>
      <c r="P374" s="582" t="str">
        <f t="shared" si="281"/>
        <v>-1.47384888777249+0.116025696266243i</v>
      </c>
      <c r="Q374" s="583" t="str">
        <f t="shared" si="282"/>
        <v>-1.42479228288454+0.294359755112336i</v>
      </c>
      <c r="R374" s="581" t="str">
        <f t="shared" si="303"/>
        <v>-0.54535639758024-2.1228057269343i</v>
      </c>
      <c r="S374" s="253" t="str">
        <f t="shared" si="304"/>
        <v>50.268681186392-11.0338487733917i</v>
      </c>
      <c r="T374" s="253" t="str">
        <f t="shared" si="305"/>
        <v>17.3570773335005-9.0236403278009i</v>
      </c>
      <c r="U374" s="253" t="str">
        <f t="shared" si="306"/>
        <v>-0.620024840257827-1.4083492970733i</v>
      </c>
      <c r="V374" s="582" t="str">
        <f t="shared" si="283"/>
        <v>6000</v>
      </c>
      <c r="W374" s="584" t="str">
        <f t="shared" si="284"/>
        <v>1+109384.544606623i</v>
      </c>
      <c r="X374" s="585">
        <f t="shared" si="285"/>
        <v>109384.54461119403</v>
      </c>
      <c r="Y374" s="586">
        <f t="shared" si="286"/>
        <v>1.5707871847355357</v>
      </c>
      <c r="Z374" s="273" t="str">
        <f t="shared" si="287"/>
        <v>1+16.4052209078573i</v>
      </c>
      <c r="AA374" s="585">
        <f t="shared" si="288"/>
        <v>16.435670751009777</v>
      </c>
      <c r="AB374" s="586">
        <f t="shared" si="289"/>
        <v>1.5099154519458338</v>
      </c>
      <c r="AC374" s="584" t="str">
        <f t="shared" si="290"/>
        <v>1+0.793117908057407i</v>
      </c>
      <c r="AD374" s="585">
        <f t="shared" si="291"/>
        <v>1.2763369524076931</v>
      </c>
      <c r="AE374" s="586">
        <f t="shared" si="292"/>
        <v>0.67053043432410353</v>
      </c>
      <c r="AF374" s="580" t="str">
        <f t="shared" si="307"/>
        <v>0.525689826307436-0.471778144871662i</v>
      </c>
      <c r="AG374" s="270">
        <f t="shared" si="308"/>
        <v>0.7063458157741781</v>
      </c>
      <c r="AH374" s="581">
        <f t="shared" si="309"/>
        <v>-0.73140216711380612</v>
      </c>
      <c r="AI374" s="582" t="str">
        <f t="shared" si="293"/>
        <v>4000</v>
      </c>
      <c r="AJ374" s="584" t="str">
        <f t="shared" si="310"/>
        <v>1+8593.51171411809i</v>
      </c>
      <c r="AK374" s="585">
        <f t="shared" si="311"/>
        <v>8593.5117723015228</v>
      </c>
      <c r="AL374" s="586">
        <f t="shared" si="312"/>
        <v>1.5706799599324597</v>
      </c>
      <c r="AM374" s="273" t="str">
        <f t="shared" si="313"/>
        <v>1+0.300762383310717i</v>
      </c>
      <c r="AN374" s="585">
        <f t="shared" si="314"/>
        <v>1.0442499754439751</v>
      </c>
      <c r="AO374" s="586">
        <f t="shared" si="315"/>
        <v>0.29215608186221426</v>
      </c>
      <c r="AP374" s="584" t="str">
        <f t="shared" si="316"/>
        <v>1+0.00217594671017423i</v>
      </c>
      <c r="AQ374" s="585">
        <f t="shared" si="317"/>
        <v>1.0000023673692404</v>
      </c>
      <c r="AR374" s="586">
        <f t="shared" si="318"/>
        <v>2.1759432760003806E-3</v>
      </c>
      <c r="AS374" s="580" t="str">
        <f t="shared" si="319"/>
        <v>0.139035808054329-0.465753689264116i</v>
      </c>
      <c r="AT374" s="270">
        <f t="shared" si="320"/>
        <v>0.48606322118059381</v>
      </c>
      <c r="AU374" s="581">
        <f t="shared" si="321"/>
        <v>-1.2806998213462464</v>
      </c>
      <c r="AV374" s="580" t="str">
        <f t="shared" si="322"/>
        <v>-0.0178953850074101-0.0933873192748785i</v>
      </c>
      <c r="AW374" s="270">
        <f t="shared" si="323"/>
        <v>-20.437625776263758</v>
      </c>
      <c r="AX374" s="581">
        <f t="shared" si="324"/>
        <v>-100.84782552440474</v>
      </c>
      <c r="AY374" s="299">
        <f t="shared" si="294"/>
        <v>79.15217447559526</v>
      </c>
      <c r="BB374" s="270">
        <f t="shared" si="327"/>
        <v>-46.266144786598446</v>
      </c>
      <c r="BC374" s="270">
        <f t="shared" si="328"/>
        <v>-73.378694586298451</v>
      </c>
      <c r="BD374" s="286"/>
      <c r="BE374" s="270">
        <f t="shared" si="325"/>
        <v>25.828519010334684</v>
      </c>
      <c r="BF374" s="581">
        <f t="shared" si="326"/>
        <v>-27.469130938106261</v>
      </c>
      <c r="BI374" s="286"/>
      <c r="BJ374" s="286"/>
      <c r="BL374" s="253">
        <f t="shared" si="295"/>
        <v>0</v>
      </c>
      <c r="BM374" s="253">
        <f t="shared" si="329"/>
        <v>0</v>
      </c>
      <c r="BN374" s="253">
        <f t="shared" si="296"/>
        <v>0</v>
      </c>
      <c r="BO374" s="253">
        <f t="shared" si="297"/>
        <v>0</v>
      </c>
    </row>
    <row r="375" spans="4:67" ht="13.6" thickBot="1" x14ac:dyDescent="0.25">
      <c r="D375" s="280">
        <v>31263</v>
      </c>
      <c r="E375" s="273" t="str">
        <f t="shared" si="276"/>
        <v>0.35357620006504i</v>
      </c>
      <c r="F375" s="579" t="str">
        <f t="shared" si="298"/>
        <v>0.002-0.0783206213744413i</v>
      </c>
      <c r="G375" s="270" t="str">
        <f t="shared" si="299"/>
        <v>0.002-0.0783206213744413i</v>
      </c>
      <c r="H375" s="271" t="str">
        <f t="shared" si="300"/>
        <v>0.00505120622663287-0.0780447697994615i</v>
      </c>
      <c r="I375" s="271" t="str">
        <f t="shared" si="301"/>
        <v>0.0150512062266329-0.0780447697994615i</v>
      </c>
      <c r="J375" s="270" t="str">
        <f t="shared" si="302"/>
        <v>0.00424484331908529-0.0393616010927518i</v>
      </c>
      <c r="K375" s="271" t="str">
        <f t="shared" si="277"/>
        <v>0.9753194321103-0.246772892284366i</v>
      </c>
      <c r="L375" s="580"/>
      <c r="M375" s="580" t="str">
        <f t="shared" si="278"/>
        <v>-0.245549481582189-48.3406883565073i</v>
      </c>
      <c r="N375" s="270" t="str">
        <f t="shared" si="279"/>
        <v>-6.85082877785331-36.2555162673805i</v>
      </c>
      <c r="O375" s="581" t="str">
        <f t="shared" si="280"/>
        <v>-4.89929400076346-17.7131098301402i</v>
      </c>
      <c r="P375" s="582" t="str">
        <f t="shared" si="281"/>
        <v>-1.45615586349627+0.115760603501028i</v>
      </c>
      <c r="Q375" s="583" t="str">
        <f t="shared" si="282"/>
        <v>-1.40716292348863+0.292891701802431i</v>
      </c>
      <c r="R375" s="581" t="str">
        <f t="shared" si="303"/>
        <v>-0.544851781126911-2.10832122020045i</v>
      </c>
      <c r="S375" s="253" t="str">
        <f t="shared" si="304"/>
        <v>50.2478799821591-11.1150294547415i</v>
      </c>
      <c r="T375" s="253" t="str">
        <f t="shared" si="305"/>
        <v>17.3315562033627-9.07734529073862i</v>
      </c>
      <c r="U375" s="253" t="str">
        <f t="shared" si="306"/>
        <v>-0.620894058994258-1.39848885721174i</v>
      </c>
      <c r="V375" s="582" t="str">
        <f t="shared" si="283"/>
        <v>6000</v>
      </c>
      <c r="W375" s="584" t="str">
        <f t="shared" si="284"/>
        <v>1+110017.984687349i</v>
      </c>
      <c r="X375" s="585">
        <f t="shared" si="285"/>
        <v>110017.98469189371</v>
      </c>
      <c r="Y375" s="586">
        <f t="shared" si="286"/>
        <v>1.5707872373719007</v>
      </c>
      <c r="Z375" s="273" t="str">
        <f t="shared" si="287"/>
        <v>1+16.5002226697018i</v>
      </c>
      <c r="AA375" s="585">
        <f t="shared" si="288"/>
        <v>16.530497516703516</v>
      </c>
      <c r="AB375" s="586">
        <f t="shared" si="289"/>
        <v>1.5102651218955265</v>
      </c>
      <c r="AC375" s="584" t="str">
        <f t="shared" si="290"/>
        <v>1+0.797710811684801i</v>
      </c>
      <c r="AD375" s="585">
        <f t="shared" si="291"/>
        <v>1.2791960518539853</v>
      </c>
      <c r="AE375" s="586">
        <f t="shared" si="292"/>
        <v>0.67334353614692921</v>
      </c>
      <c r="AF375" s="580" t="str">
        <f t="shared" si="307"/>
        <v>0.523342536256154-0.472004358104269i</v>
      </c>
      <c r="AG375" s="270">
        <f t="shared" si="308"/>
        <v>0.70475210132673383</v>
      </c>
      <c r="AH375" s="581">
        <f t="shared" si="309"/>
        <v>-0.73386565162330342</v>
      </c>
      <c r="AI375" s="582" t="str">
        <f t="shared" si="293"/>
        <v>4000</v>
      </c>
      <c r="AJ375" s="584" t="str">
        <f t="shared" si="310"/>
        <v>1+8643.2762834499i</v>
      </c>
      <c r="AK375" s="585">
        <f t="shared" si="311"/>
        <v>8643.276341298335</v>
      </c>
      <c r="AL375" s="586">
        <f t="shared" si="312"/>
        <v>1.5706806299268636</v>
      </c>
      <c r="AM375" s="273" t="str">
        <f t="shared" si="313"/>
        <v>1+0.302504082277867i</v>
      </c>
      <c r="AN375" s="585">
        <f t="shared" si="314"/>
        <v>1.0447529467748702</v>
      </c>
      <c r="AO375" s="586">
        <f t="shared" si="315"/>
        <v>0.29375253141771229</v>
      </c>
      <c r="AP375" s="584" t="str">
        <f t="shared" si="316"/>
        <v>1+0.00218854750185558i</v>
      </c>
      <c r="AQ375" s="585">
        <f t="shared" si="317"/>
        <v>1.0000023948672163</v>
      </c>
      <c r="AR375" s="586">
        <f t="shared" si="318"/>
        <v>2.1885440076743288E-3</v>
      </c>
      <c r="AS375" s="580" t="str">
        <f t="shared" si="319"/>
        <v>0.139035178506932-0.463075556099808i</v>
      </c>
      <c r="AT375" s="270">
        <f t="shared" si="320"/>
        <v>0.48349741624914699</v>
      </c>
      <c r="AU375" s="581">
        <f t="shared" si="321"/>
        <v>-1.2791166425168248</v>
      </c>
      <c r="AV375" s="580" t="str">
        <f t="shared" si="322"/>
        <v>-0.017938007078813-0.0928789034981416i</v>
      </c>
      <c r="AW375" s="270">
        <f t="shared" si="323"/>
        <v>-20.48261269037927</v>
      </c>
      <c r="AX375" s="581">
        <f t="shared" si="324"/>
        <v>-100.93113566374981</v>
      </c>
      <c r="AY375" s="299">
        <f t="shared" si="294"/>
        <v>79.068864336250186</v>
      </c>
      <c r="BB375" s="270">
        <f t="shared" si="327"/>
        <v>-46.312116847823781</v>
      </c>
      <c r="BC375" s="270">
        <f t="shared" si="328"/>
        <v>-73.28798512115813</v>
      </c>
      <c r="BD375" s="286"/>
      <c r="BE375" s="270">
        <f t="shared" si="325"/>
        <v>25.829504157444511</v>
      </c>
      <c r="BF375" s="581">
        <f t="shared" si="326"/>
        <v>-27.643150542591687</v>
      </c>
      <c r="BI375" s="286"/>
      <c r="BJ375" s="286"/>
      <c r="BL375" s="253">
        <f t="shared" si="295"/>
        <v>0</v>
      </c>
      <c r="BM375" s="253">
        <f t="shared" si="329"/>
        <v>0</v>
      </c>
      <c r="BN375" s="253">
        <f t="shared" si="296"/>
        <v>0</v>
      </c>
      <c r="BO375" s="253">
        <f t="shared" si="297"/>
        <v>0</v>
      </c>
    </row>
    <row r="376" spans="4:67" ht="13.6" thickBot="1" x14ac:dyDescent="0.25">
      <c r="D376" s="280">
        <v>31443</v>
      </c>
      <c r="E376" s="273" t="str">
        <f t="shared" si="276"/>
        <v>0.355611952104566i</v>
      </c>
      <c r="F376" s="579" t="str">
        <f t="shared" si="298"/>
        <v>0.002-0.0778722636526146i</v>
      </c>
      <c r="G376" s="270" t="str">
        <f t="shared" si="299"/>
        <v>0.002-0.0778722636526146i</v>
      </c>
      <c r="H376" s="271" t="str">
        <f t="shared" si="300"/>
        <v>0.00501640192544461-0.0775993450209307i</v>
      </c>
      <c r="I376" s="271" t="str">
        <f t="shared" si="301"/>
        <v>0.0150164019254446-0.0775993450209307i</v>
      </c>
      <c r="J376" s="270" t="str">
        <f t="shared" si="302"/>
        <v>0.00423593721388944-0.0391382343886888i</v>
      </c>
      <c r="K376" s="271" t="str">
        <f t="shared" si="277"/>
        <v>0.97503441203505-0.248193713082472i</v>
      </c>
      <c r="L376" s="580"/>
      <c r="M376" s="580" t="str">
        <f t="shared" si="278"/>
        <v>-0.243574765948241-48.0273344515864i</v>
      </c>
      <c r="N376" s="270" t="str">
        <f t="shared" si="279"/>
        <v>-6.84934774112785-36.0205008386898i</v>
      </c>
      <c r="O376" s="581" t="str">
        <f t="shared" si="280"/>
        <v>-4.89302947196902-17.5944334846863i</v>
      </c>
      <c r="P376" s="582" t="str">
        <f t="shared" si="281"/>
        <v>-1.43879221161012+0.115490797336356i</v>
      </c>
      <c r="Q376" s="583" t="str">
        <f t="shared" si="282"/>
        <v>-1.38986191689043+0.291435132183219i</v>
      </c>
      <c r="R376" s="581" t="str">
        <f t="shared" si="303"/>
        <v>-0.544355476401034-2.09403048746809i</v>
      </c>
      <c r="S376" s="253" t="str">
        <f t="shared" si="304"/>
        <v>50.2269292192803-11.1960692606551i</v>
      </c>
      <c r="T376" s="253" t="str">
        <f t="shared" si="305"/>
        <v>17.3058893707904-9.13094736377727i</v>
      </c>
      <c r="U376" s="253" t="str">
        <f t="shared" si="306"/>
        <v>-0.621742238088546-1.3887301821148i</v>
      </c>
      <c r="V376" s="582" t="str">
        <f t="shared" si="283"/>
        <v>6000</v>
      </c>
      <c r="W376" s="584" t="str">
        <f t="shared" si="284"/>
        <v>1+110651.424768075i</v>
      </c>
      <c r="X376" s="585">
        <f t="shared" si="285"/>
        <v>110651.42477259369</v>
      </c>
      <c r="Y376" s="586">
        <f t="shared" si="286"/>
        <v>1.570787289405617</v>
      </c>
      <c r="Z376" s="273" t="str">
        <f t="shared" si="287"/>
        <v>1+16.5952244315464i</v>
      </c>
      <c r="AA376" s="585">
        <f t="shared" si="288"/>
        <v>16.625326280509338</v>
      </c>
      <c r="AB376" s="586">
        <f t="shared" si="289"/>
        <v>1.510610802940521</v>
      </c>
      <c r="AC376" s="584" t="str">
        <f t="shared" si="290"/>
        <v>1+0.802303715312199i</v>
      </c>
      <c r="AD376" s="585">
        <f t="shared" si="291"/>
        <v>1.2820652290752441</v>
      </c>
      <c r="AE376" s="586">
        <f t="shared" si="292"/>
        <v>0.67614406897764023</v>
      </c>
      <c r="AF376" s="580" t="str">
        <f t="shared" si="307"/>
        <v>0.521002741902629-0.472218638760556i</v>
      </c>
      <c r="AG376" s="270">
        <f t="shared" si="308"/>
        <v>0.70316022346470219</v>
      </c>
      <c r="AH376" s="581">
        <f t="shared" si="309"/>
        <v>-0.73632055544273867</v>
      </c>
      <c r="AI376" s="582" t="str">
        <f t="shared" si="293"/>
        <v>4000</v>
      </c>
      <c r="AJ376" s="584" t="str">
        <f t="shared" si="310"/>
        <v>1+8693.04085278176i</v>
      </c>
      <c r="AK376" s="585">
        <f t="shared" si="311"/>
        <v>8693.0409102990307</v>
      </c>
      <c r="AL376" s="586">
        <f t="shared" si="312"/>
        <v>1.5706812922503082</v>
      </c>
      <c r="AM376" s="273" t="str">
        <f t="shared" si="313"/>
        <v>1+0.304245781245018i</v>
      </c>
      <c r="AN376" s="585">
        <f t="shared" si="314"/>
        <v>1.0452585782500861</v>
      </c>
      <c r="AO376" s="586">
        <f t="shared" si="315"/>
        <v>0.29534744050762596</v>
      </c>
      <c r="AP376" s="584" t="str">
        <f t="shared" si="316"/>
        <v>1+0.00220114829353693i</v>
      </c>
      <c r="AQ376" s="585">
        <f t="shared" si="317"/>
        <v>1.0000024225239708</v>
      </c>
      <c r="AR376" s="586">
        <f t="shared" si="318"/>
        <v>2.2011447386532886E-3</v>
      </c>
      <c r="AS376" s="580" t="str">
        <f t="shared" si="319"/>
        <v>0.139034559565337-0.460428105705776i</v>
      </c>
      <c r="AT376" s="270">
        <f t="shared" si="320"/>
        <v>0.48096221190165922</v>
      </c>
      <c r="AU376" s="581">
        <f t="shared" si="321"/>
        <v>-1.2775349964813352</v>
      </c>
      <c r="AV376" s="580" t="str">
        <f t="shared" si="322"/>
        <v>-0.0179802809144883-0.0923763510568379i</v>
      </c>
      <c r="AW376" s="270">
        <f t="shared" si="323"/>
        <v>-20.527290103910559</v>
      </c>
      <c r="AX376" s="581">
        <f t="shared" si="324"/>
        <v>-101.01442518229624</v>
      </c>
      <c r="AY376" s="299">
        <f t="shared" si="294"/>
        <v>78.985574817703764</v>
      </c>
      <c r="BB376" s="270">
        <f t="shared" si="327"/>
        <v>-46.357780876151963</v>
      </c>
      <c r="BC376" s="270">
        <f t="shared" si="328"/>
        <v>-73.19736347864098</v>
      </c>
      <c r="BD376" s="286"/>
      <c r="BE376" s="270">
        <f t="shared" si="325"/>
        <v>25.830490772241411</v>
      </c>
      <c r="BF376" s="581">
        <f t="shared" si="326"/>
        <v>-27.817061703655245</v>
      </c>
      <c r="BI376" s="286"/>
      <c r="BJ376" s="286"/>
      <c r="BL376" s="253">
        <f t="shared" si="295"/>
        <v>0</v>
      </c>
      <c r="BM376" s="253">
        <f t="shared" si="329"/>
        <v>0</v>
      </c>
      <c r="BN376" s="253">
        <f t="shared" si="296"/>
        <v>0</v>
      </c>
      <c r="BO376" s="253">
        <f t="shared" si="297"/>
        <v>0</v>
      </c>
    </row>
    <row r="377" spans="4:67" ht="13.6" thickBot="1" x14ac:dyDescent="0.25">
      <c r="D377" s="280">
        <v>31623</v>
      </c>
      <c r="E377" s="273" t="str">
        <f t="shared" si="276"/>
        <v>0.357647704144092i</v>
      </c>
      <c r="F377" s="579" t="str">
        <f t="shared" si="298"/>
        <v>0.002-0.0774290100885166i</v>
      </c>
      <c r="G377" s="270" t="str">
        <f t="shared" si="299"/>
        <v>0.002-0.0774290100885166i</v>
      </c>
      <c r="H377" s="271" t="str">
        <f t="shared" si="300"/>
        <v>0.00498218907205509-0.0771589681364186i</v>
      </c>
      <c r="I377" s="271" t="str">
        <f t="shared" si="301"/>
        <v>0.0149821890720551-0.0771589681364186i</v>
      </c>
      <c r="J377" s="270" t="str">
        <f t="shared" si="302"/>
        <v>0.00422717904351861-0.0389174175569768i</v>
      </c>
      <c r="K377" s="271" t="str">
        <f t="shared" si="277"/>
        <v>0.974747755637484-0.249614533880578i</v>
      </c>
      <c r="L377" s="580"/>
      <c r="M377" s="580" t="str">
        <f t="shared" si="278"/>
        <v>-0.241613270806162-47.7182211504489i</v>
      </c>
      <c r="N377" s="270" t="str">
        <f t="shared" si="279"/>
        <v>-6.84787661977129-35.7886658628367i</v>
      </c>
      <c r="O377" s="581" t="str">
        <f t="shared" si="280"/>
        <v>-4.88686456876368-17.4773426519631i</v>
      </c>
      <c r="P377" s="582" t="str">
        <f t="shared" si="281"/>
        <v>-1.42174965373084+0.115216575459425i</v>
      </c>
      <c r="Q377" s="583" t="str">
        <f t="shared" si="282"/>
        <v>-1.3728810080432+0.289990001979057i</v>
      </c>
      <c r="R377" s="581" t="str">
        <f t="shared" si="303"/>
        <v>-0.543867307016065-2.07992943861815i</v>
      </c>
      <c r="S377" s="253" t="str">
        <f t="shared" si="304"/>
        <v>50.2058293430163-11.276969760257i</v>
      </c>
      <c r="T377" s="253" t="str">
        <f t="shared" si="305"/>
        <v>17.280077146827-9.18444666653864i</v>
      </c>
      <c r="U377" s="253" t="str">
        <f t="shared" si="306"/>
        <v>-0.622569816168901-1.37907157178178i</v>
      </c>
      <c r="V377" s="582" t="str">
        <f t="shared" si="283"/>
        <v>6000</v>
      </c>
      <c r="W377" s="584" t="str">
        <f t="shared" si="284"/>
        <v>1+111284.8648488i</v>
      </c>
      <c r="X377" s="585">
        <f t="shared" si="285"/>
        <v>111284.86485329297</v>
      </c>
      <c r="Y377" s="586">
        <f t="shared" si="286"/>
        <v>1.5707873408469752</v>
      </c>
      <c r="Z377" s="273" t="str">
        <f t="shared" si="287"/>
        <v>1+16.690226193391i</v>
      </c>
      <c r="AA377" s="585">
        <f t="shared" si="288"/>
        <v>16.720157008430125</v>
      </c>
      <c r="AB377" s="586">
        <f t="shared" si="289"/>
        <v>1.5109525628683975</v>
      </c>
      <c r="AC377" s="584" t="str">
        <f t="shared" si="290"/>
        <v>1+0.806896618939593i</v>
      </c>
      <c r="AD377" s="585">
        <f t="shared" si="291"/>
        <v>1.2849444165628903</v>
      </c>
      <c r="AE377" s="586">
        <f t="shared" si="292"/>
        <v>0.67893207323070182</v>
      </c>
      <c r="AF377" s="580" t="str">
        <f t="shared" si="307"/>
        <v>0.518670522522769-0.472421092352638i</v>
      </c>
      <c r="AG377" s="270">
        <f t="shared" si="308"/>
        <v>0.70157023841786648</v>
      </c>
      <c r="AH377" s="581">
        <f t="shared" si="309"/>
        <v>-0.73876685120928021</v>
      </c>
      <c r="AI377" s="582" t="str">
        <f t="shared" si="293"/>
        <v>4000</v>
      </c>
      <c r="AJ377" s="584" t="str">
        <f t="shared" si="310"/>
        <v>1+8742.80542211358i</v>
      </c>
      <c r="AK377" s="585">
        <f t="shared" si="311"/>
        <v>8742.8054793034607</v>
      </c>
      <c r="AL377" s="586">
        <f t="shared" si="312"/>
        <v>1.5706819470337836</v>
      </c>
      <c r="AM377" s="273" t="str">
        <f t="shared" si="313"/>
        <v>1+0.305987480212168i</v>
      </c>
      <c r="AN377" s="585">
        <f t="shared" si="314"/>
        <v>1.0457668660110588</v>
      </c>
      <c r="AO377" s="586">
        <f t="shared" si="315"/>
        <v>0.29694080325826561</v>
      </c>
      <c r="AP377" s="584" t="str">
        <f t="shared" si="316"/>
        <v>1+0.00221374908521828i</v>
      </c>
      <c r="AQ377" s="585">
        <f t="shared" si="317"/>
        <v>1.000002450339504</v>
      </c>
      <c r="AR377" s="586">
        <f t="shared" si="318"/>
        <v>2.213745468933259E-3</v>
      </c>
      <c r="AS377" s="580" t="str">
        <f t="shared" si="319"/>
        <v>0.139033950987757-0.457810814137576i</v>
      </c>
      <c r="AT377" s="270">
        <f t="shared" si="320"/>
        <v>0.47845708383153462</v>
      </c>
      <c r="AU377" s="581">
        <f t="shared" si="321"/>
        <v>-1.2759548892444508</v>
      </c>
      <c r="AV377" s="580" t="str">
        <f t="shared" si="322"/>
        <v>-0.018022216067146-0.0918795609463419i</v>
      </c>
      <c r="AW377" s="270">
        <f t="shared" si="323"/>
        <v>-20.571661341410756</v>
      </c>
      <c r="AX377" s="581">
        <f t="shared" si="324"/>
        <v>-101.09769585368529</v>
      </c>
      <c r="AY377" s="299">
        <f t="shared" si="294"/>
        <v>78.902304146314705</v>
      </c>
      <c r="BB377" s="270">
        <f t="shared" si="327"/>
        <v>-46.403140221108352</v>
      </c>
      <c r="BC377" s="270">
        <f t="shared" si="328"/>
        <v>-73.106830002789422</v>
      </c>
      <c r="BD377" s="286"/>
      <c r="BE377" s="270">
        <f t="shared" si="325"/>
        <v>25.831478879697588</v>
      </c>
      <c r="BF377" s="581">
        <f t="shared" si="326"/>
        <v>-27.990865850895844</v>
      </c>
      <c r="BI377" s="286"/>
      <c r="BJ377" s="286"/>
      <c r="BL377" s="253">
        <f t="shared" si="295"/>
        <v>0</v>
      </c>
      <c r="BM377" s="253">
        <f t="shared" si="329"/>
        <v>0</v>
      </c>
      <c r="BN377" s="253">
        <f t="shared" si="296"/>
        <v>0</v>
      </c>
      <c r="BO377" s="253">
        <f t="shared" si="297"/>
        <v>0</v>
      </c>
    </row>
    <row r="378" spans="4:67" ht="13.6" thickBot="1" x14ac:dyDescent="0.25">
      <c r="D378" s="280">
        <v>31807</v>
      </c>
      <c r="E378" s="273" t="str">
        <f t="shared" si="276"/>
        <v>0.35972869511783i</v>
      </c>
      <c r="F378" s="579" t="str">
        <f t="shared" si="298"/>
        <v>0.002-0.076981091773168i</v>
      </c>
      <c r="G378" s="270" t="str">
        <f t="shared" si="299"/>
        <v>0.002-0.076981091773168i</v>
      </c>
      <c r="H378" s="271" t="str">
        <f t="shared" si="300"/>
        <v>0.00494781337575465-0.0767139338015886i</v>
      </c>
      <c r="I378" s="271" t="str">
        <f t="shared" si="301"/>
        <v>0.0149478133757547-0.0767139338015886i</v>
      </c>
      <c r="J378" s="270" t="str">
        <f t="shared" si="302"/>
        <v>0.00421837565446468-0.0386942841683405i</v>
      </c>
      <c r="K378" s="271" t="str">
        <f t="shared" si="277"/>
        <v>0.974453037827328-0.251066928474197i</v>
      </c>
      <c r="L378" s="580"/>
      <c r="M378" s="580" t="str">
        <f t="shared" si="278"/>
        <v>-0.239622232521928-47.4065293082735i</v>
      </c>
      <c r="N378" s="270" t="str">
        <f t="shared" si="279"/>
        <v>-6.84638334105812-35.5548969812051i</v>
      </c>
      <c r="O378" s="581" t="str">
        <f t="shared" si="280"/>
        <v>-4.88066327621691-17.3592539761467i</v>
      </c>
      <c r="P378" s="582" t="str">
        <f t="shared" si="281"/>
        <v>-1.40465190417387+0.11493199070178i</v>
      </c>
      <c r="Q378" s="583" t="str">
        <f t="shared" si="282"/>
        <v>-1.3558452714117+0.288524530463248i</v>
      </c>
      <c r="R378" s="581" t="str">
        <f t="shared" si="303"/>
        <v>-0.54337651892482-2.06570695063442i</v>
      </c>
      <c r="S378" s="253" t="str">
        <f t="shared" si="304"/>
        <v>50.1841069101835-11.3595256556597i</v>
      </c>
      <c r="T378" s="253" t="str">
        <f t="shared" si="305"/>
        <v>17.2535413653651-9.23902873383542i</v>
      </c>
      <c r="U378" s="253" t="str">
        <f t="shared" si="306"/>
        <v>-0.623394935931736-1.36930002009384i</v>
      </c>
      <c r="V378" s="582" t="str">
        <f t="shared" si="283"/>
        <v>6000</v>
      </c>
      <c r="W378" s="584" t="str">
        <f t="shared" si="284"/>
        <v>1+111932.381375764i</v>
      </c>
      <c r="X378" s="585">
        <f t="shared" si="285"/>
        <v>111932.38138023099</v>
      </c>
      <c r="Y378" s="586">
        <f t="shared" si="286"/>
        <v>1.5707873928296965</v>
      </c>
      <c r="Z378" s="273" t="str">
        <f t="shared" si="287"/>
        <v>1+16.7873391054987i</v>
      </c>
      <c r="AA378" s="585">
        <f t="shared" si="288"/>
        <v>16.817097081333802</v>
      </c>
      <c r="AB378" s="586">
        <f t="shared" si="289"/>
        <v>1.5112979336579897</v>
      </c>
      <c r="AC378" s="584" t="str">
        <f t="shared" si="290"/>
        <v>1+0.811591587092042i</v>
      </c>
      <c r="AD378" s="585">
        <f t="shared" si="291"/>
        <v>1.2878978625025277</v>
      </c>
      <c r="AE378" s="586">
        <f t="shared" si="292"/>
        <v>0.68176912636236875</v>
      </c>
      <c r="AF378" s="580" t="str">
        <f t="shared" si="307"/>
        <v>0.516294385248022-0.472615931365018i</v>
      </c>
      <c r="AG378" s="270">
        <f t="shared" si="308"/>
        <v>0.69994693428763322</v>
      </c>
      <c r="AH378" s="581">
        <f t="shared" si="309"/>
        <v>-0.74125858553407631</v>
      </c>
      <c r="AI378" s="582" t="str">
        <f t="shared" si="293"/>
        <v>4000</v>
      </c>
      <c r="AJ378" s="584" t="str">
        <f t="shared" si="310"/>
        <v>1+8793.67587076389i</v>
      </c>
      <c r="AK378" s="585">
        <f t="shared" si="311"/>
        <v>8793.6759276229313</v>
      </c>
      <c r="AL378" s="586">
        <f t="shared" si="312"/>
        <v>1.5706826087081276</v>
      </c>
      <c r="AM378" s="273" t="str">
        <f t="shared" si="313"/>
        <v>1+0.30776788360081i</v>
      </c>
      <c r="AN378" s="585">
        <f t="shared" si="314"/>
        <v>1.0462891905090683</v>
      </c>
      <c r="AO378" s="586">
        <f t="shared" si="315"/>
        <v>0.29856796973320804</v>
      </c>
      <c r="AP378" s="584" t="str">
        <f t="shared" si="316"/>
        <v>1+0.00222662989449255i</v>
      </c>
      <c r="AQ378" s="585">
        <f t="shared" si="317"/>
        <v>1.000002478937271</v>
      </c>
      <c r="AR378" s="586">
        <f t="shared" si="318"/>
        <v>2.2266262147150459E-3</v>
      </c>
      <c r="AS378" s="580" t="str">
        <f t="shared" si="319"/>
        <v>0.139033339353654-0.455165998969108i</v>
      </c>
      <c r="AT378" s="270">
        <f t="shared" si="320"/>
        <v>0.47592683898827803</v>
      </c>
      <c r="AU378" s="581">
        <f t="shared" si="321"/>
        <v>-1.2743412651896342</v>
      </c>
      <c r="AV378" s="580" t="str">
        <f t="shared" si="322"/>
        <v>-0.0180647427143738-0.0913775840857073i</v>
      </c>
      <c r="AW378" s="270">
        <f t="shared" si="323"/>
        <v>-20.616705553632507</v>
      </c>
      <c r="AX378" s="581">
        <f t="shared" si="324"/>
        <v>-101.18279931279211</v>
      </c>
      <c r="AY378" s="299">
        <f t="shared" si="294"/>
        <v>78.817200687207887</v>
      </c>
      <c r="BB378" s="270">
        <f t="shared" si="327"/>
        <v>-46.449196065998237</v>
      </c>
      <c r="BC378" s="270">
        <f t="shared" si="328"/>
        <v>-73.014376154727657</v>
      </c>
      <c r="BD378" s="286"/>
      <c r="BE378" s="270">
        <f t="shared" si="325"/>
        <v>25.832490512365737</v>
      </c>
      <c r="BF378" s="581">
        <f t="shared" si="326"/>
        <v>-28.168423158064464</v>
      </c>
      <c r="BI378" s="286"/>
      <c r="BJ378" s="286"/>
      <c r="BL378" s="253">
        <f t="shared" si="295"/>
        <v>0</v>
      </c>
      <c r="BM378" s="253">
        <f t="shared" si="329"/>
        <v>0</v>
      </c>
      <c r="BN378" s="253">
        <f t="shared" si="296"/>
        <v>0</v>
      </c>
      <c r="BO378" s="253">
        <f t="shared" si="297"/>
        <v>0</v>
      </c>
    </row>
    <row r="379" spans="4:67" ht="13.6" thickBot="1" x14ac:dyDescent="0.25">
      <c r="D379" s="280">
        <v>31991</v>
      </c>
      <c r="E379" s="273" t="str">
        <f t="shared" si="276"/>
        <v>0.361809686091568i</v>
      </c>
      <c r="F379" s="579" t="str">
        <f t="shared" si="298"/>
        <v>0.002-0.0765383259675898i</v>
      </c>
      <c r="G379" s="270" t="str">
        <f t="shared" si="299"/>
        <v>0.002-0.0765383259675898i</v>
      </c>
      <c r="H379" s="271" t="str">
        <f t="shared" si="300"/>
        <v>0.00491402796534825-0.0762739962342427i</v>
      </c>
      <c r="I379" s="271" t="str">
        <f t="shared" si="301"/>
        <v>0.0149140279653482-0.0762739962342427i</v>
      </c>
      <c r="J379" s="270" t="str">
        <f t="shared" si="302"/>
        <v>0.00420971985590328-0.0384737249284143i</v>
      </c>
      <c r="K379" s="271" t="str">
        <f t="shared" si="277"/>
        <v>0.97415661016136-0.252519323067817i</v>
      </c>
      <c r="L379" s="580"/>
      <c r="M379" s="580" t="str">
        <f t="shared" si="278"/>
        <v>-0.237645743334014-47.0990838990264i</v>
      </c>
      <c r="N379" s="270" t="str">
        <f t="shared" si="279"/>
        <v>-6.84490097416718-35.3243129242698i</v>
      </c>
      <c r="O379" s="581" t="str">
        <f t="shared" si="280"/>
        <v>-4.87456135844562-17.2427529012454i</v>
      </c>
      <c r="P379" s="582" t="str">
        <f t="shared" si="281"/>
        <v>-1.38787301427623+0.114643375728904i</v>
      </c>
      <c r="Q379" s="583" t="str">
        <f t="shared" si="282"/>
        <v>-1.33912740069178+0.287070904741357i</v>
      </c>
      <c r="R379" s="581" t="str">
        <f t="shared" si="303"/>
        <v>-0.542893873062007-2.05167439807613i</v>
      </c>
      <c r="S379" s="253" t="str">
        <f t="shared" si="304"/>
        <v>50.1622295635036-11.4419391712149i</v>
      </c>
      <c r="T379" s="253" t="str">
        <f t="shared" si="305"/>
        <v>17.2268543079701-9.29350362875735i</v>
      </c>
      <c r="U379" s="253" t="str">
        <f t="shared" si="306"/>
        <v>-0.624199416958417-1.35962955734174i</v>
      </c>
      <c r="V379" s="582" t="str">
        <f t="shared" si="283"/>
        <v>6000</v>
      </c>
      <c r="W379" s="584" t="str">
        <f t="shared" si="284"/>
        <v>1+112579.897902728i</v>
      </c>
      <c r="X379" s="585">
        <f t="shared" si="285"/>
        <v>112579.8979071693</v>
      </c>
      <c r="Y379" s="586">
        <f t="shared" si="286"/>
        <v>1.5707874442144485</v>
      </c>
      <c r="Z379" s="273" t="str">
        <f t="shared" si="287"/>
        <v>1+16.8844520176065i</v>
      </c>
      <c r="AA379" s="585">
        <f t="shared" si="288"/>
        <v>16.914039137203631</v>
      </c>
      <c r="AB379" s="586">
        <f t="shared" si="289"/>
        <v>1.5116393455335713</v>
      </c>
      <c r="AC379" s="584" t="str">
        <f t="shared" si="290"/>
        <v>1+0.81628655524449i</v>
      </c>
      <c r="AD379" s="585">
        <f t="shared" si="291"/>
        <v>1.2908616270820494</v>
      </c>
      <c r="AE379" s="586">
        <f t="shared" si="292"/>
        <v>0.68459317462580371</v>
      </c>
      <c r="AF379" s="580" t="str">
        <f t="shared" si="307"/>
        <v>0.513926322710871-0.472798637178226i</v>
      </c>
      <c r="AG379" s="270">
        <f t="shared" si="308"/>
        <v>0.69832572377988922</v>
      </c>
      <c r="AH379" s="581">
        <f t="shared" si="309"/>
        <v>-0.74374127330668249</v>
      </c>
      <c r="AI379" s="582" t="str">
        <f t="shared" si="293"/>
        <v>4000</v>
      </c>
      <c r="AJ379" s="584" t="str">
        <f t="shared" si="310"/>
        <v>1+8844.5463194142i</v>
      </c>
      <c r="AK379" s="585">
        <f t="shared" si="311"/>
        <v>8844.5463759462109</v>
      </c>
      <c r="AL379" s="586">
        <f t="shared" si="312"/>
        <v>1.5706832627710763</v>
      </c>
      <c r="AM379" s="273" t="str">
        <f t="shared" si="313"/>
        <v>1+0.309548286989452i</v>
      </c>
      <c r="AN379" s="585">
        <f t="shared" si="314"/>
        <v>1.0468142824675752</v>
      </c>
      <c r="AO379" s="586">
        <f t="shared" si="315"/>
        <v>0.30019350810422241</v>
      </c>
      <c r="AP379" s="584" t="str">
        <f t="shared" si="316"/>
        <v>1+0.00223951070376681i</v>
      </c>
      <c r="AQ379" s="585">
        <f t="shared" si="317"/>
        <v>1.0000025077009518</v>
      </c>
      <c r="AR379" s="586">
        <f t="shared" si="318"/>
        <v>2.2395069597579667E-3</v>
      </c>
      <c r="AS379" s="580" t="str">
        <f t="shared" si="319"/>
        <v>0.139032738059945-0.452551628323168i</v>
      </c>
      <c r="AT379" s="270">
        <f t="shared" si="320"/>
        <v>0.47342695165188481</v>
      </c>
      <c r="AU379" s="581">
        <f t="shared" si="321"/>
        <v>-1.2727292616266124</v>
      </c>
      <c r="AV379" s="580" t="str">
        <f t="shared" si="322"/>
        <v>-0.0181069347742457-0.0908814222363402i</v>
      </c>
      <c r="AW379" s="270">
        <f t="shared" si="323"/>
        <v>-20.66143668339782</v>
      </c>
      <c r="AX379" s="581">
        <f t="shared" si="324"/>
        <v>-101.26788670950228</v>
      </c>
      <c r="AY379" s="299">
        <f t="shared" si="294"/>
        <v>78.732113290497722</v>
      </c>
      <c r="BB379" s="270">
        <f t="shared" si="327"/>
        <v>-46.494940436355421</v>
      </c>
      <c r="BC379" s="270">
        <f t="shared" si="328"/>
        <v>-72.922015154006445</v>
      </c>
      <c r="BD379" s="286"/>
      <c r="BE379" s="270">
        <f t="shared" si="325"/>
        <v>25.833503752957601</v>
      </c>
      <c r="BF379" s="581">
        <f t="shared" si="326"/>
        <v>-28.345871555495808</v>
      </c>
      <c r="BI379" s="286"/>
      <c r="BJ379" s="286"/>
      <c r="BL379" s="253">
        <f t="shared" si="295"/>
        <v>0</v>
      </c>
      <c r="BM379" s="253">
        <f t="shared" si="329"/>
        <v>0</v>
      </c>
      <c r="BN379" s="253">
        <f t="shared" si="296"/>
        <v>0</v>
      </c>
      <c r="BO379" s="253">
        <f t="shared" si="297"/>
        <v>0</v>
      </c>
    </row>
    <row r="380" spans="4:67" ht="13.6" thickBot="1" x14ac:dyDescent="0.25">
      <c r="D380" s="280">
        <v>32175</v>
      </c>
      <c r="E380" s="273" t="str">
        <f t="shared" si="276"/>
        <v>0.363890677065306i</v>
      </c>
      <c r="F380" s="579" t="str">
        <f t="shared" si="298"/>
        <v>0.002-0.0761006242744106i</v>
      </c>
      <c r="G380" s="270" t="str">
        <f t="shared" si="299"/>
        <v>0.002-0.0761006242744106i</v>
      </c>
      <c r="H380" s="271" t="str">
        <f t="shared" si="300"/>
        <v>0.00488081940935874-0.0758390685038952i</v>
      </c>
      <c r="I380" s="271" t="str">
        <f t="shared" si="301"/>
        <v>0.0148808194093587-0.0758390685038952i</v>
      </c>
      <c r="J380" s="270" t="str">
        <f t="shared" si="302"/>
        <v>0.00420120826265645-0.0382556957330536i</v>
      </c>
      <c r="K380" s="271" t="str">
        <f t="shared" si="277"/>
        <v>0.97385847263958-0.253971717661436i</v>
      </c>
      <c r="L380" s="580"/>
      <c r="M380" s="580" t="str">
        <f t="shared" si="278"/>
        <v>-0.235684117964458-46.7957955326438i</v>
      </c>
      <c r="N380" s="270" t="str">
        <f t="shared" si="279"/>
        <v>-6.84342975514001-35.0968466494828i</v>
      </c>
      <c r="O380" s="581" t="str">
        <f t="shared" si="280"/>
        <v>-4.86855652446381-17.1278059639266i</v>
      </c>
      <c r="P380" s="582" t="str">
        <f t="shared" si="281"/>
        <v>-1.37140496024446+0.114351004346168i</v>
      </c>
      <c r="Q380" s="583" t="str">
        <f t="shared" si="282"/>
        <v>-1.32271939499982+0.285629063985433i</v>
      </c>
      <c r="R380" s="581" t="str">
        <f t="shared" si="303"/>
        <v>-0.542419194967905-2.03782777824574i</v>
      </c>
      <c r="S380" s="253" t="str">
        <f t="shared" si="304"/>
        <v>50.1401977385437-11.5242118545607i</v>
      </c>
      <c r="T380" s="253" t="str">
        <f t="shared" si="305"/>
        <v>17.2000162988835-9.34787144273391i</v>
      </c>
      <c r="U380" s="253" t="str">
        <f t="shared" si="306"/>
        <v>-0.624983689318226-1.35005848673303i</v>
      </c>
      <c r="V380" s="582" t="str">
        <f t="shared" si="283"/>
        <v>6000</v>
      </c>
      <c r="W380" s="584" t="str">
        <f t="shared" si="284"/>
        <v>1+113227.414429692i</v>
      </c>
      <c r="X380" s="585">
        <f t="shared" si="285"/>
        <v>113227.41443410791</v>
      </c>
      <c r="Y380" s="586">
        <f t="shared" si="286"/>
        <v>1.5707874950114897</v>
      </c>
      <c r="Z380" s="273" t="str">
        <f t="shared" si="287"/>
        <v>1+16.9815649297143i</v>
      </c>
      <c r="AA380" s="585">
        <f t="shared" si="288"/>
        <v>17.010983142137984</v>
      </c>
      <c r="AB380" s="586">
        <f t="shared" si="289"/>
        <v>1.5119768660993065</v>
      </c>
      <c r="AC380" s="584" t="str">
        <f t="shared" si="290"/>
        <v>1+0.820981523396939i</v>
      </c>
      <c r="AD380" s="585">
        <f t="shared" si="291"/>
        <v>1.2938356393913248</v>
      </c>
      <c r="AE380" s="586">
        <f t="shared" si="292"/>
        <v>0.68740426250055264</v>
      </c>
      <c r="AF380" s="580" t="str">
        <f t="shared" si="307"/>
        <v>0.511566411402724-0.472969324778212i</v>
      </c>
      <c r="AG380" s="270">
        <f t="shared" si="308"/>
        <v>0.69670666385259927</v>
      </c>
      <c r="AH380" s="581">
        <f t="shared" si="309"/>
        <v>-0.74621489141273811</v>
      </c>
      <c r="AI380" s="582" t="str">
        <f t="shared" si="293"/>
        <v>4000</v>
      </c>
      <c r="AJ380" s="584" t="str">
        <f t="shared" si="310"/>
        <v>1+8895.41676806451i</v>
      </c>
      <c r="AK380" s="585">
        <f t="shared" si="311"/>
        <v>8895.4168242732303</v>
      </c>
      <c r="AL380" s="586">
        <f t="shared" si="312"/>
        <v>1.5706839093532117</v>
      </c>
      <c r="AM380" s="273" t="str">
        <f t="shared" si="313"/>
        <v>1+0.311328690378095i</v>
      </c>
      <c r="AN380" s="585">
        <f t="shared" si="314"/>
        <v>1.0473421377241248</v>
      </c>
      <c r="AO380" s="586">
        <f t="shared" si="315"/>
        <v>0.30181741223601016</v>
      </c>
      <c r="AP380" s="584" t="str">
        <f t="shared" si="316"/>
        <v>1+0.00225239151304108i</v>
      </c>
      <c r="AQ380" s="585">
        <f t="shared" si="317"/>
        <v>1.0000025366305467</v>
      </c>
      <c r="AR380" s="586">
        <f t="shared" si="318"/>
        <v>2.2523877040577663E-3</v>
      </c>
      <c r="AS380" s="580" t="str">
        <f t="shared" si="319"/>
        <v>0.139032146869721-0.449967179888148i</v>
      </c>
      <c r="AT380" s="270">
        <f t="shared" si="320"/>
        <v>0.47095689913164729</v>
      </c>
      <c r="AU380" s="581">
        <f t="shared" si="321"/>
        <v>-1.2711188848212576</v>
      </c>
      <c r="AV380" s="580" t="str">
        <f t="shared" si="322"/>
        <v>-0.0181488015881596-0.0903909746338424i</v>
      </c>
      <c r="AW380" s="270">
        <f t="shared" si="323"/>
        <v>-20.705858109651345</v>
      </c>
      <c r="AX380" s="581">
        <f t="shared" si="324"/>
        <v>-101.35295982266648</v>
      </c>
      <c r="AY380" s="299">
        <f t="shared" si="294"/>
        <v>78.647040177333523</v>
      </c>
      <c r="BB380" s="270">
        <f t="shared" si="327"/>
        <v>-46.540376733252216</v>
      </c>
      <c r="BC380" s="270">
        <f t="shared" si="328"/>
        <v>-72.829747359633856</v>
      </c>
      <c r="BD380" s="286"/>
      <c r="BE380" s="270">
        <f t="shared" si="325"/>
        <v>25.834518623600879</v>
      </c>
      <c r="BF380" s="581">
        <f t="shared" si="326"/>
        <v>-28.523212463032646</v>
      </c>
      <c r="BI380" s="286"/>
      <c r="BJ380" s="286"/>
      <c r="BL380" s="253">
        <f t="shared" si="295"/>
        <v>0</v>
      </c>
      <c r="BM380" s="253">
        <f t="shared" si="329"/>
        <v>0</v>
      </c>
      <c r="BN380" s="253">
        <f t="shared" si="296"/>
        <v>0</v>
      </c>
      <c r="BO380" s="253">
        <f t="shared" si="297"/>
        <v>0</v>
      </c>
    </row>
    <row r="381" spans="4:67" ht="13.6" thickBot="1" x14ac:dyDescent="0.25">
      <c r="D381" s="280">
        <v>32359</v>
      </c>
      <c r="E381" s="273" t="str">
        <f t="shared" si="276"/>
        <v>0.365971668039044i</v>
      </c>
      <c r="F381" s="579" t="str">
        <f t="shared" si="298"/>
        <v>0.002-0.0756679003068437i</v>
      </c>
      <c r="G381" s="270" t="str">
        <f t="shared" si="299"/>
        <v>0.002-0.0756679003068437i</v>
      </c>
      <c r="H381" s="271" t="str">
        <f t="shared" si="300"/>
        <v>0.00484817465599478-0.0754090656429309i</v>
      </c>
      <c r="I381" s="271" t="str">
        <f t="shared" si="301"/>
        <v>0.0148481746559948-0.0754090656429309i</v>
      </c>
      <c r="J381" s="270" t="str">
        <f t="shared" si="302"/>
        <v>0.0041928375854652-0.0380401534794144i</v>
      </c>
      <c r="K381" s="271" t="str">
        <f t="shared" si="277"/>
        <v>0.973558625261988-0.255424112255056i</v>
      </c>
      <c r="L381" s="580"/>
      <c r="M381" s="580" t="str">
        <f t="shared" si="278"/>
        <v>-0.233737636523038-46.4965773746941i</v>
      </c>
      <c r="N381" s="270" t="str">
        <f t="shared" si="279"/>
        <v>-6.84196989405895-34.8724330310206i</v>
      </c>
      <c r="O381" s="581" t="str">
        <f t="shared" si="280"/>
        <v>-4.86264654692593-17.0143806593127i</v>
      </c>
      <c r="P381" s="582" t="str">
        <f t="shared" si="281"/>
        <v>-1.35523997323106+0.114055136962454i</v>
      </c>
      <c r="Q381" s="583" t="str">
        <f t="shared" si="282"/>
        <v>-1.30661350776179+0.284198943555581i</v>
      </c>
      <c r="R381" s="581" t="str">
        <f t="shared" si="303"/>
        <v>-0.541952314625725-2.02416320301235i</v>
      </c>
      <c r="S381" s="253" t="str">
        <f t="shared" si="304"/>
        <v>50.1180118583016-11.6063452123754i</v>
      </c>
      <c r="T381" s="253" t="str">
        <f t="shared" si="305"/>
        <v>17.1730276599238-9.4021322556327i</v>
      </c>
      <c r="U381" s="253" t="str">
        <f t="shared" si="306"/>
        <v>-0.625748170980984-1.34058514940913i</v>
      </c>
      <c r="V381" s="582" t="str">
        <f t="shared" si="283"/>
        <v>6000</v>
      </c>
      <c r="W381" s="584" t="str">
        <f t="shared" si="284"/>
        <v>1+113874.930956656i</v>
      </c>
      <c r="X381" s="585">
        <f t="shared" si="285"/>
        <v>113874.93096104679</v>
      </c>
      <c r="Y381" s="586">
        <f t="shared" si="286"/>
        <v>1.5707875452308457</v>
      </c>
      <c r="Z381" s="273" t="str">
        <f t="shared" si="287"/>
        <v>1+17.078677841822i</v>
      </c>
      <c r="AA381" s="585">
        <f t="shared" si="288"/>
        <v>17.10792906300297</v>
      </c>
      <c r="AB381" s="586">
        <f t="shared" si="289"/>
        <v>1.5123105614305756</v>
      </c>
      <c r="AC381" s="584" t="str">
        <f t="shared" si="290"/>
        <v>1+0.825676491549387i</v>
      </c>
      <c r="AD381" s="585">
        <f t="shared" si="291"/>
        <v>1.2968198289266344</v>
      </c>
      <c r="AE381" s="586">
        <f t="shared" si="292"/>
        <v>0.69020243487817368</v>
      </c>
      <c r="AF381" s="580" t="str">
        <f t="shared" si="307"/>
        <v>0.509214725138463-0.473128109777283i</v>
      </c>
      <c r="AG381" s="270">
        <f t="shared" si="308"/>
        <v>0.69508981042687223</v>
      </c>
      <c r="AH381" s="581">
        <f t="shared" si="309"/>
        <v>-0.74867941867844168</v>
      </c>
      <c r="AI381" s="582" t="str">
        <f t="shared" si="293"/>
        <v>4000</v>
      </c>
      <c r="AJ381" s="584" t="str">
        <f t="shared" si="310"/>
        <v>1+8946.28721671483i</v>
      </c>
      <c r="AK381" s="585">
        <f t="shared" si="311"/>
        <v>8946.2872726039368</v>
      </c>
      <c r="AL381" s="586">
        <f t="shared" si="312"/>
        <v>1.5706845485821463</v>
      </c>
      <c r="AM381" s="273" t="str">
        <f t="shared" si="313"/>
        <v>1+0.313109093766737i</v>
      </c>
      <c r="AN381" s="585">
        <f t="shared" si="314"/>
        <v>1.0478727521027671</v>
      </c>
      <c r="AO381" s="586">
        <f t="shared" si="315"/>
        <v>0.30343967604007682</v>
      </c>
      <c r="AP381" s="584" t="str">
        <f t="shared" si="316"/>
        <v>1+0.00226527232231535i</v>
      </c>
      <c r="AQ381" s="585">
        <f t="shared" si="317"/>
        <v>1.0000025657260556</v>
      </c>
      <c r="AR381" s="586">
        <f t="shared" si="318"/>
        <v>2.2652684476101616E-3</v>
      </c>
      <c r="AS381" s="580" t="str">
        <f t="shared" si="319"/>
        <v>0.139031565552786-0.44741214323234i</v>
      </c>
      <c r="AT381" s="270">
        <f t="shared" si="320"/>
        <v>0.46851617061934431</v>
      </c>
      <c r="AU381" s="581">
        <f t="shared" si="321"/>
        <v>-1.2695101409896801</v>
      </c>
      <c r="AV381" s="580" t="str">
        <f t="shared" si="322"/>
        <v>-0.0181903522260604-0.0899061427814973i</v>
      </c>
      <c r="AW381" s="270">
        <f t="shared" si="323"/>
        <v>-20.749973155892253</v>
      </c>
      <c r="AX381" s="581">
        <f t="shared" si="324"/>
        <v>-101.43802039415536</v>
      </c>
      <c r="AY381" s="299">
        <f t="shared" si="294"/>
        <v>78.561979605844641</v>
      </c>
      <c r="BB381" s="270">
        <f t="shared" si="327"/>
        <v>-46.585508300879262</v>
      </c>
      <c r="BC381" s="270">
        <f t="shared" si="328"/>
        <v>-72.737573127766765</v>
      </c>
      <c r="BD381" s="286"/>
      <c r="BE381" s="270">
        <f t="shared" si="325"/>
        <v>25.835535144987006</v>
      </c>
      <c r="BF381" s="581">
        <f t="shared" si="326"/>
        <v>-28.700447266388604</v>
      </c>
      <c r="BI381" s="286"/>
      <c r="BJ381" s="286"/>
      <c r="BL381" s="253">
        <f t="shared" si="295"/>
        <v>0</v>
      </c>
      <c r="BM381" s="253">
        <f t="shared" si="329"/>
        <v>0</v>
      </c>
      <c r="BN381" s="253">
        <f t="shared" si="296"/>
        <v>0</v>
      </c>
      <c r="BO381" s="253">
        <f t="shared" si="297"/>
        <v>0</v>
      </c>
    </row>
    <row r="382" spans="4:67" ht="13.6" thickBot="1" x14ac:dyDescent="0.25">
      <c r="D382" s="280">
        <v>32547.5</v>
      </c>
      <c r="E382" s="273" t="str">
        <f t="shared" si="276"/>
        <v>0.36810355281377i</v>
      </c>
      <c r="F382" s="579" t="str">
        <f t="shared" si="298"/>
        <v>0.002-0.0752296669799265i</v>
      </c>
      <c r="G382" s="270" t="str">
        <f t="shared" si="299"/>
        <v>0.002-0.0752296669799265i</v>
      </c>
      <c r="H382" s="271" t="str">
        <f t="shared" si="300"/>
        <v>0.0048153029207276-0.0749735665957638i</v>
      </c>
      <c r="I382" s="271" t="str">
        <f t="shared" si="301"/>
        <v>0.0148153029207276-0.0749735665957638i</v>
      </c>
      <c r="J382" s="270" t="str">
        <f t="shared" si="302"/>
        <v>0.00418440497704746-0.0378218746923615i</v>
      </c>
      <c r="K382" s="271" t="str">
        <f t="shared" si="277"/>
        <v>0.973249671567637-0.256912027368628i</v>
      </c>
      <c r="L382" s="580"/>
      <c r="M382" s="580" t="str">
        <f t="shared" si="278"/>
        <v>-0.231759513858655-46.1941739324016i</v>
      </c>
      <c r="N382" s="270" t="str">
        <f t="shared" si="279"/>
        <v>-6.84048630206066-34.6456304493012i</v>
      </c>
      <c r="O382" s="581" t="str">
        <f t="shared" si="280"/>
        <v>-4.8566881327058-16.8997262644986i</v>
      </c>
      <c r="P382" s="582" t="str">
        <f t="shared" si="281"/>
        <v>-1.3389860584191+0.113748667266351i</v>
      </c>
      <c r="Q382" s="583" t="str">
        <f t="shared" si="282"/>
        <v>-1.29041917709205+0.282745929911337i</v>
      </c>
      <c r="R382" s="581" t="str">
        <f t="shared" si="303"/>
        <v>-0.541481928956832-2.0103492684363i</v>
      </c>
      <c r="S382" s="253" t="str">
        <f t="shared" si="304"/>
        <v>50.0951240652154-11.6903443213428i</v>
      </c>
      <c r="T382" s="253" t="str">
        <f t="shared" si="305"/>
        <v>17.1452231060108-9.45760921257425i</v>
      </c>
      <c r="U382" s="253" t="str">
        <f t="shared" si="306"/>
        <v>-0.626511251236745-1.33097977960215i</v>
      </c>
      <c r="V382" s="582" t="str">
        <f t="shared" si="283"/>
        <v>6000</v>
      </c>
      <c r="W382" s="584" t="str">
        <f t="shared" si="284"/>
        <v>1+114538.283485638i</v>
      </c>
      <c r="X382" s="585">
        <f t="shared" si="285"/>
        <v>114538.28349000336</v>
      </c>
      <c r="Y382" s="586">
        <f t="shared" si="286"/>
        <v>1.5707875960895854</v>
      </c>
      <c r="Z382" s="273" t="str">
        <f t="shared" si="287"/>
        <v>1+17.178165797976i</v>
      </c>
      <c r="AA382" s="585">
        <f t="shared" si="288"/>
        <v>17.207247896823954</v>
      </c>
      <c r="AB382" s="586">
        <f t="shared" si="289"/>
        <v>1.5126485185976546</v>
      </c>
      <c r="AC382" s="584" t="str">
        <f t="shared" si="290"/>
        <v>1+0.830486282292523i</v>
      </c>
      <c r="AD382" s="585">
        <f t="shared" si="291"/>
        <v>1.2998874816983415</v>
      </c>
      <c r="AE382" s="586">
        <f t="shared" si="292"/>
        <v>0.69305569500683006</v>
      </c>
      <c r="AF382" s="580" t="str">
        <f t="shared" si="307"/>
        <v>0.50681412844318-0.473278556752895i</v>
      </c>
      <c r="AG382" s="270">
        <f t="shared" si="308"/>
        <v>0.69343575987377759</v>
      </c>
      <c r="AH382" s="581">
        <f t="shared" si="309"/>
        <v>-0.75119477249876154</v>
      </c>
      <c r="AI382" s="582" t="str">
        <f t="shared" si="293"/>
        <v>4000</v>
      </c>
      <c r="AJ382" s="584" t="str">
        <f t="shared" si="310"/>
        <v>1+8998.40177959847i</v>
      </c>
      <c r="AK382" s="585">
        <f t="shared" si="311"/>
        <v>8998.4018351638933</v>
      </c>
      <c r="AL382" s="586">
        <f t="shared" si="312"/>
        <v>1.5706851959496224</v>
      </c>
      <c r="AM382" s="273" t="str">
        <f t="shared" si="313"/>
        <v>1+0.314933039629559i</v>
      </c>
      <c r="AN382" s="585">
        <f t="shared" si="314"/>
        <v>1.0484192002487904</v>
      </c>
      <c r="AO382" s="586">
        <f t="shared" si="315"/>
        <v>0.305099907464909</v>
      </c>
      <c r="AP382" s="584" t="str">
        <f t="shared" si="316"/>
        <v>1+0.00227846815138166i</v>
      </c>
      <c r="AQ382" s="585">
        <f t="shared" si="317"/>
        <v>1.0000025957051897</v>
      </c>
      <c r="AR382" s="586">
        <f t="shared" si="318"/>
        <v>2.2784642085677542E-3</v>
      </c>
      <c r="AS382" s="580" t="str">
        <f t="shared" si="319"/>
        <v>0.139030980023476-0.444824597323076i</v>
      </c>
      <c r="AT382" s="270">
        <f t="shared" si="320"/>
        <v>0.46604563702487861</v>
      </c>
      <c r="AU382" s="581">
        <f t="shared" si="321"/>
        <v>-1.267863752693281</v>
      </c>
      <c r="AV382" s="580" t="str">
        <f t="shared" si="322"/>
        <v>-0.0182326003847253-0.0894151764164881i</v>
      </c>
      <c r="AW382" s="270">
        <f t="shared" si="323"/>
        <v>-20.794852809106867</v>
      </c>
      <c r="AX382" s="581">
        <f t="shared" si="324"/>
        <v>-101.52515002897475</v>
      </c>
      <c r="AY382" s="299">
        <f t="shared" si="294"/>
        <v>78.47484997102525</v>
      </c>
      <c r="BB382" s="270">
        <f t="shared" si="327"/>
        <v>-46.631431068018799</v>
      </c>
      <c r="BC382" s="270">
        <f t="shared" si="328"/>
        <v>-72.643242026943369</v>
      </c>
      <c r="BD382" s="286"/>
      <c r="BE382" s="270">
        <f t="shared" si="325"/>
        <v>25.836578258911935</v>
      </c>
      <c r="BF382" s="581">
        <f t="shared" si="326"/>
        <v>-28.881908002031391</v>
      </c>
      <c r="BI382" s="286"/>
      <c r="BJ382" s="286"/>
      <c r="BL382" s="253">
        <f t="shared" si="295"/>
        <v>0</v>
      </c>
      <c r="BM382" s="253">
        <f t="shared" si="329"/>
        <v>0</v>
      </c>
      <c r="BN382" s="253">
        <f t="shared" si="296"/>
        <v>0</v>
      </c>
      <c r="BO382" s="253">
        <f t="shared" si="297"/>
        <v>0</v>
      </c>
    </row>
    <row r="383" spans="4:67" ht="13.6" thickBot="1" x14ac:dyDescent="0.25">
      <c r="D383" s="280">
        <v>32736</v>
      </c>
      <c r="E383" s="273" t="str">
        <f t="shared" si="276"/>
        <v>0.370235437588496i</v>
      </c>
      <c r="F383" s="579" t="str">
        <f t="shared" si="298"/>
        <v>0.002-0.0747964805116435i</v>
      </c>
      <c r="G383" s="270" t="str">
        <f t="shared" si="299"/>
        <v>0.002-0.0747964805116435i</v>
      </c>
      <c r="H383" s="271" t="str">
        <f t="shared" si="300"/>
        <v>0.00478299633839845-0.0745430618036336i</v>
      </c>
      <c r="I383" s="271" t="str">
        <f t="shared" si="301"/>
        <v>0.0147829963383985-0.0745430618036336i</v>
      </c>
      <c r="J383" s="270" t="str">
        <f t="shared" si="302"/>
        <v>0.00417611356767859-0.0376061174987108i</v>
      </c>
      <c r="K383" s="271" t="str">
        <f t="shared" si="277"/>
        <v>0.972938923360521-0.2583999424822i</v>
      </c>
      <c r="L383" s="580"/>
      <c r="M383" s="580" t="str">
        <f t="shared" si="278"/>
        <v>-0.229797778767546-45.8958655512001i</v>
      </c>
      <c r="N383" s="270" t="str">
        <f t="shared" si="279"/>
        <v>-6.83901500074233-34.4218991634001i</v>
      </c>
      <c r="O383" s="581" t="str">
        <f t="shared" si="280"/>
        <v>-4.85082473489831-16.7866027129911i</v>
      </c>
      <c r="P383" s="582" t="str">
        <f t="shared" si="281"/>
        <v>-1.32303448780176+0.113439041571822i</v>
      </c>
      <c r="Q383" s="583" t="str">
        <f t="shared" si="282"/>
        <v>-1.27452624045277+0.281305068701733i</v>
      </c>
      <c r="R383" s="581" t="str">
        <f t="shared" si="303"/>
        <v>-0.541019379642989-1.99671848153332i</v>
      </c>
      <c r="S383" s="253" t="str">
        <f t="shared" si="304"/>
        <v>50.072075449555-11.7742002808032i</v>
      </c>
      <c r="T383" s="253" t="str">
        <f t="shared" si="305"/>
        <v>17.1172611408788-9.51297400458882i</v>
      </c>
      <c r="U383" s="253" t="str">
        <f t="shared" si="306"/>
        <v>-0.627254411800188-1.32147357496469i</v>
      </c>
      <c r="V383" s="582" t="str">
        <f t="shared" si="283"/>
        <v>6000</v>
      </c>
      <c r="W383" s="584" t="str">
        <f t="shared" si="284"/>
        <v>1+115201.63601462i</v>
      </c>
      <c r="X383" s="585">
        <f t="shared" si="285"/>
        <v>115201.63601896023</v>
      </c>
      <c r="Y383" s="586">
        <f t="shared" si="286"/>
        <v>1.5707876463626165</v>
      </c>
      <c r="Z383" s="273" t="str">
        <f t="shared" si="287"/>
        <v>1+17.2776537541298i</v>
      </c>
      <c r="AA383" s="585">
        <f t="shared" si="288"/>
        <v>17.306568673414024</v>
      </c>
      <c r="AB383" s="586">
        <f t="shared" si="289"/>
        <v>1.5129825967934716</v>
      </c>
      <c r="AC383" s="584" t="str">
        <f t="shared" si="290"/>
        <v>1+0.835296073035656i</v>
      </c>
      <c r="AD383" s="585">
        <f t="shared" si="291"/>
        <v>1.3029656670951804</v>
      </c>
      <c r="AE383" s="586">
        <f t="shared" si="292"/>
        <v>0.69589549682058305</v>
      </c>
      <c r="AF383" s="580" t="str">
        <f t="shared" si="307"/>
        <v>0.504422312425531-0.473416759180874i</v>
      </c>
      <c r="AG383" s="270">
        <f t="shared" si="308"/>
        <v>0.69178414057135029</v>
      </c>
      <c r="AH383" s="581">
        <f t="shared" si="309"/>
        <v>-0.75370054638972828</v>
      </c>
      <c r="AI383" s="582" t="str">
        <f t="shared" si="293"/>
        <v>4000</v>
      </c>
      <c r="AJ383" s="584" t="str">
        <f t="shared" si="310"/>
        <v>1+9050.51634248206i</v>
      </c>
      <c r="AK383" s="585">
        <f t="shared" si="311"/>
        <v>9050.5163977275279</v>
      </c>
      <c r="AL383" s="586">
        <f t="shared" si="312"/>
        <v>1.570685835861773</v>
      </c>
      <c r="AM383" s="273" t="str">
        <f t="shared" si="313"/>
        <v>1+0.31675698549238i</v>
      </c>
      <c r="AN383" s="585">
        <f t="shared" si="314"/>
        <v>1.0489685352088594</v>
      </c>
      <c r="AO383" s="586">
        <f t="shared" si="315"/>
        <v>0.30675840456201231</v>
      </c>
      <c r="AP383" s="584" t="str">
        <f t="shared" si="316"/>
        <v>1+0.00229166398044795i</v>
      </c>
      <c r="AQ383" s="585">
        <f t="shared" si="317"/>
        <v>1.0000026258584522</v>
      </c>
      <c r="AR383" s="586">
        <f t="shared" si="318"/>
        <v>2.2916599687318358E-3</v>
      </c>
      <c r="AS383" s="580" t="str">
        <f t="shared" si="319"/>
        <v>0.139030404387841-0.442266871677844i</v>
      </c>
      <c r="AT383" s="270">
        <f t="shared" si="320"/>
        <v>0.46360483078582465</v>
      </c>
      <c r="AU383" s="581">
        <f t="shared" si="321"/>
        <v>-1.2662190912684939</v>
      </c>
      <c r="AV383" s="580" t="str">
        <f t="shared" si="322"/>
        <v>-0.0182745351493349-0.0889299015925819i</v>
      </c>
      <c r="AW383" s="270">
        <f t="shared" si="323"/>
        <v>-20.839417801444931</v>
      </c>
      <c r="AX383" s="581">
        <f t="shared" si="324"/>
        <v>-101.61227008721913</v>
      </c>
      <c r="AY383" s="299">
        <f t="shared" si="294"/>
        <v>78.38772991278087</v>
      </c>
      <c r="BB383" s="270">
        <f t="shared" si="327"/>
        <v>-46.677040946287192</v>
      </c>
      <c r="BC383" s="270">
        <f t="shared" si="328"/>
        <v>-72.549009868575084</v>
      </c>
      <c r="BD383" s="286"/>
      <c r="BE383" s="270">
        <f t="shared" si="325"/>
        <v>25.837623144842262</v>
      </c>
      <c r="BF383" s="581">
        <f t="shared" si="326"/>
        <v>-29.063260218644071</v>
      </c>
      <c r="BI383" s="286"/>
      <c r="BJ383" s="286"/>
      <c r="BL383" s="253">
        <f t="shared" si="295"/>
        <v>0</v>
      </c>
      <c r="BM383" s="253">
        <f t="shared" si="329"/>
        <v>0</v>
      </c>
      <c r="BN383" s="253">
        <f t="shared" si="296"/>
        <v>0</v>
      </c>
      <c r="BO383" s="253">
        <f t="shared" si="297"/>
        <v>0</v>
      </c>
    </row>
    <row r="384" spans="4:67" ht="13.6" thickBot="1" x14ac:dyDescent="0.25">
      <c r="D384" s="280">
        <v>32924.5</v>
      </c>
      <c r="E384" s="273" t="str">
        <f t="shared" si="276"/>
        <v>0.372367322363222i</v>
      </c>
      <c r="F384" s="579" t="str">
        <f t="shared" si="298"/>
        <v>0.002-0.0743682542188694i</v>
      </c>
      <c r="G384" s="270" t="str">
        <f t="shared" si="299"/>
        <v>0.002-0.0743682542188694i</v>
      </c>
      <c r="H384" s="271" t="str">
        <f t="shared" si="300"/>
        <v>0.00475124203344594-0.074117465965205i</v>
      </c>
      <c r="I384" s="271" t="str">
        <f t="shared" si="301"/>
        <v>0.0147512420334459-0.074117465965205i</v>
      </c>
      <c r="J384" s="270" t="str">
        <f t="shared" si="302"/>
        <v>0.00416796011316984-0.0373928386423305i</v>
      </c>
      <c r="K384" s="271" t="str">
        <f t="shared" si="277"/>
        <v>0.97262638064064-0.259887857595772i</v>
      </c>
      <c r="L384" s="580"/>
      <c r="M384" s="580" t="str">
        <f t="shared" si="278"/>
        <v>-0.227852634341061-45.6015666220796i</v>
      </c>
      <c r="N384" s="270" t="str">
        <f t="shared" si="279"/>
        <v>-6.83755614242247-34.2011749665597i</v>
      </c>
      <c r="O384" s="581" t="str">
        <f t="shared" si="280"/>
        <v>-4.84505415324165-16.6749779637157i</v>
      </c>
      <c r="P384" s="582" t="str">
        <f t="shared" si="281"/>
        <v>-1.30737767817586+0.113126500457316i</v>
      </c>
      <c r="Q384" s="583" t="str">
        <f t="shared" si="282"/>
        <v>-1.25892713664345+0.279876280094472i</v>
      </c>
      <c r="R384" s="581" t="str">
        <f t="shared" si="303"/>
        <v>-0.540564497586195-1.98326700942205i</v>
      </c>
      <c r="S384" s="253" t="str">
        <f t="shared" si="304"/>
        <v>50.0488664278838-11.8579145841225i</v>
      </c>
      <c r="T384" s="253" t="str">
        <f t="shared" si="305"/>
        <v>17.0891421034524-9.56822668191311i</v>
      </c>
      <c r="U384" s="253" t="str">
        <f t="shared" si="306"/>
        <v>-0.627978065166608-1.31206486902384i</v>
      </c>
      <c r="V384" s="582" t="str">
        <f t="shared" si="283"/>
        <v>6000</v>
      </c>
      <c r="W384" s="584" t="str">
        <f t="shared" si="284"/>
        <v>1+115864.988543602i</v>
      </c>
      <c r="X384" s="585">
        <f t="shared" si="285"/>
        <v>115864.98854791737</v>
      </c>
      <c r="Y384" s="586">
        <f t="shared" si="286"/>
        <v>1.5707876960599996</v>
      </c>
      <c r="Z384" s="273" t="str">
        <f t="shared" si="287"/>
        <v>1+17.3771417102837i</v>
      </c>
      <c r="AA384" s="585">
        <f t="shared" si="288"/>
        <v>17.405891359516222</v>
      </c>
      <c r="AB384" s="586">
        <f t="shared" si="289"/>
        <v>1.5133128623461622</v>
      </c>
      <c r="AC384" s="584" t="str">
        <f t="shared" si="290"/>
        <v>1+0.840105863778788i</v>
      </c>
      <c r="AD384" s="585">
        <f t="shared" si="291"/>
        <v>1.3060543106454279</v>
      </c>
      <c r="AE384" s="586">
        <f t="shared" si="292"/>
        <v>0.69872188983607164</v>
      </c>
      <c r="AF384" s="580" t="str">
        <f t="shared" si="307"/>
        <v>0.502039347984973-0.47354284297344i</v>
      </c>
      <c r="AG384" s="270">
        <f t="shared" si="308"/>
        <v>0.69013500929640192</v>
      </c>
      <c r="AH384" s="581">
        <f t="shared" si="309"/>
        <v>-0.75619672354990741</v>
      </c>
      <c r="AI384" s="582" t="str">
        <f t="shared" si="293"/>
        <v>4000</v>
      </c>
      <c r="AJ384" s="584" t="str">
        <f t="shared" si="310"/>
        <v>1+9102.63090536565i</v>
      </c>
      <c r="AK384" s="585">
        <f t="shared" si="311"/>
        <v>9102.6309602948222</v>
      </c>
      <c r="AL384" s="586">
        <f t="shared" si="312"/>
        <v>1.5706864684466484</v>
      </c>
      <c r="AM384" s="273" t="str">
        <f t="shared" si="313"/>
        <v>1+0.318580931355201i</v>
      </c>
      <c r="AN384" s="585">
        <f t="shared" si="314"/>
        <v>1.0495207524499681</v>
      </c>
      <c r="AO384" s="586">
        <f t="shared" si="315"/>
        <v>0.30841516093812832</v>
      </c>
      <c r="AP384" s="584" t="str">
        <f t="shared" si="316"/>
        <v>1+0.00230485980951425i</v>
      </c>
      <c r="AQ384" s="585">
        <f t="shared" si="317"/>
        <v>1.0000026561858431</v>
      </c>
      <c r="AR384" s="586">
        <f t="shared" si="318"/>
        <v>2.3048557280978413E-3</v>
      </c>
      <c r="AS384" s="580" t="str">
        <f t="shared" si="319"/>
        <v>0.139029838418854-0.439738454113956i</v>
      </c>
      <c r="AT384" s="270">
        <f t="shared" si="320"/>
        <v>0.46119323932306772</v>
      </c>
      <c r="AU384" s="581">
        <f t="shared" si="321"/>
        <v>-1.2645761632366155</v>
      </c>
      <c r="AV384" s="580" t="str">
        <f t="shared" si="322"/>
        <v>-0.0183161654435656-0.0884502194024722i</v>
      </c>
      <c r="AW384" s="270">
        <f t="shared" si="323"/>
        <v>-20.883671533298411</v>
      </c>
      <c r="AX384" s="581">
        <f t="shared" si="324"/>
        <v>-101.6993823271368</v>
      </c>
      <c r="AY384" s="299">
        <f t="shared" si="294"/>
        <v>78.300617672863197</v>
      </c>
      <c r="BB384" s="270">
        <f t="shared" si="327"/>
        <v>-46.722341353921706</v>
      </c>
      <c r="BC384" s="270">
        <f t="shared" si="328"/>
        <v>-72.454877026304715</v>
      </c>
      <c r="BD384" s="286"/>
      <c r="BE384" s="270">
        <f t="shared" si="325"/>
        <v>25.838669820623291</v>
      </c>
      <c r="BF384" s="581">
        <f t="shared" si="326"/>
        <v>-29.24450530083206</v>
      </c>
      <c r="BI384" s="286"/>
      <c r="BJ384" s="286"/>
      <c r="BL384" s="253">
        <f t="shared" si="295"/>
        <v>0</v>
      </c>
      <c r="BM384" s="253">
        <f t="shared" si="329"/>
        <v>0</v>
      </c>
      <c r="BN384" s="253">
        <f t="shared" si="296"/>
        <v>0</v>
      </c>
      <c r="BO384" s="253">
        <f t="shared" si="297"/>
        <v>0</v>
      </c>
    </row>
    <row r="385" spans="4:67" ht="13.6" thickBot="1" x14ac:dyDescent="0.25">
      <c r="D385" s="280">
        <v>33113</v>
      </c>
      <c r="E385" s="273" t="str">
        <f t="shared" si="276"/>
        <v>0.374499207137948i</v>
      </c>
      <c r="F385" s="579" t="str">
        <f t="shared" si="298"/>
        <v>0.002-0.0739449033922981i</v>
      </c>
      <c r="G385" s="270" t="str">
        <f t="shared" si="299"/>
        <v>0.002-0.0739449033922981i</v>
      </c>
      <c r="H385" s="271" t="str">
        <f t="shared" si="300"/>
        <v>0.00472002749473645-0.0736966957080365i</v>
      </c>
      <c r="I385" s="271" t="str">
        <f t="shared" si="301"/>
        <v>0.0147200274947364-0.0736966957080365i</v>
      </c>
      <c r="J385" s="270" t="str">
        <f t="shared" si="302"/>
        <v>0.00415994146136553-0.0371819958503211i</v>
      </c>
      <c r="K385" s="271" t="str">
        <f t="shared" si="277"/>
        <v>0.972312043407995-0.261375772709344i</v>
      </c>
      <c r="L385" s="580"/>
      <c r="M385" s="580" t="str">
        <f t="shared" si="278"/>
        <v>-0.225924255090304-45.3111939660516i</v>
      </c>
      <c r="N385" s="270" t="str">
        <f t="shared" si="279"/>
        <v>-6.8361098579844-33.9833954745387i</v>
      </c>
      <c r="O385" s="581" t="str">
        <f t="shared" si="280"/>
        <v>-4.83937424888171-16.5648208867092i</v>
      </c>
      <c r="P385" s="582" t="str">
        <f t="shared" si="281"/>
        <v>-1.2920082863468+0.1128112725394i</v>
      </c>
      <c r="Q385" s="583" t="str">
        <f t="shared" si="282"/>
        <v>-1.24361454385798+0.278459481406491i</v>
      </c>
      <c r="R385" s="581" t="str">
        <f t="shared" si="303"/>
        <v>-0.540117118050079-1.96999112813857i</v>
      </c>
      <c r="S385" s="253" t="str">
        <f t="shared" si="304"/>
        <v>50.0254974047549-11.9414886842512i</v>
      </c>
      <c r="T385" s="253" t="str">
        <f t="shared" si="305"/>
        <v>17.0608663305272-9.62336728343851i</v>
      </c>
      <c r="U385" s="253" t="str">
        <f t="shared" si="306"/>
        <v>-0.628682612210133-1.30275203264613i</v>
      </c>
      <c r="V385" s="582" t="str">
        <f t="shared" si="283"/>
        <v>6000</v>
      </c>
      <c r="W385" s="584" t="str">
        <f t="shared" si="284"/>
        <v>1+116528.341072584i</v>
      </c>
      <c r="X385" s="585">
        <f t="shared" si="285"/>
        <v>116528.34107687481</v>
      </c>
      <c r="Y385" s="586">
        <f t="shared" si="286"/>
        <v>1.5707877451915651</v>
      </c>
      <c r="Z385" s="273" t="str">
        <f t="shared" si="287"/>
        <v>1+17.4766296664376i</v>
      </c>
      <c r="AA385" s="585">
        <f t="shared" si="288"/>
        <v>17.505215922627372</v>
      </c>
      <c r="AB385" s="586">
        <f t="shared" si="289"/>
        <v>1.5136393800818486</v>
      </c>
      <c r="AC385" s="584" t="str">
        <f t="shared" si="290"/>
        <v>1+0.844915654521924i</v>
      </c>
      <c r="AD385" s="585">
        <f t="shared" si="291"/>
        <v>1.30915333832833</v>
      </c>
      <c r="AE385" s="586">
        <f t="shared" si="292"/>
        <v>0.70153492396037409</v>
      </c>
      <c r="AF385" s="580" t="str">
        <f t="shared" si="307"/>
        <v>0.499665303257641-0.473656934446299i</v>
      </c>
      <c r="AG385" s="270">
        <f t="shared" si="308"/>
        <v>0.68848842170991953</v>
      </c>
      <c r="AH385" s="581">
        <f t="shared" si="309"/>
        <v>-0.75868328907008842</v>
      </c>
      <c r="AI385" s="582" t="str">
        <f t="shared" si="293"/>
        <v>4000</v>
      </c>
      <c r="AJ385" s="584" t="str">
        <f t="shared" si="310"/>
        <v>1+9154.74546824929i</v>
      </c>
      <c r="AK385" s="585">
        <f t="shared" si="311"/>
        <v>9154.7455228657727</v>
      </c>
      <c r="AL385" s="586">
        <f t="shared" si="312"/>
        <v>1.5706870938293827</v>
      </c>
      <c r="AM385" s="273" t="str">
        <f t="shared" si="313"/>
        <v>1+0.320404877218023i</v>
      </c>
      <c r="AN385" s="585">
        <f t="shared" si="314"/>
        <v>1.0500758474248879</v>
      </c>
      <c r="AO385" s="586">
        <f t="shared" si="315"/>
        <v>0.31007017025163586</v>
      </c>
      <c r="AP385" s="584" t="str">
        <f t="shared" si="316"/>
        <v>1+0.00231805563858056i</v>
      </c>
      <c r="AQ385" s="585">
        <f t="shared" si="317"/>
        <v>1.0000026866873626</v>
      </c>
      <c r="AR385" s="586">
        <f t="shared" si="318"/>
        <v>2.3180514866611747E-3</v>
      </c>
      <c r="AS385" s="580" t="str">
        <f t="shared" si="319"/>
        <v>0.139029281895926-0.437238844111396i</v>
      </c>
      <c r="AT385" s="270">
        <f t="shared" si="320"/>
        <v>0.45881036172297429</v>
      </c>
      <c r="AU385" s="581">
        <f t="shared" si="321"/>
        <v>-1.2629349750644077</v>
      </c>
      <c r="AV385" s="580" t="str">
        <f t="shared" si="322"/>
        <v>-0.018357499930145-0.0879760331673595i</v>
      </c>
      <c r="AW385" s="270">
        <f t="shared" si="323"/>
        <v>-20.927617349313131</v>
      </c>
      <c r="AX385" s="581">
        <f t="shared" si="324"/>
        <v>-101.78648847029635</v>
      </c>
      <c r="AY385" s="299">
        <f t="shared" si="294"/>
        <v>78.213511529703652</v>
      </c>
      <c r="BB385" s="270">
        <f t="shared" si="327"/>
        <v>-46.767335652019753</v>
      </c>
      <c r="BC385" s="270">
        <f t="shared" si="328"/>
        <v>-72.360843870650427</v>
      </c>
      <c r="BD385" s="286"/>
      <c r="BE385" s="270">
        <f t="shared" si="325"/>
        <v>25.839718302706626</v>
      </c>
      <c r="BF385" s="581">
        <f t="shared" si="326"/>
        <v>-29.425644599645917</v>
      </c>
      <c r="BI385" s="286"/>
      <c r="BJ385" s="286"/>
      <c r="BL385" s="253">
        <f t="shared" si="295"/>
        <v>0</v>
      </c>
      <c r="BM385" s="253">
        <f t="shared" si="329"/>
        <v>0</v>
      </c>
      <c r="BN385" s="253">
        <f t="shared" si="296"/>
        <v>0</v>
      </c>
      <c r="BO385" s="253">
        <f t="shared" si="297"/>
        <v>0</v>
      </c>
    </row>
    <row r="386" spans="4:67" ht="13.6" thickBot="1" x14ac:dyDescent="0.25">
      <c r="D386" s="280">
        <v>33305.75</v>
      </c>
      <c r="E386" s="273" t="str">
        <f t="shared" si="276"/>
        <v>0.376679158280274i</v>
      </c>
      <c r="F386" s="579" t="str">
        <f t="shared" si="298"/>
        <v>0.002-0.0735169628676476i</v>
      </c>
      <c r="G386" s="270" t="str">
        <f t="shared" si="299"/>
        <v>0.002-0.0735169628676476i</v>
      </c>
      <c r="H386" s="271" t="str">
        <f t="shared" si="300"/>
        <v>0.00468865467229035-0.0732713436982283i</v>
      </c>
      <c r="I386" s="271" t="str">
        <f t="shared" si="301"/>
        <v>0.0146886546722904-0.0732713436982283i</v>
      </c>
      <c r="J386" s="270" t="str">
        <f t="shared" si="302"/>
        <v>0.00415187822271038-0.036968875337802i</v>
      </c>
      <c r="K386" s="271" t="str">
        <f t="shared" si="277"/>
        <v>0.971988763337731-0.262897234980649i</v>
      </c>
      <c r="L386" s="580"/>
      <c r="M386" s="580" t="str">
        <f t="shared" si="278"/>
        <v>-0.223969888222839-45.0182502972702i</v>
      </c>
      <c r="N386" s="270" t="str">
        <f t="shared" si="279"/>
        <v>-6.8346440828338-33.7636877229527i</v>
      </c>
      <c r="O386" s="581" t="str">
        <f t="shared" si="280"/>
        <v>-4.83365788391024-16.4536663310872i</v>
      </c>
      <c r="P386" s="582" t="str">
        <f t="shared" si="281"/>
        <v>-1.27658217230181+0.112486385301208i</v>
      </c>
      <c r="Q386" s="583" t="str">
        <f t="shared" si="282"/>
        <v>-1.22824559346271+0.27702304861208i</v>
      </c>
      <c r="R386" s="581" t="str">
        <f t="shared" si="303"/>
        <v>-0.539667242675561-1.95659372735508i</v>
      </c>
      <c r="S386" s="253" t="str">
        <f t="shared" si="304"/>
        <v>50.0014364498666-12.0268035731798i</v>
      </c>
      <c r="T386" s="253" t="str">
        <f t="shared" si="305"/>
        <v>17.0317913128933-9.67963524240306i</v>
      </c>
      <c r="U386" s="253" t="str">
        <f t="shared" si="306"/>
        <v>-0.629383692802927-1.29332670208887i</v>
      </c>
      <c r="V386" s="582" t="str">
        <f t="shared" si="283"/>
        <v>6000</v>
      </c>
      <c r="W386" s="584" t="str">
        <f t="shared" si="284"/>
        <v>1+117206.649825694i</v>
      </c>
      <c r="X386" s="585">
        <f t="shared" si="285"/>
        <v>117206.64982995998</v>
      </c>
      <c r="Y386" s="586">
        <f t="shared" si="286"/>
        <v>1.5707877948557833</v>
      </c>
      <c r="Z386" s="273" t="str">
        <f t="shared" si="287"/>
        <v>1+17.5783607197461i</v>
      </c>
      <c r="AA386" s="585">
        <f t="shared" si="288"/>
        <v>17.606781806835475</v>
      </c>
      <c r="AB386" s="586">
        <f t="shared" si="289"/>
        <v>1.5139694501134284</v>
      </c>
      <c r="AC386" s="584" t="str">
        <f t="shared" si="290"/>
        <v>1+0.849833888822923i</v>
      </c>
      <c r="AD386" s="585">
        <f t="shared" si="291"/>
        <v>1.3123328993025711</v>
      </c>
      <c r="AE386" s="586">
        <f t="shared" si="292"/>
        <v>0.70439762023993924</v>
      </c>
      <c r="AF386" s="580" t="str">
        <f t="shared" si="307"/>
        <v>0.497247024105611-0.473761329284489i</v>
      </c>
      <c r="AG386" s="270">
        <f t="shared" si="308"/>
        <v>0.68680739666029522</v>
      </c>
      <c r="AH386" s="581">
        <f t="shared" si="309"/>
        <v>-0.76121596498229394</v>
      </c>
      <c r="AI386" s="582" t="str">
        <f t="shared" si="293"/>
        <v>4000</v>
      </c>
      <c r="AJ386" s="584" t="str">
        <f t="shared" si="310"/>
        <v>1+9208.03502790876i</v>
      </c>
      <c r="AK386" s="585">
        <f t="shared" si="311"/>
        <v>9208.0350822091623</v>
      </c>
      <c r="AL386" s="586">
        <f t="shared" si="312"/>
        <v>1.5706877259921155</v>
      </c>
      <c r="AM386" s="273" t="str">
        <f t="shared" si="313"/>
        <v>1+0.322269946528678i</v>
      </c>
      <c r="AN386" s="585">
        <f t="shared" si="314"/>
        <v>1.0506464288406434</v>
      </c>
      <c r="AO386" s="586">
        <f t="shared" si="315"/>
        <v>0.31176068095418952</v>
      </c>
      <c r="AP386" s="584" t="str">
        <f t="shared" si="316"/>
        <v>1+0.00233154898633933i</v>
      </c>
      <c r="AQ386" s="585">
        <f t="shared" si="317"/>
        <v>1.000002718056644</v>
      </c>
      <c r="AR386" s="586">
        <f t="shared" si="318"/>
        <v>2.3315447614925596E-3</v>
      </c>
      <c r="AS386" s="580" t="str">
        <f t="shared" si="319"/>
        <v>0.139028722370029-0.434712156405904i</v>
      </c>
      <c r="AT386" s="270">
        <f t="shared" si="320"/>
        <v>0.45640294101913248</v>
      </c>
      <c r="AU386" s="581">
        <f t="shared" si="321"/>
        <v>-1.2612585897994191</v>
      </c>
      <c r="AV386" s="580" t="str">
        <f t="shared" si="322"/>
        <v>-0.0183994692354311-0.0874967404984239i</v>
      </c>
      <c r="AW386" s="270">
        <f t="shared" si="323"/>
        <v>-20.97223900592876</v>
      </c>
      <c r="AX386" s="581">
        <f t="shared" si="324"/>
        <v>-101.87555399673897</v>
      </c>
      <c r="AY386" s="299">
        <f t="shared" si="294"/>
        <v>78.124446003261028</v>
      </c>
      <c r="BB386" s="270">
        <f t="shared" si="327"/>
        <v>-46.813031313811557</v>
      </c>
      <c r="BC386" s="270">
        <f t="shared" si="328"/>
        <v>-72.264794070128659</v>
      </c>
      <c r="BD386" s="286"/>
      <c r="BE386" s="270">
        <f t="shared" si="325"/>
        <v>25.840792307882797</v>
      </c>
      <c r="BF386" s="581">
        <f t="shared" si="326"/>
        <v>-29.610759926610285</v>
      </c>
      <c r="BI386" s="286"/>
      <c r="BJ386" s="286"/>
      <c r="BL386" s="253">
        <f t="shared" si="295"/>
        <v>0</v>
      </c>
      <c r="BM386" s="253">
        <f t="shared" si="329"/>
        <v>0</v>
      </c>
      <c r="BN386" s="253">
        <f t="shared" si="296"/>
        <v>0</v>
      </c>
      <c r="BO386" s="253">
        <f t="shared" si="297"/>
        <v>0</v>
      </c>
    </row>
    <row r="387" spans="4:67" ht="13.6" thickBot="1" x14ac:dyDescent="0.25">
      <c r="D387" s="280">
        <v>33498.5</v>
      </c>
      <c r="E387" s="273" t="str">
        <f t="shared" si="276"/>
        <v>0.3788591094226i</v>
      </c>
      <c r="F387" s="579" t="str">
        <f t="shared" si="298"/>
        <v>0.002-0.0730939470731274i</v>
      </c>
      <c r="G387" s="270" t="str">
        <f t="shared" si="299"/>
        <v>0.002-0.0730939470731274i</v>
      </c>
      <c r="H387" s="271" t="str">
        <f t="shared" si="300"/>
        <v>0.00465782088563467-0.0728508669495326i</v>
      </c>
      <c r="I387" s="271" t="str">
        <f t="shared" si="301"/>
        <v>0.0146578208856347-0.0728508669495326i</v>
      </c>
      <c r="J387" s="270" t="str">
        <f t="shared" si="302"/>
        <v>0.00414394954907172-0.0367582156073317i</v>
      </c>
      <c r="K387" s="271" t="str">
        <f t="shared" si="277"/>
        <v>0.971663606922805-0.264418697251954i</v>
      </c>
      <c r="L387" s="580"/>
      <c r="M387" s="580" t="str">
        <f t="shared" si="278"/>
        <v>-0.222033337194183-44.7292434452585i</v>
      </c>
      <c r="N387" s="270" t="str">
        <f t="shared" si="279"/>
        <v>-6.83319166956231-33.5469325839439i</v>
      </c>
      <c r="O387" s="581" t="str">
        <f t="shared" si="280"/>
        <v>-4.82803199600766-16.343983318967i</v>
      </c>
      <c r="P387" s="582" t="str">
        <f t="shared" si="281"/>
        <v>-1.26144178242303+0.112159136522021i</v>
      </c>
      <c r="Q387" s="583" t="str">
        <f t="shared" si="282"/>
        <v>-1.21316146246296+0.275598969711691i</v>
      </c>
      <c r="R387" s="581" t="str">
        <f t="shared" si="303"/>
        <v>-0.539224876987438-1.94337238112572i</v>
      </c>
      <c r="S387" s="253" t="str">
        <f t="shared" si="304"/>
        <v>49.9772090161699-12.1119748134881i</v>
      </c>
      <c r="T387" s="253" t="str">
        <f t="shared" si="305"/>
        <v>17.0025531184039-9.73578606210675i</v>
      </c>
      <c r="U387" s="253" t="str">
        <f t="shared" si="306"/>
        <v>-0.63006560803564-1.28399828268936i</v>
      </c>
      <c r="V387" s="582" t="str">
        <f t="shared" si="283"/>
        <v>6000</v>
      </c>
      <c r="W387" s="584" t="str">
        <f t="shared" si="284"/>
        <v>1+117884.958578804i</v>
      </c>
      <c r="X387" s="585">
        <f t="shared" si="285"/>
        <v>117884.9585830454</v>
      </c>
      <c r="Y387" s="586">
        <f t="shared" si="286"/>
        <v>1.570787843948467</v>
      </c>
      <c r="Z387" s="273" t="str">
        <f t="shared" si="287"/>
        <v>1+17.6800917730546i</v>
      </c>
      <c r="AA387" s="585">
        <f t="shared" si="288"/>
        <v>17.708349587232373</v>
      </c>
      <c r="AB387" s="586">
        <f t="shared" si="289"/>
        <v>1.5142957338894254</v>
      </c>
      <c r="AC387" s="584" t="str">
        <f t="shared" si="290"/>
        <v>1+0.854752123123926i</v>
      </c>
      <c r="AD387" s="585">
        <f t="shared" si="291"/>
        <v>1.3155231628461961</v>
      </c>
      <c r="AE387" s="586">
        <f t="shared" si="292"/>
        <v>0.70724645517299867</v>
      </c>
      <c r="AF387" s="580" t="str">
        <f t="shared" si="307"/>
        <v>0.494838206865403-0.473853453079031i</v>
      </c>
      <c r="AG387" s="270">
        <f t="shared" si="308"/>
        <v>0.68512914546725334</v>
      </c>
      <c r="AH387" s="581">
        <f t="shared" si="309"/>
        <v>-0.76373856523204087</v>
      </c>
      <c r="AI387" s="582" t="str">
        <f t="shared" si="293"/>
        <v>4000</v>
      </c>
      <c r="AJ387" s="584" t="str">
        <f t="shared" si="310"/>
        <v>1+9261.32458756826i</v>
      </c>
      <c r="AK387" s="585">
        <f t="shared" si="311"/>
        <v>9261.3246415562189</v>
      </c>
      <c r="AL387" s="586">
        <f t="shared" si="312"/>
        <v>1.5706883508799334</v>
      </c>
      <c r="AM387" s="273" t="str">
        <f t="shared" si="313"/>
        <v>1+0.324135015839335i</v>
      </c>
      <c r="AN387" s="585">
        <f t="shared" si="314"/>
        <v>1.0512200095570698</v>
      </c>
      <c r="AO387" s="586">
        <f t="shared" si="315"/>
        <v>0.31344935168019211</v>
      </c>
      <c r="AP387" s="584" t="str">
        <f t="shared" si="316"/>
        <v>1+0.00234504233409811i</v>
      </c>
      <c r="AQ387" s="585">
        <f t="shared" si="317"/>
        <v>1.0000027496079942</v>
      </c>
      <c r="AR387" s="586">
        <f t="shared" si="318"/>
        <v>2.3450380354749513E-3</v>
      </c>
      <c r="AS387" s="580" t="str">
        <f t="shared" si="319"/>
        <v>0.139028172274146-0.43221456734646i</v>
      </c>
      <c r="AT387" s="270">
        <f t="shared" si="320"/>
        <v>0.45402452016645228</v>
      </c>
      <c r="AU387" s="581">
        <f t="shared" si="321"/>
        <v>-1.2595840372352152</v>
      </c>
      <c r="AV387" s="580" t="str">
        <f t="shared" si="322"/>
        <v>-0.0184411467656539-0.0870229968172295i</v>
      </c>
      <c r="AW387" s="270">
        <f t="shared" si="323"/>
        <v>-21.016545605524016</v>
      </c>
      <c r="AX387" s="581">
        <f t="shared" si="324"/>
        <v>-101.96461667578069</v>
      </c>
      <c r="AY387" s="299">
        <f t="shared" si="294"/>
        <v>78.03538332421931</v>
      </c>
      <c r="BB387" s="270">
        <f t="shared" si="327"/>
        <v>-46.858413837773128</v>
      </c>
      <c r="BC387" s="270">
        <f t="shared" si="328"/>
        <v>-72.168849275626968</v>
      </c>
      <c r="BD387" s="286"/>
      <c r="BE387" s="270">
        <f t="shared" si="325"/>
        <v>25.841868232249112</v>
      </c>
      <c r="BF387" s="581">
        <f t="shared" si="326"/>
        <v>-29.795767400153721</v>
      </c>
      <c r="BI387" s="286"/>
      <c r="BJ387" s="286"/>
      <c r="BL387" s="253">
        <f t="shared" si="295"/>
        <v>0</v>
      </c>
      <c r="BM387" s="253">
        <f t="shared" si="329"/>
        <v>0</v>
      </c>
      <c r="BN387" s="253">
        <f t="shared" si="296"/>
        <v>0</v>
      </c>
      <c r="BO387" s="253">
        <f t="shared" si="297"/>
        <v>0</v>
      </c>
    </row>
    <row r="388" spans="4:67" ht="13.6" thickBot="1" x14ac:dyDescent="0.25">
      <c r="D388" s="280">
        <v>33691.25</v>
      </c>
      <c r="E388" s="273" t="str">
        <f t="shared" si="276"/>
        <v>0.381039060564926i</v>
      </c>
      <c r="F388" s="579" t="str">
        <f t="shared" si="298"/>
        <v>0.002-0.0726757714845594i</v>
      </c>
      <c r="G388" s="270" t="str">
        <f t="shared" si="299"/>
        <v>0.002-0.0726757714845594i</v>
      </c>
      <c r="H388" s="271" t="str">
        <f t="shared" si="300"/>
        <v>0.00462751386181834-0.0724351822323453i</v>
      </c>
      <c r="I388" s="271" t="str">
        <f t="shared" si="301"/>
        <v>0.0146275138618183-0.0724351822323453i</v>
      </c>
      <c r="J388" s="270" t="str">
        <f t="shared" si="302"/>
        <v>0.00413615234891237-0.0365499744733258i</v>
      </c>
      <c r="K388" s="271" t="str">
        <f t="shared" si="277"/>
        <v>0.971336574163216-0.265940159523259i</v>
      </c>
      <c r="L388" s="580"/>
      <c r="M388" s="580" t="str">
        <f t="shared" si="278"/>
        <v>-0.220114708553687-44.4440918056385i</v>
      </c>
      <c r="N388" s="270" t="str">
        <f t="shared" si="279"/>
        <v>-6.83175269808193-33.3330688542289i</v>
      </c>
      <c r="O388" s="581" t="str">
        <f t="shared" si="280"/>
        <v>-4.82249448476104-16.2357413143844i</v>
      </c>
      <c r="P388" s="582" t="str">
        <f t="shared" si="281"/>
        <v>-1.24657998570904+0.111829735685093i</v>
      </c>
      <c r="Q388" s="583" t="str">
        <f t="shared" si="282"/>
        <v>-1.19835504086143+0.274187148828936i</v>
      </c>
      <c r="R388" s="581" t="str">
        <f t="shared" si="303"/>
        <v>-0.538789858196824-1.93032343633052i</v>
      </c>
      <c r="S388" s="253" t="str">
        <f t="shared" si="304"/>
        <v>49.9528154999395-12.1970038345451i</v>
      </c>
      <c r="T388" s="253" t="str">
        <f t="shared" si="305"/>
        <v>16.9731521010433-9.79181974940932i</v>
      </c>
      <c r="U388" s="253" t="str">
        <f t="shared" si="306"/>
        <v>-0.630728751308415-1.27476514711921i</v>
      </c>
      <c r="V388" s="582" t="str">
        <f t="shared" si="283"/>
        <v>6000</v>
      </c>
      <c r="W388" s="584" t="str">
        <f t="shared" si="284"/>
        <v>1+118563.267331914i</v>
      </c>
      <c r="X388" s="585">
        <f t="shared" si="285"/>
        <v>118563.26733613116</v>
      </c>
      <c r="Y388" s="586">
        <f t="shared" si="286"/>
        <v>1.5707878924794254</v>
      </c>
      <c r="Z388" s="273" t="str">
        <f t="shared" si="287"/>
        <v>1+17.7818228263632i</v>
      </c>
      <c r="AA388" s="585">
        <f t="shared" si="288"/>
        <v>17.809919231376973</v>
      </c>
      <c r="AB388" s="586">
        <f t="shared" si="289"/>
        <v>1.514618296118605</v>
      </c>
      <c r="AC388" s="584" t="str">
        <f t="shared" si="290"/>
        <v>1+0.859670357424929i</v>
      </c>
      <c r="AD388" s="585">
        <f t="shared" si="291"/>
        <v>1.3187240512840832</v>
      </c>
      <c r="AE388" s="586">
        <f t="shared" si="292"/>
        <v>0.71008148328581511</v>
      </c>
      <c r="AF388" s="580" t="str">
        <f t="shared" si="307"/>
        <v>0.492438915725774-0.473933441771398i</v>
      </c>
      <c r="AG388" s="270">
        <f t="shared" si="308"/>
        <v>0.68345372407388272</v>
      </c>
      <c r="AH388" s="581">
        <f t="shared" si="309"/>
        <v>-0.76625107964663808</v>
      </c>
      <c r="AI388" s="582" t="str">
        <f t="shared" si="293"/>
        <v>4000</v>
      </c>
      <c r="AJ388" s="584" t="str">
        <f t="shared" si="310"/>
        <v>1+9314.61414722777i</v>
      </c>
      <c r="AK388" s="585">
        <f t="shared" si="311"/>
        <v>9314.614200906859</v>
      </c>
      <c r="AL388" s="586">
        <f t="shared" si="312"/>
        <v>1.5706889686176977</v>
      </c>
      <c r="AM388" s="273" t="str">
        <f t="shared" si="313"/>
        <v>1+0.326000085149992i</v>
      </c>
      <c r="AN388" s="585">
        <f t="shared" si="314"/>
        <v>1.0517965846673025</v>
      </c>
      <c r="AO388" s="586">
        <f t="shared" si="315"/>
        <v>0.31513617581689579</v>
      </c>
      <c r="AP388" s="584" t="str">
        <f t="shared" si="316"/>
        <v>1+0.00235853568185688i</v>
      </c>
      <c r="AQ388" s="585">
        <f t="shared" si="317"/>
        <v>1.0000027813414134</v>
      </c>
      <c r="AR388" s="586">
        <f t="shared" si="318"/>
        <v>2.3585313086034168E-3</v>
      </c>
      <c r="AS388" s="580" t="str">
        <f t="shared" si="319"/>
        <v>0.13902763139194-0.429745577506912i</v>
      </c>
      <c r="AT388" s="270">
        <f t="shared" si="320"/>
        <v>0.45167459932699605</v>
      </c>
      <c r="AU388" s="581">
        <f t="shared" si="321"/>
        <v>-1.2579113241094053</v>
      </c>
      <c r="AV388" s="580" t="str">
        <f t="shared" si="322"/>
        <v>-0.0184825409919031-0.0865547055855271i</v>
      </c>
      <c r="AW388" s="270">
        <f t="shared" si="323"/>
        <v>-21.06054055134797</v>
      </c>
      <c r="AX388" s="581">
        <f t="shared" si="324"/>
        <v>-102.05367823513856</v>
      </c>
      <c r="AY388" s="299">
        <f t="shared" si="294"/>
        <v>77.946321764861437</v>
      </c>
      <c r="BB388" s="270">
        <f t="shared" si="327"/>
        <v>-46.903486640501143</v>
      </c>
      <c r="BC388" s="270">
        <f t="shared" si="328"/>
        <v>-72.073009873181931</v>
      </c>
      <c r="BD388" s="286"/>
      <c r="BE388" s="270">
        <f t="shared" si="325"/>
        <v>25.842946089153177</v>
      </c>
      <c r="BF388" s="581">
        <f t="shared" si="326"/>
        <v>-29.980668361956671</v>
      </c>
      <c r="BI388" s="286"/>
      <c r="BJ388" s="286"/>
      <c r="BL388" s="253">
        <f t="shared" si="295"/>
        <v>0</v>
      </c>
      <c r="BM388" s="253">
        <f t="shared" si="329"/>
        <v>0</v>
      </c>
      <c r="BN388" s="253">
        <f t="shared" si="296"/>
        <v>0</v>
      </c>
      <c r="BO388" s="253">
        <f t="shared" si="297"/>
        <v>0</v>
      </c>
    </row>
    <row r="389" spans="4:67" ht="13.6" thickBot="1" x14ac:dyDescent="0.25">
      <c r="D389" s="280">
        <v>33884</v>
      </c>
      <c r="E389" s="273" t="str">
        <f t="shared" si="276"/>
        <v>0.383219011707252i</v>
      </c>
      <c r="F389" s="579" t="str">
        <f t="shared" si="298"/>
        <v>0.002-0.0722623535010379i</v>
      </c>
      <c r="G389" s="270" t="str">
        <f t="shared" si="299"/>
        <v>0.002-0.0722623535010379i</v>
      </c>
      <c r="H389" s="271" t="str">
        <f t="shared" si="300"/>
        <v>0.00459772167505563-0.0720242081983483i</v>
      </c>
      <c r="I389" s="271" t="str">
        <f t="shared" si="301"/>
        <v>0.0145977216750556-0.0720242081983483i</v>
      </c>
      <c r="J389" s="270" t="str">
        <f t="shared" si="302"/>
        <v>0.00412848361834025-0.0363441107084807i</v>
      </c>
      <c r="K389" s="271" t="str">
        <f t="shared" si="277"/>
        <v>0.971007665058963-0.267461621794564i</v>
      </c>
      <c r="L389" s="580"/>
      <c r="M389" s="580" t="str">
        <f t="shared" si="278"/>
        <v>-0.218214085690359-44.1627160701435i</v>
      </c>
      <c r="N389" s="270" t="str">
        <f t="shared" si="279"/>
        <v>-6.83032723093444-33.1220370526076i</v>
      </c>
      <c r="O389" s="581" t="str">
        <f t="shared" si="280"/>
        <v>-4.81704330851866-16.1289106420663i</v>
      </c>
      <c r="P389" s="582" t="str">
        <f t="shared" si="281"/>
        <v>-1.23198987561119+0.111498381678482i</v>
      </c>
      <c r="Q389" s="583" t="str">
        <f t="shared" si="282"/>
        <v>-1.183819442526+0.272787488099145i</v>
      </c>
      <c r="R389" s="581" t="str">
        <f t="shared" si="303"/>
        <v>-0.538362027753238-1.91744334274822i</v>
      </c>
      <c r="S389" s="253" t="str">
        <f t="shared" si="304"/>
        <v>49.9282562860752-12.2818920261341i</v>
      </c>
      <c r="T389" s="253" t="str">
        <f t="shared" si="305"/>
        <v>16.9435886129881-9.84773630013193i</v>
      </c>
      <c r="U389" s="253" t="str">
        <f t="shared" si="306"/>
        <v>-0.631373504943973-1.26562570452637i</v>
      </c>
      <c r="V389" s="582" t="str">
        <f t="shared" si="283"/>
        <v>6000</v>
      </c>
      <c r="W389" s="584" t="str">
        <f t="shared" si="284"/>
        <v>1+119241.576085025i</v>
      </c>
      <c r="X389" s="585">
        <f t="shared" si="285"/>
        <v>119241.57608921814</v>
      </c>
      <c r="Y389" s="586">
        <f t="shared" si="286"/>
        <v>1.5707879404582445</v>
      </c>
      <c r="Z389" s="273" t="str">
        <f t="shared" si="287"/>
        <v>1+17.8835538796717i</v>
      </c>
      <c r="AA389" s="585">
        <f t="shared" si="288"/>
        <v>17.911490707563139</v>
      </c>
      <c r="AB389" s="586">
        <f t="shared" si="289"/>
        <v>1.5149372000450829</v>
      </c>
      <c r="AC389" s="584" t="str">
        <f t="shared" si="290"/>
        <v>1+0.864588591725933i</v>
      </c>
      <c r="AD389" s="585">
        <f t="shared" si="291"/>
        <v>1.3219354874359914</v>
      </c>
      <c r="AE389" s="586">
        <f t="shared" si="292"/>
        <v>0.71290275946519532</v>
      </c>
      <c r="AF389" s="580" t="str">
        <f t="shared" si="307"/>
        <v>0.490049212057862-0.474001431468774i</v>
      </c>
      <c r="AG389" s="270">
        <f t="shared" si="308"/>
        <v>0.68178118723896908</v>
      </c>
      <c r="AH389" s="581">
        <f t="shared" si="309"/>
        <v>-0.76875349987835351</v>
      </c>
      <c r="AI389" s="582" t="str">
        <f t="shared" si="293"/>
        <v>4000</v>
      </c>
      <c r="AJ389" s="584" t="str">
        <f t="shared" si="310"/>
        <v>1+9367.90370688728i</v>
      </c>
      <c r="AK389" s="585">
        <f t="shared" si="311"/>
        <v>9367.9037602610133</v>
      </c>
      <c r="AL389" s="586">
        <f t="shared" si="312"/>
        <v>1.5706895793274278</v>
      </c>
      <c r="AM389" s="273" t="str">
        <f t="shared" si="313"/>
        <v>1+0.327865154460649i</v>
      </c>
      <c r="AN389" s="585">
        <f t="shared" si="314"/>
        <v>1.0523761492496422</v>
      </c>
      <c r="AO389" s="586">
        <f t="shared" si="315"/>
        <v>0.31682114680804224</v>
      </c>
      <c r="AP389" s="584" t="str">
        <f t="shared" si="316"/>
        <v>1+0.00237202902961566i</v>
      </c>
      <c r="AQ389" s="585">
        <f t="shared" si="317"/>
        <v>1.0000028132569014</v>
      </c>
      <c r="AR389" s="586">
        <f t="shared" si="318"/>
        <v>2.3720245808730622E-3</v>
      </c>
      <c r="AS389" s="580" t="str">
        <f t="shared" si="319"/>
        <v>0.139027099513214-0.427304698825096i</v>
      </c>
      <c r="AT389" s="270">
        <f t="shared" si="320"/>
        <v>0.44935269002985068</v>
      </c>
      <c r="AU389" s="581">
        <f t="shared" si="321"/>
        <v>-1.2562404571002586</v>
      </c>
      <c r="AV389" s="580" t="str">
        <f t="shared" si="322"/>
        <v>-0.0185236601362798-0.0860917724386754i</v>
      </c>
      <c r="AW389" s="270">
        <f t="shared" si="323"/>
        <v>-21.104227191019586</v>
      </c>
      <c r="AX389" s="581">
        <f t="shared" si="324"/>
        <v>-102.14274036639144</v>
      </c>
      <c r="AY389" s="299">
        <f t="shared" si="294"/>
        <v>77.857259633608564</v>
      </c>
      <c r="BB389" s="270">
        <f t="shared" si="327"/>
        <v>-46.948253081619995</v>
      </c>
      <c r="BC389" s="270">
        <f t="shared" si="328"/>
        <v>-71.977276245430161</v>
      </c>
      <c r="BD389" s="286"/>
      <c r="BE389" s="270">
        <f t="shared" si="325"/>
        <v>25.844025890600406</v>
      </c>
      <c r="BF389" s="581">
        <f t="shared" si="326"/>
        <v>-30.1654641209613</v>
      </c>
      <c r="BI389" s="286"/>
      <c r="BJ389" s="286"/>
      <c r="BL389" s="253">
        <f t="shared" si="295"/>
        <v>0</v>
      </c>
      <c r="BM389" s="253">
        <f t="shared" si="329"/>
        <v>0</v>
      </c>
      <c r="BN389" s="253">
        <f t="shared" si="296"/>
        <v>0</v>
      </c>
      <c r="BO389" s="253">
        <f t="shared" si="297"/>
        <v>0</v>
      </c>
    </row>
    <row r="390" spans="4:67" ht="13.6" thickBot="1" x14ac:dyDescent="0.25">
      <c r="D390" s="280">
        <v>34081.5</v>
      </c>
      <c r="E390" s="273" t="str">
        <f t="shared" si="276"/>
        <v>0.385452684083954i</v>
      </c>
      <c r="F390" s="579" t="str">
        <f t="shared" si="298"/>
        <v>0.002-0.0718435980232429i</v>
      </c>
      <c r="G390" s="270" t="str">
        <f t="shared" si="299"/>
        <v>0.002-0.0718435980232429i</v>
      </c>
      <c r="H390" s="271" t="str">
        <f t="shared" si="300"/>
        <v>0.00456771721527059-0.0716079094940002i</v>
      </c>
      <c r="I390" s="271" t="str">
        <f t="shared" si="301"/>
        <v>0.0145677172152706-0.0716079094940002i</v>
      </c>
      <c r="J390" s="270" t="str">
        <f t="shared" si="302"/>
        <v>0.00412075610990763-0.0361355976120372i</v>
      </c>
      <c r="K390" s="271" t="str">
        <f t="shared" si="277"/>
        <v>0.970668704268832-0.269020577948042i</v>
      </c>
      <c r="L390" s="580"/>
      <c r="M390" s="580" t="str">
        <f t="shared" si="278"/>
        <v>-0.21628536664258-43.8782423192323i</v>
      </c>
      <c r="N390" s="270" t="str">
        <f t="shared" si="279"/>
        <v>-6.8288806916486-32.9086817394242i</v>
      </c>
      <c r="O390" s="581" t="str">
        <f t="shared" si="280"/>
        <v>-4.81154527444176-16.0208810771379i</v>
      </c>
      <c r="P390" s="582" t="str">
        <f t="shared" si="281"/>
        <v>-1.21731503311237+0.111157033467286i</v>
      </c>
      <c r="Q390" s="583" t="str">
        <f t="shared" si="282"/>
        <v>-1.16919958036795+0.271365844238664i</v>
      </c>
      <c r="R390" s="581" t="str">
        <f t="shared" si="303"/>
        <v>-0.537930948911945-1.90441737658129i</v>
      </c>
      <c r="S390" s="253" t="str">
        <f t="shared" si="304"/>
        <v>49.902920369665-12.3687274795308i</v>
      </c>
      <c r="T390" s="253" t="str">
        <f t="shared" si="305"/>
        <v>16.9131284231976-9.90490930257743i</v>
      </c>
      <c r="U390" s="253" t="str">
        <f t="shared" si="306"/>
        <v>-0.632015461022524-1.25635659412581i</v>
      </c>
      <c r="V390" s="582" t="str">
        <f t="shared" si="283"/>
        <v>6000</v>
      </c>
      <c r="W390" s="584" t="str">
        <f t="shared" si="284"/>
        <v>1+119936.600618043i</v>
      </c>
      <c r="X390" s="585">
        <f t="shared" si="285"/>
        <v>119936.60062221186</v>
      </c>
      <c r="Y390" s="586">
        <f t="shared" si="286"/>
        <v>1.5707879890565013</v>
      </c>
      <c r="Z390" s="273" t="str">
        <f t="shared" si="287"/>
        <v>1+17.9877919239179i</v>
      </c>
      <c r="AA390" s="585">
        <f t="shared" si="288"/>
        <v>18.015567110090263</v>
      </c>
      <c r="AB390" s="586">
        <f t="shared" si="289"/>
        <v>1.5152602328229494</v>
      </c>
      <c r="AC390" s="584" t="str">
        <f t="shared" si="290"/>
        <v>1+0.869628027650436i</v>
      </c>
      <c r="AD390" s="585">
        <f t="shared" si="291"/>
        <v>1.3252369246573186</v>
      </c>
      <c r="AE390" s="586">
        <f t="shared" si="292"/>
        <v>0.71577935457062525</v>
      </c>
      <c r="AF390" s="580" t="str">
        <f t="shared" si="307"/>
        <v>0.487610624210686-0.474058792924189i</v>
      </c>
      <c r="AG390" s="270">
        <f t="shared" si="308"/>
        <v>0.6800704816354507</v>
      </c>
      <c r="AH390" s="581">
        <f t="shared" si="309"/>
        <v>-0.77130711080417713</v>
      </c>
      <c r="AI390" s="582" t="str">
        <f t="shared" si="293"/>
        <v>4000</v>
      </c>
      <c r="AJ390" s="584" t="str">
        <f t="shared" si="310"/>
        <v>1+9422.50649823748i</v>
      </c>
      <c r="AK390" s="585">
        <f t="shared" si="311"/>
        <v>9422.5065513019181</v>
      </c>
      <c r="AL390" s="586">
        <f t="shared" si="312"/>
        <v>1.5706901979218169</v>
      </c>
      <c r="AM390" s="273" t="str">
        <f t="shared" si="313"/>
        <v>1+0.329776185271827i</v>
      </c>
      <c r="AN390" s="585">
        <f t="shared" si="314"/>
        <v>1.0529730919508049</v>
      </c>
      <c r="AO390" s="586">
        <f t="shared" si="315"/>
        <v>0.31854571207235122</v>
      </c>
      <c r="AP390" s="584" t="str">
        <f t="shared" si="316"/>
        <v>1+0.00238585489826603i</v>
      </c>
      <c r="AQ390" s="585">
        <f t="shared" si="317"/>
        <v>1.0000028461477475</v>
      </c>
      <c r="AR390" s="586">
        <f t="shared" si="318"/>
        <v>2.3858503712780193E-3</v>
      </c>
      <c r="AS390" s="580" t="str">
        <f t="shared" si="319"/>
        <v>0.139026563652666-0.424832328817552i</v>
      </c>
      <c r="AT390" s="270">
        <f t="shared" si="320"/>
        <v>0.44700211745540247</v>
      </c>
      <c r="AU390" s="581">
        <f t="shared" si="321"/>
        <v>-1.2545303362207441</v>
      </c>
      <c r="AV390" s="580" t="str">
        <f t="shared" si="322"/>
        <v>-0.0185655156044721-0.0856228923924603i</v>
      </c>
      <c r="AW390" s="270">
        <f t="shared" si="323"/>
        <v>-21.148674061940067</v>
      </c>
      <c r="AX390" s="581">
        <f t="shared" si="324"/>
        <v>-102.23399960946666</v>
      </c>
      <c r="AY390" s="299">
        <f t="shared" si="294"/>
        <v>77.766000390533335</v>
      </c>
      <c r="BB390" s="270">
        <f t="shared" si="327"/>
        <v>-46.993808392080787</v>
      </c>
      <c r="BC390" s="270">
        <f t="shared" si="328"/>
        <v>-71.879293536576768</v>
      </c>
      <c r="BD390" s="286"/>
      <c r="BE390" s="270">
        <f t="shared" si="325"/>
        <v>25.845134330140716</v>
      </c>
      <c r="BF390" s="581">
        <f t="shared" si="326"/>
        <v>-30.354706072889886</v>
      </c>
      <c r="BI390" s="286"/>
      <c r="BJ390" s="286"/>
      <c r="BL390" s="253">
        <f t="shared" si="295"/>
        <v>0</v>
      </c>
      <c r="BM390" s="253">
        <f t="shared" si="329"/>
        <v>0</v>
      </c>
      <c r="BN390" s="253">
        <f t="shared" si="296"/>
        <v>0</v>
      </c>
      <c r="BO390" s="253">
        <f t="shared" si="297"/>
        <v>0</v>
      </c>
    </row>
    <row r="391" spans="4:67" ht="13.6" thickBot="1" x14ac:dyDescent="0.25">
      <c r="D391" s="280">
        <v>34279</v>
      </c>
      <c r="E391" s="273" t="str">
        <f t="shared" si="276"/>
        <v>0.387686356460656i</v>
      </c>
      <c r="F391" s="579" t="str">
        <f t="shared" si="298"/>
        <v>0.002-0.0714296679024813i</v>
      </c>
      <c r="G391" s="270" t="str">
        <f t="shared" si="299"/>
        <v>0.002-0.0714296679024813i</v>
      </c>
      <c r="H391" s="271" t="str">
        <f t="shared" si="300"/>
        <v>0.00453822899699484-0.0711963894180028i</v>
      </c>
      <c r="I391" s="271" t="str">
        <f t="shared" si="301"/>
        <v>0.0145382289969948-0.0711963894180028i</v>
      </c>
      <c r="J391" s="270" t="str">
        <f t="shared" si="302"/>
        <v>0.00411315736510215-0.0359294958345485i</v>
      </c>
      <c r="K391" s="271" t="str">
        <f t="shared" si="277"/>
        <v>0.97032777351582-0.270579534101519i</v>
      </c>
      <c r="L391" s="580"/>
      <c r="M391" s="580" t="str">
        <f t="shared" si="278"/>
        <v>-0.214375661724978-43.5975713270736i</v>
      </c>
      <c r="N391" s="270" t="str">
        <f t="shared" si="279"/>
        <v>-6.8274484129604-32.6981784953052i</v>
      </c>
      <c r="O391" s="581" t="str">
        <f t="shared" si="280"/>
        <v>-4.8061337240062-15.9142728214351i</v>
      </c>
      <c r="P391" s="582" t="str">
        <f t="shared" si="281"/>
        <v>-1.20291143776901+0.110814025610666i</v>
      </c>
      <c r="Q391" s="583" t="str">
        <f t="shared" si="282"/>
        <v>-1.15485010052895+0.269956753825018i</v>
      </c>
      <c r="R391" s="581" t="str">
        <f t="shared" si="303"/>
        <v>-0.537507093158732-1.89156145529588i</v>
      </c>
      <c r="S391" s="253" t="str">
        <f t="shared" si="304"/>
        <v>49.8774112716017-12.455417908284i</v>
      </c>
      <c r="T391" s="253" t="str">
        <f t="shared" si="305"/>
        <v>16.8824983997093-9.96195928098127i</v>
      </c>
      <c r="U391" s="253" t="str">
        <f t="shared" si="306"/>
        <v>-0.632638888555748-1.24718258289034i</v>
      </c>
      <c r="V391" s="582" t="str">
        <f t="shared" si="283"/>
        <v>6000</v>
      </c>
      <c r="W391" s="584" t="str">
        <f t="shared" si="284"/>
        <v>1+120631.625151061i</v>
      </c>
      <c r="X391" s="585">
        <f t="shared" si="285"/>
        <v>120631.62515520585</v>
      </c>
      <c r="Y391" s="586">
        <f t="shared" si="286"/>
        <v>1.570788037094756</v>
      </c>
      <c r="Z391" s="273" t="str">
        <f t="shared" si="287"/>
        <v>1+18.092029968164i</v>
      </c>
      <c r="AA391" s="585">
        <f t="shared" si="288"/>
        <v>18.119645370948746</v>
      </c>
      <c r="AB391" s="586">
        <f t="shared" si="289"/>
        <v>1.5155795546682858</v>
      </c>
      <c r="AC391" s="584" t="str">
        <f t="shared" si="290"/>
        <v>1+0.87466746357494i</v>
      </c>
      <c r="AD391" s="585">
        <f t="shared" si="291"/>
        <v>1.3285492733943363</v>
      </c>
      <c r="AE391" s="586">
        <f t="shared" si="292"/>
        <v>0.71864162936684128</v>
      </c>
      <c r="AF391" s="580" t="str">
        <f t="shared" si="307"/>
        <v>0.485182223795282-0.474103846288879i</v>
      </c>
      <c r="AG391" s="270">
        <f t="shared" si="308"/>
        <v>0.67836291714158736</v>
      </c>
      <c r="AH391" s="581">
        <f t="shared" si="309"/>
        <v>-0.77385011179330898</v>
      </c>
      <c r="AI391" s="582" t="str">
        <f t="shared" si="293"/>
        <v>4000</v>
      </c>
      <c r="AJ391" s="584" t="str">
        <f t="shared" si="310"/>
        <v>1+9477.10928958768i</v>
      </c>
      <c r="AK391" s="585">
        <f t="shared" si="311"/>
        <v>9477.1093423463844</v>
      </c>
      <c r="AL391" s="586">
        <f t="shared" si="312"/>
        <v>1.5706908093880869</v>
      </c>
      <c r="AM391" s="273" t="str">
        <f t="shared" si="313"/>
        <v>1+0.331687216083006i</v>
      </c>
      <c r="AN391" s="585">
        <f t="shared" si="314"/>
        <v>1.0535731627717626</v>
      </c>
      <c r="AO391" s="586">
        <f t="shared" si="315"/>
        <v>0.32026831797583349</v>
      </c>
      <c r="AP391" s="584" t="str">
        <f t="shared" si="316"/>
        <v>1+0.0023996807669164i</v>
      </c>
      <c r="AQ391" s="585">
        <f t="shared" si="317"/>
        <v>1.0000028792297466</v>
      </c>
      <c r="AR391" s="586">
        <f t="shared" si="318"/>
        <v>2.3996761607708527E-3</v>
      </c>
      <c r="AS391" s="580" t="str">
        <f t="shared" si="319"/>
        <v>0.139026036816865-0.42238847029246i</v>
      </c>
      <c r="AT391" s="270">
        <f t="shared" si="320"/>
        <v>0.44467995091864515</v>
      </c>
      <c r="AU391" s="581">
        <f t="shared" si="321"/>
        <v>-1.2528221675730251</v>
      </c>
      <c r="AV391" s="580" t="str">
        <f t="shared" si="322"/>
        <v>-0.018607098977308-0.0851594439153393i</v>
      </c>
      <c r="AW391" s="270">
        <f t="shared" si="323"/>
        <v>-21.192804186301526</v>
      </c>
      <c r="AX391" s="581">
        <f t="shared" si="324"/>
        <v>-102.32526293630809</v>
      </c>
      <c r="AY391" s="299">
        <f t="shared" si="294"/>
        <v>77.674737063691907</v>
      </c>
      <c r="BB391" s="270">
        <f t="shared" si="327"/>
        <v>-47.039049018922618</v>
      </c>
      <c r="BC391" s="270">
        <f t="shared" si="328"/>
        <v>-71.781422682365928</v>
      </c>
      <c r="BD391" s="286"/>
      <c r="BE391" s="270">
        <f t="shared" si="325"/>
        <v>25.846244832621089</v>
      </c>
      <c r="BF391" s="581">
        <f t="shared" si="326"/>
        <v>-30.543840253942204</v>
      </c>
      <c r="BI391" s="286"/>
      <c r="BJ391" s="286"/>
      <c r="BL391" s="253">
        <f t="shared" si="295"/>
        <v>0</v>
      </c>
      <c r="BM391" s="253">
        <f t="shared" si="329"/>
        <v>0</v>
      </c>
      <c r="BN391" s="253">
        <f t="shared" si="296"/>
        <v>0</v>
      </c>
      <c r="BO391" s="253">
        <f t="shared" si="297"/>
        <v>0</v>
      </c>
    </row>
    <row r="392" spans="4:67" ht="13.6" thickBot="1" x14ac:dyDescent="0.25">
      <c r="D392" s="280">
        <v>34476.5</v>
      </c>
      <c r="E392" s="273" t="str">
        <f t="shared" si="276"/>
        <v>0.389920028837359i</v>
      </c>
      <c r="F392" s="579" t="str">
        <f t="shared" si="298"/>
        <v>0.002-0.0710204802120041i</v>
      </c>
      <c r="G392" s="270" t="str">
        <f t="shared" si="299"/>
        <v>0.002-0.0710204802120041i</v>
      </c>
      <c r="H392" s="271" t="str">
        <f t="shared" si="300"/>
        <v>0.00450924524979253-0.0707895662642231i</v>
      </c>
      <c r="I392" s="271" t="str">
        <f t="shared" si="301"/>
        <v>0.0145092452497925-0.0707895662642231i</v>
      </c>
      <c r="J392" s="270" t="str">
        <f t="shared" si="302"/>
        <v>0.00410568441973092-0.0357257639813124i</v>
      </c>
      <c r="K392" s="271" t="str">
        <f t="shared" si="277"/>
        <v>0.969984872799929-0.272138490254996i</v>
      </c>
      <c r="L392" s="580"/>
      <c r="M392" s="580" t="str">
        <f t="shared" si="278"/>
        <v>-0.212484995759793-43.3206247551245i</v>
      </c>
      <c r="N392" s="270" t="str">
        <f t="shared" si="279"/>
        <v>-6.82603041348651-32.4904685663434i</v>
      </c>
      <c r="O392" s="581" t="str">
        <f t="shared" si="280"/>
        <v>-4.80080664045074-15.809056566902i</v>
      </c>
      <c r="P392" s="582" t="str">
        <f t="shared" si="281"/>
        <v>-1.18877233836069+0.110469540898886i</v>
      </c>
      <c r="Q392" s="583" t="str">
        <f t="shared" si="282"/>
        <v>-1.14076427195619+0.268560106567906i</v>
      </c>
      <c r="R392" s="581" t="str">
        <f t="shared" si="303"/>
        <v>-0.537090302974501-1.87887207240141i</v>
      </c>
      <c r="S392" s="253" t="str">
        <f t="shared" si="304"/>
        <v>49.8517293713857-12.5419646850415i</v>
      </c>
      <c r="T392" s="253" t="str">
        <f t="shared" si="305"/>
        <v>16.8516989162437-10.0188861968318i</v>
      </c>
      <c r="U392" s="253" t="str">
        <f t="shared" si="306"/>
        <v>-0.633244165035329-1.23810207208745i</v>
      </c>
      <c r="V392" s="582" t="str">
        <f t="shared" si="283"/>
        <v>6000</v>
      </c>
      <c r="W392" s="584" t="str">
        <f t="shared" si="284"/>
        <v>1+121326.64968408i</v>
      </c>
      <c r="X392" s="585">
        <f t="shared" si="285"/>
        <v>121326.6496882011</v>
      </c>
      <c r="Y392" s="586">
        <f t="shared" si="286"/>
        <v>1.5707880845826325</v>
      </c>
      <c r="Z392" s="273" t="str">
        <f t="shared" si="287"/>
        <v>1+18.1962680124101i</v>
      </c>
      <c r="AA392" s="585">
        <f t="shared" si="288"/>
        <v>18.223725458299107</v>
      </c>
      <c r="AB392" s="586">
        <f t="shared" si="289"/>
        <v>1.515895229097497</v>
      </c>
      <c r="AC392" s="584" t="str">
        <f t="shared" si="290"/>
        <v>1+0.879706899499443i</v>
      </c>
      <c r="AD392" s="585">
        <f t="shared" si="291"/>
        <v>1.3318724522366707</v>
      </c>
      <c r="AE392" s="586">
        <f t="shared" si="292"/>
        <v>0.72148964397260251</v>
      </c>
      <c r="AF392" s="580" t="str">
        <f t="shared" si="307"/>
        <v>0.482764067960855-0.474136738118894i</v>
      </c>
      <c r="AG392" s="270">
        <f t="shared" si="308"/>
        <v>0.67665854886208132</v>
      </c>
      <c r="AH392" s="581">
        <f t="shared" si="309"/>
        <v>-0.77638249945773563</v>
      </c>
      <c r="AI392" s="582" t="str">
        <f t="shared" si="293"/>
        <v>4000</v>
      </c>
      <c r="AJ392" s="584" t="str">
        <f t="shared" si="310"/>
        <v>1+9531.71208093788i</v>
      </c>
      <c r="AK392" s="585">
        <f t="shared" si="311"/>
        <v>9531.7121333943523</v>
      </c>
      <c r="AL392" s="586">
        <f t="shared" si="312"/>
        <v>1.5706914138487396</v>
      </c>
      <c r="AM392" s="273" t="str">
        <f t="shared" si="313"/>
        <v>1+0.333598246894185i</v>
      </c>
      <c r="AN392" s="585">
        <f t="shared" si="314"/>
        <v>1.0541763563706377</v>
      </c>
      <c r="AO392" s="586">
        <f t="shared" si="315"/>
        <v>0.32198895765001528</v>
      </c>
      <c r="AP392" s="584" t="str">
        <f t="shared" si="316"/>
        <v>1+0.00241350663556677i</v>
      </c>
      <c r="AQ392" s="585">
        <f t="shared" si="317"/>
        <v>1.0000029125028986</v>
      </c>
      <c r="AR392" s="586">
        <f t="shared" si="318"/>
        <v>2.4135019493462758E-3</v>
      </c>
      <c r="AS392" s="580" t="str">
        <f t="shared" si="319"/>
        <v>0.139025518798395-0.419972633262352i</v>
      </c>
      <c r="AT392" s="270">
        <f t="shared" si="320"/>
        <v>0.4423857000022457</v>
      </c>
      <c r="AU392" s="581">
        <f t="shared" si="321"/>
        <v>-1.2511159581480722</v>
      </c>
      <c r="AV392" s="580" t="str">
        <f t="shared" si="322"/>
        <v>-0.0186484183397415-0.0847013322009581i</v>
      </c>
      <c r="AW392" s="270">
        <f t="shared" si="323"/>
        <v>-21.236620991718041</v>
      </c>
      <c r="AX392" s="581">
        <f t="shared" si="324"/>
        <v>-102.41653205453125</v>
      </c>
      <c r="AY392" s="299">
        <f t="shared" si="294"/>
        <v>77.583467945468755</v>
      </c>
      <c r="BB392" s="270">
        <f t="shared" si="327"/>
        <v>-47.08397839855585</v>
      </c>
      <c r="BC392" s="270">
        <f t="shared" si="328"/>
        <v>-71.683664083350664</v>
      </c>
      <c r="BD392" s="286"/>
      <c r="BE392" s="270">
        <f t="shared" si="325"/>
        <v>25.847357406837812</v>
      </c>
      <c r="BF392" s="581">
        <f t="shared" si="326"/>
        <v>-30.732867971180589</v>
      </c>
      <c r="BI392" s="286"/>
      <c r="BJ392" s="286"/>
      <c r="BL392" s="253">
        <f t="shared" si="295"/>
        <v>0</v>
      </c>
      <c r="BM392" s="253">
        <f t="shared" si="329"/>
        <v>0</v>
      </c>
      <c r="BN392" s="253">
        <f t="shared" si="296"/>
        <v>0</v>
      </c>
      <c r="BO392" s="253">
        <f t="shared" si="297"/>
        <v>0</v>
      </c>
    </row>
    <row r="393" spans="4:67" ht="13.6" thickBot="1" x14ac:dyDescent="0.25">
      <c r="D393" s="280">
        <v>34674</v>
      </c>
      <c r="E393" s="273" t="str">
        <f t="shared" si="276"/>
        <v>0.392153701214061i</v>
      </c>
      <c r="F393" s="579" t="str">
        <f t="shared" si="298"/>
        <v>0.002-0.0706159539144363i</v>
      </c>
      <c r="G393" s="270" t="str">
        <f t="shared" si="299"/>
        <v>0.002-0.0706159539144363i</v>
      </c>
      <c r="H393" s="271" t="str">
        <f t="shared" si="300"/>
        <v>0.00448075453664859-0.070387360176329i</v>
      </c>
      <c r="I393" s="271" t="str">
        <f t="shared" si="301"/>
        <v>0.0144807545366486-0.070387360176329i</v>
      </c>
      <c r="J393" s="270" t="str">
        <f t="shared" si="302"/>
        <v>0.00409833439374987-0.0355243615992266i</v>
      </c>
      <c r="K393" s="271" t="str">
        <f t="shared" si="277"/>
        <v>0.969640002121159-0.273697446408474i</v>
      </c>
      <c r="L393" s="580"/>
      <c r="M393" s="580" t="str">
        <f t="shared" si="278"/>
        <v>-0.210613374922625-43.0473264547444i</v>
      </c>
      <c r="N393" s="270" t="str">
        <f t="shared" si="279"/>
        <v>-6.82462669785864-32.2854948410583i</v>
      </c>
      <c r="O393" s="581" t="str">
        <f t="shared" si="280"/>
        <v>-4.79556206366104-15.7052038261648i</v>
      </c>
      <c r="P393" s="582" t="str">
        <f t="shared" si="281"/>
        <v>-1.17489119546406+0.110123752668123i</v>
      </c>
      <c r="Q393" s="583" t="str">
        <f t="shared" si="282"/>
        <v>-1.12693557482745+0.267175790929771i</v>
      </c>
      <c r="R393" s="581" t="str">
        <f t="shared" si="303"/>
        <v>-0.536680424982997-1.86634581953098i</v>
      </c>
      <c r="S393" s="253" t="str">
        <f t="shared" si="304"/>
        <v>49.8258750376796-12.6283691433515i</v>
      </c>
      <c r="T393" s="253" t="str">
        <f t="shared" si="305"/>
        <v>16.8207303450305-10.0756900007983i</v>
      </c>
      <c r="U393" s="253" t="str">
        <f t="shared" si="306"/>
        <v>-0.633831657307986-1.22911349890551i</v>
      </c>
      <c r="V393" s="582" t="str">
        <f t="shared" si="283"/>
        <v>6000</v>
      </c>
      <c r="W393" s="584" t="str">
        <f t="shared" si="284"/>
        <v>1+122021.674217098i</v>
      </c>
      <c r="X393" s="585">
        <f t="shared" si="285"/>
        <v>122021.67422119563</v>
      </c>
      <c r="Y393" s="586">
        <f t="shared" si="286"/>
        <v>1.5707881315295358</v>
      </c>
      <c r="Z393" s="273" t="str">
        <f t="shared" si="287"/>
        <v>1+18.3005060566562i</v>
      </c>
      <c r="AA393" s="585">
        <f t="shared" si="288"/>
        <v>18.327807341024467</v>
      </c>
      <c r="AB393" s="586">
        <f t="shared" si="289"/>
        <v>1.5162073181871196</v>
      </c>
      <c r="AC393" s="584" t="str">
        <f t="shared" si="290"/>
        <v>1+0.884746335423947i</v>
      </c>
      <c r="AD393" s="585">
        <f t="shared" si="291"/>
        <v>1.3352063803195757</v>
      </c>
      <c r="AE393" s="586">
        <f t="shared" si="292"/>
        <v>0.72432345883447924</v>
      </c>
      <c r="AF393" s="580" t="str">
        <f t="shared" si="307"/>
        <v>0.480356210975043-0.474157614888242i</v>
      </c>
      <c r="AG393" s="270">
        <f t="shared" si="308"/>
        <v>0.67495743064196756</v>
      </c>
      <c r="AH393" s="581">
        <f t="shared" si="309"/>
        <v>-0.77890427217689595</v>
      </c>
      <c r="AI393" s="582" t="str">
        <f t="shared" si="293"/>
        <v>4000</v>
      </c>
      <c r="AJ393" s="584" t="str">
        <f t="shared" si="310"/>
        <v>1+9586.31487228809i</v>
      </c>
      <c r="AK393" s="585">
        <f t="shared" si="311"/>
        <v>9586.3149244457763</v>
      </c>
      <c r="AL393" s="586">
        <f t="shared" si="312"/>
        <v>1.5706920114234848</v>
      </c>
      <c r="AM393" s="273" t="str">
        <f t="shared" si="313"/>
        <v>1+0.335509277705363i</v>
      </c>
      <c r="AN393" s="585">
        <f t="shared" si="314"/>
        <v>1.0547826673900051</v>
      </c>
      <c r="AO393" s="586">
        <f t="shared" si="315"/>
        <v>0.32370762428866301</v>
      </c>
      <c r="AP393" s="584" t="str">
        <f t="shared" si="316"/>
        <v>1+0.00242733250421714i</v>
      </c>
      <c r="AQ393" s="585">
        <f t="shared" si="317"/>
        <v>1.0000029459672037</v>
      </c>
      <c r="AR393" s="586">
        <f t="shared" si="318"/>
        <v>2.4273277369990043E-3</v>
      </c>
      <c r="AS393" s="580" t="str">
        <f t="shared" si="319"/>
        <v>0.13902500939573-0.417584338903456i</v>
      </c>
      <c r="AT393" s="270">
        <f t="shared" si="320"/>
        <v>0.4401188854558723</v>
      </c>
      <c r="AU393" s="581">
        <f t="shared" si="321"/>
        <v>-1.2494117148718229</v>
      </c>
      <c r="AV393" s="580" t="str">
        <f t="shared" si="322"/>
        <v>-0.0186894815371861-0.0842484645803231i</v>
      </c>
      <c r="AW393" s="270">
        <f t="shared" si="323"/>
        <v>-21.280127849835853</v>
      </c>
      <c r="AX393" s="581">
        <f t="shared" si="324"/>
        <v>-102.50780863582368</v>
      </c>
      <c r="AY393" s="299">
        <f t="shared" si="294"/>
        <v>77.492191364176321</v>
      </c>
      <c r="BB393" s="270">
        <f t="shared" si="327"/>
        <v>-47.128599910118027</v>
      </c>
      <c r="BC393" s="270">
        <f t="shared" si="328"/>
        <v>-71.586018136358049</v>
      </c>
      <c r="BD393" s="286"/>
      <c r="BE393" s="270">
        <f t="shared" si="325"/>
        <v>25.84847206028217</v>
      </c>
      <c r="BF393" s="581">
        <f t="shared" si="326"/>
        <v>-30.921790499465665</v>
      </c>
      <c r="BI393" s="286"/>
      <c r="BJ393" s="286"/>
      <c r="BL393" s="253">
        <f t="shared" si="295"/>
        <v>0</v>
      </c>
      <c r="BM393" s="253">
        <f t="shared" si="329"/>
        <v>0</v>
      </c>
      <c r="BN393" s="253">
        <f t="shared" si="296"/>
        <v>0</v>
      </c>
      <c r="BO393" s="253">
        <f t="shared" si="297"/>
        <v>0</v>
      </c>
    </row>
    <row r="394" spans="4:67" ht="13.6" thickBot="1" x14ac:dyDescent="0.25">
      <c r="D394" s="280">
        <v>34875.75</v>
      </c>
      <c r="E394" s="273" t="str">
        <f t="shared" si="276"/>
        <v>0.394435439958363i</v>
      </c>
      <c r="F394" s="579" t="str">
        <f t="shared" si="298"/>
        <v>0.002-0.0702074532025596i</v>
      </c>
      <c r="G394" s="270" t="str">
        <f t="shared" si="299"/>
        <v>0.002-0.0702074532025596i</v>
      </c>
      <c r="H394" s="271" t="str">
        <f t="shared" si="300"/>
        <v>0.00445214823804292-0.0699811850229999i</v>
      </c>
      <c r="I394" s="271" t="str">
        <f t="shared" si="301"/>
        <v>0.0144521482380429-0.0699811850229999i</v>
      </c>
      <c r="J394" s="270" t="str">
        <f t="shared" si="302"/>
        <v>0.00409095020813713-0.0353209893327988i</v>
      </c>
      <c r="K394" s="271" t="str">
        <f t="shared" si="277"/>
        <v>0.969285676168215-0.275289949719684i</v>
      </c>
      <c r="L394" s="580"/>
      <c r="M394" s="580" t="str">
        <f t="shared" si="278"/>
        <v>-0.208721131438788-42.7718369488557i</v>
      </c>
      <c r="N394" s="270" t="str">
        <f t="shared" si="279"/>
        <v>-6.82320751524576-32.0788777116418i</v>
      </c>
      <c r="O394" s="581" t="str">
        <f t="shared" si="280"/>
        <v>-4.79028783686066-15.6004953243604i</v>
      </c>
      <c r="P394" s="582" t="str">
        <f t="shared" si="281"/>
        <v>-1.16097109966571+0.109769348410222i</v>
      </c>
      <c r="Q394" s="583" t="str">
        <f t="shared" si="282"/>
        <v>-1.11306822129711+0.265774301653824i</v>
      </c>
      <c r="R394" s="581" t="str">
        <f t="shared" si="303"/>
        <v>-0.536268708443513-1.85371500230138i</v>
      </c>
      <c r="S394" s="253" t="str">
        <f t="shared" si="304"/>
        <v>49.7992866780412-12.7164873398883i</v>
      </c>
      <c r="T394" s="253" t="str">
        <f t="shared" si="305"/>
        <v>16.7889211623829-10.1335889885674i</v>
      </c>
      <c r="U394" s="253" t="str">
        <f t="shared" si="306"/>
        <v>-0.634413800184226-1.22002483856178i</v>
      </c>
      <c r="V394" s="582" t="str">
        <f t="shared" si="283"/>
        <v>6000</v>
      </c>
      <c r="W394" s="584" t="str">
        <f t="shared" si="284"/>
        <v>1+122731.654974244i</v>
      </c>
      <c r="X394" s="585">
        <f t="shared" si="285"/>
        <v>122731.65497831794</v>
      </c>
      <c r="Y394" s="586">
        <f t="shared" si="286"/>
        <v>1.5707881789376859</v>
      </c>
      <c r="Z394" s="273" t="str">
        <f t="shared" si="287"/>
        <v>1+18.4069871980569i</v>
      </c>
      <c r="AA394" s="585">
        <f t="shared" si="288"/>
        <v>18.434130782584532</v>
      </c>
      <c r="AB394" s="586">
        <f t="shared" si="289"/>
        <v>1.5165224843104315</v>
      </c>
      <c r="AC394" s="584" t="str">
        <f t="shared" si="290"/>
        <v>1+0.889894214906317i</v>
      </c>
      <c r="AD394" s="585">
        <f t="shared" si="291"/>
        <v>1.3386230663348553</v>
      </c>
      <c r="AE394" s="586">
        <f t="shared" si="292"/>
        <v>0.72720365632919581</v>
      </c>
      <c r="AF394" s="580" t="str">
        <f t="shared" si="307"/>
        <v>0.477907226489107-0.474166687405648i</v>
      </c>
      <c r="AG394" s="270">
        <f t="shared" si="308"/>
        <v>0.67322311648944144</v>
      </c>
      <c r="AH394" s="581">
        <f t="shared" si="309"/>
        <v>-0.78146935095645131</v>
      </c>
      <c r="AI394" s="582" t="str">
        <f t="shared" si="293"/>
        <v>4000</v>
      </c>
      <c r="AJ394" s="584" t="str">
        <f t="shared" si="310"/>
        <v>1+9642.09266041416i</v>
      </c>
      <c r="AK394" s="585">
        <f t="shared" si="311"/>
        <v>9642.0927122701232</v>
      </c>
      <c r="AL394" s="586">
        <f t="shared" si="312"/>
        <v>1.5706926148693185</v>
      </c>
      <c r="AM394" s="273" t="str">
        <f t="shared" si="313"/>
        <v>1+0.337461431964377i</v>
      </c>
      <c r="AN394" s="585">
        <f t="shared" si="314"/>
        <v>1.0554052387890862</v>
      </c>
      <c r="AO394" s="586">
        <f t="shared" si="315"/>
        <v>0.32546123070115002</v>
      </c>
      <c r="AP394" s="584" t="str">
        <f t="shared" si="316"/>
        <v>1+0.00244145589155998i</v>
      </c>
      <c r="AQ394" s="585">
        <f t="shared" si="317"/>
        <v>1.000002980348994</v>
      </c>
      <c r="AR394" s="586">
        <f t="shared" si="318"/>
        <v>2.4414510406430266E-3</v>
      </c>
      <c r="AS394" s="580" t="str">
        <f t="shared" si="319"/>
        <v>0.139024497723523-0.4151726023556i</v>
      </c>
      <c r="AT394" s="270">
        <f t="shared" si="320"/>
        <v>0.43783113264590828</v>
      </c>
      <c r="AU394" s="581">
        <f t="shared" si="321"/>
        <v>-1.2476728352088118</v>
      </c>
      <c r="AV394" s="580" t="str">
        <f t="shared" si="322"/>
        <v>-0.0187311717966547-0.0837911720900172i</v>
      </c>
      <c r="AW394" s="270">
        <f t="shared" si="323"/>
        <v>-21.324254356831275</v>
      </c>
      <c r="AX394" s="581">
        <f t="shared" si="324"/>
        <v>-102.6010588042091</v>
      </c>
      <c r="AY394" s="299">
        <f t="shared" si="294"/>
        <v>77.398941195790897</v>
      </c>
      <c r="BB394" s="270">
        <f t="shared" si="327"/>
        <v>-47.173867210062177</v>
      </c>
      <c r="BC394" s="270">
        <f t="shared" si="328"/>
        <v>-71.486387670586382</v>
      </c>
      <c r="BD394" s="286"/>
      <c r="BE394" s="270">
        <f t="shared" si="325"/>
        <v>25.849612853230909</v>
      </c>
      <c r="BF394" s="581">
        <f t="shared" si="326"/>
        <v>-31.114671133622743</v>
      </c>
      <c r="BI394" s="286"/>
      <c r="BJ394" s="286"/>
      <c r="BL394" s="253">
        <f t="shared" si="295"/>
        <v>0</v>
      </c>
      <c r="BM394" s="253">
        <f t="shared" si="329"/>
        <v>0</v>
      </c>
      <c r="BN394" s="253">
        <f t="shared" si="296"/>
        <v>0</v>
      </c>
      <c r="BO394" s="253">
        <f t="shared" si="297"/>
        <v>0</v>
      </c>
    </row>
    <row r="395" spans="4:67" ht="13.6" thickBot="1" x14ac:dyDescent="0.25">
      <c r="D395" s="280">
        <v>35077.5</v>
      </c>
      <c r="E395" s="273" t="str">
        <f t="shared" si="276"/>
        <v>0.396717178702666i</v>
      </c>
      <c r="F395" s="579" t="str">
        <f t="shared" si="298"/>
        <v>0.002-0.0698036515153348i</v>
      </c>
      <c r="G395" s="270" t="str">
        <f t="shared" si="299"/>
        <v>0.002-0.0698036515153348i</v>
      </c>
      <c r="H395" s="271" t="str">
        <f t="shared" si="300"/>
        <v>0.00442403331116396-0.0695796650105517i</v>
      </c>
      <c r="I395" s="271" t="str">
        <f t="shared" si="301"/>
        <v>0.014424033311164-0.0695796650105517i</v>
      </c>
      <c r="J395" s="270" t="str">
        <f t="shared" si="302"/>
        <v>0.00408368847011674-0.0351199654291798i</v>
      </c>
      <c r="K395" s="271" t="str">
        <f t="shared" si="277"/>
        <v>0.968929294556956-0.276882453030894i</v>
      </c>
      <c r="L395" s="580"/>
      <c r="M395" s="580" t="str">
        <f t="shared" si="278"/>
        <v>-0.206848721214828-42.5000004456845i</v>
      </c>
      <c r="N395" s="270" t="str">
        <f t="shared" si="279"/>
        <v>-6.82180320757779-31.8750003342634i</v>
      </c>
      <c r="O395" s="581" t="str">
        <f t="shared" si="280"/>
        <v>-4.785095743995-15.4971520533565i</v>
      </c>
      <c r="P395" s="582" t="str">
        <f t="shared" si="281"/>
        <v>-1.14730702889862+0.109413921464801i</v>
      </c>
      <c r="Q395" s="583" t="str">
        <f t="shared" si="282"/>
        <v>-1.09945607145867+0.264385441998367i</v>
      </c>
      <c r="R395" s="581" t="str">
        <f t="shared" si="303"/>
        <v>-0.53586389393677-1.84124752001214i</v>
      </c>
      <c r="S395" s="253" t="str">
        <f t="shared" si="304"/>
        <v>49.7725191286186-12.8044597197604i</v>
      </c>
      <c r="T395" s="253" t="str">
        <f t="shared" si="305"/>
        <v>16.7569363174303-10.1913593717082i</v>
      </c>
      <c r="U395" s="253" t="str">
        <f t="shared" si="306"/>
        <v>-0.634978126624237-1.21102892891643i</v>
      </c>
      <c r="V395" s="582" t="str">
        <f t="shared" si="283"/>
        <v>6000</v>
      </c>
      <c r="W395" s="584" t="str">
        <f t="shared" si="284"/>
        <v>1+123441.635731391i</v>
      </c>
      <c r="X395" s="585">
        <f t="shared" si="285"/>
        <v>123441.63573544149</v>
      </c>
      <c r="Y395" s="586">
        <f t="shared" si="286"/>
        <v>1.570788225800495</v>
      </c>
      <c r="Z395" s="273" t="str">
        <f t="shared" si="287"/>
        <v>1+18.5134683394577i</v>
      </c>
      <c r="AA395" s="585">
        <f t="shared" si="288"/>
        <v>18.540456034199984</v>
      </c>
      <c r="AB395" s="586">
        <f t="shared" si="289"/>
        <v>1.5168340356539174</v>
      </c>
      <c r="AC395" s="584" t="str">
        <f t="shared" si="290"/>
        <v>1+0.895042094388692i</v>
      </c>
      <c r="AD395" s="585">
        <f t="shared" si="291"/>
        <v>1.3420508003528391</v>
      </c>
      <c r="AE395" s="586">
        <f t="shared" si="292"/>
        <v>0.73006916486018736</v>
      </c>
      <c r="AF395" s="580" t="str">
        <f t="shared" si="307"/>
        <v>0.475469094381613-0.474163530658094i</v>
      </c>
      <c r="AG395" s="270">
        <f t="shared" si="308"/>
        <v>0.67149230339462596</v>
      </c>
      <c r="AH395" s="581">
        <f t="shared" si="309"/>
        <v>-0.78402335500676523</v>
      </c>
      <c r="AI395" s="582" t="str">
        <f t="shared" si="293"/>
        <v>4000</v>
      </c>
      <c r="AJ395" s="584" t="str">
        <f t="shared" si="310"/>
        <v>1+9697.87044854027i</v>
      </c>
      <c r="AK395" s="585">
        <f t="shared" si="311"/>
        <v>9697.8705000979808</v>
      </c>
      <c r="AL395" s="586">
        <f t="shared" si="312"/>
        <v>1.5706932113736543</v>
      </c>
      <c r="AM395" s="273" t="str">
        <f t="shared" si="313"/>
        <v>1+0.339413586223392i</v>
      </c>
      <c r="AN395" s="585">
        <f t="shared" si="314"/>
        <v>1.0560310518696996</v>
      </c>
      <c r="AO395" s="586">
        <f t="shared" si="315"/>
        <v>0.32721276409006073</v>
      </c>
      <c r="AP395" s="584" t="str">
        <f t="shared" si="316"/>
        <v>1+0.00245557927890283i</v>
      </c>
      <c r="AQ395" s="585">
        <f t="shared" si="317"/>
        <v>1.0000030149302526</v>
      </c>
      <c r="AR395" s="586">
        <f t="shared" si="318"/>
        <v>2.4555743433130757E-3</v>
      </c>
      <c r="AS395" s="580" t="str">
        <f t="shared" si="319"/>
        <v>0.139023994634757-0.412788630832844i</v>
      </c>
      <c r="AT395" s="270">
        <f t="shared" si="320"/>
        <v>0.43557103304634359</v>
      </c>
      <c r="AU395" s="581">
        <f t="shared" si="321"/>
        <v>-1.2459360216269075</v>
      </c>
      <c r="AV395" s="580" t="str">
        <f t="shared" si="322"/>
        <v>-0.0187726105668351-0.0833391629003845i</v>
      </c>
      <c r="AW395" s="270">
        <f t="shared" si="323"/>
        <v>-21.368064372628019</v>
      </c>
      <c r="AX395" s="581">
        <f t="shared" si="324"/>
        <v>-102.69432017588402</v>
      </c>
      <c r="AY395" s="299">
        <f t="shared" si="294"/>
        <v>77.305679824115984</v>
      </c>
      <c r="BB395" s="270">
        <f t="shared" si="327"/>
        <v>-47.218820200291916</v>
      </c>
      <c r="BC395" s="270">
        <f t="shared" si="328"/>
        <v>-71.38687558254226</v>
      </c>
      <c r="BD395" s="286"/>
      <c r="BE395" s="270">
        <f t="shared" si="325"/>
        <v>25.8507558276639</v>
      </c>
      <c r="BF395" s="581">
        <f t="shared" si="326"/>
        <v>-31.307444593341746</v>
      </c>
      <c r="BI395" s="286"/>
      <c r="BJ395" s="286"/>
      <c r="BL395" s="253">
        <f t="shared" si="295"/>
        <v>0</v>
      </c>
      <c r="BM395" s="253">
        <f t="shared" si="329"/>
        <v>0</v>
      </c>
      <c r="BN395" s="253">
        <f t="shared" si="296"/>
        <v>0</v>
      </c>
      <c r="BO395" s="253">
        <f t="shared" si="297"/>
        <v>0</v>
      </c>
    </row>
    <row r="396" spans="4:67" ht="13.6" thickBot="1" x14ac:dyDescent="0.25">
      <c r="D396" s="280">
        <v>35279.25</v>
      </c>
      <c r="E396" s="273" t="str">
        <f t="shared" si="276"/>
        <v>0.398998917446968i</v>
      </c>
      <c r="F396" s="579" t="str">
        <f t="shared" si="298"/>
        <v>0.002-0.0694044682364041i</v>
      </c>
      <c r="G396" s="270" t="str">
        <f t="shared" si="299"/>
        <v>0.002-0.0694044682364041i</v>
      </c>
      <c r="H396" s="271" t="str">
        <f t="shared" si="300"/>
        <v>0.00439639857081981-0.0691827206632595i</v>
      </c>
      <c r="I396" s="271" t="str">
        <f t="shared" si="301"/>
        <v>0.0143963985708198-0.0691827206632595i</v>
      </c>
      <c r="J396" s="270" t="str">
        <f t="shared" si="302"/>
        <v>0.00407654636358713-0.0349212496409986i</v>
      </c>
      <c r="K396" s="271" t="str">
        <f t="shared" si="277"/>
        <v>0.968570857287379-0.278474956342105i</v>
      </c>
      <c r="L396" s="580"/>
      <c r="M396" s="580" t="str">
        <f t="shared" si="278"/>
        <v>-0.204996099608737-42.2317423627924i</v>
      </c>
      <c r="N396" s="270" t="str">
        <f t="shared" si="279"/>
        <v>-6.82041374137322-31.6738067720943i</v>
      </c>
      <c r="O396" s="581" t="str">
        <f t="shared" si="280"/>
        <v>-4.77998386688725-15.3951461157329i</v>
      </c>
      <c r="P396" s="582" t="str">
        <f t="shared" si="281"/>
        <v>-1.13389264620461+0.109057629099649i</v>
      </c>
      <c r="Q396" s="583" t="str">
        <f t="shared" si="282"/>
        <v>-1.08609280753574+0.263009090256977i</v>
      </c>
      <c r="R396" s="581" t="str">
        <f t="shared" si="303"/>
        <v>-0.535465830571872-1.82894003469247i</v>
      </c>
      <c r="S396" s="253" t="str">
        <f t="shared" si="304"/>
        <v>49.745572749827-12.8922875848115i</v>
      </c>
      <c r="T396" s="253" t="str">
        <f t="shared" si="305"/>
        <v>16.7247762028679-10.249001064668i</v>
      </c>
      <c r="U396" s="253" t="str">
        <f t="shared" si="306"/>
        <v>-0.635524995538807-1.20212421383158i</v>
      </c>
      <c r="V396" s="582" t="str">
        <f t="shared" si="283"/>
        <v>6000</v>
      </c>
      <c r="W396" s="584" t="str">
        <f t="shared" si="284"/>
        <v>1+124151.616488538i</v>
      </c>
      <c r="X396" s="585">
        <f t="shared" si="285"/>
        <v>124151.61649256534</v>
      </c>
      <c r="Y396" s="586">
        <f t="shared" si="286"/>
        <v>1.5707882721273194</v>
      </c>
      <c r="Z396" s="273" t="str">
        <f t="shared" si="287"/>
        <v>1+18.6199494808585i</v>
      </c>
      <c r="AA396" s="585">
        <f t="shared" si="288"/>
        <v>18.646783064907545</v>
      </c>
      <c r="AB396" s="586">
        <f t="shared" si="289"/>
        <v>1.5171420339927844</v>
      </c>
      <c r="AC396" s="584" t="str">
        <f t="shared" si="290"/>
        <v>1+0.900189973871062i</v>
      </c>
      <c r="AD396" s="585">
        <f t="shared" si="291"/>
        <v>1.3454894979367111</v>
      </c>
      <c r="AE396" s="586">
        <f t="shared" si="292"/>
        <v>0.73292004981231884</v>
      </c>
      <c r="AF396" s="580" t="str">
        <f t="shared" si="307"/>
        <v>0.473041863546739-0.474148300133138i</v>
      </c>
      <c r="AG396" s="270">
        <f t="shared" si="308"/>
        <v>0.6697650447633976</v>
      </c>
      <c r="AH396" s="581">
        <f t="shared" si="309"/>
        <v>-0.78656628794685313</v>
      </c>
      <c r="AI396" s="582" t="str">
        <f t="shared" si="293"/>
        <v>4000</v>
      </c>
      <c r="AJ396" s="584" t="str">
        <f t="shared" si="310"/>
        <v>1+9753.64823666634i</v>
      </c>
      <c r="AK396" s="585">
        <f t="shared" si="311"/>
        <v>9753.6482879292089</v>
      </c>
      <c r="AL396" s="586">
        <f t="shared" si="312"/>
        <v>1.5706938010555802</v>
      </c>
      <c r="AM396" s="273" t="str">
        <f t="shared" si="313"/>
        <v>1+0.341365740482405i</v>
      </c>
      <c r="AN396" s="585">
        <f t="shared" si="314"/>
        <v>1.0566601008721304</v>
      </c>
      <c r="AO396" s="586">
        <f t="shared" si="315"/>
        <v>0.32896221740129955</v>
      </c>
      <c r="AP396" s="584" t="str">
        <f t="shared" si="316"/>
        <v>1+0.00246970266624567i</v>
      </c>
      <c r="AQ396" s="585">
        <f t="shared" si="317"/>
        <v>1.0000030497109795</v>
      </c>
      <c r="AR396" s="586">
        <f t="shared" si="318"/>
        <v>2.469697645003498E-3</v>
      </c>
      <c r="AS396" s="580" t="str">
        <f t="shared" si="319"/>
        <v>0.139023499932388-0.410431947999072i</v>
      </c>
      <c r="AT396" s="270">
        <f t="shared" si="320"/>
        <v>0.43333810987699162</v>
      </c>
      <c r="AU396" s="581">
        <f t="shared" si="321"/>
        <v>-1.2442012812992855</v>
      </c>
      <c r="AV396" s="580" t="str">
        <f t="shared" si="322"/>
        <v>-0.0188138054870764-0.0828923447561251i</v>
      </c>
      <c r="AW396" s="270">
        <f t="shared" si="323"/>
        <v>-21.41156131841808</v>
      </c>
      <c r="AX396" s="581">
        <f t="shared" si="324"/>
        <v>-102.78759442244888</v>
      </c>
      <c r="AY396" s="299">
        <f t="shared" si="294"/>
        <v>77.212405577551124</v>
      </c>
      <c r="BB396" s="270">
        <f t="shared" si="327"/>
        <v>-47.263462306020187</v>
      </c>
      <c r="BC396" s="270">
        <f t="shared" si="328"/>
        <v>-71.287482283218381</v>
      </c>
      <c r="BD396" s="286"/>
      <c r="BE396" s="270">
        <f t="shared" si="325"/>
        <v>25.851900987602107</v>
      </c>
      <c r="BF396" s="581">
        <f t="shared" si="326"/>
        <v>-31.500112139230509</v>
      </c>
      <c r="BI396" s="286"/>
      <c r="BJ396" s="286"/>
      <c r="BL396" s="253">
        <f t="shared" si="295"/>
        <v>0</v>
      </c>
      <c r="BM396" s="253">
        <f t="shared" si="329"/>
        <v>0</v>
      </c>
      <c r="BN396" s="253">
        <f t="shared" si="296"/>
        <v>0</v>
      </c>
      <c r="BO396" s="253">
        <f t="shared" si="297"/>
        <v>0</v>
      </c>
    </row>
    <row r="397" spans="4:67" ht="13.6" thickBot="1" x14ac:dyDescent="0.25">
      <c r="D397" s="280">
        <v>35481</v>
      </c>
      <c r="E397" s="273" t="str">
        <f t="shared" ref="E397:E460" si="330">COMPLEX(0,2*PI()*D397*Lf)</f>
        <v>0.40128065619127i</v>
      </c>
      <c r="F397" s="579" t="str">
        <f t="shared" si="298"/>
        <v>0.002-0.0690098245829927i</v>
      </c>
      <c r="G397" s="270" t="str">
        <f t="shared" si="299"/>
        <v>0.002-0.0690098245829927i</v>
      </c>
      <c r="H397" s="271" t="str">
        <f t="shared" si="300"/>
        <v>0.00436923314815491-0.0687902743021325i</v>
      </c>
      <c r="I397" s="271" t="str">
        <f t="shared" si="301"/>
        <v>0.0143692331481549-0.0687902743021325i</v>
      </c>
      <c r="J397" s="270" t="str">
        <f t="shared" si="302"/>
        <v>0.00406952115226043-0.034724802634877i</v>
      </c>
      <c r="K397" s="271" t="str">
        <f t="shared" ref="K397:K460" si="331">IMSUM(COMPLEX(1,0),COMPLEX(0,2*PI()*D397/(Fsw*PI()*(-2)/PI())),IMPRODUCT(COMPLEX(0,2*PI()*D397/(Fsw*PI())),COMPLEX(0,2*PI()*D397/(Fsw*PI()))))</f>
        <v>0.968210364359486-0.280067459653315i</v>
      </c>
      <c r="L397" s="580"/>
      <c r="M397" s="580" t="str">
        <f t="shared" ref="M397:M460" si="332">IF(Vin&gt;=Vout,IMDIV(COMPLEX(Vin,0),IMSUM(E397,J397)),IMDIV(IMSUM(COMPLEX(Vout,0),IMPRODUCT(J397,COMPLEX($B$4,0))),IMSUM(E397,IMPRODUCT(J397,COMPLEX((1-$B$11)^2,0)))))</f>
        <v>-0.203163207433491-41.9669901833867i</v>
      </c>
      <c r="N397" s="270" t="str">
        <f t="shared" ref="N397:N460" si="333">IF(Vin&gt;=Vout,0,IMSUB(IMPRODUCT(M397,COMPLEX(1-$B$11,0)),COMPLEX($B$4/(1-$B$11),0)))</f>
        <v>-6.81903907224179-31.47524263754i</v>
      </c>
      <c r="O397" s="581" t="str">
        <f t="shared" ref="O397:O460" si="334">IMDIV(IF(Vin&gt;=Vout,M397,N397),IMPRODUCT(I397,IMSUM(IMDIV(COMPLEX(1,0),F397),IMDIV(COMPLEX(1,0),I397))))</f>
        <v>-4.77495034127372-15.2944503880075i</v>
      </c>
      <c r="P397" s="582" t="str">
        <f t="shared" ref="P397:P460" si="335">IF(Vin&gt;=Vout,IMDIV(IMPRODUCT(COMPLEX(Vin,0),J397),IMSUM(J397,E397)),IMPRODUCT(N397,J397))</f>
        <v>-1.12072181221602+0.108700620257113i</v>
      </c>
      <c r="Q397" s="583" t="str">
        <f t="shared" ref="Q397:Q460" si="336">IF(Vin&gt;=Vout,IMDIV(IMPRODUCT(P397,H397),IMSUM(COMPLEX($B$15,0),H397)),IMPRODUCT(O397,H397))</f>
        <v>-1.07297230880328+0.261645124137187i</v>
      </c>
      <c r="R397" s="581" t="str">
        <f t="shared" si="303"/>
        <v>-0.53507437145033-1.81678930091376i</v>
      </c>
      <c r="S397" s="253" t="str">
        <f t="shared" si="304"/>
        <v>49.7184478918962-12.9799721987237i</v>
      </c>
      <c r="T397" s="253" t="str">
        <f t="shared" si="305"/>
        <v>16.6924412102476-10.3065139714299i</v>
      </c>
      <c r="U397" s="253" t="str">
        <f t="shared" si="306"/>
        <v>-0.636054755733984-1.19330917211104i</v>
      </c>
      <c r="V397" s="582" t="str">
        <f t="shared" ref="V397:V460" si="337">COMPLEX(AEA,0)</f>
        <v>6000</v>
      </c>
      <c r="W397" s="584" t="str">
        <f t="shared" ref="W397:W460" si="338">IMSUM(COMPLEX(1,0),IMDIV(COMPLEX(0,2*PI()*D397),COMPLEX(2*PI()*EA_Pole1,0)))</f>
        <v>1+124861.597245684i</v>
      </c>
      <c r="X397" s="585">
        <f t="shared" ref="X397:X460" si="339">IMABS(W397)</f>
        <v>124861.59724968844</v>
      </c>
      <c r="Y397" s="586">
        <f t="shared" ref="Y397:Y460" si="340">IMARGUMENT(W397)</f>
        <v>1.5707883179273021</v>
      </c>
      <c r="Z397" s="273" t="str">
        <f t="shared" ref="Z397:Z460" si="341">IMSUM(COMPLEX(1,0),IMDIV(COMPLEX(0,2*PI()*D397),COMPLEX(2*PI()*EA_Zero1,0)))</f>
        <v>1+18.7264306222593i</v>
      </c>
      <c r="AA397" s="585">
        <f t="shared" ref="AA397:AA460" si="342">IMABS(Z397)</f>
        <v>18.753111844445733</v>
      </c>
      <c r="AB397" s="586">
        <f t="shared" ref="AB397:AB460" si="343">IMARGUMENT(Z397)</f>
        <v>1.5174465397039272</v>
      </c>
      <c r="AC397" s="584" t="str">
        <f t="shared" ref="AC397:AC460" si="344">IMSUM(COMPLEX(1,0),IMDIV(COMPLEX(0,2*PI()*D397),COMPLEX(2*PI()*EA_Pole2,0)))</f>
        <v>1+0.905337853353437i</v>
      </c>
      <c r="AD397" s="585">
        <f t="shared" ref="AD397:AD460" si="345">IMABS(AC397)</f>
        <v>1.3489390752419508</v>
      </c>
      <c r="AE397" s="586">
        <f t="shared" ref="AE397:AE460" si="346">IMARGUMENT(AC397)</f>
        <v>0.73575637685566131</v>
      </c>
      <c r="AF397" s="580" t="str">
        <f t="shared" si="307"/>
        <v>0.470625579983083-0.474121150980255i</v>
      </c>
      <c r="AG397" s="270">
        <f t="shared" si="308"/>
        <v>0.6680413926855544</v>
      </c>
      <c r="AH397" s="581">
        <f t="shared" si="309"/>
        <v>-0.78909815507903813</v>
      </c>
      <c r="AI397" s="582" t="str">
        <f t="shared" ref="AI397:AI460" si="347">COMPLEX(AIL,0)</f>
        <v>4000</v>
      </c>
      <c r="AJ397" s="584" t="str">
        <f t="shared" si="310"/>
        <v>1+9809.42602479246i</v>
      </c>
      <c r="AK397" s="585">
        <f t="shared" si="311"/>
        <v>9809.4260757638403</v>
      </c>
      <c r="AL397" s="586">
        <f t="shared" si="312"/>
        <v>1.5706943840314762</v>
      </c>
      <c r="AM397" s="273" t="str">
        <f t="shared" si="313"/>
        <v>1+0.34331789474142i</v>
      </c>
      <c r="AN397" s="585">
        <f t="shared" si="314"/>
        <v>1.0572923800206264</v>
      </c>
      <c r="AO397" s="586">
        <f t="shared" si="315"/>
        <v>0.33070958364845171</v>
      </c>
      <c r="AP397" s="584" t="str">
        <f t="shared" si="316"/>
        <v>1+0.00248382605358852i</v>
      </c>
      <c r="AQ397" s="585">
        <f t="shared" si="317"/>
        <v>1.0000030846911745</v>
      </c>
      <c r="AR397" s="586">
        <f t="shared" si="318"/>
        <v>2.4838209457086783E-3</v>
      </c>
      <c r="AS397" s="580" t="str">
        <f t="shared" si="319"/>
        <v>0.139023013424957-0.408102088352216i</v>
      </c>
      <c r="AT397" s="270">
        <f t="shared" si="320"/>
        <v>0.43113189719527323</v>
      </c>
      <c r="AU397" s="581">
        <f t="shared" si="321"/>
        <v>-1.2424686213287333</v>
      </c>
      <c r="AV397" s="580" t="str">
        <f t="shared" si="322"/>
        <v>-0.0188547639690428-0.0824506274781324i</v>
      </c>
      <c r="AW397" s="270">
        <f t="shared" si="323"/>
        <v>-21.454748559769421</v>
      </c>
      <c r="AX397" s="581">
        <f t="shared" si="324"/>
        <v>-102.88088318018217</v>
      </c>
      <c r="AY397" s="299">
        <f t="shared" ref="AY397:AY460" si="348">IF(AX397&gt;0,AX397-180,AX397+180)</f>
        <v>77.119116819817833</v>
      </c>
      <c r="BB397" s="270">
        <f t="shared" si="327"/>
        <v>-47.307796895581227</v>
      </c>
      <c r="BC397" s="270">
        <f t="shared" si="328"/>
        <v>-71.188208179574474</v>
      </c>
      <c r="BD397" s="286"/>
      <c r="BE397" s="270">
        <f t="shared" si="325"/>
        <v>25.853048335811813</v>
      </c>
      <c r="BF397" s="581">
        <f t="shared" si="326"/>
        <v>-31.692675000607668</v>
      </c>
      <c r="BI397" s="286"/>
      <c r="BJ397" s="286"/>
      <c r="BL397" s="253">
        <f t="shared" ref="BL397:BL460" si="349">SUM((AW398&lt;0)*(AW397&gt;0))*D397</f>
        <v>0</v>
      </c>
      <c r="BM397" s="253">
        <f t="shared" si="329"/>
        <v>0</v>
      </c>
      <c r="BN397" s="253">
        <f t="shared" ref="BN397:BN460" si="350">SUM((BB398&lt;0)*(BB397&gt;0))*D397</f>
        <v>0</v>
      </c>
      <c r="BO397" s="253">
        <f t="shared" ref="BO397:BO460" si="351">IF(BN397&gt;0,BC397,0)</f>
        <v>0</v>
      </c>
    </row>
    <row r="398" spans="4:67" ht="13.6" thickBot="1" x14ac:dyDescent="0.25">
      <c r="D398" s="280">
        <v>35687.75</v>
      </c>
      <c r="E398" s="273" t="str">
        <f t="shared" si="330"/>
        <v>0.403618943603337i</v>
      </c>
      <c r="F398" s="579" t="str">
        <f t="shared" ref="F398:F461" si="352">IMSUM(COMPLEX($B$8,0),IMDIV(COMPLEX(1,0),COMPLEX(0,2*PI()*D398*$B$6)))</f>
        <v>0.002-0.0686100296608544i</v>
      </c>
      <c r="G398" s="270" t="str">
        <f t="shared" ref="G398:G461" si="353">IMSUM(COMPLEX($B$9,0),IMDIV(COMPLEX(1,0),COMPLEX(0,2*PI()*D398*$B$7)))</f>
        <v>0.002-0.0686100296608544i</v>
      </c>
      <c r="H398" s="271" t="str">
        <f t="shared" ref="H398:H461" si="354">IMDIV(COMPLEX(1,0),IMSUM(IMDIV(COMPLEX(1,0),COMPLEX($B$5,0)), IMDIV(COMPLEX(1,0),G398)))</f>
        <v>0.00434187034165177-0.0683926890453469i</v>
      </c>
      <c r="I398" s="271" t="str">
        <f t="shared" ref="I398:I461" si="355">IMSUM(H398,COMPLEX($B$15,0))</f>
        <v>0.0143418703416518-0.0683926890453469i</v>
      </c>
      <c r="J398" s="270" t="str">
        <f t="shared" ref="J398:J461" si="356">IMDIV(COMPLEX(1,0),IMSUM(IMDIV(COMPLEX(1,0),F398),IMDIV(COMPLEX(1,0),IMSUM(COMPLEX($B$15,0),H398))))</f>
        <v>0.00406244032958637-0.034525800663737i</v>
      </c>
      <c r="K398" s="271" t="str">
        <f t="shared" si="331"/>
        <v>0.967838804574064-0.281699430208917i</v>
      </c>
      <c r="L398" s="580"/>
      <c r="M398" s="580" t="str">
        <f t="shared" si="332"/>
        <v>-0.201305283405672-41.6992401642243i</v>
      </c>
      <c r="N398" s="270" t="str">
        <f t="shared" si="333"/>
        <v>-6.81764562922092-31.2744301231682i</v>
      </c>
      <c r="O398" s="581" t="str">
        <f t="shared" si="334"/>
        <v>-4.76987146204603-15.1925908355132i</v>
      </c>
      <c r="P398" s="582" t="str">
        <f t="shared" si="335"/>
        <v>-1.10747101886145+0.10833416777329i</v>
      </c>
      <c r="Q398" s="583" t="str">
        <f t="shared" si="336"/>
        <v>-1.05977230424099+0.260260076128423i</v>
      </c>
      <c r="R398" s="581" t="str">
        <f t="shared" ref="R398:R461" si="357">IMPRODUCT(M398,COMPLEX($B$29,0),K398,COMPLEX($B$34,0))</f>
        <v>-0.534679912933034-1.80449675967211i</v>
      </c>
      <c r="S398" s="253" t="str">
        <f t="shared" ref="S398:S461" si="358">IMDIV(IMPRODUCT(COMPLEX($B$34,0),M398),IMSUM(COMPLEX(1,0),R398))</f>
        <v>49.6904659817789-13.0696825756938i</v>
      </c>
      <c r="T398" s="253" t="str">
        <f t="shared" ref="T398:T461" si="359">IMDIV(IMPRODUCT(COMPLEX($B$34,0),O398),IMSUM(COMPLEX(1,0),R398))</f>
        <v>16.6591238304265-10.3653185045722i</v>
      </c>
      <c r="U398" s="253" t="str">
        <f t="shared" ref="U398:U461" si="360">IMDIV(IMPRODUCT(COMPLEX($B$34,0),Q398),IMSUM(COMPLEX(1,0),R398))</f>
        <v>-0.636580249661954-1.18436714489906i</v>
      </c>
      <c r="V398" s="582" t="str">
        <f t="shared" si="337"/>
        <v>6000</v>
      </c>
      <c r="W398" s="584" t="str">
        <f t="shared" si="338"/>
        <v>1+125589.173560629i</v>
      </c>
      <c r="X398" s="585">
        <f t="shared" si="339"/>
        <v>125589.17356461023</v>
      </c>
      <c r="Y398" s="586">
        <f t="shared" si="340"/>
        <v>1.5707883643251102</v>
      </c>
      <c r="Z398" s="273" t="str">
        <f t="shared" si="341"/>
        <v>1+18.835550701489i</v>
      </c>
      <c r="AA398" s="585">
        <f t="shared" si="342"/>
        <v>18.862077569248907</v>
      </c>
      <c r="AB398" s="586">
        <f t="shared" si="343"/>
        <v>1.5177550302144323</v>
      </c>
      <c r="AC398" s="584" t="str">
        <f t="shared" si="344"/>
        <v>1+0.910613313492124i</v>
      </c>
      <c r="AD398" s="585">
        <f t="shared" si="345"/>
        <v>1.3524853443601914</v>
      </c>
      <c r="AE398" s="586">
        <f t="shared" si="346"/>
        <v>0.73864796242089759</v>
      </c>
      <c r="AF398" s="580" t="str">
        <f t="shared" ref="AF398:AF461" si="361">IMPRODUCT(V398,IMDIV(Z398,IMPRODUCT(W398,AC398)))</f>
        <v>0.46816081603499-0.47408112550531i</v>
      </c>
      <c r="AG398" s="270">
        <f t="shared" ref="AG398:AG461" si="362">IMABS(AF398)</f>
        <v>0.66627881793655219</v>
      </c>
      <c r="AH398" s="581">
        <f t="shared" ref="AH398:AH461" si="363">IMARGUMENT(AF398)</f>
        <v>-0.79168129653157848</v>
      </c>
      <c r="AI398" s="582" t="str">
        <f t="shared" si="347"/>
        <v>4000</v>
      </c>
      <c r="AJ398" s="584" t="str">
        <f t="shared" ref="AJ398:AJ461" si="364">IMSUM(COMPLEX(1,0),IMDIV(COMPLEX(0,2*PI()*D398),COMPLEX(2*PI()*IL_Pole1,0)))</f>
        <v>1+9866.58616206664i</v>
      </c>
      <c r="AK398" s="585">
        <f t="shared" ref="AK398:AK461" si="365">IMABS(AJ398)</f>
        <v>9866.5862127427281</v>
      </c>
      <c r="AL398" s="586">
        <f t="shared" ref="AL398:AL461" si="366">IMARGUMENT(AJ398)</f>
        <v>1.5706949746169345</v>
      </c>
      <c r="AM398" s="273" t="str">
        <f t="shared" ref="AM398:AM461" si="367">IMSUM(COMPLEX(1,0),IMDIV(COMPLEX(0,2*PI()*D398),COMPLEX(2*PI()*IL_Zero1,0)))</f>
        <v>1+0.345318429527299i</v>
      </c>
      <c r="AN398" s="585">
        <f t="shared" ref="AN398:AN461" si="368">IMABS(AM398)</f>
        <v>1.0579436741959376</v>
      </c>
      <c r="AO398" s="586">
        <f t="shared" ref="AO398:AO461" si="369">IMARGUMENT(AM398)</f>
        <v>0.33249808260294667</v>
      </c>
      <c r="AP398" s="584" t="str">
        <f t="shared" ref="AP398:AP461" si="370">IMSUM(COMPLEX(1,0),IMDIV(COMPLEX(0,2*PI()*D398),COMPLEX(2*PI()*IL_Pole2,0)))</f>
        <v>1+0.00249829946292251i</v>
      </c>
      <c r="AQ398" s="585">
        <f t="shared" ref="AQ398:AQ461" si="371">IMABS(AP398)</f>
        <v>1.0000031207452338</v>
      </c>
      <c r="AR398" s="586">
        <f t="shared" ref="AR398:AR461" si="372">IMARGUMENT(AP398)</f>
        <v>2.4982942652297703E-3</v>
      </c>
      <c r="AS398" s="580" t="str">
        <f t="shared" ref="AS398:AS461" si="373">IMPRODUCT(AI398,IMDIV(AM398,IMPRODUCT(AJ398,AP398)))</f>
        <v>0.139022523167844-0.40574184015874i</v>
      </c>
      <c r="AT398" s="270">
        <f t="shared" ref="AT398:AT461" si="374">IMABS(AS398)</f>
        <v>0.42889824294738521</v>
      </c>
      <c r="AU398" s="581">
        <f t="shared" ref="AU398:AU461" si="375">IMARGUMENT(AS398)</f>
        <v>-1.2406951862792168</v>
      </c>
      <c r="AV398" s="580" t="str">
        <f t="shared" ref="AV398:AV461" si="376">IMPRODUCT(T398,AS398,COMPLEX($B$15,0))</f>
        <v>-0.0188964997520511-0.0820031629033354i</v>
      </c>
      <c r="AW398" s="270">
        <f t="shared" ref="AW398:AW461" si="377">20*LOG10(IMABS(AV398))</f>
        <v>-21.498688267503589</v>
      </c>
      <c r="AX398" s="581">
        <f t="shared" ref="AX398:AX461" si="378">(180/PI())*IMARGUMENT(AV398)</f>
        <v>-102.97650065741736</v>
      </c>
      <c r="AY398" s="299">
        <f t="shared" si="348"/>
        <v>77.023499342582639</v>
      </c>
      <c r="BB398" s="270">
        <f t="shared" si="327"/>
        <v>-47.352914658329659</v>
      </c>
      <c r="BC398" s="270">
        <f t="shared" si="328"/>
        <v>-71.086597835996614</v>
      </c>
      <c r="BD398" s="286"/>
      <c r="BE398" s="270">
        <f t="shared" ref="BE398:BE461" si="379">20*LOG10(IMABS(T398))</f>
        <v>25.854226390826067</v>
      </c>
      <c r="BF398" s="581">
        <f t="shared" ref="BF398:BF461" si="380">180/PI()*IMARGUMENT(T398)</f>
        <v>-31.889902821420783</v>
      </c>
      <c r="BI398" s="286"/>
      <c r="BJ398" s="286"/>
      <c r="BL398" s="253">
        <f t="shared" si="349"/>
        <v>0</v>
      </c>
      <c r="BM398" s="253">
        <f t="shared" si="329"/>
        <v>0</v>
      </c>
      <c r="BN398" s="253">
        <f t="shared" si="350"/>
        <v>0</v>
      </c>
      <c r="BO398" s="253">
        <f t="shared" si="351"/>
        <v>0</v>
      </c>
    </row>
    <row r="399" spans="4:67" ht="13.6" thickBot="1" x14ac:dyDescent="0.25">
      <c r="D399" s="280">
        <v>35894.5</v>
      </c>
      <c r="E399" s="273" t="str">
        <f t="shared" si="330"/>
        <v>0.405957231015404i</v>
      </c>
      <c r="F399" s="579" t="str">
        <f t="shared" si="352"/>
        <v>0.002-0.0682148403245391i</v>
      </c>
      <c r="G399" s="270" t="str">
        <f t="shared" si="353"/>
        <v>0.002-0.0682148403245391i</v>
      </c>
      <c r="H399" s="271" t="str">
        <f t="shared" si="354"/>
        <v>0.00431497826501237-0.0679996678799833i</v>
      </c>
      <c r="I399" s="271" t="str">
        <f t="shared" si="355"/>
        <v>0.0143149782650124-0.0679996678799833i</v>
      </c>
      <c r="J399" s="270" t="str">
        <f t="shared" si="356"/>
        <v>0.00405547669503415-0.0343291005179668i</v>
      </c>
      <c r="K399" s="271" t="str">
        <f t="shared" si="331"/>
        <v>0.967465085976364-0.28333140076452i</v>
      </c>
      <c r="L399" s="580"/>
      <c r="M399" s="580" t="str">
        <f t="shared" si="332"/>
        <v>-0.19946791129259-41.4350241205861i</v>
      </c>
      <c r="N399" s="270" t="str">
        <f t="shared" si="333"/>
        <v>-6.81626760013611-31.0762680904396i</v>
      </c>
      <c r="O399" s="581" t="str">
        <f t="shared" si="334"/>
        <v>-4.76487106785969-15.0920519411764i</v>
      </c>
      <c r="P399" s="582" t="str">
        <f t="shared" si="335"/>
        <v>-1.09446354539945+0.107967254593022i</v>
      </c>
      <c r="Q399" s="583" t="str">
        <f t="shared" si="336"/>
        <v>-1.04681483472085+0.258887774004786i</v>
      </c>
      <c r="R399" s="581" t="str">
        <f t="shared" si="357"/>
        <v>-0.534292090038983-1.792362218953i</v>
      </c>
      <c r="S399" s="253" t="str">
        <f t="shared" si="358"/>
        <v>49.662297349862-13.1592450816907i</v>
      </c>
      <c r="T399" s="253" t="str">
        <f t="shared" si="359"/>
        <v>16.6256236264577-10.4239875524062i</v>
      </c>
      <c r="U399" s="253" t="str">
        <f t="shared" si="360"/>
        <v>-0.637088486958264-1.17551616462012i</v>
      </c>
      <c r="V399" s="582" t="str">
        <f t="shared" si="337"/>
        <v>6000</v>
      </c>
      <c r="W399" s="584" t="str">
        <f t="shared" si="338"/>
        <v>1+126316.749875573i</v>
      </c>
      <c r="X399" s="585">
        <f t="shared" si="339"/>
        <v>126316.7498795313</v>
      </c>
      <c r="Y399" s="586">
        <f t="shared" si="340"/>
        <v>1.5707884101884215</v>
      </c>
      <c r="Z399" s="273" t="str">
        <f t="shared" si="341"/>
        <v>1+18.9446707807189i</v>
      </c>
      <c r="AA399" s="585">
        <f t="shared" si="342"/>
        <v>18.971045068467486</v>
      </c>
      <c r="AB399" s="586">
        <f t="shared" si="343"/>
        <v>1.5180599768857139</v>
      </c>
      <c r="AC399" s="584" t="str">
        <f t="shared" si="344"/>
        <v>1+0.915888773630815i</v>
      </c>
      <c r="AD399" s="585">
        <f t="shared" si="345"/>
        <v>1.3560428627676038</v>
      </c>
      <c r="AE399" s="586">
        <f t="shared" si="346"/>
        <v>0.74152440003850617</v>
      </c>
      <c r="AF399" s="580" t="str">
        <f t="shared" si="361"/>
        <v>0.46570763744206-0.474028911898707i</v>
      </c>
      <c r="AG399" s="270">
        <f t="shared" si="362"/>
        <v>0.66452013730792037</v>
      </c>
      <c r="AH399" s="581">
        <f t="shared" si="363"/>
        <v>-0.79425283334121155</v>
      </c>
      <c r="AI399" s="582" t="str">
        <f t="shared" si="347"/>
        <v>4000</v>
      </c>
      <c r="AJ399" s="584" t="str">
        <f t="shared" si="364"/>
        <v>1+9923.74629934087i</v>
      </c>
      <c r="AK399" s="585">
        <f t="shared" si="365"/>
        <v>9923.7463497250665</v>
      </c>
      <c r="AL399" s="586">
        <f t="shared" si="366"/>
        <v>1.5706955583989248</v>
      </c>
      <c r="AM399" s="273" t="str">
        <f t="shared" si="367"/>
        <v>1+0.347318964313179i</v>
      </c>
      <c r="AN399" s="585">
        <f t="shared" si="368"/>
        <v>1.0585983482754824</v>
      </c>
      <c r="AO399" s="586">
        <f t="shared" si="369"/>
        <v>0.33428437512537307</v>
      </c>
      <c r="AP399" s="584" t="str">
        <f t="shared" si="370"/>
        <v>1+0.00251277287225651i</v>
      </c>
      <c r="AQ399" s="585">
        <f t="shared" si="371"/>
        <v>1.0000031570087704</v>
      </c>
      <c r="AR399" s="586">
        <f t="shared" si="372"/>
        <v>2.5127675837041999E-3</v>
      </c>
      <c r="AS399" s="580" t="str">
        <f t="shared" si="373"/>
        <v>0.139022041126957-0.403408804890416i</v>
      </c>
      <c r="AT399" s="270">
        <f t="shared" si="374"/>
        <v>0.42669168234478044</v>
      </c>
      <c r="AU399" s="581">
        <f t="shared" si="375"/>
        <v>-1.2389239508572572</v>
      </c>
      <c r="AV399" s="580" t="str">
        <f t="shared" si="376"/>
        <v>-0.0189380022915005-0.0815608698392467i</v>
      </c>
      <c r="AW399" s="270">
        <f t="shared" si="377"/>
        <v>-21.542309712426601</v>
      </c>
      <c r="AX399" s="581">
        <f t="shared" si="378"/>
        <v>-103.07213674339819</v>
      </c>
      <c r="AY399" s="299">
        <f t="shared" si="348"/>
        <v>76.92786325660181</v>
      </c>
      <c r="BB399" s="270">
        <f t="shared" si="327"/>
        <v>-47.397716458350303</v>
      </c>
      <c r="BC399" s="270">
        <f t="shared" si="328"/>
        <v>-70.985113521794261</v>
      </c>
      <c r="BD399" s="286"/>
      <c r="BE399" s="270">
        <f t="shared" si="379"/>
        <v>25.855406745923691</v>
      </c>
      <c r="BF399" s="581">
        <f t="shared" si="380"/>
        <v>-32.087023221603935</v>
      </c>
      <c r="BI399" s="286"/>
      <c r="BJ399" s="286"/>
      <c r="BL399" s="253">
        <f t="shared" si="349"/>
        <v>0</v>
      </c>
      <c r="BM399" s="253">
        <f t="shared" si="329"/>
        <v>0</v>
      </c>
      <c r="BN399" s="253">
        <f t="shared" si="350"/>
        <v>0</v>
      </c>
      <c r="BO399" s="253">
        <f t="shared" si="351"/>
        <v>0</v>
      </c>
    </row>
    <row r="400" spans="4:67" ht="13.6" thickBot="1" x14ac:dyDescent="0.25">
      <c r="D400" s="280">
        <v>36101.25</v>
      </c>
      <c r="E400" s="273" t="str">
        <f t="shared" si="330"/>
        <v>0.408295518427471i</v>
      </c>
      <c r="F400" s="579" t="str">
        <f t="shared" si="352"/>
        <v>0.002-0.0678241774461871i</v>
      </c>
      <c r="G400" s="270" t="str">
        <f t="shared" si="353"/>
        <v>0.002-0.0678241774461871i</v>
      </c>
      <c r="H400" s="271" t="str">
        <f t="shared" si="354"/>
        <v>0.00428854618645858-0.0676111327546642i</v>
      </c>
      <c r="I400" s="271" t="str">
        <f t="shared" si="355"/>
        <v>0.0142885461864586-0.0676111327546642i</v>
      </c>
      <c r="J400" s="270" t="str">
        <f t="shared" si="356"/>
        <v>0.00404862754732402-0.0341346626877253i</v>
      </c>
      <c r="K400" s="271" t="str">
        <f t="shared" si="331"/>
        <v>0.967089208566387-0.284963371320122i</v>
      </c>
      <c r="L400" s="580"/>
      <c r="M400" s="580" t="str">
        <f t="shared" si="332"/>
        <v>-0.197650987476527-41.174270297692i</v>
      </c>
      <c r="N400" s="270" t="str">
        <f t="shared" si="333"/>
        <v>-6.81490490727406-30.880702723269i</v>
      </c>
      <c r="O400" s="581" t="str">
        <f t="shared" si="334"/>
        <v>-4.75994731712715-14.9928068702988i</v>
      </c>
      <c r="P400" s="582" t="str">
        <f t="shared" si="335"/>
        <v>-1.08169338275869+0.107600016532573i</v>
      </c>
      <c r="Q400" s="583" t="str">
        <f t="shared" si="336"/>
        <v>-1.03409390958742+0.257528085235561i</v>
      </c>
      <c r="R400" s="581" t="str">
        <f t="shared" si="357"/>
        <v>-0.533910756944866-1.78038246770274i</v>
      </c>
      <c r="S400" s="253" t="str">
        <f t="shared" si="358"/>
        <v>49.6339423421577-13.2486609585773i</v>
      </c>
      <c r="T400" s="253" t="str">
        <f t="shared" si="359"/>
        <v>16.5919410167014-10.4825209793725i</v>
      </c>
      <c r="U400" s="253" t="str">
        <f t="shared" si="360"/>
        <v>-0.637579812166787-1.16675470210832i</v>
      </c>
      <c r="V400" s="582" t="str">
        <f t="shared" si="337"/>
        <v>6000</v>
      </c>
      <c r="W400" s="584" t="str">
        <f t="shared" si="338"/>
        <v>1+127044.326190518i</v>
      </c>
      <c r="X400" s="585">
        <f t="shared" si="339"/>
        <v>127044.32619445362</v>
      </c>
      <c r="Y400" s="586">
        <f t="shared" si="340"/>
        <v>1.5707884555264191</v>
      </c>
      <c r="Z400" s="273" t="str">
        <f t="shared" si="341"/>
        <v>1+19.0537908599486i</v>
      </c>
      <c r="AA400" s="585">
        <f t="shared" si="342"/>
        <v>19.080014311699578</v>
      </c>
      <c r="AB400" s="586">
        <f t="shared" si="343"/>
        <v>1.5183614403789902</v>
      </c>
      <c r="AC400" s="584" t="str">
        <f t="shared" si="344"/>
        <v>1+0.921164233769503i</v>
      </c>
      <c r="AD400" s="585">
        <f t="shared" si="345"/>
        <v>1.3596115421605377</v>
      </c>
      <c r="AE400" s="586">
        <f t="shared" si="346"/>
        <v>0.74438576120311373</v>
      </c>
      <c r="AF400" s="580" t="str">
        <f t="shared" si="361"/>
        <v>0.4632660846362-0.473964675668744i</v>
      </c>
      <c r="AG400" s="270">
        <f t="shared" si="362"/>
        <v>0.66276540265461381</v>
      </c>
      <c r="AH400" s="581">
        <f t="shared" si="363"/>
        <v>-0.79681277635054126</v>
      </c>
      <c r="AI400" s="582" t="str">
        <f t="shared" si="347"/>
        <v>4000</v>
      </c>
      <c r="AJ400" s="584" t="str">
        <f t="shared" si="364"/>
        <v>1+9980.90643661505i</v>
      </c>
      <c r="AK400" s="585">
        <f t="shared" si="365"/>
        <v>9980.9064867107008</v>
      </c>
      <c r="AL400" s="586">
        <f t="shared" si="366"/>
        <v>1.5706961354943365</v>
      </c>
      <c r="AM400" s="273" t="str">
        <f t="shared" si="367"/>
        <v>1+0.349319499099058i</v>
      </c>
      <c r="AN400" s="585">
        <f t="shared" si="368"/>
        <v>1.0592563959924042</v>
      </c>
      <c r="AO400" s="586">
        <f t="shared" si="369"/>
        <v>0.33606845391783918</v>
      </c>
      <c r="AP400" s="584" t="str">
        <f t="shared" si="370"/>
        <v>1+0.0025272462815905i</v>
      </c>
      <c r="AQ400" s="585">
        <f t="shared" si="371"/>
        <v>1.0000031934817848</v>
      </c>
      <c r="AR400" s="586">
        <f t="shared" si="372"/>
        <v>2.5272409011258836E-3</v>
      </c>
      <c r="AS400" s="580" t="str">
        <f t="shared" si="373"/>
        <v>0.139021567113293-0.401102515006192i</v>
      </c>
      <c r="AT400" s="270">
        <f t="shared" si="374"/>
        <v>0.42451174738389547</v>
      </c>
      <c r="AU400" s="581">
        <f t="shared" si="375"/>
        <v>-1.2371549224776242</v>
      </c>
      <c r="AV400" s="580" t="str">
        <f t="shared" si="376"/>
        <v>-0.0189792788683833-0.0811236576448366i</v>
      </c>
      <c r="AW400" s="270">
        <f t="shared" si="377"/>
        <v>-21.585616342879987</v>
      </c>
      <c r="AX400" s="581">
        <f t="shared" si="378"/>
        <v>-103.16779308934312</v>
      </c>
      <c r="AY400" s="299">
        <f t="shared" si="348"/>
        <v>76.832206910656879</v>
      </c>
      <c r="BB400" s="270">
        <f t="shared" si="327"/>
        <v>-47.442205743104395</v>
      </c>
      <c r="BC400" s="270">
        <f t="shared" si="328"/>
        <v>-70.883755661802411</v>
      </c>
      <c r="BD400" s="286"/>
      <c r="BE400" s="270">
        <f t="shared" si="379"/>
        <v>25.856589400224408</v>
      </c>
      <c r="BF400" s="581">
        <f t="shared" si="380"/>
        <v>-32.284037427540717</v>
      </c>
      <c r="BI400" s="286"/>
      <c r="BJ400" s="286"/>
      <c r="BL400" s="253">
        <f t="shared" si="349"/>
        <v>0</v>
      </c>
      <c r="BM400" s="253">
        <f t="shared" si="329"/>
        <v>0</v>
      </c>
      <c r="BN400" s="253">
        <f t="shared" si="350"/>
        <v>0</v>
      </c>
      <c r="BO400" s="253">
        <f t="shared" si="351"/>
        <v>0</v>
      </c>
    </row>
    <row r="401" spans="4:67" ht="13.6" thickBot="1" x14ac:dyDescent="0.25">
      <c r="D401" s="280">
        <v>36308</v>
      </c>
      <c r="E401" s="273" t="str">
        <f t="shared" si="330"/>
        <v>0.410633805839538i</v>
      </c>
      <c r="F401" s="579" t="str">
        <f t="shared" si="352"/>
        <v>0.002-0.0674379637002631i</v>
      </c>
      <c r="G401" s="270" t="str">
        <f t="shared" si="353"/>
        <v>0.002-0.0674379637002631i</v>
      </c>
      <c r="H401" s="271" t="str">
        <f t="shared" si="354"/>
        <v>0.00426256367819476-0.0672270073855775i</v>
      </c>
      <c r="I401" s="271" t="str">
        <f t="shared" si="355"/>
        <v>0.0142625636781948-0.0672270073855775i</v>
      </c>
      <c r="J401" s="270" t="str">
        <f t="shared" si="356"/>
        <v>0.00404189026185126-0.0339424485617681i</v>
      </c>
      <c r="K401" s="271" t="str">
        <f t="shared" si="331"/>
        <v>0.966711172344133-0.286595341875724i</v>
      </c>
      <c r="L401" s="580"/>
      <c r="M401" s="580" t="str">
        <f t="shared" si="332"/>
        <v>-0.195854397154243-40.9169089164145i</v>
      </c>
      <c r="N401" s="270" t="str">
        <f t="shared" si="333"/>
        <v>-6.81355746453235-30.6876816873109i</v>
      </c>
      <c r="O401" s="581" t="str">
        <f t="shared" si="334"/>
        <v>-4.75509842020307-14.8948295282367i</v>
      </c>
      <c r="P401" s="582" t="str">
        <f t="shared" si="335"/>
        <v>-1.06915470871592+0.107232581991807i</v>
      </c>
      <c r="Q401" s="583" t="str">
        <f t="shared" si="336"/>
        <v>-1.02160372451389+0.256180877274175i</v>
      </c>
      <c r="R401" s="581" t="str">
        <f t="shared" si="357"/>
        <v>-0.533535771717586-1.76855438336526i</v>
      </c>
      <c r="S401" s="253" t="str">
        <f t="shared" si="358"/>
        <v>49.605401295008-13.3379314104787i</v>
      </c>
      <c r="T401" s="253" t="str">
        <f t="shared" si="359"/>
        <v>16.55807641872-10.5409186396722i</v>
      </c>
      <c r="U401" s="253" t="str">
        <f t="shared" si="360"/>
        <v>-0.638054560116807-1.15808126262053i</v>
      </c>
      <c r="V401" s="582" t="str">
        <f t="shared" si="337"/>
        <v>6000</v>
      </c>
      <c r="W401" s="584" t="str">
        <f t="shared" si="338"/>
        <v>1+127771.902505462i</v>
      </c>
      <c r="X401" s="585">
        <f t="shared" si="339"/>
        <v>127771.90250937521</v>
      </c>
      <c r="Y401" s="586">
        <f t="shared" si="340"/>
        <v>1.5707885003480773</v>
      </c>
      <c r="Z401" s="273" t="str">
        <f t="shared" si="341"/>
        <v>1+19.1629109391784i</v>
      </c>
      <c r="AA401" s="585">
        <f t="shared" si="342"/>
        <v>19.188985269234095</v>
      </c>
      <c r="AB401" s="586">
        <f t="shared" si="343"/>
        <v>1.5186594799801076</v>
      </c>
      <c r="AC401" s="584" t="str">
        <f t="shared" si="344"/>
        <v>1+0.92643969390819i</v>
      </c>
      <c r="AD401" s="585">
        <f t="shared" si="345"/>
        <v>1.3631912948844345</v>
      </c>
      <c r="AE401" s="586">
        <f t="shared" si="346"/>
        <v>0.74723211764937503</v>
      </c>
      <c r="AF401" s="580" t="str">
        <f t="shared" si="361"/>
        <v>0.460836195119015-0.473888581716961i</v>
      </c>
      <c r="AG401" s="270">
        <f t="shared" si="362"/>
        <v>0.66101466444662449</v>
      </c>
      <c r="AH401" s="581">
        <f t="shared" si="363"/>
        <v>-0.79936113801734332</v>
      </c>
      <c r="AI401" s="582" t="str">
        <f t="shared" si="347"/>
        <v>4000</v>
      </c>
      <c r="AJ401" s="584" t="str">
        <f t="shared" si="364"/>
        <v>1+10038.0665738892i</v>
      </c>
      <c r="AK401" s="585">
        <f t="shared" si="365"/>
        <v>10038.066623699588</v>
      </c>
      <c r="AL401" s="586">
        <f t="shared" si="366"/>
        <v>1.5706967060173962</v>
      </c>
      <c r="AM401" s="273" t="str">
        <f t="shared" si="367"/>
        <v>1+0.351320033884937i</v>
      </c>
      <c r="AN401" s="585">
        <f t="shared" si="368"/>
        <v>1.0599178110631566</v>
      </c>
      <c r="AO401" s="586">
        <f t="shared" si="369"/>
        <v>0.33785031175690183</v>
      </c>
      <c r="AP401" s="584" t="str">
        <f t="shared" si="370"/>
        <v>1+0.00254171969092449i</v>
      </c>
      <c r="AQ401" s="585">
        <f t="shared" si="371"/>
        <v>1.0000032301642767</v>
      </c>
      <c r="AR401" s="586">
        <f t="shared" si="372"/>
        <v>2.5417142174887679E-3</v>
      </c>
      <c r="AS401" s="580" t="str">
        <f t="shared" si="373"/>
        <v>0.139021100943211-0.398822513614356i</v>
      </c>
      <c r="AT401" s="270">
        <f t="shared" si="374"/>
        <v>0.4223579807143884</v>
      </c>
      <c r="AU401" s="581">
        <f t="shared" si="375"/>
        <v>-1.2353881084779832</v>
      </c>
      <c r="AV401" s="580" t="str">
        <f t="shared" si="376"/>
        <v>-0.0190203365444621-0.0806914377217255i</v>
      </c>
      <c r="AW401" s="270">
        <f t="shared" si="377"/>
        <v>-21.628611551213641</v>
      </c>
      <c r="AX401" s="581">
        <f t="shared" si="378"/>
        <v>-103.26347131126016</v>
      </c>
      <c r="AY401" s="299">
        <f t="shared" si="348"/>
        <v>76.736528688739838</v>
      </c>
      <c r="BB401" s="270">
        <f t="shared" si="327"/>
        <v>-47.486385902837362</v>
      </c>
      <c r="BC401" s="270">
        <f t="shared" si="328"/>
        <v>-70.782524676438356</v>
      </c>
      <c r="BD401" s="286"/>
      <c r="BE401" s="270">
        <f t="shared" si="379"/>
        <v>25.857774351623718</v>
      </c>
      <c r="BF401" s="581">
        <f t="shared" si="380"/>
        <v>-32.480946634821819</v>
      </c>
      <c r="BI401" s="286"/>
      <c r="BJ401" s="286"/>
      <c r="BL401" s="253">
        <f t="shared" si="349"/>
        <v>0</v>
      </c>
      <c r="BM401" s="253">
        <f t="shared" si="329"/>
        <v>0</v>
      </c>
      <c r="BN401" s="253">
        <f t="shared" si="350"/>
        <v>0</v>
      </c>
      <c r="BO401" s="253">
        <f t="shared" si="351"/>
        <v>0</v>
      </c>
    </row>
    <row r="402" spans="4:67" ht="13.6" thickBot="1" x14ac:dyDescent="0.25">
      <c r="D402" s="280">
        <v>36519.5</v>
      </c>
      <c r="E402" s="273" t="str">
        <f t="shared" si="330"/>
        <v>0.413025814485981i</v>
      </c>
      <c r="F402" s="579" t="str">
        <f t="shared" si="352"/>
        <v>0.002-0.0670474016903069i</v>
      </c>
      <c r="G402" s="270" t="str">
        <f t="shared" si="353"/>
        <v>0.002-0.0670474016903069i</v>
      </c>
      <c r="H402" s="271" t="str">
        <f t="shared" si="354"/>
        <v>0.00423643884941338-0.0668385420396308i</v>
      </c>
      <c r="I402" s="271" t="str">
        <f t="shared" si="355"/>
        <v>0.0142364388494134-0.0668385420396308i</v>
      </c>
      <c r="J402" s="270" t="str">
        <f t="shared" si="356"/>
        <v>0.00403511127776523-0.0337480799735995i</v>
      </c>
      <c r="K402" s="271" t="str">
        <f t="shared" si="331"/>
        <v>0.966322217109417-0.288264806313499i</v>
      </c>
      <c r="L402" s="580"/>
      <c r="M402" s="580" t="str">
        <f t="shared" si="332"/>
        <v>-0.194037440109939-40.6570742497064i</v>
      </c>
      <c r="N402" s="270" t="str">
        <f t="shared" si="333"/>
        <v>-6.81219474674912-30.4928056872798i</v>
      </c>
      <c r="O402" s="581" t="str">
        <f t="shared" si="334"/>
        <v>-4.75021376162365-14.7958864883276i</v>
      </c>
      <c r="P402" s="582" t="str">
        <f t="shared" si="335"/>
        <v>-1.05656160880269+0.106856628989577i</v>
      </c>
      <c r="Q402" s="583" t="str">
        <f t="shared" si="336"/>
        <v>-1.00905947118645+0.254815493872854i</v>
      </c>
      <c r="R402" s="581" t="str">
        <f t="shared" si="357"/>
        <v>-0.533158595621032-1.75660832093591i</v>
      </c>
      <c r="S402" s="253" t="str">
        <f t="shared" si="358"/>
        <v>49.5760123696205-13.4291035579181i</v>
      </c>
      <c r="T402" s="253" t="str">
        <f t="shared" si="359"/>
        <v>16.5232459216398-10.6005173195589i</v>
      </c>
      <c r="U402" s="253" t="str">
        <f t="shared" si="360"/>
        <v>-0.638523401564329-1.14929811056114i</v>
      </c>
      <c r="V402" s="582" t="str">
        <f t="shared" si="337"/>
        <v>6000</v>
      </c>
      <c r="W402" s="584" t="str">
        <f t="shared" si="338"/>
        <v>1+128516.194600315i</v>
      </c>
      <c r="X402" s="585">
        <f t="shared" si="339"/>
        <v>128516.19460420555</v>
      </c>
      <c r="Y402" s="586">
        <f t="shared" si="340"/>
        <v>1.5707885456743687</v>
      </c>
      <c r="Z402" s="273" t="str">
        <f t="shared" si="341"/>
        <v>1+19.2745380093458i</v>
      </c>
      <c r="AA402" s="585">
        <f t="shared" si="342"/>
        <v>19.300461535251326</v>
      </c>
      <c r="AB402" s="586">
        <f t="shared" si="343"/>
        <v>1.518960884547196</v>
      </c>
      <c r="AC402" s="584" t="str">
        <f t="shared" si="344"/>
        <v>1+0.931836355670382i</v>
      </c>
      <c r="AD402" s="585">
        <f t="shared" si="345"/>
        <v>1.3668646581681225</v>
      </c>
      <c r="AE402" s="586">
        <f t="shared" si="346"/>
        <v>0.7501284172738425</v>
      </c>
      <c r="AF402" s="580" t="str">
        <f t="shared" si="361"/>
        <v>0.458362584247556-0.473798641288594i</v>
      </c>
      <c r="AG402" s="270">
        <f t="shared" si="362"/>
        <v>0.65922789012982119</v>
      </c>
      <c r="AH402" s="581">
        <f t="shared" si="363"/>
        <v>-0.80195607840101324</v>
      </c>
      <c r="AI402" s="582" t="str">
        <f t="shared" si="347"/>
        <v>4000</v>
      </c>
      <c r="AJ402" s="584" t="str">
        <f t="shared" si="364"/>
        <v>1+10096.5399428542i</v>
      </c>
      <c r="AK402" s="585">
        <f t="shared" si="365"/>
        <v>10096.539992376116</v>
      </c>
      <c r="AL402" s="586">
        <f t="shared" si="366"/>
        <v>1.5706972829638031</v>
      </c>
      <c r="AM402" s="273" t="str">
        <f t="shared" si="367"/>
        <v>1+0.35336653017134i</v>
      </c>
      <c r="AN402" s="585">
        <f t="shared" si="368"/>
        <v>1.0605978996044318</v>
      </c>
      <c r="AO402" s="586">
        <f t="shared" si="369"/>
        <v>0.33967080154820506</v>
      </c>
      <c r="AP402" s="584" t="str">
        <f t="shared" si="370"/>
        <v>1+0.00255652562115008i</v>
      </c>
      <c r="AQ402" s="585">
        <f t="shared" si="371"/>
        <v>1.0000032679062862</v>
      </c>
      <c r="AR402" s="586">
        <f t="shared" si="372"/>
        <v>2.556520051505389E-3</v>
      </c>
      <c r="AS402" s="580" t="str">
        <f t="shared" si="373"/>
        <v>0.139020631992975-0.396516865940199i</v>
      </c>
      <c r="AT402" s="270">
        <f t="shared" si="374"/>
        <v>0.4201813431064782</v>
      </c>
      <c r="AU402" s="581">
        <f t="shared" si="375"/>
        <v>-1.233583001467103</v>
      </c>
      <c r="AV402" s="580" t="str">
        <f t="shared" si="376"/>
        <v>-0.0190621181429458-0.0802543630522534i</v>
      </c>
      <c r="AW402" s="270">
        <f t="shared" si="377"/>
        <v>-21.67227580069796</v>
      </c>
      <c r="AX402" s="581">
        <f t="shared" si="378"/>
        <v>-103.36137198728807</v>
      </c>
      <c r="AY402" s="299">
        <f t="shared" si="348"/>
        <v>76.638628012711933</v>
      </c>
      <c r="BB402" s="270">
        <f t="shared" si="327"/>
        <v>-47.531264700942529</v>
      </c>
      <c r="BC402" s="270">
        <f t="shared" si="328"/>
        <v>-70.67909966314545</v>
      </c>
      <c r="BD402" s="286"/>
      <c r="BE402" s="270">
        <f t="shared" si="379"/>
        <v>25.858988900244579</v>
      </c>
      <c r="BF402" s="581">
        <f t="shared" si="380"/>
        <v>-32.682272324142637</v>
      </c>
      <c r="BI402" s="286"/>
      <c r="BJ402" s="286"/>
      <c r="BL402" s="253">
        <f t="shared" si="349"/>
        <v>0</v>
      </c>
      <c r="BM402" s="253">
        <f t="shared" si="329"/>
        <v>0</v>
      </c>
      <c r="BN402" s="253">
        <f t="shared" si="350"/>
        <v>0</v>
      </c>
      <c r="BO402" s="253">
        <f t="shared" si="351"/>
        <v>0</v>
      </c>
    </row>
    <row r="403" spans="4:67" ht="13.6" thickBot="1" x14ac:dyDescent="0.25">
      <c r="D403" s="280">
        <v>36731</v>
      </c>
      <c r="E403" s="273" t="str">
        <f t="shared" si="330"/>
        <v>0.415417823132424i</v>
      </c>
      <c r="F403" s="579" t="str">
        <f t="shared" si="352"/>
        <v>0.002-0.066661337454171i</v>
      </c>
      <c r="G403" s="270" t="str">
        <f t="shared" si="353"/>
        <v>0.002-0.066661337454171i</v>
      </c>
      <c r="H403" s="271" t="str">
        <f t="shared" si="354"/>
        <v>0.00421076334018402-0.0664545353608302i</v>
      </c>
      <c r="I403" s="271" t="str">
        <f t="shared" si="355"/>
        <v>0.014210763340184-0.0664545353608302i</v>
      </c>
      <c r="J403" s="270" t="str">
        <f t="shared" si="356"/>
        <v>0.00402844403326497-0.0335559594717026i</v>
      </c>
      <c r="K403" s="271" t="str">
        <f t="shared" si="331"/>
        <v>0.965931002727204-0.289934270751273i</v>
      </c>
      <c r="L403" s="580"/>
      <c r="M403" s="580" t="str">
        <f t="shared" si="332"/>
        <v>-0.192241487026531-40.4006480105255i</v>
      </c>
      <c r="N403" s="270" t="str">
        <f t="shared" si="333"/>
        <v>-6.81084778193657-30.3004860078941i</v>
      </c>
      <c r="O403" s="581" t="str">
        <f t="shared" si="334"/>
        <v>-4.74540380622506-14.6982171166343i</v>
      </c>
      <c r="P403" s="582" t="str">
        <f t="shared" si="335"/>
        <v>-1.0441989995624+0.106480720075069i</v>
      </c>
      <c r="Q403" s="583" t="str">
        <f t="shared" si="336"/>
        <v>-0.996744961500156+0.253462891241412i</v>
      </c>
      <c r="R403" s="581" t="str">
        <f t="shared" si="357"/>
        <v>-0.532787773904289-1.74481463443703i</v>
      </c>
      <c r="S403" s="253" t="str">
        <f t="shared" si="358"/>
        <v>49.5464294408041-13.5201259539927i</v>
      </c>
      <c r="T403" s="253" t="str">
        <f t="shared" si="359"/>
        <v>16.488225859938-10.6599735825855i</v>
      </c>
      <c r="U403" s="253" t="str">
        <f t="shared" si="360"/>
        <v>-0.638975574393741-1.14060401441549i</v>
      </c>
      <c r="V403" s="582" t="str">
        <f t="shared" si="337"/>
        <v>6000</v>
      </c>
      <c r="W403" s="584" t="str">
        <f t="shared" si="338"/>
        <v>1+129260.486695167i</v>
      </c>
      <c r="X403" s="585">
        <f t="shared" si="339"/>
        <v>129260.48669903517</v>
      </c>
      <c r="Y403" s="586">
        <f t="shared" si="340"/>
        <v>1.5707885904786754</v>
      </c>
      <c r="Z403" s="273" t="str">
        <f t="shared" si="341"/>
        <v>1+19.3861650795131i</v>
      </c>
      <c r="AA403" s="585">
        <f t="shared" si="342"/>
        <v>19.411939534475504</v>
      </c>
      <c r="AB403" s="586">
        <f t="shared" si="343"/>
        <v>1.519258827356345</v>
      </c>
      <c r="AC403" s="584" t="str">
        <f t="shared" si="344"/>
        <v>1+0.93723301743257i</v>
      </c>
      <c r="AD403" s="585">
        <f t="shared" si="345"/>
        <v>1.3705494259477693</v>
      </c>
      <c r="AE403" s="586">
        <f t="shared" si="346"/>
        <v>0.75300916735960177</v>
      </c>
      <c r="AF403" s="580" t="str">
        <f t="shared" si="361"/>
        <v>0.455901249020482-0.473696638955741i</v>
      </c>
      <c r="AG403" s="270">
        <f t="shared" si="362"/>
        <v>0.65744540048311328</v>
      </c>
      <c r="AH403" s="581">
        <f t="shared" si="363"/>
        <v>-0.80453893048193326</v>
      </c>
      <c r="AI403" s="582" t="str">
        <f t="shared" si="347"/>
        <v>4000</v>
      </c>
      <c r="AJ403" s="584" t="str">
        <f t="shared" si="364"/>
        <v>1+10155.013311819i</v>
      </c>
      <c r="AK403" s="585">
        <f t="shared" si="365"/>
        <v>10155.013361055766</v>
      </c>
      <c r="AL403" s="586">
        <f t="shared" si="366"/>
        <v>1.5706978532660039</v>
      </c>
      <c r="AM403" s="273" t="str">
        <f t="shared" si="367"/>
        <v>1+0.35541302645774i</v>
      </c>
      <c r="AN403" s="585">
        <f t="shared" si="368"/>
        <v>1.0612814986495573</v>
      </c>
      <c r="AO403" s="586">
        <f t="shared" si="369"/>
        <v>0.34148895210899033</v>
      </c>
      <c r="AP403" s="584" t="str">
        <f t="shared" si="370"/>
        <v>1+0.00257133155137566i</v>
      </c>
      <c r="AQ403" s="585">
        <f t="shared" si="371"/>
        <v>1.0000033058675093</v>
      </c>
      <c r="AR403" s="586">
        <f t="shared" si="372"/>
        <v>2.5713258844011532E-3</v>
      </c>
      <c r="AS403" s="580" t="str">
        <f t="shared" si="373"/>
        <v>0.13902017087852-0.394237794164794i</v>
      </c>
      <c r="AT403" s="270">
        <f t="shared" si="374"/>
        <v>0.41803115465119994</v>
      </c>
      <c r="AU403" s="581">
        <f t="shared" si="375"/>
        <v>-1.231780227041416</v>
      </c>
      <c r="AV403" s="580" t="str">
        <f t="shared" si="376"/>
        <v>-0.0191036849452127-0.0798223314172442i</v>
      </c>
      <c r="AW403" s="270">
        <f t="shared" si="377"/>
        <v>-21.715621161671002</v>
      </c>
      <c r="AX403" s="581">
        <f t="shared" si="378"/>
        <v>-103.45929886802067</v>
      </c>
      <c r="AY403" s="299">
        <f t="shared" si="348"/>
        <v>76.540701131979333</v>
      </c>
      <c r="BB403" s="270">
        <f t="shared" si="327"/>
        <v>-47.575827006178606</v>
      </c>
      <c r="BC403" s="270">
        <f t="shared" si="328"/>
        <v>-70.57580829713946</v>
      </c>
      <c r="BD403" s="286"/>
      <c r="BE403" s="270">
        <f t="shared" si="379"/>
        <v>25.860205844507604</v>
      </c>
      <c r="BF403" s="581">
        <f t="shared" si="380"/>
        <v>-32.883490570881243</v>
      </c>
      <c r="BI403" s="286"/>
      <c r="BJ403" s="286"/>
      <c r="BL403" s="253">
        <f t="shared" si="349"/>
        <v>0</v>
      </c>
      <c r="BM403" s="253">
        <f t="shared" si="329"/>
        <v>0</v>
      </c>
      <c r="BN403" s="253">
        <f t="shared" si="350"/>
        <v>0</v>
      </c>
      <c r="BO403" s="253">
        <f t="shared" si="351"/>
        <v>0</v>
      </c>
    </row>
    <row r="404" spans="4:67" ht="13.6" thickBot="1" x14ac:dyDescent="0.25">
      <c r="D404" s="280">
        <v>36942.5</v>
      </c>
      <c r="E404" s="273" t="str">
        <f t="shared" si="330"/>
        <v>0.417809831778867i</v>
      </c>
      <c r="F404" s="579" t="str">
        <f t="shared" si="352"/>
        <v>0.002-0.0662796937410614i</v>
      </c>
      <c r="G404" s="270" t="str">
        <f t="shared" si="353"/>
        <v>0.002-0.0662796937410614i</v>
      </c>
      <c r="H404" s="271" t="str">
        <f t="shared" si="354"/>
        <v>0.00418552690923055-0.0660749111091081i</v>
      </c>
      <c r="I404" s="271" t="str">
        <f t="shared" si="355"/>
        <v>0.0141855269092306-0.0660749111091081i</v>
      </c>
      <c r="J404" s="270" t="str">
        <f t="shared" si="356"/>
        <v>0.00402188595116061-0.0333660484782429i</v>
      </c>
      <c r="K404" s="271" t="str">
        <f t="shared" si="331"/>
        <v>0.965537529197495-0.291603735189048i</v>
      </c>
      <c r="L404" s="580"/>
      <c r="M404" s="580" t="str">
        <f t="shared" si="332"/>
        <v>-0.190466385028698-40.1475614790245i</v>
      </c>
      <c r="N404" s="270" t="str">
        <f t="shared" si="333"/>
        <v>-6.80951645543819-30.1106711092684i</v>
      </c>
      <c r="O404" s="581" t="str">
        <f t="shared" si="334"/>
        <v>-4.74066679585624-14.6017957181526i</v>
      </c>
      <c r="P404" s="582" t="str">
        <f t="shared" si="335"/>
        <v>-1.0320612105106+0.106104971051159i</v>
      </c>
      <c r="Q404" s="583" t="str">
        <f t="shared" si="336"/>
        <v>-0.98465454255204+0.252122928232686i</v>
      </c>
      <c r="R404" s="581" t="str">
        <f t="shared" si="357"/>
        <v>-0.532423166497526-1.73317024896468i</v>
      </c>
      <c r="S404" s="253" t="str">
        <f t="shared" si="358"/>
        <v>49.5166528394986-13.6109997716453i</v>
      </c>
      <c r="T404" s="253" t="str">
        <f t="shared" si="359"/>
        <v>16.4530166787154-10.7192872413626i</v>
      </c>
      <c r="U404" s="253" t="str">
        <f t="shared" si="360"/>
        <v>-0.639411407579246-1.13199747971929i</v>
      </c>
      <c r="V404" s="582" t="str">
        <f t="shared" si="337"/>
        <v>6000</v>
      </c>
      <c r="W404" s="584" t="str">
        <f t="shared" si="338"/>
        <v>1+130004.77879002i</v>
      </c>
      <c r="X404" s="585">
        <f t="shared" si="339"/>
        <v>130004.77879386602</v>
      </c>
      <c r="Y404" s="586">
        <f t="shared" si="340"/>
        <v>1.5707886347699627</v>
      </c>
      <c r="Z404" s="273" t="str">
        <f t="shared" si="341"/>
        <v>1+19.4977921496805i</v>
      </c>
      <c r="AA404" s="585">
        <f t="shared" si="342"/>
        <v>19.523419237217198</v>
      </c>
      <c r="AB404" s="586">
        <f t="shared" si="343"/>
        <v>1.5195533676546342</v>
      </c>
      <c r="AC404" s="584" t="str">
        <f t="shared" si="344"/>
        <v>1+0.942629679194761i</v>
      </c>
      <c r="AD404" s="585">
        <f t="shared" si="345"/>
        <v>1.374245506486675</v>
      </c>
      <c r="AE404" s="586">
        <f t="shared" si="346"/>
        <v>0.75587444536437698</v>
      </c>
      <c r="AF404" s="580" t="str">
        <f t="shared" si="361"/>
        <v>0.453452220486865-0.473582748945151i</v>
      </c>
      <c r="AG404" s="270">
        <f t="shared" si="362"/>
        <v>0.65566724515024721</v>
      </c>
      <c r="AH404" s="581">
        <f t="shared" si="363"/>
        <v>-0.80710971247970409</v>
      </c>
      <c r="AI404" s="582" t="str">
        <f t="shared" si="347"/>
        <v>4000</v>
      </c>
      <c r="AJ404" s="584" t="str">
        <f t="shared" si="364"/>
        <v>1+10213.486680784i</v>
      </c>
      <c r="AK404" s="585">
        <f t="shared" si="365"/>
        <v>10213.486729738879</v>
      </c>
      <c r="AL404" s="586">
        <f t="shared" si="366"/>
        <v>1.5706984170381153</v>
      </c>
      <c r="AM404" s="273" t="str">
        <f t="shared" si="367"/>
        <v>1+0.357459522744142i</v>
      </c>
      <c r="AN404" s="585">
        <f t="shared" si="368"/>
        <v>1.0619686014193026</v>
      </c>
      <c r="AO404" s="586">
        <f t="shared" si="369"/>
        <v>0.34330475594783971</v>
      </c>
      <c r="AP404" s="584" t="str">
        <f t="shared" si="370"/>
        <v>1+0.00258613748160125i</v>
      </c>
      <c r="AQ404" s="585">
        <f t="shared" si="371"/>
        <v>1.0000033440479454</v>
      </c>
      <c r="AR404" s="586">
        <f t="shared" si="372"/>
        <v>2.5861317161695908E-3</v>
      </c>
      <c r="AS404" s="580" t="str">
        <f t="shared" si="373"/>
        <v>0.139019717419528-0.391984841838042i</v>
      </c>
      <c r="AT404" s="270">
        <f t="shared" si="374"/>
        <v>0.41590695842002962</v>
      </c>
      <c r="AU404" s="581">
        <f t="shared" si="375"/>
        <v>-1.2299797928064444</v>
      </c>
      <c r="AV404" s="580" t="str">
        <f t="shared" si="376"/>
        <v>-0.0191450438454826-0.079395254237979i</v>
      </c>
      <c r="AW404" s="270">
        <f t="shared" si="377"/>
        <v>-21.758651091937885</v>
      </c>
      <c r="AX404" s="581">
        <f t="shared" si="378"/>
        <v>-103.55725357464263</v>
      </c>
      <c r="AY404" s="299">
        <f t="shared" si="348"/>
        <v>76.44274642535737</v>
      </c>
      <c r="BB404" s="270">
        <f t="shared" si="327"/>
        <v>-47.62007627035743</v>
      </c>
      <c r="BC404" s="270">
        <f t="shared" si="328"/>
        <v>-70.47265101418472</v>
      </c>
      <c r="BD404" s="286"/>
      <c r="BE404" s="270">
        <f t="shared" si="379"/>
        <v>25.861425178419552</v>
      </c>
      <c r="BF404" s="581">
        <f t="shared" si="380"/>
        <v>-33.084602560457938</v>
      </c>
      <c r="BI404" s="286"/>
      <c r="BJ404" s="286"/>
      <c r="BL404" s="253">
        <f t="shared" si="349"/>
        <v>0</v>
      </c>
      <c r="BM404" s="253">
        <f t="shared" si="329"/>
        <v>0</v>
      </c>
      <c r="BN404" s="253">
        <f t="shared" si="350"/>
        <v>0</v>
      </c>
      <c r="BO404" s="253">
        <f t="shared" si="351"/>
        <v>0</v>
      </c>
    </row>
    <row r="405" spans="4:67" ht="13.6" thickBot="1" x14ac:dyDescent="0.25">
      <c r="D405" s="280">
        <v>37154</v>
      </c>
      <c r="E405" s="273" t="str">
        <f t="shared" si="330"/>
        <v>0.420201840425311i</v>
      </c>
      <c r="F405" s="579" t="str">
        <f t="shared" si="352"/>
        <v>0.002-0.0659023950591903i</v>
      </c>
      <c r="G405" s="270" t="str">
        <f t="shared" si="353"/>
        <v>0.002-0.0659023950591903i</v>
      </c>
      <c r="H405" s="271" t="str">
        <f t="shared" si="354"/>
        <v>0.00416071960530299-0.0656995947708398i</v>
      </c>
      <c r="I405" s="271" t="str">
        <f t="shared" si="355"/>
        <v>0.014160719605303-0.0656995947708398i</v>
      </c>
      <c r="J405" s="270" t="str">
        <f t="shared" si="356"/>
        <v>0.00401543452739768-0.0331783092925573i</v>
      </c>
      <c r="K405" s="271" t="str">
        <f t="shared" si="331"/>
        <v>0.96514179652029-0.293273199626822i</v>
      </c>
      <c r="L405" s="580"/>
      <c r="M405" s="580" t="str">
        <f t="shared" si="332"/>
        <v>-0.188711973033146-39.8977478134557i</v>
      </c>
      <c r="N405" s="270" t="str">
        <f t="shared" si="333"/>
        <v>-6.80820064644153-29.9233108600918i</v>
      </c>
      <c r="O405" s="581" t="str">
        <f t="shared" si="334"/>
        <v>-4.7360010220302-14.5065973012402i</v>
      </c>
      <c r="P405" s="582" t="str">
        <f t="shared" si="335"/>
        <v>-1.02014274671864+0.105729491171759i</v>
      </c>
      <c r="Q405" s="583" t="str">
        <f t="shared" si="336"/>
        <v>-0.972782736498335+0.250795464184162i</v>
      </c>
      <c r="R405" s="581" t="str">
        <f t="shared" si="357"/>
        <v>-0.532064637088882-1.72167217373091i</v>
      </c>
      <c r="S405" s="253" t="str">
        <f t="shared" si="358"/>
        <v>49.4866828875565-13.7017261467563i</v>
      </c>
      <c r="T405" s="253" t="str">
        <f t="shared" si="359"/>
        <v>16.4176188226461-10.7784580985711i</v>
      </c>
      <c r="U405" s="253" t="str">
        <f t="shared" si="360"/>
        <v>-0.639831220822826-1.12347704567562i</v>
      </c>
      <c r="V405" s="582" t="str">
        <f t="shared" si="337"/>
        <v>6000</v>
      </c>
      <c r="W405" s="584" t="str">
        <f t="shared" si="338"/>
        <v>1+130749.070884872i</v>
      </c>
      <c r="X405" s="585">
        <f t="shared" si="339"/>
        <v>130749.07088869611</v>
      </c>
      <c r="Y405" s="586">
        <f t="shared" si="340"/>
        <v>1.5707886785569916</v>
      </c>
      <c r="Z405" s="273" t="str">
        <f t="shared" si="341"/>
        <v>1+19.6094192198478i</v>
      </c>
      <c r="AA405" s="585">
        <f t="shared" si="342"/>
        <v>19.634900614460374</v>
      </c>
      <c r="AB405" s="586">
        <f t="shared" si="343"/>
        <v>1.5198445633459827</v>
      </c>
      <c r="AC405" s="584" t="str">
        <f t="shared" si="344"/>
        <v>1+0.948026340956949i</v>
      </c>
      <c r="AD405" s="585">
        <f t="shared" si="345"/>
        <v>1.3779528087522523</v>
      </c>
      <c r="AE405" s="586">
        <f t="shared" si="346"/>
        <v>0.75872432893230202</v>
      </c>
      <c r="AF405" s="580" t="str">
        <f t="shared" si="361"/>
        <v>0.451015526768944-0.47345714460377i</v>
      </c>
      <c r="AG405" s="270">
        <f t="shared" si="362"/>
        <v>0.65389347233553519</v>
      </c>
      <c r="AH405" s="581">
        <f t="shared" si="363"/>
        <v>-0.80966844414331041</v>
      </c>
      <c r="AI405" s="582" t="str">
        <f t="shared" si="347"/>
        <v>4000</v>
      </c>
      <c r="AJ405" s="584" t="str">
        <f t="shared" si="364"/>
        <v>1+10271.9600497488i</v>
      </c>
      <c r="AK405" s="585">
        <f t="shared" si="365"/>
        <v>10271.960098425003</v>
      </c>
      <c r="AL405" s="586">
        <f t="shared" si="366"/>
        <v>1.5706989743916555</v>
      </c>
      <c r="AM405" s="273" t="str">
        <f t="shared" si="367"/>
        <v>1+0.359506019030543i</v>
      </c>
      <c r="AN405" s="585">
        <f t="shared" si="368"/>
        <v>1.0626592011172675</v>
      </c>
      <c r="AO405" s="586">
        <f t="shared" si="369"/>
        <v>0.34511820565455337</v>
      </c>
      <c r="AP405" s="584" t="str">
        <f t="shared" si="370"/>
        <v>1+0.00260094341182683i</v>
      </c>
      <c r="AQ405" s="585">
        <f t="shared" si="371"/>
        <v>1.0000033824475953</v>
      </c>
      <c r="AR405" s="586">
        <f t="shared" si="372"/>
        <v>2.6009375468041911E-3</v>
      </c>
      <c r="AS405" s="580" t="str">
        <f t="shared" si="373"/>
        <v>0.139019271440797-0.389757562903272i</v>
      </c>
      <c r="AT405" s="270">
        <f t="shared" si="374"/>
        <v>0.41380830788207729</v>
      </c>
      <c r="AU405" s="581">
        <f t="shared" si="375"/>
        <v>-1.228181706283906</v>
      </c>
      <c r="AV405" s="580" t="str">
        <f t="shared" si="376"/>
        <v>-0.0191862015283713-0.0789730449310794i</v>
      </c>
      <c r="AW405" s="270">
        <f t="shared" si="377"/>
        <v>-21.801368993340326</v>
      </c>
      <c r="AX405" s="581">
        <f t="shared" si="378"/>
        <v>-103.65523769345651</v>
      </c>
      <c r="AY405" s="299">
        <f t="shared" si="348"/>
        <v>76.344762306543487</v>
      </c>
      <c r="BB405" s="270">
        <f t="shared" si="327"/>
        <v>-47.664015888141151</v>
      </c>
      <c r="BC405" s="270">
        <f t="shared" si="328"/>
        <v>-70.369628245243916</v>
      </c>
      <c r="BD405" s="286"/>
      <c r="BE405" s="270">
        <f t="shared" si="379"/>
        <v>25.862646894800822</v>
      </c>
      <c r="BF405" s="581">
        <f t="shared" si="380"/>
        <v>-33.285609448212604</v>
      </c>
      <c r="BI405" s="286"/>
      <c r="BJ405" s="286"/>
      <c r="BL405" s="253">
        <f t="shared" si="349"/>
        <v>0</v>
      </c>
      <c r="BM405" s="253">
        <f t="shared" si="329"/>
        <v>0</v>
      </c>
      <c r="BN405" s="253">
        <f t="shared" si="350"/>
        <v>0</v>
      </c>
      <c r="BO405" s="253">
        <f t="shared" si="351"/>
        <v>0</v>
      </c>
    </row>
    <row r="406" spans="4:67" ht="13.6" thickBot="1" x14ac:dyDescent="0.25">
      <c r="D406" s="280">
        <v>37370.25</v>
      </c>
      <c r="E406" s="273" t="str">
        <f t="shared" si="330"/>
        <v>0.42264757030613i</v>
      </c>
      <c r="F406" s="579" t="str">
        <f t="shared" si="352"/>
        <v>0.002-0.0655210384203788i</v>
      </c>
      <c r="G406" s="270" t="str">
        <f t="shared" si="353"/>
        <v>0.002-0.0655210384203788i</v>
      </c>
      <c r="H406" s="271" t="str">
        <f t="shared" si="354"/>
        <v>0.00413578878248233-0.0653202276049162i</v>
      </c>
      <c r="I406" s="271" t="str">
        <f t="shared" si="355"/>
        <v>0.0141357887824823-0.0653202276049162i</v>
      </c>
      <c r="J406" s="270" t="str">
        <f t="shared" si="356"/>
        <v>0.0040089459574264-0.0329885608821579i</v>
      </c>
      <c r="K406" s="271" t="str">
        <f t="shared" si="331"/>
        <v>0.964734840406492-0.294980157946769i</v>
      </c>
      <c r="L406" s="580"/>
      <c r="M406" s="580" t="str">
        <f t="shared" si="332"/>
        <v>-0.186939376064551-39.6456398944023i</v>
      </c>
      <c r="N406" s="270" t="str">
        <f t="shared" si="333"/>
        <v>-6.80687119871508-29.7342299208017i</v>
      </c>
      <c r="O406" s="581" t="str">
        <f t="shared" si="334"/>
        <v>-4.73130238622812-14.4105000260691i</v>
      </c>
      <c r="P406" s="582" t="str">
        <f t="shared" si="335"/>
        <v>-1.00817783280126+0.105345964117634i</v>
      </c>
      <c r="Q406" s="583" t="str">
        <f t="shared" si="336"/>
        <v>-0.960864808938978+0.249450964378326i</v>
      </c>
      <c r="R406" s="581" t="str">
        <f t="shared" si="357"/>
        <v>-0.531704201708225-1.7100641131341i</v>
      </c>
      <c r="S406" s="253" t="str">
        <f t="shared" si="358"/>
        <v>49.4558402647126-13.7943388105312i</v>
      </c>
      <c r="T406" s="253" t="str">
        <f t="shared" si="359"/>
        <v>16.381231363638-10.838809988195i</v>
      </c>
      <c r="U406" s="253" t="str">
        <f t="shared" si="360"/>
        <v>-0.640244222478354-1.11485278988626i</v>
      </c>
      <c r="V406" s="582" t="str">
        <f t="shared" si="337"/>
        <v>6000</v>
      </c>
      <c r="W406" s="584" t="str">
        <f t="shared" si="338"/>
        <v>1+131510.078759633i</v>
      </c>
      <c r="X406" s="585">
        <f t="shared" si="339"/>
        <v>131510.07876343498</v>
      </c>
      <c r="Y406" s="586">
        <f t="shared" si="340"/>
        <v>1.5707887228149628</v>
      </c>
      <c r="Z406" s="273" t="str">
        <f t="shared" si="341"/>
        <v>1+19.7235532809528i</v>
      </c>
      <c r="AA406" s="585">
        <f t="shared" si="342"/>
        <v>19.74888741237298</v>
      </c>
      <c r="AB406" s="586">
        <f t="shared" si="343"/>
        <v>1.5201388997200878</v>
      </c>
      <c r="AC406" s="584" t="str">
        <f t="shared" si="344"/>
        <v>1+0.953544204342641i</v>
      </c>
      <c r="AD406" s="585">
        <f t="shared" si="345"/>
        <v>1.3817548804456745</v>
      </c>
      <c r="AE406" s="586">
        <f t="shared" si="346"/>
        <v>0.76162238110783764</v>
      </c>
      <c r="AF406" s="580" t="str">
        <f t="shared" si="361"/>
        <v>0.4485368880135-0.473316787044643i</v>
      </c>
      <c r="AG406" s="270">
        <f t="shared" si="362"/>
        <v>0.65208444300343404</v>
      </c>
      <c r="AH406" s="581">
        <f t="shared" si="363"/>
        <v>-0.81227220420271307</v>
      </c>
      <c r="AI406" s="582" t="str">
        <f t="shared" si="347"/>
        <v>4000</v>
      </c>
      <c r="AJ406" s="584" t="str">
        <f t="shared" si="364"/>
        <v>1+10331.7466504045i</v>
      </c>
      <c r="AK406" s="585">
        <f t="shared" si="365"/>
        <v>10331.746698799026</v>
      </c>
      <c r="AL406" s="586">
        <f t="shared" si="366"/>
        <v>1.5706995377396948</v>
      </c>
      <c r="AM406" s="273" t="str">
        <f t="shared" si="367"/>
        <v>1+0.361598476817467i</v>
      </c>
      <c r="AN406" s="585">
        <f t="shared" si="368"/>
        <v>1.0633689192546076</v>
      </c>
      <c r="AO406" s="586">
        <f t="shared" si="369"/>
        <v>0.34696994128938285</v>
      </c>
      <c r="AP406" s="584" t="str">
        <f t="shared" si="370"/>
        <v>1+0.00261608186294401i</v>
      </c>
      <c r="AQ406" s="585">
        <f t="shared" si="371"/>
        <v>1.0000034219363021</v>
      </c>
      <c r="AR406" s="586">
        <f t="shared" si="372"/>
        <v>2.6160758949146413E-3</v>
      </c>
      <c r="AS406" s="580" t="str">
        <f t="shared" si="373"/>
        <v>0.139018823002808-0.387506353017428i</v>
      </c>
      <c r="AT406" s="270">
        <f t="shared" si="374"/>
        <v>0.41168848268800717</v>
      </c>
      <c r="AU406" s="581">
        <f t="shared" si="375"/>
        <v>-1.2263456723452262</v>
      </c>
      <c r="AV406" s="580" t="str">
        <f t="shared" si="376"/>
        <v>-0.0192280822606468-0.0785462983096802i</v>
      </c>
      <c r="AW406" s="270">
        <f t="shared" si="377"/>
        <v>-21.844727147403628</v>
      </c>
      <c r="AX406" s="581">
        <f t="shared" si="378"/>
        <v>-103.75545442844788</v>
      </c>
      <c r="AY406" s="299">
        <f t="shared" si="348"/>
        <v>76.244545571552123</v>
      </c>
      <c r="BB406" s="270">
        <f t="shared" ref="BB406:BB469" si="381">20*LOG10(IMABS(IMPRODUCT(COMPLEX($B$15,0),AS406)))</f>
        <v>-47.708625651306555</v>
      </c>
      <c r="BC406" s="270">
        <f t="shared" ref="BC406:BC469" si="382">180/PI()*IMARGUMENT(IMPRODUCT(COMPLEX($B$15,0),AS406))</f>
        <v>-70.264431249514772</v>
      </c>
      <c r="BD406" s="286"/>
      <c r="BE406" s="270">
        <f t="shared" si="379"/>
        <v>25.86389850390292</v>
      </c>
      <c r="BF406" s="581">
        <f t="shared" si="380"/>
        <v>-33.491023178933098</v>
      </c>
      <c r="BI406" s="286"/>
      <c r="BJ406" s="286"/>
      <c r="BL406" s="253">
        <f t="shared" si="349"/>
        <v>0</v>
      </c>
      <c r="BM406" s="253">
        <f t="shared" si="329"/>
        <v>0</v>
      </c>
      <c r="BN406" s="253">
        <f t="shared" si="350"/>
        <v>0</v>
      </c>
      <c r="BO406" s="253">
        <f t="shared" si="351"/>
        <v>0</v>
      </c>
    </row>
    <row r="407" spans="4:67" ht="13.6" thickBot="1" x14ac:dyDescent="0.25">
      <c r="D407" s="280">
        <v>37586.5</v>
      </c>
      <c r="E407" s="273" t="str">
        <f t="shared" si="330"/>
        <v>0.42509330018695i</v>
      </c>
      <c r="F407" s="579" t="str">
        <f t="shared" si="352"/>
        <v>0.002-0.065144069972707i</v>
      </c>
      <c r="G407" s="270" t="str">
        <f t="shared" si="353"/>
        <v>0.002-0.065144069972707i</v>
      </c>
      <c r="H407" s="271" t="str">
        <f t="shared" si="354"/>
        <v>0.0041112864243799-0.0649452117956574i</v>
      </c>
      <c r="I407" s="271" t="str">
        <f t="shared" si="355"/>
        <v>0.0141112864243799-0.0649452117956574i</v>
      </c>
      <c r="J407" s="270" t="str">
        <f t="shared" si="356"/>
        <v>0.00400256381946482-0.0328010059159597i</v>
      </c>
      <c r="K407" s="271" t="str">
        <f t="shared" si="331"/>
        <v>0.964325522530996-0.296687116266716i</v>
      </c>
      <c r="L407" s="580"/>
      <c r="M407" s="580" t="str">
        <f t="shared" si="332"/>
        <v>-0.185188045582641-39.3968179082631i</v>
      </c>
      <c r="N407" s="270" t="str">
        <f t="shared" si="333"/>
        <v>-6.80555770085365-29.5476134311973i</v>
      </c>
      <c r="O407" s="581" t="str">
        <f t="shared" si="334"/>
        <v>-4.7266747622017-14.3156305888244i</v>
      </c>
      <c r="P407" s="582" t="str">
        <f t="shared" si="335"/>
        <v>-0.99643112198391+0.104962929935863i</v>
      </c>
      <c r="Q407" s="583" t="str">
        <f t="shared" si="336"/>
        <v>-0.949164374361891+0.248119235824107i</v>
      </c>
      <c r="R407" s="581" t="str">
        <f t="shared" si="357"/>
        <v>-0.531349843717797-1.69860294169615i</v>
      </c>
      <c r="S407" s="253" t="str">
        <f t="shared" si="358"/>
        <v>49.4247961618186-13.8867996219437i</v>
      </c>
      <c r="T407" s="253" t="str">
        <f t="shared" si="359"/>
        <v>16.3446475991174-10.8990121422758i</v>
      </c>
      <c r="U407" s="253" t="str">
        <f t="shared" si="360"/>
        <v>-0.640641124158016-1.10631556070975i</v>
      </c>
      <c r="V407" s="582" t="str">
        <f t="shared" si="337"/>
        <v>6000</v>
      </c>
      <c r="W407" s="584" t="str">
        <f t="shared" si="338"/>
        <v>1+132271.086634394i</v>
      </c>
      <c r="X407" s="585">
        <f t="shared" si="339"/>
        <v>132271.08663817411</v>
      </c>
      <c r="Y407" s="586">
        <f t="shared" si="340"/>
        <v>1.5707887665636668</v>
      </c>
      <c r="Z407" s="273" t="str">
        <f t="shared" si="341"/>
        <v>1+19.8376873420577i</v>
      </c>
      <c r="AA407" s="585">
        <f t="shared" si="342"/>
        <v>19.862875901571662</v>
      </c>
      <c r="AB407" s="586">
        <f t="shared" si="343"/>
        <v>1.5204298578612703</v>
      </c>
      <c r="AC407" s="584" t="str">
        <f t="shared" si="344"/>
        <v>1+0.959062067728333i</v>
      </c>
      <c r="AD407" s="585">
        <f t="shared" si="345"/>
        <v>1.3855684933468086</v>
      </c>
      <c r="AE407" s="586">
        <f t="shared" si="346"/>
        <v>0.76450450428910599</v>
      </c>
      <c r="AF407" s="580" t="str">
        <f t="shared" si="361"/>
        <v>0.446071194733641-0.473164546565098i</v>
      </c>
      <c r="AG407" s="270">
        <f t="shared" si="362"/>
        <v>0.65028009265027686</v>
      </c>
      <c r="AH407" s="581">
        <f t="shared" si="363"/>
        <v>-0.81486341299149967</v>
      </c>
      <c r="AI407" s="582" t="str">
        <f t="shared" si="347"/>
        <v>4000</v>
      </c>
      <c r="AJ407" s="584" t="str">
        <f t="shared" si="364"/>
        <v>1+10391.5332510601i</v>
      </c>
      <c r="AK407" s="585">
        <f t="shared" si="365"/>
        <v>10391.533299176193</v>
      </c>
      <c r="AL407" s="586">
        <f t="shared" si="366"/>
        <v>1.5707000946054062</v>
      </c>
      <c r="AM407" s="273" t="str">
        <f t="shared" si="367"/>
        <v>1+0.363690934604391i</v>
      </c>
      <c r="AN407" s="585">
        <f t="shared" si="368"/>
        <v>1.0640822787329067</v>
      </c>
      <c r="AO407" s="586">
        <f t="shared" si="369"/>
        <v>0.34881920045543691</v>
      </c>
      <c r="AP407" s="584" t="str">
        <f t="shared" si="370"/>
        <v>1+0.00263122031406119i</v>
      </c>
      <c r="AQ407" s="585">
        <f t="shared" si="371"/>
        <v>1.0000034616541791</v>
      </c>
      <c r="AR407" s="586">
        <f t="shared" si="372"/>
        <v>2.6312142418260399E-3</v>
      </c>
      <c r="AS407" s="580" t="str">
        <f t="shared" si="373"/>
        <v>0.139018382030049-0.385281071541551i</v>
      </c>
      <c r="AT407" s="270">
        <f t="shared" si="374"/>
        <v>0.40959445141561474</v>
      </c>
      <c r="AU407" s="581">
        <f t="shared" si="375"/>
        <v>-1.2245121083917954</v>
      </c>
      <c r="AV407" s="580" t="str">
        <f t="shared" si="376"/>
        <v>-0.0192697661283977-0.0781244637470203i</v>
      </c>
      <c r="AW407" s="270">
        <f t="shared" si="377"/>
        <v>-21.887766118666026</v>
      </c>
      <c r="AX407" s="581">
        <f t="shared" si="378"/>
        <v>-103.85570515756777</v>
      </c>
      <c r="AY407" s="299">
        <f t="shared" si="348"/>
        <v>76.144294842432231</v>
      </c>
      <c r="BB407" s="270">
        <f t="shared" si="381"/>
        <v>-47.752918703530376</v>
      </c>
      <c r="BC407" s="270">
        <f t="shared" si="382"/>
        <v>-70.159375773515876</v>
      </c>
      <c r="BD407" s="286"/>
      <c r="BE407" s="270">
        <f t="shared" si="379"/>
        <v>25.865152584864354</v>
      </c>
      <c r="BF407" s="581">
        <f t="shared" si="380"/>
        <v>-33.696329384051914</v>
      </c>
      <c r="BI407" s="286"/>
      <c r="BJ407" s="286"/>
      <c r="BL407" s="253">
        <f t="shared" si="349"/>
        <v>0</v>
      </c>
      <c r="BM407" s="253">
        <f t="shared" si="329"/>
        <v>0</v>
      </c>
      <c r="BN407" s="253">
        <f t="shared" si="350"/>
        <v>0</v>
      </c>
      <c r="BO407" s="253">
        <f t="shared" si="351"/>
        <v>0</v>
      </c>
    </row>
    <row r="408" spans="4:67" ht="13.6" thickBot="1" x14ac:dyDescent="0.25">
      <c r="D408" s="280">
        <v>37802.75</v>
      </c>
      <c r="E408" s="273" t="str">
        <f t="shared" si="330"/>
        <v>0.42753903006777i</v>
      </c>
      <c r="F408" s="579" t="str">
        <f t="shared" si="352"/>
        <v>0.002-0.0647714144084533i</v>
      </c>
      <c r="G408" s="270" t="str">
        <f t="shared" si="353"/>
        <v>0.002-0.0647714144084533i</v>
      </c>
      <c r="H408" s="271" t="str">
        <f t="shared" si="354"/>
        <v>0.00408720277212928-0.0645744729832077i</v>
      </c>
      <c r="I408" s="271" t="str">
        <f t="shared" si="355"/>
        <v>0.0140872027721293-0.0645744729832077i</v>
      </c>
      <c r="J408" s="270" t="str">
        <f t="shared" si="356"/>
        <v>0.00399628565831116-0.0326156067815663i</v>
      </c>
      <c r="K408" s="271" t="str">
        <f t="shared" si="331"/>
        <v>0.963913842893803-0.298394074586662i</v>
      </c>
      <c r="L408" s="580"/>
      <c r="M408" s="580" t="str">
        <f t="shared" si="332"/>
        <v>-0.18345778803334-39.1512160856986i</v>
      </c>
      <c r="N408" s="270" t="str">
        <f t="shared" si="333"/>
        <v>-6.80426000769168-29.363412064274i</v>
      </c>
      <c r="O408" s="581" t="str">
        <f t="shared" si="334"/>
        <v>-4.72211647423782-14.221964402098i</v>
      </c>
      <c r="P408" s="582" t="str">
        <f t="shared" si="335"/>
        <v>-0.984897268337619+0.10458048633887i</v>
      </c>
      <c r="Q408" s="583" t="str">
        <f t="shared" si="336"/>
        <v>-0.937676103595241+0.246800130359851i</v>
      </c>
      <c r="R408" s="581" t="str">
        <f t="shared" si="357"/>
        <v>-0.531001428855074-1.68728571684334i</v>
      </c>
      <c r="S408" s="253" t="str">
        <f t="shared" si="358"/>
        <v>49.3935508956321-13.9791096812889i</v>
      </c>
      <c r="T408" s="253" t="str">
        <f t="shared" si="359"/>
        <v>16.307868003669-10.9590643196118i</v>
      </c>
      <c r="U408" s="253" t="str">
        <f t="shared" si="360"/>
        <v>-0.641022239515892-1.0978638998837i</v>
      </c>
      <c r="V408" s="582" t="str">
        <f t="shared" si="337"/>
        <v>6000</v>
      </c>
      <c r="W408" s="584" t="str">
        <f t="shared" si="338"/>
        <v>1+133032.094509154i</v>
      </c>
      <c r="X408" s="585">
        <f t="shared" si="339"/>
        <v>133032.0945129125</v>
      </c>
      <c r="Y408" s="586">
        <f t="shared" si="340"/>
        <v>1.5707888098118432</v>
      </c>
      <c r="Z408" s="273" t="str">
        <f t="shared" si="341"/>
        <v>1+19.9518214031626i</v>
      </c>
      <c r="AA408" s="585">
        <f t="shared" si="342"/>
        <v>19.97686605310496</v>
      </c>
      <c r="AB408" s="586">
        <f t="shared" si="343"/>
        <v>1.5207174955495248</v>
      </c>
      <c r="AC408" s="584" t="str">
        <f t="shared" si="344"/>
        <v>1+0.964579931114021i</v>
      </c>
      <c r="AD408" s="585">
        <f t="shared" si="345"/>
        <v>1.389393552420598</v>
      </c>
      <c r="AE408" s="586">
        <f t="shared" si="346"/>
        <v>0.76737078195706065</v>
      </c>
      <c r="AF408" s="580" t="str">
        <f t="shared" si="361"/>
        <v>0.443618467947262-0.473000605301962i</v>
      </c>
      <c r="AG408" s="270">
        <f t="shared" si="362"/>
        <v>0.64848046826400119</v>
      </c>
      <c r="AH408" s="581">
        <f t="shared" si="363"/>
        <v>-0.81744209621938058</v>
      </c>
      <c r="AI408" s="582" t="str">
        <f t="shared" si="347"/>
        <v>4000</v>
      </c>
      <c r="AJ408" s="584" t="str">
        <f t="shared" si="364"/>
        <v>1+10451.3198517156i</v>
      </c>
      <c r="AK408" s="585">
        <f t="shared" si="365"/>
        <v>10451.319899556445</v>
      </c>
      <c r="AL408" s="586">
        <f t="shared" si="366"/>
        <v>1.5707006451000354</v>
      </c>
      <c r="AM408" s="273" t="str">
        <f t="shared" si="367"/>
        <v>1+0.365783392391314i</v>
      </c>
      <c r="AN408" s="585">
        <f t="shared" si="368"/>
        <v>1.0647992722336441</v>
      </c>
      <c r="AO408" s="586">
        <f t="shared" si="369"/>
        <v>0.35066597549472994</v>
      </c>
      <c r="AP408" s="584" t="str">
        <f t="shared" si="370"/>
        <v>1+0.00264635876517836i</v>
      </c>
      <c r="AQ408" s="585">
        <f t="shared" si="371"/>
        <v>1.0000035016012265</v>
      </c>
      <c r="AR408" s="586">
        <f t="shared" si="372"/>
        <v>2.6463525875314369E-3</v>
      </c>
      <c r="AS408" s="580" t="str">
        <f t="shared" si="373"/>
        <v>0.139017948350736-0.383081273506532i</v>
      </c>
      <c r="AT408" s="270">
        <f t="shared" si="374"/>
        <v>0.40752576860247042</v>
      </c>
      <c r="AU408" s="581">
        <f t="shared" si="375"/>
        <v>-1.2226810221928357</v>
      </c>
      <c r="AV408" s="580" t="str">
        <f t="shared" si="376"/>
        <v>-0.0193112596415221-0.0777074548057813i</v>
      </c>
      <c r="AW408" s="270">
        <f t="shared" si="377"/>
        <v>-21.930489369979497</v>
      </c>
      <c r="AX408" s="581">
        <f t="shared" si="378"/>
        <v>-103.95599146875776</v>
      </c>
      <c r="AY408" s="299">
        <f t="shared" si="348"/>
        <v>76.044008531242241</v>
      </c>
      <c r="BB408" s="270">
        <f t="shared" si="381"/>
        <v>-47.796898496368044</v>
      </c>
      <c r="BC408" s="270">
        <f t="shared" si="382"/>
        <v>-70.054462262390828</v>
      </c>
      <c r="BD408" s="286"/>
      <c r="BE408" s="270">
        <f t="shared" si="379"/>
        <v>25.866409126388547</v>
      </c>
      <c r="BF408" s="581">
        <f t="shared" si="380"/>
        <v>-33.901529206366909</v>
      </c>
      <c r="BI408" s="286"/>
      <c r="BJ408" s="286"/>
      <c r="BL408" s="253">
        <f t="shared" si="349"/>
        <v>0</v>
      </c>
      <c r="BM408" s="253">
        <f t="shared" si="329"/>
        <v>0</v>
      </c>
      <c r="BN408" s="253">
        <f t="shared" si="350"/>
        <v>0</v>
      </c>
      <c r="BO408" s="253">
        <f t="shared" si="351"/>
        <v>0</v>
      </c>
    </row>
    <row r="409" spans="4:67" ht="13.6" thickBot="1" x14ac:dyDescent="0.25">
      <c r="D409" s="280">
        <v>38019</v>
      </c>
      <c r="E409" s="273" t="str">
        <f t="shared" si="330"/>
        <v>0.429984759948589i</v>
      </c>
      <c r="F409" s="579" t="str">
        <f t="shared" si="352"/>
        <v>0.002-0.0644029981332798i</v>
      </c>
      <c r="G409" s="270" t="str">
        <f t="shared" si="353"/>
        <v>0.002-0.0644029981332798i</v>
      </c>
      <c r="H409" s="271" t="str">
        <f t="shared" si="354"/>
        <v>0.00406352834303428-0.0642079384906435i</v>
      </c>
      <c r="I409" s="271" t="str">
        <f t="shared" si="355"/>
        <v>0.0140635283430343-0.0642079384906435i</v>
      </c>
      <c r="J409" s="270" t="str">
        <f t="shared" si="356"/>
        <v>0.00399010908838733-0.0324323267211616i</v>
      </c>
      <c r="K409" s="271" t="str">
        <f t="shared" si="331"/>
        <v>0.963499801494912-0.300101032906609i</v>
      </c>
      <c r="L409" s="580"/>
      <c r="M409" s="580" t="str">
        <f t="shared" si="332"/>
        <v>-0.181748404217807-38.9087704410859i</v>
      </c>
      <c r="N409" s="270" t="str">
        <f t="shared" si="333"/>
        <v>-6.80297796983002-29.1815778308144i</v>
      </c>
      <c r="O409" s="581" t="str">
        <f t="shared" si="334"/>
        <v>-4.71762589399721-14.1294775463573i</v>
      </c>
      <c r="P409" s="582" t="str">
        <f t="shared" si="335"/>
        <v>-0.973571090673496+0.104198725278177i</v>
      </c>
      <c r="Q409" s="583" t="str">
        <f t="shared" si="336"/>
        <v>-0.926394831733528+0.245493500741751i</v>
      </c>
      <c r="R409" s="581" t="str">
        <f t="shared" si="357"/>
        <v>-0.530658826475963-1.67610957587999i</v>
      </c>
      <c r="S409" s="253" t="str">
        <f t="shared" si="358"/>
        <v>49.3621047744184-14.0712700525182i</v>
      </c>
      <c r="T409" s="253" t="str">
        <f t="shared" si="359"/>
        <v>16.2708930518397-11.0189662694067i</v>
      </c>
      <c r="U409" s="253" t="str">
        <f t="shared" si="360"/>
        <v>-0.641387873373913-1.08949638200703i</v>
      </c>
      <c r="V409" s="582" t="str">
        <f t="shared" si="337"/>
        <v>6000</v>
      </c>
      <c r="W409" s="584" t="str">
        <f t="shared" si="338"/>
        <v>1+133793.102383915i</v>
      </c>
      <c r="X409" s="585">
        <f t="shared" si="339"/>
        <v>133793.10238765209</v>
      </c>
      <c r="Y409" s="586">
        <f t="shared" si="340"/>
        <v>1.5707888525680331</v>
      </c>
      <c r="Z409" s="273" t="str">
        <f t="shared" si="341"/>
        <v>1+20.0659554642675i</v>
      </c>
      <c r="AA409" s="585">
        <f t="shared" si="342"/>
        <v>20.090857838677938</v>
      </c>
      <c r="AB409" s="586">
        <f t="shared" si="343"/>
        <v>1.5210018692557405</v>
      </c>
      <c r="AC409" s="584" t="str">
        <f t="shared" si="344"/>
        <v>1+0.970097794499713i</v>
      </c>
      <c r="AD409" s="585">
        <f t="shared" si="345"/>
        <v>1.3932299633919762</v>
      </c>
      <c r="AE409" s="586">
        <f t="shared" si="346"/>
        <v>0.77022129771871795</v>
      </c>
      <c r="AF409" s="580" t="str">
        <f t="shared" si="361"/>
        <v>0.441178725773248-0.472825144236509i</v>
      </c>
      <c r="AG409" s="270">
        <f t="shared" si="362"/>
        <v>0.64668561534735125</v>
      </c>
      <c r="AH409" s="581">
        <f t="shared" si="363"/>
        <v>-0.8200082810310112</v>
      </c>
      <c r="AI409" s="582" t="str">
        <f t="shared" si="347"/>
        <v>4000</v>
      </c>
      <c r="AJ409" s="584" t="str">
        <f t="shared" si="364"/>
        <v>1+10511.1064523713i</v>
      </c>
      <c r="AK409" s="585">
        <f t="shared" si="365"/>
        <v>10511.10649994003</v>
      </c>
      <c r="AL409" s="586">
        <f t="shared" si="366"/>
        <v>1.570701189332298</v>
      </c>
      <c r="AM409" s="273" t="str">
        <f t="shared" si="367"/>
        <v>1+0.367875850178238i</v>
      </c>
      <c r="AN409" s="585">
        <f t="shared" si="368"/>
        <v>1.0655198924207663</v>
      </c>
      <c r="AO409" s="586">
        <f t="shared" si="369"/>
        <v>0.35251025883761727</v>
      </c>
      <c r="AP409" s="584" t="str">
        <f t="shared" si="370"/>
        <v>1+0.00266149721629554i</v>
      </c>
      <c r="AQ409" s="585">
        <f t="shared" si="371"/>
        <v>1.0000035417774442</v>
      </c>
      <c r="AR409" s="586">
        <f t="shared" si="372"/>
        <v>2.6614909320239149E-3</v>
      </c>
      <c r="AS409" s="580" t="str">
        <f t="shared" si="373"/>
        <v>0.139017521797955-0.380906524067103i</v>
      </c>
      <c r="AT409" s="270">
        <f t="shared" si="374"/>
        <v>0.40548199891453557</v>
      </c>
      <c r="AU409" s="581">
        <f t="shared" si="375"/>
        <v>-1.2208524214267049</v>
      </c>
      <c r="AV409" s="580" t="str">
        <f t="shared" si="376"/>
        <v>-0.0193525691098604-0.0772951869939202i</v>
      </c>
      <c r="AW409" s="270">
        <f t="shared" si="377"/>
        <v>-21.972900308372083</v>
      </c>
      <c r="AX409" s="581">
        <f t="shared" si="378"/>
        <v>-104.0563149154242</v>
      </c>
      <c r="AY409" s="299">
        <f t="shared" si="348"/>
        <v>75.943685084575804</v>
      </c>
      <c r="BB409" s="270">
        <f t="shared" si="381"/>
        <v>-47.840568424401269</v>
      </c>
      <c r="BC409" s="270">
        <f t="shared" si="382"/>
        <v>-69.949691156077151</v>
      </c>
      <c r="BD409" s="286"/>
      <c r="BE409" s="270">
        <f t="shared" si="379"/>
        <v>25.867668116029179</v>
      </c>
      <c r="BF409" s="581">
        <f t="shared" si="380"/>
        <v>-34.106623759347066</v>
      </c>
      <c r="BI409" s="286"/>
      <c r="BJ409" s="286"/>
      <c r="BL409" s="253">
        <f t="shared" si="349"/>
        <v>0</v>
      </c>
      <c r="BM409" s="253">
        <f t="shared" si="329"/>
        <v>0</v>
      </c>
      <c r="BN409" s="253">
        <f t="shared" si="350"/>
        <v>0</v>
      </c>
      <c r="BO409" s="253">
        <f t="shared" si="351"/>
        <v>0</v>
      </c>
    </row>
    <row r="410" spans="4:67" ht="13.6" thickBot="1" x14ac:dyDescent="0.25">
      <c r="D410" s="280">
        <v>38240.5</v>
      </c>
      <c r="E410" s="273" t="str">
        <f t="shared" si="330"/>
        <v>0.432489865930562i</v>
      </c>
      <c r="F410" s="579" t="str">
        <f t="shared" si="352"/>
        <v>0.002-0.064029957401947i</v>
      </c>
      <c r="G410" s="270" t="str">
        <f t="shared" si="353"/>
        <v>0.002-0.064029957401947i</v>
      </c>
      <c r="H410" s="271" t="str">
        <f t="shared" si="354"/>
        <v>0.00403969377527165-0.0638367899018713i</v>
      </c>
      <c r="I410" s="271" t="str">
        <f t="shared" si="355"/>
        <v>0.0140396937752717-0.0638367899018713i</v>
      </c>
      <c r="J410" s="270" t="str">
        <f t="shared" si="356"/>
        <v>0.00398388546533833-0.0322467564115472i</v>
      </c>
      <c r="K410" s="271" t="str">
        <f t="shared" si="331"/>
        <v>0.963073259759854-0.301849431833167i</v>
      </c>
      <c r="L410" s="580"/>
      <c r="M410" s="580" t="str">
        <f t="shared" si="332"/>
        <v>-0.180018947547553-38.6636458164473i</v>
      </c>
      <c r="N410" s="270" t="str">
        <f t="shared" si="333"/>
        <v>-6.80168087732733-28.9977343623355i</v>
      </c>
      <c r="O410" s="581" t="str">
        <f t="shared" si="334"/>
        <v>-4.71309483358533-14.0359436499864i</v>
      </c>
      <c r="P410" s="582" t="str">
        <f t="shared" si="335"/>
        <v>-0.962179994056039+0.103808493986403i</v>
      </c>
      <c r="Q410" s="583" t="str">
        <f t="shared" si="336"/>
        <v>-0.915049045720186+0.244167930486268i</v>
      </c>
      <c r="R410" s="581" t="str">
        <f t="shared" si="357"/>
        <v>-0.530313799596389-1.66480545913389i</v>
      </c>
      <c r="S410" s="253" t="str">
        <f t="shared" si="358"/>
        <v>49.3296873063577-14.1655137346091i</v>
      </c>
      <c r="T410" s="253" t="str">
        <f t="shared" si="359"/>
        <v>16.2328184101493-11.0801664717788i</v>
      </c>
      <c r="U410" s="253" t="str">
        <f t="shared" si="360"/>
        <v>-0.641746643650106-1.08101149788895i</v>
      </c>
      <c r="V410" s="582" t="str">
        <f t="shared" si="337"/>
        <v>6000</v>
      </c>
      <c r="W410" s="584" t="str">
        <f t="shared" si="338"/>
        <v>1+134572.585594363i</v>
      </c>
      <c r="X410" s="585">
        <f t="shared" si="339"/>
        <v>134572.58559807847</v>
      </c>
      <c r="Y410" s="586">
        <f t="shared" si="340"/>
        <v>1.5707888958609098</v>
      </c>
      <c r="Z410" s="273" t="str">
        <f t="shared" si="341"/>
        <v>1+20.1828604100929i</v>
      </c>
      <c r="AA410" s="585">
        <f t="shared" si="342"/>
        <v>20.207618720009922</v>
      </c>
      <c r="AB410" s="586">
        <f t="shared" si="343"/>
        <v>1.521289820706796</v>
      </c>
      <c r="AC410" s="584" t="str">
        <f t="shared" si="344"/>
        <v>1+0.975749617574535i</v>
      </c>
      <c r="AD410" s="585">
        <f t="shared" si="345"/>
        <v>1.3971711835694478</v>
      </c>
      <c r="AE410" s="586">
        <f t="shared" si="346"/>
        <v>0.77312476370419458</v>
      </c>
      <c r="AF410" s="580" t="str">
        <f t="shared" si="361"/>
        <v>0.438693230118542-0.472633668602161i</v>
      </c>
      <c r="AG410" s="270">
        <f t="shared" si="362"/>
        <v>0.64485218061830063</v>
      </c>
      <c r="AH410" s="581">
        <f t="shared" si="363"/>
        <v>-0.82262383885830659</v>
      </c>
      <c r="AI410" s="582" t="str">
        <f t="shared" si="347"/>
        <v>4000</v>
      </c>
      <c r="AJ410" s="584" t="str">
        <f t="shared" si="364"/>
        <v>1+10572.3445196324i</v>
      </c>
      <c r="AK410" s="585">
        <f t="shared" si="365"/>
        <v>10572.3445669256</v>
      </c>
      <c r="AL410" s="586">
        <f t="shared" si="366"/>
        <v>1.5707017403959043</v>
      </c>
      <c r="AM410" s="273" t="str">
        <f t="shared" si="367"/>
        <v>1+0.37001910751837i</v>
      </c>
      <c r="AN410" s="585">
        <f t="shared" si="368"/>
        <v>1.06626175957346</v>
      </c>
      <c r="AO410" s="586">
        <f t="shared" si="369"/>
        <v>0.35439672570233605</v>
      </c>
      <c r="AP410" s="584" t="str">
        <f t="shared" si="370"/>
        <v>1+0.00267700319050342i</v>
      </c>
      <c r="AQ410" s="585">
        <f t="shared" si="371"/>
        <v>1.0000035831666214</v>
      </c>
      <c r="AR410" s="586">
        <f t="shared" si="372"/>
        <v>2.676996795753808E-3</v>
      </c>
      <c r="AS410" s="580" t="str">
        <f t="shared" si="373"/>
        <v>0.139017092108223-0.378704501279308i</v>
      </c>
      <c r="AT410" s="270">
        <f t="shared" si="374"/>
        <v>0.40341399478381451</v>
      </c>
      <c r="AU410" s="581">
        <f t="shared" si="375"/>
        <v>-1.2189820114893228</v>
      </c>
      <c r="AV410" s="580" t="str">
        <f t="shared" si="376"/>
        <v>-0.0193946970568692-0.0768777392335488i</v>
      </c>
      <c r="AW410" s="270">
        <f t="shared" si="377"/>
        <v>-22.016020601595837</v>
      </c>
      <c r="AX410" s="581">
        <f t="shared" si="378"/>
        <v>-104.1591140470038</v>
      </c>
      <c r="AY410" s="299">
        <f t="shared" si="348"/>
        <v>75.840885952996203</v>
      </c>
      <c r="BB410" s="270">
        <f t="shared" si="381"/>
        <v>-47.884980796140731</v>
      </c>
      <c r="BC410" s="270">
        <f t="shared" si="382"/>
        <v>-69.842524560705826</v>
      </c>
      <c r="BD410" s="286"/>
      <c r="BE410" s="270">
        <f t="shared" si="379"/>
        <v>25.868960194544893</v>
      </c>
      <c r="BF410" s="581">
        <f t="shared" si="380"/>
        <v>-34.316589486297964</v>
      </c>
      <c r="BI410" s="286"/>
      <c r="BJ410" s="286"/>
      <c r="BL410" s="253">
        <f t="shared" si="349"/>
        <v>0</v>
      </c>
      <c r="BM410" s="253">
        <f t="shared" ref="BM410:BM473" si="383">IF(BL410&gt;0,AY410,0)</f>
        <v>0</v>
      </c>
      <c r="BN410" s="253">
        <f t="shared" si="350"/>
        <v>0</v>
      </c>
      <c r="BO410" s="253">
        <f t="shared" si="351"/>
        <v>0</v>
      </c>
    </row>
    <row r="411" spans="4:67" ht="13.6" thickBot="1" x14ac:dyDescent="0.25">
      <c r="D411" s="280">
        <v>38462</v>
      </c>
      <c r="E411" s="273" t="str">
        <f t="shared" si="330"/>
        <v>0.434994971912534i</v>
      </c>
      <c r="F411" s="579" t="str">
        <f t="shared" si="352"/>
        <v>0.002-0.0636612133021984i</v>
      </c>
      <c r="G411" s="270" t="str">
        <f t="shared" si="353"/>
        <v>0.002-0.0636612133021984i</v>
      </c>
      <c r="H411" s="271" t="str">
        <f t="shared" si="354"/>
        <v>0.00401626925090185-0.0634699031123555i</v>
      </c>
      <c r="I411" s="271" t="str">
        <f t="shared" si="355"/>
        <v>0.0140162692509018-0.0634699031123555i</v>
      </c>
      <c r="J411" s="270" t="str">
        <f t="shared" si="356"/>
        <v>0.00397776357357734-0.032063333896342i</v>
      </c>
      <c r="K411" s="271" t="str">
        <f t="shared" si="331"/>
        <v>0.962644240195955-0.303597830759725i</v>
      </c>
      <c r="L411" s="580"/>
      <c r="M411" s="580" t="str">
        <f t="shared" si="332"/>
        <v>-0.178310952152422-38.4217020627843i</v>
      </c>
      <c r="N411" s="270" t="str">
        <f t="shared" si="333"/>
        <v>-6.80039988078099-28.8162765470882i</v>
      </c>
      <c r="O411" s="581" t="str">
        <f t="shared" si="334"/>
        <v>-4.70863149572014-13.9435982925044i</v>
      </c>
      <c r="P411" s="582" t="str">
        <f t="shared" si="335"/>
        <v>-0.950996279510148+0.103419156830987i</v>
      </c>
      <c r="Q411" s="583" t="str">
        <f t="shared" si="336"/>
        <v>-0.903909964552949+0.24285513975603i</v>
      </c>
      <c r="R411" s="581" t="str">
        <f t="shared" si="357"/>
        <v>-0.529974604545935-1.65364352523609i</v>
      </c>
      <c r="S411" s="253" t="str">
        <f t="shared" si="358"/>
        <v>49.2970597411788-14.2596025191099i</v>
      </c>
      <c r="T411" s="253" t="str">
        <f t="shared" si="359"/>
        <v>16.1945398195513-11.1412085015541i</v>
      </c>
      <c r="U411" s="253" t="str">
        <f t="shared" si="360"/>
        <v>-0.642089791838418-1.07261196641878i</v>
      </c>
      <c r="V411" s="582" t="str">
        <f t="shared" si="337"/>
        <v>6000</v>
      </c>
      <c r="W411" s="584" t="str">
        <f t="shared" si="338"/>
        <v>1+135352.068804811i</v>
      </c>
      <c r="X411" s="585">
        <f t="shared" si="339"/>
        <v>135352.06880850508</v>
      </c>
      <c r="Y411" s="586">
        <f t="shared" si="340"/>
        <v>1.5707889386551452</v>
      </c>
      <c r="Z411" s="273" t="str">
        <f t="shared" si="341"/>
        <v>1+20.2997653559183i</v>
      </c>
      <c r="AA411" s="585">
        <f t="shared" si="342"/>
        <v>20.324381257626044</v>
      </c>
      <c r="AB411" s="586">
        <f t="shared" si="343"/>
        <v>1.5215744636483173</v>
      </c>
      <c r="AC411" s="584" t="str">
        <f t="shared" si="344"/>
        <v>1+0.981401440649357i</v>
      </c>
      <c r="AD411" s="585">
        <f t="shared" si="345"/>
        <v>1.4011241157401557</v>
      </c>
      <c r="AE411" s="586">
        <f t="shared" si="346"/>
        <v>0.77601187106274172</v>
      </c>
      <c r="AF411" s="580" t="str">
        <f t="shared" si="361"/>
        <v>0.43622138666876-0.472430487497516i</v>
      </c>
      <c r="AG411" s="270">
        <f t="shared" si="362"/>
        <v>0.64302384380702127</v>
      </c>
      <c r="AH411" s="581">
        <f t="shared" si="363"/>
        <v>-0.82522634606956735</v>
      </c>
      <c r="AI411" s="582" t="str">
        <f t="shared" si="347"/>
        <v>4000</v>
      </c>
      <c r="AJ411" s="584" t="str">
        <f t="shared" si="364"/>
        <v>1+10633.5825868935i</v>
      </c>
      <c r="AK411" s="585">
        <f t="shared" si="365"/>
        <v>10633.582633914342</v>
      </c>
      <c r="AL411" s="586">
        <f t="shared" si="366"/>
        <v>1.5707022851124364</v>
      </c>
      <c r="AM411" s="273" t="str">
        <f t="shared" si="367"/>
        <v>1+0.372162364858501i</v>
      </c>
      <c r="AN411" s="585">
        <f t="shared" si="368"/>
        <v>1.0670074160084699</v>
      </c>
      <c r="AO411" s="586">
        <f t="shared" si="369"/>
        <v>0.35628056262536983</v>
      </c>
      <c r="AP411" s="584" t="str">
        <f t="shared" si="370"/>
        <v>1+0.0026925091647113i</v>
      </c>
      <c r="AQ411" s="585">
        <f t="shared" si="371"/>
        <v>1.0000036247962314</v>
      </c>
      <c r="AR411" s="586">
        <f t="shared" si="372"/>
        <v>2.6925026581964273E-3</v>
      </c>
      <c r="AS411" s="580" t="str">
        <f t="shared" si="373"/>
        <v>0.139016669555735-0.376527865905523i</v>
      </c>
      <c r="AT411" s="270">
        <f t="shared" si="374"/>
        <v>0.40137123491567744</v>
      </c>
      <c r="AU411" s="581">
        <f t="shared" si="375"/>
        <v>-1.2171142251452622</v>
      </c>
      <c r="AV411" s="580" t="str">
        <f t="shared" si="376"/>
        <v>-0.0194366446999688-0.0764650921828976i</v>
      </c>
      <c r="AW411" s="270">
        <f t="shared" si="377"/>
        <v>-22.058820295075009</v>
      </c>
      <c r="AX411" s="581">
        <f t="shared" si="378"/>
        <v>-104.26195533063124</v>
      </c>
      <c r="AY411" s="299">
        <f t="shared" si="348"/>
        <v>75.738044669368762</v>
      </c>
      <c r="BB411" s="270">
        <f t="shared" si="381"/>
        <v>-47.929075106578686</v>
      </c>
      <c r="BC411" s="270">
        <f t="shared" si="382"/>
        <v>-69.735508286158975</v>
      </c>
      <c r="BD411" s="286"/>
      <c r="BE411" s="270">
        <f t="shared" si="379"/>
        <v>25.870254811503667</v>
      </c>
      <c r="BF411" s="581">
        <f t="shared" si="380"/>
        <v>-34.52644704447227</v>
      </c>
      <c r="BI411" s="286"/>
      <c r="BJ411" s="286"/>
      <c r="BL411" s="253">
        <f t="shared" si="349"/>
        <v>0</v>
      </c>
      <c r="BM411" s="253">
        <f t="shared" si="383"/>
        <v>0</v>
      </c>
      <c r="BN411" s="253">
        <f t="shared" si="350"/>
        <v>0</v>
      </c>
      <c r="BO411" s="253">
        <f t="shared" si="351"/>
        <v>0</v>
      </c>
    </row>
    <row r="412" spans="4:67" ht="13.6" thickBot="1" x14ac:dyDescent="0.25">
      <c r="D412" s="280">
        <v>38683.5</v>
      </c>
      <c r="E412" s="273" t="str">
        <f t="shared" si="330"/>
        <v>0.437500077894507i</v>
      </c>
      <c r="F412" s="579" t="str">
        <f t="shared" si="352"/>
        <v>0.002-0.0632966920270699i</v>
      </c>
      <c r="G412" s="270" t="str">
        <f t="shared" si="353"/>
        <v>0.002-0.0632966920270699i</v>
      </c>
      <c r="H412" s="271" t="str">
        <f t="shared" si="354"/>
        <v>0.00399324542098254-0.0631072052090608i</v>
      </c>
      <c r="I412" s="271" t="str">
        <f t="shared" si="355"/>
        <v>0.0139932454209825-0.0631072052090608i</v>
      </c>
      <c r="J412" s="270" t="str">
        <f t="shared" si="356"/>
        <v>0.0039717410615979-0.0318820223080897i</v>
      </c>
      <c r="K412" s="271" t="str">
        <f t="shared" si="331"/>
        <v>0.962212742803212-0.305346229686283i</v>
      </c>
      <c r="L412" s="580"/>
      <c r="M412" s="580" t="str">
        <f t="shared" si="332"/>
        <v>-0.176624189861882-38.1828758490771i</v>
      </c>
      <c r="N412" s="270" t="str">
        <f t="shared" si="333"/>
        <v>-6.79913480906308-28.6371568868078i</v>
      </c>
      <c r="O412" s="581" t="str">
        <f t="shared" si="334"/>
        <v>-4.70423427498623-13.8524178021557i</v>
      </c>
      <c r="P412" s="582" t="str">
        <f t="shared" si="335"/>
        <v>-0.940014877609966+0.103030795763503i</v>
      </c>
      <c r="Q412" s="583" t="str">
        <f t="shared" si="336"/>
        <v>-0.892972534860105+0.241554973785058i</v>
      </c>
      <c r="R412" s="581" t="str">
        <f t="shared" si="357"/>
        <v>-0.529641112011354-1.64262094099053i</v>
      </c>
      <c r="S412" s="253" t="str">
        <f t="shared" si="358"/>
        <v>49.2642223845665-14.3535374369985i</v>
      </c>
      <c r="T412" s="253" t="str">
        <f t="shared" si="359"/>
        <v>16.1560577905143-11.2020920598084i</v>
      </c>
      <c r="U412" s="253" t="str">
        <f t="shared" si="360"/>
        <v>-0.642417618596018-1.06429635717868i</v>
      </c>
      <c r="V412" s="582" t="str">
        <f t="shared" si="337"/>
        <v>6000</v>
      </c>
      <c r="W412" s="584" t="str">
        <f t="shared" si="338"/>
        <v>1+136131.55201526i</v>
      </c>
      <c r="X412" s="585">
        <f t="shared" si="339"/>
        <v>136131.55201893291</v>
      </c>
      <c r="Y412" s="586">
        <f t="shared" si="340"/>
        <v>1.5707889809593047</v>
      </c>
      <c r="Z412" s="273" t="str">
        <f t="shared" si="341"/>
        <v>1+20.4166703017437i</v>
      </c>
      <c r="AA412" s="585">
        <f t="shared" si="342"/>
        <v>20.441145423143567</v>
      </c>
      <c r="AB412" s="586">
        <f t="shared" si="343"/>
        <v>1.5218558547305081</v>
      </c>
      <c r="AC412" s="584" t="str">
        <f t="shared" si="344"/>
        <v>1+0.987053263724182i</v>
      </c>
      <c r="AD412" s="585">
        <f t="shared" si="345"/>
        <v>1.4050886610561484</v>
      </c>
      <c r="AE412" s="586">
        <f t="shared" si="346"/>
        <v>0.77888270993153408</v>
      </c>
      <c r="AF412" s="580" t="str">
        <f t="shared" si="361"/>
        <v>0.433763205912893-0.472215791369448i</v>
      </c>
      <c r="AG412" s="270">
        <f t="shared" si="362"/>
        <v>0.6412006491126665</v>
      </c>
      <c r="AH412" s="581">
        <f t="shared" si="363"/>
        <v>-0.82781583616033183</v>
      </c>
      <c r="AI412" s="582" t="str">
        <f t="shared" si="347"/>
        <v>4000</v>
      </c>
      <c r="AJ412" s="584" t="str">
        <f t="shared" si="364"/>
        <v>1+10694.8206541546i</v>
      </c>
      <c r="AK412" s="585">
        <f t="shared" si="365"/>
        <v>10694.820700906203</v>
      </c>
      <c r="AL412" s="586">
        <f t="shared" si="366"/>
        <v>1.5707028235909231</v>
      </c>
      <c r="AM412" s="273" t="str">
        <f t="shared" si="367"/>
        <v>1+0.374305622198635i</v>
      </c>
      <c r="AN412" s="585">
        <f t="shared" si="368"/>
        <v>1.0677568537871847</v>
      </c>
      <c r="AO412" s="586">
        <f t="shared" si="369"/>
        <v>0.3581617617596643</v>
      </c>
      <c r="AP412" s="584" t="str">
        <f t="shared" si="370"/>
        <v>1+0.00270801513891919i</v>
      </c>
      <c r="AQ412" s="585">
        <f t="shared" si="371"/>
        <v>1.0000036666662742</v>
      </c>
      <c r="AR412" s="586">
        <f t="shared" si="372"/>
        <v>2.7080085193443276E-3</v>
      </c>
      <c r="AS412" s="580" t="str">
        <f t="shared" si="373"/>
        <v>0.139016253975966-0.374376181844147i</v>
      </c>
      <c r="AT412" s="270">
        <f t="shared" si="374"/>
        <v>0.39935328269805437</v>
      </c>
      <c r="AU412" s="581">
        <f t="shared" si="375"/>
        <v>-1.2152490703506018</v>
      </c>
      <c r="AV412" s="580" t="str">
        <f t="shared" si="376"/>
        <v>-0.0194784182096118-0.0760571610411461i</v>
      </c>
      <c r="AW412" s="270">
        <f t="shared" si="377"/>
        <v>-22.101302876021023</v>
      </c>
      <c r="AX412" s="581">
        <f t="shared" si="378"/>
        <v>-104.36484032830531</v>
      </c>
      <c r="AY412" s="299">
        <f t="shared" si="348"/>
        <v>75.635159671694694</v>
      </c>
      <c r="BB412" s="270">
        <f t="shared" si="381"/>
        <v>-47.97285482601788</v>
      </c>
      <c r="BC412" s="270">
        <f t="shared" si="382"/>
        <v>-69.628642788286356</v>
      </c>
      <c r="BD412" s="286"/>
      <c r="BE412" s="270">
        <f t="shared" si="379"/>
        <v>25.871551949996856</v>
      </c>
      <c r="BF412" s="581">
        <f t="shared" si="380"/>
        <v>-34.736197540018999</v>
      </c>
      <c r="BI412" s="286"/>
      <c r="BJ412" s="286"/>
      <c r="BL412" s="253">
        <f t="shared" si="349"/>
        <v>0</v>
      </c>
      <c r="BM412" s="253">
        <f t="shared" si="383"/>
        <v>0</v>
      </c>
      <c r="BN412" s="253">
        <f t="shared" si="350"/>
        <v>0</v>
      </c>
      <c r="BO412" s="253">
        <f t="shared" si="351"/>
        <v>0</v>
      </c>
    </row>
    <row r="413" spans="4:67" ht="13.6" thickBot="1" x14ac:dyDescent="0.25">
      <c r="D413" s="280">
        <v>38905</v>
      </c>
      <c r="E413" s="273" t="str">
        <f t="shared" si="330"/>
        <v>0.440005183876479i</v>
      </c>
      <c r="F413" s="579" t="str">
        <f t="shared" si="352"/>
        <v>0.002-0.0629363214504347i</v>
      </c>
      <c r="G413" s="270" t="str">
        <f t="shared" si="353"/>
        <v>0.002-0.0629363214504347i</v>
      </c>
      <c r="H413" s="271" t="str">
        <f t="shared" si="354"/>
        <v>0.00397061320141691-0.0627486249311037i</v>
      </c>
      <c r="I413" s="271" t="str">
        <f t="shared" si="355"/>
        <v>0.0139706132014169-0.0627486249311037i</v>
      </c>
      <c r="J413" s="270" t="str">
        <f t="shared" si="356"/>
        <v>0.00396581564464622-0.0317027856178321i</v>
      </c>
      <c r="K413" s="271" t="str">
        <f t="shared" si="331"/>
        <v>0.961778767581627-0.307094628612841i</v>
      </c>
      <c r="L413" s="580"/>
      <c r="M413" s="580" t="str">
        <f t="shared" si="332"/>
        <v>-0.174958429022375-37.9471055521229i</v>
      </c>
      <c r="N413" s="270" t="str">
        <f t="shared" si="333"/>
        <v>-6.79788548843345-28.4603291640922i</v>
      </c>
      <c r="O413" s="581" t="str">
        <f t="shared" si="334"/>
        <v>-4.6999016114637-13.7623791465135i</v>
      </c>
      <c r="P413" s="582" t="str">
        <f t="shared" si="335"/>
        <v>-0.929230874722693+0.10264348764364i</v>
      </c>
      <c r="Q413" s="583" t="str">
        <f t="shared" si="336"/>
        <v>-0.882231858608057+0.240267279108774i</v>
      </c>
      <c r="R413" s="581" t="str">
        <f t="shared" si="357"/>
        <v>-0.52931319618425-1.63173494967031i</v>
      </c>
      <c r="S413" s="253" t="str">
        <f t="shared" si="358"/>
        <v>49.2311755342519-14.4473194833444i</v>
      </c>
      <c r="T413" s="253" t="str">
        <f t="shared" si="359"/>
        <v>16.1173728338817-11.2628168383026i</v>
      </c>
      <c r="U413" s="253" t="str">
        <f t="shared" si="360"/>
        <v>-0.642730416108001-1.05606327205131i</v>
      </c>
      <c r="V413" s="582" t="str">
        <f t="shared" si="337"/>
        <v>6000</v>
      </c>
      <c r="W413" s="584" t="str">
        <f t="shared" si="338"/>
        <v>1+136911.035225708i</v>
      </c>
      <c r="X413" s="585">
        <f t="shared" si="339"/>
        <v>136911.03522936002</v>
      </c>
      <c r="Y413" s="586">
        <f t="shared" si="340"/>
        <v>1.5707890227817589</v>
      </c>
      <c r="Z413" s="273" t="str">
        <f t="shared" si="341"/>
        <v>1+20.5335752475691i</v>
      </c>
      <c r="AA413" s="585">
        <f t="shared" si="342"/>
        <v>20.557911188824182</v>
      </c>
      <c r="AB413" s="586">
        <f t="shared" si="343"/>
        <v>1.5221340493186015</v>
      </c>
      <c r="AC413" s="584" t="str">
        <f t="shared" si="344"/>
        <v>1+0.992705086799004i</v>
      </c>
      <c r="AD413" s="585">
        <f t="shared" si="345"/>
        <v>1.4090647214931677</v>
      </c>
      <c r="AE413" s="586">
        <f t="shared" si="346"/>
        <v>0.78173737050745573</v>
      </c>
      <c r="AF413" s="580" t="str">
        <f t="shared" si="361"/>
        <v>0.431318695467816-0.471989769221014i</v>
      </c>
      <c r="AG413" s="270">
        <f t="shared" si="362"/>
        <v>0.63938263919922367</v>
      </c>
      <c r="AH413" s="581">
        <f t="shared" si="363"/>
        <v>-0.8303923439706119</v>
      </c>
      <c r="AI413" s="582" t="str">
        <f t="shared" si="347"/>
        <v>4000</v>
      </c>
      <c r="AJ413" s="584" t="str">
        <f t="shared" si="364"/>
        <v>1+10756.0587214157i</v>
      </c>
      <c r="AK413" s="585">
        <f t="shared" si="365"/>
        <v>10756.058767901128</v>
      </c>
      <c r="AL413" s="586">
        <f t="shared" si="366"/>
        <v>1.5707033559379109</v>
      </c>
      <c r="AM413" s="273" t="str">
        <f t="shared" si="367"/>
        <v>1+0.376448879538766i</v>
      </c>
      <c r="AN413" s="585">
        <f t="shared" si="368"/>
        <v>1.0685100649530599</v>
      </c>
      <c r="AO413" s="586">
        <f t="shared" si="369"/>
        <v>0.36004031535479469</v>
      </c>
      <c r="AP413" s="584" t="str">
        <f t="shared" si="370"/>
        <v>1+0.00272352111312707i</v>
      </c>
      <c r="AQ413" s="585">
        <f t="shared" si="371"/>
        <v>1.0000037087767493</v>
      </c>
      <c r="AR413" s="586">
        <f t="shared" si="372"/>
        <v>2.7235143791900316E-3</v>
      </c>
      <c r="AS413" s="580" t="str">
        <f t="shared" si="373"/>
        <v>0.139015845209053-0.372249022925091i</v>
      </c>
      <c r="AT413" s="270">
        <f t="shared" si="374"/>
        <v>0.3973597114553416</v>
      </c>
      <c r="AU413" s="581">
        <f t="shared" si="375"/>
        <v>-1.213386554962306</v>
      </c>
      <c r="AV413" s="580" t="str">
        <f t="shared" si="376"/>
        <v>-0.0195200235639091-0.0756538629174326i</v>
      </c>
      <c r="AW413" s="270">
        <f t="shared" si="377"/>
        <v>-22.14347177556202</v>
      </c>
      <c r="AX413" s="581">
        <f t="shared" si="378"/>
        <v>-104.46777056754799</v>
      </c>
      <c r="AY413" s="299">
        <f t="shared" si="348"/>
        <v>75.532229432452013</v>
      </c>
      <c r="BB413" s="270">
        <f t="shared" si="381"/>
        <v>-48.016323367554747</v>
      </c>
      <c r="BC413" s="270">
        <f t="shared" si="382"/>
        <v>-69.521928517258829</v>
      </c>
      <c r="BD413" s="286"/>
      <c r="BE413" s="270">
        <f t="shared" si="379"/>
        <v>25.872851591992728</v>
      </c>
      <c r="BF413" s="581">
        <f t="shared" si="380"/>
        <v>-34.94584205028918</v>
      </c>
      <c r="BI413" s="286"/>
      <c r="BJ413" s="286"/>
      <c r="BL413" s="253">
        <f t="shared" si="349"/>
        <v>0</v>
      </c>
      <c r="BM413" s="253">
        <f t="shared" si="383"/>
        <v>0</v>
      </c>
      <c r="BN413" s="253">
        <f t="shared" si="350"/>
        <v>0</v>
      </c>
      <c r="BO413" s="253">
        <f t="shared" si="351"/>
        <v>0</v>
      </c>
    </row>
    <row r="414" spans="4:67" ht="13.6" thickBot="1" x14ac:dyDescent="0.25">
      <c r="D414" s="280">
        <v>39131.5</v>
      </c>
      <c r="E414" s="273" t="str">
        <f t="shared" si="330"/>
        <v>0.442566838526216i</v>
      </c>
      <c r="F414" s="579" t="str">
        <f t="shared" si="352"/>
        <v>0.002-0.0625720349597934i</v>
      </c>
      <c r="G414" s="270" t="str">
        <f t="shared" si="353"/>
        <v>0.002-0.0625720349597934i</v>
      </c>
      <c r="H414" s="271" t="str">
        <f t="shared" si="354"/>
        <v>0.00394786587000262-0.0623861358233527i</v>
      </c>
      <c r="I414" s="271" t="str">
        <f t="shared" si="355"/>
        <v>0.0139478658700026-0.0623861358233527i</v>
      </c>
      <c r="J414" s="270" t="str">
        <f t="shared" si="356"/>
        <v>0.00395985456560029-0.0315216119505921i</v>
      </c>
      <c r="K414" s="271" t="str">
        <f t="shared" si="331"/>
        <v>0.961332433720108-0.308882494783791i</v>
      </c>
      <c r="L414" s="580"/>
      <c r="M414" s="580" t="str">
        <f t="shared" si="332"/>
        <v>-0.173276539852393-37.7091108186583i</v>
      </c>
      <c r="N414" s="270" t="str">
        <f t="shared" si="333"/>
        <v>-6.79662407155596-28.2818331139937i</v>
      </c>
      <c r="O414" s="581" t="str">
        <f t="shared" si="334"/>
        <v>-4.69553632551301-13.6714654533209i</v>
      </c>
      <c r="P414" s="582" t="str">
        <f t="shared" si="335"/>
        <v>-0.918402611531135+0.102248600577647i</v>
      </c>
      <c r="Q414" s="583" t="str">
        <f t="shared" si="336"/>
        <v>-0.871447248276002+0.238963255110856i</v>
      </c>
      <c r="R414" s="581" t="str">
        <f t="shared" si="357"/>
        <v>-0.528983517626595-1.62074168283919i</v>
      </c>
      <c r="S414" s="253" t="str">
        <f t="shared" si="358"/>
        <v>49.1971663670413-14.5430614193144i</v>
      </c>
      <c r="T414" s="253" t="str">
        <f t="shared" si="359"/>
        <v>16.0776053099686-11.3247478521797i</v>
      </c>
      <c r="U414" s="253" t="str">
        <f t="shared" si="360"/>
        <v>-0.643035028396706-1.04772825411396i</v>
      </c>
      <c r="V414" s="582" t="str">
        <f t="shared" si="337"/>
        <v>6000</v>
      </c>
      <c r="W414" s="584" t="str">
        <f t="shared" si="338"/>
        <v>1+137708.113993954i</v>
      </c>
      <c r="X414" s="585">
        <f t="shared" si="339"/>
        <v>137708.11399758488</v>
      </c>
      <c r="Y414" s="586">
        <f t="shared" si="340"/>
        <v>1.5707890650586709</v>
      </c>
      <c r="Z414" s="273" t="str">
        <f t="shared" si="341"/>
        <v>1+20.6531191312234i</v>
      </c>
      <c r="AA414" s="585">
        <f t="shared" si="342"/>
        <v>20.677314377077742</v>
      </c>
      <c r="AB414" s="586">
        <f t="shared" si="343"/>
        <v>1.5224152745288539</v>
      </c>
      <c r="AC414" s="584" t="str">
        <f t="shared" si="344"/>
        <v>1+0.998484490530143i</v>
      </c>
      <c r="AD414" s="585">
        <f t="shared" si="345"/>
        <v>1.4131423416730671</v>
      </c>
      <c r="AE414" s="586">
        <f t="shared" si="346"/>
        <v>0.7846398341802171</v>
      </c>
      <c r="AF414" s="580" t="str">
        <f t="shared" si="361"/>
        <v>0.428833145879321-0.471747127956862i</v>
      </c>
      <c r="AG414" s="270">
        <f t="shared" si="362"/>
        <v>0.63752899521535722</v>
      </c>
      <c r="AH414" s="581">
        <f t="shared" si="363"/>
        <v>-0.83301362471003249</v>
      </c>
      <c r="AI414" s="582" t="str">
        <f t="shared" si="347"/>
        <v>4000</v>
      </c>
      <c r="AJ414" s="584" t="str">
        <f t="shared" si="364"/>
        <v>1+10818.6791378249i</v>
      </c>
      <c r="AK414" s="585">
        <f t="shared" si="365"/>
        <v>10818.679184041262</v>
      </c>
      <c r="AL414" s="586">
        <f t="shared" si="366"/>
        <v>1.5707038940695692</v>
      </c>
      <c r="AM414" s="273" t="str">
        <f t="shared" si="367"/>
        <v>1+0.378640517405763i</v>
      </c>
      <c r="AN414" s="585">
        <f t="shared" si="368"/>
        <v>1.0692841724356084</v>
      </c>
      <c r="AO414" s="586">
        <f t="shared" si="369"/>
        <v>0.36195853045763865</v>
      </c>
      <c r="AP414" s="584" t="str">
        <f t="shared" si="370"/>
        <v>1+0.00273937710932609i</v>
      </c>
      <c r="AQ414" s="585">
        <f t="shared" si="371"/>
        <v>1.0000037520864344</v>
      </c>
      <c r="AR414" s="586">
        <f t="shared" si="372"/>
        <v>2.7393702570909602E-3</v>
      </c>
      <c r="AS414" s="580" t="str">
        <f t="shared" si="373"/>
        <v>0.139015434098348-0.370098774773187i</v>
      </c>
      <c r="AT414" s="270">
        <f t="shared" si="374"/>
        <v>0.39534591689578169</v>
      </c>
      <c r="AU414" s="581">
        <f t="shared" si="375"/>
        <v>-1.2114847338690222</v>
      </c>
      <c r="AV414" s="580" t="str">
        <f t="shared" si="376"/>
        <v>-0.019562400232798-0.0752461676523136i</v>
      </c>
      <c r="AW414" s="270">
        <f t="shared" si="377"/>
        <v>-22.186271703850938</v>
      </c>
      <c r="AX414" s="581">
        <f t="shared" si="378"/>
        <v>-104.57307262972307</v>
      </c>
      <c r="AY414" s="299">
        <f t="shared" si="348"/>
        <v>75.426927370276928</v>
      </c>
      <c r="BB414" s="270">
        <f t="shared" si="381"/>
        <v>-48.060454844110325</v>
      </c>
      <c r="BC414" s="270">
        <f t="shared" si="382"/>
        <v>-69.412962195224708</v>
      </c>
      <c r="BD414" s="286"/>
      <c r="BE414" s="270">
        <f t="shared" si="379"/>
        <v>25.874183140259387</v>
      </c>
      <c r="BF414" s="581">
        <f t="shared" si="380"/>
        <v>-35.160110434498357</v>
      </c>
      <c r="BI414" s="286"/>
      <c r="BJ414" s="286"/>
      <c r="BL414" s="253">
        <f t="shared" si="349"/>
        <v>0</v>
      </c>
      <c r="BM414" s="253">
        <f t="shared" si="383"/>
        <v>0</v>
      </c>
      <c r="BN414" s="253">
        <f t="shared" si="350"/>
        <v>0</v>
      </c>
      <c r="BO414" s="253">
        <f t="shared" si="351"/>
        <v>0</v>
      </c>
    </row>
    <row r="415" spans="4:67" ht="13.6" thickBot="1" x14ac:dyDescent="0.25">
      <c r="D415" s="280">
        <v>39358</v>
      </c>
      <c r="E415" s="273" t="str">
        <f t="shared" si="330"/>
        <v>0.445128493175954i</v>
      </c>
      <c r="F415" s="579" t="str">
        <f t="shared" si="352"/>
        <v>0.002-0.0622119413087342i</v>
      </c>
      <c r="G415" s="270" t="str">
        <f t="shared" si="353"/>
        <v>0.002-0.0622119413087342i</v>
      </c>
      <c r="H415" s="271" t="str">
        <f t="shared" si="354"/>
        <v>0.00392550962579936-0.0620278067147957i</v>
      </c>
      <c r="I415" s="271" t="str">
        <f t="shared" si="355"/>
        <v>0.0139255096257994-0.0620278067147957i</v>
      </c>
      <c r="J415" s="270" t="str">
        <f t="shared" si="356"/>
        <v>0.00395399038652841-0.031342534297657i</v>
      </c>
      <c r="K415" s="271" t="str">
        <f t="shared" si="331"/>
        <v>0.96088350890129-0.310670360954741i</v>
      </c>
      <c r="L415" s="580"/>
      <c r="M415" s="580" t="str">
        <f t="shared" si="332"/>
        <v>-0.171616112271143-37.4741864140475i</v>
      </c>
      <c r="N415" s="270" t="str">
        <f t="shared" si="333"/>
        <v>-6.79537875087003-28.1056398105356i</v>
      </c>
      <c r="O415" s="581" t="str">
        <f t="shared" si="334"/>
        <v>-4.69123538422616-13.5816989684432i</v>
      </c>
      <c r="P415" s="582" t="str">
        <f t="shared" si="335"/>
        <v>-0.907770841973066+0.101854961946626i</v>
      </c>
      <c r="Q415" s="583" t="str">
        <f t="shared" si="336"/>
        <v>-0.860858488130805+0.237671951631058i</v>
      </c>
      <c r="R415" s="581" t="str">
        <f t="shared" si="357"/>
        <v>-0.528659415059449-1.60988564865286i</v>
      </c>
      <c r="S415" s="253" t="str">
        <f t="shared" si="358"/>
        <v>49.1629387470147-14.6386454978265i</v>
      </c>
      <c r="T415" s="253" t="str">
        <f t="shared" si="359"/>
        <v>16.037626675539-11.386512156531i</v>
      </c>
      <c r="U415" s="253" t="str">
        <f t="shared" si="360"/>
        <v>-0.643324517311176-1.03947667066913i</v>
      </c>
      <c r="V415" s="582" t="str">
        <f t="shared" si="337"/>
        <v>6000</v>
      </c>
      <c r="W415" s="584" t="str">
        <f t="shared" si="338"/>
        <v>1+138505.192762201i</v>
      </c>
      <c r="X415" s="585">
        <f t="shared" si="339"/>
        <v>138505.19276581099</v>
      </c>
      <c r="Y415" s="586">
        <f t="shared" si="340"/>
        <v>1.5707891068489868</v>
      </c>
      <c r="Z415" s="273" t="str">
        <f t="shared" si="341"/>
        <v>1+20.7726630148778i</v>
      </c>
      <c r="AA415" s="585">
        <f t="shared" si="342"/>
        <v>20.796719181872707</v>
      </c>
      <c r="AB415" s="586">
        <f t="shared" si="343"/>
        <v>1.5226932704398501</v>
      </c>
      <c r="AC415" s="584" t="str">
        <f t="shared" si="344"/>
        <v>1+1.00426389426128i</v>
      </c>
      <c r="AD415" s="585">
        <f t="shared" si="345"/>
        <v>1.4172317980192342</v>
      </c>
      <c r="AE415" s="586">
        <f t="shared" si="346"/>
        <v>0.78752557178956739</v>
      </c>
      <c r="AF415" s="580" t="str">
        <f t="shared" si="361"/>
        <v>0.426361897986725-0.47149303851787i</v>
      </c>
      <c r="AG415" s="270">
        <f t="shared" si="362"/>
        <v>0.63568085815577002</v>
      </c>
      <c r="AH415" s="581">
        <f t="shared" si="363"/>
        <v>-0.83562140819870445</v>
      </c>
      <c r="AI415" s="582" t="str">
        <f t="shared" si="347"/>
        <v>4000</v>
      </c>
      <c r="AJ415" s="584" t="str">
        <f t="shared" si="364"/>
        <v>1+10881.2995542341i</v>
      </c>
      <c r="AK415" s="585">
        <f t="shared" si="365"/>
        <v>10881.299600184493</v>
      </c>
      <c r="AL415" s="586">
        <f t="shared" si="366"/>
        <v>1.5707044260074767</v>
      </c>
      <c r="AM415" s="273" t="str">
        <f t="shared" si="367"/>
        <v>1+0.38083215527276i</v>
      </c>
      <c r="AN415" s="585">
        <f t="shared" si="368"/>
        <v>1.0700622087008287</v>
      </c>
      <c r="AO415" s="586">
        <f t="shared" si="369"/>
        <v>0.36387396315288206</v>
      </c>
      <c r="AP415" s="584" t="str">
        <f t="shared" si="370"/>
        <v>1+0.00275523310552512i</v>
      </c>
      <c r="AQ415" s="585">
        <f t="shared" si="371"/>
        <v>1.0000037956475294</v>
      </c>
      <c r="AR415" s="586">
        <f t="shared" si="372"/>
        <v>2.7552261336144909E-3</v>
      </c>
      <c r="AS415" s="580" t="str">
        <f t="shared" si="373"/>
        <v>0.13901502978774-0.367973300761747i</v>
      </c>
      <c r="AT415" s="270">
        <f t="shared" si="374"/>
        <v>0.39335674467381559</v>
      </c>
      <c r="AU415" s="581">
        <f t="shared" si="375"/>
        <v>-1.2095856889882102</v>
      </c>
      <c r="AV415" s="580" t="str">
        <f t="shared" si="376"/>
        <v>-0.0196046131237776-0.0748431475080135i</v>
      </c>
      <c r="AW415" s="270">
        <f t="shared" si="377"/>
        <v>-22.228750711663711</v>
      </c>
      <c r="AX415" s="581">
        <f t="shared" si="378"/>
        <v>-104.67842512277484</v>
      </c>
      <c r="AY415" s="299">
        <f t="shared" si="348"/>
        <v>75.32157487722516</v>
      </c>
      <c r="BB415" s="270">
        <f t="shared" si="381"/>
        <v>-48.104267976402262</v>
      </c>
      <c r="BC415" s="270">
        <f t="shared" si="382"/>
        <v>-69.304154938448278</v>
      </c>
      <c r="BD415" s="286"/>
      <c r="BE415" s="270">
        <f t="shared" si="379"/>
        <v>25.875517264738555</v>
      </c>
      <c r="BF415" s="581">
        <f t="shared" si="380"/>
        <v>-35.374270184326605</v>
      </c>
      <c r="BI415" s="286"/>
      <c r="BJ415" s="286"/>
      <c r="BL415" s="253">
        <f t="shared" si="349"/>
        <v>0</v>
      </c>
      <c r="BM415" s="253">
        <f t="shared" si="383"/>
        <v>0</v>
      </c>
      <c r="BN415" s="253">
        <f t="shared" si="350"/>
        <v>0</v>
      </c>
      <c r="BO415" s="253">
        <f t="shared" si="351"/>
        <v>0</v>
      </c>
    </row>
    <row r="416" spans="4:67" ht="13.6" thickBot="1" x14ac:dyDescent="0.25">
      <c r="D416" s="280">
        <v>39584.5</v>
      </c>
      <c r="E416" s="273" t="str">
        <f t="shared" si="330"/>
        <v>0.447690147825691i</v>
      </c>
      <c r="F416" s="579" t="str">
        <f t="shared" si="352"/>
        <v>0.002-0.0618559685237695i</v>
      </c>
      <c r="G416" s="270" t="str">
        <f t="shared" si="353"/>
        <v>0.002-0.0618559685237695i</v>
      </c>
      <c r="H416" s="271" t="str">
        <f t="shared" si="354"/>
        <v>0.00390353555763192-0.0616735664710062i</v>
      </c>
      <c r="I416" s="271" t="str">
        <f t="shared" si="355"/>
        <v>0.0139035355576319-0.0616735664710062i</v>
      </c>
      <c r="J416" s="270" t="str">
        <f t="shared" si="356"/>
        <v>0.00394822086657284-0.0311655167030916i</v>
      </c>
      <c r="K416" s="271" t="str">
        <f t="shared" si="331"/>
        <v>0.960431993125173-0.312458227125691i</v>
      </c>
      <c r="L416" s="580"/>
      <c r="M416" s="580" t="str">
        <f t="shared" si="332"/>
        <v>-0.169976890764056-37.2422716170126i</v>
      </c>
      <c r="N416" s="270" t="str">
        <f t="shared" si="333"/>
        <v>-6.79414933473971-27.9317037127595i</v>
      </c>
      <c r="O416" s="581" t="str">
        <f t="shared" si="334"/>
        <v>-4.68699725750644-13.4930569994326i</v>
      </c>
      <c r="P416" s="582" t="str">
        <f t="shared" si="335"/>
        <v>-0.897330780779843+0.101462639137482i</v>
      </c>
      <c r="Q416" s="583" t="str">
        <f t="shared" si="336"/>
        <v>-0.850460808204782+0.236393209131808i</v>
      </c>
      <c r="R416" s="581" t="str">
        <f t="shared" si="357"/>
        <v>-0.528340764623811-1.59916413092839i</v>
      </c>
      <c r="S416" s="253" t="str">
        <f t="shared" si="358"/>
        <v>49.1284929687739-14.7340726724796i</v>
      </c>
      <c r="T416" s="253" t="str">
        <f t="shared" si="359"/>
        <v>15.9974374786456-11.4481093934142i</v>
      </c>
      <c r="U416" s="253" t="str">
        <f t="shared" si="360"/>
        <v>-0.643599169613194-1.03130712578987i</v>
      </c>
      <c r="V416" s="582" t="str">
        <f t="shared" si="337"/>
        <v>6000</v>
      </c>
      <c r="W416" s="584" t="str">
        <f t="shared" si="338"/>
        <v>1+139302.271530447i</v>
      </c>
      <c r="X416" s="585">
        <f t="shared" si="339"/>
        <v>139302.27153403635</v>
      </c>
      <c r="Y416" s="586">
        <f t="shared" si="340"/>
        <v>1.5707891481610596</v>
      </c>
      <c r="Z416" s="273" t="str">
        <f t="shared" si="341"/>
        <v>1+20.8922068985322i</v>
      </c>
      <c r="AA416" s="585">
        <f t="shared" si="342"/>
        <v>20.916125575523694</v>
      </c>
      <c r="AB416" s="586">
        <f t="shared" si="343"/>
        <v>1.5229680923147129</v>
      </c>
      <c r="AC416" s="584" t="str">
        <f t="shared" si="344"/>
        <v>1+1.01004329799242i</v>
      </c>
      <c r="AD416" s="585">
        <f t="shared" si="345"/>
        <v>1.4213329883666967</v>
      </c>
      <c r="AE416" s="586">
        <f t="shared" si="346"/>
        <v>0.79039467985296064</v>
      </c>
      <c r="AF416" s="580" t="str">
        <f t="shared" si="361"/>
        <v>0.423904951119709-0.471227698083449i</v>
      </c>
      <c r="AG416" s="270">
        <f t="shared" si="362"/>
        <v>0.63383826882322991</v>
      </c>
      <c r="AH416" s="581">
        <f t="shared" si="363"/>
        <v>-0.83821573569930619</v>
      </c>
      <c r="AI416" s="582" t="str">
        <f t="shared" si="347"/>
        <v>4000</v>
      </c>
      <c r="AJ416" s="584" t="str">
        <f t="shared" si="364"/>
        <v>1+10943.9199706433i</v>
      </c>
      <c r="AK416" s="585">
        <f t="shared" si="365"/>
        <v>10943.920016330767</v>
      </c>
      <c r="AL416" s="586">
        <f t="shared" si="366"/>
        <v>1.5707049518579546</v>
      </c>
      <c r="AM416" s="273" t="str">
        <f t="shared" si="367"/>
        <v>1+0.383023793139757i</v>
      </c>
      <c r="AN416" s="585">
        <f t="shared" si="368"/>
        <v>1.0708441651851903</v>
      </c>
      <c r="AO416" s="586">
        <f t="shared" si="369"/>
        <v>0.36578660546567732</v>
      </c>
      <c r="AP416" s="584" t="str">
        <f t="shared" si="370"/>
        <v>1+0.00277108910172415i</v>
      </c>
      <c r="AQ416" s="585">
        <f t="shared" si="371"/>
        <v>1.0000038394600341</v>
      </c>
      <c r="AR416" s="586">
        <f t="shared" si="372"/>
        <v>2.7710820087526416E-3</v>
      </c>
      <c r="AS416" s="580" t="str">
        <f t="shared" si="373"/>
        <v>0.139014632120442-0.365872175622589i</v>
      </c>
      <c r="AT416" s="270">
        <f t="shared" si="374"/>
        <v>0.3913917689967284</v>
      </c>
      <c r="AU416" s="581">
        <f t="shared" si="375"/>
        <v>-1.2076894284010304</v>
      </c>
      <c r="AV416" s="580" t="str">
        <f t="shared" si="376"/>
        <v>-0.0196466680457016-0.0744447197049846i</v>
      </c>
      <c r="AW416" s="270">
        <f t="shared" si="377"/>
        <v>-22.270912293946523</v>
      </c>
      <c r="AX416" s="581">
        <f t="shared" si="378"/>
        <v>-104.78382957344371</v>
      </c>
      <c r="AY416" s="299">
        <f t="shared" si="348"/>
        <v>75.216170426556289</v>
      </c>
      <c r="BB416" s="270">
        <f t="shared" si="381"/>
        <v>-48.147766236661482</v>
      </c>
      <c r="BC416" s="270">
        <f t="shared" si="382"/>
        <v>-69.195507209945859</v>
      </c>
      <c r="BD416" s="286"/>
      <c r="BE416" s="270">
        <f t="shared" si="379"/>
        <v>25.876853942714956</v>
      </c>
      <c r="BF416" s="581">
        <f t="shared" si="380"/>
        <v>-35.588322363497866</v>
      </c>
      <c r="BI416" s="286"/>
      <c r="BJ416" s="286"/>
      <c r="BL416" s="253">
        <f t="shared" si="349"/>
        <v>0</v>
      </c>
      <c r="BM416" s="253">
        <f t="shared" si="383"/>
        <v>0</v>
      </c>
      <c r="BN416" s="253">
        <f t="shared" si="350"/>
        <v>0</v>
      </c>
      <c r="BO416" s="253">
        <f t="shared" si="351"/>
        <v>0</v>
      </c>
    </row>
    <row r="417" spans="4:67" ht="13.6" thickBot="1" x14ac:dyDescent="0.25">
      <c r="D417" s="280">
        <v>39811</v>
      </c>
      <c r="E417" s="273" t="str">
        <f t="shared" si="330"/>
        <v>0.450251802475428i</v>
      </c>
      <c r="F417" s="579" t="str">
        <f t="shared" si="352"/>
        <v>0.002-0.0615040462693518i</v>
      </c>
      <c r="G417" s="270" t="str">
        <f t="shared" si="353"/>
        <v>0.002-0.0615040462693518i</v>
      </c>
      <c r="H417" s="271" t="str">
        <f t="shared" si="354"/>
        <v>0.00388193500661628-0.0613233455686523i</v>
      </c>
      <c r="I417" s="271" t="str">
        <f t="shared" si="355"/>
        <v>0.0138819350066163-0.0613233455686523i</v>
      </c>
      <c r="J417" s="270" t="str">
        <f t="shared" si="356"/>
        <v>0.00394254382844987-0.0309905240281999i</v>
      </c>
      <c r="K417" s="271" t="str">
        <f t="shared" si="331"/>
        <v>0.959977886391758-0.314246093296641i</v>
      </c>
      <c r="L417" s="580"/>
      <c r="M417" s="580" t="str">
        <f t="shared" si="332"/>
        <v>-0.168358618205441-37.0133073320744i</v>
      </c>
      <c r="N417" s="270" t="str">
        <f t="shared" si="333"/>
        <v>-6.79293563032075-27.7599804990558i</v>
      </c>
      <c r="O417" s="581" t="str">
        <f t="shared" si="334"/>
        <v>-4.68282045864439-13.4055174623481i</v>
      </c>
      <c r="P417" s="582" t="str">
        <f t="shared" si="335"/>
        <v>-0.887077789124728+0.101071695079029i</v>
      </c>
      <c r="Q417" s="583" t="str">
        <f t="shared" si="336"/>
        <v>-0.840249584538286+0.23512686970251i</v>
      </c>
      <c r="R417" s="581" t="str">
        <f t="shared" si="357"/>
        <v>-0.528027445829486-1.58857448627046i</v>
      </c>
      <c r="S417" s="253" t="str">
        <f t="shared" si="358"/>
        <v>49.0938293195653-14.8293438616144i</v>
      </c>
      <c r="T417" s="253" t="str">
        <f t="shared" si="359"/>
        <v>15.9570382681508-11.5095391959274i</v>
      </c>
      <c r="U417" s="253" t="str">
        <f t="shared" si="360"/>
        <v>-0.643859263992751-1.02321825508471i</v>
      </c>
      <c r="V417" s="582" t="str">
        <f t="shared" si="337"/>
        <v>6000</v>
      </c>
      <c r="W417" s="584" t="str">
        <f t="shared" si="338"/>
        <v>1+140099.350298694i</v>
      </c>
      <c r="X417" s="585">
        <f t="shared" si="339"/>
        <v>140099.35030226287</v>
      </c>
      <c r="Y417" s="586">
        <f t="shared" si="340"/>
        <v>1.5707891890030521</v>
      </c>
      <c r="Z417" s="273" t="str">
        <f t="shared" si="341"/>
        <v>1+21.0117507821867i</v>
      </c>
      <c r="AA417" s="585">
        <f t="shared" si="342"/>
        <v>21.035533530973805</v>
      </c>
      <c r="AB417" s="586">
        <f t="shared" si="343"/>
        <v>1.5232397941637066</v>
      </c>
      <c r="AC417" s="584" t="str">
        <f t="shared" si="344"/>
        <v>1+1.01582270172356i</v>
      </c>
      <c r="AD417" s="585">
        <f t="shared" si="345"/>
        <v>1.4254458114347779</v>
      </c>
      <c r="AE417" s="586">
        <f t="shared" si="346"/>
        <v>0.79324725487381886</v>
      </c>
      <c r="AF417" s="580" t="str">
        <f t="shared" si="361"/>
        <v>0.421462301802218-0.470951302107755i</v>
      </c>
      <c r="AG417" s="270">
        <f t="shared" si="362"/>
        <v>0.63200126645238119</v>
      </c>
      <c r="AH417" s="581">
        <f t="shared" si="363"/>
        <v>-0.84079664971316348</v>
      </c>
      <c r="AI417" s="582" t="str">
        <f t="shared" si="347"/>
        <v>4000</v>
      </c>
      <c r="AJ417" s="584" t="str">
        <f t="shared" si="364"/>
        <v>1+11006.5403870526i</v>
      </c>
      <c r="AK417" s="585">
        <f t="shared" si="365"/>
        <v>11006.540432480135</v>
      </c>
      <c r="AL417" s="586">
        <f t="shared" si="366"/>
        <v>1.5707054717249034</v>
      </c>
      <c r="AM417" s="273" t="str">
        <f t="shared" si="367"/>
        <v>1+0.385215431006756i</v>
      </c>
      <c r="AN417" s="585">
        <f t="shared" si="368"/>
        <v>1.0716300333070741</v>
      </c>
      <c r="AO417" s="586">
        <f t="shared" si="369"/>
        <v>0.36769644952605851</v>
      </c>
      <c r="AP417" s="584" t="str">
        <f t="shared" si="370"/>
        <v>1+0.00278694509792319i</v>
      </c>
      <c r="AQ417" s="585">
        <f t="shared" si="371"/>
        <v>1.0000038835239484</v>
      </c>
      <c r="AR417" s="586">
        <f t="shared" si="372"/>
        <v>2.7869378824974507E-3</v>
      </c>
      <c r="AS417" s="580" t="str">
        <f t="shared" si="373"/>
        <v>0.139014240944113-0.363794983765578i</v>
      </c>
      <c r="AT417" s="270">
        <f t="shared" si="374"/>
        <v>0.38945057375521358</v>
      </c>
      <c r="AU417" s="581">
        <f t="shared" si="375"/>
        <v>-1.2057959600813415</v>
      </c>
      <c r="AV417" s="580" t="str">
        <f t="shared" si="376"/>
        <v>-0.0196885706236855-0.0740508033264699i</v>
      </c>
      <c r="AW417" s="270">
        <f t="shared" si="377"/>
        <v>-22.312759889674968</v>
      </c>
      <c r="AX417" s="581">
        <f t="shared" si="378"/>
        <v>-104.88928747423412</v>
      </c>
      <c r="AY417" s="299">
        <f t="shared" si="348"/>
        <v>75.110712525765877</v>
      </c>
      <c r="BB417" s="270">
        <f t="shared" si="381"/>
        <v>-48.190953040056321</v>
      </c>
      <c r="BC417" s="270">
        <f t="shared" si="382"/>
        <v>-69.087019466585957</v>
      </c>
      <c r="BD417" s="286"/>
      <c r="BE417" s="270">
        <f t="shared" si="379"/>
        <v>25.878193150381353</v>
      </c>
      <c r="BF417" s="581">
        <f t="shared" si="380"/>
        <v>-35.802268007648131</v>
      </c>
      <c r="BI417" s="286"/>
      <c r="BJ417" s="286"/>
      <c r="BL417" s="253">
        <f t="shared" si="349"/>
        <v>0</v>
      </c>
      <c r="BM417" s="253">
        <f t="shared" si="383"/>
        <v>0</v>
      </c>
      <c r="BN417" s="253">
        <f t="shared" si="350"/>
        <v>0</v>
      </c>
      <c r="BO417" s="253">
        <f t="shared" si="351"/>
        <v>0</v>
      </c>
    </row>
    <row r="418" spans="4:67" ht="13.6" thickBot="1" x14ac:dyDescent="0.25">
      <c r="D418" s="280">
        <v>40042.75</v>
      </c>
      <c r="E418" s="273" t="str">
        <f t="shared" si="330"/>
        <v>0.452872833226318i</v>
      </c>
      <c r="F418" s="579" t="str">
        <f t="shared" si="352"/>
        <v>0.002-0.0611480876320724i</v>
      </c>
      <c r="G418" s="270" t="str">
        <f t="shared" si="353"/>
        <v>0.002-0.0611480876320724i</v>
      </c>
      <c r="H418" s="271" t="str">
        <f t="shared" si="354"/>
        <v>0.00386021160877535-0.0609690962569496i</v>
      </c>
      <c r="I418" s="271" t="str">
        <f t="shared" si="355"/>
        <v>0.0138602116087754-0.0609690962569496i</v>
      </c>
      <c r="J418" s="270" t="str">
        <f t="shared" si="356"/>
        <v>0.00393682871890196-0.0308135352803384i</v>
      </c>
      <c r="K418" s="271" t="str">
        <f t="shared" si="331"/>
        <v>0.959510572269324-0.316075400074203i</v>
      </c>
      <c r="L418" s="580"/>
      <c r="M418" s="580" t="str">
        <f t="shared" si="332"/>
        <v>-0.166724249541186-36.7820298257876i</v>
      </c>
      <c r="N418" s="270" t="str">
        <f t="shared" si="333"/>
        <v>-6.79170985382256-27.5865223693407i</v>
      </c>
      <c r="O418" s="581" t="str">
        <f t="shared" si="334"/>
        <v>-4.67860881645051-13.3170675031823i</v>
      </c>
      <c r="P418" s="582" t="str">
        <f t="shared" si="335"/>
        <v>-0.876776078692502+0.100673177676332i</v>
      </c>
      <c r="Q418" s="583" t="str">
        <f t="shared" si="336"/>
        <v>-0.829989990527998+0.233843852708155i</v>
      </c>
      <c r="R418" s="581" t="str">
        <f t="shared" si="357"/>
        <v>-0.527712260870316-1.57787319637015i</v>
      </c>
      <c r="S418" s="253" t="str">
        <f t="shared" si="358"/>
        <v>49.0581369960303-14.9266627944388i</v>
      </c>
      <c r="T418" s="253" t="str">
        <f t="shared" si="359"/>
        <v>15.9154858537306-11.5722191755057i</v>
      </c>
      <c r="U418" s="253" t="str">
        <f t="shared" si="360"/>
        <v>-0.644110601566051-1.0150240037928i</v>
      </c>
      <c r="V418" s="582" t="str">
        <f t="shared" si="337"/>
        <v>6000</v>
      </c>
      <c r="W418" s="584" t="str">
        <f t="shared" si="338"/>
        <v>1+140914.904402627i</v>
      </c>
      <c r="X418" s="585">
        <f t="shared" si="339"/>
        <v>140914.90440617522</v>
      </c>
      <c r="Y418" s="586">
        <f t="shared" si="340"/>
        <v>1.5707892303134832</v>
      </c>
      <c r="Z418" s="273" t="str">
        <f t="shared" si="341"/>
        <v>1+21.1340655505615i</v>
      </c>
      <c r="AA418" s="585">
        <f t="shared" si="342"/>
        <v>21.157710809429037</v>
      </c>
      <c r="AB418" s="586">
        <f t="shared" si="343"/>
        <v>1.5235146194533198</v>
      </c>
      <c r="AC418" s="584" t="str">
        <f t="shared" si="344"/>
        <v>1+1.02173606514383i</v>
      </c>
      <c r="AD418" s="585">
        <f t="shared" si="345"/>
        <v>1.4296659004171559</v>
      </c>
      <c r="AE418" s="586">
        <f t="shared" si="346"/>
        <v>0.79614893749708271</v>
      </c>
      <c r="AF418" s="580" t="str">
        <f t="shared" si="361"/>
        <v>0.418977826792165-0.470657258733526i</v>
      </c>
      <c r="AG418" s="270">
        <f t="shared" si="362"/>
        <v>0.6301275065746953</v>
      </c>
      <c r="AH418" s="581">
        <f t="shared" si="363"/>
        <v>-0.84342354835724609</v>
      </c>
      <c r="AI418" s="582" t="str">
        <f t="shared" si="347"/>
        <v>4000</v>
      </c>
      <c r="AJ418" s="584" t="str">
        <f t="shared" si="364"/>
        <v>1+11070.6122700673i</v>
      </c>
      <c r="AK418" s="585">
        <f t="shared" si="365"/>
        <v>11070.61231523192</v>
      </c>
      <c r="AL418" s="586">
        <f t="shared" si="366"/>
        <v>1.5707059975544819</v>
      </c>
      <c r="AM418" s="273" t="str">
        <f t="shared" si="367"/>
        <v>1+0.38745786842696i</v>
      </c>
      <c r="AN418" s="585">
        <f t="shared" si="368"/>
        <v>1.0724381566346675</v>
      </c>
      <c r="AO418" s="586">
        <f t="shared" si="369"/>
        <v>0.36964765710193831</v>
      </c>
      <c r="AP418" s="584" t="str">
        <f t="shared" si="370"/>
        <v>1+0.00280316861721292i</v>
      </c>
      <c r="AQ418" s="585">
        <f t="shared" si="371"/>
        <v>1.0000039288694302</v>
      </c>
      <c r="AR418" s="586">
        <f t="shared" si="372"/>
        <v>2.8031612750441205E-3</v>
      </c>
      <c r="AS418" s="580" t="str">
        <f t="shared" si="373"/>
        <v>0.139013847264786-0.36169399329618i</v>
      </c>
      <c r="AT418" s="270">
        <f t="shared" si="374"/>
        <v>0.38748857340300291</v>
      </c>
      <c r="AU418" s="581">
        <f t="shared" si="375"/>
        <v>-1.2038615017275889</v>
      </c>
      <c r="AV418" s="580" t="str">
        <f t="shared" si="376"/>
        <v>-0.0197312924527192-0.0736523434266306i</v>
      </c>
      <c r="AW418" s="270">
        <f t="shared" si="377"/>
        <v>-22.355256004712277</v>
      </c>
      <c r="AX418" s="581">
        <f t="shared" si="378"/>
        <v>-104.99724660796251</v>
      </c>
      <c r="AY418" s="299">
        <f t="shared" si="348"/>
        <v>75.002753392037491</v>
      </c>
      <c r="BB418" s="270">
        <f t="shared" si="381"/>
        <v>-48.234821996376205</v>
      </c>
      <c r="BC418" s="270">
        <f t="shared" si="382"/>
        <v>-68.976183167272112</v>
      </c>
      <c r="BD418" s="286"/>
      <c r="BE418" s="270">
        <f t="shared" si="379"/>
        <v>25.879565991663924</v>
      </c>
      <c r="BF418" s="581">
        <f t="shared" si="380"/>
        <v>-36.021063440690398</v>
      </c>
      <c r="BI418" s="286"/>
      <c r="BJ418" s="286"/>
      <c r="BL418" s="253">
        <f t="shared" si="349"/>
        <v>0</v>
      </c>
      <c r="BM418" s="253">
        <f t="shared" si="383"/>
        <v>0</v>
      </c>
      <c r="BN418" s="253">
        <f t="shared" si="350"/>
        <v>0</v>
      </c>
      <c r="BO418" s="253">
        <f t="shared" si="351"/>
        <v>0</v>
      </c>
    </row>
    <row r="419" spans="4:67" ht="13.6" thickBot="1" x14ac:dyDescent="0.25">
      <c r="D419" s="280">
        <v>40274.5</v>
      </c>
      <c r="E419" s="273" t="str">
        <f t="shared" si="330"/>
        <v>0.455493863977208i</v>
      </c>
      <c r="F419" s="579" t="str">
        <f t="shared" si="352"/>
        <v>0.002-0.0607962255528723i</v>
      </c>
      <c r="G419" s="270" t="str">
        <f t="shared" si="353"/>
        <v>0.002-0.0607962255528723i</v>
      </c>
      <c r="H419" s="271" t="str">
        <f t="shared" si="354"/>
        <v>0.00383886167658557-0.0606189124902042i</v>
      </c>
      <c r="I419" s="271" t="str">
        <f t="shared" si="355"/>
        <v>0.0138388616765856-0.0606189124902042i</v>
      </c>
      <c r="J419" s="270" t="str">
        <f t="shared" si="356"/>
        <v>0.00393120601113752-0.0306385945060976i</v>
      </c>
      <c r="K419" s="271" t="str">
        <f t="shared" si="331"/>
        <v>0.959040545686977-0.317904706851764i</v>
      </c>
      <c r="L419" s="580"/>
      <c r="M419" s="580" t="str">
        <f t="shared" si="332"/>
        <v>-0.165111264334817-36.5537210057843i</v>
      </c>
      <c r="N419" s="270" t="str">
        <f t="shared" si="333"/>
        <v>-6.79050011491778-27.4152907543382i</v>
      </c>
      <c r="O419" s="581" t="str">
        <f t="shared" si="334"/>
        <v>-4.67445836202644-13.2297267623183i</v>
      </c>
      <c r="P419" s="582" t="str">
        <f t="shared" si="335"/>
        <v>-0.866660831559329+0.100276223704038i</v>
      </c>
      <c r="Q419" s="583" t="str">
        <f t="shared" si="336"/>
        <v>-0.819916247939064+0.232573491327222i</v>
      </c>
      <c r="R419" s="581" t="str">
        <f t="shared" si="357"/>
        <v>-0.52740241271744-1.56730458769784i</v>
      </c>
      <c r="S419" s="253" t="str">
        <f t="shared" si="358"/>
        <v>49.0222171706441-15.0238202628635i</v>
      </c>
      <c r="T419" s="253" t="str">
        <f t="shared" si="359"/>
        <v>15.8737147426615-11.6347230642842i</v>
      </c>
      <c r="U419" s="253" t="str">
        <f t="shared" si="360"/>
        <v>-0.64434726409095-1.00691141736903i</v>
      </c>
      <c r="V419" s="582" t="str">
        <f t="shared" si="337"/>
        <v>6000</v>
      </c>
      <c r="W419" s="584" t="str">
        <f t="shared" si="338"/>
        <v>1+141730.458506561i</v>
      </c>
      <c r="X419" s="585">
        <f t="shared" si="339"/>
        <v>141730.45851008885</v>
      </c>
      <c r="Y419" s="586">
        <f t="shared" si="340"/>
        <v>1.5707892711484921</v>
      </c>
      <c r="Z419" s="273" t="str">
        <f t="shared" si="341"/>
        <v>1+21.2563803189363i</v>
      </c>
      <c r="AA419" s="585">
        <f t="shared" si="342"/>
        <v>21.279889667553785</v>
      </c>
      <c r="AB419" s="586">
        <f t="shared" si="343"/>
        <v>1.523786288934857</v>
      </c>
      <c r="AC419" s="584" t="str">
        <f t="shared" si="344"/>
        <v>1+1.0276494285641i</v>
      </c>
      <c r="AD419" s="585">
        <f t="shared" si="345"/>
        <v>1.4338979559327507</v>
      </c>
      <c r="AE419" s="586">
        <f t="shared" si="346"/>
        <v>0.79903351603776973</v>
      </c>
      <c r="AF419" s="580" t="str">
        <f t="shared" si="361"/>
        <v>0.416508303803962-0.470352049693112i</v>
      </c>
      <c r="AG419" s="270">
        <f t="shared" si="362"/>
        <v>0.62825967385163695</v>
      </c>
      <c r="AH419" s="581">
        <f t="shared" si="363"/>
        <v>-0.84603649825140248</v>
      </c>
      <c r="AI419" s="582" t="str">
        <f t="shared" si="347"/>
        <v>4000</v>
      </c>
      <c r="AJ419" s="584" t="str">
        <f t="shared" si="364"/>
        <v>1+11134.684153082i</v>
      </c>
      <c r="AK419" s="585">
        <f t="shared" si="365"/>
        <v>11134.684197986731</v>
      </c>
      <c r="AL419" s="586">
        <f t="shared" si="366"/>
        <v>1.570706517332539</v>
      </c>
      <c r="AM419" s="273" t="str">
        <f t="shared" si="367"/>
        <v>1+0.389700305847166i</v>
      </c>
      <c r="AN419" s="585">
        <f t="shared" si="368"/>
        <v>1.0732503568028173</v>
      </c>
      <c r="AO419" s="586">
        <f t="shared" si="369"/>
        <v>0.37159591886795962</v>
      </c>
      <c r="AP419" s="584" t="str">
        <f t="shared" si="370"/>
        <v>1+0.00281939213650266i</v>
      </c>
      <c r="AQ419" s="585">
        <f t="shared" si="371"/>
        <v>1.0000039744781113</v>
      </c>
      <c r="AR419" s="586">
        <f t="shared" si="372"/>
        <v>2.8193846661152206E-3</v>
      </c>
      <c r="AS419" s="580" t="str">
        <f t="shared" si="373"/>
        <v>0.139013460071774-0.359617208070821i</v>
      </c>
      <c r="AT419" s="270">
        <f t="shared" si="374"/>
        <v>0.38555061719802608</v>
      </c>
      <c r="AU419" s="581">
        <f t="shared" si="375"/>
        <v>-1.2019299831306944</v>
      </c>
      <c r="AV419" s="580" t="str">
        <f t="shared" si="376"/>
        <v>-0.0197738661448537-0.0732584408761158i</v>
      </c>
      <c r="AW419" s="270">
        <f t="shared" si="377"/>
        <v>-22.397430518728932</v>
      </c>
      <c r="AX419" s="581">
        <f t="shared" si="378"/>
        <v>-105.10526475324242</v>
      </c>
      <c r="AY419" s="299">
        <f t="shared" si="348"/>
        <v>74.894735246757577</v>
      </c>
      <c r="BB419" s="270">
        <f t="shared" si="381"/>
        <v>-48.278371946204992</v>
      </c>
      <c r="BC419" s="270">
        <f t="shared" si="382"/>
        <v>-68.86551530361902</v>
      </c>
      <c r="BD419" s="286"/>
      <c r="BE419" s="270">
        <f t="shared" si="379"/>
        <v>25.880941427476053</v>
      </c>
      <c r="BF419" s="581">
        <f t="shared" si="380"/>
        <v>-36.239749449623382</v>
      </c>
      <c r="BI419" s="286"/>
      <c r="BJ419" s="286"/>
      <c r="BL419" s="253">
        <f t="shared" si="349"/>
        <v>0</v>
      </c>
      <c r="BM419" s="253">
        <f t="shared" si="383"/>
        <v>0</v>
      </c>
      <c r="BN419" s="253">
        <f t="shared" si="350"/>
        <v>0</v>
      </c>
      <c r="BO419" s="253">
        <f t="shared" si="351"/>
        <v>0</v>
      </c>
    </row>
    <row r="420" spans="4:67" ht="13.6" thickBot="1" x14ac:dyDescent="0.25">
      <c r="D420" s="280">
        <v>40506.25</v>
      </c>
      <c r="E420" s="273" t="str">
        <f t="shared" si="330"/>
        <v>0.458114894728098i</v>
      </c>
      <c r="F420" s="579" t="str">
        <f t="shared" si="352"/>
        <v>0.002-0.060448389718356i</v>
      </c>
      <c r="G420" s="270" t="str">
        <f t="shared" si="353"/>
        <v>0.002-0.060448389718356i</v>
      </c>
      <c r="H420" s="271" t="str">
        <f t="shared" si="354"/>
        <v>0.00381787670066356-0.0602727247442627i</v>
      </c>
      <c r="I420" s="271" t="str">
        <f t="shared" si="355"/>
        <v>0.0138178767006636-0.0602727247442627i</v>
      </c>
      <c r="J420" s="270" t="str">
        <f t="shared" si="356"/>
        <v>0.00392567356585454-0.0304656665748199i</v>
      </c>
      <c r="K420" s="271" t="str">
        <f t="shared" si="331"/>
        <v>0.958567806644719-0.319734013629326i</v>
      </c>
      <c r="L420" s="580"/>
      <c r="M420" s="580" t="str">
        <f t="shared" si="332"/>
        <v>-0.163519384695197-36.328322505612i</v>
      </c>
      <c r="N420" s="270" t="str">
        <f t="shared" si="333"/>
        <v>-6.78930620518807-27.246241879209i</v>
      </c>
      <c r="O420" s="581" t="str">
        <f t="shared" si="334"/>
        <v>-4.67036763460208-13.1434734309532i</v>
      </c>
      <c r="P420" s="582" t="str">
        <f t="shared" si="335"/>
        <v>-0.856727520409075+0.0998808876075258i</v>
      </c>
      <c r="Q420" s="583" t="str">
        <f t="shared" si="336"/>
        <v>-0.810023844063053+0.231315621917058i</v>
      </c>
      <c r="R420" s="581" t="str">
        <f t="shared" si="357"/>
        <v>-0.527097782572458-1.55686604964935i</v>
      </c>
      <c r="S420" s="253" t="str">
        <f t="shared" si="358"/>
        <v>48.9860701291666-15.1208171419337i</v>
      </c>
      <c r="T420" s="253" t="str">
        <f t="shared" si="359"/>
        <v>15.8317255260894-11.697050441968i</v>
      </c>
      <c r="U420" s="253" t="str">
        <f t="shared" si="360"/>
        <v>-0.644569525591139-0.998879131209585i</v>
      </c>
      <c r="V420" s="582" t="str">
        <f t="shared" si="337"/>
        <v>6000</v>
      </c>
      <c r="W420" s="584" t="str">
        <f t="shared" si="338"/>
        <v>1+142546.012610496i</v>
      </c>
      <c r="X420" s="585">
        <f t="shared" si="339"/>
        <v>142546.01261400362</v>
      </c>
      <c r="Y420" s="586">
        <f t="shared" si="340"/>
        <v>1.570789311516239</v>
      </c>
      <c r="Z420" s="273" t="str">
        <f t="shared" si="341"/>
        <v>1+21.3786950873112i</v>
      </c>
      <c r="AA420" s="585">
        <f t="shared" si="342"/>
        <v>21.40207007829439</v>
      </c>
      <c r="AB420" s="586">
        <f t="shared" si="343"/>
        <v>1.5240548566156227</v>
      </c>
      <c r="AC420" s="584" t="str">
        <f t="shared" si="344"/>
        <v>1+1.03356279198437i</v>
      </c>
      <c r="AD420" s="585">
        <f t="shared" si="345"/>
        <v>1.438141872338931</v>
      </c>
      <c r="AE420" s="586">
        <f t="shared" si="346"/>
        <v>0.80190109370086426</v>
      </c>
      <c r="AF420" s="580" t="str">
        <f t="shared" si="361"/>
        <v>0.414053720519179-0.470035878551295i</v>
      </c>
      <c r="AG420" s="270">
        <f t="shared" si="362"/>
        <v>0.62639780539307621</v>
      </c>
      <c r="AH420" s="581">
        <f t="shared" si="363"/>
        <v>-0.84863554860147916</v>
      </c>
      <c r="AI420" s="582" t="str">
        <f t="shared" si="347"/>
        <v>4000</v>
      </c>
      <c r="AJ420" s="584" t="str">
        <f t="shared" si="364"/>
        <v>1+11198.7560360968i</v>
      </c>
      <c r="AK420" s="585">
        <f t="shared" si="365"/>
        <v>11198.756080744615</v>
      </c>
      <c r="AL420" s="586">
        <f t="shared" si="366"/>
        <v>1.5707070311629425</v>
      </c>
      <c r="AM420" s="273" t="str">
        <f t="shared" si="367"/>
        <v>1+0.391942743267372i</v>
      </c>
      <c r="AN420" s="585">
        <f t="shared" si="368"/>
        <v>1.0740666245629054</v>
      </c>
      <c r="AO420" s="586">
        <f t="shared" si="369"/>
        <v>0.37354122673360429</v>
      </c>
      <c r="AP420" s="584" t="str">
        <f t="shared" si="370"/>
        <v>1+0.00283561565579239i</v>
      </c>
      <c r="AQ420" s="585">
        <f t="shared" si="371"/>
        <v>1.000004020349992</v>
      </c>
      <c r="AR420" s="586">
        <f t="shared" si="372"/>
        <v>2.8356080557021923E-3</v>
      </c>
      <c r="AS420" s="580" t="str">
        <f t="shared" si="373"/>
        <v>0.139013079215387-0.357564212630252i</v>
      </c>
      <c r="AT420" s="270">
        <f t="shared" si="374"/>
        <v>0.38363628914224934</v>
      </c>
      <c r="AU420" s="581">
        <f t="shared" si="375"/>
        <v>-1.2000014124850396</v>
      </c>
      <c r="AV420" s="580" t="str">
        <f t="shared" si="376"/>
        <v>-0.019816297167041-0.0728690147199009i</v>
      </c>
      <c r="AW420" s="270">
        <f t="shared" si="377"/>
        <v>-22.439286941579066</v>
      </c>
      <c r="AX420" s="581">
        <f t="shared" si="378"/>
        <v>-105.21334340266331</v>
      </c>
      <c r="AY420" s="299">
        <f t="shared" si="348"/>
        <v>74.786656597336687</v>
      </c>
      <c r="BB420" s="270">
        <f t="shared" si="381"/>
        <v>-48.321606370548302</v>
      </c>
      <c r="BC420" s="270">
        <f t="shared" si="382"/>
        <v>-68.755016345130173</v>
      </c>
      <c r="BD420" s="286"/>
      <c r="BE420" s="270">
        <f t="shared" si="379"/>
        <v>25.882319428969236</v>
      </c>
      <c r="BF420" s="581">
        <f t="shared" si="380"/>
        <v>-36.458327057533126</v>
      </c>
      <c r="BI420" s="286"/>
      <c r="BJ420" s="286"/>
      <c r="BL420" s="253">
        <f t="shared" si="349"/>
        <v>0</v>
      </c>
      <c r="BM420" s="253">
        <f t="shared" si="383"/>
        <v>0</v>
      </c>
      <c r="BN420" s="253">
        <f t="shared" si="350"/>
        <v>0</v>
      </c>
      <c r="BO420" s="253">
        <f t="shared" si="351"/>
        <v>0</v>
      </c>
    </row>
    <row r="421" spans="4:67" ht="13.6" thickBot="1" x14ac:dyDescent="0.25">
      <c r="D421" s="280">
        <v>40738</v>
      </c>
      <c r="E421" s="273" t="str">
        <f t="shared" si="330"/>
        <v>0.460735925478988i</v>
      </c>
      <c r="F421" s="579" t="str">
        <f t="shared" si="352"/>
        <v>0.002-0.0601045114151201i</v>
      </c>
      <c r="G421" s="270" t="str">
        <f t="shared" si="353"/>
        <v>0.002-0.0601045114151201i</v>
      </c>
      <c r="H421" s="271" t="str">
        <f t="shared" si="354"/>
        <v>0.00379724841253725-0.0599304650697717i</v>
      </c>
      <c r="I421" s="271" t="str">
        <f t="shared" si="355"/>
        <v>0.0137972484125373-0.0599304650697717i</v>
      </c>
      <c r="J421" s="270" t="str">
        <f t="shared" si="356"/>
        <v>0.0039202293044444-0.0302947171542837i</v>
      </c>
      <c r="K421" s="271" t="str">
        <f t="shared" si="331"/>
        <v>0.958092355142547-0.321563320406887i</v>
      </c>
      <c r="L421" s="580"/>
      <c r="M421" s="580" t="str">
        <f t="shared" si="332"/>
        <v>-0.161948332706499-36.1057775117085i</v>
      </c>
      <c r="N421" s="270" t="str">
        <f t="shared" si="333"/>
        <v>-6.78812791619654-27.0793331337814i</v>
      </c>
      <c r="O421" s="581" t="str">
        <f t="shared" si="334"/>
        <v>-4.66633521487356-13.0582862813936i</v>
      </c>
      <c r="P421" s="582" t="str">
        <f t="shared" si="335"/>
        <v>-0.846971755993921+0.0994872199324093i</v>
      </c>
      <c r="Q421" s="583" t="str">
        <f t="shared" si="336"/>
        <v>-0.800308403845183+0.230070082746347i</v>
      </c>
      <c r="R421" s="581" t="str">
        <f t="shared" si="357"/>
        <v>-0.52679825487996-1.54655504113554i</v>
      </c>
      <c r="S421" s="253" t="str">
        <f t="shared" si="358"/>
        <v>48.9496961505935-15.2176542719737i</v>
      </c>
      <c r="T421" s="253" t="str">
        <f t="shared" si="359"/>
        <v>15.7895187964349-11.7592008796536i</v>
      </c>
      <c r="U421" s="253" t="str">
        <f t="shared" si="360"/>
        <v>-0.64477765238202-0.990925811571219i</v>
      </c>
      <c r="V421" s="582" t="str">
        <f t="shared" si="337"/>
        <v>6000</v>
      </c>
      <c r="W421" s="584" t="str">
        <f t="shared" si="338"/>
        <v>1+143361.56671443i</v>
      </c>
      <c r="X421" s="585">
        <f t="shared" si="339"/>
        <v>143361.56671791768</v>
      </c>
      <c r="Y421" s="586">
        <f t="shared" si="340"/>
        <v>1.5707893514246987</v>
      </c>
      <c r="Z421" s="273" t="str">
        <f t="shared" si="341"/>
        <v>1+21.5010098556861i</v>
      </c>
      <c r="AA421" s="585">
        <f t="shared" si="342"/>
        <v>21.524252015210909</v>
      </c>
      <c r="AB421" s="586">
        <f t="shared" si="343"/>
        <v>1.5243203752784491</v>
      </c>
      <c r="AC421" s="584" t="str">
        <f t="shared" si="344"/>
        <v>1+1.03947615540465i</v>
      </c>
      <c r="AD421" s="585">
        <f t="shared" si="345"/>
        <v>1.4423975449420425</v>
      </c>
      <c r="AE421" s="586">
        <f t="shared" si="346"/>
        <v>0.80475177359684547</v>
      </c>
      <c r="AF421" s="580" t="str">
        <f t="shared" si="361"/>
        <v>0.411614061894079-0.469708946862536i</v>
      </c>
      <c r="AG421" s="270">
        <f t="shared" si="362"/>
        <v>0.62454193671174352</v>
      </c>
      <c r="AH421" s="581">
        <f t="shared" si="363"/>
        <v>-0.85122074974309692</v>
      </c>
      <c r="AI421" s="582" t="str">
        <f t="shared" si="347"/>
        <v>4000</v>
      </c>
      <c r="AJ421" s="584" t="str">
        <f t="shared" si="364"/>
        <v>1+11262.8279191115i</v>
      </c>
      <c r="AK421" s="585">
        <f t="shared" si="365"/>
        <v>11262.827963505324</v>
      </c>
      <c r="AL421" s="586">
        <f t="shared" si="366"/>
        <v>1.5707075391471981</v>
      </c>
      <c r="AM421" s="273" t="str">
        <f t="shared" si="367"/>
        <v>1+0.394185180687579i</v>
      </c>
      <c r="AN421" s="585">
        <f t="shared" si="368"/>
        <v>1.0748869506481598</v>
      </c>
      <c r="AO421" s="586">
        <f t="shared" si="369"/>
        <v>0.37548357272229615</v>
      </c>
      <c r="AP421" s="584" t="str">
        <f t="shared" si="370"/>
        <v>1+0.00285183917508213i</v>
      </c>
      <c r="AQ421" s="585">
        <f t="shared" si="371"/>
        <v>1.0000040664850722</v>
      </c>
      <c r="AR421" s="586">
        <f t="shared" si="372"/>
        <v>2.8518314437965151E-3</v>
      </c>
      <c r="AS421" s="580" t="str">
        <f t="shared" si="373"/>
        <v>0.13901270455019-0.355534600969088i</v>
      </c>
      <c r="AT421" s="270">
        <f t="shared" si="374"/>
        <v>0.38174518269731583</v>
      </c>
      <c r="AU421" s="581">
        <f t="shared" si="375"/>
        <v>-1.1980757978686982</v>
      </c>
      <c r="AV421" s="580" t="str">
        <f t="shared" si="376"/>
        <v>-0.0198585908102452-0.0724839858241402i</v>
      </c>
      <c r="AW421" s="270">
        <f t="shared" si="377"/>
        <v>-22.480828727120986</v>
      </c>
      <c r="AX421" s="581">
        <f t="shared" si="378"/>
        <v>-105.32148401469115</v>
      </c>
      <c r="AY421" s="299">
        <f t="shared" si="348"/>
        <v>74.678515985308849</v>
      </c>
      <c r="BB421" s="270">
        <f t="shared" si="381"/>
        <v>-48.364528693350863</v>
      </c>
      <c r="BC421" s="270">
        <f t="shared" si="382"/>
        <v>-68.644686754645122</v>
      </c>
      <c r="BD421" s="286"/>
      <c r="BE421" s="270">
        <f t="shared" si="379"/>
        <v>25.883699966229873</v>
      </c>
      <c r="BF421" s="581">
        <f t="shared" si="380"/>
        <v>-36.676797260046015</v>
      </c>
      <c r="BI421" s="286"/>
      <c r="BJ421" s="286"/>
      <c r="BL421" s="253">
        <f t="shared" si="349"/>
        <v>0</v>
      </c>
      <c r="BM421" s="253">
        <f t="shared" si="383"/>
        <v>0</v>
      </c>
      <c r="BN421" s="253">
        <f t="shared" si="350"/>
        <v>0</v>
      </c>
      <c r="BO421" s="253">
        <f t="shared" si="351"/>
        <v>0</v>
      </c>
    </row>
    <row r="422" spans="4:67" ht="13.6" thickBot="1" x14ac:dyDescent="0.25">
      <c r="D422" s="280">
        <v>40975.25</v>
      </c>
      <c r="E422" s="273" t="str">
        <f t="shared" si="330"/>
        <v>0.463419159764419i</v>
      </c>
      <c r="F422" s="579" t="str">
        <f t="shared" si="352"/>
        <v>0.002-0.059756501449757i</v>
      </c>
      <c r="G422" s="270" t="str">
        <f t="shared" si="353"/>
        <v>0.002-0.059756501449757i</v>
      </c>
      <c r="H422" s="271" t="str">
        <f t="shared" si="354"/>
        <v>0.00377649166157601-0.0595840824026293i</v>
      </c>
      <c r="I422" s="271" t="str">
        <f t="shared" si="355"/>
        <v>0.013776491661576-0.0595840824026293i</v>
      </c>
      <c r="J422" s="270" t="str">
        <f t="shared" si="356"/>
        <v>0.00391474507655562-0.0301217251514024i</v>
      </c>
      <c r="K422" s="271" t="str">
        <f t="shared" si="331"/>
        <v>0.957602810217861-0.323436041153279i</v>
      </c>
      <c r="L422" s="580"/>
      <c r="M422" s="580" t="str">
        <f t="shared" si="332"/>
        <v>-0.160361280904293-35.8808491246579i</v>
      </c>
      <c r="N422" s="270" t="str">
        <f t="shared" si="333"/>
        <v>-6.78693762734489-26.9106368434934i</v>
      </c>
      <c r="O422" s="581" t="str">
        <f t="shared" si="334"/>
        <v>-4.66226605587909-12.9721602934927i</v>
      </c>
      <c r="P422" s="582" t="str">
        <f t="shared" si="335"/>
        <v>-0.83716393731045+0.0990859867405518i</v>
      </c>
      <c r="Q422" s="583" t="str">
        <f t="shared" si="336"/>
        <v>-0.790541276751661+0.228807589675479i</v>
      </c>
      <c r="R422" s="581" t="str">
        <f t="shared" si="357"/>
        <v>-0.526496786833718-1.53612884971084i</v>
      </c>
      <c r="S422" s="253" t="str">
        <f t="shared" si="358"/>
        <v>48.9122241324863-15.3166249473103i</v>
      </c>
      <c r="T422" s="253" t="str">
        <f t="shared" si="359"/>
        <v>15.7460856992649-11.8226425555457i</v>
      </c>
      <c r="U422" s="253" t="str">
        <f t="shared" si="360"/>
        <v>-0.644976346900734-0.982864178852677i</v>
      </c>
      <c r="V422" s="582" t="str">
        <f t="shared" si="337"/>
        <v>6000</v>
      </c>
      <c r="W422" s="584" t="str">
        <f t="shared" si="338"/>
        <v>1+144196.475931942i</v>
      </c>
      <c r="X422" s="585">
        <f t="shared" si="339"/>
        <v>144196.47593540949</v>
      </c>
      <c r="Y422" s="586">
        <f t="shared" si="340"/>
        <v>1.5707893918126543</v>
      </c>
      <c r="Z422" s="273" t="str">
        <f t="shared" si="341"/>
        <v>1+21.6262274556729i</v>
      </c>
      <c r="AA422" s="585">
        <f t="shared" si="342"/>
        <v>21.649335185277639</v>
      </c>
      <c r="AB422" s="586">
        <f t="shared" si="343"/>
        <v>1.524589090796975</v>
      </c>
      <c r="AC422" s="584" t="str">
        <f t="shared" si="344"/>
        <v>1+1.04552985754687i</v>
      </c>
      <c r="AD422" s="585">
        <f t="shared" si="345"/>
        <v>1.4467662848649667</v>
      </c>
      <c r="AE422" s="586">
        <f t="shared" si="346"/>
        <v>0.80765271064072541</v>
      </c>
      <c r="AF422" s="580" t="str">
        <f t="shared" si="361"/>
        <v>0.409131945824255-0.469363317939775i</v>
      </c>
      <c r="AG422" s="270">
        <f t="shared" si="362"/>
        <v>0.62264827416558011</v>
      </c>
      <c r="AH422" s="581">
        <f t="shared" si="363"/>
        <v>-0.85385301165640415</v>
      </c>
      <c r="AI422" s="582" t="str">
        <f t="shared" si="347"/>
        <v>4000</v>
      </c>
      <c r="AJ422" s="584" t="str">
        <f t="shared" si="364"/>
        <v>1+11328.4203861891i</v>
      </c>
      <c r="AK422" s="585">
        <f t="shared" si="365"/>
        <v>11328.420430325881</v>
      </c>
      <c r="AL422" s="586">
        <f t="shared" si="366"/>
        <v>1.5707080532348316</v>
      </c>
      <c r="AM422" s="273" t="str">
        <f t="shared" si="367"/>
        <v>1+0.396480836687336i</v>
      </c>
      <c r="AN422" s="585">
        <f t="shared" si="368"/>
        <v>1.0757309393432402</v>
      </c>
      <c r="AO422" s="586">
        <f t="shared" si="369"/>
        <v>0.37746893902072665</v>
      </c>
      <c r="AP422" s="584" t="str">
        <f t="shared" si="370"/>
        <v>1+0.00286844771856213i</v>
      </c>
      <c r="AQ422" s="585">
        <f t="shared" si="371"/>
        <v>1.0000041139876947</v>
      </c>
      <c r="AR422" s="586">
        <f t="shared" si="372"/>
        <v>2.8684398514123746E-3</v>
      </c>
      <c r="AS422" s="580" t="str">
        <f t="shared" si="373"/>
        <v>0.139012327259048-0.353480630153168i</v>
      </c>
      <c r="AT422" s="270">
        <f t="shared" si="374"/>
        <v>0.37983283563096204</v>
      </c>
      <c r="AU422" s="581">
        <f t="shared" si="375"/>
        <v>-1.1961075540655184</v>
      </c>
      <c r="AV422" s="580" t="str">
        <f t="shared" si="376"/>
        <v>-0.0199017512233473-0.0720942935142021i</v>
      </c>
      <c r="AW422" s="270">
        <f t="shared" si="377"/>
        <v>-22.523034023865129</v>
      </c>
      <c r="AX422" s="581">
        <f t="shared" si="378"/>
        <v>-105.43225674417315</v>
      </c>
      <c r="AY422" s="299">
        <f t="shared" si="348"/>
        <v>74.567743255826855</v>
      </c>
      <c r="BB422" s="270">
        <f t="shared" si="381"/>
        <v>-48.408149885348479</v>
      </c>
      <c r="BC422" s="270">
        <f t="shared" si="382"/>
        <v>-68.531914691670138</v>
      </c>
      <c r="BD422" s="286"/>
      <c r="BE422" s="270">
        <f t="shared" si="379"/>
        <v>25.885115861483349</v>
      </c>
      <c r="BF422" s="581">
        <f t="shared" si="380"/>
        <v>-36.900342052502985</v>
      </c>
      <c r="BI422" s="286"/>
      <c r="BJ422" s="286"/>
      <c r="BL422" s="253">
        <f t="shared" si="349"/>
        <v>0</v>
      </c>
      <c r="BM422" s="253">
        <f t="shared" si="383"/>
        <v>0</v>
      </c>
      <c r="BN422" s="253">
        <f t="shared" si="350"/>
        <v>0</v>
      </c>
      <c r="BO422" s="253">
        <f t="shared" si="351"/>
        <v>0</v>
      </c>
    </row>
    <row r="423" spans="4:67" ht="13.6" thickBot="1" x14ac:dyDescent="0.25">
      <c r="D423" s="280">
        <v>41212.5</v>
      </c>
      <c r="E423" s="273" t="str">
        <f t="shared" si="330"/>
        <v>0.46610239404985i</v>
      </c>
      <c r="F423" s="579" t="str">
        <f t="shared" si="352"/>
        <v>0.002-0.0594124982961277i</v>
      </c>
      <c r="G423" s="270" t="str">
        <f t="shared" si="353"/>
        <v>0.002-0.0594124982961277i</v>
      </c>
      <c r="H423" s="271" t="str">
        <f t="shared" si="354"/>
        <v>0.00375609193140144-0.0592416772161743i</v>
      </c>
      <c r="I423" s="271" t="str">
        <f t="shared" si="355"/>
        <v>0.0137560919314014-0.0592416772161743i</v>
      </c>
      <c r="J423" s="270" t="str">
        <f t="shared" si="356"/>
        <v>0.00390934904537621-0.0299507363344776i</v>
      </c>
      <c r="K423" s="271" t="str">
        <f t="shared" si="331"/>
        <v>0.957110422558774-0.325308761899672i</v>
      </c>
      <c r="L423" s="580"/>
      <c r="M423" s="580" t="str">
        <f t="shared" si="332"/>
        <v>-0.158795469019673-35.6587955584792i</v>
      </c>
      <c r="N423" s="270" t="str">
        <f t="shared" si="333"/>
        <v>-6.78576326843142-26.7440966688594i</v>
      </c>
      <c r="O423" s="581" t="str">
        <f t="shared" si="334"/>
        <v>-4.6582551219383-12.8871084541583i</v>
      </c>
      <c r="P423" s="582" t="str">
        <f t="shared" si="335"/>
        <v>-0.82753330498838+0.0986865976991178i</v>
      </c>
      <c r="Q423" s="583" t="str">
        <f t="shared" si="336"/>
        <v>-0.780950753768999+0.2275576822407i</v>
      </c>
      <c r="R423" s="581" t="str">
        <f t="shared" si="357"/>
        <v>-0.526200431186438-1.52583113658841i</v>
      </c>
      <c r="S423" s="253" t="str">
        <f t="shared" si="358"/>
        <v>48.8745148492008-15.4154298758484i</v>
      </c>
      <c r="T423" s="253" t="str">
        <f t="shared" si="359"/>
        <v>15.7024259032155-11.8858978572326i</v>
      </c>
      <c r="U423" s="253" t="str">
        <f t="shared" si="360"/>
        <v>-0.645160769044093-0.974882571908201i</v>
      </c>
      <c r="V423" s="582" t="str">
        <f t="shared" si="337"/>
        <v>6000</v>
      </c>
      <c r="W423" s="584" t="str">
        <f t="shared" si="338"/>
        <v>1+145031.385149454i</v>
      </c>
      <c r="X423" s="585">
        <f t="shared" si="339"/>
        <v>145031.38515290149</v>
      </c>
      <c r="Y423" s="586">
        <f t="shared" si="340"/>
        <v>1.5707894317356035</v>
      </c>
      <c r="Z423" s="273" t="str">
        <f t="shared" si="341"/>
        <v>1+21.7514450556597i</v>
      </c>
      <c r="AA423" s="585">
        <f t="shared" si="342"/>
        <v>21.774419900639899</v>
      </c>
      <c r="AB423" s="586">
        <f t="shared" si="343"/>
        <v>1.5248547190233965</v>
      </c>
      <c r="AC423" s="584" t="str">
        <f t="shared" si="344"/>
        <v>1+1.05158355968909i</v>
      </c>
      <c r="AD423" s="585">
        <f t="shared" si="345"/>
        <v>1.4511471265892986</v>
      </c>
      <c r="AE423" s="586">
        <f t="shared" si="346"/>
        <v>0.81053615665587964</v>
      </c>
      <c r="AF423" s="580" t="str">
        <f t="shared" si="361"/>
        <v>0.406665430923461-0.469006832588362i</v>
      </c>
      <c r="AG423" s="270">
        <f t="shared" si="362"/>
        <v>0.62076096987707929</v>
      </c>
      <c r="AH423" s="581">
        <f t="shared" si="363"/>
        <v>-0.85647086936808403</v>
      </c>
      <c r="AI423" s="582" t="str">
        <f t="shared" si="347"/>
        <v>4000</v>
      </c>
      <c r="AJ423" s="584" t="str">
        <f t="shared" si="364"/>
        <v>1+11394.0128532668i</v>
      </c>
      <c r="AK423" s="585">
        <f t="shared" si="365"/>
        <v>11394.012897149496</v>
      </c>
      <c r="AL423" s="586">
        <f t="shared" si="366"/>
        <v>1.5707085614035186</v>
      </c>
      <c r="AM423" s="273" t="str">
        <f t="shared" si="367"/>
        <v>1+0.398776492687094i</v>
      </c>
      <c r="AN423" s="585">
        <f t="shared" si="368"/>
        <v>1.0765791615667748</v>
      </c>
      <c r="AO423" s="586">
        <f t="shared" si="369"/>
        <v>0.37945118463555999</v>
      </c>
      <c r="AP423" s="584" t="str">
        <f t="shared" si="370"/>
        <v>1+0.00288505626204213i</v>
      </c>
      <c r="AQ423" s="585">
        <f t="shared" si="371"/>
        <v>1.0000041617661575</v>
      </c>
      <c r="AR423" s="586">
        <f t="shared" si="372"/>
        <v>2.8850482574457738E-3</v>
      </c>
      <c r="AS423" s="580" t="str">
        <f t="shared" si="373"/>
        <v>0.139011956160994-0.351450334298983i</v>
      </c>
      <c r="AT423" s="270">
        <f t="shared" si="374"/>
        <v>0.37794399245731242</v>
      </c>
      <c r="AU423" s="581">
        <f t="shared" si="375"/>
        <v>-1.1941424250254047</v>
      </c>
      <c r="AV423" s="580" t="str">
        <f t="shared" si="376"/>
        <v>-0.0199447783408891-0.0717090474485377i</v>
      </c>
      <c r="AW423" s="270">
        <f t="shared" si="377"/>
        <v>-22.564916722835346</v>
      </c>
      <c r="AX423" s="581">
        <f t="shared" si="378"/>
        <v>-105.54309739933223</v>
      </c>
      <c r="AY423" s="299">
        <f t="shared" si="348"/>
        <v>74.456902600667775</v>
      </c>
      <c r="BB423" s="270">
        <f t="shared" si="381"/>
        <v>-48.451451070393873</v>
      </c>
      <c r="BC423" s="270">
        <f t="shared" si="382"/>
        <v>-68.419321091473023</v>
      </c>
      <c r="BD423" s="286"/>
      <c r="BE423" s="270">
        <f t="shared" si="379"/>
        <v>25.886534347558523</v>
      </c>
      <c r="BF423" s="581">
        <f t="shared" si="380"/>
        <v>-37.123776307859231</v>
      </c>
      <c r="BI423" s="286"/>
      <c r="BJ423" s="286"/>
      <c r="BL423" s="253">
        <f t="shared" si="349"/>
        <v>0</v>
      </c>
      <c r="BM423" s="253">
        <f t="shared" si="383"/>
        <v>0</v>
      </c>
      <c r="BN423" s="253">
        <f t="shared" si="350"/>
        <v>0</v>
      </c>
      <c r="BO423" s="253">
        <f t="shared" si="351"/>
        <v>0</v>
      </c>
    </row>
    <row r="424" spans="4:67" ht="13.6" thickBot="1" x14ac:dyDescent="0.25">
      <c r="D424" s="280">
        <v>41449.75</v>
      </c>
      <c r="E424" s="273" t="str">
        <f t="shared" si="330"/>
        <v>0.468785628335281i</v>
      </c>
      <c r="F424" s="579" t="str">
        <f t="shared" si="352"/>
        <v>0.002-0.0590724331516874i</v>
      </c>
      <c r="G424" s="270" t="str">
        <f t="shared" si="353"/>
        <v>0.002-0.0590724331516874i</v>
      </c>
      <c r="H424" s="271" t="str">
        <f t="shared" si="354"/>
        <v>0.00373604108327929-0.0589031814516637i</v>
      </c>
      <c r="I424" s="271" t="str">
        <f t="shared" si="355"/>
        <v>0.0137360410832793-0.0589031814516637i</v>
      </c>
      <c r="J424" s="270" t="str">
        <f t="shared" si="356"/>
        <v>0.00390403916529114-0.0297817163238962i</v>
      </c>
      <c r="K424" s="271" t="str">
        <f t="shared" si="331"/>
        <v>0.956615192165286-0.327181482646064i</v>
      </c>
      <c r="L424" s="580"/>
      <c r="M424" s="580" t="str">
        <f t="shared" si="332"/>
        <v>-0.157250600956185-35.4395605818745i</v>
      </c>
      <c r="N424" s="270" t="str">
        <f t="shared" si="333"/>
        <v>-6.78460461738381-26.5796704364059i</v>
      </c>
      <c r="O424" s="581" t="str">
        <f t="shared" si="334"/>
        <v>-4.65430101640422-12.8031097558041i</v>
      </c>
      <c r="P424" s="582" t="str">
        <f t="shared" si="335"/>
        <v>-0.818075567066972+0.0982890957004613i</v>
      </c>
      <c r="Q424" s="583" t="str">
        <f t="shared" si="336"/>
        <v>-0.771532556902929+0.226320193258503i</v>
      </c>
      <c r="R424" s="581" t="str">
        <f t="shared" si="357"/>
        <v>-0.525909073855849-1.5156593868896i</v>
      </c>
      <c r="S424" s="253" t="str">
        <f t="shared" si="358"/>
        <v>48.8365685799616-15.5140698519519i</v>
      </c>
      <c r="T424" s="253" t="str">
        <f t="shared" si="359"/>
        <v>15.6585400486211-11.9489662983293i</v>
      </c>
      <c r="U424" s="253" t="str">
        <f t="shared" si="360"/>
        <v>-0.645331181104485-0.966979654745344i</v>
      </c>
      <c r="V424" s="582" t="str">
        <f t="shared" si="337"/>
        <v>6000</v>
      </c>
      <c r="W424" s="584" t="str">
        <f t="shared" si="338"/>
        <v>1+145866.294366966i</v>
      </c>
      <c r="X424" s="585">
        <f t="shared" si="339"/>
        <v>145866.29437039376</v>
      </c>
      <c r="Y424" s="586">
        <f t="shared" si="340"/>
        <v>1.5707894712015307</v>
      </c>
      <c r="Z424" s="273" t="str">
        <f t="shared" si="341"/>
        <v>1+21.8766626556464i</v>
      </c>
      <c r="AA424" s="585">
        <f t="shared" si="342"/>
        <v>21.899506134818516</v>
      </c>
      <c r="AB424" s="586">
        <f t="shared" si="343"/>
        <v>1.5251173128221576</v>
      </c>
      <c r="AC424" s="584" t="str">
        <f t="shared" si="344"/>
        <v>1+1.05763726183131i</v>
      </c>
      <c r="AD424" s="585">
        <f t="shared" si="345"/>
        <v>1.4555399608440953</v>
      </c>
      <c r="AE424" s="586">
        <f t="shared" si="346"/>
        <v>0.81340222184247457</v>
      </c>
      <c r="AF424" s="580" t="str">
        <f t="shared" si="361"/>
        <v>0.404214492723098-0.468639700362203i</v>
      </c>
      <c r="AG424" s="270">
        <f t="shared" si="362"/>
        <v>0.61888005694396619</v>
      </c>
      <c r="AH424" s="581">
        <f t="shared" si="363"/>
        <v>-0.8590743802218479</v>
      </c>
      <c r="AI424" s="582" t="str">
        <f t="shared" si="347"/>
        <v>4000</v>
      </c>
      <c r="AJ424" s="584" t="str">
        <f t="shared" si="364"/>
        <v>1+11459.6053203444i</v>
      </c>
      <c r="AK424" s="585">
        <f t="shared" si="365"/>
        <v>11459.605363975921</v>
      </c>
      <c r="AL424" s="586">
        <f t="shared" si="366"/>
        <v>1.5707090637548959</v>
      </c>
      <c r="AM424" s="273" t="str">
        <f t="shared" si="367"/>
        <v>1+0.401072148686851i</v>
      </c>
      <c r="AN424" s="585">
        <f t="shared" si="368"/>
        <v>1.0774316073200598</v>
      </c>
      <c r="AO424" s="586">
        <f t="shared" si="369"/>
        <v>0.38143030137796902</v>
      </c>
      <c r="AP424" s="584" t="str">
        <f t="shared" si="370"/>
        <v>1+0.00290166480552213i</v>
      </c>
      <c r="AQ424" s="585">
        <f t="shared" si="371"/>
        <v>1.0000042098204605</v>
      </c>
      <c r="AR424" s="586">
        <f t="shared" si="372"/>
        <v>2.9016566618875494E-3</v>
      </c>
      <c r="AS424" s="580" t="str">
        <f t="shared" si="373"/>
        <v>0.139011591112895-0.349443306874439i</v>
      </c>
      <c r="AT424" s="270">
        <f t="shared" si="374"/>
        <v>0.37607824609126494</v>
      </c>
      <c r="AU424" s="581">
        <f t="shared" si="375"/>
        <v>-1.1921804190388139</v>
      </c>
      <c r="AV424" s="580" t="str">
        <f t="shared" si="376"/>
        <v>-0.0199876773035561-0.0713281683270111i</v>
      </c>
      <c r="AW424" s="270">
        <f t="shared" si="377"/>
        <v>-22.606480355427578</v>
      </c>
      <c r="AX424" s="581">
        <f t="shared" si="378"/>
        <v>-105.65400743890783</v>
      </c>
      <c r="AY424" s="299">
        <f t="shared" si="348"/>
        <v>74.345992561092174</v>
      </c>
      <c r="BB424" s="270">
        <f t="shared" si="381"/>
        <v>-48.494435744514647</v>
      </c>
      <c r="BC424" s="270">
        <f t="shared" si="382"/>
        <v>-68.306906429061968</v>
      </c>
      <c r="BD424" s="286"/>
      <c r="BE424" s="270">
        <f t="shared" si="379"/>
        <v>25.887955389087072</v>
      </c>
      <c r="BF424" s="581">
        <f t="shared" si="380"/>
        <v>-37.347101009845836</v>
      </c>
      <c r="BI424" s="286"/>
      <c r="BJ424" s="286"/>
      <c r="BL424" s="253">
        <f t="shared" si="349"/>
        <v>0</v>
      </c>
      <c r="BM424" s="253">
        <f t="shared" si="383"/>
        <v>0</v>
      </c>
      <c r="BN424" s="253">
        <f t="shared" si="350"/>
        <v>0</v>
      </c>
      <c r="BO424" s="253">
        <f t="shared" si="351"/>
        <v>0</v>
      </c>
    </row>
    <row r="425" spans="4:67" ht="13.6" thickBot="1" x14ac:dyDescent="0.25">
      <c r="D425" s="280">
        <v>41687</v>
      </c>
      <c r="E425" s="273" t="str">
        <f t="shared" si="330"/>
        <v>0.471468862620712i</v>
      </c>
      <c r="F425" s="579" t="str">
        <f t="shared" si="352"/>
        <v>0.002-0.0587362387801751i</v>
      </c>
      <c r="G425" s="270" t="str">
        <f t="shared" si="353"/>
        <v>0.002-0.0587362387801751i</v>
      </c>
      <c r="H425" s="271" t="str">
        <f t="shared" si="354"/>
        <v>0.00371633120901027-0.0585685285929427i</v>
      </c>
      <c r="I425" s="271" t="str">
        <f t="shared" si="355"/>
        <v>0.0137163312090103-0.0585685285929427i</v>
      </c>
      <c r="J425" s="270" t="str">
        <f t="shared" si="356"/>
        <v>0.00389881344875295-0.0296146315217827i</v>
      </c>
      <c r="K425" s="271" t="str">
        <f t="shared" si="331"/>
        <v>0.956117119037398-0.329054203392457i</v>
      </c>
      <c r="L425" s="580"/>
      <c r="M425" s="580" t="str">
        <f t="shared" si="332"/>
        <v>-0.155726381941476-35.2230894512822i</v>
      </c>
      <c r="N425" s="270" t="str">
        <f t="shared" si="333"/>
        <v>-6.78346145312278-26.4173170884617i</v>
      </c>
      <c r="O425" s="581" t="str">
        <f t="shared" si="334"/>
        <v>-4.6504023823358-12.7201437474716i</v>
      </c>
      <c r="P425" s="582" t="str">
        <f t="shared" si="335"/>
        <v>-0.808786562111419+0.0978935202319822i</v>
      </c>
      <c r="Q425" s="583" t="str">
        <f t="shared" si="336"/>
        <v>-0.762282538288062+0.225094957706698i</v>
      </c>
      <c r="R425" s="581" t="str">
        <f t="shared" si="357"/>
        <v>-0.525622603885766-1.50561115232641i</v>
      </c>
      <c r="S425" s="253" t="str">
        <f t="shared" si="358"/>
        <v>48.7983855978215-15.6125456357003i</v>
      </c>
      <c r="T425" s="253" t="str">
        <f t="shared" si="359"/>
        <v>15.6144287775928-12.0118473841965i</v>
      </c>
      <c r="U425" s="253" t="str">
        <f t="shared" si="360"/>
        <v>-0.645487837998338-0.959154121634664i</v>
      </c>
      <c r="V425" s="582" t="str">
        <f t="shared" si="337"/>
        <v>6000</v>
      </c>
      <c r="W425" s="584" t="str">
        <f t="shared" si="338"/>
        <v>1+146701.203584477i</v>
      </c>
      <c r="X425" s="585">
        <f t="shared" si="339"/>
        <v>146701.20358788531</v>
      </c>
      <c r="Y425" s="586">
        <f t="shared" si="340"/>
        <v>1.5707895102182392</v>
      </c>
      <c r="Z425" s="273" t="str">
        <f t="shared" si="341"/>
        <v>1+22.0018802556332i</v>
      </c>
      <c r="AA425" s="585">
        <f t="shared" si="342"/>
        <v>22.024593861935845</v>
      </c>
      <c r="AB425" s="586">
        <f t="shared" si="343"/>
        <v>1.5253769238584329</v>
      </c>
      <c r="AC425" s="584" t="str">
        <f t="shared" si="344"/>
        <v>1+1.06369096397352i</v>
      </c>
      <c r="AD425" s="585">
        <f t="shared" si="345"/>
        <v>1.4599446793762139</v>
      </c>
      <c r="AE425" s="586">
        <f t="shared" si="346"/>
        <v>0.81625101621836704</v>
      </c>
      <c r="AF425" s="580" t="str">
        <f t="shared" si="361"/>
        <v>0.401779104125399-0.468262128516544i</v>
      </c>
      <c r="AG425" s="270">
        <f t="shared" si="362"/>
        <v>0.6170055668425144</v>
      </c>
      <c r="AH425" s="581">
        <f t="shared" si="363"/>
        <v>-0.86166360257817343</v>
      </c>
      <c r="AI425" s="582" t="str">
        <f t="shared" si="347"/>
        <v>4000</v>
      </c>
      <c r="AJ425" s="584" t="str">
        <f t="shared" si="364"/>
        <v>1+11525.1977874221i</v>
      </c>
      <c r="AK425" s="585">
        <f t="shared" si="365"/>
        <v>11525.197830805304</v>
      </c>
      <c r="AL425" s="586">
        <f t="shared" si="366"/>
        <v>1.5707095603882861</v>
      </c>
      <c r="AM425" s="273" t="str">
        <f t="shared" si="367"/>
        <v>1+0.403367804686609i</v>
      </c>
      <c r="AN425" s="585">
        <f t="shared" si="368"/>
        <v>1.0782882665863032</v>
      </c>
      <c r="AO425" s="586">
        <f t="shared" si="369"/>
        <v>0.38340628118300385</v>
      </c>
      <c r="AP425" s="584" t="str">
        <f t="shared" si="370"/>
        <v>1+0.00291827334900213i</v>
      </c>
      <c r="AQ425" s="585">
        <f t="shared" si="371"/>
        <v>1.0000042581506039</v>
      </c>
      <c r="AR425" s="586">
        <f t="shared" si="372"/>
        <v>2.9182650647285409E-3</v>
      </c>
      <c r="AS425" s="580" t="str">
        <f t="shared" si="373"/>
        <v>0.139011231975674-0.347459150602081i</v>
      </c>
      <c r="AT425" s="270">
        <f t="shared" si="374"/>
        <v>0.3742351987086654</v>
      </c>
      <c r="AU425" s="581">
        <f t="shared" si="375"/>
        <v>-1.1902215442700104</v>
      </c>
      <c r="AV425" s="580" t="str">
        <f t="shared" si="376"/>
        <v>-0.0200304530830515-0.0709515786338002i</v>
      </c>
      <c r="AW425" s="270">
        <f t="shared" si="377"/>
        <v>-22.647728396894333</v>
      </c>
      <c r="AX425" s="581">
        <f t="shared" si="378"/>
        <v>-105.76498828750496</v>
      </c>
      <c r="AY425" s="299">
        <f t="shared" si="348"/>
        <v>74.235011712495037</v>
      </c>
      <c r="BB425" s="270">
        <f t="shared" si="381"/>
        <v>-48.537107346552901</v>
      </c>
      <c r="BC425" s="270">
        <f t="shared" si="382"/>
        <v>-68.194671172214868</v>
      </c>
      <c r="BD425" s="286"/>
      <c r="BE425" s="270">
        <f t="shared" si="379"/>
        <v>25.889378949658564</v>
      </c>
      <c r="BF425" s="581">
        <f t="shared" si="380"/>
        <v>-37.570317115290116</v>
      </c>
      <c r="BI425" s="286"/>
      <c r="BJ425" s="286"/>
      <c r="BL425" s="253">
        <f t="shared" si="349"/>
        <v>0</v>
      </c>
      <c r="BM425" s="253">
        <f t="shared" si="383"/>
        <v>0</v>
      </c>
      <c r="BN425" s="253">
        <f t="shared" si="350"/>
        <v>0</v>
      </c>
      <c r="BO425" s="253">
        <f t="shared" si="351"/>
        <v>0</v>
      </c>
    </row>
    <row r="426" spans="4:67" ht="13.6" thickBot="1" x14ac:dyDescent="0.25">
      <c r="D426" s="280">
        <v>41929.75</v>
      </c>
      <c r="E426" s="273" t="str">
        <f t="shared" si="330"/>
        <v>0.474214300440684i</v>
      </c>
      <c r="F426" s="579" t="str">
        <f t="shared" si="352"/>
        <v>0.002-0.0583961885303193i</v>
      </c>
      <c r="G426" s="270" t="str">
        <f t="shared" si="353"/>
        <v>0.002-0.0583961885303193i</v>
      </c>
      <c r="H426" s="271" t="str">
        <f t="shared" si="354"/>
        <v>0.00369650932196203-0.0582300274752093i</v>
      </c>
      <c r="I426" s="271" t="str">
        <f t="shared" si="355"/>
        <v>0.013696509321962-0.0582300274752093i</v>
      </c>
      <c r="J426" s="270" t="str">
        <f t="shared" si="356"/>
        <v>0.00389355168667513-0.0294456420853671i</v>
      </c>
      <c r="K426" s="271" t="str">
        <f t="shared" si="331"/>
        <v>0.955604557080314-0.33097033810768i</v>
      </c>
      <c r="L426" s="580"/>
      <c r="M426" s="580" t="str">
        <f t="shared" si="332"/>
        <v>-0.154187894874147-35.0044051284372i</v>
      </c>
      <c r="N426" s="270" t="str">
        <f t="shared" si="333"/>
        <v>-6.78230758782228-26.2533038463279i</v>
      </c>
      <c r="O426" s="581" t="str">
        <f t="shared" si="334"/>
        <v>-4.64646940918145-12.6363025073562i</v>
      </c>
      <c r="P426" s="582" t="str">
        <f t="shared" si="335"/>
        <v>-0.799452653765478+0.0974908062722197i</v>
      </c>
      <c r="Q426" s="583" t="str">
        <f t="shared" si="336"/>
        <v>-0.752987959673658+0.223853831345781i</v>
      </c>
      <c r="R426" s="581" t="str">
        <f t="shared" si="357"/>
        <v>-0.525334438949734-1.49545533382771i</v>
      </c>
      <c r="S426" s="253" t="str">
        <f t="shared" si="358"/>
        <v>48.7590727172493-15.7131351260918i</v>
      </c>
      <c r="T426" s="253" t="str">
        <f t="shared" si="359"/>
        <v>15.5690622621616-12.0759917532276i</v>
      </c>
      <c r="U426" s="253" t="str">
        <f t="shared" si="360"/>
        <v>-0.645634147794557-0.951225939376658i</v>
      </c>
      <c r="V426" s="582" t="str">
        <f t="shared" si="337"/>
        <v>6000</v>
      </c>
      <c r="W426" s="584" t="str">
        <f t="shared" si="338"/>
        <v>1+147555.467915567i</v>
      </c>
      <c r="X426" s="585">
        <f t="shared" si="339"/>
        <v>147555.46791895555</v>
      </c>
      <c r="Y426" s="586">
        <f t="shared" si="340"/>
        <v>1.5707895496824378</v>
      </c>
      <c r="Z426" s="273" t="str">
        <f t="shared" si="341"/>
        <v>1+22.1300006872319i</v>
      </c>
      <c r="AA426" s="585">
        <f t="shared" si="342"/>
        <v>22.152582928789236</v>
      </c>
      <c r="AB426" s="586">
        <f t="shared" si="343"/>
        <v>1.5256395186563232</v>
      </c>
      <c r="AC426" s="584" t="str">
        <f t="shared" si="344"/>
        <v>1+1.06988500483769i</v>
      </c>
      <c r="AD426" s="585">
        <f t="shared" si="345"/>
        <v>1.4644636982788422</v>
      </c>
      <c r="AE426" s="586">
        <f t="shared" si="346"/>
        <v>0.81914809071745154</v>
      </c>
      <c r="AF426" s="580" t="str">
        <f t="shared" si="361"/>
        <v>0.399303321189696-0.467865211988267i</v>
      </c>
      <c r="AG426" s="270">
        <f t="shared" si="362"/>
        <v>0.61509430082057137</v>
      </c>
      <c r="AH426" s="581">
        <f t="shared" si="363"/>
        <v>-0.86429812174356624</v>
      </c>
      <c r="AI426" s="582" t="str">
        <f t="shared" si="347"/>
        <v>4000</v>
      </c>
      <c r="AJ426" s="584" t="str">
        <f t="shared" si="364"/>
        <v>1+11592.3108385626i</v>
      </c>
      <c r="AK426" s="585">
        <f t="shared" si="365"/>
        <v>11592.310881694639</v>
      </c>
      <c r="AL426" s="586">
        <f t="shared" si="366"/>
        <v>1.5707100627176609</v>
      </c>
      <c r="AM426" s="273" t="str">
        <f t="shared" si="367"/>
        <v>1+0.405716679265918i</v>
      </c>
      <c r="AN426" s="585">
        <f t="shared" si="368"/>
        <v>1.0791691358793412</v>
      </c>
      <c r="AO426" s="586">
        <f t="shared" si="369"/>
        <v>0.38542481359415104</v>
      </c>
      <c r="AP426" s="584" t="str">
        <f t="shared" si="370"/>
        <v>1+0.00293526691667239i</v>
      </c>
      <c r="AQ426" s="585">
        <f t="shared" si="371"/>
        <v>1.0000043078866572</v>
      </c>
      <c r="AR426" s="586">
        <f t="shared" si="372"/>
        <v>2.9352584868330201E-3</v>
      </c>
      <c r="AS426" s="580" t="str">
        <f t="shared" si="373"/>
        <v>0.139010870489892-0.345452264692628i</v>
      </c>
      <c r="AT426" s="270">
        <f t="shared" si="374"/>
        <v>0.37237251415165307</v>
      </c>
      <c r="AU426" s="581">
        <f t="shared" si="375"/>
        <v>-1.1882205076103436</v>
      </c>
      <c r="AV426" s="580" t="str">
        <f t="shared" si="376"/>
        <v>-0.0200740980178756-0.0705706194324918i</v>
      </c>
      <c r="AW426" s="270">
        <f t="shared" si="377"/>
        <v>-22.689609579855698</v>
      </c>
      <c r="AX426" s="581">
        <f t="shared" si="378"/>
        <v>-105.87861666836746</v>
      </c>
      <c r="AY426" s="299">
        <f t="shared" si="348"/>
        <v>74.121383331632543</v>
      </c>
      <c r="BB426" s="270">
        <f t="shared" si="381"/>
        <v>-48.580447659764836</v>
      </c>
      <c r="BC426" s="270">
        <f t="shared" si="382"/>
        <v>-68.080020216964996</v>
      </c>
      <c r="BD426" s="286"/>
      <c r="BE426" s="270">
        <f t="shared" si="379"/>
        <v>25.890838079909141</v>
      </c>
      <c r="BF426" s="581">
        <f t="shared" si="380"/>
        <v>-37.798596451402481</v>
      </c>
      <c r="BI426" s="286"/>
      <c r="BJ426" s="286"/>
      <c r="BL426" s="253">
        <f t="shared" si="349"/>
        <v>0</v>
      </c>
      <c r="BM426" s="253">
        <f t="shared" si="383"/>
        <v>0</v>
      </c>
      <c r="BN426" s="253">
        <f t="shared" si="350"/>
        <v>0</v>
      </c>
      <c r="BO426" s="253">
        <f t="shared" si="351"/>
        <v>0</v>
      </c>
    </row>
    <row r="427" spans="4:67" ht="13.6" thickBot="1" x14ac:dyDescent="0.25">
      <c r="D427" s="280">
        <v>42172.5</v>
      </c>
      <c r="E427" s="273" t="str">
        <f t="shared" si="330"/>
        <v>0.476959738260656i</v>
      </c>
      <c r="F427" s="579" t="str">
        <f t="shared" si="352"/>
        <v>0.002-0.0580600530210247i</v>
      </c>
      <c r="G427" s="270" t="str">
        <f t="shared" si="353"/>
        <v>0.002-0.0580600530210247i</v>
      </c>
      <c r="H427" s="271" t="str">
        <f t="shared" si="354"/>
        <v>0.00367702835681365-0.0578954133769694i</v>
      </c>
      <c r="I427" s="271" t="str">
        <f t="shared" si="355"/>
        <v>0.0136770283568137-0.0578954133769694i</v>
      </c>
      <c r="J427" s="270" t="str">
        <f t="shared" si="356"/>
        <v>0.00388837400358746-0.0292786098715759i</v>
      </c>
      <c r="K427" s="271" t="str">
        <f t="shared" si="331"/>
        <v>0.955089019058862-0.332886472822903i</v>
      </c>
      <c r="L427" s="580"/>
      <c r="M427" s="580" t="str">
        <f t="shared" si="332"/>
        <v>-0.152670406347996-34.7885028883604i</v>
      </c>
      <c r="N427" s="270" t="str">
        <f t="shared" si="333"/>
        <v>-6.78116947142767-26.0913771662703i</v>
      </c>
      <c r="O427" s="581" t="str">
        <f t="shared" si="334"/>
        <v>-4.64259175670501-12.5535007810056i</v>
      </c>
      <c r="P427" s="582" t="str">
        <f t="shared" si="335"/>
        <v>-0.790286976149992+0.0970901827358504i</v>
      </c>
      <c r="Q427" s="583" t="str">
        <f t="shared" si="336"/>
        <v>-0.743861058582941+0.222625190545907i</v>
      </c>
      <c r="R427" s="581" t="str">
        <f t="shared" si="357"/>
        <v>-0.525051165180791-1.48542384191272i</v>
      </c>
      <c r="S427" s="253" t="str">
        <f t="shared" si="358"/>
        <v>48.7195125812665-15.8135542269978i</v>
      </c>
      <c r="T427" s="253" t="str">
        <f t="shared" si="359"/>
        <v>15.5234611239133-12.139938906746i</v>
      </c>
      <c r="U427" s="253" t="str">
        <f t="shared" si="360"/>
        <v>-0.645766574628686-0.94337609842036i</v>
      </c>
      <c r="V427" s="582" t="str">
        <f t="shared" si="337"/>
        <v>6000</v>
      </c>
      <c r="W427" s="584" t="str">
        <f t="shared" si="338"/>
        <v>1+148409.732246657i</v>
      </c>
      <c r="X427" s="585">
        <f t="shared" si="339"/>
        <v>148409.73225002602</v>
      </c>
      <c r="Y427" s="586">
        <f t="shared" si="340"/>
        <v>1.5707895886923151</v>
      </c>
      <c r="Z427" s="273" t="str">
        <f t="shared" si="341"/>
        <v>1+22.2581211188306i</v>
      </c>
      <c r="AA427" s="585">
        <f t="shared" si="342"/>
        <v>22.280573505646856</v>
      </c>
      <c r="AB427" s="586">
        <f t="shared" si="343"/>
        <v>1.5258990965244963</v>
      </c>
      <c r="AC427" s="584" t="str">
        <f t="shared" si="344"/>
        <v>1+1.07607904570186i</v>
      </c>
      <c r="AD427" s="585">
        <f t="shared" si="345"/>
        <v>1.4689949328022291</v>
      </c>
      <c r="AE427" s="586">
        <f t="shared" si="346"/>
        <v>0.82202731673353435</v>
      </c>
      <c r="AF427" s="580" t="str">
        <f t="shared" si="361"/>
        <v>0.396843751715592-0.467457797744383i</v>
      </c>
      <c r="AG427" s="270">
        <f t="shared" si="362"/>
        <v>0.61318982048606685</v>
      </c>
      <c r="AH427" s="581">
        <f t="shared" si="363"/>
        <v>-0.86691780890135162</v>
      </c>
      <c r="AI427" s="582" t="str">
        <f t="shared" si="347"/>
        <v>4000</v>
      </c>
      <c r="AJ427" s="584" t="str">
        <f t="shared" si="364"/>
        <v>1+11659.4238897032i</v>
      </c>
      <c r="AK427" s="585">
        <f t="shared" si="365"/>
        <v>11659.423932586962</v>
      </c>
      <c r="AL427" s="586">
        <f t="shared" si="366"/>
        <v>1.5707105592640986</v>
      </c>
      <c r="AM427" s="273" t="str">
        <f t="shared" si="367"/>
        <v>1+0.408065553845228i</v>
      </c>
      <c r="AN427" s="585">
        <f t="shared" si="368"/>
        <v>1.0800543950352743</v>
      </c>
      <c r="AO427" s="586">
        <f t="shared" si="369"/>
        <v>0.38744004525270476</v>
      </c>
      <c r="AP427" s="584" t="str">
        <f t="shared" si="370"/>
        <v>1+0.00295226048434266i</v>
      </c>
      <c r="AQ427" s="585">
        <f t="shared" si="371"/>
        <v>1.0000043579114881</v>
      </c>
      <c r="AR427" s="586">
        <f t="shared" si="372"/>
        <v>2.9522519072422379E-3</v>
      </c>
      <c r="AS427" s="580" t="str">
        <f t="shared" si="373"/>
        <v>0.139010514910085-0.343468509725954i</v>
      </c>
      <c r="AT427" s="270">
        <f t="shared" si="374"/>
        <v>0.37053277915581873</v>
      </c>
      <c r="AU427" s="581">
        <f t="shared" si="375"/>
        <v>-1.186222765918636</v>
      </c>
      <c r="AV427" s="580" t="str">
        <f t="shared" si="376"/>
        <v>-0.020117624004423-0.0701939921642302i</v>
      </c>
      <c r="AW427" s="270">
        <f t="shared" si="377"/>
        <v>-22.731167556083175</v>
      </c>
      <c r="AX427" s="581">
        <f t="shared" si="378"/>
        <v>-105.99232209065848</v>
      </c>
      <c r="AY427" s="299">
        <f t="shared" si="348"/>
        <v>74.007677909341524</v>
      </c>
      <c r="BB427" s="270">
        <f t="shared" si="381"/>
        <v>-48.623467323097103</v>
      </c>
      <c r="BC427" s="270">
        <f t="shared" si="382"/>
        <v>-67.965558049472833</v>
      </c>
      <c r="BD427" s="286"/>
      <c r="BE427" s="270">
        <f t="shared" si="379"/>
        <v>25.892299767013927</v>
      </c>
      <c r="BF427" s="581">
        <f t="shared" si="380"/>
        <v>-38.026764041185665</v>
      </c>
      <c r="BI427" s="286"/>
      <c r="BJ427" s="286"/>
      <c r="BL427" s="253">
        <f t="shared" si="349"/>
        <v>0</v>
      </c>
      <c r="BM427" s="253">
        <f t="shared" si="383"/>
        <v>0</v>
      </c>
      <c r="BN427" s="253">
        <f t="shared" si="350"/>
        <v>0</v>
      </c>
      <c r="BO427" s="253">
        <f t="shared" si="351"/>
        <v>0</v>
      </c>
    </row>
    <row r="428" spans="4:67" ht="13.6" thickBot="1" x14ac:dyDescent="0.25">
      <c r="D428" s="280">
        <v>42415.25</v>
      </c>
      <c r="E428" s="273" t="str">
        <f t="shared" si="330"/>
        <v>0.479705176080628i</v>
      </c>
      <c r="F428" s="579" t="str">
        <f t="shared" si="352"/>
        <v>0.002-0.0577277650380266i</v>
      </c>
      <c r="G428" s="270" t="str">
        <f t="shared" si="353"/>
        <v>0.002-0.0577277650380266i</v>
      </c>
      <c r="H428" s="271" t="str">
        <f t="shared" si="354"/>
        <v>0.00365788054215504-0.0575646197840053i</v>
      </c>
      <c r="I428" s="271" t="str">
        <f t="shared" si="355"/>
        <v>0.013657880542155-0.0575646197840053i</v>
      </c>
      <c r="J428" s="270" t="str">
        <f t="shared" si="356"/>
        <v>0.00388327844669197-0.0291135012908406i</v>
      </c>
      <c r="K428" s="271" t="str">
        <f t="shared" si="331"/>
        <v>0.954570504973044-0.334802607538127i</v>
      </c>
      <c r="L428" s="580"/>
      <c r="M428" s="580" t="str">
        <f t="shared" si="332"/>
        <v>-0.151173606545902-34.5753286104296i</v>
      </c>
      <c r="N428" s="270" t="str">
        <f t="shared" si="333"/>
        <v>-6.7800468715761-25.9314964578222i</v>
      </c>
      <c r="O428" s="581" t="str">
        <f t="shared" si="334"/>
        <v>-4.63876809191953-12.471718352589i</v>
      </c>
      <c r="P428" s="582" t="str">
        <f t="shared" si="335"/>
        <v>-0.781285465482188+0.0966916820624605i</v>
      </c>
      <c r="Q428" s="583" t="str">
        <f t="shared" si="336"/>
        <v>-0.734897784562989+0.22140886558835i</v>
      </c>
      <c r="R428" s="581" t="str">
        <f t="shared" si="357"/>
        <v>-0.524772673244666-1.47551425630813i</v>
      </c>
      <c r="S428" s="253" t="str">
        <f t="shared" si="358"/>
        <v>48.6797054641604-15.9138036468919i</v>
      </c>
      <c r="T428" s="253" t="str">
        <f t="shared" si="359"/>
        <v>15.4776260569868-12.2036882898792i</v>
      </c>
      <c r="U428" s="253" t="str">
        <f t="shared" si="360"/>
        <v>-0.645885369176808-0.93560329306753i</v>
      </c>
      <c r="V428" s="582" t="str">
        <f t="shared" si="337"/>
        <v>6000</v>
      </c>
      <c r="W428" s="584" t="str">
        <f t="shared" si="338"/>
        <v>1+149263.996577746i</v>
      </c>
      <c r="X428" s="585">
        <f t="shared" si="339"/>
        <v>149263.99658109579</v>
      </c>
      <c r="Y428" s="586">
        <f t="shared" si="340"/>
        <v>1.5707896272556714</v>
      </c>
      <c r="Z428" s="273" t="str">
        <f t="shared" si="341"/>
        <v>1+22.3862415504293i</v>
      </c>
      <c r="AA428" s="585">
        <f t="shared" si="342"/>
        <v>22.408565566634721</v>
      </c>
      <c r="AB428" s="586">
        <f t="shared" si="343"/>
        <v>1.5261557091234874</v>
      </c>
      <c r="AC428" s="584" t="str">
        <f t="shared" si="344"/>
        <v>1+1.08227308656603i</v>
      </c>
      <c r="AD428" s="585">
        <f t="shared" si="345"/>
        <v>1.4735382702546822</v>
      </c>
      <c r="AE428" s="586">
        <f t="shared" si="346"/>
        <v>0.82488881140474546</v>
      </c>
      <c r="AF428" s="580" t="str">
        <f t="shared" si="361"/>
        <v>0.394400358696342-0.467040100218129i</v>
      </c>
      <c r="AG428" s="270">
        <f t="shared" si="362"/>
        <v>0.61129215449861884</v>
      </c>
      <c r="AH428" s="581">
        <f t="shared" si="363"/>
        <v>-0.86952272953692933</v>
      </c>
      <c r="AI428" s="582" t="str">
        <f t="shared" si="347"/>
        <v>4000</v>
      </c>
      <c r="AJ428" s="584" t="str">
        <f t="shared" si="364"/>
        <v>1+11726.5369408438i</v>
      </c>
      <c r="AK428" s="585">
        <f t="shared" si="365"/>
        <v>11726.536983482134</v>
      </c>
      <c r="AL428" s="586">
        <f t="shared" si="366"/>
        <v>1.5707110501268897</v>
      </c>
      <c r="AM428" s="273" t="str">
        <f t="shared" si="367"/>
        <v>1+0.410414428424538i</v>
      </c>
      <c r="AN428" s="585">
        <f t="shared" si="368"/>
        <v>1.080944033268624</v>
      </c>
      <c r="AO428" s="586">
        <f t="shared" si="369"/>
        <v>0.38945196792010844</v>
      </c>
      <c r="AP428" s="584" t="str">
        <f t="shared" si="370"/>
        <v>1+0.00296925405201292i</v>
      </c>
      <c r="AQ428" s="585">
        <f t="shared" si="371"/>
        <v>1.0000044082250965</v>
      </c>
      <c r="AR428" s="586">
        <f t="shared" si="372"/>
        <v>2.9692453259463603E-3</v>
      </c>
      <c r="AS428" s="580" t="str">
        <f t="shared" si="373"/>
        <v>0.139010165099605-0.341507488554593i</v>
      </c>
      <c r="AT428" s="270">
        <f t="shared" si="374"/>
        <v>0.36871559600847498</v>
      </c>
      <c r="AU428" s="581">
        <f t="shared" si="375"/>
        <v>-1.1842283275327279</v>
      </c>
      <c r="AV428" s="580" t="str">
        <f t="shared" si="376"/>
        <v>-0.0201610358544806-0.0698216192750891i</v>
      </c>
      <c r="AW428" s="270">
        <f t="shared" si="377"/>
        <v>-22.77240587378277</v>
      </c>
      <c r="AX428" s="581">
        <f t="shared" si="378"/>
        <v>-106.10610597441811</v>
      </c>
      <c r="AY428" s="299">
        <f t="shared" si="348"/>
        <v>73.893894025581886</v>
      </c>
      <c r="BB428" s="270">
        <f t="shared" si="381"/>
        <v>-48.666169842552478</v>
      </c>
      <c r="BC428" s="270">
        <f t="shared" si="382"/>
        <v>-67.851285147461411</v>
      </c>
      <c r="BD428" s="286"/>
      <c r="BE428" s="270">
        <f t="shared" si="379"/>
        <v>25.893763968769704</v>
      </c>
      <c r="BF428" s="581">
        <f t="shared" si="380"/>
        <v>-38.254820826956681</v>
      </c>
      <c r="BI428" s="286"/>
      <c r="BJ428" s="286"/>
      <c r="BL428" s="253">
        <f t="shared" si="349"/>
        <v>0</v>
      </c>
      <c r="BM428" s="253">
        <f t="shared" si="383"/>
        <v>0</v>
      </c>
      <c r="BN428" s="253">
        <f t="shared" si="350"/>
        <v>0</v>
      </c>
      <c r="BO428" s="253">
        <f t="shared" si="351"/>
        <v>0</v>
      </c>
    </row>
    <row r="429" spans="4:67" ht="13.6" thickBot="1" x14ac:dyDescent="0.25">
      <c r="D429" s="280">
        <v>42658</v>
      </c>
      <c r="E429" s="273" t="str">
        <f t="shared" si="330"/>
        <v>0.4824506139006i</v>
      </c>
      <c r="F429" s="579" t="str">
        <f t="shared" si="352"/>
        <v>0.002-0.057399258897022i</v>
      </c>
      <c r="G429" s="270" t="str">
        <f t="shared" si="353"/>
        <v>0.002-0.057399258897022i</v>
      </c>
      <c r="H429" s="271" t="str">
        <f t="shared" si="354"/>
        <v>0.00363905832669986-0.0572375816898144i</v>
      </c>
      <c r="I429" s="271" t="str">
        <f t="shared" si="355"/>
        <v>0.0136390583266999-0.0572375816898144i</v>
      </c>
      <c r="J429" s="270" t="str">
        <f t="shared" si="356"/>
        <v>0.00387826311862543-0.0289502835173152i</v>
      </c>
      <c r="K429" s="271" t="str">
        <f t="shared" si="331"/>
        <v>0.954049014822858-0.33671874225335i</v>
      </c>
      <c r="L429" s="580"/>
      <c r="M429" s="580" t="str">
        <f t="shared" si="332"/>
        <v>-0.149697188113539-34.364829597451i</v>
      </c>
      <c r="N429" s="270" t="str">
        <f t="shared" si="333"/>
        <v>-6.77893955775182-25.7736221980882i</v>
      </c>
      <c r="O429" s="581" t="str">
        <f t="shared" si="334"/>
        <v>-4.63499711976875-12.3909355387501i</v>
      </c>
      <c r="P429" s="582" t="str">
        <f t="shared" si="335"/>
        <v>-0.772444181173042+0.0962953337394273i</v>
      </c>
      <c r="Q429" s="583" t="str">
        <f t="shared" si="336"/>
        <v>-0.726094209975358+0.220204689126929i</v>
      </c>
      <c r="R429" s="581" t="str">
        <f t="shared" si="357"/>
        <v>-0.52449885681177-1.46572422044569i</v>
      </c>
      <c r="S429" s="253" t="str">
        <f t="shared" si="358"/>
        <v>48.6396516346733-16.0138840604493i</v>
      </c>
      <c r="T429" s="253" t="str">
        <f t="shared" si="359"/>
        <v>15.4315577578315-12.2672393398983i</v>
      </c>
      <c r="U429" s="253" t="str">
        <f t="shared" si="360"/>
        <v>-0.645990775073347-0.927906247230447i</v>
      </c>
      <c r="V429" s="582" t="str">
        <f t="shared" si="337"/>
        <v>6000</v>
      </c>
      <c r="W429" s="584" t="str">
        <f t="shared" si="338"/>
        <v>1+150118.260908836i</v>
      </c>
      <c r="X429" s="585">
        <f t="shared" si="339"/>
        <v>150118.2609121667</v>
      </c>
      <c r="Y429" s="586">
        <f t="shared" si="340"/>
        <v>1.5707896653801299</v>
      </c>
      <c r="Z429" s="273" t="str">
        <f t="shared" si="341"/>
        <v>1+22.514361982028i</v>
      </c>
      <c r="AA429" s="585">
        <f t="shared" si="342"/>
        <v>22.536559086466323</v>
      </c>
      <c r="AB429" s="586">
        <f t="shared" si="343"/>
        <v>1.5264094069418164</v>
      </c>
      <c r="AC429" s="584" t="str">
        <f t="shared" si="344"/>
        <v>1+1.0884671274302i</v>
      </c>
      <c r="AD429" s="585">
        <f t="shared" si="345"/>
        <v>1.4780935990309108</v>
      </c>
      <c r="AE429" s="586">
        <f t="shared" si="346"/>
        <v>0.82773269159244034</v>
      </c>
      <c r="AF429" s="580" t="str">
        <f t="shared" si="361"/>
        <v>0.391973102619563-0.466612331263735i</v>
      </c>
      <c r="AG429" s="270">
        <f t="shared" si="362"/>
        <v>0.60940132988416096</v>
      </c>
      <c r="AH429" s="581">
        <f t="shared" si="363"/>
        <v>-0.8721129500307564</v>
      </c>
      <c r="AI429" s="582" t="str">
        <f t="shared" si="347"/>
        <v>4000</v>
      </c>
      <c r="AJ429" s="584" t="str">
        <f t="shared" si="364"/>
        <v>1+11793.6499919844i</v>
      </c>
      <c r="AK429" s="585">
        <f t="shared" si="365"/>
        <v>11793.650034380094</v>
      </c>
      <c r="AL429" s="586">
        <f t="shared" si="366"/>
        <v>1.5707115354030643</v>
      </c>
      <c r="AM429" s="273" t="str">
        <f t="shared" si="367"/>
        <v>1+0.412763303003847i</v>
      </c>
      <c r="AN429" s="585">
        <f t="shared" si="368"/>
        <v>1.0818380397761236</v>
      </c>
      <c r="AO429" s="586">
        <f t="shared" si="369"/>
        <v>0.39146057349199165</v>
      </c>
      <c r="AP429" s="584" t="str">
        <f t="shared" si="370"/>
        <v>1+0.00298624761968319i</v>
      </c>
      <c r="AQ429" s="585">
        <f t="shared" si="371"/>
        <v>1.0000044588274826</v>
      </c>
      <c r="AR429" s="586">
        <f t="shared" si="372"/>
        <v>2.986238742935592E-3</v>
      </c>
      <c r="AS429" s="580" t="str">
        <f t="shared" si="373"/>
        <v>0.139009820925682-0.339568813071119i</v>
      </c>
      <c r="AT429" s="270">
        <f t="shared" si="374"/>
        <v>0.36692057604380651</v>
      </c>
      <c r="AU429" s="581">
        <f t="shared" si="375"/>
        <v>-1.1822372006540081</v>
      </c>
      <c r="AV429" s="580" t="str">
        <f t="shared" si="376"/>
        <v>-0.0202043382178813-0.0694534249555701i</v>
      </c>
      <c r="AW429" s="270">
        <f t="shared" si="377"/>
        <v>-22.813328024986085</v>
      </c>
      <c r="AX429" s="581">
        <f t="shared" si="378"/>
        <v>-106.21996970556859</v>
      </c>
      <c r="AY429" s="299">
        <f t="shared" si="348"/>
        <v>73.780030294431413</v>
      </c>
      <c r="BB429" s="270">
        <f t="shared" si="381"/>
        <v>-48.708558666940284</v>
      </c>
      <c r="BC429" s="270">
        <f t="shared" si="382"/>
        <v>-67.737201980835707</v>
      </c>
      <c r="BD429" s="286"/>
      <c r="BE429" s="270">
        <f t="shared" si="379"/>
        <v>25.895230641954193</v>
      </c>
      <c r="BF429" s="581">
        <f t="shared" si="380"/>
        <v>-38.482767724732881</v>
      </c>
      <c r="BI429" s="286"/>
      <c r="BJ429" s="286"/>
      <c r="BL429" s="253">
        <f t="shared" si="349"/>
        <v>0</v>
      </c>
      <c r="BM429" s="253">
        <f t="shared" si="383"/>
        <v>0</v>
      </c>
      <c r="BN429" s="253">
        <f t="shared" si="350"/>
        <v>0</v>
      </c>
      <c r="BO429" s="253">
        <f t="shared" si="351"/>
        <v>0</v>
      </c>
    </row>
    <row r="430" spans="4:67" ht="13.6" thickBot="1" x14ac:dyDescent="0.25">
      <c r="D430" s="280">
        <v>42906.5</v>
      </c>
      <c r="E430" s="273" t="str">
        <f t="shared" si="330"/>
        <v>0.485261082688502i</v>
      </c>
      <c r="F430" s="579" t="str">
        <f t="shared" si="352"/>
        <v>0.002-0.0570668217176687i</v>
      </c>
      <c r="G430" s="270" t="str">
        <f t="shared" si="353"/>
        <v>0.002-0.0570668217176687i</v>
      </c>
      <c r="H430" s="271" t="str">
        <f t="shared" si="354"/>
        <v>0.00362011986998786-0.0569066207293307i</v>
      </c>
      <c r="I430" s="271" t="str">
        <f t="shared" si="355"/>
        <v>0.0136201198699879-0.0569066207293307i</v>
      </c>
      <c r="J430" s="270" t="str">
        <f t="shared" si="356"/>
        <v>0.00387321017018747-0.0287851246455185i</v>
      </c>
      <c r="K430" s="271" t="str">
        <f t="shared" si="331"/>
        <v>0.95351208953688-0.338680264299624i</v>
      </c>
      <c r="L430" s="580"/>
      <c r="M430" s="580" t="str">
        <f t="shared" si="332"/>
        <v>-0.148206591035363-34.1520620094071i</v>
      </c>
      <c r="N430" s="270" t="str">
        <f t="shared" si="333"/>
        <v>-6.77782160994319-25.6140465070553i</v>
      </c>
      <c r="O430" s="581" t="str">
        <f t="shared" si="334"/>
        <v>-4.63119009096589-12.3092546318138i</v>
      </c>
      <c r="P430" s="582" t="str">
        <f t="shared" si="335"/>
        <v>-0.763555448973043+0.0958918544365222i</v>
      </c>
      <c r="Q430" s="583" t="str">
        <f t="shared" si="336"/>
        <v>-0.717243548063382+0.218984400754661i</v>
      </c>
      <c r="R430" s="581" t="str">
        <f t="shared" si="357"/>
        <v>-0.524223289494194-1.45582372414594i</v>
      </c>
      <c r="S430" s="253" t="str">
        <f t="shared" si="358"/>
        <v>48.5983937809677-16.1161606820015i</v>
      </c>
      <c r="T430" s="253" t="str">
        <f t="shared" si="359"/>
        <v>15.3841573876389-12.3320896875531i</v>
      </c>
      <c r="U430" s="253" t="str">
        <f t="shared" si="360"/>
        <v>-0.646085056807665-0.920104052615083i</v>
      </c>
      <c r="V430" s="582" t="str">
        <f t="shared" si="337"/>
        <v>6000</v>
      </c>
      <c r="W430" s="584" t="str">
        <f t="shared" si="338"/>
        <v>1+150992.760131393i</v>
      </c>
      <c r="X430" s="585">
        <f t="shared" si="339"/>
        <v>150992.76013470441</v>
      </c>
      <c r="Y430" s="586">
        <f t="shared" si="340"/>
        <v>1.570789703960801</v>
      </c>
      <c r="Z430" s="273" t="str">
        <f t="shared" si="341"/>
        <v>1+22.6455171921301i</v>
      </c>
      <c r="AA430" s="585">
        <f t="shared" si="342"/>
        <v>22.66758586393928</v>
      </c>
      <c r="AB430" s="586">
        <f t="shared" si="343"/>
        <v>1.5266661464321243</v>
      </c>
      <c r="AC430" s="584" t="str">
        <f t="shared" si="344"/>
        <v>1+1.09480788604913i</v>
      </c>
      <c r="AD430" s="585">
        <f t="shared" si="345"/>
        <v>1.4827691348808705</v>
      </c>
      <c r="AE430" s="586">
        <f t="shared" si="346"/>
        <v>0.83062581096288113</v>
      </c>
      <c r="AF430" s="580" t="str">
        <f t="shared" si="361"/>
        <v>0.389505023354823-0.46616421614025i</v>
      </c>
      <c r="AG430" s="270">
        <f t="shared" si="362"/>
        <v>0.60747283036222688</v>
      </c>
      <c r="AH430" s="581">
        <f t="shared" si="363"/>
        <v>-0.8747493684915586</v>
      </c>
      <c r="AI430" s="582" t="str">
        <f t="shared" si="347"/>
        <v>4000</v>
      </c>
      <c r="AJ430" s="584" t="str">
        <f t="shared" si="364"/>
        <v>1+11862.3527446452i</v>
      </c>
      <c r="AK430" s="585">
        <f t="shared" si="365"/>
        <v>11862.352786795354</v>
      </c>
      <c r="AL430" s="586">
        <f t="shared" si="366"/>
        <v>1.5707120264862515</v>
      </c>
      <c r="AM430" s="273" t="str">
        <f t="shared" si="367"/>
        <v>1+0.415167815189052i</v>
      </c>
      <c r="AN430" s="585">
        <f t="shared" si="368"/>
        <v>1.0827577359542859</v>
      </c>
      <c r="AO430" s="586">
        <f t="shared" si="369"/>
        <v>0.39351331254062266</v>
      </c>
      <c r="AP430" s="584" t="str">
        <f t="shared" si="370"/>
        <v>1+0.00300364371264327i</v>
      </c>
      <c r="AQ430" s="585">
        <f t="shared" si="371"/>
        <v>1.0000045109276019</v>
      </c>
      <c r="AR430" s="586">
        <f t="shared" si="372"/>
        <v>3.003634679858906E-3</v>
      </c>
      <c r="AS430" s="580" t="str">
        <f t="shared" si="373"/>
        <v>0.139009474303066-0.337606966286408i</v>
      </c>
      <c r="AT430" s="270">
        <f t="shared" si="374"/>
        <v>0.36510559791809089</v>
      </c>
      <c r="AU430" s="581">
        <f t="shared" si="375"/>
        <v>-1.1802023486254885</v>
      </c>
      <c r="AV430" s="580" t="str">
        <f t="shared" si="376"/>
        <v>-0.0202485575633539-0.0690807600903842i</v>
      </c>
      <c r="AW430" s="270">
        <f t="shared" si="377"/>
        <v>-22.854895595213776</v>
      </c>
      <c r="AX430" s="581">
        <f t="shared" si="378"/>
        <v>-106.33661463655187</v>
      </c>
      <c r="AY430" s="299">
        <f t="shared" si="348"/>
        <v>73.663385363448128</v>
      </c>
      <c r="BB430" s="270">
        <f t="shared" si="381"/>
        <v>-48.751630165092045</v>
      </c>
      <c r="BC430" s="270">
        <f t="shared" si="382"/>
        <v>-67.620613547667901</v>
      </c>
      <c r="BD430" s="286"/>
      <c r="BE430" s="270">
        <f t="shared" si="379"/>
        <v>25.896734569878255</v>
      </c>
      <c r="BF430" s="581">
        <f t="shared" si="380"/>
        <v>-38.716001088883949</v>
      </c>
      <c r="BI430" s="286"/>
      <c r="BJ430" s="286"/>
      <c r="BL430" s="253">
        <f t="shared" si="349"/>
        <v>0</v>
      </c>
      <c r="BM430" s="253">
        <f t="shared" si="383"/>
        <v>0</v>
      </c>
      <c r="BN430" s="253">
        <f t="shared" si="350"/>
        <v>0</v>
      </c>
      <c r="BO430" s="253">
        <f t="shared" si="351"/>
        <v>0</v>
      </c>
    </row>
    <row r="431" spans="4:67" ht="13.6" thickBot="1" x14ac:dyDescent="0.25">
      <c r="D431" s="280">
        <v>43155</v>
      </c>
      <c r="E431" s="273" t="str">
        <f t="shared" si="330"/>
        <v>0.488071551476403i</v>
      </c>
      <c r="F431" s="579" t="str">
        <f t="shared" si="352"/>
        <v>0.002-0.0567382130930172i</v>
      </c>
      <c r="G431" s="270" t="str">
        <f t="shared" si="353"/>
        <v>0.002-0.0567382130930172i</v>
      </c>
      <c r="H431" s="271" t="str">
        <f t="shared" si="354"/>
        <v>0.00360150728101339-0.0565794620871468i</v>
      </c>
      <c r="I431" s="271" t="str">
        <f t="shared" si="355"/>
        <v>0.0136015072810134-0.0565794620871468i</v>
      </c>
      <c r="J431" s="270" t="str">
        <f t="shared" si="356"/>
        <v>0.00386823744257337-0.0286218799626374i</v>
      </c>
      <c r="K431" s="271" t="str">
        <f t="shared" si="331"/>
        <v>0.952972045529153-0.340641786345898i</v>
      </c>
      <c r="L431" s="580"/>
      <c r="M431" s="580" t="str">
        <f t="shared" si="332"/>
        <v>-0.146736709217079-33.9419905385139i</v>
      </c>
      <c r="N431" s="270" t="str">
        <f t="shared" si="333"/>
        <v>-6.77671919857948-25.4564929038854i</v>
      </c>
      <c r="O431" s="581" t="str">
        <f t="shared" si="334"/>
        <v>-4.62743565051087-12.2285811474836i</v>
      </c>
      <c r="P431" s="582" t="str">
        <f t="shared" si="335"/>
        <v>-0.75482664310649+0.0954906844348294i</v>
      </c>
      <c r="Q431" s="583" t="str">
        <f t="shared" si="336"/>
        <v>-0.708552286601382+0.217776495909666i</v>
      </c>
      <c r="R431" s="581" t="str">
        <f t="shared" si="357"/>
        <v>-0.52395240553903-1.44604370612602i</v>
      </c>
      <c r="S431" s="253" t="str">
        <f t="shared" si="358"/>
        <v>48.5568779420769-16.218261521936i</v>
      </c>
      <c r="T431" s="253" t="str">
        <f t="shared" si="359"/>
        <v>15.3365140899813-12.3967309776045i</v>
      </c>
      <c r="U431" s="253" t="str">
        <f t="shared" si="360"/>
        <v>-0.646165803191497-0.912378634379699i</v>
      </c>
      <c r="V431" s="582" t="str">
        <f t="shared" si="337"/>
        <v>6000</v>
      </c>
      <c r="W431" s="584" t="str">
        <f t="shared" si="338"/>
        <v>1+151867.25935395i</v>
      </c>
      <c r="X431" s="585">
        <f t="shared" si="339"/>
        <v>151867.25935724235</v>
      </c>
      <c r="Y431" s="586">
        <f t="shared" si="340"/>
        <v>1.5707897420971531</v>
      </c>
      <c r="Z431" s="273" t="str">
        <f t="shared" si="341"/>
        <v>1+22.7766724022322i</v>
      </c>
      <c r="AA431" s="585">
        <f t="shared" si="342"/>
        <v>22.798614118375834</v>
      </c>
      <c r="AB431" s="586">
        <f t="shared" si="343"/>
        <v>1.5269199348712663</v>
      </c>
      <c r="AC431" s="584" t="str">
        <f t="shared" si="344"/>
        <v>1+1.10114864466806i</v>
      </c>
      <c r="AD431" s="585">
        <f t="shared" si="345"/>
        <v>1.4874570036321406</v>
      </c>
      <c r="AE431" s="586">
        <f t="shared" si="346"/>
        <v>0.83350071836347828</v>
      </c>
      <c r="AF431" s="580" t="str">
        <f t="shared" si="361"/>
        <v>0.387053763103748-0.465705987776293i</v>
      </c>
      <c r="AG431" s="270">
        <f t="shared" si="362"/>
        <v>0.60555155237474634</v>
      </c>
      <c r="AH431" s="581">
        <f t="shared" si="363"/>
        <v>-0.87737052558936413</v>
      </c>
      <c r="AI431" s="582" t="str">
        <f t="shared" si="347"/>
        <v>4000</v>
      </c>
      <c r="AJ431" s="584" t="str">
        <f t="shared" si="364"/>
        <v>1+11931.0554973061i</v>
      </c>
      <c r="AK431" s="585">
        <f t="shared" si="365"/>
        <v>11931.055539213541</v>
      </c>
      <c r="AL431" s="586">
        <f t="shared" si="366"/>
        <v>1.5707125119138172</v>
      </c>
      <c r="AM431" s="273" t="str">
        <f t="shared" si="367"/>
        <v>1+0.417572327374256i</v>
      </c>
      <c r="AN431" s="585">
        <f t="shared" si="368"/>
        <v>1.0836819868341232</v>
      </c>
      <c r="AO431" s="586">
        <f t="shared" si="369"/>
        <v>0.39556255873112789</v>
      </c>
      <c r="AP431" s="584" t="str">
        <f t="shared" si="370"/>
        <v>1+0.00302103980560335i</v>
      </c>
      <c r="AQ431" s="585">
        <f t="shared" si="371"/>
        <v>1.0000045633303416</v>
      </c>
      <c r="AR431" s="586">
        <f t="shared" si="372"/>
        <v>3.0210306149643031E-3</v>
      </c>
      <c r="AS431" s="580" t="str">
        <f t="shared" si="373"/>
        <v>0.139009133317512-0.335667741199934i</v>
      </c>
      <c r="AT431" s="270">
        <f t="shared" si="374"/>
        <v>0.36331304907469492</v>
      </c>
      <c r="AU431" s="581">
        <f t="shared" si="375"/>
        <v>-1.1781709837976526</v>
      </c>
      <c r="AV431" s="580" t="str">
        <f t="shared" si="376"/>
        <v>-0.0202926715375564-0.0687123187163214i</v>
      </c>
      <c r="AW431" s="270">
        <f t="shared" si="377"/>
        <v>-22.896139074117727</v>
      </c>
      <c r="AX431" s="581">
        <f t="shared" si="378"/>
        <v>-106.45334607525842</v>
      </c>
      <c r="AY431" s="299">
        <f t="shared" si="348"/>
        <v>73.546653924741577</v>
      </c>
      <c r="BB431" s="270">
        <f t="shared" si="381"/>
        <v>-48.79438006700336</v>
      </c>
      <c r="BC431" s="270">
        <f t="shared" si="382"/>
        <v>-67.504224916381588</v>
      </c>
      <c r="BD431" s="286"/>
      <c r="BE431" s="270">
        <f t="shared" si="379"/>
        <v>25.898240992885636</v>
      </c>
      <c r="BF431" s="581">
        <f t="shared" si="380"/>
        <v>-38.949121158876849</v>
      </c>
      <c r="BI431" s="286"/>
      <c r="BJ431" s="286"/>
      <c r="BL431" s="253">
        <f t="shared" si="349"/>
        <v>0</v>
      </c>
      <c r="BM431" s="253">
        <f t="shared" si="383"/>
        <v>0</v>
      </c>
      <c r="BN431" s="253">
        <f t="shared" si="350"/>
        <v>0</v>
      </c>
      <c r="BO431" s="253">
        <f t="shared" si="351"/>
        <v>0</v>
      </c>
    </row>
    <row r="432" spans="4:67" ht="13.6" thickBot="1" x14ac:dyDescent="0.25">
      <c r="D432" s="280">
        <v>43403.5</v>
      </c>
      <c r="E432" s="273" t="str">
        <f t="shared" si="330"/>
        <v>0.490882020264304i</v>
      </c>
      <c r="F432" s="579" t="str">
        <f t="shared" si="352"/>
        <v>0.002-0.0564133672636805i</v>
      </c>
      <c r="G432" s="270" t="str">
        <f t="shared" si="353"/>
        <v>0.002-0.0564133672636805i</v>
      </c>
      <c r="H432" s="271" t="str">
        <f t="shared" si="354"/>
        <v>0.00358321312825892-0.0562560406639223i</v>
      </c>
      <c r="I432" s="271" t="str">
        <f t="shared" si="355"/>
        <v>0.0135832131282589-0.0562560406639223i</v>
      </c>
      <c r="J432" s="270" t="str">
        <f t="shared" si="356"/>
        <v>0.00386334306887934-0.02846051660277i</v>
      </c>
      <c r="K432" s="271" t="str">
        <f t="shared" si="331"/>
        <v>0.952428882799677-0.342603308392172i</v>
      </c>
      <c r="L432" s="580"/>
      <c r="M432" s="580" t="str">
        <f t="shared" si="332"/>
        <v>-0.145287222137395-33.7345629864855i</v>
      </c>
      <c r="N432" s="270" t="str">
        <f t="shared" si="333"/>
        <v>-6.77563208326972-25.3009222398641i</v>
      </c>
      <c r="O432" s="581" t="str">
        <f t="shared" si="334"/>
        <v>-4.62373252445151-12.1488955910443i</v>
      </c>
      <c r="P432" s="582" t="str">
        <f t="shared" si="335"/>
        <v>-0.746253908719221+0.0950918468285248i</v>
      </c>
      <c r="Q432" s="583" t="str">
        <f t="shared" si="336"/>
        <v>-0.700016583474707+0.216580802738967i</v>
      </c>
      <c r="R432" s="581" t="str">
        <f t="shared" si="357"/>
        <v>-0.52368610004255-1.43638183227206i</v>
      </c>
      <c r="S432" s="253" t="str">
        <f t="shared" si="358"/>
        <v>48.5151043900585-16.3201871995965i</v>
      </c>
      <c r="T432" s="253" t="str">
        <f t="shared" si="359"/>
        <v>15.2886286200408-12.4611625825886i</v>
      </c>
      <c r="U432" s="253" t="str">
        <f t="shared" si="360"/>
        <v>-0.646233254181448-0.904728714703925i</v>
      </c>
      <c r="V432" s="582" t="str">
        <f t="shared" si="337"/>
        <v>6000</v>
      </c>
      <c r="W432" s="584" t="str">
        <f t="shared" si="338"/>
        <v>1+152741.758576507i</v>
      </c>
      <c r="X432" s="585">
        <f t="shared" si="339"/>
        <v>152741.75857978052</v>
      </c>
      <c r="Y432" s="586">
        <f t="shared" si="340"/>
        <v>1.5707897797968176</v>
      </c>
      <c r="Z432" s="273" t="str">
        <f t="shared" si="341"/>
        <v>1+22.9078276123342i</v>
      </c>
      <c r="AA432" s="585">
        <f t="shared" si="342"/>
        <v>22.929643824456175</v>
      </c>
      <c r="AB432" s="586">
        <f t="shared" si="343"/>
        <v>1.5271708228169387</v>
      </c>
      <c r="AC432" s="584" t="str">
        <f t="shared" si="344"/>
        <v>1+1.10748940328699i</v>
      </c>
      <c r="AD432" s="585">
        <f t="shared" si="345"/>
        <v>1.4921570890469185</v>
      </c>
      <c r="AE432" s="586">
        <f t="shared" si="346"/>
        <v>0.83635753814262881</v>
      </c>
      <c r="AF432" s="580" t="str">
        <f t="shared" si="361"/>
        <v>0.384619271902627-0.465237864990524i</v>
      </c>
      <c r="AG432" s="270">
        <f t="shared" si="362"/>
        <v>0.60363751982447866</v>
      </c>
      <c r="AH432" s="581">
        <f t="shared" si="363"/>
        <v>-0.8799764951225082</v>
      </c>
      <c r="AI432" s="582" t="str">
        <f t="shared" si="347"/>
        <v>4000</v>
      </c>
      <c r="AJ432" s="584" t="str">
        <f t="shared" si="364"/>
        <v>1+11999.758249967i</v>
      </c>
      <c r="AK432" s="585">
        <f t="shared" si="365"/>
        <v>11999.758291634507</v>
      </c>
      <c r="AL432" s="586">
        <f t="shared" si="366"/>
        <v>1.5707129917829028</v>
      </c>
      <c r="AM432" s="273" t="str">
        <f t="shared" si="367"/>
        <v>1+0.41997683955946i</v>
      </c>
      <c r="AN432" s="585">
        <f t="shared" si="368"/>
        <v>1.0846107807717718</v>
      </c>
      <c r="AO432" s="586">
        <f t="shared" si="369"/>
        <v>0.39760830380362627</v>
      </c>
      <c r="AP432" s="584" t="str">
        <f t="shared" si="370"/>
        <v>1+0.00303843589856343i</v>
      </c>
      <c r="AQ432" s="585">
        <f t="shared" si="371"/>
        <v>1.000004616035701</v>
      </c>
      <c r="AR432" s="586">
        <f t="shared" si="372"/>
        <v>3.0384265482412548E-3</v>
      </c>
      <c r="AS432" s="580" t="str">
        <f t="shared" si="373"/>
        <v>0.139008797838372-0.333750749260631i</v>
      </c>
      <c r="AT432" s="270">
        <f t="shared" si="374"/>
        <v>0.36154254038563977</v>
      </c>
      <c r="AU432" s="581">
        <f t="shared" si="375"/>
        <v>-1.1761431145275185</v>
      </c>
      <c r="AV432" s="580" t="str">
        <f t="shared" si="376"/>
        <v>-0.0203366846352828-0.0683480248738029i</v>
      </c>
      <c r="AW432" s="270">
        <f t="shared" si="377"/>
        <v>-22.937062033011749</v>
      </c>
      <c r="AX432" s="581">
        <f t="shared" si="378"/>
        <v>-106.57016540227254</v>
      </c>
      <c r="AY432" s="299">
        <f t="shared" si="348"/>
        <v>73.429834597727464</v>
      </c>
      <c r="BB432" s="270">
        <f t="shared" si="381"/>
        <v>-48.836811894482878</v>
      </c>
      <c r="BC432" s="270">
        <f t="shared" si="382"/>
        <v>-67.388036565798629</v>
      </c>
      <c r="BD432" s="286"/>
      <c r="BE432" s="270">
        <f t="shared" si="379"/>
        <v>25.899749861471125</v>
      </c>
      <c r="BF432" s="581">
        <f t="shared" si="380"/>
        <v>-39.182128836473957</v>
      </c>
      <c r="BI432" s="286"/>
      <c r="BJ432" s="286"/>
      <c r="BL432" s="253">
        <f t="shared" si="349"/>
        <v>0</v>
      </c>
      <c r="BM432" s="253">
        <f t="shared" si="383"/>
        <v>0</v>
      </c>
      <c r="BN432" s="253">
        <f t="shared" si="350"/>
        <v>0</v>
      </c>
      <c r="BO432" s="253">
        <f t="shared" si="351"/>
        <v>0</v>
      </c>
    </row>
    <row r="433" spans="4:67" ht="13.6" thickBot="1" x14ac:dyDescent="0.25">
      <c r="D433" s="280">
        <v>43652</v>
      </c>
      <c r="E433" s="273" t="str">
        <f t="shared" si="330"/>
        <v>0.493692489052206i</v>
      </c>
      <c r="F433" s="579" t="str">
        <f t="shared" si="352"/>
        <v>0.002-0.0560922199676799i</v>
      </c>
      <c r="G433" s="270" t="str">
        <f t="shared" si="353"/>
        <v>0.002-0.0560922199676799i</v>
      </c>
      <c r="H433" s="271" t="str">
        <f t="shared" si="354"/>
        <v>0.00356523019079821-0.0559362928367943i</v>
      </c>
      <c r="I433" s="271" t="str">
        <f t="shared" si="355"/>
        <v>0.0135652301907982-0.0559362928367943i</v>
      </c>
      <c r="J433" s="270" t="str">
        <f t="shared" si="356"/>
        <v>0.00385852523522608-0.0283010024475939i</v>
      </c>
      <c r="K433" s="271" t="str">
        <f t="shared" si="331"/>
        <v>0.951882601348451-0.344564830438446i</v>
      </c>
      <c r="L433" s="580"/>
      <c r="M433" s="580" t="str">
        <f t="shared" si="332"/>
        <v>-0.143857812700095-33.5297285207184i</v>
      </c>
      <c r="N433" s="270" t="str">
        <f t="shared" si="333"/>
        <v>-6.77456002619174-25.1472963905388i</v>
      </c>
      <c r="O433" s="581" t="str">
        <f t="shared" si="334"/>
        <v>-4.62007947513497-12.0701789785668i</v>
      </c>
      <c r="P433" s="582" t="str">
        <f t="shared" si="335"/>
        <v>-0.737833507517623+0.0946953621620206i</v>
      </c>
      <c r="Q433" s="583" t="str">
        <f t="shared" si="336"/>
        <v>-0.691632712766269+0.215397151947688i</v>
      </c>
      <c r="R433" s="581" t="str">
        <f t="shared" si="357"/>
        <v>-0.523424270992901-1.42683582958419i</v>
      </c>
      <c r="S433" s="253" t="str">
        <f t="shared" si="358"/>
        <v>48.4730733920718-16.4219383009188i</v>
      </c>
      <c r="T433" s="253" t="str">
        <f t="shared" si="359"/>
        <v>15.2405017358898-12.525383867597i</v>
      </c>
      <c r="U433" s="253" t="str">
        <f t="shared" si="360"/>
        <v>-0.646287642999461-0.8971530447945i</v>
      </c>
      <c r="V433" s="582" t="str">
        <f t="shared" si="337"/>
        <v>6000</v>
      </c>
      <c r="W433" s="584" t="str">
        <f t="shared" si="338"/>
        <v>1+153616.257799064i</v>
      </c>
      <c r="X433" s="585">
        <f t="shared" si="339"/>
        <v>153616.2578023189</v>
      </c>
      <c r="Y433" s="586">
        <f t="shared" si="340"/>
        <v>1.5707898170672525</v>
      </c>
      <c r="Z433" s="273" t="str">
        <f t="shared" si="341"/>
        <v>1+23.0389828224363i</v>
      </c>
      <c r="AA433" s="585">
        <f t="shared" si="342"/>
        <v>23.060674957435982</v>
      </c>
      <c r="AB433" s="586">
        <f t="shared" si="343"/>
        <v>1.5274188596792395</v>
      </c>
      <c r="AC433" s="584" t="str">
        <f t="shared" si="344"/>
        <v>1+1.11383016190593i</v>
      </c>
      <c r="AD433" s="585">
        <f t="shared" si="345"/>
        <v>1.4968692760463054</v>
      </c>
      <c r="AE433" s="586">
        <f t="shared" si="346"/>
        <v>0.8391963942699856</v>
      </c>
      <c r="AF433" s="580" t="str">
        <f t="shared" si="361"/>
        <v>0.382201497422517-0.464760063742427i</v>
      </c>
      <c r="AG433" s="270">
        <f t="shared" si="362"/>
        <v>0.60173075497424844</v>
      </c>
      <c r="AH433" s="581">
        <f t="shared" si="363"/>
        <v>-0.88256735165799927</v>
      </c>
      <c r="AI433" s="582" t="str">
        <f t="shared" si="347"/>
        <v>4000</v>
      </c>
      <c r="AJ433" s="584" t="str">
        <f t="shared" si="364"/>
        <v>1+12068.4610026279i</v>
      </c>
      <c r="AK433" s="585">
        <f t="shared" si="365"/>
        <v>12068.461044058202</v>
      </c>
      <c r="AL433" s="586">
        <f t="shared" si="366"/>
        <v>1.570713466188437</v>
      </c>
      <c r="AM433" s="273" t="str">
        <f t="shared" si="367"/>
        <v>1+0.422381351744665i</v>
      </c>
      <c r="AN433" s="585">
        <f t="shared" si="368"/>
        <v>1.0855441061060809</v>
      </c>
      <c r="AO433" s="586">
        <f t="shared" si="369"/>
        <v>0.39965053964365471</v>
      </c>
      <c r="AP433" s="584" t="str">
        <f t="shared" si="370"/>
        <v>1+0.00305583199152352i</v>
      </c>
      <c r="AQ433" s="585">
        <f t="shared" si="371"/>
        <v>1.0000046690436801</v>
      </c>
      <c r="AR433" s="586">
        <f t="shared" si="372"/>
        <v>3.0558224796792426E-3</v>
      </c>
      <c r="AS433" s="580" t="str">
        <f t="shared" si="373"/>
        <v>0.13900846773871-0.331855610765129i</v>
      </c>
      <c r="AT433" s="270">
        <f t="shared" si="374"/>
        <v>0.35979369157804969</v>
      </c>
      <c r="AU433" s="581">
        <f t="shared" si="375"/>
        <v>-1.1741187490244616</v>
      </c>
      <c r="AV433" s="580" t="str">
        <f t="shared" si="376"/>
        <v>-0.020380601195739-0.0679878043120453i</v>
      </c>
      <c r="AW433" s="270">
        <f t="shared" si="377"/>
        <v>-22.977667986889866</v>
      </c>
      <c r="AX433" s="581">
        <f t="shared" si="378"/>
        <v>-106.68707396395591</v>
      </c>
      <c r="AY433" s="299">
        <f t="shared" si="348"/>
        <v>73.31292603604409</v>
      </c>
      <c r="BB433" s="270">
        <f t="shared" si="381"/>
        <v>-48.878929112019506</v>
      </c>
      <c r="BC433" s="270">
        <f t="shared" si="382"/>
        <v>-67.272048966281602</v>
      </c>
      <c r="BD433" s="286"/>
      <c r="BE433" s="270">
        <f t="shared" si="379"/>
        <v>25.901261125129643</v>
      </c>
      <c r="BF433" s="581">
        <f t="shared" si="380"/>
        <v>-39.415024997674344</v>
      </c>
      <c r="BI433" s="286"/>
      <c r="BJ433" s="286"/>
      <c r="BL433" s="253">
        <f t="shared" si="349"/>
        <v>0</v>
      </c>
      <c r="BM433" s="253">
        <f t="shared" si="383"/>
        <v>0</v>
      </c>
      <c r="BN433" s="253">
        <f t="shared" si="350"/>
        <v>0</v>
      </c>
      <c r="BO433" s="253">
        <f t="shared" si="351"/>
        <v>0</v>
      </c>
    </row>
    <row r="434" spans="4:67" ht="13.6" thickBot="1" x14ac:dyDescent="0.25">
      <c r="D434" s="280">
        <v>43906</v>
      </c>
      <c r="E434" s="273" t="str">
        <f t="shared" si="330"/>
        <v>0.496565161374649i</v>
      </c>
      <c r="F434" s="579" t="str">
        <f t="shared" si="352"/>
        <v>0.002-0.055767721633243i</v>
      </c>
      <c r="G434" s="270" t="str">
        <f t="shared" si="353"/>
        <v>0.002-0.055767721633243i</v>
      </c>
      <c r="H434" s="271" t="str">
        <f t="shared" si="354"/>
        <v>0.00354716355974433-0.0556131998184308i</v>
      </c>
      <c r="I434" s="271" t="str">
        <f t="shared" si="355"/>
        <v>0.0135471635597443-0.0556131998184308i</v>
      </c>
      <c r="J434" s="270" t="str">
        <f t="shared" si="356"/>
        <v>0.00385367803454314-0.0281398361707593i</v>
      </c>
      <c r="K434" s="271" t="str">
        <f t="shared" si="331"/>
        <v>0.951321006136209-0.346569766453551i</v>
      </c>
      <c r="L434" s="580"/>
      <c r="M434" s="580" t="str">
        <f t="shared" si="332"/>
        <v>-0.142417189159818-33.3229887671535i</v>
      </c>
      <c r="N434" s="270" t="str">
        <f t="shared" si="333"/>
        <v>-6.77347955853653-24.9922415753651i</v>
      </c>
      <c r="O434" s="581" t="str">
        <f t="shared" si="334"/>
        <v>-4.61639607336578-11.9907022501433i</v>
      </c>
      <c r="P434" s="582" t="str">
        <f t="shared" si="335"/>
        <v>-0.729380392862972+0.0942925526902247i</v>
      </c>
      <c r="Q434" s="583" t="str">
        <f t="shared" si="336"/>
        <v>-0.683216432129317+0.214199575191658i</v>
      </c>
      <c r="R434" s="581" t="str">
        <f t="shared" si="357"/>
        <v>-0.523161169819113-1.41719598904054i</v>
      </c>
      <c r="S434" s="253" t="str">
        <f t="shared" si="358"/>
        <v>48.4298463478173-16.5257615997325i</v>
      </c>
      <c r="T434" s="253" t="str">
        <f t="shared" si="359"/>
        <v>15.1910609734112-12.5908085268268i</v>
      </c>
      <c r="U434" s="253" t="str">
        <f t="shared" si="360"/>
        <v>-0.646329972559278-0.889485166562357i</v>
      </c>
      <c r="V434" s="582" t="str">
        <f t="shared" si="337"/>
        <v>6000</v>
      </c>
      <c r="W434" s="584" t="str">
        <f t="shared" si="338"/>
        <v>1+154510.1121352i</v>
      </c>
      <c r="X434" s="585">
        <f t="shared" si="339"/>
        <v>154510.11213843603</v>
      </c>
      <c r="Y434" s="586">
        <f t="shared" si="340"/>
        <v>1.5707898547265888</v>
      </c>
      <c r="Z434" s="273" t="str">
        <f t="shared" si="341"/>
        <v>1+23.1730408641503i</v>
      </c>
      <c r="AA434" s="585">
        <f t="shared" si="342"/>
        <v>23.194607625299025</v>
      </c>
      <c r="AB434" s="586">
        <f t="shared" si="343"/>
        <v>1.5276694901276193</v>
      </c>
      <c r="AC434" s="584" t="str">
        <f t="shared" si="344"/>
        <v>1+1.12031125924681i</v>
      </c>
      <c r="AD434" s="585">
        <f t="shared" si="345"/>
        <v>1.501698144633326</v>
      </c>
      <c r="AE434" s="586">
        <f t="shared" si="346"/>
        <v>0.84207964643902489</v>
      </c>
      <c r="AF434" s="580" t="str">
        <f t="shared" si="361"/>
        <v>0.379747429771147-0.464261907100537i</v>
      </c>
      <c r="AG434" s="270">
        <f t="shared" si="362"/>
        <v>0.59978932034708643</v>
      </c>
      <c r="AH434" s="581">
        <f t="shared" si="363"/>
        <v>-0.88520001103799517</v>
      </c>
      <c r="AI434" s="582" t="str">
        <f t="shared" si="347"/>
        <v>4000</v>
      </c>
      <c r="AJ434" s="584" t="str">
        <f t="shared" si="364"/>
        <v>1+12138.6843393517i</v>
      </c>
      <c r="AK434" s="585">
        <f t="shared" si="365"/>
        <v>12138.684380542323</v>
      </c>
      <c r="AL434" s="586">
        <f t="shared" si="366"/>
        <v>1.5707139455441959</v>
      </c>
      <c r="AM434" s="273" t="str">
        <f t="shared" si="367"/>
        <v>1+0.424839082509422i</v>
      </c>
      <c r="AN434" s="585">
        <f t="shared" si="368"/>
        <v>1.0865027593280412</v>
      </c>
      <c r="AO434" s="586">
        <f t="shared" si="369"/>
        <v>0.40173434098279975</v>
      </c>
      <c r="AP434" s="584" t="str">
        <f t="shared" si="370"/>
        <v>1+0.00307361310867387i</v>
      </c>
      <c r="AQ434" s="585">
        <f t="shared" si="371"/>
        <v>1.000004723537615</v>
      </c>
      <c r="AR434" s="586">
        <f t="shared" si="372"/>
        <v>3.0736034298211178E-3</v>
      </c>
      <c r="AS434" s="580" t="str">
        <f t="shared" si="373"/>
        <v>0.139008135764006-0.32994072556911i</v>
      </c>
      <c r="AT434" s="270">
        <f t="shared" si="374"/>
        <v>0.35802813324884836</v>
      </c>
      <c r="AU434" s="581">
        <f t="shared" si="375"/>
        <v>-1.172053207991216</v>
      </c>
      <c r="AV434" s="580" t="str">
        <f t="shared" si="376"/>
        <v>-0.0204253943465173-0.0676237450080763i</v>
      </c>
      <c r="AW434" s="270">
        <f t="shared" si="377"/>
        <v>-23.01884865884249</v>
      </c>
      <c r="AX434" s="581">
        <f t="shared" si="378"/>
        <v>-106.80666362474543</v>
      </c>
      <c r="AY434" s="299">
        <f t="shared" si="348"/>
        <v>73.193336375254574</v>
      </c>
      <c r="BB434" s="270">
        <f t="shared" si="381"/>
        <v>-48.921656917699003</v>
      </c>
      <c r="BC434" s="270">
        <f t="shared" si="382"/>
        <v>-67.153702182665526</v>
      </c>
      <c r="BD434" s="286"/>
      <c r="BE434" s="270">
        <f t="shared" si="379"/>
        <v>25.90280825885651</v>
      </c>
      <c r="BF434" s="581">
        <f t="shared" si="380"/>
        <v>-39.652961442079949</v>
      </c>
      <c r="BI434" s="286"/>
      <c r="BJ434" s="286"/>
      <c r="BL434" s="253">
        <f t="shared" si="349"/>
        <v>0</v>
      </c>
      <c r="BM434" s="253">
        <f t="shared" si="383"/>
        <v>0</v>
      </c>
      <c r="BN434" s="253">
        <f t="shared" si="350"/>
        <v>0</v>
      </c>
      <c r="BO434" s="253">
        <f t="shared" si="351"/>
        <v>0</v>
      </c>
    </row>
    <row r="435" spans="4:67" ht="13.6" thickBot="1" x14ac:dyDescent="0.25">
      <c r="D435" s="280">
        <v>44160</v>
      </c>
      <c r="E435" s="273" t="str">
        <f t="shared" si="330"/>
        <v>0.499437833697091i</v>
      </c>
      <c r="F435" s="579" t="str">
        <f t="shared" si="352"/>
        <v>0.002-0.0554469562053704i</v>
      </c>
      <c r="G435" s="270" t="str">
        <f t="shared" si="353"/>
        <v>0.002-0.0554469562053704i</v>
      </c>
      <c r="H435" s="271" t="str">
        <f t="shared" si="354"/>
        <v>0.00352940746024255-0.055293814939991i</v>
      </c>
      <c r="I435" s="271" t="str">
        <f t="shared" si="355"/>
        <v>0.0135294074602425-0.055293814939991i</v>
      </c>
      <c r="J435" s="270" t="str">
        <f t="shared" si="356"/>
        <v>0.00384890712927494-0.0279805363058643i</v>
      </c>
      <c r="K435" s="271" t="str">
        <f t="shared" si="331"/>
        <v>0.950756152622408-0.348574702468656i</v>
      </c>
      <c r="L435" s="580"/>
      <c r="M435" s="580" t="str">
        <f t="shared" si="332"/>
        <v>-0.140996883426931-33.1188549375266i</v>
      </c>
      <c r="N435" s="270" t="str">
        <f t="shared" si="333"/>
        <v>-6.77241432923687-24.8391412031449i</v>
      </c>
      <c r="O435" s="581" t="str">
        <f t="shared" si="334"/>
        <v>-4.6127624856544-11.9121992860212i</v>
      </c>
      <c r="P435" s="582" t="str">
        <f t="shared" si="335"/>
        <v>-0.721078886035289+0.0938922373557165i</v>
      </c>
      <c r="Q435" s="583" t="str">
        <f t="shared" si="336"/>
        <v>-0.674951261178745+0.213014230215928i</v>
      </c>
      <c r="R435" s="581" t="str">
        <f t="shared" si="357"/>
        <v>-0.522902538768052-1.40767259027436i</v>
      </c>
      <c r="S435" s="253" t="str">
        <f t="shared" si="358"/>
        <v>48.3863508854101-16.6294036437276i</v>
      </c>
      <c r="T435" s="253" t="str">
        <f t="shared" si="359"/>
        <v>15.141369603233-12.6560120891707i</v>
      </c>
      <c r="U435" s="253" t="str">
        <f t="shared" si="360"/>
        <v>-0.646359127500957-0.881892312263614i</v>
      </c>
      <c r="V435" s="582" t="str">
        <f t="shared" si="337"/>
        <v>6000</v>
      </c>
      <c r="W435" s="584" t="str">
        <f t="shared" si="338"/>
        <v>1+155403.966471335i</v>
      </c>
      <c r="X435" s="585">
        <f t="shared" si="339"/>
        <v>155403.96647455241</v>
      </c>
      <c r="Y435" s="586">
        <f t="shared" si="340"/>
        <v>1.5707898919527064</v>
      </c>
      <c r="Z435" s="273" t="str">
        <f t="shared" si="341"/>
        <v>1+23.3070989058643i</v>
      </c>
      <c r="AA435" s="585">
        <f t="shared" si="342"/>
        <v>23.328541733416191</v>
      </c>
      <c r="AB435" s="586">
        <f t="shared" si="343"/>
        <v>1.5279172427462437</v>
      </c>
      <c r="AC435" s="584" t="str">
        <f t="shared" si="344"/>
        <v>1+1.12679235658769i</v>
      </c>
      <c r="AD435" s="585">
        <f t="shared" si="345"/>
        <v>1.5065394169634063</v>
      </c>
      <c r="AE435" s="586">
        <f t="shared" si="346"/>
        <v>0.84494439160388024</v>
      </c>
      <c r="AF435" s="580" t="str">
        <f t="shared" si="361"/>
        <v>0.377310709286378-0.463754085933771i</v>
      </c>
      <c r="AG435" s="270">
        <f t="shared" si="362"/>
        <v>0.59785552064228453</v>
      </c>
      <c r="AH435" s="581">
        <f t="shared" si="363"/>
        <v>-0.8878170408103423</v>
      </c>
      <c r="AI435" s="582" t="str">
        <f t="shared" si="347"/>
        <v>4000</v>
      </c>
      <c r="AJ435" s="584" t="str">
        <f t="shared" si="364"/>
        <v>1+12208.9076760755i</v>
      </c>
      <c r="AK435" s="585">
        <f t="shared" si="365"/>
        <v>12208.907717029204</v>
      </c>
      <c r="AL435" s="586">
        <f t="shared" si="366"/>
        <v>1.5707144193856266</v>
      </c>
      <c r="AM435" s="273" t="str">
        <f t="shared" si="367"/>
        <v>1+0.427296813274179i</v>
      </c>
      <c r="AN435" s="585">
        <f t="shared" si="368"/>
        <v>1.0874661220627835</v>
      </c>
      <c r="AO435" s="586">
        <f t="shared" si="369"/>
        <v>0.40381445935185056</v>
      </c>
      <c r="AP435" s="584" t="str">
        <f t="shared" si="370"/>
        <v>1+0.00309139422582422i</v>
      </c>
      <c r="AQ435" s="585">
        <f t="shared" si="371"/>
        <v>1.0000047783477135</v>
      </c>
      <c r="AR435" s="586">
        <f t="shared" si="372"/>
        <v>3.0913843780194725E-3</v>
      </c>
      <c r="AS435" s="580" t="str">
        <f t="shared" si="373"/>
        <v>0.139007809152682-0.328047896917229i</v>
      </c>
      <c r="AT435" s="270">
        <f t="shared" si="374"/>
        <v>0.356284428058883</v>
      </c>
      <c r="AU435" s="581">
        <f t="shared" si="375"/>
        <v>-1.1699913444117953</v>
      </c>
      <c r="AV435" s="580" t="str">
        <f t="shared" si="376"/>
        <v>-0.0204700953309504-0.0672637896791252i</v>
      </c>
      <c r="AW435" s="270">
        <f t="shared" si="377"/>
        <v>-23.059705389345488</v>
      </c>
      <c r="AX435" s="581">
        <f t="shared" si="378"/>
        <v>-106.92634925214732</v>
      </c>
      <c r="AY435" s="299">
        <f t="shared" si="348"/>
        <v>73.073650747852682</v>
      </c>
      <c r="BB435" s="270">
        <f t="shared" si="381"/>
        <v>-48.964063174415941</v>
      </c>
      <c r="BC435" s="270">
        <f t="shared" si="382"/>
        <v>-67.035566101632966</v>
      </c>
      <c r="BD435" s="286"/>
      <c r="BE435" s="270">
        <f t="shared" si="379"/>
        <v>25.904357785070449</v>
      </c>
      <c r="BF435" s="581">
        <f t="shared" si="380"/>
        <v>-39.890783150514352</v>
      </c>
      <c r="BI435" s="286"/>
      <c r="BJ435" s="286"/>
      <c r="BL435" s="253">
        <f t="shared" si="349"/>
        <v>0</v>
      </c>
      <c r="BM435" s="253">
        <f t="shared" si="383"/>
        <v>0</v>
      </c>
      <c r="BN435" s="253">
        <f t="shared" si="350"/>
        <v>0</v>
      </c>
      <c r="BO435" s="253">
        <f t="shared" si="351"/>
        <v>0</v>
      </c>
    </row>
    <row r="436" spans="4:67" ht="13.6" thickBot="1" x14ac:dyDescent="0.25">
      <c r="D436" s="280">
        <v>44414</v>
      </c>
      <c r="E436" s="273" t="str">
        <f t="shared" si="330"/>
        <v>0.502310506019533i</v>
      </c>
      <c r="F436" s="579" t="str">
        <f t="shared" si="352"/>
        <v>0.002-0.0551298596395092i</v>
      </c>
      <c r="G436" s="270" t="str">
        <f t="shared" si="353"/>
        <v>0.002-0.0551298596395092i</v>
      </c>
      <c r="H436" s="271" t="str">
        <f t="shared" si="354"/>
        <v>0.00351195481802537-0.0549780747766435i</v>
      </c>
      <c r="I436" s="271" t="str">
        <f t="shared" si="355"/>
        <v>0.0135119548180254-0.0549780747766435i</v>
      </c>
      <c r="J436" s="270" t="str">
        <f t="shared" si="356"/>
        <v>0.00384421074274489-0.0278230708408762i</v>
      </c>
      <c r="K436" s="271" t="str">
        <f t="shared" si="331"/>
        <v>0.95018804080705-0.350579638483761i</v>
      </c>
      <c r="L436" s="580"/>
      <c r="M436" s="580" t="str">
        <f t="shared" si="332"/>
        <v>-0.139596568754443-32.9172768856155i</v>
      </c>
      <c r="N436" s="270" t="str">
        <f t="shared" si="333"/>
        <v>-6.7713640932325-24.6879576642116i</v>
      </c>
      <c r="O436" s="581" t="str">
        <f t="shared" si="334"/>
        <v>-4.60917750011408-11.8346513607779i</v>
      </c>
      <c r="P436" s="582" t="str">
        <f t="shared" si="335"/>
        <v>-0.712925345598153+0.09349443078618i</v>
      </c>
      <c r="Q436" s="583" t="str">
        <f t="shared" si="336"/>
        <v>-0.666833570597013+0.21184094439396i</v>
      </c>
      <c r="R436" s="581" t="str">
        <f t="shared" si="357"/>
        <v>-0.522648277672237-1.39826339111018i</v>
      </c>
      <c r="S436" s="253" t="str">
        <f t="shared" si="358"/>
        <v>48.3425872760371-16.7328649559189i</v>
      </c>
      <c r="T436" s="253" t="str">
        <f t="shared" si="359"/>
        <v>15.0914284447659-12.7209938542876i</v>
      </c>
      <c r="U436" s="253" t="str">
        <f t="shared" si="360"/>
        <v>-0.646375336516765-0.874373237179343i</v>
      </c>
      <c r="V436" s="582" t="str">
        <f t="shared" si="337"/>
        <v>6000</v>
      </c>
      <c r="W436" s="584" t="str">
        <f t="shared" si="338"/>
        <v>1+156297.820807469i</v>
      </c>
      <c r="X436" s="585">
        <f t="shared" si="339"/>
        <v>156297.82081066802</v>
      </c>
      <c r="Y436" s="586">
        <f t="shared" si="340"/>
        <v>1.5707899287530376</v>
      </c>
      <c r="Z436" s="273" t="str">
        <f t="shared" si="341"/>
        <v>1+23.4411569475782i</v>
      </c>
      <c r="AA436" s="585">
        <f t="shared" si="342"/>
        <v>23.462477257122565</v>
      </c>
      <c r="AB436" s="586">
        <f t="shared" si="343"/>
        <v>1.5281621667886975</v>
      </c>
      <c r="AC436" s="584" t="str">
        <f t="shared" si="344"/>
        <v>1+1.13327345392857i</v>
      </c>
      <c r="AD436" s="585">
        <f t="shared" si="345"/>
        <v>1.5113929738420748</v>
      </c>
      <c r="AE436" s="586">
        <f t="shared" si="346"/>
        <v>0.84779076081302618</v>
      </c>
      <c r="AF436" s="580" t="str">
        <f t="shared" si="361"/>
        <v>0.374891273018464-0.463236821599802i</v>
      </c>
      <c r="AG436" s="270">
        <f t="shared" si="362"/>
        <v>0.59592937456656003</v>
      </c>
      <c r="AH436" s="581">
        <f t="shared" si="363"/>
        <v>-0.89041852277736533</v>
      </c>
      <c r="AI436" s="582" t="str">
        <f t="shared" si="347"/>
        <v>4000</v>
      </c>
      <c r="AJ436" s="584" t="str">
        <f t="shared" si="364"/>
        <v>1+12279.1310127993i</v>
      </c>
      <c r="AK436" s="585">
        <f t="shared" si="365"/>
        <v>12279.131053518793</v>
      </c>
      <c r="AL436" s="586">
        <f t="shared" si="366"/>
        <v>1.5707148878073374</v>
      </c>
      <c r="AM436" s="273" t="str">
        <f t="shared" si="367"/>
        <v>1+0.429754544038934i</v>
      </c>
      <c r="AN436" s="585">
        <f t="shared" si="368"/>
        <v>1.0884341818052721</v>
      </c>
      <c r="AO436" s="586">
        <f t="shared" si="369"/>
        <v>0.40589088655314731</v>
      </c>
      <c r="AP436" s="584" t="str">
        <f t="shared" si="370"/>
        <v>1+0.00310917534297456i</v>
      </c>
      <c r="AQ436" s="585">
        <f t="shared" si="371"/>
        <v>1.0000048334739755</v>
      </c>
      <c r="AR436" s="586">
        <f t="shared" si="372"/>
        <v>3.109165324263054E-3</v>
      </c>
      <c r="AS436" s="580" t="str">
        <f t="shared" si="373"/>
        <v>0.139007487780394-0.32617674639081i</v>
      </c>
      <c r="AT436" s="270">
        <f t="shared" si="374"/>
        <v>0.35456219700513925</v>
      </c>
      <c r="AU436" s="581">
        <f t="shared" si="375"/>
        <v>-1.1679331665784527</v>
      </c>
      <c r="AV436" s="580" t="str">
        <f t="shared" si="376"/>
        <v>-0.0205147083112453-0.0669078642625781i</v>
      </c>
      <c r="AW436" s="270">
        <f t="shared" si="377"/>
        <v>-23.100241757665128</v>
      </c>
      <c r="AX436" s="581">
        <f t="shared" si="378"/>
        <v>-107.0461321779034</v>
      </c>
      <c r="AY436" s="299">
        <f t="shared" si="348"/>
        <v>72.953867822096598</v>
      </c>
      <c r="BB436" s="270">
        <f t="shared" si="381"/>
        <v>-49.006151404439777</v>
      </c>
      <c r="BC436" s="270">
        <f t="shared" si="382"/>
        <v>-66.917641198295073</v>
      </c>
      <c r="BD436" s="286"/>
      <c r="BE436" s="270">
        <f t="shared" si="379"/>
        <v>25.905909646774653</v>
      </c>
      <c r="BF436" s="581">
        <f t="shared" si="380"/>
        <v>-40.128490979608351</v>
      </c>
      <c r="BI436" s="286"/>
      <c r="BJ436" s="286"/>
      <c r="BL436" s="253">
        <f t="shared" si="349"/>
        <v>0</v>
      </c>
      <c r="BM436" s="253">
        <f t="shared" si="383"/>
        <v>0</v>
      </c>
      <c r="BN436" s="253">
        <f t="shared" si="350"/>
        <v>0</v>
      </c>
      <c r="BO436" s="253">
        <f t="shared" si="351"/>
        <v>0</v>
      </c>
    </row>
    <row r="437" spans="4:67" ht="13.6" thickBot="1" x14ac:dyDescent="0.25">
      <c r="D437" s="280">
        <v>44668</v>
      </c>
      <c r="E437" s="273" t="str">
        <f t="shared" si="330"/>
        <v>0.505183178341976i</v>
      </c>
      <c r="F437" s="579" t="str">
        <f t="shared" si="352"/>
        <v>0.002-0.0548163693478363i</v>
      </c>
      <c r="G437" s="270" t="str">
        <f t="shared" si="353"/>
        <v>0.002-0.0548163693478363i</v>
      </c>
      <c r="H437" s="271" t="str">
        <f t="shared" si="354"/>
        <v>0.00349479875908418-0.0546659173407083i</v>
      </c>
      <c r="I437" s="271" t="str">
        <f t="shared" si="355"/>
        <v>0.0134947987590842-0.0546659173407083i</v>
      </c>
      <c r="J437" s="270" t="str">
        <f t="shared" si="356"/>
        <v>0.00383958714869074-0.0276674084911331i</v>
      </c>
      <c r="K437" s="271" t="str">
        <f t="shared" si="331"/>
        <v>0.949616670690134-0.352584574498867i</v>
      </c>
      <c r="L437" s="580"/>
      <c r="M437" s="580" t="str">
        <f t="shared" si="332"/>
        <v>-0.138215922600505-32.7182057686304i</v>
      </c>
      <c r="N437" s="270" t="str">
        <f t="shared" si="333"/>
        <v>-6.77032860861705-24.5386543264728i</v>
      </c>
      <c r="O437" s="581" t="str">
        <f t="shared" si="334"/>
        <v>-4.60563993938244-11.758040236414i</v>
      </c>
      <c r="P437" s="582" t="str">
        <f t="shared" si="335"/>
        <v>-0.704916239791293+0.0930991454357233i</v>
      </c>
      <c r="Q437" s="583" t="str">
        <f t="shared" si="336"/>
        <v>-0.658859840397472+0.210679547799864i</v>
      </c>
      <c r="R437" s="581" t="str">
        <f t="shared" si="357"/>
        <v>-0.522398289129184-1.38896620769471i</v>
      </c>
      <c r="S437" s="253" t="str">
        <f t="shared" si="358"/>
        <v>48.2985557866944-16.8361460264795i</v>
      </c>
      <c r="T437" s="253" t="str">
        <f t="shared" si="359"/>
        <v>15.0412383209156-12.7857531148815i</v>
      </c>
      <c r="U437" s="253" t="str">
        <f t="shared" si="360"/>
        <v>-0.64637882189779-0.866926724872912i</v>
      </c>
      <c r="V437" s="582" t="str">
        <f t="shared" si="337"/>
        <v>6000</v>
      </c>
      <c r="W437" s="584" t="str">
        <f t="shared" si="338"/>
        <v>1+157191.675143605i</v>
      </c>
      <c r="X437" s="585">
        <f t="shared" si="339"/>
        <v>157191.67514678586</v>
      </c>
      <c r="Y437" s="586">
        <f t="shared" si="340"/>
        <v>1.5707899651348465</v>
      </c>
      <c r="Z437" s="273" t="str">
        <f t="shared" si="341"/>
        <v>1+23.5752149892922i</v>
      </c>
      <c r="AA437" s="585">
        <f t="shared" si="342"/>
        <v>23.596414172313295</v>
      </c>
      <c r="AB437" s="586">
        <f t="shared" si="343"/>
        <v>1.5284043103916571</v>
      </c>
      <c r="AC437" s="584" t="str">
        <f t="shared" si="344"/>
        <v>1+1.13975455126945i</v>
      </c>
      <c r="AD437" s="585">
        <f t="shared" si="345"/>
        <v>1.5162586973005054</v>
      </c>
      <c r="AE437" s="586">
        <f t="shared" si="346"/>
        <v>0.8506188846301882</v>
      </c>
      <c r="AF437" s="580" t="str">
        <f t="shared" si="361"/>
        <v>0.372489055827839-0.462710332342717i</v>
      </c>
      <c r="AG437" s="270">
        <f t="shared" si="362"/>
        <v>0.59401089919985695</v>
      </c>
      <c r="AH437" s="581">
        <f t="shared" si="363"/>
        <v>-0.89300453937338031</v>
      </c>
      <c r="AI437" s="582" t="str">
        <f t="shared" si="347"/>
        <v>4000</v>
      </c>
      <c r="AJ437" s="584" t="str">
        <f t="shared" si="364"/>
        <v>1+12349.3543495231i</v>
      </c>
      <c r="AK437" s="585">
        <f t="shared" si="365"/>
        <v>12349.354390011047</v>
      </c>
      <c r="AL437" s="586">
        <f t="shared" si="366"/>
        <v>1.5707153509017842</v>
      </c>
      <c r="AM437" s="273" t="str">
        <f t="shared" si="367"/>
        <v>1+0.432212274803691i</v>
      </c>
      <c r="AN437" s="585">
        <f t="shared" si="368"/>
        <v>1.0894069260340606</v>
      </c>
      <c r="AO437" s="586">
        <f t="shared" si="369"/>
        <v>0.40796361454541902</v>
      </c>
      <c r="AP437" s="584" t="str">
        <f t="shared" si="370"/>
        <v>1+0.00312695646012491i</v>
      </c>
      <c r="AQ437" s="585">
        <f t="shared" si="371"/>
        <v>1.000004888916401</v>
      </c>
      <c r="AR437" s="586">
        <f t="shared" si="372"/>
        <v>3.1269462685406396E-3</v>
      </c>
      <c r="AS437" s="580" t="str">
        <f t="shared" si="373"/>
        <v>0.139007171526323-0.324326904178532i</v>
      </c>
      <c r="AT437" s="270">
        <f t="shared" si="374"/>
        <v>0.35286106969993053</v>
      </c>
      <c r="AU437" s="581">
        <f t="shared" si="375"/>
        <v>-1.1658786826249068</v>
      </c>
      <c r="AV437" s="580" t="str">
        <f t="shared" si="376"/>
        <v>-0.0205592373009672-0.0665558963596761i</v>
      </c>
      <c r="AW437" s="270">
        <f t="shared" si="377"/>
        <v>-23.140461286937011</v>
      </c>
      <c r="AX437" s="581">
        <f t="shared" si="378"/>
        <v>-107.16601369958248</v>
      </c>
      <c r="AY437" s="299">
        <f t="shared" si="348"/>
        <v>72.833986300417521</v>
      </c>
      <c r="BB437" s="270">
        <f t="shared" si="381"/>
        <v>-49.047925072932692</v>
      </c>
      <c r="BC437" s="270">
        <f t="shared" si="382"/>
        <v>-66.799927938679545</v>
      </c>
      <c r="BD437" s="286"/>
      <c r="BE437" s="270">
        <f t="shared" si="379"/>
        <v>25.907463785995681</v>
      </c>
      <c r="BF437" s="581">
        <f t="shared" si="380"/>
        <v>-40.366085760902955</v>
      </c>
      <c r="BI437" s="286"/>
      <c r="BJ437" s="286"/>
      <c r="BL437" s="253">
        <f t="shared" si="349"/>
        <v>0</v>
      </c>
      <c r="BM437" s="253">
        <f t="shared" si="383"/>
        <v>0</v>
      </c>
      <c r="BN437" s="253">
        <f t="shared" si="350"/>
        <v>0</v>
      </c>
      <c r="BO437" s="253">
        <f t="shared" si="351"/>
        <v>0</v>
      </c>
    </row>
    <row r="438" spans="4:67" ht="13.6" thickBot="1" x14ac:dyDescent="0.25">
      <c r="D438" s="280">
        <v>44928.25</v>
      </c>
      <c r="E438" s="273" t="str">
        <f t="shared" si="330"/>
        <v>0.508126536499124i</v>
      </c>
      <c r="F438" s="579" t="str">
        <f t="shared" si="352"/>
        <v>0.002-0.0544988417316313i</v>
      </c>
      <c r="G438" s="270" t="str">
        <f t="shared" si="353"/>
        <v>0.002-0.0544988417316313i</v>
      </c>
      <c r="H438" s="271" t="str">
        <f t="shared" si="354"/>
        <v>0.00347752118807931-0.0543497315616459i</v>
      </c>
      <c r="I438" s="271" t="str">
        <f t="shared" si="355"/>
        <v>0.0134775211880793-0.0543497315616459i</v>
      </c>
      <c r="J438" s="270" t="str">
        <f t="shared" si="356"/>
        <v>0.00383492353239633-0.0275097541087468i</v>
      </c>
      <c r="K438" s="271" t="str">
        <f t="shared" si="331"/>
        <v>0.949027861719085-0.354638844569461i</v>
      </c>
      <c r="L438" s="580"/>
      <c r="M438" s="580" t="str">
        <f t="shared" si="332"/>
        <v>-0.13682137149842-32.5167867220175i</v>
      </c>
      <c r="N438" s="270" t="str">
        <f t="shared" si="333"/>
        <v>-6.76928269529048-24.3875900415131i</v>
      </c>
      <c r="O438" s="581" t="str">
        <f t="shared" si="334"/>
        <v>-4.60206332586497-11.6804970811912i</v>
      </c>
      <c r="P438" s="582" t="str">
        <f t="shared" si="335"/>
        <v>-0.69685628685256+0.0926967594914029i</v>
      </c>
      <c r="Q438" s="583" t="str">
        <f t="shared" si="336"/>
        <v>-0.650835653593908+0.209501730303316i</v>
      </c>
      <c r="R438" s="581" t="str">
        <f t="shared" si="357"/>
        <v>-0.522146481795419-1.37955421474528i</v>
      </c>
      <c r="S438" s="253" t="str">
        <f t="shared" si="358"/>
        <v>48.2531632720578-16.9417819920694i</v>
      </c>
      <c r="T438" s="253" t="str">
        <f t="shared" si="359"/>
        <v>14.9895558382205-12.851874330158i</v>
      </c>
      <c r="U438" s="253" t="str">
        <f t="shared" si="360"/>
        <v>-0.646369421880786-0.859371001325246i</v>
      </c>
      <c r="V438" s="582" t="str">
        <f t="shared" si="337"/>
        <v>6000</v>
      </c>
      <c r="W438" s="584" t="str">
        <f t="shared" si="338"/>
        <v>1+158107.523926987i</v>
      </c>
      <c r="X438" s="585">
        <f t="shared" si="339"/>
        <v>158107.52393014939</v>
      </c>
      <c r="Y438" s="586">
        <f t="shared" si="340"/>
        <v>1.5707900019852028</v>
      </c>
      <c r="Z438" s="273" t="str">
        <f t="shared" si="341"/>
        <v>1+23.7125717032925i</v>
      </c>
      <c r="AA438" s="585">
        <f t="shared" si="342"/>
        <v>23.733648197944376</v>
      </c>
      <c r="AB438" s="586">
        <f t="shared" si="343"/>
        <v>1.5286495775424087</v>
      </c>
      <c r="AC438" s="584" t="str">
        <f t="shared" si="344"/>
        <v>1+1.14639512443072i</v>
      </c>
      <c r="AD438" s="585">
        <f t="shared" si="345"/>
        <v>1.5212566454476135</v>
      </c>
      <c r="AE438" s="586">
        <f t="shared" si="346"/>
        <v>0.85349780977119638</v>
      </c>
      <c r="AF438" s="580" t="str">
        <f t="shared" si="361"/>
        <v>0.370045518475578-0.462161544884267i</v>
      </c>
      <c r="AG438" s="270">
        <f t="shared" si="362"/>
        <v>0.59205318959842756</v>
      </c>
      <c r="AH438" s="581">
        <f t="shared" si="363"/>
        <v>-0.89563823421399091</v>
      </c>
      <c r="AI438" s="582" t="str">
        <f t="shared" si="347"/>
        <v>4000</v>
      </c>
      <c r="AJ438" s="584" t="str">
        <f t="shared" si="364"/>
        <v>1+12421.305622682i</v>
      </c>
      <c r="AK438" s="585">
        <f t="shared" si="365"/>
        <v>12421.305662935416</v>
      </c>
      <c r="AL438" s="586">
        <f t="shared" si="366"/>
        <v>1.5707158199602518</v>
      </c>
      <c r="AM438" s="273" t="str">
        <f t="shared" si="367"/>
        <v>1+0.434730481227028i</v>
      </c>
      <c r="AN438" s="585">
        <f t="shared" si="368"/>
        <v>1.0904084515941186</v>
      </c>
      <c r="AO438" s="586">
        <f t="shared" si="369"/>
        <v>0.41008349959314827</v>
      </c>
      <c r="AP438" s="584" t="str">
        <f t="shared" si="370"/>
        <v>1+0.00314517510476419i</v>
      </c>
      <c r="AQ438" s="585">
        <f t="shared" si="371"/>
        <v>1.0000049460509881</v>
      </c>
      <c r="AR438" s="586">
        <f t="shared" si="372"/>
        <v>3.1451647340024727E-3</v>
      </c>
      <c r="AS438" s="580" t="str">
        <f t="shared" si="373"/>
        <v>0.13900685267633-0.322453267518418i</v>
      </c>
      <c r="AT438" s="270">
        <f t="shared" si="374"/>
        <v>0.3511395944980904</v>
      </c>
      <c r="AU438" s="581">
        <f t="shared" si="375"/>
        <v>-1.1637774851011071</v>
      </c>
      <c r="AV438" s="580" t="str">
        <f t="shared" si="376"/>
        <v>-0.0206047789140839-0.0661992986031096i</v>
      </c>
      <c r="AW438" s="270">
        <f t="shared" si="377"/>
        <v>-23.181345467140684</v>
      </c>
      <c r="AX438" s="581">
        <f t="shared" si="378"/>
        <v>-107.28894864847246</v>
      </c>
      <c r="AY438" s="299">
        <f t="shared" si="348"/>
        <v>72.711051351527544</v>
      </c>
      <c r="BB438" s="270">
        <f t="shared" si="381"/>
        <v>-49.090403934617441</v>
      </c>
      <c r="BC438" s="270">
        <f t="shared" si="382"/>
        <v>-66.679538188642482</v>
      </c>
      <c r="BD438" s="286"/>
      <c r="BE438" s="270">
        <f t="shared" si="379"/>
        <v>25.909058467476758</v>
      </c>
      <c r="BF438" s="581">
        <f t="shared" si="380"/>
        <v>-40.609410459829959</v>
      </c>
      <c r="BI438" s="286"/>
      <c r="BJ438" s="286"/>
      <c r="BL438" s="253">
        <f t="shared" si="349"/>
        <v>0</v>
      </c>
      <c r="BM438" s="253">
        <f t="shared" si="383"/>
        <v>0</v>
      </c>
      <c r="BN438" s="253">
        <f t="shared" si="350"/>
        <v>0</v>
      </c>
      <c r="BO438" s="253">
        <f t="shared" si="351"/>
        <v>0</v>
      </c>
    </row>
    <row r="439" spans="4:67" ht="13.6" thickBot="1" x14ac:dyDescent="0.25">
      <c r="D439" s="280">
        <v>45188.5</v>
      </c>
      <c r="E439" s="273" t="str">
        <f t="shared" si="330"/>
        <v>0.511069894656273i</v>
      </c>
      <c r="F439" s="579" t="str">
        <f t="shared" si="352"/>
        <v>0.002-0.0541849715310125i</v>
      </c>
      <c r="G439" s="270" t="str">
        <f t="shared" si="353"/>
        <v>0.002-0.0541849715310125i</v>
      </c>
      <c r="H439" s="271" t="str">
        <f t="shared" si="354"/>
        <v>0.00346054098068869-0.0540371796940582i</v>
      </c>
      <c r="I439" s="271" t="str">
        <f t="shared" si="355"/>
        <v>0.0134605409806887-0.0540371796940582i</v>
      </c>
      <c r="J439" s="270" t="str">
        <f t="shared" si="356"/>
        <v>0.00383033282081404-0.0273539284278935i</v>
      </c>
      <c r="K439" s="271" t="str">
        <f t="shared" si="331"/>
        <v>0.948435632124189-0.356693114640056i</v>
      </c>
      <c r="L439" s="580"/>
      <c r="M439" s="580" t="str">
        <f t="shared" si="332"/>
        <v>-0.135446797061245-32.317899699675i</v>
      </c>
      <c r="N439" s="270" t="str">
        <f t="shared" si="333"/>
        <v>-6.7682517644626-24.2384247747563i</v>
      </c>
      <c r="O439" s="581" t="str">
        <f t="shared" si="334"/>
        <v>-4.59853410345825-11.6039001325743i</v>
      </c>
      <c r="P439" s="582" t="str">
        <f t="shared" si="335"/>
        <v>-0.688940793366518+0.0922970404074926i</v>
      </c>
      <c r="Q439" s="583" t="str">
        <f t="shared" si="336"/>
        <v>-0.642955452331935+0.208336041733236i</v>
      </c>
      <c r="R439" s="581" t="str">
        <f t="shared" si="357"/>
        <v>-0.521898961353145-1.370255355775i</v>
      </c>
      <c r="S439" s="253" t="str">
        <f t="shared" si="358"/>
        <v>48.2074900873361-17.0472296764884i</v>
      </c>
      <c r="T439" s="253" t="str">
        <f t="shared" si="359"/>
        <v>14.9376137478148-12.9177604316312i</v>
      </c>
      <c r="U439" s="253" t="str">
        <f t="shared" si="360"/>
        <v>-0.646347117160841-0.851888957643481i</v>
      </c>
      <c r="V439" s="582" t="str">
        <f t="shared" si="337"/>
        <v>6000</v>
      </c>
      <c r="W439" s="584" t="str">
        <f t="shared" si="338"/>
        <v>1+159023.372710369i</v>
      </c>
      <c r="X439" s="585">
        <f t="shared" si="339"/>
        <v>159023.37271351318</v>
      </c>
      <c r="Y439" s="586">
        <f t="shared" si="340"/>
        <v>1.5707900384111015</v>
      </c>
      <c r="Z439" s="273" t="str">
        <f t="shared" si="341"/>
        <v>1+23.8499284172927i</v>
      </c>
      <c r="AA439" s="585">
        <f t="shared" si="342"/>
        <v>23.870883634880084</v>
      </c>
      <c r="AB439" s="586">
        <f t="shared" si="343"/>
        <v>1.5288920245904187</v>
      </c>
      <c r="AC439" s="584" t="str">
        <f t="shared" si="344"/>
        <v>1+1.153035697592i</v>
      </c>
      <c r="AD439" s="585">
        <f t="shared" si="345"/>
        <v>1.5262671194523816</v>
      </c>
      <c r="AE439" s="586">
        <f t="shared" si="346"/>
        <v>0.85635785644944795</v>
      </c>
      <c r="AF439" s="580" t="str">
        <f t="shared" si="361"/>
        <v>0.367619912920761-0.461603526816022i</v>
      </c>
      <c r="AG439" s="270">
        <f t="shared" si="362"/>
        <v>0.59010356408418496</v>
      </c>
      <c r="AH439" s="581">
        <f t="shared" si="363"/>
        <v>-0.89825587027013065</v>
      </c>
      <c r="AI439" s="582" t="str">
        <f t="shared" si="347"/>
        <v>4000</v>
      </c>
      <c r="AJ439" s="584" t="str">
        <f t="shared" si="364"/>
        <v>1+12493.256895841i</v>
      </c>
      <c r="AK439" s="585">
        <f t="shared" si="365"/>
        <v>12493.25693586259</v>
      </c>
      <c r="AL439" s="586">
        <f t="shared" si="366"/>
        <v>1.5707162836159081</v>
      </c>
      <c r="AM439" s="273" t="str">
        <f t="shared" si="367"/>
        <v>1+0.437248687650367i</v>
      </c>
      <c r="AN439" s="585">
        <f t="shared" si="368"/>
        <v>1.091414868348406</v>
      </c>
      <c r="AO439" s="586">
        <f t="shared" si="369"/>
        <v>0.41219948455359706</v>
      </c>
      <c r="AP439" s="584" t="str">
        <f t="shared" si="370"/>
        <v>1+0.00316339374940348i</v>
      </c>
      <c r="AQ439" s="585">
        <f t="shared" si="371"/>
        <v>1.0000050035174892</v>
      </c>
      <c r="AR439" s="586">
        <f t="shared" si="372"/>
        <v>3.1633831973764707E-3</v>
      </c>
      <c r="AS439" s="580" t="str">
        <f t="shared" si="373"/>
        <v>0.139006538953575-0.320601241350496i</v>
      </c>
      <c r="AT439" s="270">
        <f t="shared" si="374"/>
        <v>0.34943951383226646</v>
      </c>
      <c r="AU439" s="581">
        <f t="shared" si="375"/>
        <v>-1.1616801822596878</v>
      </c>
      <c r="AV439" s="580" t="str">
        <f t="shared" si="376"/>
        <v>-0.0206502404254021-0.0658467067899615i</v>
      </c>
      <c r="AW439" s="270">
        <f t="shared" si="377"/>
        <v>-23.221904337024046</v>
      </c>
      <c r="AX439" s="581">
        <f t="shared" si="378"/>
        <v>-107.41198975628342</v>
      </c>
      <c r="AY439" s="299">
        <f t="shared" si="348"/>
        <v>72.588010243716582</v>
      </c>
      <c r="BB439" s="270">
        <f t="shared" si="381"/>
        <v>-49.132559750711877</v>
      </c>
      <c r="BC439" s="270">
        <f t="shared" si="382"/>
        <v>-66.559371587468362</v>
      </c>
      <c r="BD439" s="286"/>
      <c r="BE439" s="270">
        <f t="shared" si="379"/>
        <v>25.910655413687831</v>
      </c>
      <c r="BF439" s="581">
        <f t="shared" si="380"/>
        <v>-40.852618168815034</v>
      </c>
      <c r="BI439" s="286"/>
      <c r="BJ439" s="286"/>
      <c r="BL439" s="253">
        <f t="shared" si="349"/>
        <v>0</v>
      </c>
      <c r="BM439" s="253">
        <f t="shared" si="383"/>
        <v>0</v>
      </c>
      <c r="BN439" s="253">
        <f t="shared" si="350"/>
        <v>0</v>
      </c>
      <c r="BO439" s="253">
        <f t="shared" si="351"/>
        <v>0</v>
      </c>
    </row>
    <row r="440" spans="4:67" ht="13.6" thickBot="1" x14ac:dyDescent="0.25">
      <c r="D440" s="280">
        <v>45448.75</v>
      </c>
      <c r="E440" s="273" t="str">
        <f t="shared" si="330"/>
        <v>0.514013252813421i</v>
      </c>
      <c r="F440" s="579" t="str">
        <f t="shared" si="352"/>
        <v>0.002-0.0538746959163708i</v>
      </c>
      <c r="G440" s="270" t="str">
        <f t="shared" si="353"/>
        <v>0.002-0.0538746959163708i</v>
      </c>
      <c r="H440" s="271" t="str">
        <f t="shared" si="354"/>
        <v>0.00344385135360051-0.0537281994946479i</v>
      </c>
      <c r="I440" s="271" t="str">
        <f t="shared" si="355"/>
        <v>0.0134438513536005-0.0537281994946479i</v>
      </c>
      <c r="J440" s="270" t="str">
        <f t="shared" si="356"/>
        <v>0.00382581331082284-0.0271999000407969i</v>
      </c>
      <c r="K440" s="271" t="str">
        <f t="shared" si="331"/>
        <v>0.947839981905444-0.358747384710651i</v>
      </c>
      <c r="L440" s="580"/>
      <c r="M440" s="580" t="str">
        <f t="shared" si="332"/>
        <v>-0.134091866528585-32.1214961472603i</v>
      </c>
      <c r="N440" s="270" t="str">
        <f t="shared" si="333"/>
        <v>-6.76723556656311-24.0911221104452i</v>
      </c>
      <c r="O440" s="581" t="str">
        <f t="shared" si="334"/>
        <v>-4.59505111102406-11.5282312623498i</v>
      </c>
      <c r="P440" s="582" t="str">
        <f t="shared" si="335"/>
        <v>-0.681166293182772+0.0918999953202425i</v>
      </c>
      <c r="Q440" s="583" t="str">
        <f t="shared" si="336"/>
        <v>-0.63521578207253+0.207182307943741i</v>
      </c>
      <c r="R440" s="581" t="str">
        <f t="shared" si="357"/>
        <v>-0.521655631484679-1.36106745995088i</v>
      </c>
      <c r="S440" s="253" t="str">
        <f t="shared" si="358"/>
        <v>48.1615365077573-17.1524895051424i</v>
      </c>
      <c r="T440" s="253" t="str">
        <f t="shared" si="359"/>
        <v>14.8854129467806-12.9834106375644i</v>
      </c>
      <c r="U440" s="253" t="str">
        <f t="shared" si="360"/>
        <v>-0.64631212733032-0.844479372663376i</v>
      </c>
      <c r="V440" s="582" t="str">
        <f t="shared" si="337"/>
        <v>6000</v>
      </c>
      <c r="W440" s="584" t="str">
        <f t="shared" si="338"/>
        <v>1+159939.221493751i</v>
      </c>
      <c r="X440" s="585">
        <f t="shared" si="339"/>
        <v>159939.2214968772</v>
      </c>
      <c r="Y440" s="586">
        <f t="shared" si="340"/>
        <v>1.5707900744198342</v>
      </c>
      <c r="Z440" s="273" t="str">
        <f t="shared" si="341"/>
        <v>1+23.987285131293i</v>
      </c>
      <c r="AA440" s="585">
        <f t="shared" si="342"/>
        <v>24.008120458918693</v>
      </c>
      <c r="AB440" s="586">
        <f t="shared" si="343"/>
        <v>1.5291316998683175</v>
      </c>
      <c r="AC440" s="584" t="str">
        <f t="shared" si="344"/>
        <v>1+1.15967627075328i</v>
      </c>
      <c r="AD440" s="585">
        <f t="shared" si="345"/>
        <v>1.5312899963587021</v>
      </c>
      <c r="AE440" s="586">
        <f t="shared" si="346"/>
        <v>0.85919916341837665</v>
      </c>
      <c r="AF440" s="580" t="str">
        <f t="shared" si="361"/>
        <v>0.365212162545559-0.461036502775125i</v>
      </c>
      <c r="AG440" s="270">
        <f t="shared" si="362"/>
        <v>0.58816203597505479</v>
      </c>
      <c r="AH440" s="581">
        <f t="shared" si="363"/>
        <v>-0.90085753796989165</v>
      </c>
      <c r="AI440" s="582" t="str">
        <f t="shared" si="347"/>
        <v>4000</v>
      </c>
      <c r="AJ440" s="584" t="str">
        <f t="shared" si="364"/>
        <v>1+12565.2081689999i</v>
      </c>
      <c r="AK440" s="585">
        <f t="shared" si="365"/>
        <v>12565.208208792315</v>
      </c>
      <c r="AL440" s="586">
        <f t="shared" si="366"/>
        <v>1.5707167419615664</v>
      </c>
      <c r="AM440" s="273" t="str">
        <f t="shared" si="367"/>
        <v>1+0.439766894073704i</v>
      </c>
      <c r="AN440" s="585">
        <f t="shared" si="368"/>
        <v>1.0924261627786258</v>
      </c>
      <c r="AO440" s="586">
        <f t="shared" si="369"/>
        <v>0.41431156128388569</v>
      </c>
      <c r="AP440" s="584" t="str">
        <f t="shared" si="370"/>
        <v>1+0.00318161239404276i</v>
      </c>
      <c r="AQ440" s="585">
        <f t="shared" si="371"/>
        <v>1.0000050613159044</v>
      </c>
      <c r="AR440" s="586">
        <f t="shared" si="372"/>
        <v>3.18160165865052E-3</v>
      </c>
      <c r="AS440" s="580" t="str">
        <f t="shared" si="373"/>
        <v>0.139006230238848-0.318770454434804i</v>
      </c>
      <c r="AT440" s="270">
        <f t="shared" si="374"/>
        <v>0.34776045586838522</v>
      </c>
      <c r="AU440" s="581">
        <f t="shared" si="375"/>
        <v>-1.1595867823363297</v>
      </c>
      <c r="AV440" s="580" t="str">
        <f t="shared" si="376"/>
        <v>-0.0206956256976956-0.0654980481786575i</v>
      </c>
      <c r="AW440" s="270">
        <f t="shared" si="377"/>
        <v>-23.262141511021333</v>
      </c>
      <c r="AX440" s="581">
        <f t="shared" si="378"/>
        <v>-107.53513831191624</v>
      </c>
      <c r="AY440" s="299">
        <f t="shared" si="348"/>
        <v>72.464861688083758</v>
      </c>
      <c r="BB440" s="270">
        <f t="shared" si="381"/>
        <v>-49.174396070273858</v>
      </c>
      <c r="BC440" s="270">
        <f t="shared" si="382"/>
        <v>-66.439428607026926</v>
      </c>
      <c r="BD440" s="286"/>
      <c r="BE440" s="270">
        <f t="shared" si="379"/>
        <v>25.912254559252524</v>
      </c>
      <c r="BF440" s="581">
        <f t="shared" si="380"/>
        <v>-41.095709704889309</v>
      </c>
      <c r="BI440" s="286"/>
      <c r="BJ440" s="286"/>
      <c r="BL440" s="253">
        <f t="shared" si="349"/>
        <v>0</v>
      </c>
      <c r="BM440" s="253">
        <f t="shared" si="383"/>
        <v>0</v>
      </c>
      <c r="BN440" s="253">
        <f t="shared" si="350"/>
        <v>0</v>
      </c>
      <c r="BO440" s="253">
        <f t="shared" si="351"/>
        <v>0</v>
      </c>
    </row>
    <row r="441" spans="4:67" ht="13.6" thickBot="1" x14ac:dyDescent="0.25">
      <c r="D441" s="280">
        <v>45709</v>
      </c>
      <c r="E441" s="273" t="str">
        <f t="shared" si="330"/>
        <v>0.516956610970569i</v>
      </c>
      <c r="F441" s="579" t="str">
        <f t="shared" si="352"/>
        <v>0.002-0.0535679534890099i</v>
      </c>
      <c r="G441" s="270" t="str">
        <f t="shared" si="353"/>
        <v>0.002-0.0535679534890099i</v>
      </c>
      <c r="H441" s="271" t="str">
        <f t="shared" si="354"/>
        <v>0.00342744571578196-0.0534227301325329i</v>
      </c>
      <c r="I441" s="271" t="str">
        <f t="shared" si="355"/>
        <v>0.013427445715782-0.0534227301325329i</v>
      </c>
      <c r="J441" s="270" t="str">
        <f t="shared" si="356"/>
        <v>0.00382136334769948-0.0270476382542538i</v>
      </c>
      <c r="K441" s="271" t="str">
        <f t="shared" si="331"/>
        <v>0.947240911062852-0.360801654781246i</v>
      </c>
      <c r="L441" s="580"/>
      <c r="M441" s="580" t="str">
        <f t="shared" si="332"/>
        <v>-0.132756252027905-31.9275287674755i</v>
      </c>
      <c r="N441" s="270" t="str">
        <f t="shared" si="333"/>
        <v>-6.7662338556876-23.9456465756066i</v>
      </c>
      <c r="O441" s="581" t="str">
        <f t="shared" si="334"/>
        <v>-4.59161322057536-11.4534728123067i</v>
      </c>
      <c r="P441" s="582" t="str">
        <f t="shared" si="335"/>
        <v>-0.673529424399307+0.0915056295113345i</v>
      </c>
      <c r="Q441" s="583" t="str">
        <f t="shared" si="336"/>
        <v>-0.627613292193552+0.206040357634402i</v>
      </c>
      <c r="R441" s="581" t="str">
        <f t="shared" si="357"/>
        <v>-0.521416398540317-1.35198841268085i</v>
      </c>
      <c r="S441" s="253" t="str">
        <f t="shared" si="358"/>
        <v>48.1153028050649-17.2575618708159i</v>
      </c>
      <c r="T441" s="253" t="str">
        <f t="shared" si="359"/>
        <v>14.8329543363855-13.0488241597333i</v>
      </c>
      <c r="U441" s="253" t="str">
        <f t="shared" si="360"/>
        <v>-0.646264665839673-0.83714105304317i</v>
      </c>
      <c r="V441" s="582" t="str">
        <f t="shared" si="337"/>
        <v>6000</v>
      </c>
      <c r="W441" s="584" t="str">
        <f t="shared" si="338"/>
        <v>1+160855.070277134i</v>
      </c>
      <c r="X441" s="585">
        <f t="shared" si="339"/>
        <v>160855.07028024236</v>
      </c>
      <c r="Y441" s="586">
        <f t="shared" si="340"/>
        <v>1.570790110018526</v>
      </c>
      <c r="Z441" s="273" t="str">
        <f t="shared" si="341"/>
        <v>1+24.1246418452933i</v>
      </c>
      <c r="AA441" s="585">
        <f t="shared" si="342"/>
        <v>24.145358646408145</v>
      </c>
      <c r="AB441" s="586">
        <f t="shared" si="343"/>
        <v>1.5293686506111672</v>
      </c>
      <c r="AC441" s="584" t="str">
        <f t="shared" si="344"/>
        <v>1+1.16631684391455i</v>
      </c>
      <c r="AD441" s="585">
        <f t="shared" si="345"/>
        <v>1.5363251545160603</v>
      </c>
      <c r="AE441" s="586">
        <f t="shared" si="346"/>
        <v>0.8620218688294301</v>
      </c>
      <c r="AF441" s="580" t="str">
        <f t="shared" si="361"/>
        <v>0.36282218871749-0.460460694010085i</v>
      </c>
      <c r="AG441" s="270">
        <f t="shared" si="362"/>
        <v>0.58622861696952244</v>
      </c>
      <c r="AH441" s="581">
        <f t="shared" si="363"/>
        <v>-0.90344332823678797</v>
      </c>
      <c r="AI441" s="582" t="str">
        <f t="shared" si="347"/>
        <v>4000</v>
      </c>
      <c r="AJ441" s="584" t="str">
        <f t="shared" si="364"/>
        <v>1+12637.1594421589i</v>
      </c>
      <c r="AK441" s="585">
        <f t="shared" si="365"/>
        <v>12637.159481724753</v>
      </c>
      <c r="AL441" s="586">
        <f t="shared" si="366"/>
        <v>1.5707171950879264</v>
      </c>
      <c r="AM441" s="273" t="str">
        <f t="shared" si="367"/>
        <v>1+0.442285100497043i</v>
      </c>
      <c r="AN441" s="585">
        <f t="shared" si="368"/>
        <v>1.0934423213510986</v>
      </c>
      <c r="AO441" s="586">
        <f t="shared" si="369"/>
        <v>0.41641972181066456</v>
      </c>
      <c r="AP441" s="584" t="str">
        <f t="shared" si="370"/>
        <v>1+0.00319983103868205i</v>
      </c>
      <c r="AQ441" s="585">
        <f t="shared" si="371"/>
        <v>1.0000051194462336</v>
      </c>
      <c r="AR441" s="586">
        <f t="shared" si="372"/>
        <v>3.1998201178125465E-3</v>
      </c>
      <c r="AS441" s="580" t="str">
        <f t="shared" si="373"/>
        <v>0.139005926416324-0.316960543986188i</v>
      </c>
      <c r="AT441" s="270">
        <f t="shared" si="374"/>
        <v>0.34610205723584009</v>
      </c>
      <c r="AU441" s="581">
        <f t="shared" si="375"/>
        <v>-1.1574972933950747</v>
      </c>
      <c r="AV441" s="580" t="str">
        <f t="shared" si="376"/>
        <v>-0.0207409384502888-0.0651532516635047i</v>
      </c>
      <c r="AW441" s="270">
        <f t="shared" si="377"/>
        <v>-23.302060547073346</v>
      </c>
      <c r="AX441" s="581">
        <f t="shared" si="378"/>
        <v>-107.6583955697661</v>
      </c>
      <c r="AY441" s="299">
        <f t="shared" si="348"/>
        <v>72.3416044302339</v>
      </c>
      <c r="BB441" s="270">
        <f t="shared" si="381"/>
        <v>-49.215916384905192</v>
      </c>
      <c r="BC441" s="270">
        <f t="shared" si="382"/>
        <v>-66.319709709353759</v>
      </c>
      <c r="BD441" s="286"/>
      <c r="BE441" s="270">
        <f t="shared" si="379"/>
        <v>25.913855837831854</v>
      </c>
      <c r="BF441" s="581">
        <f t="shared" si="380"/>
        <v>-41.338685860412362</v>
      </c>
      <c r="BI441" s="286"/>
      <c r="BJ441" s="286"/>
      <c r="BL441" s="253">
        <f t="shared" si="349"/>
        <v>0</v>
      </c>
      <c r="BM441" s="253">
        <f t="shared" si="383"/>
        <v>0</v>
      </c>
      <c r="BN441" s="253">
        <f t="shared" si="350"/>
        <v>0</v>
      </c>
      <c r="BO441" s="253">
        <f t="shared" si="351"/>
        <v>0</v>
      </c>
    </row>
    <row r="442" spans="4:67" ht="13.6" thickBot="1" x14ac:dyDescent="0.25">
      <c r="D442" s="280">
        <v>45975.25</v>
      </c>
      <c r="E442" s="273" t="str">
        <f t="shared" si="330"/>
        <v>0.519967827529035i</v>
      </c>
      <c r="F442" s="579" t="str">
        <f t="shared" si="352"/>
        <v>0.002-0.0532577329330273i</v>
      </c>
      <c r="G442" s="270" t="str">
        <f t="shared" si="353"/>
        <v>0.002-0.0532577329330273i</v>
      </c>
      <c r="H442" s="271" t="str">
        <f t="shared" si="354"/>
        <v>0.00341094905738084-0.0531137894366177i</v>
      </c>
      <c r="I442" s="271" t="str">
        <f t="shared" si="355"/>
        <v>0.0134109490573808-0.0531137894366177i</v>
      </c>
      <c r="J442" s="270" t="str">
        <f t="shared" si="356"/>
        <v>0.00381688108568369-0.0268936629936546i</v>
      </c>
      <c r="K442" s="271" t="str">
        <f t="shared" si="331"/>
        <v>0.946624488963347-0.362903285545111i</v>
      </c>
      <c r="L442" s="580"/>
      <c r="M442" s="580" t="str">
        <f t="shared" si="332"/>
        <v>-0.131409497670602-31.7315625389102i</v>
      </c>
      <c r="N442" s="270" t="str">
        <f t="shared" si="333"/>
        <v>-6.76522378991962-23.7986719041827i</v>
      </c>
      <c r="O442" s="581" t="str">
        <f t="shared" si="334"/>
        <v>-4.58814160142169-11.3779150336891i</v>
      </c>
      <c r="P442" s="582" t="str">
        <f t="shared" si="335"/>
        <v>-0.665855516611807+0.0911049480272862i</v>
      </c>
      <c r="Q442" s="583" t="str">
        <f t="shared" si="336"/>
        <v>-0.619974100597589+0.204884098364176i</v>
      </c>
      <c r="R442" s="581" t="str">
        <f t="shared" si="357"/>
        <v>-0.521175794880641-1.34281054385002i</v>
      </c>
      <c r="S442" s="253" t="str">
        <f t="shared" si="358"/>
        <v>48.0677135908663-17.3648630347316i</v>
      </c>
      <c r="T442" s="253" t="str">
        <f t="shared" si="359"/>
        <v>14.7790204564141-13.1155000144646i</v>
      </c>
      <c r="U442" s="253" t="str">
        <f t="shared" si="360"/>
        <v>-0.64620342022941-0.829706083012862i</v>
      </c>
      <c r="V442" s="582" t="str">
        <f t="shared" si="337"/>
        <v>6000</v>
      </c>
      <c r="W442" s="584" t="str">
        <f t="shared" si="338"/>
        <v>1+161792.033729874i</v>
      </c>
      <c r="X442" s="585">
        <f t="shared" si="339"/>
        <v>161792.0337329644</v>
      </c>
      <c r="Y442" s="586">
        <f t="shared" si="340"/>
        <v>1.5707901460208689</v>
      </c>
      <c r="Z442" s="273" t="str">
        <f t="shared" si="341"/>
        <v>1+24.2651652846883i</v>
      </c>
      <c r="AA442" s="585">
        <f t="shared" si="342"/>
        <v>24.28576221355307</v>
      </c>
      <c r="AB442" s="586">
        <f t="shared" si="343"/>
        <v>1.5296082928542241</v>
      </c>
      <c r="AC442" s="584" t="str">
        <f t="shared" si="344"/>
        <v>1+1.17311051386341i</v>
      </c>
      <c r="AD442" s="585">
        <f t="shared" si="345"/>
        <v>1.5414889807380634</v>
      </c>
      <c r="AE442" s="586">
        <f t="shared" si="346"/>
        <v>0.8648905446563</v>
      </c>
      <c r="AF442" s="580" t="str">
        <f t="shared" si="361"/>
        <v>0.360395426638981-0.459862746442164i</v>
      </c>
      <c r="AG442" s="270">
        <f t="shared" si="362"/>
        <v>0.58425902569632859</v>
      </c>
      <c r="AH442" s="581">
        <f t="shared" si="363"/>
        <v>-0.90607239782294624</v>
      </c>
      <c r="AI442" s="582" t="str">
        <f t="shared" si="347"/>
        <v>4000</v>
      </c>
      <c r="AJ442" s="584" t="str">
        <f t="shared" si="364"/>
        <v>1+12710.7695342955i</v>
      </c>
      <c r="AK442" s="585">
        <f t="shared" si="365"/>
        <v>12710.769573632222</v>
      </c>
      <c r="AL442" s="586">
        <f t="shared" si="366"/>
        <v>1.5707176533522511</v>
      </c>
      <c r="AM442" s="273" t="str">
        <f t="shared" si="367"/>
        <v>1+0.444861363552619i</v>
      </c>
      <c r="AN442" s="585">
        <f t="shared" si="368"/>
        <v>1.0944869267295501</v>
      </c>
      <c r="AO442" s="586">
        <f t="shared" si="369"/>
        <v>0.41857242464942135</v>
      </c>
      <c r="AP442" s="584" t="str">
        <f t="shared" si="370"/>
        <v>1+0.0032184697097107i</v>
      </c>
      <c r="AQ442" s="585">
        <f t="shared" si="371"/>
        <v>1.0000051792602238</v>
      </c>
      <c r="AR442" s="586">
        <f t="shared" si="372"/>
        <v>3.2184585968895569E-3</v>
      </c>
      <c r="AS442" s="580" t="str">
        <f t="shared" si="373"/>
        <v>0.13900562053458-0.315130140766281i</v>
      </c>
      <c r="AT442" s="270">
        <f t="shared" si="374"/>
        <v>0.34442643359588376</v>
      </c>
      <c r="AU442" s="581">
        <f t="shared" si="375"/>
        <v>-1.1553636872997186</v>
      </c>
      <c r="AV442" s="580" t="str">
        <f t="shared" si="376"/>
        <v>-0.020787224563413-0.0648044301494947i</v>
      </c>
      <c r="AW442" s="270">
        <f t="shared" si="377"/>
        <v>-23.342574334645057</v>
      </c>
      <c r="AX442" s="581">
        <f t="shared" si="378"/>
        <v>-107.78460825644015</v>
      </c>
      <c r="AY442" s="299">
        <f t="shared" si="348"/>
        <v>72.215391743559849</v>
      </c>
      <c r="BB442" s="270">
        <f t="shared" si="381"/>
        <v>-49.258070505326245</v>
      </c>
      <c r="BC442" s="270">
        <f t="shared" si="382"/>
        <v>-66.197463084946463</v>
      </c>
      <c r="BD442" s="286"/>
      <c r="BE442" s="270">
        <f t="shared" si="379"/>
        <v>25.91549617068118</v>
      </c>
      <c r="BF442" s="581">
        <f t="shared" si="380"/>
        <v>-41.587145171493674</v>
      </c>
      <c r="BI442" s="286"/>
      <c r="BJ442" s="286"/>
      <c r="BL442" s="253">
        <f t="shared" si="349"/>
        <v>0</v>
      </c>
      <c r="BM442" s="253">
        <f t="shared" si="383"/>
        <v>0</v>
      </c>
      <c r="BN442" s="253">
        <f t="shared" si="350"/>
        <v>0</v>
      </c>
      <c r="BO442" s="253">
        <f t="shared" si="351"/>
        <v>0</v>
      </c>
    </row>
    <row r="443" spans="4:67" ht="13.6" thickBot="1" x14ac:dyDescent="0.25">
      <c r="D443" s="280">
        <v>46241.5</v>
      </c>
      <c r="E443" s="273" t="str">
        <f t="shared" si="330"/>
        <v>0.522979044087501i</v>
      </c>
      <c r="F443" s="579" t="str">
        <f t="shared" si="352"/>
        <v>0.002-0.0529510847621544i</v>
      </c>
      <c r="G443" s="270" t="str">
        <f t="shared" si="353"/>
        <v>0.002-0.0529510847621544i</v>
      </c>
      <c r="H443" s="271" t="str">
        <f t="shared" si="354"/>
        <v>0.0033947362663416-0.052808398879383i</v>
      </c>
      <c r="I443" s="271" t="str">
        <f t="shared" si="355"/>
        <v>0.0133947362663416-0.052808398879383i</v>
      </c>
      <c r="J443" s="270" t="str">
        <f t="shared" si="356"/>
        <v>0.00381246825865726-0.0267414739432242i</v>
      </c>
      <c r="K443" s="271" t="str">
        <f t="shared" si="331"/>
        <v>0.946004486698568-0.365004916308976i</v>
      </c>
      <c r="L443" s="580"/>
      <c r="M443" s="580" t="str">
        <f t="shared" si="332"/>
        <v>-0.13008228180917-31.5380498142414i</v>
      </c>
      <c r="N443" s="270" t="str">
        <f t="shared" si="333"/>
        <v>-6.76422837802355-23.653537360681i</v>
      </c>
      <c r="O443" s="581" t="str">
        <f t="shared" si="334"/>
        <v>-4.58471490090241-11.3032741892188i</v>
      </c>
      <c r="P443" s="582" t="str">
        <f t="shared" si="335"/>
        <v>-0.658318858981255+0.0907070765243745i</v>
      </c>
      <c r="Q443" s="583" t="str">
        <f t="shared" si="336"/>
        <v>-0.612471709972231+0.203739818416561i</v>
      </c>
      <c r="R443" s="581" t="str">
        <f t="shared" si="357"/>
        <v>-0.520939289112788-1.3337422953229i</v>
      </c>
      <c r="S443" s="253" t="str">
        <f t="shared" si="358"/>
        <v>48.0198317536776-17.4719687229023i</v>
      </c>
      <c r="T443" s="253" t="str">
        <f t="shared" si="359"/>
        <v>14.7248186646764-13.1819264576555i</v>
      </c>
      <c r="U443" s="253" t="str">
        <f t="shared" si="360"/>
        <v>-0.646129554438281-0.822343261276861i</v>
      </c>
      <c r="V443" s="582" t="str">
        <f t="shared" si="337"/>
        <v>6000</v>
      </c>
      <c r="W443" s="584" t="str">
        <f t="shared" si="338"/>
        <v>1+162728.997182614i</v>
      </c>
      <c r="X443" s="585">
        <f t="shared" si="339"/>
        <v>162728.9971856866</v>
      </c>
      <c r="Y443" s="586">
        <f t="shared" si="340"/>
        <v>1.5707901816086218</v>
      </c>
      <c r="Z443" s="273" t="str">
        <f t="shared" si="341"/>
        <v>1+24.4056887240834i</v>
      </c>
      <c r="AA443" s="585">
        <f t="shared" si="342"/>
        <v>24.426167159357028</v>
      </c>
      <c r="AB443" s="586">
        <f t="shared" si="343"/>
        <v>1.5298451801180513</v>
      </c>
      <c r="AC443" s="584" t="str">
        <f t="shared" si="344"/>
        <v>1+1.17990418381226i</v>
      </c>
      <c r="AD443" s="585">
        <f t="shared" si="345"/>
        <v>1.5466654075712933</v>
      </c>
      <c r="AE443" s="586">
        <f t="shared" si="346"/>
        <v>0.86774004185901565</v>
      </c>
      <c r="AF443" s="580" t="str">
        <f t="shared" si="361"/>
        <v>0.357987097673692-0.459256062105286i</v>
      </c>
      <c r="AG443" s="270">
        <f t="shared" si="362"/>
        <v>0.58229794150528125</v>
      </c>
      <c r="AH443" s="581">
        <f t="shared" si="363"/>
        <v>-0.90868504334958589</v>
      </c>
      <c r="AI443" s="582" t="str">
        <f t="shared" si="347"/>
        <v>4000</v>
      </c>
      <c r="AJ443" s="584" t="str">
        <f t="shared" si="364"/>
        <v>1+12784.3796264322i</v>
      </c>
      <c r="AK443" s="585">
        <f t="shared" si="365"/>
        <v>12784.379665542428</v>
      </c>
      <c r="AL443" s="586">
        <f t="shared" si="366"/>
        <v>1.5707181063393734</v>
      </c>
      <c r="AM443" s="273" t="str">
        <f t="shared" si="367"/>
        <v>1+0.447437626608196i</v>
      </c>
      <c r="AN443" s="585">
        <f t="shared" si="368"/>
        <v>1.0955365944160769</v>
      </c>
      <c r="AO443" s="586">
        <f t="shared" si="369"/>
        <v>0.42072101228605857</v>
      </c>
      <c r="AP443" s="584" t="str">
        <f t="shared" si="370"/>
        <v>1+0.00323710838073937i</v>
      </c>
      <c r="AQ443" s="585">
        <f t="shared" si="371"/>
        <v>1.0000052394216086</v>
      </c>
      <c r="AR443" s="586">
        <f t="shared" si="372"/>
        <v>3.2370970737304401E-3</v>
      </c>
      <c r="AS443" s="580" t="str">
        <f t="shared" si="373"/>
        <v>0.139005319538322-0.313320845620786i</v>
      </c>
      <c r="AT443" s="270">
        <f t="shared" si="374"/>
        <v>0.3427716895551256</v>
      </c>
      <c r="AU443" s="581">
        <f t="shared" si="375"/>
        <v>-1.1532341911270449</v>
      </c>
      <c r="AV443" s="580" t="str">
        <f t="shared" si="376"/>
        <v>-0.0208334422099644-0.0644595053500621i</v>
      </c>
      <c r="AW443" s="270">
        <f t="shared" si="377"/>
        <v>-23.382762503980924</v>
      </c>
      <c r="AX443" s="581">
        <f t="shared" si="378"/>
        <v>-107.91093726397111</v>
      </c>
      <c r="AY443" s="299">
        <f t="shared" si="348"/>
        <v>72.089062736028893</v>
      </c>
      <c r="BB443" s="270">
        <f t="shared" si="381"/>
        <v>-49.299901096570537</v>
      </c>
      <c r="BC443" s="270">
        <f t="shared" si="382"/>
        <v>-66.075451941763006</v>
      </c>
      <c r="BD443" s="286"/>
      <c r="BE443" s="270">
        <f t="shared" si="379"/>
        <v>25.917138592589609</v>
      </c>
      <c r="BF443" s="581">
        <f t="shared" si="380"/>
        <v>-41.835485322208143</v>
      </c>
      <c r="BI443" s="286"/>
      <c r="BJ443" s="286"/>
      <c r="BL443" s="253">
        <f t="shared" si="349"/>
        <v>0</v>
      </c>
      <c r="BM443" s="253">
        <f t="shared" si="383"/>
        <v>0</v>
      </c>
      <c r="BN443" s="253">
        <f t="shared" si="350"/>
        <v>0</v>
      </c>
      <c r="BO443" s="253">
        <f t="shared" si="351"/>
        <v>0</v>
      </c>
    </row>
    <row r="444" spans="4:67" ht="13.6" thickBot="1" x14ac:dyDescent="0.25">
      <c r="D444" s="280">
        <v>46507.75</v>
      </c>
      <c r="E444" s="273" t="str">
        <f t="shared" si="330"/>
        <v>0.525990260645967i</v>
      </c>
      <c r="F444" s="579" t="str">
        <f t="shared" si="352"/>
        <v>0.002-0.0526479476222599i</v>
      </c>
      <c r="G444" s="270" t="str">
        <f t="shared" si="353"/>
        <v>0.002-0.0526479476222599i</v>
      </c>
      <c r="H444" s="271" t="str">
        <f t="shared" si="354"/>
        <v>0.00337880086842198-0.0525064976590275i</v>
      </c>
      <c r="I444" s="271" t="str">
        <f t="shared" si="355"/>
        <v>0.013378800868422-0.0525064976590275i</v>
      </c>
      <c r="J444" s="270" t="str">
        <f t="shared" si="356"/>
        <v>0.00380812324158596-0.0265910404299027i</v>
      </c>
      <c r="K444" s="271" t="str">
        <f t="shared" si="331"/>
        <v>0.945380904268516-0.367106547072841i</v>
      </c>
      <c r="L444" s="580"/>
      <c r="M444" s="580" t="str">
        <f t="shared" si="332"/>
        <v>-0.128774269406219-31.3469437714199i</v>
      </c>
      <c r="N444" s="270" t="str">
        <f t="shared" si="333"/>
        <v>-6.76324736872133-23.5102078285649i</v>
      </c>
      <c r="O444" s="581" t="str">
        <f t="shared" si="334"/>
        <v>-4.58133201175921-11.2295328001063i</v>
      </c>
      <c r="P444" s="582" t="str">
        <f t="shared" si="335"/>
        <v>-0.650916166378207+0.0903120153726277i</v>
      </c>
      <c r="Q444" s="583" t="str">
        <f t="shared" si="336"/>
        <v>-0.605102846260615+0.20260734337369i</v>
      </c>
      <c r="R444" s="581" t="str">
        <f t="shared" si="357"/>
        <v>-0.520706789070655-1.32478157386932i</v>
      </c>
      <c r="S444" s="253" t="str">
        <f t="shared" si="358"/>
        <v>47.971657574846-17.5788792552537i</v>
      </c>
      <c r="T444" s="253" t="str">
        <f t="shared" si="359"/>
        <v>14.6703499403096-13.2481026260017i</v>
      </c>
      <c r="U444" s="253" t="str">
        <f t="shared" si="360"/>
        <v>-0.646043278400339-0.815051395455657i</v>
      </c>
      <c r="V444" s="582" t="str">
        <f t="shared" si="337"/>
        <v>6000</v>
      </c>
      <c r="W444" s="584" t="str">
        <f t="shared" si="338"/>
        <v>1+163665.960635353i</v>
      </c>
      <c r="X444" s="585">
        <f t="shared" si="339"/>
        <v>163665.96063840797</v>
      </c>
      <c r="Y444" s="586">
        <f t="shared" si="340"/>
        <v>1.5707902167889056</v>
      </c>
      <c r="Z444" s="273" t="str">
        <f t="shared" si="341"/>
        <v>1+24.5462121634784i</v>
      </c>
      <c r="AA444" s="585">
        <f t="shared" si="342"/>
        <v>24.566573460181523</v>
      </c>
      <c r="AB444" s="586">
        <f t="shared" si="343"/>
        <v>1.5300793596127549</v>
      </c>
      <c r="AC444" s="584" t="str">
        <f t="shared" si="344"/>
        <v>1+1.18669785376112i</v>
      </c>
      <c r="AD444" s="585">
        <f t="shared" si="345"/>
        <v>1.5518543089224737</v>
      </c>
      <c r="AE444" s="586">
        <f t="shared" si="346"/>
        <v>0.8705705063132112</v>
      </c>
      <c r="AF444" s="580" t="str">
        <f t="shared" si="361"/>
        <v>0.355597111685242-0.45864086700432i</v>
      </c>
      <c r="AG444" s="270">
        <f t="shared" si="362"/>
        <v>0.5803453719341275</v>
      </c>
      <c r="AH444" s="581">
        <f t="shared" si="363"/>
        <v>-0.91128136348936006</v>
      </c>
      <c r="AI444" s="582" t="str">
        <f t="shared" si="347"/>
        <v>4000</v>
      </c>
      <c r="AJ444" s="584" t="str">
        <f t="shared" si="364"/>
        <v>1+12857.9897185688i</v>
      </c>
      <c r="AK444" s="585">
        <f t="shared" si="365"/>
        <v>12857.989757455127</v>
      </c>
      <c r="AL444" s="586">
        <f t="shared" si="366"/>
        <v>1.5707185541399271</v>
      </c>
      <c r="AM444" s="273" t="str">
        <f t="shared" si="367"/>
        <v>1+0.450013889663771i</v>
      </c>
      <c r="AN444" s="585">
        <f t="shared" si="368"/>
        <v>1.0965913098736086</v>
      </c>
      <c r="AO444" s="586">
        <f t="shared" si="369"/>
        <v>0.42286547672884517</v>
      </c>
      <c r="AP444" s="584" t="str">
        <f t="shared" si="370"/>
        <v>1+0.00325574705176803i</v>
      </c>
      <c r="AQ444" s="585">
        <f t="shared" si="371"/>
        <v>1.0000052999303879</v>
      </c>
      <c r="AR444" s="586">
        <f t="shared" si="372"/>
        <v>3.2557355483222175E-3</v>
      </c>
      <c r="AS444" s="580" t="str">
        <f t="shared" si="373"/>
        <v>0.139005023313794-0.31153229602787i</v>
      </c>
      <c r="AT444" s="270">
        <f t="shared" si="374"/>
        <v>0.34113746199276451</v>
      </c>
      <c r="AU444" s="581">
        <f t="shared" si="375"/>
        <v>-1.1511088129594027</v>
      </c>
      <c r="AV444" s="580" t="str">
        <f t="shared" si="376"/>
        <v>-0.0208795949361691-0.0641184061482788i</v>
      </c>
      <c r="AW444" s="270">
        <f t="shared" si="377"/>
        <v>-23.422628689391559</v>
      </c>
      <c r="AX444" s="581">
        <f t="shared" si="378"/>
        <v>-108.03738382815718</v>
      </c>
      <c r="AY444" s="299">
        <f t="shared" si="348"/>
        <v>71.962616171842825</v>
      </c>
      <c r="BB444" s="270">
        <f t="shared" si="381"/>
        <v>-49.341411718953381</v>
      </c>
      <c r="BC444" s="270">
        <f t="shared" si="382"/>
        <v>-65.953676742887851</v>
      </c>
      <c r="BD444" s="286"/>
      <c r="BE444" s="270">
        <f t="shared" si="379"/>
        <v>25.918783029561823</v>
      </c>
      <c r="BF444" s="581">
        <f t="shared" si="380"/>
        <v>-42.083707085269339</v>
      </c>
      <c r="BI444" s="286"/>
      <c r="BJ444" s="286"/>
      <c r="BL444" s="253">
        <f t="shared" si="349"/>
        <v>0</v>
      </c>
      <c r="BM444" s="253">
        <f t="shared" si="383"/>
        <v>0</v>
      </c>
      <c r="BN444" s="253">
        <f t="shared" si="350"/>
        <v>0</v>
      </c>
      <c r="BO444" s="253">
        <f t="shared" si="351"/>
        <v>0</v>
      </c>
    </row>
    <row r="445" spans="4:67" ht="13.6" thickBot="1" x14ac:dyDescent="0.25">
      <c r="D445" s="280">
        <v>46774</v>
      </c>
      <c r="E445" s="273" t="str">
        <f t="shared" si="330"/>
        <v>0.529001477204432i</v>
      </c>
      <c r="F445" s="579" t="str">
        <f t="shared" si="352"/>
        <v>0.002-0.0523482615561884i</v>
      </c>
      <c r="G445" s="270" t="str">
        <f t="shared" si="353"/>
        <v>0.002-0.0523482615561884i</v>
      </c>
      <c r="H445" s="271" t="str">
        <f t="shared" si="354"/>
        <v>0.00336313657286597-0.0522080263533522i</v>
      </c>
      <c r="I445" s="271" t="str">
        <f t="shared" si="355"/>
        <v>0.013363136572866-0.0522080263533522i</v>
      </c>
      <c r="J445" s="270" t="str">
        <f t="shared" si="356"/>
        <v>0.00380384445561357-0.0264423324783433i</v>
      </c>
      <c r="K445" s="271" t="str">
        <f t="shared" si="331"/>
        <v>0.94475374167319-0.369208177836706i</v>
      </c>
      <c r="L445" s="580"/>
      <c r="M445" s="580" t="str">
        <f t="shared" si="332"/>
        <v>-0.127485130847569-31.158198794179i</v>
      </c>
      <c r="N445" s="270" t="str">
        <f t="shared" si="333"/>
        <v>-6.76228051480235-23.3686490956343i</v>
      </c>
      <c r="O445" s="581" t="str">
        <f t="shared" si="334"/>
        <v>-4.57799185836818-11.1566738383281i</v>
      </c>
      <c r="P445" s="582" t="str">
        <f t="shared" si="335"/>
        <v>-0.643644252200033+0.0899197633866186i</v>
      </c>
      <c r="Q445" s="583" t="str">
        <f t="shared" si="336"/>
        <v>-0.597864333616349+0.2014865017699i</v>
      </c>
      <c r="R445" s="581" t="str">
        <f t="shared" si="357"/>
        <v>-0.520478205145623-1.31592634020124i</v>
      </c>
      <c r="S445" s="253" t="str">
        <f t="shared" si="358"/>
        <v>47.9231913330171-17.6855949194862i</v>
      </c>
      <c r="T445" s="253" t="str">
        <f t="shared" si="359"/>
        <v>14.6156152673574-13.3140276502696i</v>
      </c>
      <c r="U445" s="253" t="str">
        <f t="shared" si="360"/>
        <v>-0.645944796193947-0.807829320371424i</v>
      </c>
      <c r="V445" s="582" t="str">
        <f t="shared" si="337"/>
        <v>6000</v>
      </c>
      <c r="W445" s="584" t="str">
        <f t="shared" si="338"/>
        <v>1+164602.924088093i</v>
      </c>
      <c r="X445" s="585">
        <f t="shared" si="339"/>
        <v>164602.92409113058</v>
      </c>
      <c r="Y445" s="586">
        <f t="shared" si="340"/>
        <v>1.5707902515686785</v>
      </c>
      <c r="Z445" s="273" t="str">
        <f t="shared" si="341"/>
        <v>1+24.6867356028735i</v>
      </c>
      <c r="AA445" s="585">
        <f t="shared" si="342"/>
        <v>24.706981092925581</v>
      </c>
      <c r="AB445" s="586">
        <f t="shared" si="343"/>
        <v>1.5303108774764806</v>
      </c>
      <c r="AC445" s="584" t="str">
        <f t="shared" si="344"/>
        <v>1+1.19349152370998i</v>
      </c>
      <c r="AD445" s="585">
        <f t="shared" si="345"/>
        <v>1.5570555600772793</v>
      </c>
      <c r="AE445" s="586">
        <f t="shared" si="346"/>
        <v>0.87338208317222465</v>
      </c>
      <c r="AF445" s="580" t="str">
        <f t="shared" si="361"/>
        <v>0.353225376731054-0.458017383511616i</v>
      </c>
      <c r="AG445" s="270">
        <f t="shared" si="362"/>
        <v>0.57840132292865809</v>
      </c>
      <c r="AH445" s="581">
        <f t="shared" si="363"/>
        <v>-0.91386145726442081</v>
      </c>
      <c r="AI445" s="582" t="str">
        <f t="shared" si="347"/>
        <v>4000</v>
      </c>
      <c r="AJ445" s="584" t="str">
        <f t="shared" si="364"/>
        <v>1+12931.5998107055i</v>
      </c>
      <c r="AK445" s="585">
        <f t="shared" si="365"/>
        <v>12931.599849370476</v>
      </c>
      <c r="AL445" s="586">
        <f t="shared" si="366"/>
        <v>1.570718996842482</v>
      </c>
      <c r="AM445" s="273" t="str">
        <f t="shared" si="367"/>
        <v>1+0.452590152719348i</v>
      </c>
      <c r="AN445" s="585">
        <f t="shared" si="368"/>
        <v>1.0976510585511785</v>
      </c>
      <c r="AO445" s="586">
        <f t="shared" si="369"/>
        <v>0.42500581016838912</v>
      </c>
      <c r="AP445" s="584" t="str">
        <f t="shared" si="370"/>
        <v>1+0.00327438572279669i</v>
      </c>
      <c r="AQ445" s="585">
        <f t="shared" si="371"/>
        <v>1.0000053607865618</v>
      </c>
      <c r="AR445" s="586">
        <f t="shared" si="372"/>
        <v>3.2743740206519489E-3</v>
      </c>
      <c r="AS445" s="580" t="str">
        <f t="shared" si="373"/>
        <v>0.139004731750464-0.309764137719973i</v>
      </c>
      <c r="AT445" s="270">
        <f t="shared" si="374"/>
        <v>0.33952339605160764</v>
      </c>
      <c r="AU445" s="581">
        <f t="shared" si="375"/>
        <v>-1.1489875606947455</v>
      </c>
      <c r="AV445" s="580" t="str">
        <f t="shared" si="376"/>
        <v>-0.0209256861505864-0.0637810630258382i</v>
      </c>
      <c r="AW445" s="270">
        <f t="shared" si="377"/>
        <v>-23.462176468668304</v>
      </c>
      <c r="AX445" s="581">
        <f t="shared" si="378"/>
        <v>-108.16394915011686</v>
      </c>
      <c r="AY445" s="299">
        <f t="shared" si="348"/>
        <v>71.836050849883136</v>
      </c>
      <c r="BB445" s="270">
        <f t="shared" si="381"/>
        <v>-49.382605875326647</v>
      </c>
      <c r="BC445" s="270">
        <f t="shared" si="382"/>
        <v>-65.832137940840425</v>
      </c>
      <c r="BD445" s="286"/>
      <c r="BE445" s="270">
        <f t="shared" si="379"/>
        <v>25.920429406658339</v>
      </c>
      <c r="BF445" s="581">
        <f t="shared" si="380"/>
        <v>-42.331811209276431</v>
      </c>
      <c r="BI445" s="286"/>
      <c r="BJ445" s="286"/>
      <c r="BL445" s="253">
        <f t="shared" si="349"/>
        <v>0</v>
      </c>
      <c r="BM445" s="253">
        <f t="shared" si="383"/>
        <v>0</v>
      </c>
      <c r="BN445" s="253">
        <f t="shared" si="350"/>
        <v>0</v>
      </c>
      <c r="BO445" s="253">
        <f t="shared" si="351"/>
        <v>0</v>
      </c>
    </row>
    <row r="446" spans="4:67" ht="13.6" thickBot="1" x14ac:dyDescent="0.25">
      <c r="D446" s="280">
        <v>47046.25</v>
      </c>
      <c r="E446" s="273" t="str">
        <f t="shared" si="330"/>
        <v>0.532080552164216i</v>
      </c>
      <c r="F446" s="579" t="str">
        <f t="shared" si="352"/>
        <v>0.002-0.0520453295646128i</v>
      </c>
      <c r="G446" s="270" t="str">
        <f t="shared" si="353"/>
        <v>0.002-0.0520453295646128i</v>
      </c>
      <c r="H446" s="271" t="str">
        <f t="shared" si="354"/>
        <v>0.0033473932461722-0.051906315157116i</v>
      </c>
      <c r="I446" s="271" t="str">
        <f t="shared" si="355"/>
        <v>0.0133473932461722-0.051906315157116i</v>
      </c>
      <c r="J446" s="270" t="str">
        <f t="shared" si="356"/>
        <v>0.00379953613485424-0.0262920271716275i</v>
      </c>
      <c r="K446" s="271" t="str">
        <f t="shared" si="331"/>
        <v>0.944108743742266-0.371357169293841i</v>
      </c>
      <c r="L446" s="580"/>
      <c r="M446" s="580" t="str">
        <f t="shared" si="332"/>
        <v>-0.126186120178227-30.9675955827414i</v>
      </c>
      <c r="N446" s="270" t="str">
        <f t="shared" si="333"/>
        <v>-6.76130625680034-23.2256966870561i</v>
      </c>
      <c r="O446" s="581" t="str">
        <f t="shared" si="334"/>
        <v>-4.57461953651301-11.0830681810257i</v>
      </c>
      <c r="P446" s="582" t="str">
        <f t="shared" si="335"/>
        <v>-0.636340475817587+0.0895215739998555i</v>
      </c>
      <c r="Q446" s="583" t="str">
        <f t="shared" si="336"/>
        <v>-0.590594280452455+0.200352255810113i</v>
      </c>
      <c r="R446" s="581" t="str">
        <f t="shared" si="357"/>
        <v>-0.520248428755573-1.30697856241818i</v>
      </c>
      <c r="S446" s="253" t="str">
        <f t="shared" si="358"/>
        <v>47.8733311722198-17.794514205899i</v>
      </c>
      <c r="T446" s="253" t="str">
        <f t="shared" si="359"/>
        <v>14.559373161478-13.3811777001528i</v>
      </c>
      <c r="U446" s="253" t="str">
        <f t="shared" si="360"/>
        <v>-0.645831679488271-0.800515475669053i</v>
      </c>
      <c r="V446" s="582" t="str">
        <f t="shared" si="337"/>
        <v>6000</v>
      </c>
      <c r="W446" s="584" t="str">
        <f t="shared" si="338"/>
        <v>1+165561.002210191i</v>
      </c>
      <c r="X446" s="585">
        <f t="shared" si="339"/>
        <v>165561.00221321103</v>
      </c>
      <c r="Y446" s="586">
        <f t="shared" si="340"/>
        <v>1.5707902867251542</v>
      </c>
      <c r="Z446" s="273" t="str">
        <f t="shared" si="341"/>
        <v>1+24.8304257676634i</v>
      </c>
      <c r="AA446" s="585">
        <f t="shared" si="342"/>
        <v>24.850554195096787</v>
      </c>
      <c r="AB446" s="586">
        <f t="shared" si="343"/>
        <v>1.5305449073433124</v>
      </c>
      <c r="AC446" s="584" t="str">
        <f t="shared" si="344"/>
        <v>1+1.20043829044641i</v>
      </c>
      <c r="AD446" s="585">
        <f t="shared" si="345"/>
        <v>1.5623866644239828</v>
      </c>
      <c r="AE446" s="586">
        <f t="shared" si="346"/>
        <v>0.8762376391176111</v>
      </c>
      <c r="AF446" s="580" t="str">
        <f t="shared" si="361"/>
        <v>0.350818969252338-0.45737150691209i</v>
      </c>
      <c r="AG446" s="270">
        <f t="shared" si="362"/>
        <v>0.57642227968938609</v>
      </c>
      <c r="AH446" s="581">
        <f t="shared" si="363"/>
        <v>-0.91648301849945391</v>
      </c>
      <c r="AI446" s="582" t="str">
        <f t="shared" si="347"/>
        <v>4000</v>
      </c>
      <c r="AJ446" s="584" t="str">
        <f t="shared" si="364"/>
        <v>1+13006.8687218199i</v>
      </c>
      <c r="AK446" s="585">
        <f t="shared" si="365"/>
        <v>13006.868760261126</v>
      </c>
      <c r="AL446" s="586">
        <f t="shared" si="366"/>
        <v>1.5707194443399863</v>
      </c>
      <c r="AM446" s="273" t="str">
        <f t="shared" si="367"/>
        <v>1+0.455224472407163i</v>
      </c>
      <c r="AN446" s="585">
        <f t="shared" si="368"/>
        <v>1.0987398783508224</v>
      </c>
      <c r="AO446" s="586">
        <f t="shared" si="369"/>
        <v>0.42719009683653264</v>
      </c>
      <c r="AP446" s="584" t="str">
        <f t="shared" si="370"/>
        <v>1+0.00329344442021474i</v>
      </c>
      <c r="AQ446" s="585">
        <f t="shared" si="371"/>
        <v>1.000005423373368</v>
      </c>
      <c r="AR446" s="586">
        <f t="shared" si="372"/>
        <v>3.2934325125407744E-3</v>
      </c>
      <c r="AS446" s="580" t="str">
        <f t="shared" si="373"/>
        <v>0.139004438324751-0.307976858654255i</v>
      </c>
      <c r="AT446" s="270">
        <f t="shared" si="374"/>
        <v>0.33789344376670355</v>
      </c>
      <c r="AU446" s="581">
        <f t="shared" si="375"/>
        <v>-1.1468227800159951</v>
      </c>
      <c r="AV446" s="580" t="str">
        <f t="shared" si="376"/>
        <v>-0.0209727558451572-0.0634399310058049i</v>
      </c>
      <c r="AW446" s="270">
        <f t="shared" si="377"/>
        <v>-23.502289885042657</v>
      </c>
      <c r="AX446" s="581">
        <f t="shared" si="378"/>
        <v>-108.29349066641235</v>
      </c>
      <c r="AY446" s="299">
        <f t="shared" si="348"/>
        <v>71.706509333587647</v>
      </c>
      <c r="BB446" s="270">
        <f t="shared" si="381"/>
        <v>-49.424404697415142</v>
      </c>
      <c r="BC446" s="270">
        <f t="shared" si="382"/>
        <v>-65.708105144376574</v>
      </c>
      <c r="BD446" s="286"/>
      <c r="BE446" s="270">
        <f t="shared" si="379"/>
        <v>25.922114812372484</v>
      </c>
      <c r="BF446" s="581">
        <f t="shared" si="380"/>
        <v>-42.585385522035828</v>
      </c>
      <c r="BI446" s="286"/>
      <c r="BJ446" s="286"/>
      <c r="BL446" s="253">
        <f t="shared" si="349"/>
        <v>0</v>
      </c>
      <c r="BM446" s="253">
        <f t="shared" si="383"/>
        <v>0</v>
      </c>
      <c r="BN446" s="253">
        <f t="shared" si="350"/>
        <v>0</v>
      </c>
      <c r="BO446" s="253">
        <f t="shared" si="351"/>
        <v>0</v>
      </c>
    </row>
    <row r="447" spans="4:67" ht="13.6" thickBot="1" x14ac:dyDescent="0.25">
      <c r="D447" s="280">
        <v>47318.5</v>
      </c>
      <c r="E447" s="273" t="str">
        <f t="shared" si="330"/>
        <v>0.535159627123999i</v>
      </c>
      <c r="F447" s="579" t="str">
        <f t="shared" si="352"/>
        <v>0.002-0.0517458834500071i</v>
      </c>
      <c r="G447" s="270" t="str">
        <f t="shared" si="353"/>
        <v>0.002-0.0517458834500071i</v>
      </c>
      <c r="H447" s="271" t="str">
        <f t="shared" si="354"/>
        <v>0.0033319206357796-0.0516080687927724i</v>
      </c>
      <c r="I447" s="271" t="str">
        <f t="shared" si="355"/>
        <v>0.0133319206357796-0.0516080687927724i</v>
      </c>
      <c r="J447" s="270" t="str">
        <f t="shared" si="356"/>
        <v>0.00379529386617077-0.0261434648339106i</v>
      </c>
      <c r="K447" s="271" t="str">
        <f t="shared" si="331"/>
        <v>0.943460002468372-0.373506160750976i</v>
      </c>
      <c r="L447" s="580"/>
      <c r="M447" s="580" t="str">
        <f t="shared" si="332"/>
        <v>-0.124906163858525-30.7793682764482i</v>
      </c>
      <c r="N447" s="270" t="str">
        <f t="shared" si="333"/>
        <v>-6.76034628956056-23.0845262073362i</v>
      </c>
      <c r="O447" s="581" t="str">
        <f t="shared" si="334"/>
        <v>-4.57128972026279-11.0103505411701i</v>
      </c>
      <c r="P447" s="582" t="str">
        <f t="shared" si="335"/>
        <v>-0.629166999914941+0.089126314768023i</v>
      </c>
      <c r="Q447" s="583" t="str">
        <f t="shared" si="336"/>
        <v>-0.583454102712316+0.199229820179724i</v>
      </c>
      <c r="R447" s="581" t="str">
        <f t="shared" si="357"/>
        <v>-0.520022565302137-1.29813693300513i</v>
      </c>
      <c r="S447" s="253" t="str">
        <f t="shared" si="358"/>
        <v>47.8231662184159-17.903230251215i</v>
      </c>
      <c r="T447" s="253" t="str">
        <f t="shared" si="359"/>
        <v>14.5028550825272-13.4480633032743i</v>
      </c>
      <c r="U447" s="253" t="str">
        <f t="shared" si="360"/>
        <v>-0.645706213957743-0.793272222422127i</v>
      </c>
      <c r="V447" s="582" t="str">
        <f t="shared" si="337"/>
        <v>6000</v>
      </c>
      <c r="W447" s="584" t="str">
        <f t="shared" si="338"/>
        <v>1+166519.080332288i</v>
      </c>
      <c r="X447" s="585">
        <f t="shared" si="339"/>
        <v>166519.08033529064</v>
      </c>
      <c r="Y447" s="586">
        <f t="shared" si="340"/>
        <v>1.5707903214770795</v>
      </c>
      <c r="Z447" s="273" t="str">
        <f t="shared" si="341"/>
        <v>1+24.9741159324533i</v>
      </c>
      <c r="AA447" s="585">
        <f t="shared" si="342"/>
        <v>24.994128642695628</v>
      </c>
      <c r="AB447" s="586">
        <f t="shared" si="343"/>
        <v>1.5307762485345353</v>
      </c>
      <c r="AC447" s="584" t="str">
        <f t="shared" si="344"/>
        <v>1+1.20738505718285i</v>
      </c>
      <c r="AD447" s="585">
        <f t="shared" si="345"/>
        <v>1.5677304220778627</v>
      </c>
      <c r="AE447" s="586">
        <f t="shared" si="346"/>
        <v>0.8790737511922746</v>
      </c>
      <c r="AF447" s="580" t="str">
        <f t="shared" si="361"/>
        <v>0.348431444847942-0.45671742288766i</v>
      </c>
      <c r="AG447" s="270">
        <f t="shared" si="362"/>
        <v>0.57445215303623864</v>
      </c>
      <c r="AH447" s="581">
        <f t="shared" si="363"/>
        <v>-0.91908782413481938</v>
      </c>
      <c r="AI447" s="582" t="str">
        <f t="shared" si="347"/>
        <v>4000</v>
      </c>
      <c r="AJ447" s="584" t="str">
        <f t="shared" si="364"/>
        <v>1+13082.1376329343i</v>
      </c>
      <c r="AK447" s="585">
        <f t="shared" si="365"/>
        <v>13082.137671154354</v>
      </c>
      <c r="AL447" s="586">
        <f t="shared" si="366"/>
        <v>1.5707198866880798</v>
      </c>
      <c r="AM447" s="273" t="str">
        <f t="shared" si="367"/>
        <v>1+0.457858792094977i</v>
      </c>
      <c r="AN447" s="585">
        <f t="shared" si="368"/>
        <v>1.0998339299633701</v>
      </c>
      <c r="AO447" s="586">
        <f t="shared" si="369"/>
        <v>0.42937004828246189</v>
      </c>
      <c r="AP447" s="584" t="str">
        <f t="shared" si="370"/>
        <v>1+0.00331250311763277i</v>
      </c>
      <c r="AQ447" s="585">
        <f t="shared" si="371"/>
        <v>1.0000054863234022</v>
      </c>
      <c r="AR447" s="586">
        <f t="shared" si="372"/>
        <v>3.3124910020370492E-3</v>
      </c>
      <c r="AS447" s="580" t="str">
        <f t="shared" si="373"/>
        <v>0.139004149548811-0.306210176514129i</v>
      </c>
      <c r="AT447" s="270">
        <f t="shared" si="374"/>
        <v>0.33628384705870468</v>
      </c>
      <c r="AU447" s="581">
        <f t="shared" si="375"/>
        <v>-1.1446623294076561</v>
      </c>
      <c r="AV447" s="580" t="str">
        <f t="shared" si="376"/>
        <v>-0.0210197680109246-0.063102584173297i</v>
      </c>
      <c r="AW447" s="270">
        <f t="shared" si="377"/>
        <v>-23.542077773439082</v>
      </c>
      <c r="AX447" s="581">
        <f t="shared" si="378"/>
        <v>-108.42315878542499</v>
      </c>
      <c r="AY447" s="299">
        <f t="shared" si="348"/>
        <v>71.576841214575012</v>
      </c>
      <c r="BB447" s="270">
        <f t="shared" si="381"/>
        <v>-49.465879858687941</v>
      </c>
      <c r="BC447" s="270">
        <f t="shared" si="382"/>
        <v>-65.584320442672265</v>
      </c>
      <c r="BD447" s="286"/>
      <c r="BE447" s="270">
        <f t="shared" si="379"/>
        <v>25.923802085248862</v>
      </c>
      <c r="BF447" s="581">
        <f t="shared" si="380"/>
        <v>-42.838838342752716</v>
      </c>
      <c r="BI447" s="286"/>
      <c r="BJ447" s="286"/>
      <c r="BL447" s="253">
        <f t="shared" si="349"/>
        <v>0</v>
      </c>
      <c r="BM447" s="253">
        <f t="shared" si="383"/>
        <v>0</v>
      </c>
      <c r="BN447" s="253">
        <f t="shared" si="350"/>
        <v>0</v>
      </c>
      <c r="BO447" s="253">
        <f t="shared" si="351"/>
        <v>0</v>
      </c>
    </row>
    <row r="448" spans="4:67" ht="13.6" thickBot="1" x14ac:dyDescent="0.25">
      <c r="D448" s="280">
        <v>47590.75</v>
      </c>
      <c r="E448" s="273" t="str">
        <f t="shared" si="330"/>
        <v>0.538238702083782i</v>
      </c>
      <c r="F448" s="579" t="str">
        <f t="shared" si="352"/>
        <v>0.002-0.0514498633879306i</v>
      </c>
      <c r="G448" s="270" t="str">
        <f t="shared" si="353"/>
        <v>0.002-0.0514498633879306i</v>
      </c>
      <c r="H448" s="271" t="str">
        <f t="shared" si="354"/>
        <v>0.0033167125715837-0.0513132279556226i</v>
      </c>
      <c r="I448" s="271" t="str">
        <f t="shared" si="355"/>
        <v>0.0133167125715837-0.0513132279556226i</v>
      </c>
      <c r="J448" s="270" t="str">
        <f t="shared" si="356"/>
        <v>0.00379111610136154-0.0259966155541798i</v>
      </c>
      <c r="K448" s="271" t="str">
        <f t="shared" si="331"/>
        <v>0.942807517851506-0.375655152208112i</v>
      </c>
      <c r="L448" s="580"/>
      <c r="M448" s="580" t="str">
        <f t="shared" si="332"/>
        <v>-0.123644926986151-30.5934717666191i</v>
      </c>
      <c r="N448" s="270" t="str">
        <f t="shared" si="333"/>
        <v>-6.75940036190628-22.9451038249643i</v>
      </c>
      <c r="O448" s="581" t="str">
        <f t="shared" si="334"/>
        <v>-4.5680013554093-10.9385040821197i</v>
      </c>
      <c r="P448" s="582" t="str">
        <f t="shared" si="335"/>
        <v>-0.622120714535909+0.088733980027027i</v>
      </c>
      <c r="Q448" s="583" t="str">
        <f t="shared" si="336"/>
        <v>-0.576440700981814+0.198119020848224i</v>
      </c>
      <c r="R448" s="581" t="str">
        <f t="shared" si="357"/>
        <v>-0.51980052674123-1.28939943547148i</v>
      </c>
      <c r="S448" s="253" t="str">
        <f t="shared" si="358"/>
        <v>47.7726967624116-18.0117432637354i</v>
      </c>
      <c r="T448" s="253" t="str">
        <f t="shared" si="359"/>
        <v>14.44606209897-13.5146835128527i</v>
      </c>
      <c r="U448" s="253" t="str">
        <f t="shared" si="360"/>
        <v>-0.645568600069569-0.786098398253581i</v>
      </c>
      <c r="V448" s="582" t="str">
        <f t="shared" si="337"/>
        <v>6000</v>
      </c>
      <c r="W448" s="584" t="str">
        <f t="shared" si="338"/>
        <v>1+167477.158454386i</v>
      </c>
      <c r="X448" s="585">
        <f t="shared" si="339"/>
        <v>167477.15845737146</v>
      </c>
      <c r="Y448" s="586">
        <f t="shared" si="340"/>
        <v>1.570790355831398</v>
      </c>
      <c r="Z448" s="273" t="str">
        <f t="shared" si="341"/>
        <v>1+25.1178060972432i</v>
      </c>
      <c r="AA448" s="585">
        <f t="shared" si="342"/>
        <v>25.137704412668786</v>
      </c>
      <c r="AB448" s="586">
        <f t="shared" si="343"/>
        <v>1.5310049470948535</v>
      </c>
      <c r="AC448" s="584" t="str">
        <f t="shared" si="344"/>
        <v>1+1.21433182391928i</v>
      </c>
      <c r="AD448" s="585">
        <f t="shared" si="345"/>
        <v>1.5730867040894869</v>
      </c>
      <c r="AE448" s="586">
        <f t="shared" si="346"/>
        <v>0.88189057215465638</v>
      </c>
      <c r="AF448" s="580" t="str">
        <f t="shared" si="361"/>
        <v>0.346062699964866-0.456055357568602i</v>
      </c>
      <c r="AG448" s="270">
        <f t="shared" si="362"/>
        <v>0.57249094444715742</v>
      </c>
      <c r="AH448" s="581">
        <f t="shared" si="363"/>
        <v>-0.92167598089120073</v>
      </c>
      <c r="AI448" s="582" t="str">
        <f t="shared" si="347"/>
        <v>4000</v>
      </c>
      <c r="AJ448" s="584" t="str">
        <f t="shared" si="364"/>
        <v>1+13157.4065440487i</v>
      </c>
      <c r="AK448" s="585">
        <f t="shared" si="365"/>
        <v>13157.406582050109</v>
      </c>
      <c r="AL448" s="586">
        <f t="shared" si="366"/>
        <v>1.5707203239751368</v>
      </c>
      <c r="AM448" s="273" t="str">
        <f t="shared" si="367"/>
        <v>1+0.460493111782792i</v>
      </c>
      <c r="AN448" s="585">
        <f t="shared" si="368"/>
        <v>1.1009331977914913</v>
      </c>
      <c r="AO448" s="586">
        <f t="shared" si="369"/>
        <v>0.43154565674241696</v>
      </c>
      <c r="AP448" s="584" t="str">
        <f t="shared" si="370"/>
        <v>1+0.00333156181505081i</v>
      </c>
      <c r="AQ448" s="585">
        <f t="shared" si="371"/>
        <v>1.0000055496366647</v>
      </c>
      <c r="AR448" s="586">
        <f t="shared" si="372"/>
        <v>3.3315494891269603E-3</v>
      </c>
      <c r="AS448" s="580" t="str">
        <f t="shared" si="373"/>
        <v>0.139003865314248-0.304463737816204i</v>
      </c>
      <c r="AT448" s="270">
        <f t="shared" si="374"/>
        <v>0.33469425184385199</v>
      </c>
      <c r="AU448" s="581">
        <f t="shared" si="375"/>
        <v>-1.1425062167218452</v>
      </c>
      <c r="AV448" s="580" t="str">
        <f t="shared" si="376"/>
        <v>-0.0210667258739967-0.0627689531016267i</v>
      </c>
      <c r="AW448" s="270">
        <f t="shared" si="377"/>
        <v>-23.581543783803692</v>
      </c>
      <c r="AX448" s="581">
        <f t="shared" si="378"/>
        <v>-108.5529546835122</v>
      </c>
      <c r="AY448" s="299">
        <f t="shared" si="348"/>
        <v>71.447045316487802</v>
      </c>
      <c r="BB448" s="270">
        <f t="shared" si="381"/>
        <v>-49.507034926070219</v>
      </c>
      <c r="BC448" s="270">
        <f t="shared" si="382"/>
        <v>-65.46078428562069</v>
      </c>
      <c r="BD448" s="286"/>
      <c r="BE448" s="270">
        <f t="shared" si="379"/>
        <v>25.925491142266523</v>
      </c>
      <c r="BF448" s="581">
        <f t="shared" si="380"/>
        <v>-43.092170397891529</v>
      </c>
      <c r="BI448" s="286"/>
      <c r="BJ448" s="286"/>
      <c r="BL448" s="253">
        <f t="shared" si="349"/>
        <v>0</v>
      </c>
      <c r="BM448" s="253">
        <f t="shared" si="383"/>
        <v>0</v>
      </c>
      <c r="BN448" s="253">
        <f t="shared" si="350"/>
        <v>0</v>
      </c>
      <c r="BO448" s="253">
        <f t="shared" si="351"/>
        <v>0</v>
      </c>
    </row>
    <row r="449" spans="4:67" ht="13.6" thickBot="1" x14ac:dyDescent="0.25">
      <c r="D449" s="280">
        <v>47863</v>
      </c>
      <c r="E449" s="273" t="str">
        <f t="shared" si="330"/>
        <v>0.541317777043566i</v>
      </c>
      <c r="F449" s="579" t="str">
        <f t="shared" si="352"/>
        <v>0.002-0.0511572109150942i</v>
      </c>
      <c r="G449" s="270" t="str">
        <f t="shared" si="353"/>
        <v>0.002-0.0511572109150942i</v>
      </c>
      <c r="H449" s="271" t="str">
        <f t="shared" si="354"/>
        <v>0.0033017630582302-0.0510217346858276i</v>
      </c>
      <c r="I449" s="271" t="str">
        <f t="shared" si="355"/>
        <v>0.0133017630582302-0.0510217346858276i</v>
      </c>
      <c r="J449" s="270" t="str">
        <f t="shared" si="356"/>
        <v>0.00378700133619834-0.0258514501013238i</v>
      </c>
      <c r="K449" s="271" t="str">
        <f t="shared" si="331"/>
        <v>0.942151289891669-0.377804143665247i</v>
      </c>
      <c r="L449" s="580"/>
      <c r="M449" s="580" t="str">
        <f t="shared" si="332"/>
        <v>-0.122402080499674-30.4098620997271i</v>
      </c>
      <c r="N449" s="270" t="str">
        <f t="shared" si="333"/>
        <v>-6.75846822704143-22.8073965747953i</v>
      </c>
      <c r="O449" s="581" t="str">
        <f t="shared" si="334"/>
        <v>-4.56475341786972-10.8675123990081i</v>
      </c>
      <c r="P449" s="582" t="str">
        <f t="shared" si="335"/>
        <v>-0.615198602700884+0.0883445628287886i</v>
      </c>
      <c r="Q449" s="583" t="str">
        <f t="shared" si="336"/>
        <v>-0.569551068522185+0.19701968681887i</v>
      </c>
      <c r="R449" s="581" t="str">
        <f t="shared" si="357"/>
        <v>-0.519582227474515-1.28076410499895i</v>
      </c>
      <c r="S449" s="253" t="str">
        <f t="shared" si="358"/>
        <v>47.7219230931535-18.1200534199707i</v>
      </c>
      <c r="T449" s="253" t="str">
        <f t="shared" si="359"/>
        <v>14.3889952849459-13.5810373768034i</v>
      </c>
      <c r="U449" s="253" t="str">
        <f t="shared" si="360"/>
        <v>-0.645419032720688-0.778992867327307i</v>
      </c>
      <c r="V449" s="582" t="str">
        <f t="shared" si="337"/>
        <v>6000</v>
      </c>
      <c r="W449" s="584" t="str">
        <f t="shared" si="338"/>
        <v>1+168435.236576483i</v>
      </c>
      <c r="X449" s="585">
        <f t="shared" si="339"/>
        <v>168435.23657945154</v>
      </c>
      <c r="Y449" s="586">
        <f t="shared" si="340"/>
        <v>1.570790389794894</v>
      </c>
      <c r="Z449" s="273" t="str">
        <f t="shared" si="341"/>
        <v>1+25.2614962620331i</v>
      </c>
      <c r="AA449" s="585">
        <f t="shared" si="342"/>
        <v>25.281281482486452</v>
      </c>
      <c r="AB449" s="586">
        <f t="shared" si="343"/>
        <v>1.5312310480241051</v>
      </c>
      <c r="AC449" s="584" t="str">
        <f t="shared" si="344"/>
        <v>1+1.22127859065572i</v>
      </c>
      <c r="AD449" s="585">
        <f t="shared" si="345"/>
        <v>1.5784553829595633</v>
      </c>
      <c r="AE449" s="586">
        <f t="shared" si="346"/>
        <v>0.88468825391675354</v>
      </c>
      <c r="AF449" s="580" t="str">
        <f t="shared" si="361"/>
        <v>0.343712629474093-0.455385533230675i</v>
      </c>
      <c r="AG449" s="270">
        <f t="shared" si="362"/>
        <v>0.57053865384895819</v>
      </c>
      <c r="AH449" s="581">
        <f t="shared" si="363"/>
        <v>-0.92424759568754156</v>
      </c>
      <c r="AI449" s="582" t="str">
        <f t="shared" si="347"/>
        <v>4000</v>
      </c>
      <c r="AJ449" s="584" t="str">
        <f t="shared" si="364"/>
        <v>1+13232.6754551631i</v>
      </c>
      <c r="AK449" s="585">
        <f t="shared" si="365"/>
        <v>13232.675492948354</v>
      </c>
      <c r="AL449" s="586">
        <f t="shared" si="366"/>
        <v>1.5707207562875201</v>
      </c>
      <c r="AM449" s="273" t="str">
        <f t="shared" si="367"/>
        <v>1+0.463127431470607i</v>
      </c>
      <c r="AN449" s="585">
        <f t="shared" si="368"/>
        <v>1.10203766622587</v>
      </c>
      <c r="AO449" s="586">
        <f t="shared" si="369"/>
        <v>0.43371691464798995</v>
      </c>
      <c r="AP449" s="584" t="str">
        <f t="shared" si="370"/>
        <v>1+0.00335062051246886i</v>
      </c>
      <c r="AQ449" s="585">
        <f t="shared" si="371"/>
        <v>1.0000056133131545</v>
      </c>
      <c r="AR449" s="586">
        <f t="shared" si="372"/>
        <v>3.3506079737966629E-3</v>
      </c>
      <c r="AS449" s="580" t="str">
        <f t="shared" si="373"/>
        <v>0.139003585515736-0.3027371971197i</v>
      </c>
      <c r="AT449" s="270">
        <f t="shared" si="374"/>
        <v>0.33312431209103099</v>
      </c>
      <c r="AU449" s="581">
        <f t="shared" si="375"/>
        <v>-1.140354449613328</v>
      </c>
      <c r="AV449" s="580" t="str">
        <f t="shared" si="376"/>
        <v>-0.0211136325285484-0.06243896992332i</v>
      </c>
      <c r="AW449" s="270">
        <f t="shared" si="377"/>
        <v>-23.620691509639716</v>
      </c>
      <c r="AX449" s="581">
        <f t="shared" si="378"/>
        <v>-108.68287950219536</v>
      </c>
      <c r="AY449" s="299">
        <f t="shared" si="348"/>
        <v>71.317120497804638</v>
      </c>
      <c r="BB449" s="270">
        <f t="shared" si="381"/>
        <v>-49.547873409120051</v>
      </c>
      <c r="BC449" s="270">
        <f t="shared" si="382"/>
        <v>-65.337497111807579</v>
      </c>
      <c r="BD449" s="286"/>
      <c r="BE449" s="270">
        <f t="shared" si="379"/>
        <v>25.927181899480335</v>
      </c>
      <c r="BF449" s="581">
        <f t="shared" si="380"/>
        <v>-43.345382390387819</v>
      </c>
      <c r="BI449" s="286"/>
      <c r="BJ449" s="286"/>
      <c r="BL449" s="253">
        <f t="shared" si="349"/>
        <v>0</v>
      </c>
      <c r="BM449" s="253">
        <f t="shared" si="383"/>
        <v>0</v>
      </c>
      <c r="BN449" s="253">
        <f t="shared" si="350"/>
        <v>0</v>
      </c>
      <c r="BO449" s="253">
        <f t="shared" si="351"/>
        <v>0</v>
      </c>
    </row>
    <row r="450" spans="4:67" ht="13.6" thickBot="1" x14ac:dyDescent="0.25">
      <c r="D450" s="280">
        <v>48141.75</v>
      </c>
      <c r="E450" s="273" t="str">
        <f t="shared" si="330"/>
        <v>0.544470365271443i</v>
      </c>
      <c r="F450" s="579" t="str">
        <f t="shared" si="352"/>
        <v>0.002-0.0508610008159064i</v>
      </c>
      <c r="G450" s="270" t="str">
        <f t="shared" si="353"/>
        <v>0.002-0.0508610008159064i</v>
      </c>
      <c r="H450" s="271" t="str">
        <f t="shared" si="354"/>
        <v>0.00328671842360684-0.0507266912304637i</v>
      </c>
      <c r="I450" s="271" t="str">
        <f t="shared" si="355"/>
        <v>0.0132867184236068-0.0507266912304637i</v>
      </c>
      <c r="J450" s="270" t="str">
        <f t="shared" si="356"/>
        <v>0.00378285207802907-0.0257045335824413i</v>
      </c>
      <c r="K450" s="271" t="str">
        <f t="shared" si="331"/>
        <v>0.941475515944989-0.380004442540092i</v>
      </c>
      <c r="L450" s="580"/>
      <c r="M450" s="580" t="str">
        <f t="shared" si="332"/>
        <v>-0.121148277586573-30.2241933952964i</v>
      </c>
      <c r="N450" s="270" t="str">
        <f t="shared" si="333"/>
        <v>-6.7575278748566-22.6681450464723i</v>
      </c>
      <c r="O450" s="581" t="str">
        <f t="shared" si="334"/>
        <v>-4.56146878317407-10.7956947192616i</v>
      </c>
      <c r="P450" s="582" t="str">
        <f t="shared" si="335"/>
        <v>-0.608236823962438+0.0879488625994226i</v>
      </c>
      <c r="Q450" s="583" t="str">
        <f t="shared" si="336"/>
        <v>-0.562622136130696+0.195905809792038i</v>
      </c>
      <c r="R450" s="581" t="str">
        <f t="shared" si="357"/>
        <v>-0.519362503652361-1.27202646065549i</v>
      </c>
      <c r="S450" s="253" t="str">
        <f t="shared" si="358"/>
        <v>47.6696223021396-18.2307394664756i</v>
      </c>
      <c r="T450" s="253" t="str">
        <f t="shared" si="359"/>
        <v>14.330283406879-13.6486984872027i</v>
      </c>
      <c r="U450" s="253" t="str">
        <f t="shared" si="360"/>
        <v>-0.645253707369128-0.771787290401932i</v>
      </c>
      <c r="V450" s="582" t="str">
        <f t="shared" si="337"/>
        <v>6000</v>
      </c>
      <c r="W450" s="584" t="str">
        <f t="shared" si="338"/>
        <v>1+169416.188923718i</v>
      </c>
      <c r="X450" s="585">
        <f t="shared" si="339"/>
        <v>169416.1889266693</v>
      </c>
      <c r="Y450" s="586">
        <f t="shared" si="340"/>
        <v>1.5707904241712669</v>
      </c>
      <c r="Z450" s="273" t="str">
        <f t="shared" si="341"/>
        <v>1+25.4086170460007i</v>
      </c>
      <c r="AA450" s="585">
        <f t="shared" si="342"/>
        <v>25.428287795097752</v>
      </c>
      <c r="AB450" s="586">
        <f t="shared" si="343"/>
        <v>1.5314599016681263</v>
      </c>
      <c r="AC450" s="584" t="str">
        <f t="shared" si="344"/>
        <v>1+1.22839121224537i</v>
      </c>
      <c r="AD450" s="585">
        <f t="shared" si="345"/>
        <v>1.5839649523653134</v>
      </c>
      <c r="AE450" s="586">
        <f t="shared" si="346"/>
        <v>0.887533058316892</v>
      </c>
      <c r="AF450" s="580" t="str">
        <f t="shared" si="361"/>
        <v>0.341325687927147-0.454691905775931i</v>
      </c>
      <c r="AG450" s="270">
        <f t="shared" si="362"/>
        <v>0.56854899034040007</v>
      </c>
      <c r="AH450" s="581">
        <f t="shared" si="363"/>
        <v>-0.92686358082003462</v>
      </c>
      <c r="AI450" s="582" t="str">
        <f t="shared" si="347"/>
        <v>4000</v>
      </c>
      <c r="AJ450" s="584" t="str">
        <f t="shared" si="364"/>
        <v>1+13309.74142017i</v>
      </c>
      <c r="AK450" s="585">
        <f t="shared" si="365"/>
        <v>13309.741457736471</v>
      </c>
      <c r="AL450" s="586">
        <f t="shared" si="366"/>
        <v>1.5707211938553038</v>
      </c>
      <c r="AM450" s="273" t="str">
        <f t="shared" si="367"/>
        <v>1+0.465824645843346i</v>
      </c>
      <c r="AN450" s="585">
        <f t="shared" si="368"/>
        <v>1.1031738759937522</v>
      </c>
      <c r="AO450" s="586">
        <f t="shared" si="369"/>
        <v>0.43593549628609501</v>
      </c>
      <c r="AP450" s="584" t="str">
        <f t="shared" si="370"/>
        <v>1+0.00337013423847539i</v>
      </c>
      <c r="AQ450" s="585">
        <f t="shared" si="371"/>
        <v>1.0000056788862679</v>
      </c>
      <c r="AR450" s="586">
        <f t="shared" si="372"/>
        <v>3.3701214794534117E-3</v>
      </c>
      <c r="AS450" s="580" t="str">
        <f t="shared" si="373"/>
        <v>0.139003303526314-0.300989698789597i</v>
      </c>
      <c r="AT450" s="270">
        <f t="shared" si="374"/>
        <v>0.33153690166960437</v>
      </c>
      <c r="AU450" s="581">
        <f t="shared" si="375"/>
        <v>-1.138155819048662</v>
      </c>
      <c r="AV450" s="580" t="str">
        <f t="shared" si="376"/>
        <v>-0.0211616091250867-0.0621048186476185i</v>
      </c>
      <c r="AW450" s="270">
        <f t="shared" si="377"/>
        <v>-23.660447812942564</v>
      </c>
      <c r="AX450" s="581">
        <f t="shared" si="378"/>
        <v>-108.8160410214706</v>
      </c>
      <c r="AY450" s="299">
        <f t="shared" si="348"/>
        <v>71.183958978529404</v>
      </c>
      <c r="BB450" s="270">
        <f t="shared" si="381"/>
        <v>-49.589362509615384</v>
      </c>
      <c r="BC450" s="270">
        <f t="shared" si="382"/>
        <v>-65.211524859743747</v>
      </c>
      <c r="BD450" s="286"/>
      <c r="BE450" s="270">
        <f t="shared" si="379"/>
        <v>25.928914696672813</v>
      </c>
      <c r="BF450" s="581">
        <f t="shared" si="380"/>
        <v>-43.604516161726828</v>
      </c>
      <c r="BI450" s="286"/>
      <c r="BJ450" s="286"/>
      <c r="BL450" s="253">
        <f t="shared" si="349"/>
        <v>0</v>
      </c>
      <c r="BM450" s="253">
        <f t="shared" si="383"/>
        <v>0</v>
      </c>
      <c r="BN450" s="253">
        <f t="shared" si="350"/>
        <v>0</v>
      </c>
      <c r="BO450" s="253">
        <f t="shared" si="351"/>
        <v>0</v>
      </c>
    </row>
    <row r="451" spans="4:67" ht="13.6" thickBot="1" x14ac:dyDescent="0.25">
      <c r="D451" s="280">
        <v>48420.5</v>
      </c>
      <c r="E451" s="273" t="str">
        <f t="shared" si="330"/>
        <v>0.547622953499321i</v>
      </c>
      <c r="F451" s="579" t="str">
        <f t="shared" si="352"/>
        <v>0.002-0.0505682011963767i</v>
      </c>
      <c r="G451" s="270" t="str">
        <f t="shared" si="353"/>
        <v>0.002-0.0505682011963767i</v>
      </c>
      <c r="H451" s="271" t="str">
        <f t="shared" si="354"/>
        <v>0.00327193264899324-0.0504350382838452i</v>
      </c>
      <c r="I451" s="271" t="str">
        <f t="shared" si="355"/>
        <v>0.0132719326489932-0.0504350382838452i</v>
      </c>
      <c r="J451" s="270" t="str">
        <f t="shared" si="356"/>
        <v>0.0037787658070822-0.0255593223363301i</v>
      </c>
      <c r="K451" s="271" t="str">
        <f t="shared" si="331"/>
        <v>0.940795817776066-0.382204741414936i</v>
      </c>
      <c r="L451" s="580"/>
      <c r="M451" s="580" t="str">
        <f t="shared" si="332"/>
        <v>-0.119913074104656-30.0408323309648i</v>
      </c>
      <c r="N451" s="270" t="str">
        <f t="shared" si="333"/>
        <v>-6.75660147224516-22.5306242482236i</v>
      </c>
      <c r="O451" s="581" t="str">
        <f t="shared" si="334"/>
        <v>-4.55822444889628-10.7247396400409i</v>
      </c>
      <c r="P451" s="582" t="str">
        <f t="shared" si="335"/>
        <v>-0.601399102214483+0.0875562024058321i</v>
      </c>
      <c r="Q451" s="583" t="str">
        <f t="shared" si="336"/>
        <v>-0.555816857725518+0.194803598806241i</v>
      </c>
      <c r="R451" s="581" t="str">
        <f t="shared" si="357"/>
        <v>-0.519146525709108-1.2633919102635i</v>
      </c>
      <c r="S451" s="253" t="str">
        <f t="shared" si="358"/>
        <v>47.6170032063757-18.3412131304394i</v>
      </c>
      <c r="T451" s="253" t="str">
        <f t="shared" si="359"/>
        <v>14.271286764283-13.7160783462343i</v>
      </c>
      <c r="U451" s="253" t="str">
        <f t="shared" si="360"/>
        <v>-0.645076247389347-0.764650978873544i</v>
      </c>
      <c r="V451" s="582" t="str">
        <f t="shared" si="337"/>
        <v>6000</v>
      </c>
      <c r="W451" s="584" t="str">
        <f t="shared" si="338"/>
        <v>1+170397.141270952i</v>
      </c>
      <c r="X451" s="585">
        <f t="shared" si="339"/>
        <v>170397.14127388631</v>
      </c>
      <c r="Y451" s="586">
        <f t="shared" si="340"/>
        <v>1.5707904581518399</v>
      </c>
      <c r="Z451" s="273" t="str">
        <f t="shared" si="341"/>
        <v>1+25.5557378299683i</v>
      </c>
      <c r="AA451" s="585">
        <f t="shared" si="342"/>
        <v>25.57529542417981</v>
      </c>
      <c r="AB451" s="586">
        <f t="shared" si="343"/>
        <v>1.5316861244075191</v>
      </c>
      <c r="AC451" s="584" t="str">
        <f t="shared" si="344"/>
        <v>1+1.23550383383501i</v>
      </c>
      <c r="AD451" s="585">
        <f t="shared" si="345"/>
        <v>1.5894872517327745</v>
      </c>
      <c r="AE451" s="586">
        <f t="shared" si="346"/>
        <v>0.89035811824120537</v>
      </c>
      <c r="AF451" s="580" t="str">
        <f t="shared" si="361"/>
        <v>0.338958095411964-0.453990603743233i</v>
      </c>
      <c r="AG451" s="270">
        <f t="shared" si="362"/>
        <v>0.5665686708003288</v>
      </c>
      <c r="AH451" s="581">
        <f t="shared" si="363"/>
        <v>-0.92946245198552602</v>
      </c>
      <c r="AI451" s="582" t="str">
        <f t="shared" si="347"/>
        <v>4000</v>
      </c>
      <c r="AJ451" s="584" t="str">
        <f t="shared" si="364"/>
        <v>1+13386.8073851769i</v>
      </c>
      <c r="AK451" s="585">
        <f t="shared" si="365"/>
        <v>13386.807422527103</v>
      </c>
      <c r="AL451" s="586">
        <f t="shared" si="366"/>
        <v>1.5707216263850552</v>
      </c>
      <c r="AM451" s="273" t="str">
        <f t="shared" si="367"/>
        <v>1+0.468521860216085i</v>
      </c>
      <c r="AN451" s="585">
        <f t="shared" si="368"/>
        <v>1.1043155045096218</v>
      </c>
      <c r="AO451" s="586">
        <f t="shared" si="369"/>
        <v>0.43814950171528511</v>
      </c>
      <c r="AP451" s="584" t="str">
        <f t="shared" si="370"/>
        <v>1+0.00338964796448192i</v>
      </c>
      <c r="AQ451" s="585">
        <f t="shared" si="371"/>
        <v>1.00000574484016</v>
      </c>
      <c r="AR451" s="586">
        <f t="shared" si="372"/>
        <v>3.3896349825436223E-3</v>
      </c>
      <c r="AS451" s="580" t="str">
        <f t="shared" si="373"/>
        <v>0.139003025973262-0.299262351886562i</v>
      </c>
      <c r="AT451" s="270">
        <f t="shared" si="374"/>
        <v>0.32996938719584246</v>
      </c>
      <c r="AU451" s="581">
        <f t="shared" si="375"/>
        <v>-1.1359617596523146</v>
      </c>
      <c r="AV451" s="580" t="str">
        <f t="shared" si="376"/>
        <v>-0.0212095381978692-0.061774352361398i</v>
      </c>
      <c r="AW451" s="270">
        <f t="shared" si="377"/>
        <v>-23.699877900444459</v>
      </c>
      <c r="AX451" s="581">
        <f t="shared" si="378"/>
        <v>-108.94934000393258</v>
      </c>
      <c r="AY451" s="299">
        <f t="shared" si="348"/>
        <v>71.050659996067424</v>
      </c>
      <c r="BB451" s="270">
        <f t="shared" si="381"/>
        <v>-49.630526995691973</v>
      </c>
      <c r="BC451" s="270">
        <f t="shared" si="382"/>
        <v>-65.085814516332036</v>
      </c>
      <c r="BD451" s="286"/>
      <c r="BE451" s="270">
        <f t="shared" si="379"/>
        <v>25.930649095247517</v>
      </c>
      <c r="BF451" s="581">
        <f t="shared" si="380"/>
        <v>-43.86352548760059</v>
      </c>
      <c r="BI451" s="286"/>
      <c r="BJ451" s="286"/>
      <c r="BL451" s="253">
        <f t="shared" si="349"/>
        <v>0</v>
      </c>
      <c r="BM451" s="253">
        <f t="shared" si="383"/>
        <v>0</v>
      </c>
      <c r="BN451" s="253">
        <f t="shared" si="350"/>
        <v>0</v>
      </c>
      <c r="BO451" s="253">
        <f t="shared" si="351"/>
        <v>0</v>
      </c>
    </row>
    <row r="452" spans="4:67" ht="13.6" thickBot="1" x14ac:dyDescent="0.25">
      <c r="D452" s="280">
        <v>48699.25</v>
      </c>
      <c r="E452" s="273" t="str">
        <f t="shared" si="330"/>
        <v>0.550775541727198i</v>
      </c>
      <c r="F452" s="579" t="str">
        <f t="shared" si="352"/>
        <v>0.002-0.0502787534926956i</v>
      </c>
      <c r="G452" s="270" t="str">
        <f t="shared" si="353"/>
        <v>0.002-0.0502787534926956i</v>
      </c>
      <c r="H452" s="271" t="str">
        <f t="shared" si="354"/>
        <v>0.00325739983086641-0.0501467177733606i</v>
      </c>
      <c r="I452" s="271" t="str">
        <f t="shared" si="355"/>
        <v>0.0132573998308664-0.0501467177733606i</v>
      </c>
      <c r="J452" s="270" t="str">
        <f t="shared" si="356"/>
        <v>0.00377474104255329-0.0254157870797044i</v>
      </c>
      <c r="K452" s="271" t="str">
        <f t="shared" si="331"/>
        <v>0.940112195384902-0.384405040289781i</v>
      </c>
      <c r="L452" s="580"/>
      <c r="M452" s="580" t="str">
        <f t="shared" si="332"/>
        <v>-0.118696135591242-29.8597352544175i</v>
      </c>
      <c r="N452" s="270" t="str">
        <f t="shared" si="333"/>
        <v>-6.7556887683601-22.3948014408131i</v>
      </c>
      <c r="O452" s="581" t="str">
        <f t="shared" si="334"/>
        <v>-4.55501940747111-10.6546308707415i</v>
      </c>
      <c r="P452" s="582" t="str">
        <f t="shared" si="335"/>
        <v>-0.594682480776608+0.087166571174922i</v>
      </c>
      <c r="Q452" s="583" t="str">
        <f t="shared" si="336"/>
        <v>-0.549132286701899+0.193712879882337i</v>
      </c>
      <c r="R452" s="581" t="str">
        <f t="shared" si="357"/>
        <v>-0.518934209221814-1.25485850256768i</v>
      </c>
      <c r="S452" s="253" t="str">
        <f t="shared" si="358"/>
        <v>47.564066111584-18.4514745028854i</v>
      </c>
      <c r="T452" s="253" t="str">
        <f t="shared" si="359"/>
        <v>14.2120065290281-13.7831759164966i</v>
      </c>
      <c r="U452" s="253" t="str">
        <f t="shared" si="360"/>
        <v>-0.644886845041209-0.757582795303527i</v>
      </c>
      <c r="V452" s="582" t="str">
        <f t="shared" si="337"/>
        <v>6000</v>
      </c>
      <c r="W452" s="584" t="str">
        <f t="shared" si="338"/>
        <v>1+171378.093618187i</v>
      </c>
      <c r="X452" s="585">
        <f t="shared" si="339"/>
        <v>171378.09362110455</v>
      </c>
      <c r="Y452" s="586">
        <f t="shared" si="340"/>
        <v>1.5707904917434097</v>
      </c>
      <c r="Z452" s="273" t="str">
        <f t="shared" si="341"/>
        <v>1+25.7028586139359i</v>
      </c>
      <c r="AA452" s="585">
        <f t="shared" si="342"/>
        <v>25.722304347161021</v>
      </c>
      <c r="AB452" s="586">
        <f t="shared" si="343"/>
        <v>1.5319097613276145</v>
      </c>
      <c r="AC452" s="584" t="str">
        <f t="shared" si="344"/>
        <v>1+1.24261645542466i</v>
      </c>
      <c r="AD452" s="585">
        <f t="shared" si="345"/>
        <v>1.5950221488406191</v>
      </c>
      <c r="AE452" s="586">
        <f t="shared" si="346"/>
        <v>0.89316359390777444</v>
      </c>
      <c r="AF452" s="580" t="str">
        <f t="shared" si="361"/>
        <v>0.336609734554143-0.453281853374978i</v>
      </c>
      <c r="AG452" s="270">
        <f t="shared" si="362"/>
        <v>0.56459769039172103</v>
      </c>
      <c r="AH452" s="581">
        <f t="shared" si="363"/>
        <v>-0.93204432432357009</v>
      </c>
      <c r="AI452" s="582" t="str">
        <f t="shared" si="347"/>
        <v>4000</v>
      </c>
      <c r="AJ452" s="584" t="str">
        <f t="shared" si="364"/>
        <v>1+13463.8733501839i</v>
      </c>
      <c r="AK452" s="585">
        <f t="shared" si="365"/>
        <v>13463.873387320315</v>
      </c>
      <c r="AL452" s="586">
        <f t="shared" si="366"/>
        <v>1.5707220539632862</v>
      </c>
      <c r="AM452" s="273" t="str">
        <f t="shared" si="367"/>
        <v>1+0.471219074588824i</v>
      </c>
      <c r="AN452" s="585">
        <f t="shared" si="368"/>
        <v>1.1054625349854004</v>
      </c>
      <c r="AO452" s="586">
        <f t="shared" si="369"/>
        <v>0.44035892344170247</v>
      </c>
      <c r="AP452" s="584" t="str">
        <f t="shared" si="370"/>
        <v>1+0.00340916169048845i</v>
      </c>
      <c r="AQ452" s="585">
        <f t="shared" si="371"/>
        <v>1.0000058111748311</v>
      </c>
      <c r="AR452" s="586">
        <f t="shared" si="372"/>
        <v>3.4091484830524347E-3</v>
      </c>
      <c r="AS452" s="580" t="str">
        <f t="shared" si="373"/>
        <v>0.139002752752884-0.297554810375869i</v>
      </c>
      <c r="AT452" s="270">
        <f t="shared" si="374"/>
        <v>0.32842142203379293</v>
      </c>
      <c r="AU452" s="581">
        <f t="shared" si="375"/>
        <v>-1.1337722790046358</v>
      </c>
      <c r="AV452" s="580" t="str">
        <f t="shared" si="376"/>
        <v>-0.0212574226653352-0.0614475030187585i</v>
      </c>
      <c r="AW452" s="270">
        <f t="shared" si="377"/>
        <v>-23.738985453428093</v>
      </c>
      <c r="AX452" s="581">
        <f t="shared" si="378"/>
        <v>-109.08277756595609</v>
      </c>
      <c r="AY452" s="299">
        <f t="shared" si="348"/>
        <v>70.917222434043907</v>
      </c>
      <c r="BB452" s="270">
        <f t="shared" si="381"/>
        <v>-49.671370455677952</v>
      </c>
      <c r="BC452" s="270">
        <f t="shared" si="382"/>
        <v>-64.960366515894464</v>
      </c>
      <c r="BD452" s="286"/>
      <c r="BE452" s="270">
        <f t="shared" si="379"/>
        <v>25.932385002249863</v>
      </c>
      <c r="BF452" s="581">
        <f t="shared" si="380"/>
        <v>-44.122411050061658</v>
      </c>
      <c r="BI452" s="286"/>
      <c r="BJ452" s="286"/>
      <c r="BL452" s="253">
        <f t="shared" si="349"/>
        <v>0</v>
      </c>
      <c r="BM452" s="253">
        <f t="shared" si="383"/>
        <v>0</v>
      </c>
      <c r="BN452" s="253">
        <f t="shared" si="350"/>
        <v>0</v>
      </c>
      <c r="BO452" s="253">
        <f t="shared" si="351"/>
        <v>0</v>
      </c>
    </row>
    <row r="453" spans="4:67" ht="13.6" thickBot="1" x14ac:dyDescent="0.25">
      <c r="D453" s="280">
        <v>48978</v>
      </c>
      <c r="E453" s="273" t="str">
        <f t="shared" si="330"/>
        <v>0.553928129955075i</v>
      </c>
      <c r="F453" s="579" t="str">
        <f t="shared" si="352"/>
        <v>0.002-0.0499926004742774i</v>
      </c>
      <c r="G453" s="270" t="str">
        <f t="shared" si="353"/>
        <v>0.002-0.0499926004742774i</v>
      </c>
      <c r="H453" s="271" t="str">
        <f t="shared" si="354"/>
        <v>0.00324311423300777-0.0498616729442615i</v>
      </c>
      <c r="I453" s="271" t="str">
        <f t="shared" si="355"/>
        <v>0.0132431142330078-0.0498616729442615i</v>
      </c>
      <c r="J453" s="270" t="str">
        <f t="shared" si="356"/>
        <v>0.00377077634573246-0.0252738991953058i</v>
      </c>
      <c r="K453" s="271" t="str">
        <f t="shared" si="331"/>
        <v>0.939424648771496-0.386605339164625i</v>
      </c>
      <c r="L453" s="580"/>
      <c r="M453" s="580" t="str">
        <f t="shared" si="332"/>
        <v>-0.117497133781541-29.6808596265679i</v>
      </c>
      <c r="N453" s="270" t="str">
        <f t="shared" si="333"/>
        <v>-6.75478951700283-22.2606447199259i</v>
      </c>
      <c r="O453" s="581" t="str">
        <f t="shared" si="334"/>
        <v>-4.55185268017033-10.5853525368018i</v>
      </c>
      <c r="P453" s="582" t="str">
        <f t="shared" si="335"/>
        <v>-0.588084091205039+0.0867799567875871i</v>
      </c>
      <c r="Q453" s="583" t="str">
        <f t="shared" si="336"/>
        <v>-0.542565564403335+0.192633482155606i</v>
      </c>
      <c r="R453" s="581" t="str">
        <f t="shared" si="357"/>
        <v>-0.51872547211785-1.24642433610517i</v>
      </c>
      <c r="S453" s="253" t="str">
        <f t="shared" si="358"/>
        <v>47.510811322526-18.5615236432924i</v>
      </c>
      <c r="T453" s="253" t="str">
        <f t="shared" si="359"/>
        <v>14.1524438795187-13.8499901559497i</v>
      </c>
      <c r="U453" s="253" t="str">
        <f t="shared" si="360"/>
        <v>-0.644685687259695-0.750581628284352i</v>
      </c>
      <c r="V453" s="582" t="str">
        <f t="shared" si="337"/>
        <v>6000</v>
      </c>
      <c r="W453" s="584" t="str">
        <f t="shared" si="338"/>
        <v>1+172359.045965422i</v>
      </c>
      <c r="X453" s="585">
        <f t="shared" si="339"/>
        <v>172359.0459683229</v>
      </c>
      <c r="Y453" s="586">
        <f t="shared" si="340"/>
        <v>1.570790524952618</v>
      </c>
      <c r="Z453" s="273" t="str">
        <f t="shared" si="341"/>
        <v>1+25.8499793979035i</v>
      </c>
      <c r="AA453" s="585">
        <f t="shared" si="342"/>
        <v>25.869314541982661</v>
      </c>
      <c r="AB453" s="586">
        <f t="shared" si="343"/>
        <v>1.5321308564899481</v>
      </c>
      <c r="AC453" s="584" t="str">
        <f t="shared" si="344"/>
        <v>1+1.24972907701431i</v>
      </c>
      <c r="AD453" s="585">
        <f t="shared" si="345"/>
        <v>1.6005695129968702</v>
      </c>
      <c r="AE453" s="586">
        <f t="shared" si="346"/>
        <v>0.89594964455419979</v>
      </c>
      <c r="AF453" s="580" t="str">
        <f t="shared" si="361"/>
        <v>0.334280486642989-0.452565876832396i</v>
      </c>
      <c r="AG453" s="270">
        <f t="shared" si="362"/>
        <v>0.56263604276952339</v>
      </c>
      <c r="AH453" s="581">
        <f t="shared" si="363"/>
        <v>-0.93460931301687067</v>
      </c>
      <c r="AI453" s="582" t="str">
        <f t="shared" si="347"/>
        <v>4000</v>
      </c>
      <c r="AJ453" s="584" t="str">
        <f t="shared" si="364"/>
        <v>1+13540.9393151908i</v>
      </c>
      <c r="AK453" s="585">
        <f t="shared" si="365"/>
        <v>13540.93935211586</v>
      </c>
      <c r="AL453" s="586">
        <f t="shared" si="366"/>
        <v>1.5707224766745389</v>
      </c>
      <c r="AM453" s="273" t="str">
        <f t="shared" si="367"/>
        <v>1+0.473916288961565i</v>
      </c>
      <c r="AN453" s="585">
        <f t="shared" si="368"/>
        <v>1.106614950623342</v>
      </c>
      <c r="AO453" s="586">
        <f t="shared" si="369"/>
        <v>0.44256375418149096</v>
      </c>
      <c r="AP453" s="584" t="str">
        <f t="shared" si="370"/>
        <v>1+0.00342867541649499i</v>
      </c>
      <c r="AQ453" s="585">
        <f t="shared" si="371"/>
        <v>1.0000058778902809</v>
      </c>
      <c r="AR453" s="586">
        <f t="shared" si="372"/>
        <v>3.4286619809649993E-3</v>
      </c>
      <c r="AS453" s="580" t="str">
        <f t="shared" si="373"/>
        <v>0.139002483764425-0.295866736100386i</v>
      </c>
      <c r="AT453" s="270">
        <f t="shared" si="374"/>
        <v>0.32689266743592571</v>
      </c>
      <c r="AU453" s="581">
        <f t="shared" si="375"/>
        <v>-1.131587384474013</v>
      </c>
      <c r="AV453" s="580" t="str">
        <f t="shared" si="376"/>
        <v>-0.0213052653187358-0.0611242041026693i</v>
      </c>
      <c r="AW453" s="270">
        <f t="shared" si="377"/>
        <v>-23.777774096503638</v>
      </c>
      <c r="AX453" s="581">
        <f t="shared" si="378"/>
        <v>-109.21635478868822</v>
      </c>
      <c r="AY453" s="299">
        <f t="shared" si="348"/>
        <v>70.783645211311779</v>
      </c>
      <c r="BB453" s="270">
        <f t="shared" si="381"/>
        <v>-49.711896420318666</v>
      </c>
      <c r="BC453" s="270">
        <f t="shared" si="382"/>
        <v>-64.835181280608566</v>
      </c>
      <c r="BD453" s="286"/>
      <c r="BE453" s="270">
        <f t="shared" si="379"/>
        <v>25.934122323815025</v>
      </c>
      <c r="BF453" s="581">
        <f t="shared" si="380"/>
        <v>-44.381173508079669</v>
      </c>
      <c r="BI453" s="286"/>
      <c r="BJ453" s="286"/>
      <c r="BL453" s="253">
        <f t="shared" si="349"/>
        <v>0</v>
      </c>
      <c r="BM453" s="253">
        <f t="shared" si="383"/>
        <v>0</v>
      </c>
      <c r="BN453" s="253">
        <f t="shared" si="350"/>
        <v>0</v>
      </c>
      <c r="BO453" s="253">
        <f t="shared" si="351"/>
        <v>0</v>
      </c>
    </row>
    <row r="454" spans="4:67" ht="13.6" thickBot="1" x14ac:dyDescent="0.25">
      <c r="D454" s="280">
        <v>49263.25</v>
      </c>
      <c r="E454" s="273" t="str">
        <f t="shared" si="330"/>
        <v>0.557154231451047i</v>
      </c>
      <c r="F454" s="579" t="str">
        <f t="shared" si="352"/>
        <v>0.002-0.0497031273013687i</v>
      </c>
      <c r="G454" s="270" t="str">
        <f t="shared" si="353"/>
        <v>0.002-0.0497031273013687i</v>
      </c>
      <c r="H454" s="271" t="str">
        <f t="shared" si="354"/>
        <v>0.00322874563774402-0.0495733146090315i</v>
      </c>
      <c r="I454" s="271" t="str">
        <f t="shared" si="355"/>
        <v>0.013228745637744-0.0495733146090315i</v>
      </c>
      <c r="J454" s="270" t="str">
        <f t="shared" si="356"/>
        <v>0.00376677992531514-0.0251303789784858i</v>
      </c>
      <c r="K454" s="271" t="str">
        <f t="shared" si="331"/>
        <v>0.93871700713208-0.388856945457179i</v>
      </c>
      <c r="L454" s="580"/>
      <c r="M454" s="580" t="str">
        <f t="shared" si="332"/>
        <v>-0.116288406101269-29.5000694110261i</v>
      </c>
      <c r="N454" s="270" t="str">
        <f t="shared" si="333"/>
        <v>-6.75388297124262-22.1250520582696i</v>
      </c>
      <c r="O454" s="581" t="str">
        <f t="shared" si="334"/>
        <v>-4.5486507827057-10.5153023123198i</v>
      </c>
      <c r="P454" s="582" t="str">
        <f t="shared" si="335"/>
        <v>-0.581451333937047+0.0863874367040264i</v>
      </c>
      <c r="Q454" s="583" t="str">
        <f t="shared" si="336"/>
        <v>-0.535964826109988+0.191540459827225i</v>
      </c>
      <c r="R454" s="581" t="str">
        <f t="shared" si="357"/>
        <v>-0.518515489914908-1.23789430470383i</v>
      </c>
      <c r="S454" s="253" t="str">
        <f t="shared" si="358"/>
        <v>47.455986142161-18.6739192686782i</v>
      </c>
      <c r="T454" s="253" t="str">
        <f t="shared" si="359"/>
        <v>14.0912011923313-13.9180679858145i</v>
      </c>
      <c r="U454" s="253" t="str">
        <f t="shared" si="360"/>
        <v>-0.64446785863036-0.743485451221622i</v>
      </c>
      <c r="V454" s="582" t="str">
        <f t="shared" si="337"/>
        <v>6000</v>
      </c>
      <c r="W454" s="584" t="str">
        <f t="shared" si="338"/>
        <v>1+173362.872537794i</v>
      </c>
      <c r="X454" s="585">
        <f t="shared" si="339"/>
        <v>173362.87254067816</v>
      </c>
      <c r="Y454" s="586">
        <f t="shared" si="340"/>
        <v>1.5707905585471436</v>
      </c>
      <c r="Z454" s="273" t="str">
        <f t="shared" si="341"/>
        <v>1+26.0005308010489i</v>
      </c>
      <c r="AA454" s="585">
        <f t="shared" si="342"/>
        <v>26.019754071402993</v>
      </c>
      <c r="AB454" s="586">
        <f t="shared" si="343"/>
        <v>1.5323545208065426</v>
      </c>
      <c r="AC454" s="584" t="str">
        <f t="shared" si="344"/>
        <v>1+1.25700755345717i</v>
      </c>
      <c r="AD454" s="585">
        <f t="shared" si="345"/>
        <v>1.6062590044723113</v>
      </c>
      <c r="AE454" s="586">
        <f t="shared" si="346"/>
        <v>0.89878071675439808</v>
      </c>
      <c r="AF454" s="580" t="str">
        <f t="shared" si="361"/>
        <v>0.33191658594281-0.451825951521344i</v>
      </c>
      <c r="AG454" s="270">
        <f t="shared" si="362"/>
        <v>0.56063830630103995</v>
      </c>
      <c r="AH454" s="581">
        <f t="shared" si="363"/>
        <v>-0.93721675449500097</v>
      </c>
      <c r="AI454" s="582" t="str">
        <f t="shared" si="347"/>
        <v>4000</v>
      </c>
      <c r="AJ454" s="584" t="str">
        <f t="shared" si="364"/>
        <v>1+13619.8023340903i</v>
      </c>
      <c r="AK454" s="585">
        <f t="shared" si="365"/>
        <v>13619.802370801552</v>
      </c>
      <c r="AL454" s="586">
        <f t="shared" si="366"/>
        <v>1.5707229042903939</v>
      </c>
      <c r="AM454" s="273" t="str">
        <f t="shared" si="367"/>
        <v>1+0.476676398019229i</v>
      </c>
      <c r="AN454" s="585">
        <f t="shared" si="368"/>
        <v>1.107799796185478</v>
      </c>
      <c r="AO454" s="586">
        <f t="shared" si="369"/>
        <v>0.44481523781823185</v>
      </c>
      <c r="AP454" s="584" t="str">
        <f t="shared" si="370"/>
        <v>1+0.00344864417109001i</v>
      </c>
      <c r="AQ454" s="585">
        <f t="shared" si="371"/>
        <v>1.0000059465556286</v>
      </c>
      <c r="AR454" s="586">
        <f t="shared" si="372"/>
        <v>3.4486304994439817E-3</v>
      </c>
      <c r="AS454" s="580" t="str">
        <f t="shared" si="373"/>
        <v>0.139002212782542-0.294159107336059i</v>
      </c>
      <c r="AT454" s="270">
        <f t="shared" si="374"/>
        <v>0.32534780710370576</v>
      </c>
      <c r="AU454" s="581">
        <f t="shared" si="375"/>
        <v>-1.1293562969716073</v>
      </c>
      <c r="AV454" s="580" t="str">
        <f t="shared" si="376"/>
        <v>-0.0213541830805173-0.0607969741171506i</v>
      </c>
      <c r="AW454" s="270">
        <f t="shared" si="377"/>
        <v>-23.817140800209128</v>
      </c>
      <c r="AX454" s="581">
        <f t="shared" si="378"/>
        <v>-109.35319249202762</v>
      </c>
      <c r="AY454" s="299">
        <f t="shared" si="348"/>
        <v>70.646807507972383</v>
      </c>
      <c r="BB454" s="270">
        <f t="shared" si="381"/>
        <v>-49.753042322691613</v>
      </c>
      <c r="BC454" s="270">
        <f t="shared" si="382"/>
        <v>-64.707349382996327</v>
      </c>
      <c r="BD454" s="286"/>
      <c r="BE454" s="270">
        <f t="shared" si="379"/>
        <v>25.935901522482485</v>
      </c>
      <c r="BF454" s="581">
        <f t="shared" si="380"/>
        <v>-44.645843109031297</v>
      </c>
      <c r="BI454" s="286"/>
      <c r="BJ454" s="286"/>
      <c r="BL454" s="253">
        <f t="shared" si="349"/>
        <v>0</v>
      </c>
      <c r="BM454" s="253">
        <f t="shared" si="383"/>
        <v>0</v>
      </c>
      <c r="BN454" s="253">
        <f t="shared" si="350"/>
        <v>0</v>
      </c>
      <c r="BO454" s="253">
        <f t="shared" si="351"/>
        <v>0</v>
      </c>
    </row>
    <row r="455" spans="4:67" ht="13.6" thickBot="1" x14ac:dyDescent="0.25">
      <c r="D455" s="280">
        <v>49548.5</v>
      </c>
      <c r="E455" s="273" t="str">
        <f t="shared" si="330"/>
        <v>0.560380332947018i</v>
      </c>
      <c r="F455" s="579" t="str">
        <f t="shared" si="352"/>
        <v>0.002-0.0494169871142246i</v>
      </c>
      <c r="G455" s="270" t="str">
        <f t="shared" si="353"/>
        <v>0.002-0.0494169871142246i</v>
      </c>
      <c r="H455" s="271" t="str">
        <f t="shared" si="354"/>
        <v>0.00321462428536895-0.0492882703204606i</v>
      </c>
      <c r="I455" s="271" t="str">
        <f t="shared" si="355"/>
        <v>0.013214624285369-0.0492882703204606i</v>
      </c>
      <c r="J455" s="270" t="str">
        <f t="shared" si="356"/>
        <v>0.00376284348724559-0.0249885252796498i</v>
      </c>
      <c r="K455" s="271" t="str">
        <f t="shared" si="331"/>
        <v>0.938005256123583-0.391108551749733i</v>
      </c>
      <c r="L455" s="580"/>
      <c r="M455" s="580" t="str">
        <f t="shared" si="332"/>
        <v>-0.115097785440002-29.3215187399388i</v>
      </c>
      <c r="N455" s="270" t="str">
        <f t="shared" si="333"/>
        <v>-6.75299000574667-21.9911390549541i</v>
      </c>
      <c r="O455" s="581" t="str">
        <f t="shared" si="334"/>
        <v>-4.54548702165319-10.4460893460624i</v>
      </c>
      <c r="P455" s="582" t="str">
        <f t="shared" si="335"/>
        <v>-0.574936578665573+0.0859980471017769i</v>
      </c>
      <c r="Q455" s="583" t="str">
        <f t="shared" si="336"/>
        <v>-0.529481708449043+0.190458940562402i</v>
      </c>
      <c r="R455" s="581" t="str">
        <f t="shared" si="357"/>
        <v>-0.518309089285729-1.22946432086604i</v>
      </c>
      <c r="S455" s="253" t="str">
        <f t="shared" si="358"/>
        <v>47.400828922278-18.7860926770415i</v>
      </c>
      <c r="T455" s="253" t="str">
        <f t="shared" si="359"/>
        <v>14.0296652844702-13.9858468956561i</v>
      </c>
      <c r="U455" s="253" t="str">
        <f t="shared" si="360"/>
        <v>-0.644238099714616-0.736457178128776i</v>
      </c>
      <c r="V455" s="582" t="str">
        <f t="shared" si="337"/>
        <v>6000</v>
      </c>
      <c r="W455" s="584" t="str">
        <f t="shared" si="338"/>
        <v>1+174366.699110166i</v>
      </c>
      <c r="X455" s="585">
        <f t="shared" si="339"/>
        <v>174366.69911303351</v>
      </c>
      <c r="Y455" s="586">
        <f t="shared" si="340"/>
        <v>1.5707905917548626</v>
      </c>
      <c r="Z455" s="273" t="str">
        <f t="shared" si="341"/>
        <v>1+26.1510822041942i</v>
      </c>
      <c r="AA455" s="585">
        <f t="shared" si="342"/>
        <v>26.17019488751512</v>
      </c>
      <c r="AB455" s="586">
        <f t="shared" si="343"/>
        <v>1.532575613640645</v>
      </c>
      <c r="AC455" s="584" t="str">
        <f t="shared" si="344"/>
        <v>1+1.26428602990002i</v>
      </c>
      <c r="AD455" s="585">
        <f t="shared" si="345"/>
        <v>1.6119612791256352</v>
      </c>
      <c r="AE455" s="586">
        <f t="shared" si="346"/>
        <v>0.901591781651645</v>
      </c>
      <c r="AF455" s="580" t="str">
        <f t="shared" si="361"/>
        <v>0.329572444534534-0.451078916906195i</v>
      </c>
      <c r="AG455" s="270">
        <f t="shared" si="362"/>
        <v>0.55865032486675814</v>
      </c>
      <c r="AH455" s="581">
        <f t="shared" si="363"/>
        <v>-0.93980675976586225</v>
      </c>
      <c r="AI455" s="582" t="str">
        <f t="shared" si="347"/>
        <v>4000</v>
      </c>
      <c r="AJ455" s="584" t="str">
        <f t="shared" si="364"/>
        <v>1+13698.6653529898i</v>
      </c>
      <c r="AK455" s="585">
        <f t="shared" si="365"/>
        <v>13698.665389489704</v>
      </c>
      <c r="AL455" s="586">
        <f t="shared" si="366"/>
        <v>1.5707233269826919</v>
      </c>
      <c r="AM455" s="273" t="str">
        <f t="shared" si="367"/>
        <v>1+0.479436507076894i</v>
      </c>
      <c r="AN455" s="585">
        <f t="shared" si="368"/>
        <v>1.1089902453665192</v>
      </c>
      <c r="AO455" s="586">
        <f t="shared" si="369"/>
        <v>0.44706189909853122</v>
      </c>
      <c r="AP455" s="584" t="str">
        <f t="shared" si="370"/>
        <v>1+0.00346861292568504i</v>
      </c>
      <c r="AQ455" s="585">
        <f t="shared" si="371"/>
        <v>1.0000060156197204</v>
      </c>
      <c r="AR455" s="586">
        <f t="shared" si="372"/>
        <v>3.4685990151727378E-3</v>
      </c>
      <c r="AS455" s="580" t="str">
        <f t="shared" si="373"/>
        <v>0.139001946027775-0.292471172112245i</v>
      </c>
      <c r="AT455" s="270">
        <f t="shared" si="374"/>
        <v>0.32382237031468175</v>
      </c>
      <c r="AU455" s="581">
        <f t="shared" si="375"/>
        <v>-1.1271300268993327</v>
      </c>
      <c r="AV455" s="580" t="str">
        <f t="shared" si="376"/>
        <v>-0.0214030625789527-0.0604733258543419i</v>
      </c>
      <c r="AW455" s="270">
        <f t="shared" si="377"/>
        <v>-23.856181051061615</v>
      </c>
      <c r="AX455" s="581">
        <f t="shared" si="378"/>
        <v>-109.49017862612988</v>
      </c>
      <c r="AY455" s="299">
        <f t="shared" si="348"/>
        <v>70.509821373870125</v>
      </c>
      <c r="BB455" s="270">
        <f t="shared" si="381"/>
        <v>-49.793863051823351</v>
      </c>
      <c r="BC455" s="270">
        <f t="shared" si="382"/>
        <v>-64.579793503798712</v>
      </c>
      <c r="BD455" s="286"/>
      <c r="BE455" s="270">
        <f t="shared" si="379"/>
        <v>25.937682000761733</v>
      </c>
      <c r="BF455" s="581">
        <f t="shared" si="380"/>
        <v>-44.910385122331157</v>
      </c>
      <c r="BI455" s="286"/>
      <c r="BJ455" s="286"/>
      <c r="BL455" s="253">
        <f t="shared" si="349"/>
        <v>0</v>
      </c>
      <c r="BM455" s="253">
        <f t="shared" si="383"/>
        <v>0</v>
      </c>
      <c r="BN455" s="253">
        <f t="shared" si="350"/>
        <v>0</v>
      </c>
      <c r="BO455" s="253">
        <f t="shared" si="351"/>
        <v>0</v>
      </c>
    </row>
    <row r="456" spans="4:67" ht="13.6" thickBot="1" x14ac:dyDescent="0.25">
      <c r="D456" s="280">
        <v>49833.75</v>
      </c>
      <c r="E456" s="273" t="str">
        <f t="shared" si="330"/>
        <v>0.563606434442989i</v>
      </c>
      <c r="F456" s="579" t="str">
        <f t="shared" si="352"/>
        <v>0.002-0.0491341226784893i</v>
      </c>
      <c r="G456" s="270" t="str">
        <f t="shared" si="353"/>
        <v>0.002-0.0491341226784893i</v>
      </c>
      <c r="H456" s="271" t="str">
        <f t="shared" si="354"/>
        <v>0.00320074453690678-0.049006483307812i</v>
      </c>
      <c r="I456" s="271" t="str">
        <f t="shared" si="355"/>
        <v>0.0132007445369068-0.049006483307812i</v>
      </c>
      <c r="J456" s="270" t="str">
        <f t="shared" si="356"/>
        <v>0.00375896561759921-0.0248483094778331i</v>
      </c>
      <c r="K456" s="271" t="str">
        <f t="shared" si="331"/>
        <v>0.937289395746004-0.393360158042287i</v>
      </c>
      <c r="L456" s="580"/>
      <c r="M456" s="580" t="str">
        <f t="shared" si="332"/>
        <v>-0.113924939713204-29.1451654202459i</v>
      </c>
      <c r="N456" s="270" t="str">
        <f t="shared" si="333"/>
        <v>-6.75211037145157-21.8588740651844i</v>
      </c>
      <c r="O456" s="581" t="str">
        <f t="shared" si="334"/>
        <v>-4.54236043575149-10.3776978943769i</v>
      </c>
      <c r="P456" s="582" t="str">
        <f t="shared" si="335"/>
        <v>-0.568537018341203+0.085611772087856i</v>
      </c>
      <c r="Q456" s="583" t="str">
        <f t="shared" si="336"/>
        <v>-0.52311341398369+0.189388751031625i</v>
      </c>
      <c r="R456" s="581" t="str">
        <f t="shared" si="357"/>
        <v>-0.518106189429532-1.2211324986871i</v>
      </c>
      <c r="S456" s="253" t="str">
        <f t="shared" si="358"/>
        <v>47.3453399879707-18.8980438346077i</v>
      </c>
      <c r="T456" s="253" t="str">
        <f t="shared" si="359"/>
        <v>13.9678374404073-14.0533257555632i</v>
      </c>
      <c r="U456" s="253" t="str">
        <f t="shared" si="360"/>
        <v>-0.643996594679463-0.729495698007041i</v>
      </c>
      <c r="V456" s="582" t="str">
        <f t="shared" si="337"/>
        <v>6000</v>
      </c>
      <c r="W456" s="584" t="str">
        <f t="shared" si="338"/>
        <v>1+175370.525682538i</v>
      </c>
      <c r="X456" s="585">
        <f t="shared" si="339"/>
        <v>175370.52568538912</v>
      </c>
      <c r="Y456" s="586">
        <f t="shared" si="340"/>
        <v>1.5707906245824177</v>
      </c>
      <c r="Z456" s="273" t="str">
        <f t="shared" si="341"/>
        <v>1+26.3016336073395i</v>
      </c>
      <c r="AA456" s="585">
        <f t="shared" si="342"/>
        <v>26.320636968256121</v>
      </c>
      <c r="AB456" s="586">
        <f t="shared" si="343"/>
        <v>1.532794179064277</v>
      </c>
      <c r="AC456" s="584" t="str">
        <f t="shared" si="344"/>
        <v>1+1.27156450634288i</v>
      </c>
      <c r="AD456" s="585">
        <f t="shared" si="345"/>
        <v>1.617676201775563</v>
      </c>
      <c r="AE456" s="586">
        <f t="shared" si="346"/>
        <v>0.9043830066290317</v>
      </c>
      <c r="AF456" s="580" t="str">
        <f t="shared" si="361"/>
        <v>0.327247931453938-0.450324998062441i</v>
      </c>
      <c r="AG456" s="270">
        <f t="shared" si="362"/>
        <v>0.55667208706815785</v>
      </c>
      <c r="AH456" s="581">
        <f t="shared" si="363"/>
        <v>-0.94237945214717322</v>
      </c>
      <c r="AI456" s="582" t="str">
        <f t="shared" si="347"/>
        <v>4000</v>
      </c>
      <c r="AJ456" s="584" t="str">
        <f t="shared" si="364"/>
        <v>1+13777.5283718892i</v>
      </c>
      <c r="AK456" s="585">
        <f t="shared" si="365"/>
        <v>13777.528408180178</v>
      </c>
      <c r="AL456" s="586">
        <f t="shared" si="366"/>
        <v>1.5707237448359812</v>
      </c>
      <c r="AM456" s="273" t="str">
        <f t="shared" si="367"/>
        <v>1+0.482196616134558i</v>
      </c>
      <c r="AN456" s="585">
        <f t="shared" si="368"/>
        <v>1.1101862801402376</v>
      </c>
      <c r="AO456" s="586">
        <f t="shared" si="369"/>
        <v>0.44930373089193643</v>
      </c>
      <c r="AP456" s="584" t="str">
        <f t="shared" si="370"/>
        <v>1+0.00348858168028007i</v>
      </c>
      <c r="AQ456" s="585">
        <f t="shared" si="371"/>
        <v>1.0000060850825558</v>
      </c>
      <c r="AR456" s="586">
        <f t="shared" si="372"/>
        <v>3.4885675281353334E-3</v>
      </c>
      <c r="AS456" s="580" t="str">
        <f t="shared" si="373"/>
        <v>0.139001683401084-0.290802592249531i</v>
      </c>
      <c r="AT456" s="270">
        <f t="shared" si="374"/>
        <v>0.3223160182916483</v>
      </c>
      <c r="AU456" s="581">
        <f t="shared" si="375"/>
        <v>-1.124908581472178</v>
      </c>
      <c r="AV456" s="580" t="str">
        <f t="shared" si="376"/>
        <v>-0.0214519064175557-0.0601531927319759i</v>
      </c>
      <c r="AW456" s="270">
        <f t="shared" si="377"/>
        <v>-23.89489855699248</v>
      </c>
      <c r="AX456" s="581">
        <f t="shared" si="378"/>
        <v>-109.62731423958154</v>
      </c>
      <c r="AY456" s="299">
        <f t="shared" si="348"/>
        <v>70.372685760418463</v>
      </c>
      <c r="BB456" s="270">
        <f t="shared" si="381"/>
        <v>-49.834362212259947</v>
      </c>
      <c r="BC456" s="270">
        <f t="shared" si="382"/>
        <v>-64.452514056404112</v>
      </c>
      <c r="BD456" s="286"/>
      <c r="BE456" s="270">
        <f t="shared" si="379"/>
        <v>25.939463655267478</v>
      </c>
      <c r="BF456" s="581">
        <f t="shared" si="380"/>
        <v>-45.174800183177453</v>
      </c>
      <c r="BI456" s="286"/>
      <c r="BJ456" s="286"/>
      <c r="BL456" s="253">
        <f t="shared" si="349"/>
        <v>0</v>
      </c>
      <c r="BM456" s="253">
        <f t="shared" si="383"/>
        <v>0</v>
      </c>
      <c r="BN456" s="253">
        <f t="shared" si="350"/>
        <v>0</v>
      </c>
      <c r="BO456" s="253">
        <f t="shared" si="351"/>
        <v>0</v>
      </c>
    </row>
    <row r="457" spans="4:67" ht="13.6" thickBot="1" x14ac:dyDescent="0.25">
      <c r="D457" s="280">
        <v>50119</v>
      </c>
      <c r="E457" s="273" t="str">
        <f t="shared" si="330"/>
        <v>0.566832535938961i</v>
      </c>
      <c r="F457" s="579" t="str">
        <f t="shared" si="352"/>
        <v>0.002-0.0488544780627937i</v>
      </c>
      <c r="G457" s="270" t="str">
        <f t="shared" si="353"/>
        <v>0.002-0.0488544780627937i</v>
      </c>
      <c r="H457" s="271" t="str">
        <f t="shared" si="354"/>
        <v>0.00318710091320144-0.0487278980888808i</v>
      </c>
      <c r="I457" s="271" t="str">
        <f t="shared" si="355"/>
        <v>0.0131871009132014-0.0487278980888808i</v>
      </c>
      <c r="J457" s="270" t="str">
        <f t="shared" si="356"/>
        <v>0.00375514494265843-0.0247097036030655i</v>
      </c>
      <c r="K457" s="271" t="str">
        <f t="shared" si="331"/>
        <v>0.936569425999343-0.395611764334841i</v>
      </c>
      <c r="L457" s="580"/>
      <c r="M457" s="580" t="str">
        <f t="shared" si="332"/>
        <v>-0.112769543299532-28.9709683300416i</v>
      </c>
      <c r="N457" s="270" t="str">
        <f t="shared" si="333"/>
        <v>-6.75124382414132-21.7282262475312i</v>
      </c>
      <c r="O457" s="581" t="str">
        <f t="shared" si="334"/>
        <v>-4.53927009128064-10.3101126138738i</v>
      </c>
      <c r="P457" s="582" t="str">
        <f t="shared" si="335"/>
        <v>-0.562249929499722+0.0852285949402035i</v>
      </c>
      <c r="Q457" s="583" t="str">
        <f t="shared" si="336"/>
        <v>-0.516857228586915+0.188329721078941i</v>
      </c>
      <c r="R457" s="581" t="str">
        <f t="shared" si="357"/>
        <v>-0.517906711798423-1.21289700016875i</v>
      </c>
      <c r="S457" s="253" t="str">
        <f t="shared" si="358"/>
        <v>47.2895196643562-19.0097726763533i</v>
      </c>
      <c r="T457" s="253" t="str">
        <f t="shared" si="359"/>
        <v>13.9057189520691-14.1205034317443i</v>
      </c>
      <c r="U457" s="253" t="str">
        <f t="shared" si="360"/>
        <v>-0.643743522614863-0.722599925331216i</v>
      </c>
      <c r="V457" s="582" t="str">
        <f t="shared" si="337"/>
        <v>6000</v>
      </c>
      <c r="W457" s="584" t="str">
        <f t="shared" si="338"/>
        <v>1+176374.35225491i</v>
      </c>
      <c r="X457" s="585">
        <f t="shared" si="339"/>
        <v>176374.35225774485</v>
      </c>
      <c r="Y457" s="586">
        <f t="shared" si="340"/>
        <v>1.5707906570362997</v>
      </c>
      <c r="Z457" s="273" t="str">
        <f t="shared" si="341"/>
        <v>1+26.4521850104849i</v>
      </c>
      <c r="AA457" s="585">
        <f t="shared" si="342"/>
        <v>26.471080292064432</v>
      </c>
      <c r="AB457" s="586">
        <f t="shared" si="343"/>
        <v>1.5330102601485389</v>
      </c>
      <c r="AC457" s="584" t="str">
        <f t="shared" si="344"/>
        <v>1+1.27884298278574i</v>
      </c>
      <c r="AD457" s="585">
        <f t="shared" si="345"/>
        <v>1.6234036388465833</v>
      </c>
      <c r="AE457" s="586">
        <f t="shared" si="346"/>
        <v>0.90715455795190814</v>
      </c>
      <c r="AF457" s="580" t="str">
        <f t="shared" si="361"/>
        <v>0.324942914660391-0.44956441578328i</v>
      </c>
      <c r="AG457" s="270">
        <f t="shared" si="362"/>
        <v>0.55470358005564735</v>
      </c>
      <c r="AH457" s="581">
        <f t="shared" si="363"/>
        <v>-0.94493495483966794</v>
      </c>
      <c r="AI457" s="582" t="str">
        <f t="shared" si="347"/>
        <v>4000</v>
      </c>
      <c r="AJ457" s="584" t="str">
        <f t="shared" si="364"/>
        <v>1+13856.3913907887i</v>
      </c>
      <c r="AK457" s="585">
        <f t="shared" si="365"/>
        <v>13856.39142687313</v>
      </c>
      <c r="AL457" s="586">
        <f t="shared" si="366"/>
        <v>1.5707241579328848</v>
      </c>
      <c r="AM457" s="273" t="str">
        <f t="shared" si="367"/>
        <v>1+0.484956725192223i</v>
      </c>
      <c r="AN457" s="585">
        <f t="shared" si="368"/>
        <v>1.1113878824736059</v>
      </c>
      <c r="AO457" s="586">
        <f t="shared" si="369"/>
        <v>0.45154072629279568</v>
      </c>
      <c r="AP457" s="584" t="str">
        <f t="shared" si="370"/>
        <v>1+0.00350855043487509i</v>
      </c>
      <c r="AQ457" s="585">
        <f t="shared" si="371"/>
        <v>1.0000061549441353</v>
      </c>
      <c r="AR457" s="586">
        <f t="shared" si="372"/>
        <v>3.5085360383158349E-3</v>
      </c>
      <c r="AS457" s="580" t="str">
        <f t="shared" si="373"/>
        <v>0.139001424806242-0.289153037267436i</v>
      </c>
      <c r="AT457" s="270">
        <f t="shared" si="374"/>
        <v>0.3208284199679769</v>
      </c>
      <c r="AU457" s="581">
        <f t="shared" si="375"/>
        <v>-1.122691967678404</v>
      </c>
      <c r="AV457" s="580" t="str">
        <f t="shared" si="376"/>
        <v>-0.0215007170774135-0.0598365096637202i</v>
      </c>
      <c r="AW457" s="270">
        <f t="shared" si="377"/>
        <v>-23.933296969141917</v>
      </c>
      <c r="AX457" s="581">
        <f t="shared" si="378"/>
        <v>-109.7646003453723</v>
      </c>
      <c r="AY457" s="299">
        <f t="shared" si="348"/>
        <v>70.235399654627699</v>
      </c>
      <c r="BB457" s="270">
        <f t="shared" si="381"/>
        <v>-49.874543350863604</v>
      </c>
      <c r="BC457" s="270">
        <f t="shared" si="382"/>
        <v>-64.325511441210381</v>
      </c>
      <c r="BD457" s="286"/>
      <c r="BE457" s="270">
        <f t="shared" si="379"/>
        <v>25.94124638172168</v>
      </c>
      <c r="BF457" s="581">
        <f t="shared" si="380"/>
        <v>-45.439088904161942</v>
      </c>
      <c r="BI457" s="286"/>
      <c r="BJ457" s="286"/>
      <c r="BL457" s="253">
        <f t="shared" si="349"/>
        <v>0</v>
      </c>
      <c r="BM457" s="253">
        <f t="shared" si="383"/>
        <v>0</v>
      </c>
      <c r="BN457" s="253">
        <f t="shared" si="350"/>
        <v>0</v>
      </c>
      <c r="BO457" s="253">
        <f t="shared" si="351"/>
        <v>0</v>
      </c>
    </row>
    <row r="458" spans="4:67" ht="13.6" thickBot="1" x14ac:dyDescent="0.25">
      <c r="D458" s="280">
        <v>50410.75</v>
      </c>
      <c r="E458" s="273" t="str">
        <f t="shared" si="330"/>
        <v>0.570132150703026i</v>
      </c>
      <c r="F458" s="579" t="str">
        <f t="shared" si="352"/>
        <v>0.002-0.04857173491823i</v>
      </c>
      <c r="G458" s="270" t="str">
        <f t="shared" si="353"/>
        <v>0.002-0.04857173491823i</v>
      </c>
      <c r="H458" s="271" t="str">
        <f t="shared" si="354"/>
        <v>0.00317338509971008-0.0484462202880138i</v>
      </c>
      <c r="I458" s="271" t="str">
        <f t="shared" si="355"/>
        <v>0.0131733850997101-0.0484462202880138i</v>
      </c>
      <c r="J458" s="270" t="str">
        <f t="shared" si="356"/>
        <v>0.00375129497927978-0.0245695761954173i</v>
      </c>
      <c r="K458" s="271" t="str">
        <f t="shared" si="331"/>
        <v>0.935828799384801-0.397914678045105i</v>
      </c>
      <c r="L458" s="580"/>
      <c r="M458" s="580" t="str">
        <f t="shared" si="332"/>
        <v>-0.111605536387463-28.79499052161i</v>
      </c>
      <c r="N458" s="270" t="str">
        <f t="shared" si="333"/>
        <v>-6.75037081895727-21.5962428912075i</v>
      </c>
      <c r="O458" s="581" t="str">
        <f t="shared" si="334"/>
        <v>-4.53614587130632-10.24180561519i</v>
      </c>
      <c r="P458" s="582" t="str">
        <f t="shared" si="335"/>
        <v>-0.555933167411693+0.0848398726545988i</v>
      </c>
      <c r="Q458" s="583" t="str">
        <f t="shared" si="336"/>
        <v>-0.510571708698626+0.187257928806499i</v>
      </c>
      <c r="R458" s="581" t="str">
        <f t="shared" si="357"/>
        <v>-0.517706149164808-1.20457161303391i</v>
      </c>
      <c r="S458" s="253" t="str">
        <f t="shared" si="358"/>
        <v>47.2320848981633-19.1238174143238i</v>
      </c>
      <c r="T458" s="253" t="str">
        <f t="shared" si="359"/>
        <v>13.8418856682831-14.1888991455176i</v>
      </c>
      <c r="U458" s="253" t="str">
        <f t="shared" si="360"/>
        <v>-0.643472899916536-0.715613883416817i</v>
      </c>
      <c r="V458" s="582" t="str">
        <f t="shared" si="337"/>
        <v>6000</v>
      </c>
      <c r="W458" s="584" t="str">
        <f t="shared" si="338"/>
        <v>1+177401.053052419i</v>
      </c>
      <c r="X458" s="585">
        <f t="shared" si="339"/>
        <v>177401.05305523751</v>
      </c>
      <c r="Y458" s="586">
        <f t="shared" si="340"/>
        <v>1.5707906898497783</v>
      </c>
      <c r="Z458" s="273" t="str">
        <f t="shared" si="341"/>
        <v>1+26.6061670328079i</v>
      </c>
      <c r="AA458" s="585">
        <f t="shared" si="342"/>
        <v>26.624953036159031</v>
      </c>
      <c r="AB458" s="586">
        <f t="shared" si="343"/>
        <v>1.5332287390517141</v>
      </c>
      <c r="AC458" s="584" t="str">
        <f t="shared" si="344"/>
        <v>1+1.28628731408181i</v>
      </c>
      <c r="AD458" s="585">
        <f t="shared" si="345"/>
        <v>1.6292743950506916</v>
      </c>
      <c r="AE458" s="586">
        <f t="shared" si="346"/>
        <v>0.90996908559354972</v>
      </c>
      <c r="AF458" s="580" t="str">
        <f t="shared" si="361"/>
        <v>0.322605402465887-0.448779834865624i</v>
      </c>
      <c r="AG458" s="270">
        <f t="shared" si="362"/>
        <v>0.55270026766973224</v>
      </c>
      <c r="AH458" s="581">
        <f t="shared" si="363"/>
        <v>-0.94753103639161507</v>
      </c>
      <c r="AI458" s="582" t="str">
        <f t="shared" si="347"/>
        <v>4000</v>
      </c>
      <c r="AJ458" s="584" t="str">
        <f t="shared" si="364"/>
        <v>1+13937.0514635807i</v>
      </c>
      <c r="AK458" s="585">
        <f t="shared" si="365"/>
        <v>13937.051499456293</v>
      </c>
      <c r="AL458" s="586">
        <f t="shared" si="366"/>
        <v>1.5707245756070003</v>
      </c>
      <c r="AM458" s="273" t="str">
        <f t="shared" si="367"/>
        <v>1+0.487779728934811i</v>
      </c>
      <c r="AN458" s="585">
        <f t="shared" si="368"/>
        <v>1.1126226062595159</v>
      </c>
      <c r="AO458" s="586">
        <f t="shared" si="369"/>
        <v>0.45382368625023478</v>
      </c>
      <c r="AP458" s="584" t="str">
        <f t="shared" si="370"/>
        <v>1+0.0035289742180586i</v>
      </c>
      <c r="AQ458" s="585">
        <f t="shared" si="371"/>
        <v>1.0000062268101293</v>
      </c>
      <c r="AR458" s="586">
        <f t="shared" si="372"/>
        <v>3.5289595686208491E-3</v>
      </c>
      <c r="AS458" s="580" t="str">
        <f t="shared" si="373"/>
        <v>0.139001164392047-0.287485237310913i</v>
      </c>
      <c r="AT458" s="270">
        <f t="shared" si="374"/>
        <v>0.31932598606135532</v>
      </c>
      <c r="AU458" s="581">
        <f t="shared" si="375"/>
        <v>-1.1204298489253854</v>
      </c>
      <c r="AV458" s="580" t="str">
        <f t="shared" si="376"/>
        <v>-0.021550608127568-0.0595161128884516i</v>
      </c>
      <c r="AW458" s="270">
        <f t="shared" si="377"/>
        <v>-23.97224403096477</v>
      </c>
      <c r="AX458" s="581">
        <f t="shared" si="378"/>
        <v>-109.90517148821822</v>
      </c>
      <c r="AY458" s="299">
        <f t="shared" si="348"/>
        <v>70.094828511781785</v>
      </c>
      <c r="BB458" s="270">
        <f t="shared" si="381"/>
        <v>-49.915314761447782</v>
      </c>
      <c r="BC458" s="270">
        <f t="shared" si="382"/>
        <v>-64.195901583905027</v>
      </c>
      <c r="BD458" s="286"/>
      <c r="BE458" s="270">
        <f t="shared" si="379"/>
        <v>25.943070730483004</v>
      </c>
      <c r="BF458" s="581">
        <f t="shared" si="380"/>
        <v>-45.709269904313196</v>
      </c>
      <c r="BI458" s="286"/>
      <c r="BJ458" s="286"/>
      <c r="BL458" s="253">
        <f t="shared" si="349"/>
        <v>0</v>
      </c>
      <c r="BM458" s="253">
        <f t="shared" si="383"/>
        <v>0</v>
      </c>
      <c r="BN458" s="253">
        <f t="shared" si="350"/>
        <v>0</v>
      </c>
      <c r="BO458" s="253">
        <f t="shared" si="351"/>
        <v>0</v>
      </c>
    </row>
    <row r="459" spans="4:67" ht="13.6" thickBot="1" x14ac:dyDescent="0.25">
      <c r="D459" s="280">
        <v>50702.5</v>
      </c>
      <c r="E459" s="273" t="str">
        <f t="shared" si="330"/>
        <v>0.573431765467091i</v>
      </c>
      <c r="F459" s="579" t="str">
        <f t="shared" si="352"/>
        <v>0.002-0.0482922456689348i</v>
      </c>
      <c r="G459" s="270" t="str">
        <f t="shared" si="353"/>
        <v>0.002-0.0482922456689348i</v>
      </c>
      <c r="H459" s="271" t="str">
        <f t="shared" si="354"/>
        <v>0.00315990518948461-0.0481677784316526i</v>
      </c>
      <c r="I459" s="271" t="str">
        <f t="shared" si="355"/>
        <v>0.0131599051894846-0.0481677784316526i</v>
      </c>
      <c r="J459" s="270" t="str">
        <f t="shared" si="356"/>
        <v>0.0037475020630378-0.0244310757426808i</v>
      </c>
      <c r="K459" s="271" t="str">
        <f t="shared" si="331"/>
        <v>0.935083873986768-0.400217591755368i</v>
      </c>
      <c r="L459" s="580"/>
      <c r="M459" s="580" t="str">
        <f t="shared" si="332"/>
        <v>-0.110459114355964-28.6211845996811i</v>
      </c>
      <c r="N459" s="270" t="str">
        <f t="shared" si="333"/>
        <v>-6.74951100243364-21.4658884497608i</v>
      </c>
      <c r="O459" s="581" t="str">
        <f t="shared" si="334"/>
        <v>-4.53305767169673-10.1743107069709i</v>
      </c>
      <c r="P459" s="582" t="str">
        <f t="shared" si="335"/>
        <v>-0.54972855300616+0.0844543532760958i</v>
      </c>
      <c r="Q459" s="583" t="str">
        <f t="shared" si="336"/>
        <v>-0.504397976289192+0.186197460345805i</v>
      </c>
      <c r="R459" s="581" t="str">
        <f t="shared" si="357"/>
        <v>-0.517509007185966-1.19634324706625i</v>
      </c>
      <c r="S459" s="253" t="str">
        <f t="shared" si="358"/>
        <v>47.1743041569487-19.2376293548753i</v>
      </c>
      <c r="T459" s="253" t="str">
        <f t="shared" si="359"/>
        <v>13.7777511013659-14.2569773826807i</v>
      </c>
      <c r="U459" s="253" t="str">
        <f t="shared" si="360"/>
        <v>-0.643190540469415-0.708694359154949i</v>
      </c>
      <c r="V459" s="582" t="str">
        <f t="shared" si="337"/>
        <v>6000</v>
      </c>
      <c r="W459" s="584" t="str">
        <f t="shared" si="338"/>
        <v>1+178427.753849928i</v>
      </c>
      <c r="X459" s="585">
        <f t="shared" si="339"/>
        <v>178427.75385273024</v>
      </c>
      <c r="Y459" s="586">
        <f t="shared" si="340"/>
        <v>1.5707907222856294</v>
      </c>
      <c r="Z459" s="273" t="str">
        <f t="shared" si="341"/>
        <v>1+26.7601490551309i</v>
      </c>
      <c r="AA459" s="585">
        <f t="shared" si="342"/>
        <v>26.77882703653809</v>
      </c>
      <c r="AB459" s="586">
        <f t="shared" si="343"/>
        <v>1.533444707158873</v>
      </c>
      <c r="AC459" s="584" t="str">
        <f t="shared" si="344"/>
        <v>1+1.29373164537788i</v>
      </c>
      <c r="AD459" s="585">
        <f t="shared" si="345"/>
        <v>1.6351579649233148</v>
      </c>
      <c r="AE459" s="586">
        <f t="shared" si="346"/>
        <v>0.91276338096236009</v>
      </c>
      <c r="AF459" s="580" t="str">
        <f t="shared" si="361"/>
        <v>0.320288002742884-0.447988737084399i</v>
      </c>
      <c r="AG459" s="270">
        <f t="shared" si="362"/>
        <v>0.5507071029644528</v>
      </c>
      <c r="AH459" s="581">
        <f t="shared" si="363"/>
        <v>-0.95010939608911749</v>
      </c>
      <c r="AI459" s="582" t="str">
        <f t="shared" si="347"/>
        <v>4000</v>
      </c>
      <c r="AJ459" s="584" t="str">
        <f t="shared" si="364"/>
        <v>1+14017.7115363727i</v>
      </c>
      <c r="AK459" s="585">
        <f t="shared" si="365"/>
        <v>14017.711572041859</v>
      </c>
      <c r="AL459" s="586">
        <f t="shared" si="366"/>
        <v>1.5707249884743935</v>
      </c>
      <c r="AM459" s="273" t="str">
        <f t="shared" si="367"/>
        <v>1+0.490602732677401i</v>
      </c>
      <c r="AN459" s="585">
        <f t="shared" si="368"/>
        <v>1.1138631160562475</v>
      </c>
      <c r="AO459" s="586">
        <f t="shared" si="369"/>
        <v>0.45610157299099602</v>
      </c>
      <c r="AP459" s="584" t="str">
        <f t="shared" si="370"/>
        <v>1+0.00354939800124213i</v>
      </c>
      <c r="AQ459" s="585">
        <f t="shared" si="371"/>
        <v>1.0000062990932463</v>
      </c>
      <c r="AR459" s="586">
        <f t="shared" si="372"/>
        <v>3.5493830959818676E-3</v>
      </c>
      <c r="AS459" s="580" t="str">
        <f t="shared" si="373"/>
        <v>0.139000908000518-0.285836663574528i</v>
      </c>
      <c r="AT459" s="270">
        <f t="shared" si="374"/>
        <v>0.31784249349070115</v>
      </c>
      <c r="AU459" s="581">
        <f t="shared" si="375"/>
        <v>-1.1181727985793797</v>
      </c>
      <c r="AV459" s="580" t="str">
        <f t="shared" si="376"/>
        <v>-0.0216004693442796-0.0591991920791017i</v>
      </c>
      <c r="AW459" s="270">
        <f t="shared" si="377"/>
        <v>-24.010864840341881</v>
      </c>
      <c r="AX459" s="581">
        <f t="shared" si="378"/>
        <v>-110.04590209265243</v>
      </c>
      <c r="AY459" s="299">
        <f t="shared" si="348"/>
        <v>69.954097907347574</v>
      </c>
      <c r="BB459" s="270">
        <f t="shared" si="381"/>
        <v>-49.955760817535847</v>
      </c>
      <c r="BC459" s="270">
        <f t="shared" si="382"/>
        <v>-64.066582124930349</v>
      </c>
      <c r="BD459" s="286"/>
      <c r="BE459" s="270">
        <f t="shared" si="379"/>
        <v>25.944895977193973</v>
      </c>
      <c r="BF459" s="581">
        <f t="shared" si="380"/>
        <v>-45.979319967722077</v>
      </c>
      <c r="BI459" s="286"/>
      <c r="BJ459" s="286"/>
      <c r="BL459" s="253">
        <f t="shared" si="349"/>
        <v>0</v>
      </c>
      <c r="BM459" s="253">
        <f t="shared" si="383"/>
        <v>0</v>
      </c>
      <c r="BN459" s="253">
        <f t="shared" si="350"/>
        <v>0</v>
      </c>
      <c r="BO459" s="253">
        <f t="shared" si="351"/>
        <v>0</v>
      </c>
    </row>
    <row r="460" spans="4:67" ht="13.6" thickBot="1" x14ac:dyDescent="0.25">
      <c r="D460" s="280">
        <v>50994.25</v>
      </c>
      <c r="E460" s="273" t="str">
        <f t="shared" si="330"/>
        <v>0.576731380231157i</v>
      </c>
      <c r="F460" s="579" t="str">
        <f t="shared" si="352"/>
        <v>0.002-0.0480159544660262i</v>
      </c>
      <c r="G460" s="270" t="str">
        <f t="shared" si="353"/>
        <v>0.002-0.0480159544660262i</v>
      </c>
      <c r="H460" s="271" t="str">
        <f t="shared" si="354"/>
        <v>0.00314665580455604-0.0478925171080022i</v>
      </c>
      <c r="I460" s="271" t="str">
        <f t="shared" si="355"/>
        <v>0.013146655804556-0.0478925171080022i</v>
      </c>
      <c r="J460" s="270" t="str">
        <f t="shared" si="356"/>
        <v>0.0037437648459945-0.0242941743144047i</v>
      </c>
      <c r="K460" s="271" t="str">
        <f t="shared" si="331"/>
        <v>0.934334649805245-0.402520505465631i</v>
      </c>
      <c r="L460" s="580"/>
      <c r="M460" s="580" t="str">
        <f t="shared" si="332"/>
        <v>-0.10932994917458-28.449509825393i</v>
      </c>
      <c r="N460" s="270" t="str">
        <f t="shared" si="333"/>
        <v>-6.7486641285476-21.3371323690448i</v>
      </c>
      <c r="O460" s="581" t="str">
        <f t="shared" si="334"/>
        <v>-4.53000457689242-10.1076126904725i</v>
      </c>
      <c r="P460" s="582" t="str">
        <f t="shared" si="335"/>
        <v>-0.543633424664982+0.0840720166507442i</v>
      </c>
      <c r="Q460" s="583" t="str">
        <f t="shared" si="336"/>
        <v>-0.498333378896058+0.185148143555469i</v>
      </c>
      <c r="R460" s="581" t="str">
        <f t="shared" si="357"/>
        <v>-0.517315208659524-1.18821008147256i</v>
      </c>
      <c r="S460" s="253" t="str">
        <f t="shared" si="358"/>
        <v>47.1161777902698-19.3512083319966i</v>
      </c>
      <c r="T460" s="253" t="str">
        <f t="shared" si="359"/>
        <v>13.7133166582104-14.3247369194059i</v>
      </c>
      <c r="U460" s="253" t="str">
        <f t="shared" si="360"/>
        <v>-0.642896620518005-0.701840269236984i</v>
      </c>
      <c r="V460" s="582" t="str">
        <f t="shared" si="337"/>
        <v>6000</v>
      </c>
      <c r="W460" s="584" t="str">
        <f t="shared" si="338"/>
        <v>1+179454.454647438i</v>
      </c>
      <c r="X460" s="585">
        <f t="shared" si="339"/>
        <v>179454.45465022422</v>
      </c>
      <c r="Y460" s="586">
        <f t="shared" si="340"/>
        <v>1.5707907543503343</v>
      </c>
      <c r="Z460" s="273" t="str">
        <f t="shared" si="341"/>
        <v>1+26.914131077454i</v>
      </c>
      <c r="AA460" s="585">
        <f t="shared" si="342"/>
        <v>26.9327022716692</v>
      </c>
      <c r="AB460" s="586">
        <f t="shared" si="343"/>
        <v>1.533658207484663</v>
      </c>
      <c r="AC460" s="584" t="str">
        <f t="shared" si="344"/>
        <v>1+1.30117597667395i</v>
      </c>
      <c r="AD460" s="585">
        <f t="shared" si="345"/>
        <v>1.6410542106443065</v>
      </c>
      <c r="AE460" s="586">
        <f t="shared" si="346"/>
        <v>0.91553761826806912</v>
      </c>
      <c r="AF460" s="580" t="str">
        <f t="shared" si="361"/>
        <v>0.317990571299404-0.447191345109079i</v>
      </c>
      <c r="AG460" s="270">
        <f t="shared" si="362"/>
        <v>0.54872406779344818</v>
      </c>
      <c r="AH460" s="581">
        <f t="shared" si="363"/>
        <v>-0.95267016513373937</v>
      </c>
      <c r="AI460" s="582" t="str">
        <f t="shared" si="347"/>
        <v>4000</v>
      </c>
      <c r="AJ460" s="584" t="str">
        <f t="shared" si="364"/>
        <v>1+14098.3716091647i</v>
      </c>
      <c r="AK460" s="585">
        <f t="shared" si="365"/>
        <v>14098.371644629788</v>
      </c>
      <c r="AL460" s="586">
        <f t="shared" si="366"/>
        <v>1.5707253966175652</v>
      </c>
      <c r="AM460" s="273" t="str">
        <f t="shared" si="367"/>
        <v>1+0.49342573641999i</v>
      </c>
      <c r="AN460" s="585">
        <f t="shared" si="368"/>
        <v>1.1151093925537572</v>
      </c>
      <c r="AO460" s="586">
        <f t="shared" si="369"/>
        <v>0.45837437984692242</v>
      </c>
      <c r="AP460" s="584" t="str">
        <f t="shared" si="370"/>
        <v>1+0.00356982178442565i</v>
      </c>
      <c r="AQ460" s="585">
        <f t="shared" si="371"/>
        <v>1.0000063717934864</v>
      </c>
      <c r="AR460" s="586">
        <f t="shared" si="372"/>
        <v>3.5698066203818228E-3</v>
      </c>
      <c r="AS460" s="580" t="str">
        <f t="shared" si="373"/>
        <v>0.139000655537216-0.28420698606519i</v>
      </c>
      <c r="AT460" s="270">
        <f t="shared" si="374"/>
        <v>0.31637761167319489</v>
      </c>
      <c r="AU460" s="581">
        <f t="shared" si="375"/>
        <v>-1.1159208233910245</v>
      </c>
      <c r="AV460" s="580" t="str">
        <f t="shared" si="376"/>
        <v>-0.0216503030096044-0.0588856821858312i</v>
      </c>
      <c r="AW460" s="270">
        <f t="shared" si="377"/>
        <v>-24.049163127473648</v>
      </c>
      <c r="AX460" s="581">
        <f t="shared" si="378"/>
        <v>-110.18679313151465</v>
      </c>
      <c r="AY460" s="299">
        <f t="shared" si="348"/>
        <v>69.813206868485352</v>
      </c>
      <c r="BB460" s="270">
        <f t="shared" si="381"/>
        <v>-49.995885135017488</v>
      </c>
      <c r="BC460" s="270">
        <f t="shared" si="382"/>
        <v>-63.937553451069419</v>
      </c>
      <c r="BD460" s="286"/>
      <c r="BE460" s="270">
        <f t="shared" si="379"/>
        <v>25.946722007543841</v>
      </c>
      <c r="BF460" s="581">
        <f t="shared" si="380"/>
        <v>-46.249239680445193</v>
      </c>
      <c r="BI460" s="286"/>
      <c r="BJ460" s="286"/>
      <c r="BL460" s="253">
        <f t="shared" si="349"/>
        <v>0</v>
      </c>
      <c r="BM460" s="253">
        <f t="shared" si="383"/>
        <v>0</v>
      </c>
      <c r="BN460" s="253">
        <f t="shared" si="350"/>
        <v>0</v>
      </c>
      <c r="BO460" s="253">
        <f t="shared" si="351"/>
        <v>0</v>
      </c>
    </row>
    <row r="461" spans="4:67" ht="13.6" thickBot="1" x14ac:dyDescent="0.25">
      <c r="D461" s="280">
        <v>51286</v>
      </c>
      <c r="E461" s="273" t="str">
        <f t="shared" ref="E461:E524" si="384">COMPLEX(0,2*PI()*D461*Lf)</f>
        <v>0.580030994995222i</v>
      </c>
      <c r="F461" s="579" t="str">
        <f t="shared" si="352"/>
        <v>0.002-0.0477428067314503i</v>
      </c>
      <c r="G461" s="270" t="str">
        <f t="shared" si="353"/>
        <v>0.002-0.0477428067314503i</v>
      </c>
      <c r="H461" s="271" t="str">
        <f t="shared" si="354"/>
        <v>0.00313363171931209-0.0476203821625164i</v>
      </c>
      <c r="I461" s="271" t="str">
        <f t="shared" si="355"/>
        <v>0.0131336317193121-0.0476203821625164i</v>
      </c>
      <c r="J461" s="270" t="str">
        <f t="shared" si="356"/>
        <v>0.0037400820185374-0.0241588446151314i</v>
      </c>
      <c r="K461" s="271" t="str">
        <f t="shared" ref="K461:K524" si="385">IMSUM(COMPLEX(1,0),COMPLEX(0,2*PI()*D461/(Fsw*PI()*(-2)/PI())),IMPRODUCT(COMPLEX(0,2*PI()*D461/(Fsw*PI())),COMPLEX(0,2*PI()*D461/(Fsw*PI()))))</f>
        <v>0.933581126840231-0.404823419175895i</v>
      </c>
      <c r="L461" s="580"/>
      <c r="M461" s="580" t="str">
        <f t="shared" ref="M461:M524" si="386">IF(Vin&gt;=Vout,IMDIV(COMPLEX(Vin,0),IMSUM(E461,J461)),IMDIV(IMSUM(COMPLEX(Vout,0),IMPRODUCT(J461,COMPLEX($B$4,0))),IMSUM(E461,IMPRODUCT(J461,COMPLEX((1-$B$11)^2,0)))))</f>
        <v>-0.10821771945923-28.2799264890967i</v>
      </c>
      <c r="N461" s="270" t="str">
        <f t="shared" ref="N461:N524" si="387">IF(Vin&gt;=Vout,0,IMSUB(IMPRODUCT(M461,COMPLEX(1-$B$11,0)),COMPLEX($B$4/(1-$B$11),0)))</f>
        <v>-6.74782995626109-21.2099448668225i</v>
      </c>
      <c r="O461" s="581" t="str">
        <f t="shared" ref="O461:O524" si="388">IMDIV(IF(Vin&gt;=Vout,M461,N461),IMPRODUCT(I461,IMSUM(IMDIV(COMPLEX(1,0),F461),IMDIV(COMPLEX(1,0),I461))))</f>
        <v>-4.52698569758266-10.0416967514886i</v>
      </c>
      <c r="P461" s="582" t="str">
        <f t="shared" ref="P461:P524" si="389">IF(Vin&gt;=Vout,IMDIV(IMPRODUCT(COMPLEX(Vin,0),J461),IMSUM(J461,E461)),IMPRODUCT(N461,J461))</f>
        <v>-0.537645199816629+0.0836928419920681i</v>
      </c>
      <c r="Q461" s="583" t="str">
        <f t="shared" ref="Q461:Q524" si="390">IF(Vin&gt;=Vout,IMDIV(IMPRODUCT(P461,H461),IMSUM(COMPLEX($B$15,0),H461)),IMPRODUCT(O461,H461))</f>
        <v>-0.492375342840804+0.184109809506954i</v>
      </c>
      <c r="R461" s="581" t="str">
        <f t="shared" si="357"/>
        <v>-0.517124678537554-1.18017034148636i</v>
      </c>
      <c r="S461" s="253" t="str">
        <f t="shared" si="358"/>
        <v>47.0577061487841-19.4645541487735i</v>
      </c>
      <c r="T461" s="253" t="str">
        <f t="shared" si="359"/>
        <v>13.6485837541427-14.3921765288431i</v>
      </c>
      <c r="U461" s="253" t="str">
        <f t="shared" si="360"/>
        <v>-0.642591311478234-0.69505055523011i</v>
      </c>
      <c r="V461" s="582" t="str">
        <f t="shared" ref="V461:V524" si="391">COMPLEX(AEA,0)</f>
        <v>6000</v>
      </c>
      <c r="W461" s="584" t="str">
        <f t="shared" ref="W461:W524" si="392">IMSUM(COMPLEX(1,0),IMDIV(COMPLEX(0,2*PI()*D461),COMPLEX(2*PI()*EA_Pole1,0)))</f>
        <v>1+180481.155444947i</v>
      </c>
      <c r="X461" s="585">
        <f t="shared" ref="X461:X524" si="393">IMABS(W461)</f>
        <v>180481.15544771738</v>
      </c>
      <c r="Y461" s="586">
        <f t="shared" ref="Y461:Y524" si="394">IMARGUMENT(W461)</f>
        <v>1.570790786050227</v>
      </c>
      <c r="Z461" s="273" t="str">
        <f t="shared" ref="Z461:Z524" si="395">IMSUM(COMPLEX(1,0),IMDIV(COMPLEX(0,2*PI()*D461),COMPLEX(2*PI()*EA_Zero1,0)))</f>
        <v>1+27.068113099777i</v>
      </c>
      <c r="AA461" s="585">
        <f t="shared" ref="AA461:AA524" si="396">IMABS(Z461)</f>
        <v>27.086578720508786</v>
      </c>
      <c r="AB461" s="586">
        <f t="shared" ref="AB461:AB524" si="397">IMARGUMENT(Z461)</f>
        <v>1.5338692820671926</v>
      </c>
      <c r="AC461" s="584" t="str">
        <f t="shared" ref="AC461:AC524" si="398">IMSUM(COMPLEX(1,0),IMDIV(COMPLEX(0,2*PI()*D461),COMPLEX(2*PI()*EA_Pole2,0)))</f>
        <v>1+1.30862030797002i</v>
      </c>
      <c r="AD461" s="585">
        <f t="shared" ref="AD461:AD524" si="399">IMABS(AC461)</f>
        <v>1.6469629960723311</v>
      </c>
      <c r="AE461" s="586">
        <f t="shared" ref="AE461:AE524" si="400">IMARGUMENT(AC461)</f>
        <v>0.91829197046342381</v>
      </c>
      <c r="AF461" s="580" t="str">
        <f t="shared" si="361"/>
        <v>0.315712963143633-0.446387877153586i</v>
      </c>
      <c r="AG461" s="270">
        <f t="shared" si="362"/>
        <v>0.54675114262945801</v>
      </c>
      <c r="AH461" s="581">
        <f t="shared" si="363"/>
        <v>-0.95521347444645888</v>
      </c>
      <c r="AI461" s="582" t="str">
        <f t="shared" ref="AI461:AI524" si="401">COMPLEX(AIL,0)</f>
        <v>4000</v>
      </c>
      <c r="AJ461" s="584" t="str">
        <f t="shared" si="364"/>
        <v>1+14179.0316819567i</v>
      </c>
      <c r="AK461" s="585">
        <f t="shared" si="365"/>
        <v>14179.031717220039</v>
      </c>
      <c r="AL461" s="586">
        <f t="shared" si="366"/>
        <v>1.5707258001171394</v>
      </c>
      <c r="AM461" s="273" t="str">
        <f t="shared" si="367"/>
        <v>1+0.496248740162579i</v>
      </c>
      <c r="AN461" s="585">
        <f t="shared" si="368"/>
        <v>1.116361416438667</v>
      </c>
      <c r="AO461" s="586">
        <f t="shared" si="369"/>
        <v>0.46064210038949366</v>
      </c>
      <c r="AP461" s="584" t="str">
        <f t="shared" si="370"/>
        <v>1+0.00359024556760916i</v>
      </c>
      <c r="AQ461" s="585">
        <f t="shared" si="371"/>
        <v>1.0000064449108494</v>
      </c>
      <c r="AR461" s="586">
        <f t="shared" si="372"/>
        <v>3.5902301418036784E-3</v>
      </c>
      <c r="AS461" s="580" t="str">
        <f t="shared" si="373"/>
        <v>0.139000406910378-0.282595882298713i</v>
      </c>
      <c r="AT461" s="270">
        <f t="shared" si="374"/>
        <v>0.31493101754739677</v>
      </c>
      <c r="AU461" s="581">
        <f t="shared" si="375"/>
        <v>-1.1136739298694485</v>
      </c>
      <c r="AV461" s="580" t="str">
        <f t="shared" si="376"/>
        <v>-0.0217001112879103-0.0585755196196502i</v>
      </c>
      <c r="AW461" s="270">
        <f t="shared" si="377"/>
        <v>-24.087142565753858</v>
      </c>
      <c r="AX461" s="581">
        <f t="shared" si="378"/>
        <v>-110.32784554170254</v>
      </c>
      <c r="AY461" s="299">
        <f t="shared" ref="AY461:AY524" si="402">IF(AX461&gt;0,AX461-180,AX461+180)</f>
        <v>69.672154458297456</v>
      </c>
      <c r="BB461" s="270">
        <f t="shared" si="381"/>
        <v>-50.035691272103165</v>
      </c>
      <c r="BC461" s="270">
        <f t="shared" si="382"/>
        <v>-63.808815935267823</v>
      </c>
      <c r="BD461" s="286"/>
      <c r="BE461" s="270">
        <f t="shared" si="379"/>
        <v>25.948548706349321</v>
      </c>
      <c r="BF461" s="581">
        <f t="shared" si="380"/>
        <v>-46.519029606434771</v>
      </c>
      <c r="BI461" s="286"/>
      <c r="BJ461" s="286"/>
      <c r="BL461" s="253">
        <f t="shared" ref="BL461:BL524" si="403">SUM((AW462&lt;0)*(AW461&gt;0))*D461</f>
        <v>0</v>
      </c>
      <c r="BM461" s="253">
        <f t="shared" si="383"/>
        <v>0</v>
      </c>
      <c r="BN461" s="253">
        <f t="shared" ref="BN461:BN524" si="404">SUM((BB462&lt;0)*(BB461&gt;0))*D461</f>
        <v>0</v>
      </c>
      <c r="BO461" s="253">
        <f t="shared" ref="BO461:BO524" si="405">IF(BN461&gt;0,BC461,0)</f>
        <v>0</v>
      </c>
    </row>
    <row r="462" spans="4:67" ht="13.6" thickBot="1" x14ac:dyDescent="0.25">
      <c r="D462" s="280">
        <v>51584.75</v>
      </c>
      <c r="E462" s="273" t="str">
        <f t="shared" si="384"/>
        <v>0.583409777894158i</v>
      </c>
      <c r="F462" s="579" t="str">
        <f t="shared" ref="F462:F525" si="406">IMSUM(COMPLEX($B$8,0),IMDIV(COMPLEX(1,0),COMPLEX(0,2*PI()*D462*$B$6)))</f>
        <v>0.002-0.0474663071165249i</v>
      </c>
      <c r="G462" s="270" t="str">
        <f t="shared" ref="G462:G525" si="407">IMSUM(COMPLEX($B$9,0),IMDIV(COMPLEX(1,0),COMPLEX(0,2*PI()*D462*$B$7)))</f>
        <v>0.002-0.0474663071165249i</v>
      </c>
      <c r="H462" s="271" t="str">
        <f t="shared" ref="H462:H525" si="408">IMDIV(COMPLEX(1,0),IMSUM(IMDIV(COMPLEX(1,0),COMPLEX($B$5,0)), IMDIV(COMPLEX(1,0),G462)))</f>
        <v>0.00312052331448158-0.0473449023551649i</v>
      </c>
      <c r="I462" s="271" t="str">
        <f t="shared" ref="I462:I525" si="409">IMSUM(H462,COMPLEX($B$15,0))</f>
        <v>0.0131205233144816-0.0473449023551649i</v>
      </c>
      <c r="J462" s="270" t="str">
        <f t="shared" ref="J462:J525" si="410">IMDIV(COMPLEX(1,0),IMSUM(IMDIV(COMPLEX(1,0),F462),IMDIV(COMPLEX(1,0),IMSUM(COMPLEX($B$15,0),H462))))</f>
        <v>0.00373636586210443-0.0240218688147061i</v>
      </c>
      <c r="K462" s="271" t="str">
        <f t="shared" si="385"/>
        <v>0.932805069756761-0.407181587028307i</v>
      </c>
      <c r="L462" s="580"/>
      <c r="M462" s="580" t="str">
        <f t="shared" si="386"/>
        <v>-0.107096024857376-28.1084011931431i</v>
      </c>
      <c r="N462" s="270" t="str">
        <f t="shared" si="387"/>
        <v>-6.7469886853097-21.0813008948573i</v>
      </c>
      <c r="O462" s="581" t="str">
        <f t="shared" si="388"/>
        <v>-4.52392894031471-9.97499464795975i</v>
      </c>
      <c r="P462" s="582" t="str">
        <f t="shared" si="389"/>
        <v>-0.531621462735404+0.0833078241005196i</v>
      </c>
      <c r="Q462" s="583" t="str">
        <f t="shared" si="390"/>
        <v>-0.486382173332257+0.183057770580117i</v>
      </c>
      <c r="R462" s="581" t="str">
        <f t="shared" ref="R462:R525" si="411">IMPRODUCT(M462,COMPLEX($B$29,0),K462,COMPLEX($B$34,0))</f>
        <v>-0.516932887769199-1.17203271067455i</v>
      </c>
      <c r="S462" s="253" t="str">
        <f t="shared" ref="S462:S525" si="412">IMDIV(IMPRODUCT(COMPLEX($B$34,0),M462),IMSUM(COMPLEX(1,0),R462))</f>
        <v>46.9974741559112-19.5803776319637i</v>
      </c>
      <c r="T462" s="253" t="str">
        <f t="shared" ref="T462:T525" si="413">IMDIV(IMPRODUCT(COMPLEX($B$34,0),O462),IMSUM(COMPLEX(1,0),R462))</f>
        <v>13.5819899031173-14.460901408735i</v>
      </c>
      <c r="U462" s="253" t="str">
        <f t="shared" ref="U462:U525" si="414">IMDIV(IMPRODUCT(COMPLEX($B$34,0),Q462),IMSUM(COMPLEX(1,0),R462))</f>
        <v>-0.642267049014494-0.6881635657463i</v>
      </c>
      <c r="V462" s="582" t="str">
        <f t="shared" si="391"/>
        <v>6000</v>
      </c>
      <c r="W462" s="584" t="str">
        <f t="shared" si="392"/>
        <v>1+181532.490023373i</v>
      </c>
      <c r="X462" s="585">
        <f t="shared" si="393"/>
        <v>181532.49002612734</v>
      </c>
      <c r="Y462" s="586">
        <f t="shared" si="394"/>
        <v>1.570790818139119</v>
      </c>
      <c r="Z462" s="273" t="str">
        <f t="shared" si="395"/>
        <v>1+27.2257896350607i</v>
      </c>
      <c r="AA462" s="585">
        <f t="shared" si="396"/>
        <v>27.244148385526362</v>
      </c>
      <c r="AB462" s="586">
        <f t="shared" si="397"/>
        <v>1.5340829501639155</v>
      </c>
      <c r="AC462" s="584" t="str">
        <f t="shared" si="398"/>
        <v>1+1.31624325218493i</v>
      </c>
      <c r="AD462" s="585">
        <f t="shared" si="399"/>
        <v>1.6530264059966984</v>
      </c>
      <c r="AE462" s="586">
        <f t="shared" si="400"/>
        <v>0.92109198106902346</v>
      </c>
      <c r="AF462" s="580" t="str">
        <f t="shared" ref="AF462:AF525" si="415">IMPRODUCT(V462,IMDIV(Z462,IMPRODUCT(W462,AC462)))</f>
        <v>0.313401098231649-0.445559058393061i</v>
      </c>
      <c r="AG462" s="270">
        <f t="shared" ref="AG462:AG525" si="416">IMABS(AF462)</f>
        <v>0.54474133576305261</v>
      </c>
      <c r="AH462" s="581">
        <f t="shared" ref="AH462:AH525" si="417">IMARGUMENT(AF462)</f>
        <v>-0.95779984904422799</v>
      </c>
      <c r="AI462" s="582" t="str">
        <f t="shared" si="401"/>
        <v>4000</v>
      </c>
      <c r="AJ462" s="584" t="str">
        <f t="shared" ref="AJ462:AJ525" si="418">IMSUM(COMPLEX(1,0),IMDIV(COMPLEX(0,2*PI()*D462),COMPLEX(2*PI()*IL_Pole1,0)))</f>
        <v>1+14261.6270435561i</v>
      </c>
      <c r="AK462" s="585">
        <f t="shared" ref="AK462:AK525" si="419">IMABS(AJ462)</f>
        <v>14261.627078615214</v>
      </c>
      <c r="AL462" s="586">
        <f t="shared" ref="AL462:AL525" si="420">IMARGUMENT(AJ462)</f>
        <v>1.5707262085681819</v>
      </c>
      <c r="AM462" s="273" t="str">
        <f t="shared" ref="AM462:AM525" si="421">IMSUM(COMPLEX(1,0),IMDIV(COMPLEX(0,2*PI()*D462),COMPLEX(2*PI()*IL_Zero1,0)))</f>
        <v>1+0.49913947664278i</v>
      </c>
      <c r="AN462" s="585">
        <f t="shared" ref="AN462:AN525" si="422">IMABS(AM462)</f>
        <v>1.1176494160259864</v>
      </c>
      <c r="AO462" s="586">
        <f t="shared" ref="AO462:AO525" si="423">IMARGUMENT(AM462)</f>
        <v>0.46295895338215892</v>
      </c>
      <c r="AP462" s="584" t="str">
        <f t="shared" ref="AP462:AP525" si="424">IMSUM(COMPLEX(1,0),IMDIV(COMPLEX(0,2*PI()*D462),COMPLEX(2*PI()*IL_Pole2,0)))</f>
        <v>1+0.00361115938158029i</v>
      </c>
      <c r="AQ462" s="585">
        <f t="shared" ref="AQ462:AQ525" si="425">IMABS(AP462)</f>
        <v>1.000006520214783</v>
      </c>
      <c r="AR462" s="586">
        <f t="shared" ref="AR462:AR525" si="426">IMARGUMENT(AP462)</f>
        <v>3.6111436846287441E-3</v>
      </c>
      <c r="AS462" s="580" t="str">
        <f t="shared" ref="AS462:AS525" si="427">IMPRODUCT(AI462,IMDIV(AM462,IMPRODUCT(AJ462,AP462)))</f>
        <v>0.13900015620071-0.280965041449618i</v>
      </c>
      <c r="AT462" s="270">
        <f t="shared" ref="AT462:AT525" si="428">IMABS(AS462)</f>
        <v>0.31346833642428279</v>
      </c>
      <c r="AU462" s="581">
        <f t="shared" ref="AU462:AU525" si="429">IMARGUMENT(AS462)</f>
        <v>-1.1113783988706505</v>
      </c>
      <c r="AV462" s="580" t="str">
        <f t="shared" ref="AV462:AV525" si="430">IMPRODUCT(T462,AS462,COMPLEX($B$15,0))</f>
        <v>-0.021751090456543-0.0582613191071488i</v>
      </c>
      <c r="AW462" s="270">
        <f t="shared" ref="AW462:AW525" si="431">20*LOG10(IMABS(AV462))</f>
        <v>-24.1257066130208</v>
      </c>
      <c r="AX462" s="581">
        <f t="shared" ref="AX462:AX525" si="432">(180/PI())*IMARGUMENT(AV462)</f>
        <v>-110.47245040990734</v>
      </c>
      <c r="AY462" s="299">
        <f t="shared" si="402"/>
        <v>69.527549590092661</v>
      </c>
      <c r="BB462" s="270">
        <f t="shared" si="381"/>
        <v>-50.076126417922147</v>
      </c>
      <c r="BC462" s="270">
        <f t="shared" si="382"/>
        <v>-63.677291697295253</v>
      </c>
      <c r="BD462" s="286"/>
      <c r="BE462" s="270">
        <f t="shared" ref="BE462:BE525" si="433">20*LOG10(IMABS(T462))</f>
        <v>25.950419804901351</v>
      </c>
      <c r="BF462" s="581">
        <f t="shared" ref="BF462:BF525" si="434">180/PI()*IMARGUMENT(T462)</f>
        <v>-46.795158712612078</v>
      </c>
      <c r="BI462" s="286"/>
      <c r="BJ462" s="286"/>
      <c r="BL462" s="253">
        <f t="shared" si="403"/>
        <v>0</v>
      </c>
      <c r="BM462" s="253">
        <f t="shared" si="383"/>
        <v>0</v>
      </c>
      <c r="BN462" s="253">
        <f t="shared" si="404"/>
        <v>0</v>
      </c>
      <c r="BO462" s="253">
        <f t="shared" si="405"/>
        <v>0</v>
      </c>
    </row>
    <row r="463" spans="4:67" ht="13.6" thickBot="1" x14ac:dyDescent="0.25">
      <c r="D463" s="280">
        <v>51883.5</v>
      </c>
      <c r="E463" s="273" t="str">
        <f t="shared" si="384"/>
        <v>0.586788560793094i</v>
      </c>
      <c r="F463" s="579" t="str">
        <f t="shared" si="406"/>
        <v>0.002-0.0471929917224003i</v>
      </c>
      <c r="G463" s="270" t="str">
        <f t="shared" si="407"/>
        <v>0.002-0.0471929917224003i</v>
      </c>
      <c r="H463" s="271" t="str">
        <f t="shared" si="408"/>
        <v>0.00310764052764234-0.0470725897058459i</v>
      </c>
      <c r="I463" s="271" t="str">
        <f t="shared" si="409"/>
        <v>0.0131076405276423-0.0470725897058459i</v>
      </c>
      <c r="J463" s="270" t="str">
        <f t="shared" si="410"/>
        <v>0.00373270407476121-0.0238864851043872i</v>
      </c>
      <c r="K463" s="271" t="str">
        <f t="shared" si="385"/>
        <v>0.932024505132446-0.409539754880719i</v>
      </c>
      <c r="L463" s="580"/>
      <c r="M463" s="580" t="str">
        <f t="shared" si="386"/>
        <v>-0.105991426942529-27.9389877915044i</v>
      </c>
      <c r="N463" s="270" t="str">
        <f t="shared" si="387"/>
        <v>-6.74616023687357-20.9542408436283i</v>
      </c>
      <c r="O463" s="581" t="str">
        <f t="shared" si="388"/>
        <v>-4.52090625328667-9.90908234447657i</v>
      </c>
      <c r="P463" s="582" t="str">
        <f t="shared" si="389"/>
        <v>-0.525704581590239+0.0829260758293506i</v>
      </c>
      <c r="Q463" s="583" t="str">
        <f t="shared" si="390"/>
        <v>-0.480495519057372+0.182016899274116i</v>
      </c>
      <c r="R463" s="581" t="str">
        <f t="shared" si="411"/>
        <v>-0.51674437147039-1.16398941747446i</v>
      </c>
      <c r="S463" s="253" t="str">
        <f t="shared" si="412"/>
        <v>46.9368808698184-19.6959561181749i</v>
      </c>
      <c r="T463" s="253" t="str">
        <f t="shared" si="413"/>
        <v>13.5150861284159-14.5292882128593i</v>
      </c>
      <c r="U463" s="253" t="str">
        <f t="shared" si="414"/>
        <v>-0.641931193374666-0.681341909050169i</v>
      </c>
      <c r="V463" s="582" t="str">
        <f t="shared" si="391"/>
        <v>6000</v>
      </c>
      <c r="W463" s="584" t="str">
        <f t="shared" si="392"/>
        <v>1+182583.8246018i</v>
      </c>
      <c r="X463" s="585">
        <f t="shared" si="393"/>
        <v>182583.82460453847</v>
      </c>
      <c r="Y463" s="586">
        <f t="shared" si="394"/>
        <v>1.5707908498584693</v>
      </c>
      <c r="Z463" s="273" t="str">
        <f t="shared" si="395"/>
        <v>1+27.3834661703444i</v>
      </c>
      <c r="AA463" s="585">
        <f t="shared" si="396"/>
        <v>27.401719280045114</v>
      </c>
      <c r="AB463" s="586">
        <f t="shared" si="397"/>
        <v>1.5342941609153937</v>
      </c>
      <c r="AC463" s="584" t="str">
        <f t="shared" si="398"/>
        <v>1+1.32386619639985i</v>
      </c>
      <c r="AD463" s="585">
        <f t="shared" si="399"/>
        <v>1.6591026809604661</v>
      </c>
      <c r="AE463" s="586">
        <f t="shared" si="400"/>
        <v>0.92387150389247541</v>
      </c>
      <c r="AF463" s="580" t="str">
        <f t="shared" si="415"/>
        <v>0.311109709353944-0.444724317644861i</v>
      </c>
      <c r="AG463" s="270">
        <f t="shared" si="416"/>
        <v>0.54274208419744152</v>
      </c>
      <c r="AH463" s="581">
        <f t="shared" si="417"/>
        <v>-0.96036819283555086</v>
      </c>
      <c r="AI463" s="582" t="str">
        <f t="shared" si="401"/>
        <v>4000</v>
      </c>
      <c r="AJ463" s="584" t="str">
        <f t="shared" si="418"/>
        <v>1+14344.2224051554i</v>
      </c>
      <c r="AK463" s="585">
        <f t="shared" si="419"/>
        <v>14344.222440012642</v>
      </c>
      <c r="AL463" s="586">
        <f t="shared" si="420"/>
        <v>1.5707266123154264</v>
      </c>
      <c r="AM463" s="273" t="str">
        <f t="shared" si="421"/>
        <v>1+0.50203021312298i</v>
      </c>
      <c r="AN463" s="585">
        <f t="shared" si="422"/>
        <v>1.1189434011103085</v>
      </c>
      <c r="AO463" s="586">
        <f t="shared" si="423"/>
        <v>0.46527046017985574</v>
      </c>
      <c r="AP463" s="584" t="str">
        <f t="shared" si="424"/>
        <v>1+0.00363207319555142i</v>
      </c>
      <c r="AQ463" s="585">
        <f t="shared" si="425"/>
        <v>1.0000065959560955</v>
      </c>
      <c r="AR463" s="586">
        <f t="shared" si="426"/>
        <v>3.6320572242949396E-3</v>
      </c>
      <c r="AS463" s="580" t="str">
        <f t="shared" si="427"/>
        <v>0.138999909327288-0.279353015136564i</v>
      </c>
      <c r="AT463" s="270">
        <f t="shared" si="428"/>
        <v>0.31202416870954669</v>
      </c>
      <c r="AU463" s="581">
        <f t="shared" si="429"/>
        <v>-1.1090882093598671</v>
      </c>
      <c r="AV463" s="580" t="str">
        <f t="shared" si="430"/>
        <v>-0.0218020472365009-0.0579504980398081i</v>
      </c>
      <c r="AW463" s="270">
        <f t="shared" si="431"/>
        <v>-24.163943946343295</v>
      </c>
      <c r="AX463" s="581">
        <f t="shared" si="432"/>
        <v>-110.61722636185414</v>
      </c>
      <c r="AY463" s="299">
        <f t="shared" si="402"/>
        <v>69.382773638145864</v>
      </c>
      <c r="BB463" s="270">
        <f t="shared" si="381"/>
        <v>-50.11623530356264</v>
      </c>
      <c r="BC463" s="270">
        <f t="shared" si="382"/>
        <v>-63.546073504042226</v>
      </c>
      <c r="BD463" s="286"/>
      <c r="BE463" s="270">
        <f t="shared" si="433"/>
        <v>25.952291357219337</v>
      </c>
      <c r="BF463" s="581">
        <f t="shared" si="434"/>
        <v>-47.071152857811889</v>
      </c>
      <c r="BI463" s="286"/>
      <c r="BJ463" s="286"/>
      <c r="BL463" s="253">
        <f t="shared" si="403"/>
        <v>0</v>
      </c>
      <c r="BM463" s="253">
        <f t="shared" si="383"/>
        <v>0</v>
      </c>
      <c r="BN463" s="253">
        <f t="shared" si="404"/>
        <v>0</v>
      </c>
      <c r="BO463" s="253">
        <f t="shared" si="405"/>
        <v>0</v>
      </c>
    </row>
    <row r="464" spans="4:67" ht="13.6" thickBot="1" x14ac:dyDescent="0.25">
      <c r="D464" s="280">
        <v>52182.25</v>
      </c>
      <c r="E464" s="273" t="str">
        <f t="shared" si="384"/>
        <v>0.59016734369203i</v>
      </c>
      <c r="F464" s="579" t="str">
        <f t="shared" si="406"/>
        <v>0.002-0.0469228058588726i</v>
      </c>
      <c r="G464" s="270" t="str">
        <f t="shared" si="407"/>
        <v>0.002-0.0469228058588726i</v>
      </c>
      <c r="H464" s="271" t="str">
        <f t="shared" si="408"/>
        <v>0.00309497821158864-0.0468033899380546i</v>
      </c>
      <c r="I464" s="271" t="str">
        <f t="shared" si="409"/>
        <v>0.0130949782115886-0.0468033899380546i</v>
      </c>
      <c r="J464" s="270" t="str">
        <f t="shared" si="410"/>
        <v>0.00372909536697445-0.0237526661309738i</v>
      </c>
      <c r="K464" s="271" t="str">
        <f t="shared" si="385"/>
        <v>0.931239432967286-0.411897922733131i</v>
      </c>
      <c r="L464" s="580"/>
      <c r="M464" s="580" t="str">
        <f t="shared" si="386"/>
        <v>-0.104903601559601-27.7716467921714i</v>
      </c>
      <c r="N464" s="270" t="str">
        <f t="shared" si="387"/>
        <v>-6.74534436783637-20.8287350941286i</v>
      </c>
      <c r="O464" s="581" t="str">
        <f t="shared" si="388"/>
        <v>-4.51791676149505-9.84394510970929i</v>
      </c>
      <c r="P464" s="582" t="str">
        <f t="shared" si="389"/>
        <v>-0.51989202305208+0.0825475731682087i</v>
      </c>
      <c r="Q464" s="583" t="str">
        <f t="shared" si="390"/>
        <v>-0.474712855437128+0.180987024265301i</v>
      </c>
      <c r="R464" s="581" t="str">
        <f t="shared" si="411"/>
        <v>-0.516559055626404-1.15603869692525i</v>
      </c>
      <c r="S464" s="253" t="str">
        <f t="shared" si="412"/>
        <v>46.8759266722281-19.8112893001944i</v>
      </c>
      <c r="T464" s="253" t="str">
        <f t="shared" si="413"/>
        <v>13.4478739775908-14.5973356159587i</v>
      </c>
      <c r="U464" s="253" t="str">
        <f t="shared" si="414"/>
        <v>-0.641583913937533-0.674584525289638i</v>
      </c>
      <c r="V464" s="582" t="str">
        <f t="shared" si="391"/>
        <v>6000</v>
      </c>
      <c r="W464" s="584" t="str">
        <f t="shared" si="392"/>
        <v>1+183635.159180226i</v>
      </c>
      <c r="X464" s="585">
        <f t="shared" si="393"/>
        <v>183635.15918294882</v>
      </c>
      <c r="Y464" s="586">
        <f t="shared" si="394"/>
        <v>1.5707908812146252</v>
      </c>
      <c r="Z464" s="273" t="str">
        <f t="shared" si="395"/>
        <v>1+27.5411427056281i</v>
      </c>
      <c r="AA464" s="585">
        <f t="shared" si="396"/>
        <v>27.559291382975942</v>
      </c>
      <c r="AB464" s="586">
        <f t="shared" si="397"/>
        <v>1.5345029564527304</v>
      </c>
      <c r="AC464" s="584" t="str">
        <f t="shared" si="398"/>
        <v>1+1.33148914061476i</v>
      </c>
      <c r="AD464" s="585">
        <f t="shared" si="399"/>
        <v>1.6651916801302582</v>
      </c>
      <c r="AE464" s="586">
        <f t="shared" si="400"/>
        <v>0.92663072049914508</v>
      </c>
      <c r="AF464" s="580" t="str">
        <f t="shared" si="415"/>
        <v>0.308838638781625-0.443883875081278i</v>
      </c>
      <c r="AG464" s="270">
        <f t="shared" si="416"/>
        <v>0.54075336278349551</v>
      </c>
      <c r="AH464" s="581">
        <f t="shared" si="417"/>
        <v>-0.96291864526103932</v>
      </c>
      <c r="AI464" s="582" t="str">
        <f t="shared" si="401"/>
        <v>4000</v>
      </c>
      <c r="AJ464" s="584" t="str">
        <f t="shared" si="418"/>
        <v>1+14426.8177667548i</v>
      </c>
      <c r="AK464" s="585">
        <f t="shared" si="419"/>
        <v>14426.817801412479</v>
      </c>
      <c r="AL464" s="586">
        <f t="shared" si="420"/>
        <v>1.5707270114396625</v>
      </c>
      <c r="AM464" s="273" t="str">
        <f t="shared" si="421"/>
        <v>1+0.504920949603181i</v>
      </c>
      <c r="AN464" s="585">
        <f t="shared" si="422"/>
        <v>1.1202433509502201</v>
      </c>
      <c r="AO464" s="586">
        <f t="shared" si="423"/>
        <v>0.46757661465044792</v>
      </c>
      <c r="AP464" s="584" t="str">
        <f t="shared" si="424"/>
        <v>1+0.00365298700952255i</v>
      </c>
      <c r="AQ464" s="585">
        <f t="shared" si="425"/>
        <v>1.0000066721347871</v>
      </c>
      <c r="AR464" s="586">
        <f t="shared" si="426"/>
        <v>3.6529707607839707E-3</v>
      </c>
      <c r="AS464" s="580" t="str">
        <f t="shared" si="427"/>
        <v>0.138999666199736-0.277759480212706i</v>
      </c>
      <c r="AT464" s="270">
        <f t="shared" si="428"/>
        <v>0.31059819067674982</v>
      </c>
      <c r="AU464" s="581">
        <f t="shared" si="429"/>
        <v>-1.1068033675499998</v>
      </c>
      <c r="AV464" s="580" t="str">
        <f t="shared" si="430"/>
        <v>-0.0218529835919787-0.0576429926400537i</v>
      </c>
      <c r="AW464" s="270">
        <f t="shared" si="431"/>
        <v>-24.201858332850911</v>
      </c>
      <c r="AX464" s="581">
        <f t="shared" si="432"/>
        <v>-110.76217429091349</v>
      </c>
      <c r="AY464" s="299">
        <f t="shared" si="402"/>
        <v>69.237825709086508</v>
      </c>
      <c r="BB464" s="270">
        <f t="shared" si="381"/>
        <v>-50.156021569791982</v>
      </c>
      <c r="BC464" s="270">
        <f t="shared" si="382"/>
        <v>-63.415161711481801</v>
      </c>
      <c r="BD464" s="286"/>
      <c r="BE464" s="270">
        <f t="shared" si="433"/>
        <v>25.954163236941067</v>
      </c>
      <c r="BF464" s="581">
        <f t="shared" si="434"/>
        <v>-47.347012579431706</v>
      </c>
      <c r="BI464" s="286"/>
      <c r="BJ464" s="286"/>
      <c r="BL464" s="253">
        <f t="shared" si="403"/>
        <v>0</v>
      </c>
      <c r="BM464" s="253">
        <f t="shared" si="383"/>
        <v>0</v>
      </c>
      <c r="BN464" s="253">
        <f t="shared" si="404"/>
        <v>0</v>
      </c>
      <c r="BO464" s="253">
        <f t="shared" si="405"/>
        <v>0</v>
      </c>
    </row>
    <row r="465" spans="4:67" ht="13.6" thickBot="1" x14ac:dyDescent="0.25">
      <c r="D465" s="280">
        <v>52481</v>
      </c>
      <c r="E465" s="273" t="str">
        <f t="shared" si="384"/>
        <v>0.593546126590965i</v>
      </c>
      <c r="F465" s="579" t="str">
        <f t="shared" si="406"/>
        <v>0.002-0.0466556960810418i</v>
      </c>
      <c r="G465" s="270" t="str">
        <f t="shared" si="407"/>
        <v>0.002-0.0466556960810418i</v>
      </c>
      <c r="H465" s="271" t="str">
        <f t="shared" si="408"/>
        <v>0.00308253136503995-0.0465372500077701i</v>
      </c>
      <c r="I465" s="271" t="str">
        <f t="shared" si="409"/>
        <v>0.01308253136504-0.0465372500077701i</v>
      </c>
      <c r="J465" s="270" t="str">
        <f t="shared" si="410"/>
        <v>0.00372553848591532-0.0236203851635682i</v>
      </c>
      <c r="K465" s="271" t="str">
        <f t="shared" si="385"/>
        <v>0.930449853261281-0.414256090585543i</v>
      </c>
      <c r="L465" s="580"/>
      <c r="M465" s="580" t="str">
        <f t="shared" si="386"/>
        <v>-0.103832231355349-27.6063396973118i</v>
      </c>
      <c r="N465" s="270" t="str">
        <f t="shared" si="387"/>
        <v>-6.74454084018318-20.7047547729839i</v>
      </c>
      <c r="O465" s="581" t="str">
        <f t="shared" si="388"/>
        <v>-4.51495961507019-9.77956858372599i</v>
      </c>
      <c r="P465" s="582" t="str">
        <f t="shared" si="389"/>
        <v>-0.514181328925037+0.0821722916483522i</v>
      </c>
      <c r="Q465" s="583" t="str">
        <f t="shared" si="390"/>
        <v>-0.469031732774333+0.179967977485612i</v>
      </c>
      <c r="R465" s="581" t="str">
        <f t="shared" si="411"/>
        <v>-0.516376868291964-1.14817882852241i</v>
      </c>
      <c r="S465" s="253" t="str">
        <f t="shared" si="412"/>
        <v>46.8146119471501-19.9263768400969i</v>
      </c>
      <c r="T465" s="253" t="str">
        <f t="shared" si="413"/>
        <v>13.3803550077267-14.6650422907063i</v>
      </c>
      <c r="U465" s="253" t="str">
        <f t="shared" si="414"/>
        <v>-0.641225375470435-0.667890379018036i</v>
      </c>
      <c r="V465" s="582" t="str">
        <f t="shared" si="391"/>
        <v>6000</v>
      </c>
      <c r="W465" s="584" t="str">
        <f t="shared" si="392"/>
        <v>1+184686.493758653i</v>
      </c>
      <c r="X465" s="585">
        <f t="shared" si="393"/>
        <v>184686.4937613603</v>
      </c>
      <c r="Y465" s="586">
        <f t="shared" si="394"/>
        <v>1.5707909122137886</v>
      </c>
      <c r="Z465" s="273" t="str">
        <f t="shared" si="395"/>
        <v>1+27.6988192409117i</v>
      </c>
      <c r="AA465" s="585">
        <f t="shared" si="396"/>
        <v>27.716864673709043</v>
      </c>
      <c r="AB465" s="586">
        <f t="shared" si="397"/>
        <v>1.5347093779498018</v>
      </c>
      <c r="AC465" s="584" t="str">
        <f t="shared" si="398"/>
        <v>1+1.33911208482968i</v>
      </c>
      <c r="AD465" s="585">
        <f t="shared" si="399"/>
        <v>1.6712932644323355</v>
      </c>
      <c r="AE465" s="586">
        <f t="shared" si="400"/>
        <v>0.9293698110480485</v>
      </c>
      <c r="AF465" s="580" t="str">
        <f t="shared" si="415"/>
        <v>0.306587728272373-0.443037946244651i</v>
      </c>
      <c r="AG465" s="270">
        <f t="shared" si="416"/>
        <v>0.53877514506507496</v>
      </c>
      <c r="AH465" s="581">
        <f t="shared" si="417"/>
        <v>-0.96545134531203591</v>
      </c>
      <c r="AI465" s="582" t="str">
        <f t="shared" si="401"/>
        <v>4000</v>
      </c>
      <c r="AJ465" s="584" t="str">
        <f t="shared" si="418"/>
        <v>1+14509.4131283541i</v>
      </c>
      <c r="AK465" s="585">
        <f t="shared" si="419"/>
        <v>14509.413162814486</v>
      </c>
      <c r="AL465" s="586">
        <f t="shared" si="420"/>
        <v>1.5707274060198404</v>
      </c>
      <c r="AM465" s="273" t="str">
        <f t="shared" si="421"/>
        <v>1+0.507811686083382i</v>
      </c>
      <c r="AN465" s="585">
        <f t="shared" si="422"/>
        <v>1.121549244805081</v>
      </c>
      <c r="AO465" s="586">
        <f t="shared" si="423"/>
        <v>0.46987741091788449</v>
      </c>
      <c r="AP465" s="584" t="str">
        <f t="shared" si="424"/>
        <v>1+0.00367390082349368i</v>
      </c>
      <c r="AQ465" s="585">
        <f t="shared" si="425"/>
        <v>1.0000067487508575</v>
      </c>
      <c r="AR465" s="586">
        <f t="shared" si="426"/>
        <v>3.6738842940775445E-3</v>
      </c>
      <c r="AS465" s="580" t="str">
        <f t="shared" si="427"/>
        <v>0.138999426730244-0.276184120889308i</v>
      </c>
      <c r="AT465" s="270">
        <f t="shared" si="428"/>
        <v>0.30919008597097092</v>
      </c>
      <c r="AU465" s="581">
        <f t="shared" si="429"/>
        <v>-1.1045238793960332</v>
      </c>
      <c r="AV465" s="580" t="str">
        <f t="shared" si="430"/>
        <v>-0.0219039013734208-0.0573387405637881i</v>
      </c>
      <c r="AW465" s="270">
        <f t="shared" si="431"/>
        <v>-24.239453482567363</v>
      </c>
      <c r="AX465" s="581">
        <f t="shared" si="432"/>
        <v>-110.9072950539519</v>
      </c>
      <c r="AY465" s="299">
        <f t="shared" si="402"/>
        <v>69.092704946048102</v>
      </c>
      <c r="BB465" s="270">
        <f t="shared" si="381"/>
        <v>-50.195488799416339</v>
      </c>
      <c r="BC465" s="270">
        <f t="shared" si="382"/>
        <v>-63.28455666080945</v>
      </c>
      <c r="BD465" s="286"/>
      <c r="BE465" s="270">
        <f t="shared" si="433"/>
        <v>25.956035316848975</v>
      </c>
      <c r="BF465" s="581">
        <f t="shared" si="434"/>
        <v>-47.622738393142484</v>
      </c>
      <c r="BI465" s="286"/>
      <c r="BJ465" s="286"/>
      <c r="BL465" s="253">
        <f t="shared" si="403"/>
        <v>0</v>
      </c>
      <c r="BM465" s="253">
        <f t="shared" si="383"/>
        <v>0</v>
      </c>
      <c r="BN465" s="253">
        <f t="shared" si="404"/>
        <v>0</v>
      </c>
      <c r="BO465" s="253">
        <f t="shared" si="405"/>
        <v>0</v>
      </c>
    </row>
    <row r="466" spans="4:67" ht="13.6" thickBot="1" x14ac:dyDescent="0.25">
      <c r="D466" s="280">
        <v>52786.5</v>
      </c>
      <c r="E466" s="273" t="str">
        <f t="shared" si="384"/>
        <v>0.597001250191383i</v>
      </c>
      <c r="F466" s="579" t="str">
        <f t="shared" si="406"/>
        <v>0.002-0.0463856778916798i</v>
      </c>
      <c r="G466" s="270" t="str">
        <f t="shared" si="407"/>
        <v>0.002-0.0463856778916798i</v>
      </c>
      <c r="H466" s="271" t="str">
        <f t="shared" si="408"/>
        <v>0.00307002105639551-0.046268207180578i</v>
      </c>
      <c r="I466" s="271" t="str">
        <f t="shared" si="409"/>
        <v>0.0130700210563955-0.046268207180578i</v>
      </c>
      <c r="J466" s="270" t="str">
        <f t="shared" si="410"/>
        <v>0.00372195356839267-0.0234866787263213i</v>
      </c>
      <c r="K466" s="271" t="str">
        <f t="shared" si="385"/>
        <v>0.929637772221661-0.416667539217883i</v>
      </c>
      <c r="L466" s="580"/>
      <c r="M466" s="580" t="str">
        <f t="shared" si="386"/>
        <v>-0.102753347854915-27.4393618818774i</v>
      </c>
      <c r="N466" s="270" t="str">
        <f t="shared" si="387"/>
        <v>-6.74373167755786-20.579521411408i</v>
      </c>
      <c r="O466" s="581" t="str">
        <f t="shared" si="388"/>
        <v>-4.5119682442353-9.71450962429968i</v>
      </c>
      <c r="P466" s="582" t="str">
        <f t="shared" si="389"/>
        <v>-0.508444463912759+0.0817918361743139i</v>
      </c>
      <c r="Q466" s="583" t="str">
        <f t="shared" si="390"/>
        <v>-0.463324781470407+0.178936932417311i</v>
      </c>
      <c r="R466" s="581" t="str">
        <f t="shared" si="411"/>
        <v>-0.516193727061911-1.14023358000554i</v>
      </c>
      <c r="S466" s="253" t="str">
        <f t="shared" si="412"/>
        <v>46.7515394330026-20.0438102708484i</v>
      </c>
      <c r="T466" s="253" t="str">
        <f t="shared" si="413"/>
        <v>13.3109948412601-14.733924991835i</v>
      </c>
      <c r="U466" s="253" t="str">
        <f t="shared" si="414"/>
        <v>-0.640847259661077-0.661109327063314i</v>
      </c>
      <c r="V466" s="582" t="str">
        <f t="shared" si="391"/>
        <v>6000</v>
      </c>
      <c r="W466" s="584" t="str">
        <f t="shared" si="392"/>
        <v>1+185761.582340106i</v>
      </c>
      <c r="X466" s="585">
        <f t="shared" si="393"/>
        <v>185761.58234279763</v>
      </c>
      <c r="Y466" s="586">
        <f t="shared" si="394"/>
        <v>1.5707909435504852</v>
      </c>
      <c r="Z466" s="273" t="str">
        <f t="shared" si="395"/>
        <v>1+27.8600583422646i</v>
      </c>
      <c r="AA466" s="585">
        <f t="shared" si="396"/>
        <v>27.877999405165131</v>
      </c>
      <c r="AB466" s="586">
        <f t="shared" si="397"/>
        <v>1.534918050184146</v>
      </c>
      <c r="AC466" s="584" t="str">
        <f t="shared" si="398"/>
        <v>1+1.34690726293061i</v>
      </c>
      <c r="AD466" s="585">
        <f t="shared" si="399"/>
        <v>1.6775455805834985</v>
      </c>
      <c r="AE466" s="586">
        <f t="shared" si="400"/>
        <v>0.93215016194300171</v>
      </c>
      <c r="AF466" s="580" t="str">
        <f t="shared" si="415"/>
        <v>0.304306643500811-0.442167450563878i</v>
      </c>
      <c r="AG466" s="270">
        <f t="shared" si="416"/>
        <v>0.53676306469138613</v>
      </c>
      <c r="AH466" s="581">
        <f t="shared" si="417"/>
        <v>-0.96802305530933963</v>
      </c>
      <c r="AI466" s="582" t="str">
        <f t="shared" si="401"/>
        <v>4000</v>
      </c>
      <c r="AJ466" s="584" t="str">
        <f t="shared" si="418"/>
        <v>1+14593.8746613034i</v>
      </c>
      <c r="AK466" s="585">
        <f t="shared" si="419"/>
        <v>14593.874695564347</v>
      </c>
      <c r="AL466" s="586">
        <f t="shared" si="420"/>
        <v>1.5707278048963849</v>
      </c>
      <c r="AM466" s="273" t="str">
        <f t="shared" si="421"/>
        <v>1+0.51076773627485i</v>
      </c>
      <c r="AN466" s="585">
        <f t="shared" si="422"/>
        <v>1.1228907695850627</v>
      </c>
      <c r="AO466" s="586">
        <f t="shared" si="423"/>
        <v>0.47222464468053704</v>
      </c>
      <c r="AP466" s="584" t="str">
        <f t="shared" si="424"/>
        <v>1+0.00369528716715285i</v>
      </c>
      <c r="AQ466" s="585">
        <f t="shared" si="425"/>
        <v>1.0000068275503162</v>
      </c>
      <c r="AR466" s="586">
        <f t="shared" si="426"/>
        <v>3.695270347393859E-3</v>
      </c>
      <c r="AS466" s="580" t="str">
        <f t="shared" si="427"/>
        <v>0.138999185544214-0.274591642365598i</v>
      </c>
      <c r="AT466" s="270">
        <f t="shared" si="428"/>
        <v>0.30776832786853053</v>
      </c>
      <c r="AU466" s="581">
        <f t="shared" si="429"/>
        <v>-1.1021984305632415</v>
      </c>
      <c r="AV466" s="580" t="str">
        <f t="shared" si="430"/>
        <v>-0.0219559522028112-0.0570309150871622i</v>
      </c>
      <c r="AW466" s="270">
        <f t="shared" si="431"/>
        <v>-24.277571731939389</v>
      </c>
      <c r="AX466" s="581">
        <f t="shared" si="432"/>
        <v>-111.05587428709848</v>
      </c>
      <c r="AY466" s="299">
        <f t="shared" si="402"/>
        <v>68.944125712901524</v>
      </c>
      <c r="BB466" s="270">
        <f t="shared" si="381"/>
        <v>-50.235521500335203</v>
      </c>
      <c r="BC466" s="270">
        <f t="shared" si="382"/>
        <v>-63.151318257216865</v>
      </c>
      <c r="BD466" s="286"/>
      <c r="BE466" s="270">
        <f t="shared" si="433"/>
        <v>25.95794976839581</v>
      </c>
      <c r="BF466" s="581">
        <f t="shared" si="434"/>
        <v>-47.904556029881576</v>
      </c>
      <c r="BI466" s="286"/>
      <c r="BJ466" s="286"/>
      <c r="BL466" s="253">
        <f t="shared" si="403"/>
        <v>0</v>
      </c>
      <c r="BM466" s="253">
        <f t="shared" si="383"/>
        <v>0</v>
      </c>
      <c r="BN466" s="253">
        <f t="shared" si="404"/>
        <v>0</v>
      </c>
      <c r="BO466" s="253">
        <f t="shared" si="405"/>
        <v>0</v>
      </c>
    </row>
    <row r="467" spans="4:67" ht="13.6" thickBot="1" x14ac:dyDescent="0.25">
      <c r="D467" s="280">
        <v>53092</v>
      </c>
      <c r="E467" s="273" t="str">
        <f t="shared" si="384"/>
        <v>0.600456373791802i</v>
      </c>
      <c r="F467" s="579" t="str">
        <f t="shared" si="406"/>
        <v>0.002-0.0461187671594432i</v>
      </c>
      <c r="G467" s="270" t="str">
        <f t="shared" si="407"/>
        <v>0.002-0.0461187671594432i</v>
      </c>
      <c r="H467" s="271" t="str">
        <f t="shared" si="408"/>
        <v>0.0030577259321416-0.0460022556286635i</v>
      </c>
      <c r="I467" s="271" t="str">
        <f t="shared" si="409"/>
        <v>0.0130577259321416-0.0460022556286635i</v>
      </c>
      <c r="J467" s="270" t="str">
        <f t="shared" si="410"/>
        <v>0.00371842030843709-0.0233545259602345i</v>
      </c>
      <c r="K467" s="271" t="str">
        <f t="shared" si="385"/>
        <v>0.92882097765208-0.419078987850224i</v>
      </c>
      <c r="L467" s="580"/>
      <c r="M467" s="580" t="str">
        <f t="shared" si="386"/>
        <v>-0.101691021519214-27.2744325417459i</v>
      </c>
      <c r="N467" s="270" t="str">
        <f t="shared" si="387"/>
        <v>-6.74293493280608-20.4558244063094i</v>
      </c>
      <c r="O467" s="581" t="str">
        <f t="shared" si="388"/>
        <v>-4.50900897623072-9.65021690401567i</v>
      </c>
      <c r="P467" s="582" t="str">
        <f t="shared" si="389"/>
        <v>-0.502809148327767+0.0814146960381477i</v>
      </c>
      <c r="Q467" s="583" t="str">
        <f t="shared" si="390"/>
        <v>-0.457719058565458+0.177916865078304i</v>
      </c>
      <c r="R467" s="581" t="str">
        <f t="shared" si="411"/>
        <v>-0.516013711475444-1.13237983283934i</v>
      </c>
      <c r="S467" s="253" t="str">
        <f t="shared" si="412"/>
        <v>46.688090736296-20.1609860241809i</v>
      </c>
      <c r="T467" s="253" t="str">
        <f t="shared" si="413"/>
        <v>13.2413171585276-14.8024485810715i</v>
      </c>
      <c r="U467" s="253" t="str">
        <f t="shared" si="414"/>
        <v>-0.640457704705258-0.65439228767233i</v>
      </c>
      <c r="V467" s="582" t="str">
        <f t="shared" si="391"/>
        <v>6000</v>
      </c>
      <c r="W467" s="584" t="str">
        <f t="shared" si="392"/>
        <v>1+186836.67092156i</v>
      </c>
      <c r="X467" s="585">
        <f t="shared" si="393"/>
        <v>186836.67092423615</v>
      </c>
      <c r="Y467" s="586">
        <f t="shared" si="394"/>
        <v>1.5707909745265487</v>
      </c>
      <c r="Z467" s="273" t="str">
        <f t="shared" si="395"/>
        <v>1+28.0212974436174i</v>
      </c>
      <c r="AA467" s="585">
        <f t="shared" si="396"/>
        <v>28.039135336591229</v>
      </c>
      <c r="AB467" s="586">
        <f t="shared" si="397"/>
        <v>1.5351243240228389</v>
      </c>
      <c r="AC467" s="584" t="str">
        <f t="shared" si="398"/>
        <v>1+1.35470244103156i</v>
      </c>
      <c r="AD467" s="585">
        <f t="shared" si="399"/>
        <v>1.6838107683872519</v>
      </c>
      <c r="AE467" s="586">
        <f t="shared" si="400"/>
        <v>0.93490984356641449</v>
      </c>
      <c r="AF467" s="580" t="str">
        <f t="shared" si="415"/>
        <v>0.302046304109753-0.441291659249443i</v>
      </c>
      <c r="AG467" s="270">
        <f t="shared" si="416"/>
        <v>0.53476190809507729</v>
      </c>
      <c r="AH467" s="581">
        <f t="shared" si="417"/>
        <v>-0.97057649407012447</v>
      </c>
      <c r="AI467" s="582" t="str">
        <f t="shared" si="401"/>
        <v>4000</v>
      </c>
      <c r="AJ467" s="584" t="str">
        <f t="shared" si="418"/>
        <v>1+14678.3361942527i</v>
      </c>
      <c r="AK467" s="585">
        <f t="shared" si="419"/>
        <v>14678.336228316504</v>
      </c>
      <c r="AL467" s="586">
        <f t="shared" si="420"/>
        <v>1.5707281991825284</v>
      </c>
      <c r="AM467" s="273" t="str">
        <f t="shared" si="421"/>
        <v>1+0.51372378646632i</v>
      </c>
      <c r="AN467" s="585">
        <f t="shared" si="422"/>
        <v>1.1242384661544422</v>
      </c>
      <c r="AO467" s="586">
        <f t="shared" si="423"/>
        <v>0.47456626376010813</v>
      </c>
      <c r="AP467" s="584" t="str">
        <f t="shared" si="424"/>
        <v>1+0.00371667351081204i</v>
      </c>
      <c r="AQ467" s="585">
        <f t="shared" si="425"/>
        <v>1.0000069068071411</v>
      </c>
      <c r="AR467" s="586">
        <f t="shared" si="426"/>
        <v>3.7166563973300162E-3</v>
      </c>
      <c r="AS467" s="580" t="str">
        <f t="shared" si="427"/>
        <v>0.138998948005531-0.273017524805973i</v>
      </c>
      <c r="AT467" s="270">
        <f t="shared" si="428"/>
        <v>0.30636461348828192</v>
      </c>
      <c r="AU467" s="581">
        <f t="shared" si="429"/>
        <v>-1.0998785918197498</v>
      </c>
      <c r="AV467" s="580" t="str">
        <f t="shared" si="430"/>
        <v>-0.0220079871742891-0.0567263641646697i</v>
      </c>
      <c r="AW467" s="270">
        <f t="shared" si="431"/>
        <v>-24.315363825189372</v>
      </c>
      <c r="AX467" s="581">
        <f t="shared" si="432"/>
        <v>-111.20463595101269</v>
      </c>
      <c r="AY467" s="299">
        <f t="shared" si="402"/>
        <v>68.79536404898731</v>
      </c>
      <c r="BB467" s="270">
        <f t="shared" si="381"/>
        <v>-50.275227982765536</v>
      </c>
      <c r="BC467" s="270">
        <f t="shared" si="382"/>
        <v>-63.018401288063856</v>
      </c>
      <c r="BD467" s="286"/>
      <c r="BE467" s="270">
        <f t="shared" si="433"/>
        <v>25.959864157576153</v>
      </c>
      <c r="BF467" s="581">
        <f t="shared" si="434"/>
        <v>-48.186234662948806</v>
      </c>
      <c r="BI467" s="286"/>
      <c r="BJ467" s="286"/>
      <c r="BL467" s="253">
        <f t="shared" si="403"/>
        <v>0</v>
      </c>
      <c r="BM467" s="253">
        <f t="shared" si="383"/>
        <v>0</v>
      </c>
      <c r="BN467" s="253">
        <f t="shared" si="404"/>
        <v>0</v>
      </c>
      <c r="BO467" s="253">
        <f t="shared" si="405"/>
        <v>0</v>
      </c>
    </row>
    <row r="468" spans="4:67" ht="13.6" thickBot="1" x14ac:dyDescent="0.25">
      <c r="D468" s="280">
        <v>53397.5</v>
      </c>
      <c r="E468" s="273" t="str">
        <f t="shared" si="384"/>
        <v>0.60391149739222i</v>
      </c>
      <c r="F468" s="579" t="str">
        <f t="shared" si="406"/>
        <v>0.002-0.0458549105487928i</v>
      </c>
      <c r="G468" s="270" t="str">
        <f t="shared" si="407"/>
        <v>0.002-0.0458549105487928i</v>
      </c>
      <c r="H468" s="271" t="str">
        <f t="shared" si="408"/>
        <v>0.00304564108622139-0.0457393424065999i</v>
      </c>
      <c r="I468" s="271" t="str">
        <f t="shared" si="409"/>
        <v>0.0130456410862214-0.0457393424065999i</v>
      </c>
      <c r="J468" s="270" t="str">
        <f t="shared" si="410"/>
        <v>0.00371493747752331-0.0232239001875295i</v>
      </c>
      <c r="K468" s="271" t="str">
        <f t="shared" si="385"/>
        <v>0.927999469552537-0.421490436482565i</v>
      </c>
      <c r="L468" s="580"/>
      <c r="M468" s="580" t="str">
        <f t="shared" si="386"/>
        <v>-0.100644934216907-27.1115135345251i</v>
      </c>
      <c r="N468" s="270" t="str">
        <f t="shared" si="387"/>
        <v>-6.74215036732935-20.3336351508938i</v>
      </c>
      <c r="O468" s="581" t="str">
        <f t="shared" si="388"/>
        <v>-4.50608097837731-9.58667619716492i</v>
      </c>
      <c r="P468" s="582" t="str">
        <f t="shared" si="389"/>
        <v>-0.497272980272688+0.0810408439038315i</v>
      </c>
      <c r="Q468" s="583" t="str">
        <f t="shared" si="390"/>
        <v>-0.452212170488914+0.17690760587548i</v>
      </c>
      <c r="R468" s="581" t="str">
        <f t="shared" si="411"/>
        <v>-0.515836750875378-1.12461588247703i</v>
      </c>
      <c r="S468" s="253" t="str">
        <f t="shared" si="412"/>
        <v>46.6242662767179-20.2779036440037i</v>
      </c>
      <c r="T468" s="253" t="str">
        <f t="shared" si="413"/>
        <v>13.171323655857-14.8706116342929i</v>
      </c>
      <c r="U468" s="253" t="str">
        <f t="shared" si="414"/>
        <v>-0.640056872850291-0.647738228414035i</v>
      </c>
      <c r="V468" s="582" t="str">
        <f t="shared" si="391"/>
        <v>6000</v>
      </c>
      <c r="W468" s="584" t="str">
        <f t="shared" si="392"/>
        <v>1+187911.759503014i</v>
      </c>
      <c r="X468" s="585">
        <f t="shared" si="393"/>
        <v>187911.75950567483</v>
      </c>
      <c r="Y468" s="586">
        <f t="shared" si="394"/>
        <v>1.5707910051481693</v>
      </c>
      <c r="Z468" s="273" t="str">
        <f t="shared" si="395"/>
        <v>1+28.1825365449703i</v>
      </c>
      <c r="AA468" s="585">
        <f t="shared" si="396"/>
        <v>28.200272447417714</v>
      </c>
      <c r="AB468" s="586">
        <f t="shared" si="397"/>
        <v>1.5353282405616659</v>
      </c>
      <c r="AC468" s="584" t="str">
        <f t="shared" si="398"/>
        <v>1+1.3624976191325i</v>
      </c>
      <c r="AD468" s="585">
        <f t="shared" si="399"/>
        <v>1.6900886846972651</v>
      </c>
      <c r="AE468" s="586">
        <f t="shared" si="400"/>
        <v>0.93764904398008897</v>
      </c>
      <c r="AF468" s="580" t="str">
        <f t="shared" si="415"/>
        <v>0.299806539755354-0.440410788216806i</v>
      </c>
      <c r="AG468" s="270">
        <f t="shared" si="416"/>
        <v>0.53277164306842295</v>
      </c>
      <c r="AH468" s="581">
        <f t="shared" si="417"/>
        <v>-0.97311180856659374</v>
      </c>
      <c r="AI468" s="582" t="str">
        <f t="shared" si="401"/>
        <v>4000</v>
      </c>
      <c r="AJ468" s="584" t="str">
        <f t="shared" si="418"/>
        <v>1+14762.797727202i</v>
      </c>
      <c r="AK468" s="585">
        <f t="shared" si="419"/>
        <v>14762.797761070917</v>
      </c>
      <c r="AL468" s="586">
        <f t="shared" si="420"/>
        <v>1.5707285889570592</v>
      </c>
      <c r="AM468" s="273" t="str">
        <f t="shared" si="421"/>
        <v>1+0.516679836657788i</v>
      </c>
      <c r="AN468" s="585">
        <f t="shared" si="422"/>
        <v>1.1255923123443579</v>
      </c>
      <c r="AO468" s="586">
        <f t="shared" si="423"/>
        <v>0.47690226269149372</v>
      </c>
      <c r="AP468" s="584" t="str">
        <f t="shared" si="424"/>
        <v>1+0.00373805985447121i</v>
      </c>
      <c r="AQ468" s="585">
        <f t="shared" si="425"/>
        <v>1.0000069865213321</v>
      </c>
      <c r="AR468" s="586">
        <f t="shared" si="426"/>
        <v>3.7380424438664154E-3</v>
      </c>
      <c r="AS468" s="580" t="str">
        <f t="shared" si="427"/>
        <v>0.13899871402806-0.271461453067866i</v>
      </c>
      <c r="AT468" s="270">
        <f t="shared" si="428"/>
        <v>0.30497862712519974</v>
      </c>
      <c r="AU468" s="581">
        <f t="shared" si="429"/>
        <v>-1.0975643687094336</v>
      </c>
      <c r="AV468" s="580" t="str">
        <f t="shared" si="430"/>
        <v>-0.0220600079204158-0.0564250255242352i</v>
      </c>
      <c r="AW468" s="270">
        <f t="shared" si="431"/>
        <v>-24.352833552366114</v>
      </c>
      <c r="AX468" s="581">
        <f t="shared" si="432"/>
        <v>-111.35358084808912</v>
      </c>
      <c r="AY468" s="299">
        <f t="shared" si="402"/>
        <v>68.646419151910877</v>
      </c>
      <c r="BB468" s="270">
        <f t="shared" si="381"/>
        <v>-50.314611898102029</v>
      </c>
      <c r="BC468" s="270">
        <f t="shared" si="382"/>
        <v>-62.885806070991102</v>
      </c>
      <c r="BD468" s="286"/>
      <c r="BE468" s="270">
        <f t="shared" si="433"/>
        <v>25.961778345735915</v>
      </c>
      <c r="BF468" s="581">
        <f t="shared" si="434"/>
        <v>-48.467774777097993</v>
      </c>
      <c r="BI468" s="286"/>
      <c r="BJ468" s="286"/>
      <c r="BL468" s="253">
        <f t="shared" si="403"/>
        <v>0</v>
      </c>
      <c r="BM468" s="253">
        <f t="shared" si="383"/>
        <v>0</v>
      </c>
      <c r="BN468" s="253">
        <f t="shared" si="404"/>
        <v>0</v>
      </c>
      <c r="BO468" s="253">
        <f t="shared" si="405"/>
        <v>0</v>
      </c>
    </row>
    <row r="469" spans="4:67" ht="13.6" thickBot="1" x14ac:dyDescent="0.25">
      <c r="D469" s="280">
        <v>53703</v>
      </c>
      <c r="E469" s="273" t="str">
        <f t="shared" si="384"/>
        <v>0.607366620992638i</v>
      </c>
      <c r="F469" s="579" t="str">
        <f t="shared" si="406"/>
        <v>0.002-0.0455940559378278i</v>
      </c>
      <c r="G469" s="270" t="str">
        <f t="shared" si="407"/>
        <v>0.002-0.0455940559378278i</v>
      </c>
      <c r="H469" s="271" t="str">
        <f t="shared" si="408"/>
        <v>0.00303376175157964-0.0454794157705555i</v>
      </c>
      <c r="I469" s="271" t="str">
        <f t="shared" si="409"/>
        <v>0.0130337617515796-0.0454794157705555i</v>
      </c>
      <c r="J469" s="270" t="str">
        <f t="shared" si="410"/>
        <v>0.00371150388208641-0.0230947753369658i</v>
      </c>
      <c r="K469" s="271" t="str">
        <f t="shared" si="385"/>
        <v>0.927173247923032-0.423901885114906i</v>
      </c>
      <c r="L469" s="580"/>
      <c r="M469" s="580" t="str">
        <f t="shared" si="386"/>
        <v>-0.0996147746859199-26.9505676734777i</v>
      </c>
      <c r="N469" s="270" t="str">
        <f t="shared" si="387"/>
        <v>-6.74137774768111-20.2129257551083i</v>
      </c>
      <c r="O469" s="581" t="str">
        <f t="shared" si="388"/>
        <v>-4.50318344193041-9.52387363499894i</v>
      </c>
      <c r="P469" s="582" t="str">
        <f t="shared" si="389"/>
        <v>-0.491833628898125+0.0806702521359069i</v>
      </c>
      <c r="Q469" s="583" t="str">
        <f t="shared" si="390"/>
        <v>-0.446801794478824+0.175908988485897i</v>
      </c>
      <c r="R469" s="581" t="str">
        <f t="shared" si="411"/>
        <v>-0.515662776581007-1.1169400671023i</v>
      </c>
      <c r="S469" s="253" t="str">
        <f t="shared" si="412"/>
        <v>46.5600664775388-20.3945626438678i</v>
      </c>
      <c r="T469" s="253" t="str">
        <f t="shared" si="413"/>
        <v>13.101016040242-14.9384127263966i</v>
      </c>
      <c r="U469" s="253" t="str">
        <f t="shared" si="414"/>
        <v>-0.639644921966233-0.641146140669531i</v>
      </c>
      <c r="V469" s="582" t="str">
        <f t="shared" si="391"/>
        <v>6000</v>
      </c>
      <c r="W469" s="584" t="str">
        <f t="shared" si="392"/>
        <v>1+188986.848084467i</v>
      </c>
      <c r="X469" s="585">
        <f t="shared" si="393"/>
        <v>188986.84808711271</v>
      </c>
      <c r="Y469" s="586">
        <f t="shared" si="394"/>
        <v>1.5707910354213956</v>
      </c>
      <c r="Z469" s="273" t="str">
        <f t="shared" si="395"/>
        <v>1+28.3437756463231i</v>
      </c>
      <c r="AA469" s="585">
        <f t="shared" si="396"/>
        <v>28.361410717541862</v>
      </c>
      <c r="AB469" s="586">
        <f t="shared" si="397"/>
        <v>1.5355298399632469</v>
      </c>
      <c r="AC469" s="584" t="str">
        <f t="shared" si="398"/>
        <v>1+1.37029279723344i</v>
      </c>
      <c r="AD469" s="585">
        <f t="shared" si="399"/>
        <v>1.6963791881975696</v>
      </c>
      <c r="AE469" s="586">
        <f t="shared" si="400"/>
        <v>0.94036794969424431</v>
      </c>
      <c r="AF469" s="580" t="str">
        <f t="shared" si="415"/>
        <v>0.297587179881086-0.439525048623518i</v>
      </c>
      <c r="AG469" s="270">
        <f t="shared" si="416"/>
        <v>0.53079223618764781</v>
      </c>
      <c r="AH469" s="581">
        <f t="shared" si="417"/>
        <v>-0.97562914515239352</v>
      </c>
      <c r="AI469" s="582" t="str">
        <f t="shared" si="401"/>
        <v>4000</v>
      </c>
      <c r="AJ469" s="584" t="str">
        <f t="shared" si="418"/>
        <v>1+14847.2592601513i</v>
      </c>
      <c r="AK469" s="585">
        <f t="shared" si="419"/>
        <v>14847.259293827548</v>
      </c>
      <c r="AL469" s="586">
        <f t="shared" si="420"/>
        <v>1.5707289742969732</v>
      </c>
      <c r="AM469" s="273" t="str">
        <f t="shared" si="421"/>
        <v>1+0.519635886849256i</v>
      </c>
      <c r="AN469" s="585">
        <f t="shared" si="422"/>
        <v>1.1269522859915644</v>
      </c>
      <c r="AO469" s="586">
        <f t="shared" si="423"/>
        <v>0.47923263628114293</v>
      </c>
      <c r="AP469" s="584" t="str">
        <f t="shared" si="424"/>
        <v>1+0.00375944619813038i</v>
      </c>
      <c r="AQ469" s="585">
        <f t="shared" si="425"/>
        <v>1.0000070666928893</v>
      </c>
      <c r="AR469" s="586">
        <f t="shared" si="426"/>
        <v>3.7594284869835143E-3</v>
      </c>
      <c r="AS469" s="580" t="str">
        <f t="shared" si="427"/>
        <v>0.138998483528117-0.269923119179717i</v>
      </c>
      <c r="AT469" s="270">
        <f t="shared" si="428"/>
        <v>0.30361006025957693</v>
      </c>
      <c r="AU469" s="581">
        <f t="shared" si="429"/>
        <v>-1.095255766502814</v>
      </c>
      <c r="AV469" s="580" t="str">
        <f t="shared" si="430"/>
        <v>-0.0221120159643178-0.0561268382929188i</v>
      </c>
      <c r="AW469" s="270">
        <f t="shared" si="431"/>
        <v>-24.389984646407928</v>
      </c>
      <c r="AX469" s="581">
        <f t="shared" si="432"/>
        <v>-111.50270974380481</v>
      </c>
      <c r="AY469" s="299">
        <f t="shared" si="402"/>
        <v>68.497290256195186</v>
      </c>
      <c r="BB469" s="270">
        <f t="shared" si="381"/>
        <v>-50.353676839797707</v>
      </c>
      <c r="BC469" s="270">
        <f t="shared" si="382"/>
        <v>-62.753532907977203</v>
      </c>
      <c r="BD469" s="286"/>
      <c r="BE469" s="270">
        <f t="shared" si="433"/>
        <v>25.963692193389775</v>
      </c>
      <c r="BF469" s="581">
        <f t="shared" si="434"/>
        <v>-48.749176835827583</v>
      </c>
      <c r="BI469" s="286"/>
      <c r="BJ469" s="286"/>
      <c r="BL469" s="253">
        <f t="shared" si="403"/>
        <v>0</v>
      </c>
      <c r="BM469" s="253">
        <f t="shared" si="383"/>
        <v>0</v>
      </c>
      <c r="BN469" s="253">
        <f t="shared" si="404"/>
        <v>0</v>
      </c>
      <c r="BO469" s="253">
        <f t="shared" si="405"/>
        <v>0</v>
      </c>
    </row>
    <row r="470" spans="4:67" ht="13.6" thickBot="1" x14ac:dyDescent="0.25">
      <c r="D470" s="280">
        <v>54015.75</v>
      </c>
      <c r="E470" s="273" t="str">
        <f t="shared" si="384"/>
        <v>0.610903740161314i</v>
      </c>
      <c r="F470" s="579" t="str">
        <f t="shared" si="406"/>
        <v>0.002-0.0453300673605227i</v>
      </c>
      <c r="G470" s="270" t="str">
        <f t="shared" si="407"/>
        <v>0.002-0.0453300673605227i</v>
      </c>
      <c r="H470" s="271" t="str">
        <f t="shared" si="408"/>
        <v>0.00302180855015668-0.0452163616063517i</v>
      </c>
      <c r="I470" s="271" t="str">
        <f t="shared" si="409"/>
        <v>0.0130218085501567-0.0452163616063517i</v>
      </c>
      <c r="J470" s="270" t="str">
        <f t="shared" si="410"/>
        <v>0.0037080385932751-0.0229641143210499i</v>
      </c>
      <c r="K470" s="271" t="str">
        <f t="shared" si="385"/>
        <v>0.926322536095995-0.426370561251615i</v>
      </c>
      <c r="L470" s="580"/>
      <c r="M470" s="580" t="str">
        <f t="shared" si="386"/>
        <v>-0.0985763491617166-26.7878083984995i</v>
      </c>
      <c r="N470" s="270" t="str">
        <f t="shared" si="387"/>
        <v>-6.74059892853796-20.0908562988746i</v>
      </c>
      <c r="O470" s="581" t="str">
        <f t="shared" si="388"/>
        <v>-4.50024787656761-9.46033117991847i</v>
      </c>
      <c r="P470" s="582" t="str">
        <f t="shared" si="389"/>
        <v>-0.486363121823949+0.080294213859121i</v>
      </c>
      <c r="Q470" s="583" t="str">
        <f t="shared" si="390"/>
        <v>-0.441360643058274+0.174897525658306i</v>
      </c>
      <c r="R470" s="581" t="str">
        <f t="shared" si="411"/>
        <v>-0.515487697350612-1.10917169802177i</v>
      </c>
      <c r="S470" s="253" t="str">
        <f t="shared" si="412"/>
        <v>46.4939547547616-20.5137217090504i</v>
      </c>
      <c r="T470" s="253" t="str">
        <f t="shared" si="413"/>
        <v>13.0287163237803-15.007446409528i</v>
      </c>
      <c r="U470" s="253" t="str">
        <f t="shared" si="414"/>
        <v>-0.639211837256396-0.634460778438953i</v>
      </c>
      <c r="V470" s="582" t="str">
        <f t="shared" si="391"/>
        <v>6000</v>
      </c>
      <c r="W470" s="584" t="str">
        <f t="shared" si="392"/>
        <v>1+190087.450224728i</v>
      </c>
      <c r="X470" s="585">
        <f t="shared" si="393"/>
        <v>190087.45022735841</v>
      </c>
      <c r="Y470" s="586">
        <f t="shared" si="394"/>
        <v>1.5707910660583313</v>
      </c>
      <c r="Z470" s="273" t="str">
        <f t="shared" si="395"/>
        <v>1+28.508841207528i</v>
      </c>
      <c r="AA470" s="585">
        <f t="shared" si="396"/>
        <v>28.526374235013581</v>
      </c>
      <c r="AB470" s="586">
        <f t="shared" si="397"/>
        <v>1.5357338643453462</v>
      </c>
      <c r="AC470" s="584" t="str">
        <f t="shared" si="398"/>
        <v>1+1.37827296728604i</v>
      </c>
      <c r="AD470" s="585">
        <f t="shared" si="399"/>
        <v>1.702831868491856</v>
      </c>
      <c r="AE470" s="586">
        <f t="shared" si="400"/>
        <v>0.94313054960397436</v>
      </c>
      <c r="AF470" s="580" t="str">
        <f t="shared" si="415"/>
        <v>0.295336109432357-0.438613461332101i</v>
      </c>
      <c r="AG470" s="270">
        <f t="shared" si="416"/>
        <v>0.52877706644328637</v>
      </c>
      <c r="AH470" s="581">
        <f t="shared" si="417"/>
        <v>-0.97818775131695945</v>
      </c>
      <c r="AI470" s="582" t="str">
        <f t="shared" si="401"/>
        <v>4000</v>
      </c>
      <c r="AJ470" s="584" t="str">
        <f t="shared" si="418"/>
        <v>1+14933.7251993654i</v>
      </c>
      <c r="AK470" s="585">
        <f t="shared" si="419"/>
        <v>14933.725232846666</v>
      </c>
      <c r="AL470" s="586">
        <f t="shared" si="420"/>
        <v>1.5707293642664482</v>
      </c>
      <c r="AM470" s="273" t="str">
        <f t="shared" si="421"/>
        <v>1+0.522662088804681i</v>
      </c>
      <c r="AN470" s="585">
        <f t="shared" si="422"/>
        <v>1.1283508581437214</v>
      </c>
      <c r="AO470" s="586">
        <f t="shared" si="423"/>
        <v>0.48161248102290838</v>
      </c>
      <c r="AP470" s="584" t="str">
        <f t="shared" si="424"/>
        <v>1+0.00378134007367673i</v>
      </c>
      <c r="AQ470" s="585">
        <f t="shared" si="425"/>
        <v>1.0000071492408205</v>
      </c>
      <c r="AR470" s="586">
        <f t="shared" si="426"/>
        <v>3.7813220512930481E-3</v>
      </c>
      <c r="AS470" s="580" t="str">
        <f t="shared" si="427"/>
        <v>0.138998251075442-0.268366338224624i</v>
      </c>
      <c r="AT470" s="270">
        <f t="shared" si="428"/>
        <v>0.30222674483593426</v>
      </c>
      <c r="AU470" s="581">
        <f t="shared" si="429"/>
        <v>-1.0928982052948324</v>
      </c>
      <c r="AV470" s="580" t="str">
        <f t="shared" si="430"/>
        <v>-0.0221652465626379-0.0558247769561312i</v>
      </c>
      <c r="AW470" s="270">
        <f t="shared" si="431"/>
        <v>-24.427691168329162</v>
      </c>
      <c r="AX470" s="581">
        <f t="shared" si="432"/>
        <v>-111.65556906648139</v>
      </c>
      <c r="AY470" s="299">
        <f t="shared" si="402"/>
        <v>68.344430933518609</v>
      </c>
      <c r="BB470" s="270">
        <f t="shared" ref="BB470:BB533" si="435">20*LOG10(IMABS(IMPRODUCT(COMPLEX($B$15,0),AS470)))</f>
        <v>-50.393342128813217</v>
      </c>
      <c r="BC470" s="270">
        <f t="shared" ref="BC470:BC533" si="436">180/PI()*IMARGUMENT(IMPRODUCT(COMPLEX($B$15,0),AS470))</f>
        <v>-62.618454600816094</v>
      </c>
      <c r="BD470" s="286"/>
      <c r="BE470" s="270">
        <f t="shared" si="433"/>
        <v>25.965650960484055</v>
      </c>
      <c r="BF470" s="581">
        <f t="shared" si="434"/>
        <v>-49.037114465665276</v>
      </c>
      <c r="BI470" s="286"/>
      <c r="BJ470" s="286"/>
      <c r="BL470" s="253">
        <f t="shared" si="403"/>
        <v>0</v>
      </c>
      <c r="BM470" s="253">
        <f t="shared" si="383"/>
        <v>0</v>
      </c>
      <c r="BN470" s="253">
        <f t="shared" si="404"/>
        <v>0</v>
      </c>
      <c r="BO470" s="253">
        <f t="shared" si="405"/>
        <v>0</v>
      </c>
    </row>
    <row r="471" spans="4:67" ht="13.6" thickBot="1" x14ac:dyDescent="0.25">
      <c r="D471" s="280">
        <v>54328.5</v>
      </c>
      <c r="E471" s="273" t="str">
        <f t="shared" si="384"/>
        <v>0.614440859329991i</v>
      </c>
      <c r="F471" s="579" t="str">
        <f t="shared" si="406"/>
        <v>0.002-0.0450691181613547i</v>
      </c>
      <c r="G471" s="270" t="str">
        <f t="shared" si="407"/>
        <v>0.002-0.0450691181613547i</v>
      </c>
      <c r="H471" s="271" t="str">
        <f t="shared" si="408"/>
        <v>0.00301006104564696-0.0449563314314536i</v>
      </c>
      <c r="I471" s="271" t="str">
        <f t="shared" si="409"/>
        <v>0.013010061045647-0.0449563314314536i</v>
      </c>
      <c r="J471" s="270" t="str">
        <f t="shared" si="410"/>
        <v>0.0037046224802817-0.0228349728901352i</v>
      </c>
      <c r="K471" s="271" t="str">
        <f t="shared" si="385"/>
        <v>0.925466884365294-0.428839237388324i</v>
      </c>
      <c r="L471" s="580"/>
      <c r="M471" s="580" t="str">
        <f t="shared" si="386"/>
        <v>-0.0975539776435348-26.6270411021748i</v>
      </c>
      <c r="N471" s="270" t="str">
        <f t="shared" si="387"/>
        <v>-6.73983214989932-19.9702808266311i</v>
      </c>
      <c r="O471" s="581" t="str">
        <f t="shared" si="388"/>
        <v>-4.49734259366186-9.39753400336477i</v>
      </c>
      <c r="P471" s="582" t="str">
        <f t="shared" si="389"/>
        <v>-0.48098935498035+0.0799215331391364i</v>
      </c>
      <c r="Q471" s="583" t="str">
        <f t="shared" si="390"/>
        <v>-0.436015929043732+0.173896873172785i</v>
      </c>
      <c r="R471" s="581" t="str">
        <f t="shared" si="411"/>
        <v>-0.515315608246434-1.10149230358543i</v>
      </c>
      <c r="S471" s="253" t="str">
        <f t="shared" si="412"/>
        <v>46.4274505765129-20.6326086077433i</v>
      </c>
      <c r="T471" s="253" t="str">
        <f t="shared" si="413"/>
        <v>12.9560910635487-15.07609772351i</v>
      </c>
      <c r="U471" s="253" t="str">
        <f t="shared" si="414"/>
        <v>-0.638767420936857-0.627838298386893i</v>
      </c>
      <c r="V471" s="582" t="str">
        <f t="shared" si="391"/>
        <v>6000</v>
      </c>
      <c r="W471" s="584" t="str">
        <f t="shared" si="392"/>
        <v>1+191188.052364989i</v>
      </c>
      <c r="X471" s="585">
        <f t="shared" si="393"/>
        <v>191188.05236760425</v>
      </c>
      <c r="Y471" s="586">
        <f t="shared" si="394"/>
        <v>1.5707910963425351</v>
      </c>
      <c r="Z471" s="273" t="str">
        <f t="shared" si="395"/>
        <v>1+28.6739067687329i</v>
      </c>
      <c r="AA471" s="585">
        <f t="shared" si="396"/>
        <v>28.691338926268084</v>
      </c>
      <c r="AB471" s="586">
        <f t="shared" si="397"/>
        <v>1.5359355426048049</v>
      </c>
      <c r="AC471" s="584" t="str">
        <f t="shared" si="398"/>
        <v>1+1.38625313733864i</v>
      </c>
      <c r="AD471" s="585">
        <f t="shared" si="399"/>
        <v>1.7092974465496702</v>
      </c>
      <c r="AE471" s="586">
        <f t="shared" si="400"/>
        <v>0.9458722707197923</v>
      </c>
      <c r="AF471" s="580" t="str">
        <f t="shared" si="415"/>
        <v>0.293106061334633-0.437697204565661i</v>
      </c>
      <c r="AG471" s="270">
        <f t="shared" si="416"/>
        <v>0.52677320174406717</v>
      </c>
      <c r="AH471" s="581">
        <f t="shared" si="417"/>
        <v>-0.98072782445752305</v>
      </c>
      <c r="AI471" s="582" t="str">
        <f t="shared" si="401"/>
        <v>4000</v>
      </c>
      <c r="AJ471" s="584" t="str">
        <f t="shared" si="418"/>
        <v>1+15020.1911385794i</v>
      </c>
      <c r="AK471" s="585">
        <f t="shared" si="419"/>
        <v>15020.191171867922</v>
      </c>
      <c r="AL471" s="586">
        <f t="shared" si="420"/>
        <v>1.5707297497460897</v>
      </c>
      <c r="AM471" s="273" t="str">
        <f t="shared" si="421"/>
        <v>1+0.525688290760103i</v>
      </c>
      <c r="AN471" s="585">
        <f t="shared" si="422"/>
        <v>1.1297558050491614</v>
      </c>
      <c r="AO471" s="586">
        <f t="shared" si="423"/>
        <v>0.48398642010558401</v>
      </c>
      <c r="AP471" s="584" t="str">
        <f t="shared" si="424"/>
        <v>1+0.00380323394922307i</v>
      </c>
      <c r="AQ471" s="585">
        <f t="shared" si="425"/>
        <v>1.0000072322680835</v>
      </c>
      <c r="AR471" s="586">
        <f t="shared" si="426"/>
        <v>3.8032156119775676E-3</v>
      </c>
      <c r="AS471" s="580" t="str">
        <f t="shared" si="427"/>
        <v>0.138998022097302-0.266827515976674i</v>
      </c>
      <c r="AT471" s="270">
        <f t="shared" si="428"/>
        <v>0.30086105336059082</v>
      </c>
      <c r="AU471" s="581">
        <f t="shared" si="429"/>
        <v>-1.0905465452524827</v>
      </c>
      <c r="AV471" s="580" t="str">
        <f t="shared" si="430"/>
        <v>-0.0222184667423996-0.0555258935976781i</v>
      </c>
      <c r="AW471" s="270">
        <f t="shared" si="431"/>
        <v>-24.465071493605691</v>
      </c>
      <c r="AX471" s="581">
        <f t="shared" si="432"/>
        <v>-111.80862273260982</v>
      </c>
      <c r="AY471" s="299">
        <f t="shared" si="402"/>
        <v>68.19137726739018</v>
      </c>
      <c r="BB471" s="270">
        <f t="shared" si="435"/>
        <v>-50.432680565924251</v>
      </c>
      <c r="BC471" s="270">
        <f t="shared" si="436"/>
        <v>-62.483714405539907</v>
      </c>
      <c r="BD471" s="286"/>
      <c r="BE471" s="270">
        <f t="shared" si="433"/>
        <v>25.96760907231856</v>
      </c>
      <c r="BF471" s="581">
        <f t="shared" si="434"/>
        <v>-49.324908327069956</v>
      </c>
      <c r="BI471" s="286"/>
      <c r="BJ471" s="286"/>
      <c r="BL471" s="253">
        <f t="shared" si="403"/>
        <v>0</v>
      </c>
      <c r="BM471" s="253">
        <f t="shared" si="383"/>
        <v>0</v>
      </c>
      <c r="BN471" s="253">
        <f t="shared" si="404"/>
        <v>0</v>
      </c>
      <c r="BO471" s="253">
        <f t="shared" si="405"/>
        <v>0</v>
      </c>
    </row>
    <row r="472" spans="4:67" ht="13.6" thickBot="1" x14ac:dyDescent="0.25">
      <c r="D472" s="280">
        <v>54641.25</v>
      </c>
      <c r="E472" s="273" t="str">
        <f t="shared" si="384"/>
        <v>0.617977978498668i</v>
      </c>
      <c r="F472" s="579" t="str">
        <f t="shared" si="406"/>
        <v>0.002-0.044811156150878i</v>
      </c>
      <c r="G472" s="270" t="str">
        <f t="shared" si="407"/>
        <v>0.002-0.044811156150878i</v>
      </c>
      <c r="H472" s="271" t="str">
        <f t="shared" si="408"/>
        <v>0.00299851454610835-0.0446992734256792i</v>
      </c>
      <c r="I472" s="271" t="str">
        <f t="shared" si="409"/>
        <v>0.0129985145461084-0.0446992734256792i</v>
      </c>
      <c r="J472" s="270" t="str">
        <f t="shared" si="410"/>
        <v>0.00370125436882303-0.0227073249376814i</v>
      </c>
      <c r="K472" s="271" t="str">
        <f t="shared" si="385"/>
        <v>0.924606292730929-0.431307913525033i</v>
      </c>
      <c r="L472" s="580"/>
      <c r="M472" s="580" t="str">
        <f t="shared" si="386"/>
        <v>-0.0965473476239912-26.4682288062878i</v>
      </c>
      <c r="N472" s="270" t="str">
        <f t="shared" si="387"/>
        <v>-6.73907717738466-19.8511716047159i</v>
      </c>
      <c r="O472" s="581" t="str">
        <f t="shared" si="388"/>
        <v>-4.49446679827263-9.33546831596846i</v>
      </c>
      <c r="P472" s="582" t="str">
        <f t="shared" si="389"/>
        <v>-0.475710042866589+0.0795521796187759i</v>
      </c>
      <c r="Q472" s="583" t="str">
        <f t="shared" si="390"/>
        <v>-0.430765374883861+0.17290686277846i</v>
      </c>
      <c r="R472" s="581" t="str">
        <f t="shared" si="411"/>
        <v>-0.515146441597708-1.09390023136315i</v>
      </c>
      <c r="S472" s="253" t="str">
        <f t="shared" si="412"/>
        <v>46.3605544102441-20.7512227240373i</v>
      </c>
      <c r="T472" s="253" t="str">
        <f t="shared" si="413"/>
        <v>12.8831421260553-15.1443651381633i</v>
      </c>
      <c r="U472" s="253" t="str">
        <f t="shared" si="414"/>
        <v>-0.638311829104528-0.621277691632794i</v>
      </c>
      <c r="V472" s="582" t="str">
        <f t="shared" si="391"/>
        <v>6000</v>
      </c>
      <c r="W472" s="584" t="str">
        <f t="shared" si="392"/>
        <v>1+192288.654505249i</v>
      </c>
      <c r="X472" s="585">
        <f t="shared" si="393"/>
        <v>192288.65450784922</v>
      </c>
      <c r="Y472" s="586">
        <f t="shared" si="394"/>
        <v>1.5707911262800636</v>
      </c>
      <c r="Z472" s="273" t="str">
        <f t="shared" si="395"/>
        <v>1+28.8389723299379i</v>
      </c>
      <c r="AA472" s="585">
        <f t="shared" si="396"/>
        <v>28.85630477117477</v>
      </c>
      <c r="AB472" s="586">
        <f t="shared" si="397"/>
        <v>1.5361349149620462</v>
      </c>
      <c r="AC472" s="584" t="str">
        <f t="shared" si="398"/>
        <v>1+1.39423330739124i</v>
      </c>
      <c r="AD472" s="585">
        <f t="shared" si="399"/>
        <v>1.7157757765626358</v>
      </c>
      <c r="AE472" s="586">
        <f t="shared" si="400"/>
        <v>0.94859330808748699</v>
      </c>
      <c r="AF472" s="580" t="str">
        <f t="shared" si="415"/>
        <v>0.290896852412013-0.436776489884743i</v>
      </c>
      <c r="AG472" s="270">
        <f t="shared" si="416"/>
        <v>0.52478060259431603</v>
      </c>
      <c r="AH472" s="581">
        <f t="shared" si="417"/>
        <v>-0.98324951940550565</v>
      </c>
      <c r="AI472" s="582" t="str">
        <f t="shared" si="401"/>
        <v>4000</v>
      </c>
      <c r="AJ472" s="584" t="str">
        <f t="shared" si="418"/>
        <v>1+15106.6570777935i</v>
      </c>
      <c r="AK472" s="585">
        <f t="shared" si="419"/>
        <v>15106.657110891489</v>
      </c>
      <c r="AL472" s="586">
        <f t="shared" si="420"/>
        <v>1.5707301308129935</v>
      </c>
      <c r="AM472" s="273" t="str">
        <f t="shared" si="421"/>
        <v>1+0.528714492715528i</v>
      </c>
      <c r="AN472" s="585">
        <f t="shared" si="422"/>
        <v>1.1311671029549251</v>
      </c>
      <c r="AO472" s="586">
        <f t="shared" si="423"/>
        <v>0.48635444882707962</v>
      </c>
      <c r="AP472" s="584" t="str">
        <f t="shared" si="424"/>
        <v>1+0.00382512782476942i</v>
      </c>
      <c r="AQ472" s="585">
        <f t="shared" si="425"/>
        <v>1.0000073157746776</v>
      </c>
      <c r="AR472" s="586">
        <f t="shared" si="426"/>
        <v>3.8251091690161042E-3</v>
      </c>
      <c r="AS472" s="580" t="str">
        <f t="shared" si="427"/>
        <v>0.138997796511332-0.265306344065194i</v>
      </c>
      <c r="AT472" s="270">
        <f t="shared" si="428"/>
        <v>0.29951267692076866</v>
      </c>
      <c r="AU472" s="581">
        <f t="shared" si="429"/>
        <v>-1.0882007911549296</v>
      </c>
      <c r="AV472" s="580" t="str">
        <f t="shared" si="430"/>
        <v>-0.0222716778033048-0.0552301272130376i</v>
      </c>
      <c r="AW472" s="270">
        <f t="shared" si="431"/>
        <v>-24.502129449387038</v>
      </c>
      <c r="AX472" s="581">
        <f t="shared" si="432"/>
        <v>-111.9618714478064</v>
      </c>
      <c r="AY472" s="299">
        <f t="shared" si="402"/>
        <v>68.038128552193598</v>
      </c>
      <c r="BB472" s="270">
        <f t="shared" si="435"/>
        <v>-50.47169582607939</v>
      </c>
      <c r="BC472" s="270">
        <f t="shared" si="436"/>
        <v>-62.349312595974602</v>
      </c>
      <c r="BD472" s="286"/>
      <c r="BE472" s="270">
        <f t="shared" si="433"/>
        <v>25.969566376692342</v>
      </c>
      <c r="BF472" s="581">
        <f t="shared" si="434"/>
        <v>-49.612558851831807</v>
      </c>
      <c r="BI472" s="286"/>
      <c r="BJ472" s="286"/>
      <c r="BL472" s="253">
        <f t="shared" si="403"/>
        <v>0</v>
      </c>
      <c r="BM472" s="253">
        <f t="shared" si="383"/>
        <v>0</v>
      </c>
      <c r="BN472" s="253">
        <f t="shared" si="404"/>
        <v>0</v>
      </c>
      <c r="BO472" s="253">
        <f t="shared" si="405"/>
        <v>0</v>
      </c>
    </row>
    <row r="473" spans="4:67" ht="13.6" thickBot="1" x14ac:dyDescent="0.25">
      <c r="D473" s="280">
        <v>54954</v>
      </c>
      <c r="E473" s="273" t="str">
        <f t="shared" si="384"/>
        <v>0.621515097667345i</v>
      </c>
      <c r="F473" s="579" t="str">
        <f t="shared" si="406"/>
        <v>0.002-0.0445561303277133i</v>
      </c>
      <c r="G473" s="270" t="str">
        <f t="shared" si="407"/>
        <v>0.002-0.0445561303277133i</v>
      </c>
      <c r="H473" s="271" t="str">
        <f t="shared" si="408"/>
        <v>0.00298716449259682-0.0444451369455465i</v>
      </c>
      <c r="I473" s="271" t="str">
        <f t="shared" si="409"/>
        <v>0.0129871644925968-0.0444451369455465i</v>
      </c>
      <c r="J473" s="270" t="str">
        <f t="shared" si="410"/>
        <v>0.00369793311806413-0.0225811449509609i</v>
      </c>
      <c r="K473" s="271" t="str">
        <f t="shared" si="385"/>
        <v>0.923740761192899-0.433776589661742i</v>
      </c>
      <c r="L473" s="580"/>
      <c r="M473" s="580" t="str">
        <f t="shared" si="386"/>
        <v>-0.0955561535190788-26.3113354558757i</v>
      </c>
      <c r="N473" s="270" t="str">
        <f t="shared" si="387"/>
        <v>-6.73833378180598-19.7335015919068i</v>
      </c>
      <c r="O473" s="581" t="str">
        <f t="shared" si="388"/>
        <v>-4.49161971835339-9.2741206731737i</v>
      </c>
      <c r="P473" s="582" t="str">
        <f t="shared" si="389"/>
        <v>-0.470522967489176+0.079186122782834i</v>
      </c>
      <c r="Q473" s="583" t="str">
        <f t="shared" si="390"/>
        <v>-0.425606770305642+0.171927329514571i</v>
      </c>
      <c r="R473" s="581" t="str">
        <f t="shared" si="411"/>
        <v>-0.514980131629357-1.08639387020338i</v>
      </c>
      <c r="S473" s="253" t="str">
        <f t="shared" si="412"/>
        <v>46.2932667284374-20.869563411892i</v>
      </c>
      <c r="T473" s="253" t="str">
        <f t="shared" si="413"/>
        <v>12.8098713897438-15.2122471235613i</v>
      </c>
      <c r="U473" s="253" t="str">
        <f t="shared" si="414"/>
        <v>-0.637845213686005-0.614777972632112i</v>
      </c>
      <c r="V473" s="582" t="str">
        <f t="shared" si="391"/>
        <v>6000</v>
      </c>
      <c r="W473" s="584" t="str">
        <f t="shared" si="392"/>
        <v>1+193389.25664551i</v>
      </c>
      <c r="X473" s="585">
        <f t="shared" si="393"/>
        <v>193389.25664809547</v>
      </c>
      <c r="Y473" s="586">
        <f t="shared" si="394"/>
        <v>1.5707911558768357</v>
      </c>
      <c r="Z473" s="273" t="str">
        <f t="shared" si="395"/>
        <v>1+29.0040378911428i</v>
      </c>
      <c r="AA473" s="585">
        <f t="shared" si="396"/>
        <v>29.021271750060286</v>
      </c>
      <c r="AB473" s="586">
        <f t="shared" si="397"/>
        <v>1.5363320207237285</v>
      </c>
      <c r="AC473" s="584" t="str">
        <f t="shared" si="398"/>
        <v>1+1.40221347744384i</v>
      </c>
      <c r="AD473" s="585">
        <f t="shared" si="399"/>
        <v>1.7222667146307935</v>
      </c>
      <c r="AE473" s="586">
        <f t="shared" si="400"/>
        <v>0.95129385504629471</v>
      </c>
      <c r="AF473" s="580" t="str">
        <f t="shared" si="415"/>
        <v>0.288708299584975-0.435851523965092i</v>
      </c>
      <c r="AG473" s="270">
        <f t="shared" si="416"/>
        <v>0.52279922837733883</v>
      </c>
      <c r="AH473" s="581">
        <f t="shared" si="417"/>
        <v>-0.98575299019940377</v>
      </c>
      <c r="AI473" s="582" t="str">
        <f t="shared" si="401"/>
        <v>4000</v>
      </c>
      <c r="AJ473" s="584" t="str">
        <f t="shared" si="418"/>
        <v>1+15193.1230170075i</v>
      </c>
      <c r="AK473" s="585">
        <f t="shared" si="419"/>
        <v>15193.123049917123</v>
      </c>
      <c r="AL473" s="586">
        <f t="shared" si="420"/>
        <v>1.5707305075424995</v>
      </c>
      <c r="AM473" s="273" t="str">
        <f t="shared" si="421"/>
        <v>1+0.531740694670951i</v>
      </c>
      <c r="AN473" s="585">
        <f t="shared" si="422"/>
        <v>1.132584728119334</v>
      </c>
      <c r="AO473" s="586">
        <f t="shared" si="423"/>
        <v>0.48871656277382047</v>
      </c>
      <c r="AP473" s="584" t="str">
        <f t="shared" si="424"/>
        <v>1+0.00384702170031576i</v>
      </c>
      <c r="AQ473" s="585">
        <f t="shared" si="425"/>
        <v>1.0000073997606032</v>
      </c>
      <c r="AR473" s="586">
        <f t="shared" si="426"/>
        <v>3.847002722387651E-3</v>
      </c>
      <c r="AS473" s="580" t="str">
        <f t="shared" si="427"/>
        <v>0.13899757423751-0.263802521139428i</v>
      </c>
      <c r="AT473" s="270">
        <f t="shared" si="428"/>
        <v>0.29818131363891748</v>
      </c>
      <c r="AU473" s="581">
        <f t="shared" si="429"/>
        <v>-1.0858609474910654</v>
      </c>
      <c r="AV473" s="580" t="str">
        <f t="shared" si="430"/>
        <v>-0.0223248809392261-0.054937418169628i</v>
      </c>
      <c r="AW473" s="270">
        <f t="shared" si="431"/>
        <v>-24.538868805432848</v>
      </c>
      <c r="AX473" s="581">
        <f t="shared" si="432"/>
        <v>-112.11531588015512</v>
      </c>
      <c r="AY473" s="299">
        <f t="shared" si="402"/>
        <v>67.884684119844877</v>
      </c>
      <c r="BB473" s="270">
        <f t="shared" si="435"/>
        <v>-50.510391526029785</v>
      </c>
      <c r="BC473" s="270">
        <f t="shared" si="436"/>
        <v>-62.215249429314746</v>
      </c>
      <c r="BD473" s="286"/>
      <c r="BE473" s="270">
        <f t="shared" si="433"/>
        <v>25.971522720596944</v>
      </c>
      <c r="BF473" s="581">
        <f t="shared" si="434"/>
        <v>-49.900066450840406</v>
      </c>
      <c r="BI473" s="286"/>
      <c r="BJ473" s="286"/>
      <c r="BL473" s="253">
        <f t="shared" si="403"/>
        <v>0</v>
      </c>
      <c r="BM473" s="253">
        <f t="shared" si="383"/>
        <v>0</v>
      </c>
      <c r="BN473" s="253">
        <f t="shared" si="404"/>
        <v>0</v>
      </c>
      <c r="BO473" s="253">
        <f t="shared" si="405"/>
        <v>0</v>
      </c>
    </row>
    <row r="474" spans="4:67" ht="13.6" thickBot="1" x14ac:dyDescent="0.25">
      <c r="D474" s="280">
        <v>55274</v>
      </c>
      <c r="E474" s="273" t="str">
        <f t="shared" si="384"/>
        <v>0.62513421240428i</v>
      </c>
      <c r="F474" s="579" t="str">
        <f t="shared" si="406"/>
        <v>0.002-0.0442981797233628i</v>
      </c>
      <c r="G474" s="270" t="str">
        <f t="shared" si="407"/>
        <v>0.002-0.0442981797233628i</v>
      </c>
      <c r="H474" s="271" t="str">
        <f t="shared" si="408"/>
        <v>0.0029757500376307-0.0441880814868865i</v>
      </c>
      <c r="I474" s="271" t="str">
        <f t="shared" si="409"/>
        <v>0.0129757500376307-0.0441880814868865i</v>
      </c>
      <c r="J474" s="270" t="str">
        <f t="shared" si="410"/>
        <v>0.00369458222258283-0.0224535333276142i</v>
      </c>
      <c r="K474" s="271" t="str">
        <f t="shared" si="385"/>
        <v>0.922850052372415-0.43630249330282i</v>
      </c>
      <c r="L474" s="580"/>
      <c r="M474" s="580" t="str">
        <f t="shared" si="386"/>
        <v>-0.0945576472615236-26.1527546076362i</v>
      </c>
      <c r="N474" s="270" t="str">
        <f t="shared" si="387"/>
        <v>-6.73758490211281-19.6145659557272i</v>
      </c>
      <c r="O474" s="581" t="str">
        <f t="shared" si="388"/>
        <v>-4.4887355785903-9.21208043540184i</v>
      </c>
      <c r="P474" s="582" t="str">
        <f t="shared" si="389"/>
        <v>-0.465308871796096+0.0788149604635121i</v>
      </c>
      <c r="Q474" s="583" t="str">
        <f t="shared" si="390"/>
        <v>-0.420421516010194+0.170935764817531i</v>
      </c>
      <c r="R474" s="581" t="str">
        <f t="shared" si="411"/>
        <v>-0.514812856451271-1.07880057656859i</v>
      </c>
      <c r="S474" s="253" t="str">
        <f t="shared" si="412"/>
        <v>46.2240144840608-20.9903636947858i</v>
      </c>
      <c r="T474" s="253" t="str">
        <f t="shared" si="413"/>
        <v>12.7345710281006-15.2813021819349i</v>
      </c>
      <c r="U474" s="253" t="str">
        <f t="shared" si="414"/>
        <v>-0.637356525824998-0.608189597833192i</v>
      </c>
      <c r="V474" s="582" t="str">
        <f t="shared" si="391"/>
        <v>6000</v>
      </c>
      <c r="W474" s="584" t="str">
        <f t="shared" si="392"/>
        <v>1+194515.372344577i</v>
      </c>
      <c r="X474" s="585">
        <f t="shared" si="393"/>
        <v>194515.37234714747</v>
      </c>
      <c r="Y474" s="586">
        <f t="shared" si="394"/>
        <v>1.5707911858130403</v>
      </c>
      <c r="Z474" s="273" t="str">
        <f t="shared" si="395"/>
        <v>1+29.1729299121997i</v>
      </c>
      <c r="AA474" s="585">
        <f t="shared" si="396"/>
        <v>29.190064057177331</v>
      </c>
      <c r="AB474" s="586">
        <f t="shared" si="397"/>
        <v>1.5365313897316137</v>
      </c>
      <c r="AC474" s="584" t="str">
        <f t="shared" si="398"/>
        <v>1+1.41037863944809i</v>
      </c>
      <c r="AD474" s="585">
        <f t="shared" si="399"/>
        <v>1.7289210238213444</v>
      </c>
      <c r="AE474" s="586">
        <f t="shared" si="400"/>
        <v>0.95403599607309675</v>
      </c>
      <c r="AF474" s="580" t="str">
        <f t="shared" si="415"/>
        <v>0.286490202043137-0.434900926320209i</v>
      </c>
      <c r="AG474" s="270">
        <f t="shared" si="416"/>
        <v>0.52078349780008704</v>
      </c>
      <c r="AH474" s="581">
        <f t="shared" si="417"/>
        <v>-0.98829579215452479</v>
      </c>
      <c r="AI474" s="582" t="str">
        <f t="shared" si="401"/>
        <v>4000</v>
      </c>
      <c r="AJ474" s="584" t="str">
        <f t="shared" si="418"/>
        <v>1+15281.5933624863i</v>
      </c>
      <c r="AK474" s="585">
        <f t="shared" si="419"/>
        <v>15281.593395205398</v>
      </c>
      <c r="AL474" s="586">
        <f t="shared" si="420"/>
        <v>1.5707308885925539</v>
      </c>
      <c r="AM474" s="273" t="str">
        <f t="shared" si="421"/>
        <v>1+0.534837048390328i</v>
      </c>
      <c r="AN474" s="585">
        <f t="shared" si="422"/>
        <v>1.1340417401184482</v>
      </c>
      <c r="AO474" s="586">
        <f t="shared" si="423"/>
        <v>0.49112730762125145</v>
      </c>
      <c r="AP474" s="584" t="str">
        <f t="shared" si="424"/>
        <v>1+0.00386942310774926i</v>
      </c>
      <c r="AQ474" s="585">
        <f t="shared" si="425"/>
        <v>1.0000074861895718</v>
      </c>
      <c r="AR474" s="586">
        <f t="shared" si="426"/>
        <v>3.8694037963605122E-3</v>
      </c>
      <c r="AS474" s="580" t="str">
        <f t="shared" si="427"/>
        <v>0.138997350158162-0.262281487154344i</v>
      </c>
      <c r="AT474" s="270">
        <f t="shared" si="428"/>
        <v>0.2968363890342372</v>
      </c>
      <c r="AU474" s="581">
        <f t="shared" si="429"/>
        <v>-1.0834729847676641</v>
      </c>
      <c r="AV474" s="580" t="str">
        <f t="shared" si="430"/>
        <v>-0.0223793103362592-0.0546410273777794i</v>
      </c>
      <c r="AW474" s="270">
        <f t="shared" si="431"/>
        <v>-24.576133942575815</v>
      </c>
      <c r="AX474" s="581">
        <f t="shared" si="432"/>
        <v>-112.27252061114622</v>
      </c>
      <c r="AY474" s="299">
        <f t="shared" si="402"/>
        <v>67.72747938885378</v>
      </c>
      <c r="BB474" s="270">
        <f t="shared" si="435"/>
        <v>-50.549657203435949</v>
      </c>
      <c r="BC474" s="270">
        <f t="shared" si="436"/>
        <v>-62.07842924362928</v>
      </c>
      <c r="BD474" s="286"/>
      <c r="BE474" s="270">
        <f t="shared" si="433"/>
        <v>25.973523260860134</v>
      </c>
      <c r="BF474" s="581">
        <f t="shared" si="434"/>
        <v>-50.194091367516968</v>
      </c>
      <c r="BI474" s="286"/>
      <c r="BJ474" s="286"/>
      <c r="BL474" s="253">
        <f t="shared" si="403"/>
        <v>0</v>
      </c>
      <c r="BM474" s="253">
        <f t="shared" ref="BM474:BM537" si="437">IF(BL474&gt;0,AY474,0)</f>
        <v>0</v>
      </c>
      <c r="BN474" s="253">
        <f t="shared" si="404"/>
        <v>0</v>
      </c>
      <c r="BO474" s="253">
        <f t="shared" si="405"/>
        <v>0</v>
      </c>
    </row>
    <row r="475" spans="4:67" ht="13.6" thickBot="1" x14ac:dyDescent="0.25">
      <c r="D475" s="280">
        <v>55594</v>
      </c>
      <c r="E475" s="273" t="str">
        <f t="shared" si="384"/>
        <v>0.628753327141216i</v>
      </c>
      <c r="F475" s="579" t="str">
        <f t="shared" si="406"/>
        <v>0.002-0.0440431986550556i</v>
      </c>
      <c r="G475" s="270" t="str">
        <f t="shared" si="407"/>
        <v>0.002-0.0440431986550556i</v>
      </c>
      <c r="H475" s="271" t="str">
        <f t="shared" si="408"/>
        <v>0.00296453199309498-0.0439339809383717i</v>
      </c>
      <c r="I475" s="271" t="str">
        <f t="shared" si="409"/>
        <v>0.012964531993095-0.0439339809383717i</v>
      </c>
      <c r="J475" s="270" t="str">
        <f t="shared" si="410"/>
        <v>0.00369127807161762-0.0223274063122481i</v>
      </c>
      <c r="K475" s="271" t="str">
        <f t="shared" si="385"/>
        <v>0.921954171965355-0.438828396943897i</v>
      </c>
      <c r="L475" s="580"/>
      <c r="M475" s="580" t="str">
        <f t="shared" si="386"/>
        <v>-0.0935746751583082-25.9961091731456i</v>
      </c>
      <c r="N475" s="270" t="str">
        <f t="shared" si="387"/>
        <v>-6.7368476730354-19.4970818798592i</v>
      </c>
      <c r="O475" s="581" t="str">
        <f t="shared" si="388"/>
        <v>-4.48587993589833-9.15076450139812i</v>
      </c>
      <c r="P475" s="582" t="str">
        <f t="shared" si="389"/>
        <v>-0.46018684712209+0.078447184455927i</v>
      </c>
      <c r="Q475" s="583" t="str">
        <f t="shared" si="390"/>
        <v>-0.415328047763107+0.169954829469909i</v>
      </c>
      <c r="R475" s="581" t="str">
        <f t="shared" si="411"/>
        <v>-0.514648438424803-1.07129372813741i</v>
      </c>
      <c r="S475" s="253" t="str">
        <f t="shared" si="412"/>
        <v>46.1543533799488-21.1108762636368i</v>
      </c>
      <c r="T475" s="253" t="str">
        <f t="shared" si="413"/>
        <v>12.6589377923234-15.3499504960002i</v>
      </c>
      <c r="U475" s="253" t="str">
        <f t="shared" si="414"/>
        <v>-0.636856606412282-0.601662951005788i</v>
      </c>
      <c r="V475" s="582" t="str">
        <f t="shared" si="391"/>
        <v>6000</v>
      </c>
      <c r="W475" s="584" t="str">
        <f t="shared" si="392"/>
        <v>1+195641.488043645i</v>
      </c>
      <c r="X475" s="585">
        <f t="shared" si="393"/>
        <v>195641.48804620068</v>
      </c>
      <c r="Y475" s="586">
        <f t="shared" si="394"/>
        <v>1.5707912154046184</v>
      </c>
      <c r="Z475" s="273" t="str">
        <f t="shared" si="395"/>
        <v>1+29.3418219332567i</v>
      </c>
      <c r="AA475" s="585">
        <f t="shared" si="396"/>
        <v>29.358857511199986</v>
      </c>
      <c r="AB475" s="586">
        <f t="shared" si="397"/>
        <v>1.5367284662749805</v>
      </c>
      <c r="AC475" s="584" t="str">
        <f t="shared" si="398"/>
        <v>1+1.41854380145235i</v>
      </c>
      <c r="AD475" s="585">
        <f t="shared" si="399"/>
        <v>1.7355882336080997</v>
      </c>
      <c r="AE475" s="586">
        <f t="shared" si="400"/>
        <v>0.95675708972614859</v>
      </c>
      <c r="AF475" s="580" t="str">
        <f t="shared" si="415"/>
        <v>0.284293342224403-0.433946300513717i</v>
      </c>
      <c r="AG475" s="270">
        <f t="shared" si="416"/>
        <v>0.51877942920152753</v>
      </c>
      <c r="AH475" s="581">
        <f t="shared" si="417"/>
        <v>-0.99081983885578784</v>
      </c>
      <c r="AI475" s="582" t="str">
        <f t="shared" si="401"/>
        <v>4000</v>
      </c>
      <c r="AJ475" s="584" t="str">
        <f t="shared" si="418"/>
        <v>1+15370.0637079652i</v>
      </c>
      <c r="AK475" s="585">
        <f t="shared" si="419"/>
        <v>15370.063740495969</v>
      </c>
      <c r="AL475" s="586">
        <f t="shared" si="420"/>
        <v>1.5707312652559473</v>
      </c>
      <c r="AM475" s="273" t="str">
        <f t="shared" si="421"/>
        <v>1+0.537933402109707i</v>
      </c>
      <c r="AN475" s="585">
        <f t="shared" si="422"/>
        <v>1.1355053258815317</v>
      </c>
      <c r="AO475" s="586">
        <f t="shared" si="423"/>
        <v>0.49353185185523607</v>
      </c>
      <c r="AP475" s="584" t="str">
        <f t="shared" si="424"/>
        <v>1+0.00389182451518278i</v>
      </c>
      <c r="AQ475" s="585">
        <f t="shared" si="425"/>
        <v>1.0000075731203524</v>
      </c>
      <c r="AR475" s="586">
        <f t="shared" si="426"/>
        <v>3.891804866449979E-3</v>
      </c>
      <c r="AS475" s="580" t="str">
        <f t="shared" si="427"/>
        <v>0.138997129383958-0.260777999201824i</v>
      </c>
      <c r="AT475" s="270">
        <f t="shared" si="428"/>
        <v>0.29550865781680113</v>
      </c>
      <c r="AU475" s="581">
        <f t="shared" si="429"/>
        <v>-1.0810912182671608</v>
      </c>
      <c r="AV475" s="580" t="str">
        <f t="shared" si="430"/>
        <v>-0.0224337336401093-0.0543477152463234i</v>
      </c>
      <c r="AW475" s="270">
        <f t="shared" si="431"/>
        <v>-24.613073343566001</v>
      </c>
      <c r="AX475" s="581">
        <f t="shared" si="432"/>
        <v>-112.42993153624913</v>
      </c>
      <c r="AY475" s="299">
        <f t="shared" si="402"/>
        <v>67.570068463750872</v>
      </c>
      <c r="BB475" s="270">
        <f t="shared" si="435"/>
        <v>-50.588595812610144</v>
      </c>
      <c r="BC475" s="270">
        <f t="shared" si="436"/>
        <v>-61.941964075364787</v>
      </c>
      <c r="BD475" s="286"/>
      <c r="BE475" s="270">
        <f t="shared" si="433"/>
        <v>25.97552246904414</v>
      </c>
      <c r="BF475" s="581">
        <f t="shared" si="434"/>
        <v>-50.487967460884306</v>
      </c>
      <c r="BI475" s="286"/>
      <c r="BJ475" s="286"/>
      <c r="BL475" s="253">
        <f t="shared" si="403"/>
        <v>0</v>
      </c>
      <c r="BM475" s="253">
        <f t="shared" si="437"/>
        <v>0</v>
      </c>
      <c r="BN475" s="253">
        <f t="shared" si="404"/>
        <v>0</v>
      </c>
      <c r="BO475" s="253">
        <f t="shared" si="405"/>
        <v>0</v>
      </c>
    </row>
    <row r="476" spans="4:67" ht="13.6" thickBot="1" x14ac:dyDescent="0.25">
      <c r="D476" s="280">
        <v>55914</v>
      </c>
      <c r="E476" s="273" t="str">
        <f t="shared" si="384"/>
        <v>0.632372441878151i</v>
      </c>
      <c r="F476" s="579" t="str">
        <f t="shared" si="406"/>
        <v>0.002-0.0437911361381614i</v>
      </c>
      <c r="G476" s="270" t="str">
        <f t="shared" si="407"/>
        <v>0.002-0.0437911361381614i</v>
      </c>
      <c r="H476" s="271" t="str">
        <f t="shared" si="408"/>
        <v>0.00295350587918885-0.0436827846644768i</v>
      </c>
      <c r="I476" s="271" t="str">
        <f t="shared" si="409"/>
        <v>0.0129535058791889-0.0436827846644768i</v>
      </c>
      <c r="J476" s="270" t="str">
        <f t="shared" si="410"/>
        <v>0.00368801954464149-0.0222027383990601i</v>
      </c>
      <c r="K476" s="271" t="str">
        <f t="shared" si="385"/>
        <v>0.921053119971718-0.441354300584974i</v>
      </c>
      <c r="L476" s="580"/>
      <c r="M476" s="580" t="str">
        <f t="shared" si="386"/>
        <v>-0.0926069313899197-25.8413633472316i</v>
      </c>
      <c r="N476" s="270" t="str">
        <f t="shared" si="387"/>
        <v>-6.73612186520911-19.3810225104237i</v>
      </c>
      <c r="O476" s="581" t="str">
        <f t="shared" si="388"/>
        <v>-4.48305203274952-9.09015952133634i</v>
      </c>
      <c r="P476" s="582" t="str">
        <f t="shared" si="389"/>
        <v>-0.455154721799211+0.0780827617838474i</v>
      </c>
      <c r="Q476" s="583" t="str">
        <f t="shared" si="390"/>
        <v>-0.410324201471714+0.168984356997211i</v>
      </c>
      <c r="R476" s="581" t="str">
        <f t="shared" si="411"/>
        <v>-0.514486812852921-1.06387172498332i</v>
      </c>
      <c r="S476" s="253" t="str">
        <f t="shared" si="412"/>
        <v>46.0842839402468-21.231100333328i</v>
      </c>
      <c r="T476" s="253" t="str">
        <f t="shared" si="413"/>
        <v>12.5829737336477-15.4181904298416i</v>
      </c>
      <c r="U476" s="253" t="str">
        <f t="shared" si="414"/>
        <v>-0.636345605562659-0.595197048126687i</v>
      </c>
      <c r="V476" s="582" t="str">
        <f t="shared" si="391"/>
        <v>6000</v>
      </c>
      <c r="W476" s="584" t="str">
        <f t="shared" si="392"/>
        <v>1+196767.603742713i</v>
      </c>
      <c r="X476" s="585">
        <f t="shared" si="393"/>
        <v>196767.60374525408</v>
      </c>
      <c r="Y476" s="586">
        <f t="shared" si="394"/>
        <v>1.570791244657487</v>
      </c>
      <c r="Z476" s="273" t="str">
        <f t="shared" si="395"/>
        <v>1+29.5107139543137i</v>
      </c>
      <c r="AA476" s="585">
        <f t="shared" si="396"/>
        <v>29.527652092459459</v>
      </c>
      <c r="AB476" s="586">
        <f t="shared" si="397"/>
        <v>1.536923289652951</v>
      </c>
      <c r="AC476" s="584" t="str">
        <f t="shared" si="398"/>
        <v>1+1.42670896345661i</v>
      </c>
      <c r="AD476" s="585">
        <f t="shared" si="399"/>
        <v>1.7422681958893222</v>
      </c>
      <c r="AE476" s="586">
        <f t="shared" si="400"/>
        <v>0.9594573375680342</v>
      </c>
      <c r="AF476" s="580" t="str">
        <f t="shared" si="415"/>
        <v>0.282117524806583-0.43298785260954i</v>
      </c>
      <c r="AG476" s="270">
        <f t="shared" si="416"/>
        <v>0.51678697575540133</v>
      </c>
      <c r="AH476" s="581">
        <f t="shared" si="417"/>
        <v>-0.99332529257257118</v>
      </c>
      <c r="AI476" s="582" t="str">
        <f t="shared" si="401"/>
        <v>4000</v>
      </c>
      <c r="AJ476" s="584" t="str">
        <f t="shared" si="418"/>
        <v>1+15458.534053444i</v>
      </c>
      <c r="AK476" s="585">
        <f t="shared" si="419"/>
        <v>15458.534085788593</v>
      </c>
      <c r="AL476" s="586">
        <f t="shared" si="420"/>
        <v>1.5707316376079952</v>
      </c>
      <c r="AM476" s="273" t="str">
        <f t="shared" si="421"/>
        <v>1+0.541029755829084i</v>
      </c>
      <c r="AN476" s="585">
        <f t="shared" si="422"/>
        <v>1.1369754600221054</v>
      </c>
      <c r="AO476" s="586">
        <f t="shared" si="423"/>
        <v>0.49593019166962571</v>
      </c>
      <c r="AP476" s="584" t="str">
        <f t="shared" si="424"/>
        <v>1+0.00391422592261628i</v>
      </c>
      <c r="AQ476" s="585">
        <f t="shared" si="425"/>
        <v>1.0000076605529447</v>
      </c>
      <c r="AR476" s="586">
        <f t="shared" si="426"/>
        <v>3.914205932633529E-3</v>
      </c>
      <c r="AS476" s="580" t="str">
        <f t="shared" si="427"/>
        <v>0.138996911836268-0.259291756030074i</v>
      </c>
      <c r="AT476" s="270">
        <f t="shared" si="428"/>
        <v>0.29419781821960994</v>
      </c>
      <c r="AU476" s="581">
        <f t="shared" si="429"/>
        <v>-1.0787156518710037</v>
      </c>
      <c r="AV476" s="580" t="str">
        <f t="shared" si="430"/>
        <v>-0.022488151806658-0.0540574221132929i</v>
      </c>
      <c r="AW476" s="270">
        <f t="shared" si="431"/>
        <v>-24.649690867977192</v>
      </c>
      <c r="AX476" s="581">
        <f t="shared" si="432"/>
        <v>-112.58754925366632</v>
      </c>
      <c r="AY476" s="299">
        <f t="shared" si="402"/>
        <v>67.412450746333676</v>
      </c>
      <c r="BB476" s="270">
        <f t="shared" si="435"/>
        <v>-50.627211046765126</v>
      </c>
      <c r="BC476" s="270">
        <f t="shared" si="436"/>
        <v>-61.805854146911898</v>
      </c>
      <c r="BD476" s="286"/>
      <c r="BE476" s="270">
        <f t="shared" si="433"/>
        <v>25.977520178787934</v>
      </c>
      <c r="BF476" s="581">
        <f t="shared" si="434"/>
        <v>-50.781695106754462</v>
      </c>
      <c r="BI476" s="286"/>
      <c r="BJ476" s="286"/>
      <c r="BL476" s="253">
        <f t="shared" si="403"/>
        <v>0</v>
      </c>
      <c r="BM476" s="253">
        <f t="shared" si="437"/>
        <v>0</v>
      </c>
      <c r="BN476" s="253">
        <f t="shared" si="404"/>
        <v>0</v>
      </c>
      <c r="BO476" s="253">
        <f t="shared" si="405"/>
        <v>0</v>
      </c>
    </row>
    <row r="477" spans="4:67" ht="13.6" thickBot="1" x14ac:dyDescent="0.25">
      <c r="D477" s="280">
        <v>56234</v>
      </c>
      <c r="E477" s="273" t="str">
        <f t="shared" si="384"/>
        <v>0.635991556615086i</v>
      </c>
      <c r="F477" s="579" t="str">
        <f t="shared" si="406"/>
        <v>0.002-0.0435419423485642i</v>
      </c>
      <c r="G477" s="270" t="str">
        <f t="shared" si="407"/>
        <v>0.002-0.0435419423485642i</v>
      </c>
      <c r="H477" s="271" t="str">
        <f t="shared" si="408"/>
        <v>0.00294266734308844-0.0434344431794829i</v>
      </c>
      <c r="I477" s="271" t="str">
        <f t="shared" si="409"/>
        <v>0.0129426673430884-0.0434344431794829i</v>
      </c>
      <c r="J477" s="270" t="str">
        <f t="shared" si="410"/>
        <v>0.00368480555305979-0.0220795046623423i</v>
      </c>
      <c r="K477" s="271" t="str">
        <f t="shared" si="385"/>
        <v>0.920146896391505-0.443880204226051i</v>
      </c>
      <c r="L477" s="580"/>
      <c r="M477" s="580" t="str">
        <f t="shared" si="386"/>
        <v>-0.0916541170618321-25.6884822152208i</v>
      </c>
      <c r="N477" s="270" t="str">
        <f t="shared" si="387"/>
        <v>-6.73540725446304-19.2663616614156i</v>
      </c>
      <c r="O477" s="581" t="str">
        <f t="shared" si="388"/>
        <v>-4.48025113346702-9.0302524779293i</v>
      </c>
      <c r="P477" s="582" t="str">
        <f t="shared" si="389"/>
        <v>-0.450210388182963+0.0777216594404484i</v>
      </c>
      <c r="Q477" s="583" t="str">
        <f t="shared" si="390"/>
        <v>-0.405407876848293+0.168024184219741i</v>
      </c>
      <c r="R477" s="581" t="str">
        <f t="shared" si="411"/>
        <v>-0.514327916852502-1.05653300699108i</v>
      </c>
      <c r="S477" s="253" t="str">
        <f t="shared" si="412"/>
        <v>46.0138066957276-21.351035088919i</v>
      </c>
      <c r="T477" s="253" t="str">
        <f t="shared" si="413"/>
        <v>12.5066809165851-15.4860203491991i</v>
      </c>
      <c r="U477" s="253" t="str">
        <f t="shared" si="414"/>
        <v>-0.635823669429942-0.58879092799133i</v>
      </c>
      <c r="V477" s="582" t="str">
        <f t="shared" si="391"/>
        <v>6000</v>
      </c>
      <c r="W477" s="584" t="str">
        <f t="shared" si="392"/>
        <v>1+197893.719441781i</v>
      </c>
      <c r="X477" s="585">
        <f t="shared" si="393"/>
        <v>197893.71944430762</v>
      </c>
      <c r="Y477" s="586">
        <f t="shared" si="394"/>
        <v>1.5707912735774281</v>
      </c>
      <c r="Z477" s="273" t="str">
        <f t="shared" si="395"/>
        <v>1+29.6796059753707i</v>
      </c>
      <c r="AA477" s="585">
        <f t="shared" si="396"/>
        <v>29.696447781734101</v>
      </c>
      <c r="AB477" s="586">
        <f t="shared" si="397"/>
        <v>1.5371158982718307</v>
      </c>
      <c r="AC477" s="584" t="str">
        <f t="shared" si="398"/>
        <v>1+1.43487412546087i</v>
      </c>
      <c r="AD477" s="585">
        <f t="shared" si="399"/>
        <v>1.74896076454479</v>
      </c>
      <c r="AE477" s="586">
        <f t="shared" si="400"/>
        <v>0.96213693930093203</v>
      </c>
      <c r="AF477" s="580" t="str">
        <f t="shared" si="415"/>
        <v>0.279962554880728-0.432025783693177i</v>
      </c>
      <c r="AG477" s="270">
        <f t="shared" si="416"/>
        <v>0.51480608962117802</v>
      </c>
      <c r="AH477" s="581">
        <f t="shared" si="417"/>
        <v>-0.99581231460653086</v>
      </c>
      <c r="AI477" s="582" t="str">
        <f t="shared" si="401"/>
        <v>4000</v>
      </c>
      <c r="AJ477" s="584" t="str">
        <f t="shared" si="418"/>
        <v>1+15547.0043989228i</v>
      </c>
      <c r="AK477" s="585">
        <f t="shared" si="419"/>
        <v>15547.004431083336</v>
      </c>
      <c r="AL477" s="586">
        <f t="shared" si="420"/>
        <v>1.5707320057222989</v>
      </c>
      <c r="AM477" s="273" t="str">
        <f t="shared" si="421"/>
        <v>1+0.544126109548463i</v>
      </c>
      <c r="AN477" s="585">
        <f t="shared" si="422"/>
        <v>1.1384521171715329</v>
      </c>
      <c r="AO477" s="586">
        <f t="shared" si="423"/>
        <v>0.4983223235633964</v>
      </c>
      <c r="AP477" s="584" t="str">
        <f t="shared" si="424"/>
        <v>1+0.0039366273300498i</v>
      </c>
      <c r="AQ477" s="585">
        <f t="shared" si="425"/>
        <v>1.0000077484873484</v>
      </c>
      <c r="AR477" s="586">
        <f t="shared" si="426"/>
        <v>3.9366069948887222E-3</v>
      </c>
      <c r="AS477" s="580" t="str">
        <f t="shared" si="427"/>
        <v>0.138996697438695-0.257822463244396i</v>
      </c>
      <c r="AT477" s="270">
        <f t="shared" si="428"/>
        <v>0.29290357534907635</v>
      </c>
      <c r="AU477" s="581">
        <f t="shared" si="429"/>
        <v>-1.0763462891537927</v>
      </c>
      <c r="AV477" s="580" t="str">
        <f t="shared" si="430"/>
        <v>-0.0225425656895847-0.0537700896593275i</v>
      </c>
      <c r="AW477" s="270">
        <f t="shared" si="431"/>
        <v>-24.685990317816632</v>
      </c>
      <c r="AX477" s="581">
        <f t="shared" si="432"/>
        <v>-112.74537432349051</v>
      </c>
      <c r="AY477" s="299">
        <f t="shared" si="402"/>
        <v>67.254625676509491</v>
      </c>
      <c r="BB477" s="270">
        <f t="shared" si="435"/>
        <v>-50.665506540768995</v>
      </c>
      <c r="BC477" s="270">
        <f t="shared" si="436"/>
        <v>-61.670099663080059</v>
      </c>
      <c r="BD477" s="286"/>
      <c r="BE477" s="270">
        <f t="shared" si="433"/>
        <v>25.97951622295237</v>
      </c>
      <c r="BF477" s="581">
        <f t="shared" si="434"/>
        <v>-51.075274660410486</v>
      </c>
      <c r="BI477" s="286"/>
      <c r="BJ477" s="286"/>
      <c r="BL477" s="253">
        <f t="shared" si="403"/>
        <v>0</v>
      </c>
      <c r="BM477" s="253">
        <f t="shared" si="437"/>
        <v>0</v>
      </c>
      <c r="BN477" s="253">
        <f t="shared" si="404"/>
        <v>0</v>
      </c>
      <c r="BO477" s="253">
        <f t="shared" si="405"/>
        <v>0</v>
      </c>
    </row>
    <row r="478" spans="4:67" ht="13.6" thickBot="1" x14ac:dyDescent="0.25">
      <c r="D478" s="280">
        <v>56561.5</v>
      </c>
      <c r="E478" s="273" t="str">
        <f t="shared" si="384"/>
        <v>0.639695494353669i</v>
      </c>
      <c r="F478" s="579" t="str">
        <f t="shared" si="406"/>
        <v>0.002-0.0432898276394572i</v>
      </c>
      <c r="G478" s="270" t="str">
        <f t="shared" si="407"/>
        <v>0.002-0.0432898276394572i</v>
      </c>
      <c r="H478" s="271" t="str">
        <f t="shared" si="408"/>
        <v>0.00293176458914781-0.0431831866609245i</v>
      </c>
      <c r="I478" s="271" t="str">
        <f t="shared" si="409"/>
        <v>0.0129317645891478-0.0431831866609245i</v>
      </c>
      <c r="J478" s="270" t="str">
        <f t="shared" si="410"/>
        <v>0.00368156124328209-0.0219548422066799i</v>
      </c>
      <c r="K478" s="271" t="str">
        <f t="shared" si="385"/>
        <v>0.919214078375546-0.446465308733716i</v>
      </c>
      <c r="L478" s="580"/>
      <c r="M478" s="580" t="str">
        <f t="shared" si="386"/>
        <v>-0.0906941247481973-25.5339131645468i</v>
      </c>
      <c r="N478" s="270" t="str">
        <f t="shared" si="387"/>
        <v>-6.73468726022782-19.1504348734101i</v>
      </c>
      <c r="O478" s="581" t="str">
        <f t="shared" si="388"/>
        <v>-4.47741180320651-8.96965078264254i</v>
      </c>
      <c r="P478" s="582" t="str">
        <f t="shared" si="389"/>
        <v>-0.445238939437899+0.0773554972876948i</v>
      </c>
      <c r="Q478" s="583" t="str">
        <f t="shared" si="390"/>
        <v>-0.400464821405834+0.16705200511412i</v>
      </c>
      <c r="R478" s="581" t="str">
        <f t="shared" si="411"/>
        <v>-0.514168059230162-1.04910693628868i</v>
      </c>
      <c r="S478" s="253" t="str">
        <f t="shared" si="412"/>
        <v>45.9412559481855-21.4734803696656i</v>
      </c>
      <c r="T478" s="253" t="str">
        <f t="shared" si="413"/>
        <v>12.4282617483664-15.5550137873279i</v>
      </c>
      <c r="U478" s="253" t="str">
        <f t="shared" si="414"/>
        <v>-0.635278326192911-0.582295585555929i</v>
      </c>
      <c r="V478" s="582" t="str">
        <f t="shared" si="391"/>
        <v>6000</v>
      </c>
      <c r="W478" s="584" t="str">
        <f t="shared" si="392"/>
        <v>1+199046.228477545i</v>
      </c>
      <c r="X478" s="585">
        <f t="shared" si="393"/>
        <v>199046.22848005698</v>
      </c>
      <c r="Y478" s="586">
        <f t="shared" si="394"/>
        <v>1.5707913028363538</v>
      </c>
      <c r="Z478" s="273" t="str">
        <f t="shared" si="395"/>
        <v>1+29.8524564031712i</v>
      </c>
      <c r="AA478" s="585">
        <f t="shared" si="396"/>
        <v>29.869200747647017</v>
      </c>
      <c r="AB478" s="586">
        <f t="shared" si="397"/>
        <v>1.5373107670923951</v>
      </c>
      <c r="AC478" s="584" t="str">
        <f t="shared" si="398"/>
        <v>1+1.4432306584496i</v>
      </c>
      <c r="AD478" s="585">
        <f t="shared" si="399"/>
        <v>1.7558230928794807</v>
      </c>
      <c r="AE478" s="586">
        <f t="shared" si="400"/>
        <v>0.9648581730250797</v>
      </c>
      <c r="AF478" s="580" t="str">
        <f t="shared" si="415"/>
        <v>0.277778461099587-0.431037621688205i</v>
      </c>
      <c r="AG478" s="270">
        <f t="shared" si="416"/>
        <v>0.51279070268627036</v>
      </c>
      <c r="AH478" s="581">
        <f t="shared" si="417"/>
        <v>-0.99833870876903885</v>
      </c>
      <c r="AI478" s="582" t="str">
        <f t="shared" si="401"/>
        <v>4000</v>
      </c>
      <c r="AJ478" s="584" t="str">
        <f t="shared" si="418"/>
        <v>1+15637.5482681237i</v>
      </c>
      <c r="AK478" s="585">
        <f t="shared" si="419"/>
        <v>15637.54830009802</v>
      </c>
      <c r="AL478" s="586">
        <f t="shared" si="420"/>
        <v>1.5707323781514462</v>
      </c>
      <c r="AM478" s="273" t="str">
        <f t="shared" si="421"/>
        <v>1+0.547295034058139i</v>
      </c>
      <c r="AN478" s="585">
        <f t="shared" si="422"/>
        <v>1.1399701111453315</v>
      </c>
      <c r="AO478" s="586">
        <f t="shared" si="423"/>
        <v>0.500764089839425</v>
      </c>
      <c r="AP478" s="584" t="str">
        <f t="shared" si="424"/>
        <v>1+0.00395955377047003i</v>
      </c>
      <c r="AQ478" s="585">
        <f t="shared" si="425"/>
        <v>1.0000078390023055</v>
      </c>
      <c r="AR478" s="586">
        <f t="shared" si="426"/>
        <v>3.9595330779494857E-3</v>
      </c>
      <c r="AS478" s="580" t="str">
        <f t="shared" si="427"/>
        <v>0.138996481200445-0.256335984648778i</v>
      </c>
      <c r="AT478" s="270">
        <f t="shared" si="428"/>
        <v>0.29159588270749676</v>
      </c>
      <c r="AU478" s="581">
        <f t="shared" si="429"/>
        <v>-1.073927821389971</v>
      </c>
      <c r="AV478" s="580" t="str">
        <f t="shared" si="430"/>
        <v>-0.0225982512493899-0.0534790289420323i</v>
      </c>
      <c r="AW478" s="270">
        <f t="shared" si="431"/>
        <v>-24.722815100138167</v>
      </c>
      <c r="AX478" s="581">
        <f t="shared" si="432"/>
        <v>-112.90711366269963</v>
      </c>
      <c r="AY478" s="299">
        <f t="shared" si="402"/>
        <v>67.092886337300371</v>
      </c>
      <c r="BB478" s="270">
        <f t="shared" si="435"/>
        <v>-50.704372249745077</v>
      </c>
      <c r="BC478" s="270">
        <f t="shared" si="436"/>
        <v>-61.531531667324636</v>
      </c>
      <c r="BD478" s="286"/>
      <c r="BE478" s="270">
        <f t="shared" si="433"/>
        <v>25.981557149606914</v>
      </c>
      <c r="BF478" s="581">
        <f t="shared" si="434"/>
        <v>-51.375581995375043</v>
      </c>
      <c r="BI478" s="286"/>
      <c r="BJ478" s="286"/>
      <c r="BL478" s="253">
        <f t="shared" si="403"/>
        <v>0</v>
      </c>
      <c r="BM478" s="253">
        <f t="shared" si="437"/>
        <v>0</v>
      </c>
      <c r="BN478" s="253">
        <f t="shared" si="404"/>
        <v>0</v>
      </c>
      <c r="BO478" s="253">
        <f t="shared" si="405"/>
        <v>0</v>
      </c>
    </row>
    <row r="479" spans="4:67" ht="13.6" thickBot="1" x14ac:dyDescent="0.25">
      <c r="D479" s="280">
        <v>56889</v>
      </c>
      <c r="E479" s="273" t="str">
        <f t="shared" si="384"/>
        <v>0.643399432092251i</v>
      </c>
      <c r="F479" s="579" t="str">
        <f t="shared" si="406"/>
        <v>0.002-0.0430406156907162i</v>
      </c>
      <c r="G479" s="270" t="str">
        <f t="shared" si="407"/>
        <v>0.002-0.0430406156907162i</v>
      </c>
      <c r="H479" s="271" t="str">
        <f t="shared" si="408"/>
        <v>0.00292104947243082-0.0429348189878501i</v>
      </c>
      <c r="I479" s="271" t="str">
        <f t="shared" si="409"/>
        <v>0.0129210494724308-0.0429348189878501i</v>
      </c>
      <c r="J479" s="270" t="str">
        <f t="shared" si="410"/>
        <v>0.00367836137162784-0.0218316309057653i</v>
      </c>
      <c r="K479" s="271" t="str">
        <f t="shared" si="385"/>
        <v>0.918275843514053-0.449050413241381i</v>
      </c>
      <c r="L479" s="580"/>
      <c r="M479" s="580" t="str">
        <f t="shared" si="386"/>
        <v>-0.089749157941673-25.381225979469i</v>
      </c>
      <c r="N479" s="270" t="str">
        <f t="shared" si="387"/>
        <v>-6.73397853512292-19.0359194846017i</v>
      </c>
      <c r="O479" s="581" t="str">
        <f t="shared" si="388"/>
        <v>-4.47459926520137-8.90975355675635i</v>
      </c>
      <c r="P479" s="582" t="str">
        <f t="shared" si="389"/>
        <v>-0.440355174660657+0.0769927430005731i</v>
      </c>
      <c r="Q479" s="583" t="str">
        <f t="shared" si="390"/>
        <v>-0.395609182008643+0.166090278568136i</v>
      </c>
      <c r="R479" s="581" t="str">
        <f t="shared" si="411"/>
        <v>-0.514010932914383-1.04176491638669i</v>
      </c>
      <c r="S479" s="253" t="str">
        <f t="shared" si="412"/>
        <v>45.8682792032761-21.5956207961497i</v>
      </c>
      <c r="T479" s="253" t="str">
        <f t="shared" si="413"/>
        <v>12.3495026489075-15.6235743094095i</v>
      </c>
      <c r="U479" s="253" t="str">
        <f t="shared" si="414"/>
        <v>-0.634721826720347-0.575860894314802i</v>
      </c>
      <c r="V479" s="582" t="str">
        <f t="shared" si="391"/>
        <v>6000</v>
      </c>
      <c r="W479" s="584" t="str">
        <f t="shared" si="392"/>
        <v>1+200198.737513309i</v>
      </c>
      <c r="X479" s="585">
        <f t="shared" si="393"/>
        <v>200198.73751580654</v>
      </c>
      <c r="Y479" s="586">
        <f t="shared" si="394"/>
        <v>1.5707913317584024</v>
      </c>
      <c r="Z479" s="273" t="str">
        <f t="shared" si="395"/>
        <v>1+30.0253068309717i</v>
      </c>
      <c r="AA479" s="585">
        <f t="shared" si="396"/>
        <v>30.041954834763931</v>
      </c>
      <c r="AB479" s="586">
        <f t="shared" si="397"/>
        <v>1.5375033947621048</v>
      </c>
      <c r="AC479" s="584" t="str">
        <f t="shared" si="398"/>
        <v>1+1.45158719143833i</v>
      </c>
      <c r="AD479" s="585">
        <f t="shared" si="399"/>
        <v>1.7626983219904135</v>
      </c>
      <c r="AE479" s="586">
        <f t="shared" si="400"/>
        <v>0.96755819881174776</v>
      </c>
      <c r="AF479" s="580" t="str">
        <f t="shared" si="415"/>
        <v>0.275615792017083-0.430046077556813i</v>
      </c>
      <c r="AG479" s="270">
        <f t="shared" si="416"/>
        <v>0.51078732720301934</v>
      </c>
      <c r="AH479" s="581">
        <f t="shared" si="417"/>
        <v>-1.0008461358080472</v>
      </c>
      <c r="AI479" s="582" t="str">
        <f t="shared" si="401"/>
        <v>4000</v>
      </c>
      <c r="AJ479" s="584" t="str">
        <f t="shared" si="418"/>
        <v>1+15728.0921373247i</v>
      </c>
      <c r="AK479" s="585">
        <f t="shared" si="419"/>
        <v>15728.092169114951</v>
      </c>
      <c r="AL479" s="586">
        <f t="shared" si="420"/>
        <v>1.5707327462925749</v>
      </c>
      <c r="AM479" s="273" t="str">
        <f t="shared" si="421"/>
        <v>1+0.550463958567814i</v>
      </c>
      <c r="AN479" s="585">
        <f t="shared" si="422"/>
        <v>1.1414948837739696</v>
      </c>
      <c r="AO479" s="586">
        <f t="shared" si="423"/>
        <v>0.50319934733500349</v>
      </c>
      <c r="AP479" s="584" t="str">
        <f t="shared" si="424"/>
        <v>1+0.00398248021089025i</v>
      </c>
      <c r="AQ479" s="585">
        <f t="shared" si="425"/>
        <v>1.0000079300428724</v>
      </c>
      <c r="AR479" s="586">
        <f t="shared" si="426"/>
        <v>3.9824591568479147E-3</v>
      </c>
      <c r="AS479" s="580" t="str">
        <f t="shared" si="427"/>
        <v>0.138996268106619-0.254866657529614i</v>
      </c>
      <c r="AT479" s="270">
        <f t="shared" si="428"/>
        <v>0.29030497010537842</v>
      </c>
      <c r="AU479" s="581">
        <f t="shared" si="429"/>
        <v>-1.0715158581144208</v>
      </c>
      <c r="AV479" s="580" t="str">
        <f t="shared" si="430"/>
        <v>-0.022653933817338-0.0531909498577454i</v>
      </c>
      <c r="AW479" s="270">
        <f t="shared" si="431"/>
        <v>-24.7593146020685</v>
      </c>
      <c r="AX479" s="581">
        <f t="shared" si="432"/>
        <v>-113.06907125571932</v>
      </c>
      <c r="AY479" s="299">
        <f t="shared" si="402"/>
        <v>66.930928744280678</v>
      </c>
      <c r="BB479" s="270">
        <f t="shared" si="435"/>
        <v>-50.742910577141018</v>
      </c>
      <c r="BC479" s="270">
        <f t="shared" si="436"/>
        <v>-61.393336351295062</v>
      </c>
      <c r="BD479" s="286"/>
      <c r="BE479" s="270">
        <f t="shared" si="433"/>
        <v>25.983595975072511</v>
      </c>
      <c r="BF479" s="581">
        <f t="shared" si="434"/>
        <v>-51.675734904424274</v>
      </c>
      <c r="BI479" s="286"/>
      <c r="BJ479" s="286"/>
      <c r="BL479" s="253">
        <f t="shared" si="403"/>
        <v>0</v>
      </c>
      <c r="BM479" s="253">
        <f t="shared" si="437"/>
        <v>0</v>
      </c>
      <c r="BN479" s="253">
        <f t="shared" si="404"/>
        <v>0</v>
      </c>
      <c r="BO479" s="253">
        <f t="shared" si="405"/>
        <v>0</v>
      </c>
    </row>
    <row r="480" spans="4:67" ht="13.6" thickBot="1" x14ac:dyDescent="0.25">
      <c r="D480" s="280">
        <v>57216.5</v>
      </c>
      <c r="E480" s="273" t="str">
        <f t="shared" si="384"/>
        <v>0.647103369830833i</v>
      </c>
      <c r="F480" s="579" t="str">
        <f t="shared" si="406"/>
        <v>0.002-0.0427942566572432i</v>
      </c>
      <c r="G480" s="270" t="str">
        <f t="shared" si="407"/>
        <v>0.002-0.0427942566572432i</v>
      </c>
      <c r="H480" s="271" t="str">
        <f t="shared" si="408"/>
        <v>0.00291051771248924-0.0426892906456007i</v>
      </c>
      <c r="I480" s="271" t="str">
        <f t="shared" si="409"/>
        <v>0.0129105177124892-0.0426892906456007i</v>
      </c>
      <c r="J480" s="270" t="str">
        <f t="shared" si="410"/>
        <v>0.00367520486813771-0.0217098458219944i</v>
      </c>
      <c r="K480" s="271" t="str">
        <f t="shared" si="385"/>
        <v>0.917332191807025-0.451635517749046i</v>
      </c>
      <c r="L480" s="580"/>
      <c r="M480" s="580" t="str">
        <f t="shared" si="386"/>
        <v>-0.0888189177204833-25.2303859513699i</v>
      </c>
      <c r="N480" s="270" t="str">
        <f t="shared" si="387"/>
        <v>-6.73328085495703-18.9227894635274i</v>
      </c>
      <c r="O480" s="581" t="str">
        <f t="shared" si="388"/>
        <v>-4.47181279718364-8.85054786137275i</v>
      </c>
      <c r="P480" s="582" t="str">
        <f t="shared" si="389"/>
        <v>-0.435557028351917+0.0766333612822029i</v>
      </c>
      <c r="Q480" s="583" t="str">
        <f t="shared" si="390"/>
        <v>-0.39083890038008+0.16513883989593i</v>
      </c>
      <c r="R480" s="581" t="str">
        <f t="shared" si="411"/>
        <v>-0.513856476011186-1.03450539643568i</v>
      </c>
      <c r="S480" s="253" t="str">
        <f t="shared" si="412"/>
        <v>45.7948770532505-21.717455402596i</v>
      </c>
      <c r="T480" s="253" t="str">
        <f t="shared" si="413"/>
        <v>12.2704058747648-15.6917001711104i</v>
      </c>
      <c r="U480" s="253" t="str">
        <f t="shared" si="414"/>
        <v>-0.634154315690221-0.569485894014408i</v>
      </c>
      <c r="V480" s="582" t="str">
        <f t="shared" si="391"/>
        <v>6000</v>
      </c>
      <c r="W480" s="584" t="str">
        <f t="shared" si="392"/>
        <v>1+201351.246549074i</v>
      </c>
      <c r="X480" s="585">
        <f t="shared" si="393"/>
        <v>201351.24655155724</v>
      </c>
      <c r="Y480" s="586">
        <f t="shared" si="394"/>
        <v>1.5707913603493586</v>
      </c>
      <c r="Z480" s="273" t="str">
        <f t="shared" si="395"/>
        <v>1+30.1981572587723i</v>
      </c>
      <c r="AA480" s="585">
        <f t="shared" si="396"/>
        <v>30.214710023853318</v>
      </c>
      <c r="AB480" s="586">
        <f t="shared" si="397"/>
        <v>1.5376938197084558</v>
      </c>
      <c r="AC480" s="584" t="str">
        <f t="shared" si="398"/>
        <v>1+1.45994372442707i</v>
      </c>
      <c r="AD480" s="585">
        <f t="shared" si="399"/>
        <v>1.7695863015106059</v>
      </c>
      <c r="AE480" s="586">
        <f t="shared" si="400"/>
        <v>0.9702372247141906</v>
      </c>
      <c r="AF480" s="580" t="str">
        <f t="shared" si="415"/>
        <v>0.273474340477166-0.429051351268288i</v>
      </c>
      <c r="AG480" s="270">
        <f t="shared" si="416"/>
        <v>0.50879590891099424</v>
      </c>
      <c r="AH480" s="581">
        <f t="shared" si="417"/>
        <v>-1.0033347653550932</v>
      </c>
      <c r="AI480" s="582" t="str">
        <f t="shared" si="401"/>
        <v>4000</v>
      </c>
      <c r="AJ480" s="584" t="str">
        <f t="shared" si="418"/>
        <v>1+15818.6360065257i</v>
      </c>
      <c r="AK480" s="585">
        <f t="shared" si="419"/>
        <v>15818.636038133985</v>
      </c>
      <c r="AL480" s="586">
        <f t="shared" si="420"/>
        <v>1.5707331102193174</v>
      </c>
      <c r="AM480" s="273" t="str">
        <f t="shared" si="421"/>
        <v>1+0.553632883077491i</v>
      </c>
      <c r="AN480" s="585">
        <f t="shared" si="422"/>
        <v>1.1430264079297097</v>
      </c>
      <c r="AO480" s="586">
        <f t="shared" si="423"/>
        <v>0.50562809327122182</v>
      </c>
      <c r="AP480" s="584" t="str">
        <f t="shared" si="424"/>
        <v>1+0.00400540665131049i</v>
      </c>
      <c r="AQ480" s="585">
        <f t="shared" si="425"/>
        <v>1.0000080216090481</v>
      </c>
      <c r="AR480" s="586">
        <f t="shared" si="426"/>
        <v>4.0053852315599416E-3</v>
      </c>
      <c r="AS480" s="580" t="str">
        <f t="shared" si="427"/>
        <v>0.138996058082096-0.253414187368228i</v>
      </c>
      <c r="AT480" s="270">
        <f t="shared" si="428"/>
        <v>0.28903054254154659</v>
      </c>
      <c r="AU480" s="581">
        <f t="shared" si="429"/>
        <v>-1.0691104021796547</v>
      </c>
      <c r="AV480" s="580" t="str">
        <f t="shared" si="430"/>
        <v>-0.0227096139962813-0.0529057940182235i</v>
      </c>
      <c r="AW480" s="270">
        <f t="shared" si="431"/>
        <v>-24.795492720037927</v>
      </c>
      <c r="AX480" s="581">
        <f t="shared" si="432"/>
        <v>-113.23124758357034</v>
      </c>
      <c r="AY480" s="299">
        <f t="shared" si="402"/>
        <v>66.768752416429663</v>
      </c>
      <c r="BB480" s="270">
        <f t="shared" si="435"/>
        <v>-50.781125237852507</v>
      </c>
      <c r="BC480" s="270">
        <f t="shared" si="436"/>
        <v>-61.25551387842826</v>
      </c>
      <c r="BD480" s="286"/>
      <c r="BE480" s="270">
        <f t="shared" si="433"/>
        <v>25.985632517814569</v>
      </c>
      <c r="BF480" s="581">
        <f t="shared" si="434"/>
        <v>-51.975733705142041</v>
      </c>
      <c r="BI480" s="286"/>
      <c r="BJ480" s="286"/>
      <c r="BL480" s="253">
        <f t="shared" si="403"/>
        <v>0</v>
      </c>
      <c r="BM480" s="253">
        <f t="shared" si="437"/>
        <v>0</v>
      </c>
      <c r="BN480" s="253">
        <f t="shared" si="404"/>
        <v>0</v>
      </c>
      <c r="BO480" s="253">
        <f t="shared" si="405"/>
        <v>0</v>
      </c>
    </row>
    <row r="481" spans="4:67" ht="13.6" thickBot="1" x14ac:dyDescent="0.25">
      <c r="D481" s="280">
        <v>57544</v>
      </c>
      <c r="E481" s="273" t="str">
        <f t="shared" si="384"/>
        <v>0.650807307569416i</v>
      </c>
      <c r="F481" s="579" t="str">
        <f t="shared" si="406"/>
        <v>0.002-0.0425507018286731i</v>
      </c>
      <c r="G481" s="270" t="str">
        <f t="shared" si="407"/>
        <v>0.002-0.0425507018286731i</v>
      </c>
      <c r="H481" s="271" t="str">
        <f t="shared" si="408"/>
        <v>0.00290016515022312-0.0424465532441485i</v>
      </c>
      <c r="I481" s="271" t="str">
        <f t="shared" si="409"/>
        <v>0.0129001651502231-0.0424465532441485i</v>
      </c>
      <c r="J481" s="270" t="str">
        <f t="shared" si="410"/>
        <v>0.00367209069336802-0.021589462585019i</v>
      </c>
      <c r="K481" s="271" t="str">
        <f t="shared" si="385"/>
        <v>0.916383123254463-0.454220622256711i</v>
      </c>
      <c r="L481" s="580"/>
      <c r="M481" s="580" t="str">
        <f t="shared" si="386"/>
        <v>-0.0879031120642598-25.0813592318439i</v>
      </c>
      <c r="N481" s="270" t="str">
        <f t="shared" si="387"/>
        <v>-6.73259400071486-18.8110194238829i</v>
      </c>
      <c r="O481" s="581" t="str">
        <f t="shared" si="388"/>
        <v>-4.46905169776162-8.7920210787827i</v>
      </c>
      <c r="P481" s="582" t="str">
        <f t="shared" si="389"/>
        <v>-0.430842495810236+0.0762773169193514i</v>
      </c>
      <c r="Q481" s="583" t="str">
        <f t="shared" si="390"/>
        <v>-0.38615197883262+0.164197527707178i</v>
      </c>
      <c r="R481" s="581" t="str">
        <f t="shared" si="411"/>
        <v>-0.513704628363643-1.02732686404082i</v>
      </c>
      <c r="S481" s="253" t="str">
        <f t="shared" si="412"/>
        <v>45.7210500987648-21.8389831937142i</v>
      </c>
      <c r="T481" s="253" t="str">
        <f t="shared" si="413"/>
        <v>12.1909736972223-15.7593896313532i</v>
      </c>
      <c r="U481" s="253" t="str">
        <f t="shared" si="414"/>
        <v>-0.633575934018546-0.563169646734801i</v>
      </c>
      <c r="V481" s="582" t="str">
        <f t="shared" si="391"/>
        <v>6000</v>
      </c>
      <c r="W481" s="584" t="str">
        <f t="shared" si="392"/>
        <v>1+202503.755584839i</v>
      </c>
      <c r="X481" s="585">
        <f t="shared" si="393"/>
        <v>202503.75558730811</v>
      </c>
      <c r="Y481" s="586">
        <f t="shared" si="394"/>
        <v>1.5707913886148757</v>
      </c>
      <c r="Z481" s="273" t="str">
        <f t="shared" si="395"/>
        <v>1+30.3710076865727i</v>
      </c>
      <c r="AA481" s="585">
        <f t="shared" si="396"/>
        <v>30.387466296120479</v>
      </c>
      <c r="AB481" s="586">
        <f t="shared" si="397"/>
        <v>1.537882079485732</v>
      </c>
      <c r="AC481" s="584" t="str">
        <f t="shared" si="398"/>
        <v>1+1.4683002574158i</v>
      </c>
      <c r="AD481" s="585">
        <f t="shared" si="399"/>
        <v>1.7764868831284133</v>
      </c>
      <c r="AE481" s="586">
        <f t="shared" si="400"/>
        <v>0.97289545676774469</v>
      </c>
      <c r="AF481" s="580" t="str">
        <f t="shared" si="415"/>
        <v>0.271353900059854-0.428053637738285i</v>
      </c>
      <c r="AG481" s="270">
        <f t="shared" si="416"/>
        <v>0.5068163926499144</v>
      </c>
      <c r="AH481" s="581">
        <f t="shared" si="417"/>
        <v>-1.0058047658968887</v>
      </c>
      <c r="AI481" s="582" t="str">
        <f t="shared" si="401"/>
        <v>4000</v>
      </c>
      <c r="AJ481" s="584" t="str">
        <f t="shared" si="418"/>
        <v>1+15909.1798757266i</v>
      </c>
      <c r="AK481" s="585">
        <f t="shared" si="419"/>
        <v>15909.179907154994</v>
      </c>
      <c r="AL481" s="586">
        <f t="shared" si="420"/>
        <v>1.5707334700036293</v>
      </c>
      <c r="AM481" s="273" t="str">
        <f t="shared" si="421"/>
        <v>1+0.556801807587167i</v>
      </c>
      <c r="AN481" s="585">
        <f t="shared" si="422"/>
        <v>1.1445646565102108</v>
      </c>
      <c r="AO481" s="586">
        <f t="shared" si="423"/>
        <v>0.50805032519128757</v>
      </c>
      <c r="AP481" s="584" t="str">
        <f t="shared" si="424"/>
        <v>1+0.00402833309173072i</v>
      </c>
      <c r="AQ481" s="585">
        <f t="shared" si="425"/>
        <v>1.000008113700833</v>
      </c>
      <c r="AR481" s="586">
        <f t="shared" si="426"/>
        <v>4.0283113020614346E-3</v>
      </c>
      <c r="AS481" s="580" t="str">
        <f t="shared" si="427"/>
        <v>0.138995851053886-0.251978286350725i</v>
      </c>
      <c r="AT481" s="270">
        <f t="shared" si="428"/>
        <v>0.28777231173697382</v>
      </c>
      <c r="AU481" s="581">
        <f t="shared" si="429"/>
        <v>-1.0667114561144018</v>
      </c>
      <c r="AV481" s="580" t="str">
        <f t="shared" si="430"/>
        <v>-0.0227652922902081-0.0526235043507256i</v>
      </c>
      <c r="AW481" s="270">
        <f t="shared" si="431"/>
        <v>-24.831353292650995</v>
      </c>
      <c r="AX481" s="581">
        <f t="shared" si="432"/>
        <v>-113.39364308851346</v>
      </c>
      <c r="AY481" s="299">
        <f t="shared" si="402"/>
        <v>66.606356911486543</v>
      </c>
      <c r="BB481" s="270">
        <f t="shared" si="435"/>
        <v>-50.819019888204977</v>
      </c>
      <c r="BC481" s="270">
        <f t="shared" si="436"/>
        <v>-61.118064393609757</v>
      </c>
      <c r="BD481" s="286"/>
      <c r="BE481" s="270">
        <f t="shared" si="433"/>
        <v>25.987666595553982</v>
      </c>
      <c r="BF481" s="581">
        <f t="shared" si="434"/>
        <v>-52.2755786949037</v>
      </c>
      <c r="BI481" s="286"/>
      <c r="BJ481" s="286"/>
      <c r="BL481" s="253">
        <f t="shared" si="403"/>
        <v>0</v>
      </c>
      <c r="BM481" s="253">
        <f t="shared" si="437"/>
        <v>0</v>
      </c>
      <c r="BN481" s="253">
        <f t="shared" si="404"/>
        <v>0</v>
      </c>
      <c r="BO481" s="253">
        <f t="shared" si="405"/>
        <v>0</v>
      </c>
    </row>
    <row r="482" spans="4:67" ht="13.6" thickBot="1" x14ac:dyDescent="0.25">
      <c r="D482" s="280">
        <v>57879</v>
      </c>
      <c r="E482" s="273" t="str">
        <f t="shared" si="384"/>
        <v>0.654596068309645i</v>
      </c>
      <c r="F482" s="579" t="str">
        <f t="shared" si="406"/>
        <v>0.002-0.0423044210513167i</v>
      </c>
      <c r="G482" s="270" t="str">
        <f t="shared" si="407"/>
        <v>0.002-0.0423044210513167i</v>
      </c>
      <c r="H482" s="271" t="str">
        <f t="shared" si="408"/>
        <v>0.00288975669368936-0.0422010952141497i</v>
      </c>
      <c r="I482" s="271" t="str">
        <f t="shared" si="409"/>
        <v>0.0128897566936894-0.0422010952141497i</v>
      </c>
      <c r="J482" s="270" t="str">
        <f t="shared" si="410"/>
        <v>0.0036689479427551-0.0214677480209598i</v>
      </c>
      <c r="K482" s="271" t="str">
        <f t="shared" si="385"/>
        <v>0.915406715966768-0.456864927630964i</v>
      </c>
      <c r="L482" s="580"/>
      <c r="M482" s="580" t="str">
        <f t="shared" si="386"/>
        <v>-0.0869809705781661-24.9307613463205i</v>
      </c>
      <c r="N482" s="270" t="str">
        <f t="shared" si="387"/>
        <v>-6.73190239460029-18.6980710097404i</v>
      </c>
      <c r="O482" s="581" t="str">
        <f t="shared" si="388"/>
        <v>-4.46625290367826-8.73284357255624i</v>
      </c>
      <c r="P482" s="582" t="str">
        <f t="shared" si="389"/>
        <v>-0.426104476356617+0.0759165351442991i</v>
      </c>
      <c r="Q482" s="583" t="str">
        <f t="shared" si="390"/>
        <v>-0.381441947319835+0.163244970869862i</v>
      </c>
      <c r="R482" s="581" t="str">
        <f t="shared" si="411"/>
        <v>-0.513551941905853-1.02006619095057i</v>
      </c>
      <c r="S482" s="253" t="str">
        <f t="shared" si="412"/>
        <v>45.645093577583-21.9629755610259i</v>
      </c>
      <c r="T482" s="253" t="str">
        <f t="shared" si="413"/>
        <v>12.1093778326549-15.8281759138141i</v>
      </c>
      <c r="U482" s="253" t="str">
        <f t="shared" si="414"/>
        <v>-0.632973203156851-0.556768584195819i</v>
      </c>
      <c r="V482" s="582" t="str">
        <f t="shared" si="391"/>
        <v>6000</v>
      </c>
      <c r="W482" s="584" t="str">
        <f t="shared" si="392"/>
        <v>1+203682.6579573i</v>
      </c>
      <c r="X482" s="585">
        <f t="shared" si="393"/>
        <v>203682.65795975481</v>
      </c>
      <c r="Y482" s="586">
        <f t="shared" si="394"/>
        <v>1.5707914171967501</v>
      </c>
      <c r="Z482" s="273" t="str">
        <f t="shared" si="395"/>
        <v>1+30.5478165211168i</v>
      </c>
      <c r="AA482" s="585">
        <f t="shared" si="396"/>
        <v>30.564179920420187</v>
      </c>
      <c r="AB482" s="586">
        <f t="shared" si="397"/>
        <v>1.5380724487039314</v>
      </c>
      <c r="AC482" s="584" t="str">
        <f t="shared" si="398"/>
        <v>1+1.47684816138901i</v>
      </c>
      <c r="AD482" s="585">
        <f t="shared" si="399"/>
        <v>1.7835583791393257</v>
      </c>
      <c r="AE482" s="586">
        <f t="shared" si="400"/>
        <v>0.97559326345679642</v>
      </c>
      <c r="AF482" s="580" t="str">
        <f t="shared" si="415"/>
        <v>0.269206423969066-0.427030183176029i</v>
      </c>
      <c r="AG482" s="270">
        <f t="shared" si="416"/>
        <v>0.50480379955935895</v>
      </c>
      <c r="AH482" s="581">
        <f t="shared" si="417"/>
        <v>-1.0083122319496147</v>
      </c>
      <c r="AI482" s="582" t="str">
        <f t="shared" si="401"/>
        <v>4000</v>
      </c>
      <c r="AJ482" s="584" t="str">
        <f t="shared" si="418"/>
        <v>1+16001.7972686498i</v>
      </c>
      <c r="AK482" s="585">
        <f t="shared" si="419"/>
        <v>16001.797299896289</v>
      </c>
      <c r="AL482" s="586">
        <f t="shared" si="420"/>
        <v>1.5707338338147701</v>
      </c>
      <c r="AM482" s="273" t="str">
        <f t="shared" si="421"/>
        <v>1+0.560043302887141i</v>
      </c>
      <c r="AN482" s="585">
        <f t="shared" si="422"/>
        <v>1.1461450611108255</v>
      </c>
      <c r="AO482" s="586">
        <f t="shared" si="423"/>
        <v>0.51052128635629335</v>
      </c>
      <c r="AP482" s="584" t="str">
        <f t="shared" si="424"/>
        <v>1+0.00405178456513767i</v>
      </c>
      <c r="AQ482" s="585">
        <f t="shared" si="425"/>
        <v>1.0000082084453918</v>
      </c>
      <c r="AR482" s="586">
        <f t="shared" si="426"/>
        <v>4.0517623926968425E-3</v>
      </c>
      <c r="AS482" s="580" t="str">
        <f t="shared" si="427"/>
        <v>0.138995642310661-0.250526351542372i</v>
      </c>
      <c r="AT482" s="270">
        <f t="shared" si="428"/>
        <v>0.28650173018410446</v>
      </c>
      <c r="AU482" s="581">
        <f t="shared" si="429"/>
        <v>-1.0642643098511737</v>
      </c>
      <c r="AV482" s="580" t="str">
        <f t="shared" si="430"/>
        <v>-0.0228222441342635-0.0523376572560983i</v>
      </c>
      <c r="AW482" s="270">
        <f t="shared" si="431"/>
        <v>-24.867710505559884</v>
      </c>
      <c r="AX482" s="581">
        <f t="shared" si="432"/>
        <v>-113.55998475921247</v>
      </c>
      <c r="AY482" s="299">
        <f t="shared" si="402"/>
        <v>66.440015240787531</v>
      </c>
      <c r="BB482" s="270">
        <f t="shared" si="435"/>
        <v>-50.85745501968119</v>
      </c>
      <c r="BC482" s="270">
        <f t="shared" si="436"/>
        <v>-60.977853240875575</v>
      </c>
      <c r="BD482" s="286"/>
      <c r="BE482" s="270">
        <f t="shared" si="433"/>
        <v>25.989744514121309</v>
      </c>
      <c r="BF482" s="581">
        <f t="shared" si="434"/>
        <v>-52.58213151833688</v>
      </c>
      <c r="BI482" s="286"/>
      <c r="BJ482" s="286"/>
      <c r="BL482" s="253">
        <f t="shared" si="403"/>
        <v>0</v>
      </c>
      <c r="BM482" s="253">
        <f t="shared" si="437"/>
        <v>0</v>
      </c>
      <c r="BN482" s="253">
        <f t="shared" si="404"/>
        <v>0</v>
      </c>
      <c r="BO482" s="253">
        <f t="shared" si="405"/>
        <v>0</v>
      </c>
    </row>
    <row r="483" spans="4:67" ht="13.6" thickBot="1" x14ac:dyDescent="0.25">
      <c r="D483" s="280">
        <v>58214</v>
      </c>
      <c r="E483" s="273" t="str">
        <f t="shared" si="384"/>
        <v>0.658384829049874i</v>
      </c>
      <c r="F483" s="579" t="str">
        <f t="shared" si="406"/>
        <v>0.002-0.0420609747831992i</v>
      </c>
      <c r="G483" s="270" t="str">
        <f t="shared" si="407"/>
        <v>0.002-0.0420609747831992i</v>
      </c>
      <c r="H483" s="271" t="str">
        <f t="shared" si="408"/>
        <v>0.00287952730435315-0.0419584584620692i</v>
      </c>
      <c r="I483" s="271" t="str">
        <f t="shared" si="409"/>
        <v>0.0128795273043532-0.0419584584620692i</v>
      </c>
      <c r="J483" s="270" t="str">
        <f t="shared" si="410"/>
        <v>0.00366584737503243-0.0213474504116307i</v>
      </c>
      <c r="K483" s="271" t="str">
        <f t="shared" si="385"/>
        <v>0.914424640892907-0.459509233005217i</v>
      </c>
      <c r="L483" s="580"/>
      <c r="M483" s="580" t="str">
        <f t="shared" si="386"/>
        <v>-0.0860733356469631-24.7819917699034i</v>
      </c>
      <c r="N483" s="270" t="str">
        <f t="shared" si="387"/>
        <v>-6.73122166840189-18.5864938274275i</v>
      </c>
      <c r="O483" s="581" t="str">
        <f t="shared" si="388"/>
        <v>-4.46347923269872-8.67435070976283i</v>
      </c>
      <c r="P483" s="582" t="str">
        <f t="shared" si="389"/>
        <v>-0.421449886590961+0.0755591711675719i</v>
      </c>
      <c r="Q483" s="583" t="str">
        <f t="shared" si="390"/>
        <v>-0.376815094263973+0.162302678265201i</v>
      </c>
      <c r="R483" s="581" t="str">
        <f t="shared" si="411"/>
        <v>-0.513401863568468-1.0128871741589i</v>
      </c>
      <c r="S483" s="253" t="str">
        <f t="shared" si="412"/>
        <v>45.5686938719055-22.0866447015309i</v>
      </c>
      <c r="T483" s="253" t="str">
        <f t="shared" si="413"/>
        <v>12.0274358815462-15.8965019048342i</v>
      </c>
      <c r="U483" s="253" t="str">
        <f t="shared" si="414"/>
        <v>-0.632359384843922-0.550427080119727i</v>
      </c>
      <c r="V483" s="582" t="str">
        <f t="shared" si="391"/>
        <v>6000</v>
      </c>
      <c r="W483" s="584" t="str">
        <f t="shared" si="392"/>
        <v>1+204861.560329761i</v>
      </c>
      <c r="X483" s="585">
        <f t="shared" si="393"/>
        <v>204861.56033220168</v>
      </c>
      <c r="Y483" s="586">
        <f t="shared" si="394"/>
        <v>1.5707914454496683</v>
      </c>
      <c r="Z483" s="273" t="str">
        <f t="shared" si="395"/>
        <v>1+30.7246253556608i</v>
      </c>
      <c r="AA483" s="585">
        <f t="shared" si="396"/>
        <v>30.740894639644349</v>
      </c>
      <c r="AB483" s="586">
        <f t="shared" si="397"/>
        <v>1.5382606292454826</v>
      </c>
      <c r="AC483" s="584" t="str">
        <f t="shared" si="398"/>
        <v>1+1.48539606536222i</v>
      </c>
      <c r="AD483" s="585">
        <f t="shared" si="399"/>
        <v>1.7906427535925655</v>
      </c>
      <c r="AE483" s="586">
        <f t="shared" si="400"/>
        <v>0.97826974266804378</v>
      </c>
      <c r="AF483" s="580" t="str">
        <f t="shared" si="415"/>
        <v>0.267080498073082-0.426003999790669i</v>
      </c>
      <c r="AG483" s="270">
        <f t="shared" si="416"/>
        <v>0.50280354044956155</v>
      </c>
      <c r="AH483" s="581">
        <f t="shared" si="417"/>
        <v>-1.0108005588722302</v>
      </c>
      <c r="AI483" s="582" t="str">
        <f t="shared" si="401"/>
        <v>4000</v>
      </c>
      <c r="AJ483" s="584" t="str">
        <f t="shared" si="418"/>
        <v>1+16094.4146615729i</v>
      </c>
      <c r="AK483" s="585">
        <f t="shared" si="419"/>
        <v>16094.414692639577</v>
      </c>
      <c r="AL483" s="586">
        <f t="shared" si="420"/>
        <v>1.5707341934387142</v>
      </c>
      <c r="AM483" s="273" t="str">
        <f t="shared" si="421"/>
        <v>1+0.563284798187114i</v>
      </c>
      <c r="AN483" s="585">
        <f t="shared" si="422"/>
        <v>1.1477324443739916</v>
      </c>
      <c r="AO483" s="586">
        <f t="shared" si="423"/>
        <v>0.51298542755494336</v>
      </c>
      <c r="AP483" s="584" t="str">
        <f t="shared" si="424"/>
        <v>1+0.00407523603854463i</v>
      </c>
      <c r="AQ483" s="585">
        <f t="shared" si="425"/>
        <v>1.0000083037399088</v>
      </c>
      <c r="AR483" s="586">
        <f t="shared" si="426"/>
        <v>4.0752134788756729E-3</v>
      </c>
      <c r="AS483" s="580" t="str">
        <f t="shared" si="427"/>
        <v>0.138995436554586-0.249091164936392i</v>
      </c>
      <c r="AT483" s="270">
        <f t="shared" si="428"/>
        <v>0.28524750626844886</v>
      </c>
      <c r="AU483" s="581">
        <f t="shared" si="429"/>
        <v>-1.0618239793626461</v>
      </c>
      <c r="AV483" s="580" t="str">
        <f t="shared" si="430"/>
        <v>-0.0228791947690092-0.0520546923688534i</v>
      </c>
      <c r="AW483" s="270">
        <f t="shared" si="431"/>
        <v>-24.903743407483219</v>
      </c>
      <c r="AX483" s="581">
        <f t="shared" si="432"/>
        <v>-113.7265565756075</v>
      </c>
      <c r="AY483" s="299">
        <f t="shared" si="402"/>
        <v>66.273443424392497</v>
      </c>
      <c r="BB483" s="270">
        <f t="shared" si="435"/>
        <v>-50.895562872889855</v>
      </c>
      <c r="BC483" s="270">
        <f t="shared" si="436"/>
        <v>-60.838032603265845</v>
      </c>
      <c r="BD483" s="286"/>
      <c r="BE483" s="270">
        <f t="shared" si="433"/>
        <v>25.991819465406639</v>
      </c>
      <c r="BF483" s="581">
        <f t="shared" si="434"/>
        <v>-52.888523972341666</v>
      </c>
      <c r="BI483" s="286"/>
      <c r="BJ483" s="286"/>
      <c r="BL483" s="253">
        <f t="shared" si="403"/>
        <v>0</v>
      </c>
      <c r="BM483" s="253">
        <f t="shared" si="437"/>
        <v>0</v>
      </c>
      <c r="BN483" s="253">
        <f t="shared" si="404"/>
        <v>0</v>
      </c>
      <c r="BO483" s="253">
        <f t="shared" si="405"/>
        <v>0</v>
      </c>
    </row>
    <row r="484" spans="4:67" ht="13.6" thickBot="1" x14ac:dyDescent="0.25">
      <c r="D484" s="280">
        <v>58549</v>
      </c>
      <c r="E484" s="273" t="str">
        <f t="shared" si="384"/>
        <v>0.662173589790104i</v>
      </c>
      <c r="F484" s="579" t="str">
        <f t="shared" si="406"/>
        <v>0.002-0.041820314369659i</v>
      </c>
      <c r="G484" s="270" t="str">
        <f t="shared" si="407"/>
        <v>0.002-0.041820314369659i</v>
      </c>
      <c r="H484" s="271" t="str">
        <f t="shared" si="408"/>
        <v>0.00286947289867236-0.0417185946456645i</v>
      </c>
      <c r="I484" s="271" t="str">
        <f t="shared" si="409"/>
        <v>0.0128694728986724-0.0417185946456645i</v>
      </c>
      <c r="J484" s="270" t="str">
        <f t="shared" si="410"/>
        <v>0.00366278797020934-0.0212285454132042i</v>
      </c>
      <c r="K484" s="271" t="str">
        <f t="shared" si="385"/>
        <v>0.913436898032878-0.462153538379469i</v>
      </c>
      <c r="L484" s="580"/>
      <c r="M484" s="580" t="str">
        <f t="shared" si="386"/>
        <v>-0.0851799160538841-24.635016897415i</v>
      </c>
      <c r="N484" s="270" t="str">
        <f t="shared" si="387"/>
        <v>-6.73055160370708-18.4762626730612i</v>
      </c>
      <c r="O484" s="581" t="str">
        <f t="shared" si="388"/>
        <v>-4.46072999741456-8.61652996490943i</v>
      </c>
      <c r="P484" s="582" t="str">
        <f t="shared" si="389"/>
        <v>-0.416876764668301+0.0752051877218937i</v>
      </c>
      <c r="Q484" s="583" t="str">
        <f t="shared" si="390"/>
        <v>-0.372269464694154+0.161370487370988i</v>
      </c>
      <c r="R484" s="581" t="str">
        <f t="shared" si="411"/>
        <v>-0.513254334237568-1.00578831219308i</v>
      </c>
      <c r="S484" s="253" t="str">
        <f t="shared" si="412"/>
        <v>45.4918516536573-22.2099894589937i</v>
      </c>
      <c r="T484" s="253" t="str">
        <f t="shared" si="413"/>
        <v>11.9451503228561-15.9643657538007i</v>
      </c>
      <c r="U484" s="253" t="str">
        <f t="shared" si="414"/>
        <v>-0.631734618535935-0.544144199175784i</v>
      </c>
      <c r="V484" s="582" t="str">
        <f t="shared" si="391"/>
        <v>6000</v>
      </c>
      <c r="W484" s="584" t="str">
        <f t="shared" si="392"/>
        <v>1+206040.462702223i</v>
      </c>
      <c r="X484" s="585">
        <f t="shared" si="393"/>
        <v>206040.46270464969</v>
      </c>
      <c r="Y484" s="586">
        <f t="shared" si="394"/>
        <v>1.5707914733792767</v>
      </c>
      <c r="Z484" s="273" t="str">
        <f t="shared" si="395"/>
        <v>1+30.9014341902049i</v>
      </c>
      <c r="AA484" s="585">
        <f t="shared" si="396"/>
        <v>30.917610435018492</v>
      </c>
      <c r="AB484" s="586">
        <f t="shared" si="397"/>
        <v>1.5384466586264016</v>
      </c>
      <c r="AC484" s="584" t="str">
        <f t="shared" si="398"/>
        <v>1+1.49394396933543i</v>
      </c>
      <c r="AD484" s="585">
        <f t="shared" si="399"/>
        <v>1.7977398542374534</v>
      </c>
      <c r="AE484" s="586">
        <f t="shared" si="400"/>
        <v>0.98092510841687319</v>
      </c>
      <c r="AF484" s="580" t="str">
        <f t="shared" si="415"/>
        <v>0.264975904228469-0.424975280440792i</v>
      </c>
      <c r="AG484" s="270">
        <f t="shared" si="416"/>
        <v>0.50081555367962027</v>
      </c>
      <c r="AH484" s="581">
        <f t="shared" si="417"/>
        <v>-1.0132699231697506</v>
      </c>
      <c r="AI484" s="582" t="str">
        <f t="shared" si="401"/>
        <v>4000</v>
      </c>
      <c r="AJ484" s="584" t="str">
        <f t="shared" si="418"/>
        <v>1+16187.032054496i</v>
      </c>
      <c r="AK484" s="585">
        <f t="shared" si="419"/>
        <v>16187.032085384921</v>
      </c>
      <c r="AL484" s="586">
        <f t="shared" si="420"/>
        <v>1.5707345489473357</v>
      </c>
      <c r="AM484" s="273" t="str">
        <f t="shared" si="421"/>
        <v>1+0.56652629348709i</v>
      </c>
      <c r="AN484" s="585">
        <f t="shared" si="422"/>
        <v>1.1493267773841433</v>
      </c>
      <c r="AO484" s="586">
        <f t="shared" si="423"/>
        <v>0.51544274718282201</v>
      </c>
      <c r="AP484" s="584" t="str">
        <f t="shared" si="424"/>
        <v>1+0.00409868751195159i</v>
      </c>
      <c r="AQ484" s="585">
        <f t="shared" si="425"/>
        <v>1.0000083995843838</v>
      </c>
      <c r="AR484" s="586">
        <f t="shared" si="426"/>
        <v>4.0986645605721244E-3</v>
      </c>
      <c r="AS484" s="580" t="str">
        <f t="shared" si="427"/>
        <v>0.138995233714-0.247672439048014i</v>
      </c>
      <c r="AT484" s="270">
        <f t="shared" si="428"/>
        <v>0.2840093520629236</v>
      </c>
      <c r="AU484" s="581">
        <f t="shared" si="429"/>
        <v>-1.0593904663250862</v>
      </c>
      <c r="AV484" s="580" t="str">
        <f t="shared" si="430"/>
        <v>-0.0229361444322416-0.0517745526430225i</v>
      </c>
      <c r="AW484" s="270">
        <f t="shared" si="431"/>
        <v>-24.939455927096628</v>
      </c>
      <c r="AX484" s="581">
        <f t="shared" si="432"/>
        <v>-113.89335888980764</v>
      </c>
      <c r="AY484" s="299">
        <f t="shared" si="402"/>
        <v>66.106641110192356</v>
      </c>
      <c r="BB484" s="270">
        <f t="shared" si="435"/>
        <v>-50.933347179168358</v>
      </c>
      <c r="BC484" s="270">
        <f t="shared" si="436"/>
        <v>-60.698602576823589</v>
      </c>
      <c r="BD484" s="286"/>
      <c r="BE484" s="270">
        <f t="shared" si="433"/>
        <v>25.993891252071734</v>
      </c>
      <c r="BF484" s="581">
        <f t="shared" si="434"/>
        <v>-53.194756312984076</v>
      </c>
      <c r="BI484" s="286"/>
      <c r="BJ484" s="286"/>
      <c r="BL484" s="253">
        <f t="shared" si="403"/>
        <v>0</v>
      </c>
      <c r="BM484" s="253">
        <f t="shared" si="437"/>
        <v>0</v>
      </c>
      <c r="BN484" s="253">
        <f t="shared" si="404"/>
        <v>0</v>
      </c>
      <c r="BO484" s="253">
        <f t="shared" si="405"/>
        <v>0</v>
      </c>
    </row>
    <row r="485" spans="4:67" ht="13.6" thickBot="1" x14ac:dyDescent="0.25">
      <c r="D485" s="280">
        <v>58884</v>
      </c>
      <c r="E485" s="273" t="str">
        <f t="shared" si="384"/>
        <v>0.665962350530333i</v>
      </c>
      <c r="F485" s="579" t="str">
        <f t="shared" si="406"/>
        <v>0.002-0.0415823922632491i</v>
      </c>
      <c r="G485" s="270" t="str">
        <f t="shared" si="407"/>
        <v>0.002-0.0415823922632491i</v>
      </c>
      <c r="H485" s="271" t="str">
        <f t="shared" si="408"/>
        <v>0.00285958950883214-0.0414814565203946i</v>
      </c>
      <c r="I485" s="271" t="str">
        <f t="shared" si="409"/>
        <v>0.0128595895088321-0.0414814565203946i</v>
      </c>
      <c r="J485" s="270" t="str">
        <f t="shared" si="410"/>
        <v>0.00365976873739662-0.0211110092353988i</v>
      </c>
      <c r="K485" s="271" t="str">
        <f t="shared" si="385"/>
        <v>0.912443487386682-0.464797843753722i</v>
      </c>
      <c r="L485" s="580"/>
      <c r="M485" s="580" t="str">
        <f t="shared" si="386"/>
        <v>-0.0843004274183571-24.4898039533215i</v>
      </c>
      <c r="N485" s="270" t="str">
        <f t="shared" si="387"/>
        <v>-6.72989198723044-18.3673529649911i</v>
      </c>
      <c r="O485" s="581" t="str">
        <f t="shared" si="388"/>
        <v>-4.4580045303212-8.55936912224063i</v>
      </c>
      <c r="P485" s="582" t="str">
        <f t="shared" si="389"/>
        <v>-0.412383206374679+0.0748545477256547i</v>
      </c>
      <c r="Q485" s="583" t="str">
        <f t="shared" si="390"/>
        <v>-0.367803161071465+0.16044823894806i</v>
      </c>
      <c r="R485" s="581" t="str">
        <f t="shared" si="411"/>
        <v>-0.513109296458993-0.998768140665967i</v>
      </c>
      <c r="S485" s="253" t="str">
        <f t="shared" si="412"/>
        <v>45.4145676051272-22.3330086480802i</v>
      </c>
      <c r="T485" s="253" t="str">
        <f t="shared" si="413"/>
        <v>11.8625236517918-16.0317656151751i</v>
      </c>
      <c r="U485" s="253" t="str">
        <f t="shared" si="414"/>
        <v>-0.631099040128108-0.537919027845164i</v>
      </c>
      <c r="V485" s="582" t="str">
        <f t="shared" si="391"/>
        <v>6000</v>
      </c>
      <c r="W485" s="584" t="str">
        <f t="shared" si="392"/>
        <v>1+207219.365074684i</v>
      </c>
      <c r="X485" s="585">
        <f t="shared" si="393"/>
        <v>207219.36507709691</v>
      </c>
      <c r="Y485" s="586">
        <f t="shared" si="394"/>
        <v>1.5707915009910938</v>
      </c>
      <c r="Z485" s="273" t="str">
        <f t="shared" si="395"/>
        <v>1+31.0782430247489i</v>
      </c>
      <c r="AA485" s="585">
        <f t="shared" si="396"/>
        <v>31.094327288194442</v>
      </c>
      <c r="AB485" s="586">
        <f t="shared" si="397"/>
        <v>1.538630573510456</v>
      </c>
      <c r="AC485" s="584" t="str">
        <f t="shared" si="398"/>
        <v>1+1.50249187330864i</v>
      </c>
      <c r="AD485" s="585">
        <f t="shared" si="399"/>
        <v>1.8048495309466956</v>
      </c>
      <c r="AE485" s="586">
        <f t="shared" si="400"/>
        <v>0.98355957254650361</v>
      </c>
      <c r="AF485" s="580" t="str">
        <f t="shared" si="415"/>
        <v>0.262892425352204-0.423944212890429i</v>
      </c>
      <c r="AG485" s="270">
        <f t="shared" si="416"/>
        <v>0.49883977683305236</v>
      </c>
      <c r="AH485" s="581">
        <f t="shared" si="417"/>
        <v>-1.0157205000271421</v>
      </c>
      <c r="AI485" s="582" t="str">
        <f t="shared" si="401"/>
        <v>4000</v>
      </c>
      <c r="AJ485" s="584" t="str">
        <f t="shared" si="418"/>
        <v>1+16279.6494474192i</v>
      </c>
      <c r="AK485" s="585">
        <f t="shared" si="419"/>
        <v>16279.649478132391</v>
      </c>
      <c r="AL485" s="586">
        <f t="shared" si="420"/>
        <v>1.5707349004108722</v>
      </c>
      <c r="AM485" s="273" t="str">
        <f t="shared" si="421"/>
        <v>1+0.569767788787063i</v>
      </c>
      <c r="AN485" s="585">
        <f t="shared" si="422"/>
        <v>1.150928031259687</v>
      </c>
      <c r="AO485" s="586">
        <f t="shared" si="423"/>
        <v>0.51789324397390601</v>
      </c>
      <c r="AP485" s="584" t="str">
        <f t="shared" si="424"/>
        <v>1+0.00412213898535854i</v>
      </c>
      <c r="AQ485" s="585">
        <f t="shared" si="425"/>
        <v>1.0000084959788165</v>
      </c>
      <c r="AR485" s="586">
        <f t="shared" si="426"/>
        <v>4.1221156377603931E-3</v>
      </c>
      <c r="AS485" s="580" t="str">
        <f t="shared" si="427"/>
        <v>0.138995033719276-0.246269892934648i</v>
      </c>
      <c r="AT485" s="270">
        <f t="shared" si="428"/>
        <v>0.28278698620103726</v>
      </c>
      <c r="AU485" s="581">
        <f t="shared" si="429"/>
        <v>-1.0569637720747269</v>
      </c>
      <c r="AV485" s="580" t="str">
        <f t="shared" si="430"/>
        <v>-0.0229930932662603-0.0514971823192229i</v>
      </c>
      <c r="AW485" s="270">
        <f t="shared" si="431"/>
        <v>-24.974851935084882</v>
      </c>
      <c r="AX485" s="581">
        <f t="shared" si="432"/>
        <v>-114.06039201455789</v>
      </c>
      <c r="AY485" s="299">
        <f t="shared" si="402"/>
        <v>65.939607985442109</v>
      </c>
      <c r="BB485" s="270">
        <f t="shared" si="435"/>
        <v>-50.970811611160755</v>
      </c>
      <c r="BC485" s="270">
        <f t="shared" si="436"/>
        <v>-60.559563238109355</v>
      </c>
      <c r="BD485" s="286"/>
      <c r="BE485" s="270">
        <f t="shared" si="433"/>
        <v>25.99595967607587</v>
      </c>
      <c r="BF485" s="581">
        <f t="shared" si="434"/>
        <v>-53.500828776448564</v>
      </c>
      <c r="BI485" s="286"/>
      <c r="BJ485" s="286"/>
      <c r="BL485" s="253">
        <f t="shared" si="403"/>
        <v>0</v>
      </c>
      <c r="BM485" s="253">
        <f t="shared" si="437"/>
        <v>0</v>
      </c>
      <c r="BN485" s="253">
        <f t="shared" si="404"/>
        <v>0</v>
      </c>
      <c r="BO485" s="253">
        <f t="shared" si="405"/>
        <v>0</v>
      </c>
    </row>
    <row r="486" spans="4:67" ht="13.6" thickBot="1" x14ac:dyDescent="0.25">
      <c r="D486" s="280">
        <v>59227</v>
      </c>
      <c r="E486" s="273" t="str">
        <f t="shared" si="384"/>
        <v>0.669841589138986i</v>
      </c>
      <c r="F486" s="579" t="str">
        <f t="shared" si="406"/>
        <v>0.002-0.0413415770852679i</v>
      </c>
      <c r="G486" s="270" t="str">
        <f t="shared" si="407"/>
        <v>0.002-0.0413415770852679i</v>
      </c>
      <c r="H486" s="271" t="str">
        <f t="shared" si="408"/>
        <v>0.00284964326193694-0.0412414312806978i</v>
      </c>
      <c r="I486" s="271" t="str">
        <f t="shared" si="409"/>
        <v>0.0128496432619369-0.0412414312806978i</v>
      </c>
      <c r="J486" s="270" t="str">
        <f t="shared" si="410"/>
        <v>0.00365671802066058-0.020992060186374i</v>
      </c>
      <c r="K486" s="271" t="str">
        <f t="shared" si="385"/>
        <v>0.91142048107371-0.467505296719002i</v>
      </c>
      <c r="L486" s="580"/>
      <c r="M486" s="580" t="str">
        <f t="shared" si="386"/>
        <v>-0.0834140800248661-24.3429153972728i</v>
      </c>
      <c r="N486" s="270" t="str">
        <f t="shared" si="387"/>
        <v>-6.72922722668532-18.2571865479546i</v>
      </c>
      <c r="O486" s="581" t="str">
        <f t="shared" si="388"/>
        <v>-4.45523792690084-8.50151453084586i</v>
      </c>
      <c r="P486" s="582" t="str">
        <f t="shared" si="389"/>
        <v>-0.407862845313461+0.0744989598938973i</v>
      </c>
      <c r="Q486" s="583" t="str">
        <f t="shared" si="390"/>
        <v>-0.363310466044452+0.159514105202356i</v>
      </c>
      <c r="R486" s="581" t="str">
        <f t="shared" si="411"/>
        <v>-0.512963318286829-0.991660363298867i</v>
      </c>
      <c r="S486" s="253" t="str">
        <f t="shared" si="412"/>
        <v>45.3349809080838-22.4586270178104i</v>
      </c>
      <c r="T486" s="253" t="str">
        <f t="shared" si="413"/>
        <v>11.777573000873-16.100292363457i</v>
      </c>
      <c r="U486" s="253" t="str">
        <f t="shared" si="414"/>
        <v>-0.630437219562745-0.531604057217642i</v>
      </c>
      <c r="V486" s="582" t="str">
        <f t="shared" si="391"/>
        <v>6000</v>
      </c>
      <c r="W486" s="584" t="str">
        <f t="shared" si="392"/>
        <v>1+208426.420339622i</v>
      </c>
      <c r="X486" s="585">
        <f t="shared" si="393"/>
        <v>208426.42034202092</v>
      </c>
      <c r="Y486" s="586">
        <f t="shared" si="394"/>
        <v>1.5707915289386634</v>
      </c>
      <c r="Z486" s="273" t="str">
        <f t="shared" si="395"/>
        <v>1+31.2592741598193i</v>
      </c>
      <c r="AA486" s="585">
        <f t="shared" si="396"/>
        <v>31.275265322595526</v>
      </c>
      <c r="AB486" s="586">
        <f t="shared" si="397"/>
        <v>1.5388167269687425</v>
      </c>
      <c r="AC486" s="584" t="str">
        <f t="shared" si="398"/>
        <v>1+1.51124390633195i</v>
      </c>
      <c r="AD486" s="585">
        <f t="shared" si="399"/>
        <v>1.8121418665285154</v>
      </c>
      <c r="AE486" s="586">
        <f t="shared" si="400"/>
        <v>0.98623551192718162</v>
      </c>
      <c r="AF486" s="580" t="str">
        <f t="shared" si="415"/>
        <v>0.260780843563846-0.422886280699796i</v>
      </c>
      <c r="AG486" s="270">
        <f t="shared" si="416"/>
        <v>0.49682940208282544</v>
      </c>
      <c r="AH486" s="581">
        <f t="shared" si="417"/>
        <v>-1.0182103138971024</v>
      </c>
      <c r="AI486" s="582" t="str">
        <f t="shared" si="401"/>
        <v>4000</v>
      </c>
      <c r="AJ486" s="584" t="str">
        <f t="shared" si="418"/>
        <v>1+16374.4785989792i</v>
      </c>
      <c r="AK486" s="585">
        <f t="shared" si="419"/>
        <v>16374.478629514522</v>
      </c>
      <c r="AL486" s="586">
        <f t="shared" si="420"/>
        <v>1.5707352561481147</v>
      </c>
      <c r="AM486" s="273" t="str">
        <f t="shared" si="421"/>
        <v>1+0.573086692930021i</v>
      </c>
      <c r="AN486" s="585">
        <f t="shared" si="422"/>
        <v>1.1525746646588533</v>
      </c>
      <c r="AO486" s="586">
        <f t="shared" si="423"/>
        <v>0.52039518993848621</v>
      </c>
      <c r="AP486" s="584" t="str">
        <f t="shared" si="424"/>
        <v>1+0.00414615049395133i</v>
      </c>
      <c r="AQ486" s="585">
        <f t="shared" si="425"/>
        <v>1.0000085952450202</v>
      </c>
      <c r="AR486" s="586">
        <f t="shared" si="426"/>
        <v>4.1461267359746831E-3</v>
      </c>
      <c r="AS486" s="580" t="str">
        <f t="shared" si="427"/>
        <v>0.138994831826526-0.244850330419737i</v>
      </c>
      <c r="AT486" s="270">
        <f t="shared" si="428"/>
        <v>0.2815515007616522</v>
      </c>
      <c r="AU486" s="581">
        <f t="shared" si="429"/>
        <v>-1.0544861929456033</v>
      </c>
      <c r="AV486" s="580" t="str">
        <f t="shared" si="430"/>
        <v>-0.0230514012646584-0.0512160007022293i</v>
      </c>
      <c r="AW486" s="270">
        <f t="shared" si="431"/>
        <v>-25.010769264028628</v>
      </c>
      <c r="AX486" s="581">
        <f t="shared" si="432"/>
        <v>-114.23165342028575</v>
      </c>
      <c r="AY486" s="299">
        <f t="shared" si="402"/>
        <v>65.768346579714247</v>
      </c>
      <c r="BB486" s="270">
        <f t="shared" si="435"/>
        <v>-51.008843067701349</v>
      </c>
      <c r="BC486" s="270">
        <f t="shared" si="436"/>
        <v>-60.41760841060087</v>
      </c>
      <c r="BD486" s="286"/>
      <c r="BE486" s="270">
        <f t="shared" si="433"/>
        <v>25.998073803672732</v>
      </c>
      <c r="BF486" s="581">
        <f t="shared" si="434"/>
        <v>-53.814045009684861</v>
      </c>
      <c r="BI486" s="286"/>
      <c r="BJ486" s="286"/>
      <c r="BL486" s="253">
        <f t="shared" si="403"/>
        <v>0</v>
      </c>
      <c r="BM486" s="253">
        <f t="shared" si="437"/>
        <v>0</v>
      </c>
      <c r="BN486" s="253">
        <f t="shared" si="404"/>
        <v>0</v>
      </c>
      <c r="BO486" s="253">
        <f t="shared" si="405"/>
        <v>0</v>
      </c>
    </row>
    <row r="487" spans="4:67" ht="13.6" thickBot="1" x14ac:dyDescent="0.25">
      <c r="D487" s="280">
        <v>59570</v>
      </c>
      <c r="E487" s="273" t="str">
        <f t="shared" si="384"/>
        <v>0.673720827747638i</v>
      </c>
      <c r="F487" s="579" t="str">
        <f t="shared" si="406"/>
        <v>0.002-0.0411035351020507i</v>
      </c>
      <c r="G487" s="270" t="str">
        <f t="shared" si="407"/>
        <v>0.002-0.0411035351020507i</v>
      </c>
      <c r="H487" s="271" t="str">
        <f t="shared" si="408"/>
        <v>0.00283986823283954-0.0410041666236303i</v>
      </c>
      <c r="I487" s="271" t="str">
        <f t="shared" si="409"/>
        <v>0.0128398682328395-0.0410041666236303i</v>
      </c>
      <c r="J487" s="270" t="str">
        <f t="shared" si="410"/>
        <v>0.00365370740441331-0.0208744973504211i</v>
      </c>
      <c r="K487" s="271" t="str">
        <f t="shared" si="385"/>
        <v>0.910391533042095-0.470212749684281i</v>
      </c>
      <c r="L487" s="580"/>
      <c r="M487" s="580" t="str">
        <f t="shared" si="386"/>
        <v>-0.0825417547433458-24.1978069413335i</v>
      </c>
      <c r="N487" s="270" t="str">
        <f t="shared" si="387"/>
        <v>-6.72857298272418-18.1483552060001i</v>
      </c>
      <c r="O487" s="581" t="str">
        <f t="shared" si="388"/>
        <v>-4.45249488523339-8.44432677134167i</v>
      </c>
      <c r="P487" s="582" t="str">
        <f t="shared" si="389"/>
        <v>-0.403422029590265+0.0741467991059055i</v>
      </c>
      <c r="Q487" s="583" t="str">
        <f t="shared" si="390"/>
        <v>-0.358897080737931+0.158590066819322i</v>
      </c>
      <c r="R487" s="581" t="str">
        <f t="shared" si="411"/>
        <v>-0.512819835281565-0.984632086811478i</v>
      </c>
      <c r="S487" s="253" t="str">
        <f t="shared" si="412"/>
        <v>45.254932508531-22.5839014788349i</v>
      </c>
      <c r="T487" s="253" t="str">
        <f t="shared" si="413"/>
        <v>11.6922700974671-16.1683288011449i</v>
      </c>
      <c r="U487" s="253" t="str">
        <f t="shared" si="414"/>
        <v>-0.629764341768211-0.525347714625508i</v>
      </c>
      <c r="V487" s="582" t="str">
        <f t="shared" si="391"/>
        <v>6000</v>
      </c>
      <c r="W487" s="584" t="str">
        <f t="shared" si="392"/>
        <v>1+209633.475604561i</v>
      </c>
      <c r="X487" s="585">
        <f t="shared" si="393"/>
        <v>209633.47560694613</v>
      </c>
      <c r="Y487" s="586">
        <f t="shared" si="394"/>
        <v>1.5707915565643926</v>
      </c>
      <c r="Z487" s="273" t="str">
        <f t="shared" si="395"/>
        <v>1+31.4403052948898i</v>
      </c>
      <c r="AA487" s="585">
        <f t="shared" si="396"/>
        <v>31.456204428313914</v>
      </c>
      <c r="AB487" s="586">
        <f t="shared" si="397"/>
        <v>1.5390007388882421</v>
      </c>
      <c r="AC487" s="584" t="str">
        <f t="shared" si="398"/>
        <v>1+1.51999593935527i</v>
      </c>
      <c r="AD487" s="585">
        <f t="shared" si="399"/>
        <v>1.8194470741564621</v>
      </c>
      <c r="AE487" s="586">
        <f t="shared" si="400"/>
        <v>0.98888998202007239</v>
      </c>
      <c r="AF487" s="580" t="str">
        <f t="shared" si="415"/>
        <v>0.258690940318804-0.421826269292691i</v>
      </c>
      <c r="AG487" s="270">
        <f t="shared" si="416"/>
        <v>0.49483169266773613</v>
      </c>
      <c r="AH487" s="581">
        <f t="shared" si="417"/>
        <v>-1.0206807996962244</v>
      </c>
      <c r="AI487" s="582" t="str">
        <f t="shared" si="401"/>
        <v>4000</v>
      </c>
      <c r="AJ487" s="584" t="str">
        <f t="shared" si="418"/>
        <v>1+16469.3077505393i</v>
      </c>
      <c r="AK487" s="585">
        <f t="shared" si="419"/>
        <v>16469.307780898802</v>
      </c>
      <c r="AL487" s="586">
        <f t="shared" si="420"/>
        <v>1.5707356077887358</v>
      </c>
      <c r="AM487" s="273" t="str">
        <f t="shared" si="421"/>
        <v>1+0.57640559707298i</v>
      </c>
      <c r="AN487" s="585">
        <f t="shared" si="422"/>
        <v>1.1542284922566495</v>
      </c>
      <c r="AO487" s="586">
        <f t="shared" si="423"/>
        <v>0.52288998169375389</v>
      </c>
      <c r="AP487" s="584" t="str">
        <f t="shared" si="424"/>
        <v>1+0.00417016200254413i</v>
      </c>
      <c r="AQ487" s="585">
        <f t="shared" si="425"/>
        <v>1.0000086950877616</v>
      </c>
      <c r="AR487" s="586">
        <f t="shared" si="426"/>
        <v>4.1701378294082001E-3</v>
      </c>
      <c r="AS487" s="580" t="str">
        <f t="shared" si="427"/>
        <v>0.138994632775694-0.24344715381955i</v>
      </c>
      <c r="AT487" s="270">
        <f t="shared" si="428"/>
        <v>0.28033199004624798</v>
      </c>
      <c r="AU487" s="581">
        <f t="shared" si="429"/>
        <v>-1.0520157639243899</v>
      </c>
      <c r="AV487" s="580" t="str">
        <f t="shared" si="430"/>
        <v>-0.0231097084014572-0.0509376080122961i</v>
      </c>
      <c r="AW487" s="270">
        <f t="shared" si="431"/>
        <v>-25.046362815378181</v>
      </c>
      <c r="AX487" s="581">
        <f t="shared" si="432"/>
        <v>-114.40315733221604</v>
      </c>
      <c r="AY487" s="299">
        <f t="shared" si="402"/>
        <v>65.59684266778396</v>
      </c>
      <c r="BB487" s="270">
        <f t="shared" si="435"/>
        <v>-51.046546799141296</v>
      </c>
      <c r="BC487" s="270">
        <f t="shared" si="436"/>
        <v>-60.276063254098695</v>
      </c>
      <c r="BD487" s="286"/>
      <c r="BE487" s="270">
        <f t="shared" si="433"/>
        <v>26.000183983763108</v>
      </c>
      <c r="BF487" s="581">
        <f t="shared" si="434"/>
        <v>-54.127094078117295</v>
      </c>
      <c r="BI487" s="286"/>
      <c r="BJ487" s="286"/>
      <c r="BL487" s="253">
        <f t="shared" si="403"/>
        <v>0</v>
      </c>
      <c r="BM487" s="253">
        <f t="shared" si="437"/>
        <v>0</v>
      </c>
      <c r="BN487" s="253">
        <f t="shared" si="404"/>
        <v>0</v>
      </c>
      <c r="BO487" s="253">
        <f t="shared" si="405"/>
        <v>0</v>
      </c>
    </row>
    <row r="488" spans="4:67" ht="13.6" thickBot="1" x14ac:dyDescent="0.25">
      <c r="D488" s="280">
        <v>59913</v>
      </c>
      <c r="E488" s="273" t="str">
        <f t="shared" si="384"/>
        <v>0.677600066356291i</v>
      </c>
      <c r="F488" s="579" t="str">
        <f t="shared" si="406"/>
        <v>0.002-0.0408682186842448i</v>
      </c>
      <c r="G488" s="270" t="str">
        <f t="shared" si="407"/>
        <v>0.002-0.0408682186842448i</v>
      </c>
      <c r="H488" s="271" t="str">
        <f t="shared" si="408"/>
        <v>0.00283026051464955-0.0407696152162055i</v>
      </c>
      <c r="I488" s="271" t="str">
        <f t="shared" si="409"/>
        <v>0.0128302605146495-0.0407696152162055i</v>
      </c>
      <c r="J488" s="270" t="str">
        <f t="shared" si="410"/>
        <v>0.0036507359135902-0.0207582968949704i</v>
      </c>
      <c r="K488" s="271" t="str">
        <f t="shared" si="385"/>
        <v>0.909356643291836-0.472920202649561i</v>
      </c>
      <c r="L488" s="580"/>
      <c r="M488" s="580" t="str">
        <f t="shared" si="386"/>
        <v>-0.0816831674902388-24.0544459436246i</v>
      </c>
      <c r="N488" s="270" t="str">
        <f t="shared" si="387"/>
        <v>-6.72792904228435-18.0408344577185i</v>
      </c>
      <c r="O488" s="581" t="str">
        <f t="shared" si="388"/>
        <v>-4.44977474937943-8.38779367932597i</v>
      </c>
      <c r="P488" s="582" t="str">
        <f t="shared" si="389"/>
        <v>-0.399058890085087+0.0737980262821039i</v>
      </c>
      <c r="Q488" s="583" t="str">
        <f t="shared" si="390"/>
        <v>-0.354561142591294+0.157675963075363i</v>
      </c>
      <c r="R488" s="581" t="str">
        <f t="shared" si="411"/>
        <v>-0.512678790827002-0.977681852838891i</v>
      </c>
      <c r="S488" s="253" t="str">
        <f t="shared" si="412"/>
        <v>45.1744231743772-22.7088306689554i</v>
      </c>
      <c r="T488" s="253" t="str">
        <f t="shared" si="413"/>
        <v>11.6066176729144-16.2358729662286i</v>
      </c>
      <c r="U488" s="253" t="str">
        <f t="shared" si="414"/>
        <v>-0.629080541824048-0.519149086663515i</v>
      </c>
      <c r="V488" s="582" t="str">
        <f t="shared" si="391"/>
        <v>6000</v>
      </c>
      <c r="W488" s="584" t="str">
        <f t="shared" si="392"/>
        <v>1+210840.530869499i</v>
      </c>
      <c r="X488" s="585">
        <f t="shared" si="393"/>
        <v>210840.53087187046</v>
      </c>
      <c r="Y488" s="586">
        <f t="shared" si="394"/>
        <v>1.5707915838738089</v>
      </c>
      <c r="Z488" s="273" t="str">
        <f t="shared" si="395"/>
        <v>1+31.6213364299603i</v>
      </c>
      <c r="AA488" s="585">
        <f t="shared" si="396"/>
        <v>31.637144586968247</v>
      </c>
      <c r="AB488" s="586">
        <f t="shared" si="397"/>
        <v>1.5391826460002542</v>
      </c>
      <c r="AC488" s="584" t="str">
        <f t="shared" si="398"/>
        <v>1+1.52874797237858i</v>
      </c>
      <c r="AD488" s="585">
        <f t="shared" si="399"/>
        <v>1.8267649994051285</v>
      </c>
      <c r="AE488" s="586">
        <f t="shared" si="400"/>
        <v>0.99152320320629916</v>
      </c>
      <c r="AF488" s="580" t="str">
        <f t="shared" si="415"/>
        <v>0.256622486413461-0.420764364308029i</v>
      </c>
      <c r="AG488" s="270">
        <f t="shared" si="416"/>
        <v>0.49284657937797105</v>
      </c>
      <c r="AH488" s="581">
        <f t="shared" si="417"/>
        <v>-1.0231321410798553</v>
      </c>
      <c r="AI488" s="582" t="str">
        <f t="shared" si="401"/>
        <v>4000</v>
      </c>
      <c r="AJ488" s="584" t="str">
        <f t="shared" si="418"/>
        <v>1+16564.1369020995i</v>
      </c>
      <c r="AK488" s="585">
        <f t="shared" si="419"/>
        <v>16564.136932285197</v>
      </c>
      <c r="AL488" s="586">
        <f t="shared" si="420"/>
        <v>1.5707359554030942</v>
      </c>
      <c r="AM488" s="273" t="str">
        <f t="shared" si="421"/>
        <v>1+0.579724501215939i</v>
      </c>
      <c r="AN488" s="585">
        <f t="shared" si="422"/>
        <v>1.1558894831730537</v>
      </c>
      <c r="AO488" s="586">
        <f t="shared" si="423"/>
        <v>0.52537761895968416</v>
      </c>
      <c r="AP488" s="584" t="str">
        <f t="shared" si="424"/>
        <v>1+0.00419417351113692i</v>
      </c>
      <c r="AQ488" s="585">
        <f t="shared" si="425"/>
        <v>1.0000087955070402</v>
      </c>
      <c r="AR488" s="586">
        <f t="shared" si="426"/>
        <v>4.1941489180332388E-3</v>
      </c>
      <c r="AS488" s="580" t="str">
        <f t="shared" si="427"/>
        <v>0.138994436498226-0.242060081707537i</v>
      </c>
      <c r="AT488" s="270">
        <f t="shared" si="428"/>
        <v>0.279128172232254</v>
      </c>
      <c r="AU488" s="581">
        <f t="shared" si="429"/>
        <v>-1.0495524853614449</v>
      </c>
      <c r="AV488" s="580" t="str">
        <f t="shared" si="430"/>
        <v>-0.023168014537014-0.0506619483625153i</v>
      </c>
      <c r="AW488" s="270">
        <f t="shared" si="431"/>
        <v>-25.081636562899323</v>
      </c>
      <c r="AX488" s="581">
        <f t="shared" si="432"/>
        <v>-114.57490396248761</v>
      </c>
      <c r="AY488" s="299">
        <f t="shared" si="402"/>
        <v>65.42509603751239</v>
      </c>
      <c r="BB488" s="270">
        <f t="shared" si="435"/>
        <v>-51.083926564562574</v>
      </c>
      <c r="BC488" s="270">
        <f t="shared" si="436"/>
        <v>-60.134927788676897</v>
      </c>
      <c r="BD488" s="286"/>
      <c r="BE488" s="270">
        <f t="shared" si="433"/>
        <v>26.002290001663248</v>
      </c>
      <c r="BF488" s="581">
        <f t="shared" si="434"/>
        <v>-54.439976173810706</v>
      </c>
      <c r="BI488" s="286"/>
      <c r="BJ488" s="286"/>
      <c r="BL488" s="253">
        <f t="shared" si="403"/>
        <v>0</v>
      </c>
      <c r="BM488" s="253">
        <f t="shared" si="437"/>
        <v>0</v>
      </c>
      <c r="BN488" s="253">
        <f t="shared" si="404"/>
        <v>0</v>
      </c>
      <c r="BO488" s="253">
        <f t="shared" si="405"/>
        <v>0</v>
      </c>
    </row>
    <row r="489" spans="4:67" ht="13.6" thickBot="1" x14ac:dyDescent="0.25">
      <c r="D489" s="280">
        <v>60256</v>
      </c>
      <c r="E489" s="273" t="str">
        <f t="shared" si="384"/>
        <v>0.681479304964944i</v>
      </c>
      <c r="F489" s="579" t="str">
        <f t="shared" si="406"/>
        <v>0.002-0.0406355812869947i</v>
      </c>
      <c r="G489" s="270" t="str">
        <f t="shared" si="407"/>
        <v>0.002-0.0406355812869947i</v>
      </c>
      <c r="H489" s="271" t="str">
        <f t="shared" si="408"/>
        <v>0.00282081631126464-0.0405377308009377i</v>
      </c>
      <c r="I489" s="271" t="str">
        <f t="shared" si="409"/>
        <v>0.0128208163112646-0.0405377308009377i</v>
      </c>
      <c r="J489" s="270" t="str">
        <f t="shared" si="410"/>
        <v>0.00364780260098587-0.0206434355296852i</v>
      </c>
      <c r="K489" s="271" t="str">
        <f t="shared" si="385"/>
        <v>0.908315811822934-0.475627655614841i</v>
      </c>
      <c r="L489" s="580"/>
      <c r="M489" s="580" t="str">
        <f t="shared" si="386"/>
        <v>-0.0808380409559951-23.9128005658751i</v>
      </c>
      <c r="N489" s="270" t="str">
        <f t="shared" si="387"/>
        <v>-6.72729519738367-17.9346004244063i</v>
      </c>
      <c r="O489" s="581" t="str">
        <f t="shared" si="388"/>
        <v>-4.44707688244914-8.3319033903779i</v>
      </c>
      <c r="P489" s="582" t="str">
        <f t="shared" si="389"/>
        <v>-0.394771612530512+0.0734526026205591i</v>
      </c>
      <c r="Q489" s="583" t="str">
        <f t="shared" si="390"/>
        <v>-0.35030084370602+0.156771636524337i</v>
      </c>
      <c r="R489" s="581" t="str">
        <f t="shared" si="411"/>
        <v>-0.512540129898626-0.970808238935692i</v>
      </c>
      <c r="S489" s="253" t="str">
        <f t="shared" si="412"/>
        <v>45.0934536861121-22.8334131972479i</v>
      </c>
      <c r="T489" s="253" t="str">
        <f t="shared" si="413"/>
        <v>11.5206184764833-16.3029229038712i</v>
      </c>
      <c r="U489" s="253" t="str">
        <f t="shared" si="414"/>
        <v>-0.628385951431249-0.51300728130852i</v>
      </c>
      <c r="V489" s="582" t="str">
        <f t="shared" si="391"/>
        <v>6000</v>
      </c>
      <c r="W489" s="584" t="str">
        <f t="shared" si="392"/>
        <v>1+212047.586134437i</v>
      </c>
      <c r="X489" s="585">
        <f t="shared" si="393"/>
        <v>212047.58613679497</v>
      </c>
      <c r="Y489" s="586">
        <f t="shared" si="394"/>
        <v>1.5707916108723143</v>
      </c>
      <c r="Z489" s="273" t="str">
        <f t="shared" si="395"/>
        <v>1+31.8023675650307i</v>
      </c>
      <c r="AA489" s="585">
        <f t="shared" si="396"/>
        <v>31.818085780595236</v>
      </c>
      <c r="AB489" s="586">
        <f t="shared" si="397"/>
        <v>1.539362484201118</v>
      </c>
      <c r="AC489" s="584" t="str">
        <f t="shared" si="398"/>
        <v>1+1.53750000540189i</v>
      </c>
      <c r="AD489" s="585">
        <f t="shared" si="399"/>
        <v>1.8340954900470181</v>
      </c>
      <c r="AE489" s="586">
        <f t="shared" si="400"/>
        <v>0.99413539353161162</v>
      </c>
      <c r="AF489" s="580" t="str">
        <f t="shared" si="415"/>
        <v>0.254575254034575-0.419700746253496i</v>
      </c>
      <c r="AG489" s="270">
        <f t="shared" si="416"/>
        <v>0.49087399235700996</v>
      </c>
      <c r="AH489" s="581">
        <f t="shared" si="417"/>
        <v>-1.0255645202028099</v>
      </c>
      <c r="AI489" s="582" t="str">
        <f t="shared" si="401"/>
        <v>4000</v>
      </c>
      <c r="AJ489" s="584" t="str">
        <f t="shared" si="418"/>
        <v>1+16658.9660536595i</v>
      </c>
      <c r="AK489" s="585">
        <f t="shared" si="419"/>
        <v>16658.966083673367</v>
      </c>
      <c r="AL489" s="586">
        <f t="shared" si="420"/>
        <v>1.5707362990599474</v>
      </c>
      <c r="AM489" s="273" t="str">
        <f t="shared" si="421"/>
        <v>1+0.583043405358896i</v>
      </c>
      <c r="AN489" s="585">
        <f t="shared" si="422"/>
        <v>1.157557606571914</v>
      </c>
      <c r="AO489" s="586">
        <f t="shared" si="423"/>
        <v>0.52785810181204773</v>
      </c>
      <c r="AP489" s="584" t="str">
        <f t="shared" si="424"/>
        <v>1+0.00421818501972971i</v>
      </c>
      <c r="AQ489" s="585">
        <f t="shared" si="425"/>
        <v>1.0000088965028564</v>
      </c>
      <c r="AR489" s="586">
        <f t="shared" si="426"/>
        <v>4.2181600018221261E-3</v>
      </c>
      <c r="AS489" s="580" t="str">
        <f t="shared" si="427"/>
        <v>0.138994242927521-0.240688839065103i</v>
      </c>
      <c r="AT489" s="270">
        <f t="shared" si="428"/>
        <v>0.27793977192460556</v>
      </c>
      <c r="AU489" s="581">
        <f t="shared" si="429"/>
        <v>-1.0470963572497205</v>
      </c>
      <c r="AV489" s="580" t="str">
        <f t="shared" si="430"/>
        <v>-0.0232263194390503-0.0503889671294606i</v>
      </c>
      <c r="AW489" s="270">
        <f t="shared" si="431"/>
        <v>-25.116594421950666</v>
      </c>
      <c r="AX489" s="581">
        <f t="shared" si="432"/>
        <v>-114.74689348309805</v>
      </c>
      <c r="AY489" s="299">
        <f t="shared" si="402"/>
        <v>65.253106516901951</v>
      </c>
      <c r="BB489" s="270">
        <f t="shared" si="435"/>
        <v>-51.120986063984247</v>
      </c>
      <c r="BC489" s="270">
        <f t="shared" si="436"/>
        <v>-59.994202013931663</v>
      </c>
      <c r="BD489" s="286"/>
      <c r="BE489" s="270">
        <f t="shared" si="433"/>
        <v>26.004391642033575</v>
      </c>
      <c r="BF489" s="581">
        <f t="shared" si="434"/>
        <v>-54.752691469166408</v>
      </c>
      <c r="BI489" s="286"/>
      <c r="BJ489" s="286"/>
      <c r="BL489" s="253">
        <f t="shared" si="403"/>
        <v>0</v>
      </c>
      <c r="BM489" s="253">
        <f t="shared" si="437"/>
        <v>0</v>
      </c>
      <c r="BN489" s="253">
        <f t="shared" si="404"/>
        <v>0</v>
      </c>
      <c r="BO489" s="253">
        <f t="shared" si="405"/>
        <v>0</v>
      </c>
    </row>
    <row r="490" spans="4:67" ht="13.6" thickBot="1" x14ac:dyDescent="0.25">
      <c r="D490" s="280">
        <v>60607</v>
      </c>
      <c r="E490" s="273" t="str">
        <f t="shared" si="384"/>
        <v>0.68544902144202i</v>
      </c>
      <c r="F490" s="579" t="str">
        <f t="shared" si="406"/>
        <v>0.002-0.0404002439656996i</v>
      </c>
      <c r="G490" s="270" t="str">
        <f t="shared" si="407"/>
        <v>0.002-0.0404002439656996i</v>
      </c>
      <c r="H490" s="271" t="str">
        <f t="shared" si="408"/>
        <v>0.00281131726664147-0.0403031518621188i</v>
      </c>
      <c r="I490" s="271" t="str">
        <f t="shared" si="409"/>
        <v>0.0128113172666415-0.0403031518621188i</v>
      </c>
      <c r="J490" s="270" t="str">
        <f t="shared" si="410"/>
        <v>0.00364483943722774-0.0205272577390438i</v>
      </c>
      <c r="K490" s="271" t="str">
        <f t="shared" si="385"/>
        <v>0.907244553193101-0.478398256171147i</v>
      </c>
      <c r="L490" s="580"/>
      <c r="M490" s="580" t="str">
        <f t="shared" si="386"/>
        <v>-0.0799868559291805-23.7695952141713i</v>
      </c>
      <c r="N490" s="270" t="str">
        <f t="shared" si="387"/>
        <v>-6.72665680861355-17.8271964106285i</v>
      </c>
      <c r="O490" s="581" t="str">
        <f t="shared" si="388"/>
        <v>-4.44433850041609-8.2753629312689i</v>
      </c>
      <c r="P490" s="582" t="str">
        <f t="shared" si="389"/>
        <v>-0.390461039502259+0.0731025494998406i</v>
      </c>
      <c r="Q490" s="583" t="str">
        <f t="shared" si="390"/>
        <v>-0.346017654498098+0.15585617881253i</v>
      </c>
      <c r="R490" s="581" t="str">
        <f t="shared" si="411"/>
        <v>-0.512400646666071-0.963852181478202i</v>
      </c>
      <c r="S490" s="253" t="str">
        <f t="shared" si="412"/>
        <v>45.0101201464981-22.9605410757676i</v>
      </c>
      <c r="T490" s="253" t="str">
        <f t="shared" si="413"/>
        <v>11.4322573568825-16.3710230042778i</v>
      </c>
      <c r="U490" s="253" t="str">
        <f t="shared" si="414"/>
        <v>-0.627664123775555-0.506780144025768i</v>
      </c>
      <c r="V490" s="582" t="str">
        <f t="shared" si="391"/>
        <v>6000</v>
      </c>
      <c r="W490" s="584" t="str">
        <f t="shared" si="392"/>
        <v>1+213282.794291852i</v>
      </c>
      <c r="X490" s="585">
        <f t="shared" si="393"/>
        <v>213282.79429419636</v>
      </c>
      <c r="Y490" s="586">
        <f t="shared" si="394"/>
        <v>1.5707916381841565</v>
      </c>
      <c r="Z490" s="273" t="str">
        <f t="shared" si="395"/>
        <v>1+31.9876210006276i</v>
      </c>
      <c r="AA490" s="585">
        <f t="shared" si="396"/>
        <v>32.003248230137388</v>
      </c>
      <c r="AB490" s="586">
        <f t="shared" si="397"/>
        <v>1.5395444116228842</v>
      </c>
      <c r="AC490" s="584" t="str">
        <f t="shared" si="398"/>
        <v>1+1.54645616747532i</v>
      </c>
      <c r="AD490" s="585">
        <f t="shared" si="399"/>
        <v>1.8416098060996677</v>
      </c>
      <c r="AE490" s="586">
        <f t="shared" si="400"/>
        <v>0.99678696227699748</v>
      </c>
      <c r="AF490" s="580" t="str">
        <f t="shared" si="415"/>
        <v>0.252502006369184-0.418610730372834i</v>
      </c>
      <c r="AG490" s="270">
        <f t="shared" si="416"/>
        <v>0.48886829187802816</v>
      </c>
      <c r="AH490" s="581">
        <f t="shared" si="417"/>
        <v>-1.028034188838272</v>
      </c>
      <c r="AI490" s="582" t="str">
        <f t="shared" si="401"/>
        <v>4000</v>
      </c>
      <c r="AJ490" s="584" t="str">
        <f t="shared" si="418"/>
        <v>1+16756.0069638566i</v>
      </c>
      <c r="AK490" s="585">
        <f t="shared" si="419"/>
        <v>16756.006993696643</v>
      </c>
      <c r="AL490" s="586">
        <f t="shared" si="420"/>
        <v>1.5707366467051849</v>
      </c>
      <c r="AM490" s="273" t="str">
        <f t="shared" si="421"/>
        <v>1+0.586439718344839i</v>
      </c>
      <c r="AN490" s="585">
        <f t="shared" si="422"/>
        <v>1.1592719884705116</v>
      </c>
      <c r="AO490" s="586">
        <f t="shared" si="423"/>
        <v>0.53038903228028156</v>
      </c>
      <c r="AP490" s="584" t="str">
        <f t="shared" si="424"/>
        <v>1+0.00424275656350834i</v>
      </c>
      <c r="AQ490" s="585">
        <f t="shared" si="425"/>
        <v>1.0000090004511244</v>
      </c>
      <c r="AR490" s="586">
        <f t="shared" si="426"/>
        <v>4.2427311058533422E-3</v>
      </c>
      <c r="AS490" s="580" t="str">
        <f t="shared" si="427"/>
        <v>0.13899404757672-0.239301721267474i</v>
      </c>
      <c r="AT490" s="270">
        <f t="shared" si="428"/>
        <v>0.27673933414557339</v>
      </c>
      <c r="AU490" s="581">
        <f t="shared" si="429"/>
        <v>-1.0445903455307561</v>
      </c>
      <c r="AV490" s="580" t="str">
        <f t="shared" si="430"/>
        <v>-0.0232859826086126-0.0501123361381089i</v>
      </c>
      <c r="AW490" s="270">
        <f t="shared" si="431"/>
        <v>-25.152044623717625</v>
      </c>
      <c r="AX490" s="581">
        <f t="shared" si="432"/>
        <v>-114.92314601322872</v>
      </c>
      <c r="AY490" s="299">
        <f t="shared" si="402"/>
        <v>65.076853986771283</v>
      </c>
      <c r="BB490" s="270">
        <f t="shared" si="435"/>
        <v>-51.158582166779532</v>
      </c>
      <c r="BC490" s="270">
        <f t="shared" si="436"/>
        <v>-59.850618119024666</v>
      </c>
      <c r="BD490" s="286"/>
      <c r="BE490" s="270">
        <f t="shared" si="433"/>
        <v>26.00653754306191</v>
      </c>
      <c r="BF490" s="581">
        <f t="shared" si="434"/>
        <v>-55.072527894204022</v>
      </c>
      <c r="BI490" s="286"/>
      <c r="BJ490" s="286"/>
      <c r="BL490" s="253">
        <f t="shared" si="403"/>
        <v>0</v>
      </c>
      <c r="BM490" s="253">
        <f t="shared" si="437"/>
        <v>0</v>
      </c>
      <c r="BN490" s="253">
        <f t="shared" si="404"/>
        <v>0</v>
      </c>
      <c r="BO490" s="253">
        <f t="shared" si="405"/>
        <v>0</v>
      </c>
    </row>
    <row r="491" spans="4:67" ht="13.6" thickBot="1" x14ac:dyDescent="0.25">
      <c r="D491" s="280">
        <v>60958</v>
      </c>
      <c r="E491" s="273" t="str">
        <f t="shared" si="384"/>
        <v>0.689418737919096i</v>
      </c>
      <c r="F491" s="579" t="str">
        <f t="shared" si="406"/>
        <v>0.002-0.0401676168186154i</v>
      </c>
      <c r="G491" s="270" t="str">
        <f t="shared" si="407"/>
        <v>0.002-0.0401676168186154i</v>
      </c>
      <c r="H491" s="271" t="str">
        <f t="shared" si="408"/>
        <v>0.00280198174939722-0.0400712710829111i</v>
      </c>
      <c r="I491" s="271" t="str">
        <f t="shared" si="409"/>
        <v>0.0128019817493972-0.0400712710829111i</v>
      </c>
      <c r="J491" s="270" t="str">
        <f t="shared" si="410"/>
        <v>0.00364191433174584-0.0204124345576162i</v>
      </c>
      <c r="K491" s="271" t="str">
        <f t="shared" si="385"/>
        <v>0.906167072447665-0.481168856727454i</v>
      </c>
      <c r="L491" s="580"/>
      <c r="M491" s="580" t="str">
        <f t="shared" si="386"/>
        <v>-0.0791492002553206-23.6281214566404i</v>
      </c>
      <c r="N491" s="270" t="str">
        <f t="shared" si="387"/>
        <v>-6.72602856685816-17.7210910924803i</v>
      </c>
      <c r="O491" s="581" t="str">
        <f t="shared" si="388"/>
        <v>-4.44162214709761-8.21947139390298i</v>
      </c>
      <c r="P491" s="582" t="str">
        <f t="shared" si="389"/>
        <v>-0.386226232048182+0.0727559223297717i</v>
      </c>
      <c r="Q491" s="583" t="str">
        <f t="shared" si="390"/>
        <v>-0.341810010577205+0.154950636268801i</v>
      </c>
      <c r="R491" s="581" t="str">
        <f t="shared" si="411"/>
        <v>-0.512263547732524-0.956973456450718i</v>
      </c>
      <c r="S491" s="253" t="str">
        <f t="shared" si="412"/>
        <v>44.9263064328152-23.0873028971487i</v>
      </c>
      <c r="T491" s="253" t="str">
        <f t="shared" si="413"/>
        <v>11.343538983512-16.4386014368063i</v>
      </c>
      <c r="U491" s="253" t="str">
        <f t="shared" si="414"/>
        <v>-0.626931265192819-0.500610686859424i</v>
      </c>
      <c r="V491" s="582" t="str">
        <f t="shared" si="391"/>
        <v>6000</v>
      </c>
      <c r="W491" s="584" t="str">
        <f t="shared" si="392"/>
        <v>1+214518.002449266i</v>
      </c>
      <c r="X491" s="585">
        <f t="shared" si="393"/>
        <v>214518.00245159681</v>
      </c>
      <c r="Y491" s="586">
        <f t="shared" si="394"/>
        <v>1.5707916651814722</v>
      </c>
      <c r="Z491" s="273" t="str">
        <f t="shared" si="395"/>
        <v>1+32.1728744362245i</v>
      </c>
      <c r="AA491" s="585">
        <f t="shared" si="396"/>
        <v>32.188411726723444</v>
      </c>
      <c r="AB491" s="586">
        <f t="shared" si="397"/>
        <v>1.5397242459794227</v>
      </c>
      <c r="AC491" s="584" t="str">
        <f t="shared" si="398"/>
        <v>1+1.55541232954874i</v>
      </c>
      <c r="AD491" s="585">
        <f t="shared" si="399"/>
        <v>1.849136964887198</v>
      </c>
      <c r="AE491" s="586">
        <f t="shared" si="400"/>
        <v>0.99941696225940491</v>
      </c>
      <c r="AF491" s="580" t="str">
        <f t="shared" si="415"/>
        <v>0.250450503670961-0.417519287074634i</v>
      </c>
      <c r="AG491" s="270">
        <f t="shared" si="416"/>
        <v>0.48687555891454304</v>
      </c>
      <c r="AH491" s="581">
        <f t="shared" si="417"/>
        <v>-1.0304843814614533</v>
      </c>
      <c r="AI491" s="582" t="str">
        <f t="shared" si="401"/>
        <v>4000</v>
      </c>
      <c r="AJ491" s="584" t="str">
        <f t="shared" si="418"/>
        <v>1+16853.0478740537i</v>
      </c>
      <c r="AK491" s="585">
        <f t="shared" si="419"/>
        <v>16853.047903721923</v>
      </c>
      <c r="AL491" s="586">
        <f t="shared" si="420"/>
        <v>1.5707369903468962</v>
      </c>
      <c r="AM491" s="273" t="str">
        <f t="shared" si="421"/>
        <v>1+0.589836031330782i</v>
      </c>
      <c r="AN491" s="585">
        <f t="shared" si="422"/>
        <v>1.1609937742537844</v>
      </c>
      <c r="AO491" s="586">
        <f t="shared" si="423"/>
        <v>0.53291247199347436</v>
      </c>
      <c r="AP491" s="584" t="str">
        <f t="shared" si="424"/>
        <v>1+0.00426732810728697i</v>
      </c>
      <c r="AQ491" s="585">
        <f t="shared" si="425"/>
        <v>1.000009105003137</v>
      </c>
      <c r="AR491" s="586">
        <f t="shared" si="426"/>
        <v>4.2673022047615243E-3</v>
      </c>
      <c r="AS491" s="580" t="str">
        <f t="shared" si="427"/>
        <v>0.138993854925248-0.237930617016248i</v>
      </c>
      <c r="AT491" s="270">
        <f t="shared" si="428"/>
        <v>0.27555447777293218</v>
      </c>
      <c r="AU491" s="581">
        <f t="shared" si="429"/>
        <v>-1.0420918205581848</v>
      </c>
      <c r="AV491" s="580" t="str">
        <f t="shared" si="430"/>
        <v>-0.0233456437093034-0.049838398127763i</v>
      </c>
      <c r="AW491" s="270">
        <f t="shared" si="431"/>
        <v>-25.187172143782295</v>
      </c>
      <c r="AX491" s="581">
        <f t="shared" si="432"/>
        <v>-115.09965313486128</v>
      </c>
      <c r="AY491" s="299">
        <f t="shared" si="402"/>
        <v>64.900346865138715</v>
      </c>
      <c r="BB491" s="270">
        <f t="shared" si="435"/>
        <v>-51.19585054551743</v>
      </c>
      <c r="BC491" s="270">
        <f t="shared" si="436"/>
        <v>-59.707463183088308</v>
      </c>
      <c r="BD491" s="286"/>
      <c r="BE491" s="270">
        <f t="shared" si="433"/>
        <v>26.008678401735143</v>
      </c>
      <c r="BF491" s="581">
        <f t="shared" si="434"/>
        <v>-55.392189951772991</v>
      </c>
      <c r="BI491" s="286"/>
      <c r="BJ491" s="286"/>
      <c r="BL491" s="253">
        <f t="shared" si="403"/>
        <v>0</v>
      </c>
      <c r="BM491" s="253">
        <f t="shared" si="437"/>
        <v>0</v>
      </c>
      <c r="BN491" s="253">
        <f t="shared" si="404"/>
        <v>0</v>
      </c>
      <c r="BO491" s="253">
        <f t="shared" si="405"/>
        <v>0</v>
      </c>
    </row>
    <row r="492" spans="4:67" ht="13.6" thickBot="1" x14ac:dyDescent="0.25">
      <c r="D492" s="280">
        <v>61309</v>
      </c>
      <c r="E492" s="273" t="str">
        <f t="shared" si="384"/>
        <v>0.693388454396172i</v>
      </c>
      <c r="F492" s="579" t="str">
        <f t="shared" si="406"/>
        <v>0.002-0.0399376532977076i</v>
      </c>
      <c r="G492" s="270" t="str">
        <f t="shared" si="407"/>
        <v>0.002-0.0399376532977076i</v>
      </c>
      <c r="H492" s="271" t="str">
        <f t="shared" si="408"/>
        <v>0.00279280602792184-0.0398420421960761i</v>
      </c>
      <c r="I492" s="271" t="str">
        <f t="shared" si="409"/>
        <v>0.0127928060279218-0.0398420421960761i</v>
      </c>
      <c r="J492" s="270" t="str">
        <f t="shared" si="410"/>
        <v>0.00363902635408041-0.0202989426922076i</v>
      </c>
      <c r="K492" s="271" t="str">
        <f t="shared" si="385"/>
        <v>0.905083369586627-0.48393945728376i</v>
      </c>
      <c r="L492" s="580"/>
      <c r="M492" s="580" t="str">
        <f t="shared" si="386"/>
        <v>-0.0783247976608817-23.4883476293461i</v>
      </c>
      <c r="N492" s="270" t="str">
        <f t="shared" si="387"/>
        <v>-6.72541026491233-17.6162607220096i</v>
      </c>
      <c r="O492" s="581" t="str">
        <f t="shared" si="388"/>
        <v>-4.43892719782028-8.16421698035681i</v>
      </c>
      <c r="P492" s="582" t="str">
        <f t="shared" si="389"/>
        <v>-0.382065412043079+0.0724126805212956i</v>
      </c>
      <c r="Q492" s="583" t="str">
        <f t="shared" si="390"/>
        <v>-0.337676140064876+0.154054850324863i</v>
      </c>
      <c r="R492" s="581" t="str">
        <f t="shared" si="411"/>
        <v>-0.512128778969116-0.950170649243724i</v>
      </c>
      <c r="S492" s="253" t="str">
        <f t="shared" si="412"/>
        <v>44.8420134242122-23.2136970824219i</v>
      </c>
      <c r="T492" s="253" t="str">
        <f t="shared" si="413"/>
        <v>11.2544663608768-16.5056561324924i</v>
      </c>
      <c r="U492" s="253" t="str">
        <f t="shared" si="414"/>
        <v>-0.626187506610983-0.494498019586001i</v>
      </c>
      <c r="V492" s="582" t="str">
        <f t="shared" si="391"/>
        <v>6000</v>
      </c>
      <c r="W492" s="584" t="str">
        <f t="shared" si="392"/>
        <v>1+215753.210606681i</v>
      </c>
      <c r="X492" s="585">
        <f t="shared" si="393"/>
        <v>215753.21060899846</v>
      </c>
      <c r="Y492" s="586">
        <f t="shared" si="394"/>
        <v>1.5707916918696634</v>
      </c>
      <c r="Z492" s="273" t="str">
        <f t="shared" si="395"/>
        <v>1+32.3581278718213i</v>
      </c>
      <c r="AA492" s="585">
        <f t="shared" si="396"/>
        <v>32.373576252387359</v>
      </c>
      <c r="AB492" s="586">
        <f t="shared" si="397"/>
        <v>1.5399020231736082</v>
      </c>
      <c r="AC492" s="584" t="str">
        <f t="shared" si="398"/>
        <v>1+1.56436849162216i</v>
      </c>
      <c r="AD492" s="585">
        <f t="shared" si="399"/>
        <v>1.8566768102123192</v>
      </c>
      <c r="AE492" s="586">
        <f t="shared" si="400"/>
        <v>1.0020256196416422</v>
      </c>
      <c r="AF492" s="580" t="str">
        <f t="shared" si="415"/>
        <v>0.248420506636125-0.416426593846303i</v>
      </c>
      <c r="AG492" s="270">
        <f t="shared" si="416"/>
        <v>0.48489571680907101</v>
      </c>
      <c r="AH492" s="581">
        <f t="shared" si="417"/>
        <v>-1.0329152883376964</v>
      </c>
      <c r="AI492" s="582" t="str">
        <f t="shared" si="401"/>
        <v>4000</v>
      </c>
      <c r="AJ492" s="584" t="str">
        <f t="shared" si="418"/>
        <v>1+16950.0887842507i</v>
      </c>
      <c r="AK492" s="585">
        <f t="shared" si="419"/>
        <v>16950.088813749069</v>
      </c>
      <c r="AL492" s="586">
        <f t="shared" si="420"/>
        <v>1.570737330053843</v>
      </c>
      <c r="AM492" s="273" t="str">
        <f t="shared" si="421"/>
        <v>1+0.593232344316725i</v>
      </c>
      <c r="AN492" s="585">
        <f t="shared" si="422"/>
        <v>1.1627229310302249</v>
      </c>
      <c r="AO492" s="586">
        <f t="shared" si="423"/>
        <v>0.53542842216322351</v>
      </c>
      <c r="AP492" s="584" t="str">
        <f t="shared" si="424"/>
        <v>1+0.0042918996510656i</v>
      </c>
      <c r="AQ492" s="585">
        <f t="shared" si="425"/>
        <v>1.000009210158894</v>
      </c>
      <c r="AR492" s="586">
        <f t="shared" si="426"/>
        <v>4.2918732985170027E-3</v>
      </c>
      <c r="AS492" s="580" t="str">
        <f t="shared" si="427"/>
        <v>0.138993664907635-0.236575251274035i</v>
      </c>
      <c r="AT492" s="270">
        <f t="shared" si="428"/>
        <v>0.2743849274282914</v>
      </c>
      <c r="AU492" s="581">
        <f t="shared" si="429"/>
        <v>-1.0396007811891359</v>
      </c>
      <c r="AV492" s="580" t="str">
        <f t="shared" si="430"/>
        <v>-0.0234053022090925-0.049567098448399i</v>
      </c>
      <c r="AW492" s="270">
        <f t="shared" si="431"/>
        <v>-25.221980996011869</v>
      </c>
      <c r="AX492" s="581">
        <f t="shared" si="432"/>
        <v>-115.27641490654879</v>
      </c>
      <c r="AY492" s="299">
        <f t="shared" si="402"/>
        <v>64.723585093451206</v>
      </c>
      <c r="BB492" s="270">
        <f t="shared" si="435"/>
        <v>-51.232794981354495</v>
      </c>
      <c r="BC492" s="270">
        <f t="shared" si="436"/>
        <v>-59.564737140640872</v>
      </c>
      <c r="BD492" s="286"/>
      <c r="BE492" s="270">
        <f t="shared" si="433"/>
        <v>26.010813985342626</v>
      </c>
      <c r="BF492" s="581">
        <f t="shared" si="434"/>
        <v>-55.711677765907879</v>
      </c>
      <c r="BI492" s="286"/>
      <c r="BJ492" s="286"/>
      <c r="BL492" s="253">
        <f t="shared" si="403"/>
        <v>0</v>
      </c>
      <c r="BM492" s="253">
        <f t="shared" si="437"/>
        <v>0</v>
      </c>
      <c r="BN492" s="253">
        <f t="shared" si="404"/>
        <v>0</v>
      </c>
      <c r="BO492" s="253">
        <f t="shared" si="405"/>
        <v>0</v>
      </c>
    </row>
    <row r="493" spans="4:67" ht="13.6" thickBot="1" x14ac:dyDescent="0.25">
      <c r="D493" s="280">
        <v>61660</v>
      </c>
      <c r="E493" s="273" t="str">
        <f t="shared" si="384"/>
        <v>0.697358170873248i</v>
      </c>
      <c r="F493" s="579" t="str">
        <f t="shared" si="406"/>
        <v>0.002-0.039710307914842i</v>
      </c>
      <c r="G493" s="270" t="str">
        <f t="shared" si="407"/>
        <v>0.002-0.039710307914842i</v>
      </c>
      <c r="H493" s="271" t="str">
        <f t="shared" si="408"/>
        <v>0.00278378647642917-0.0396154199857822i</v>
      </c>
      <c r="I493" s="271" t="str">
        <f t="shared" si="409"/>
        <v>0.0127837864764292-0.0396154199857822i</v>
      </c>
      <c r="J493" s="270" t="str">
        <f t="shared" si="410"/>
        <v>0.00363617460038273-0.0201867593795986i</v>
      </c>
      <c r="K493" s="271" t="str">
        <f t="shared" si="385"/>
        <v>0.903993444609985-0.486710057840067i</v>
      </c>
      <c r="L493" s="580"/>
      <c r="M493" s="580" t="str">
        <f t="shared" si="386"/>
        <v>-0.0775133785496066-23.3502428453803i</v>
      </c>
      <c r="N493" s="270" t="str">
        <f t="shared" si="387"/>
        <v>-6.72480170057887-17.5126821340352i</v>
      </c>
      <c r="O493" s="581" t="str">
        <f t="shared" si="388"/>
        <v>-4.4362530461025-8.10958818273128i</v>
      </c>
      <c r="P493" s="582" t="str">
        <f t="shared" si="389"/>
        <v>-0.377976853467419+0.0720727838447459i</v>
      </c>
      <c r="Q493" s="583" t="str">
        <f t="shared" si="390"/>
        <v>-0.333614323006394+0.153168665672059i</v>
      </c>
      <c r="R493" s="581" t="str">
        <f t="shared" si="411"/>
        <v>-0.511996287769804-0.943442379977003i</v>
      </c>
      <c r="S493" s="253" t="str">
        <f t="shared" si="412"/>
        <v>44.7572420148613-23.3397220244223i</v>
      </c>
      <c r="T493" s="253" t="str">
        <f t="shared" si="413"/>
        <v>11.1650425131526-16.5721850319333i</v>
      </c>
      <c r="U493" s="253" t="str">
        <f t="shared" si="414"/>
        <v>-0.62543297576526-0.488441272894431i</v>
      </c>
      <c r="V493" s="582" t="str">
        <f t="shared" si="391"/>
        <v>6000</v>
      </c>
      <c r="W493" s="584" t="str">
        <f t="shared" si="392"/>
        <v>1+216988.418764096i</v>
      </c>
      <c r="X493" s="585">
        <f t="shared" si="393"/>
        <v>216988.41876640025</v>
      </c>
      <c r="Y493" s="586">
        <f t="shared" si="394"/>
        <v>1.5707917182540092</v>
      </c>
      <c r="Z493" s="273" t="str">
        <f t="shared" si="395"/>
        <v>1+32.5433813074182i</v>
      </c>
      <c r="AA493" s="585">
        <f t="shared" si="396"/>
        <v>32.558741789571911</v>
      </c>
      <c r="AB493" s="586">
        <f t="shared" si="397"/>
        <v>1.5400777782921067</v>
      </c>
      <c r="AC493" s="584" t="str">
        <f t="shared" si="398"/>
        <v>1+1.57332465369558i</v>
      </c>
      <c r="AD493" s="585">
        <f t="shared" si="399"/>
        <v>1.8642291881435387</v>
      </c>
      <c r="AE493" s="586">
        <f t="shared" si="400"/>
        <v>1.004613158092748</v>
      </c>
      <c r="AF493" s="580" t="str">
        <f t="shared" si="415"/>
        <v>0.246411777678338-0.415332823042281i</v>
      </c>
      <c r="AG493" s="270">
        <f t="shared" si="416"/>
        <v>0.48292868839495268</v>
      </c>
      <c r="AH493" s="581">
        <f t="shared" si="417"/>
        <v>-1.035327098054651</v>
      </c>
      <c r="AI493" s="582" t="str">
        <f t="shared" si="401"/>
        <v>4000</v>
      </c>
      <c r="AJ493" s="584" t="str">
        <f t="shared" si="418"/>
        <v>1+17047.1296944478i</v>
      </c>
      <c r="AK493" s="585">
        <f t="shared" si="419"/>
        <v>17047.129723778249</v>
      </c>
      <c r="AL493" s="586">
        <f t="shared" si="420"/>
        <v>1.5707376658932213</v>
      </c>
      <c r="AM493" s="273" t="str">
        <f t="shared" si="421"/>
        <v>1+0.596628657302668i</v>
      </c>
      <c r="AN493" s="585">
        <f t="shared" si="422"/>
        <v>1.1644594259633028</v>
      </c>
      <c r="AO493" s="586">
        <f t="shared" si="423"/>
        <v>0.53793688437321352</v>
      </c>
      <c r="AP493" s="584" t="str">
        <f t="shared" si="424"/>
        <v>1+0.00431647119484423i</v>
      </c>
      <c r="AQ493" s="585">
        <f t="shared" si="425"/>
        <v>1.0000093159183949</v>
      </c>
      <c r="AR493" s="586">
        <f t="shared" si="426"/>
        <v>4.3164443870901108E-3</v>
      </c>
      <c r="AS493" s="580" t="str">
        <f t="shared" si="427"/>
        <v>0.138993477460268-0.235235355266058i</v>
      </c>
      <c r="AT493" s="270">
        <f t="shared" si="428"/>
        <v>0.27323041401653397</v>
      </c>
      <c r="AU493" s="581">
        <f t="shared" si="429"/>
        <v>-1.0371172259070955</v>
      </c>
      <c r="AV493" s="580" t="str">
        <f t="shared" si="430"/>
        <v>-0.0234649574862687-0.049298383688455i</v>
      </c>
      <c r="AW493" s="270">
        <f t="shared" si="431"/>
        <v>-25.25647513554582</v>
      </c>
      <c r="AX493" s="581">
        <f t="shared" si="432"/>
        <v>-115.45343134599528</v>
      </c>
      <c r="AY493" s="299">
        <f t="shared" si="402"/>
        <v>64.546568654004716</v>
      </c>
      <c r="BB493" s="270">
        <f t="shared" si="435"/>
        <v>-51.269419196121866</v>
      </c>
      <c r="BC493" s="270">
        <f t="shared" si="436"/>
        <v>-59.422439904792526</v>
      </c>
      <c r="BD493" s="286"/>
      <c r="BE493" s="270">
        <f t="shared" si="433"/>
        <v>26.012944060576054</v>
      </c>
      <c r="BF493" s="581">
        <f t="shared" si="434"/>
        <v>-56.030991441202723</v>
      </c>
      <c r="BI493" s="286"/>
      <c r="BJ493" s="286"/>
      <c r="BL493" s="253">
        <f t="shared" si="403"/>
        <v>0</v>
      </c>
      <c r="BM493" s="253">
        <f t="shared" si="437"/>
        <v>0</v>
      </c>
      <c r="BN493" s="253">
        <f t="shared" si="404"/>
        <v>0</v>
      </c>
      <c r="BO493" s="253">
        <f t="shared" si="405"/>
        <v>0</v>
      </c>
    </row>
    <row r="494" spans="4:67" ht="13.6" thickBot="1" x14ac:dyDescent="0.25">
      <c r="D494" s="280">
        <v>62019</v>
      </c>
      <c r="E494" s="273" t="str">
        <f t="shared" si="384"/>
        <v>0.701418365218747i</v>
      </c>
      <c r="F494" s="579" t="str">
        <f t="shared" si="406"/>
        <v>0.002-0.0394804428647537i</v>
      </c>
      <c r="G494" s="270" t="str">
        <f t="shared" si="407"/>
        <v>0.002-0.0394804428647537i</v>
      </c>
      <c r="H494" s="271" t="str">
        <f t="shared" si="408"/>
        <v>0.00277471922878206-0.0393862830097551i</v>
      </c>
      <c r="I494" s="271" t="str">
        <f t="shared" si="409"/>
        <v>0.0127747192287821-0.0393862830097551i</v>
      </c>
      <c r="J494" s="270" t="str">
        <f t="shared" si="410"/>
        <v>0.00363329440611165-0.0200733496254038i</v>
      </c>
      <c r="K494" s="271" t="str">
        <f t="shared" si="385"/>
        <v>0.902872241584809-0.4895438059874i</v>
      </c>
      <c r="L494" s="580"/>
      <c r="M494" s="580" t="str">
        <f t="shared" si="386"/>
        <v>-0.0766966221007886-23.21068550785i</v>
      </c>
      <c r="N494" s="270" t="str">
        <f t="shared" si="387"/>
        <v>-6.72418913324226-17.4080141308875i</v>
      </c>
      <c r="O494" s="581" t="str">
        <f t="shared" si="388"/>
        <v>-4.43353884532746-8.05434975113524i</v>
      </c>
      <c r="P494" s="582" t="str">
        <f t="shared" si="389"/>
        <v>-0.373868112696721+0.0717285590556467i</v>
      </c>
      <c r="Q494" s="583" t="str">
        <f t="shared" si="390"/>
        <v>-0.329532724243445+0.152272056566999i</v>
      </c>
      <c r="R494" s="581" t="str">
        <f t="shared" si="411"/>
        <v>-0.511863079560146-0.936636462468832i</v>
      </c>
      <c r="S494" s="253" t="str">
        <f t="shared" si="412"/>
        <v>44.6700445610858-23.4682356630064i</v>
      </c>
      <c r="T494" s="253" t="str">
        <f t="shared" si="413"/>
        <v>11.0732203637723-16.6396842147424i</v>
      </c>
      <c r="U494" s="253" t="str">
        <f t="shared" si="414"/>
        <v>-0.624650234206898-0.482303442828423i</v>
      </c>
      <c r="V494" s="582" t="str">
        <f t="shared" si="391"/>
        <v>6000</v>
      </c>
      <c r="W494" s="584" t="str">
        <f t="shared" si="392"/>
        <v>1+218251.779813988i</v>
      </c>
      <c r="X494" s="585">
        <f t="shared" si="393"/>
        <v>218251.77981627893</v>
      </c>
      <c r="Y494" s="586">
        <f t="shared" si="394"/>
        <v>1.5707917449307722</v>
      </c>
      <c r="Z494" s="273" t="str">
        <f t="shared" si="395"/>
        <v>1+32.7328570435416i</v>
      </c>
      <c r="AA494" s="585">
        <f t="shared" si="396"/>
        <v>32.74812865238151</v>
      </c>
      <c r="AB494" s="586">
        <f t="shared" si="397"/>
        <v>1.5402554832333406</v>
      </c>
      <c r="AC494" s="584" t="str">
        <f t="shared" si="398"/>
        <v>1+1.58248494481911i</v>
      </c>
      <c r="AD494" s="585">
        <f t="shared" si="399"/>
        <v>1.8719665062653077</v>
      </c>
      <c r="AE494" s="586">
        <f t="shared" si="400"/>
        <v>1.0072380558847711</v>
      </c>
      <c r="AF494" s="580" t="str">
        <f t="shared" si="415"/>
        <v>0.24437902064414-0.414213182685116i</v>
      </c>
      <c r="AG494" s="270">
        <f t="shared" si="416"/>
        <v>0.48093000160223137</v>
      </c>
      <c r="AH494" s="581">
        <f t="shared" si="417"/>
        <v>-1.037774317582203</v>
      </c>
      <c r="AI494" s="582" t="str">
        <f t="shared" si="401"/>
        <v>4000</v>
      </c>
      <c r="AJ494" s="584" t="str">
        <f t="shared" si="418"/>
        <v>1+17146.3823632819i</v>
      </c>
      <c r="AK494" s="585">
        <f t="shared" si="419"/>
        <v>17146.382392442571</v>
      </c>
      <c r="AL494" s="586">
        <f t="shared" si="420"/>
        <v>1.5707380054547049</v>
      </c>
      <c r="AM494" s="273" t="str">
        <f t="shared" si="421"/>
        <v>1+0.600102379131596i</v>
      </c>
      <c r="AN494" s="585">
        <f t="shared" si="422"/>
        <v>1.1662430559018997</v>
      </c>
      <c r="AO494" s="586">
        <f t="shared" si="423"/>
        <v>0.54049477564369175</v>
      </c>
      <c r="AP494" s="584" t="str">
        <f t="shared" si="424"/>
        <v>1+0.0043416027738087i</v>
      </c>
      <c r="AQ494" s="585">
        <f t="shared" si="425"/>
        <v>1.0000094247129101</v>
      </c>
      <c r="AR494" s="586">
        <f t="shared" si="426"/>
        <v>4.3415754950821908E-3</v>
      </c>
      <c r="AS494" s="580" t="str">
        <f t="shared" si="427"/>
        <v>0.138993288334959-0.233880649182202i</v>
      </c>
      <c r="AT494" s="270">
        <f t="shared" si="428"/>
        <v>0.2720648677504196</v>
      </c>
      <c r="AU494" s="581">
        <f t="shared" si="429"/>
        <v>-1.034584805306096</v>
      </c>
      <c r="AV494" s="580" t="str">
        <f t="shared" si="430"/>
        <v>-0.0235259683551245-0.04902616393079i</v>
      </c>
      <c r="AW494" s="270">
        <f t="shared" si="431"/>
        <v>-25.291433974672472</v>
      </c>
      <c r="AX494" s="581">
        <f t="shared" si="432"/>
        <v>-115.63474576508669</v>
      </c>
      <c r="AY494" s="299">
        <f t="shared" si="402"/>
        <v>64.365254234913309</v>
      </c>
      <c r="BB494" s="270">
        <f t="shared" si="435"/>
        <v>-51.306550717305825</v>
      </c>
      <c r="BC494" s="270">
        <f t="shared" si="436"/>
        <v>-59.277342892403261</v>
      </c>
      <c r="BD494" s="286"/>
      <c r="BE494" s="270">
        <f t="shared" si="433"/>
        <v>26.015116742633349</v>
      </c>
      <c r="BF494" s="581">
        <f t="shared" si="434"/>
        <v>-56.35740287268343</v>
      </c>
      <c r="BI494" s="286"/>
      <c r="BJ494" s="286"/>
      <c r="BL494" s="253">
        <f t="shared" si="403"/>
        <v>0</v>
      </c>
      <c r="BM494" s="253">
        <f t="shared" si="437"/>
        <v>0</v>
      </c>
      <c r="BN494" s="253">
        <f t="shared" si="404"/>
        <v>0</v>
      </c>
      <c r="BO494" s="253">
        <f t="shared" si="405"/>
        <v>0</v>
      </c>
    </row>
    <row r="495" spans="4:67" ht="13.6" thickBot="1" x14ac:dyDescent="0.25">
      <c r="D495" s="280">
        <v>62378</v>
      </c>
      <c r="E495" s="273" t="str">
        <f t="shared" si="384"/>
        <v>0.705478559564247i</v>
      </c>
      <c r="F495" s="579" t="str">
        <f t="shared" si="406"/>
        <v>0.002-0.0392532236690686i</v>
      </c>
      <c r="G495" s="270" t="str">
        <f t="shared" si="407"/>
        <v>0.002-0.0392532236690686i</v>
      </c>
      <c r="H495" s="271" t="str">
        <f t="shared" si="408"/>
        <v>0.00276580800238685-0.0391597804485483i</v>
      </c>
      <c r="I495" s="271" t="str">
        <f t="shared" si="409"/>
        <v>0.0127658080023869-0.0391597804485483i</v>
      </c>
      <c r="J495" s="270" t="str">
        <f t="shared" si="410"/>
        <v>0.00363045027465281-0.0199612622179819i</v>
      </c>
      <c r="K495" s="271" t="str">
        <f t="shared" si="385"/>
        <v>0.901744529582586-0.492377554134734i</v>
      </c>
      <c r="L495" s="580"/>
      <c r="M495" s="580" t="str">
        <f t="shared" si="386"/>
        <v>-0.0758928978624781-23.07281119038i</v>
      </c>
      <c r="N495" s="270" t="str">
        <f t="shared" si="387"/>
        <v>-6.72358634006353-17.304608392785i</v>
      </c>
      <c r="O495" s="581" t="str">
        <f t="shared" si="388"/>
        <v>-4.430845173237-7.9997423178754i</v>
      </c>
      <c r="P495" s="582" t="str">
        <f t="shared" si="389"/>
        <v>-0.369831471582807+0.0713877496869037i</v>
      </c>
      <c r="Q495" s="583" t="str">
        <f t="shared" si="390"/>
        <v>-0.325523019850438+0.151385172865658i</v>
      </c>
      <c r="R495" s="581" t="str">
        <f t="shared" si="411"/>
        <v>-0.511732147260665-0.929905706116053i</v>
      </c>
      <c r="S495" s="253" t="str">
        <f t="shared" si="412"/>
        <v>44.5823485920747-23.59635954714i</v>
      </c>
      <c r="T495" s="253" t="str">
        <f t="shared" si="413"/>
        <v>10.9810372588446-16.7066290348456i</v>
      </c>
      <c r="U495" s="253" t="str">
        <f t="shared" si="414"/>
        <v>-0.623856484314876-0.47622233643117i</v>
      </c>
      <c r="V495" s="582" t="str">
        <f t="shared" si="391"/>
        <v>6000</v>
      </c>
      <c r="W495" s="584" t="str">
        <f t="shared" si="392"/>
        <v>1+219515.140863879i</v>
      </c>
      <c r="X495" s="585">
        <f t="shared" si="393"/>
        <v>219515.14086615673</v>
      </c>
      <c r="Y495" s="586">
        <f t="shared" si="394"/>
        <v>1.5707917713004735</v>
      </c>
      <c r="Z495" s="273" t="str">
        <f t="shared" si="395"/>
        <v>1+32.9223327796648i</v>
      </c>
      <c r="AA495" s="585">
        <f t="shared" si="396"/>
        <v>32.937516537453021</v>
      </c>
      <c r="AB495" s="586">
        <f t="shared" si="397"/>
        <v>1.5404311446038352</v>
      </c>
      <c r="AC495" s="584" t="str">
        <f t="shared" si="398"/>
        <v>1+1.59164523594263i</v>
      </c>
      <c r="AD495" s="585">
        <f t="shared" si="399"/>
        <v>1.8797166161682115</v>
      </c>
      <c r="AE495" s="586">
        <f t="shared" si="400"/>
        <v>1.0098413264764499</v>
      </c>
      <c r="AF495" s="580" t="str">
        <f t="shared" si="415"/>
        <v>0.242368015145157-0.413092763858846i</v>
      </c>
      <c r="AG495" s="270">
        <f t="shared" si="416"/>
        <v>0.47894455453417917</v>
      </c>
      <c r="AH495" s="581">
        <f t="shared" si="417"/>
        <v>-1.0402019531730873</v>
      </c>
      <c r="AI495" s="582" t="str">
        <f t="shared" si="401"/>
        <v>4000</v>
      </c>
      <c r="AJ495" s="584" t="str">
        <f t="shared" si="418"/>
        <v>1+17245.6350321159i</v>
      </c>
      <c r="AK495" s="585">
        <f t="shared" si="419"/>
        <v>17245.635061108744</v>
      </c>
      <c r="AL495" s="586">
        <f t="shared" si="420"/>
        <v>1.5707383411076767</v>
      </c>
      <c r="AM495" s="273" t="str">
        <f t="shared" si="421"/>
        <v>1+0.603576100960522i</v>
      </c>
      <c r="AN495" s="585">
        <f t="shared" si="422"/>
        <v>1.168034293011428</v>
      </c>
      <c r="AO495" s="586">
        <f t="shared" si="423"/>
        <v>0.54304483825612171</v>
      </c>
      <c r="AP495" s="584" t="str">
        <f t="shared" si="424"/>
        <v>1+0.00436673435277316i</v>
      </c>
      <c r="AQ495" s="585">
        <f t="shared" si="425"/>
        <v>1.0000095341390038</v>
      </c>
      <c r="AR495" s="586">
        <f t="shared" si="426"/>
        <v>4.3667065975901871E-3</v>
      </c>
      <c r="AS495" s="580" t="str">
        <f t="shared" si="427"/>
        <v>0.138993101769471-0.232541576599537i</v>
      </c>
      <c r="AT495" s="270">
        <f t="shared" si="428"/>
        <v>0.27091450161794006</v>
      </c>
      <c r="AU495" s="581">
        <f t="shared" si="429"/>
        <v>-1.0320602094491473</v>
      </c>
      <c r="AV495" s="580" t="str">
        <f t="shared" si="430"/>
        <v>-0.0235869742617366-0.0487565390653507i</v>
      </c>
      <c r="AW495" s="270">
        <f t="shared" si="431"/>
        <v>-25.326071778295905</v>
      </c>
      <c r="AX495" s="581">
        <f t="shared" si="432"/>
        <v>-115.81632650289656</v>
      </c>
      <c r="AY495" s="299">
        <f t="shared" si="402"/>
        <v>64.183673497103442</v>
      </c>
      <c r="BB495" s="270">
        <f t="shared" si="435"/>
        <v>-51.343354945177396</v>
      </c>
      <c r="BC495" s="270">
        <f t="shared" si="436"/>
        <v>-59.132694204823906</v>
      </c>
      <c r="BD495" s="286"/>
      <c r="BE495" s="270">
        <f t="shared" si="433"/>
        <v>26.017283166881494</v>
      </c>
      <c r="BF495" s="581">
        <f t="shared" si="434"/>
        <v>-56.683632298072602</v>
      </c>
      <c r="BI495" s="286"/>
      <c r="BJ495" s="286"/>
      <c r="BL495" s="253">
        <f t="shared" si="403"/>
        <v>0</v>
      </c>
      <c r="BM495" s="253">
        <f t="shared" si="437"/>
        <v>0</v>
      </c>
      <c r="BN495" s="253">
        <f t="shared" si="404"/>
        <v>0</v>
      </c>
      <c r="BO495" s="253">
        <f t="shared" si="405"/>
        <v>0</v>
      </c>
    </row>
    <row r="496" spans="4:67" ht="13.6" thickBot="1" x14ac:dyDescent="0.25">
      <c r="D496" s="280">
        <v>62737</v>
      </c>
      <c r="E496" s="273" t="str">
        <f t="shared" si="384"/>
        <v>0.709538753909746i</v>
      </c>
      <c r="F496" s="579" t="str">
        <f t="shared" si="406"/>
        <v>0.002-0.0390286049066604i</v>
      </c>
      <c r="G496" s="270" t="str">
        <f t="shared" si="407"/>
        <v>0.002-0.0390286049066604i</v>
      </c>
      <c r="H496" s="271" t="str">
        <f t="shared" si="408"/>
        <v>0.00275704923854667-0.0389358671467939i</v>
      </c>
      <c r="I496" s="271" t="str">
        <f t="shared" si="409"/>
        <v>0.0127570492385467-0.0389358671467939i</v>
      </c>
      <c r="J496" s="270" t="str">
        <f t="shared" si="410"/>
        <v>0.0036276413195818-0.019850474426417i</v>
      </c>
      <c r="K496" s="271" t="str">
        <f t="shared" si="385"/>
        <v>0.900610308603318-0.495211302282067i</v>
      </c>
      <c r="L496" s="580"/>
      <c r="M496" s="580" t="str">
        <f t="shared" si="386"/>
        <v>-0.075101937913233-22.9365892151402i</v>
      </c>
      <c r="N496" s="270" t="str">
        <f t="shared" si="387"/>
        <v>-6.72299312010159-17.2024419113551i</v>
      </c>
      <c r="O496" s="581" t="str">
        <f t="shared" si="388"/>
        <v>-4.42817143605293-7.94575445447722i</v>
      </c>
      <c r="P496" s="582" t="str">
        <f t="shared" si="389"/>
        <v>-0.365865240867023+0.0710503139242166i</v>
      </c>
      <c r="Q496" s="583" t="str">
        <f t="shared" si="390"/>
        <v>-0.321583526506495+0.150507858468989i</v>
      </c>
      <c r="R496" s="581" t="str">
        <f t="shared" si="411"/>
        <v>-0.511603439204073-0.923248740422821i</v>
      </c>
      <c r="S496" s="253" t="str">
        <f t="shared" si="412"/>
        <v>44.4941551152095-23.7240918707897i</v>
      </c>
      <c r="T496" s="253" t="str">
        <f t="shared" si="413"/>
        <v>10.8884964978607-16.7730173225292i</v>
      </c>
      <c r="U496" s="253" t="str">
        <f t="shared" si="414"/>
        <v>-0.623051853142523-0.470197087706245i</v>
      </c>
      <c r="V496" s="582" t="str">
        <f t="shared" si="391"/>
        <v>6000</v>
      </c>
      <c r="W496" s="584" t="str">
        <f t="shared" si="392"/>
        <v>1+220778.501913771i</v>
      </c>
      <c r="X496" s="585">
        <f t="shared" si="393"/>
        <v>220778.50191603575</v>
      </c>
      <c r="Y496" s="586">
        <f t="shared" si="394"/>
        <v>1.570791797368384</v>
      </c>
      <c r="Z496" s="273" t="str">
        <f t="shared" si="395"/>
        <v>1+33.1118085157882i</v>
      </c>
      <c r="AA496" s="585">
        <f t="shared" si="396"/>
        <v>33.126905427253902</v>
      </c>
      <c r="AB496" s="586">
        <f t="shared" si="397"/>
        <v>1.5406047974423771</v>
      </c>
      <c r="AC496" s="584" t="str">
        <f t="shared" si="398"/>
        <v>1+1.60080552706616i</v>
      </c>
      <c r="AD496" s="585">
        <f t="shared" si="399"/>
        <v>1.8874793602806803</v>
      </c>
      <c r="AE496" s="586">
        <f t="shared" si="400"/>
        <v>1.0124232012067473</v>
      </c>
      <c r="AF496" s="580" t="str">
        <f t="shared" si="415"/>
        <v>0.240378512802689-0.411971735085584i</v>
      </c>
      <c r="AG496" s="270">
        <f t="shared" si="416"/>
        <v>0.47697226326764441</v>
      </c>
      <c r="AH496" s="581">
        <f t="shared" si="417"/>
        <v>-1.0426102011327536</v>
      </c>
      <c r="AI496" s="582" t="str">
        <f t="shared" si="401"/>
        <v>4000</v>
      </c>
      <c r="AJ496" s="584" t="str">
        <f t="shared" si="418"/>
        <v>1+17344.8877009499i</v>
      </c>
      <c r="AK496" s="585">
        <f t="shared" si="419"/>
        <v>17344.887729776838</v>
      </c>
      <c r="AL496" s="586">
        <f t="shared" si="420"/>
        <v>1.5707386729192341</v>
      </c>
      <c r="AM496" s="273" t="str">
        <f t="shared" si="421"/>
        <v>1+0.60704982278945i</v>
      </c>
      <c r="AN496" s="585">
        <f t="shared" si="422"/>
        <v>1.1698331023478103</v>
      </c>
      <c r="AO496" s="586">
        <f t="shared" si="423"/>
        <v>0.54558707508301729</v>
      </c>
      <c r="AP496" s="584" t="str">
        <f t="shared" si="424"/>
        <v>1+0.00439186593173764i</v>
      </c>
      <c r="AQ496" s="585">
        <f t="shared" si="425"/>
        <v>1.0000096441966759</v>
      </c>
      <c r="AR496" s="586">
        <f t="shared" si="426"/>
        <v>4.3918376945823873E-3</v>
      </c>
      <c r="AS496" s="580" t="str">
        <f t="shared" si="427"/>
        <v>0.138992917701374-0.231217869139213i</v>
      </c>
      <c r="AT496" s="270">
        <f t="shared" si="428"/>
        <v>0.26977904696328653</v>
      </c>
      <c r="AU496" s="581">
        <f t="shared" si="429"/>
        <v>-1.0295434355308004</v>
      </c>
      <c r="AV496" s="580" t="str">
        <f t="shared" si="430"/>
        <v>-0.0236479742673146-0.0484894557467916i</v>
      </c>
      <c r="AW496" s="270">
        <f t="shared" si="431"/>
        <v>-25.360392595593133</v>
      </c>
      <c r="AX496" s="581">
        <f t="shared" si="432"/>
        <v>-115.99817345061385</v>
      </c>
      <c r="AY496" s="299">
        <f t="shared" si="402"/>
        <v>64.001826549386152</v>
      </c>
      <c r="BB496" s="270">
        <f t="shared" si="435"/>
        <v>-51.379835677536782</v>
      </c>
      <c r="BC496" s="270">
        <f t="shared" si="436"/>
        <v>-58.988493681314026</v>
      </c>
      <c r="BD496" s="286"/>
      <c r="BE496" s="270">
        <f t="shared" si="433"/>
        <v>26.019443081943642</v>
      </c>
      <c r="BF496" s="581">
        <f t="shared" si="434"/>
        <v>-57.009679769299815</v>
      </c>
      <c r="BI496" s="286"/>
      <c r="BJ496" s="286"/>
      <c r="BL496" s="253">
        <f t="shared" si="403"/>
        <v>0</v>
      </c>
      <c r="BM496" s="253">
        <f t="shared" si="437"/>
        <v>0</v>
      </c>
      <c r="BN496" s="253">
        <f t="shared" si="404"/>
        <v>0</v>
      </c>
      <c r="BO496" s="253">
        <f t="shared" si="405"/>
        <v>0</v>
      </c>
    </row>
    <row r="497" spans="4:67" ht="13.6" thickBot="1" x14ac:dyDescent="0.25">
      <c r="D497" s="280">
        <v>63096</v>
      </c>
      <c r="E497" s="273" t="str">
        <f t="shared" si="384"/>
        <v>0.713598948255246i</v>
      </c>
      <c r="F497" s="579" t="str">
        <f t="shared" si="406"/>
        <v>0.002-0.0388065421901414i</v>
      </c>
      <c r="G497" s="270" t="str">
        <f t="shared" si="407"/>
        <v>0.002-0.0388065421901414i</v>
      </c>
      <c r="H497" s="271" t="str">
        <f t="shared" si="408"/>
        <v>0.00274843947943959-0.0387144989748586i</v>
      </c>
      <c r="I497" s="271" t="str">
        <f t="shared" si="409"/>
        <v>0.0127484394794396-0.0387144989748586i</v>
      </c>
      <c r="J497" s="270" t="str">
        <f t="shared" si="410"/>
        <v>0.00362486667984119-0.0197409640367261i</v>
      </c>
      <c r="K497" s="271" t="str">
        <f t="shared" si="385"/>
        <v>0.899469578647004-0.498045050429401i</v>
      </c>
      <c r="L497" s="580"/>
      <c r="M497" s="580" t="str">
        <f t="shared" si="386"/>
        <v>-0.0743234808825358-22.8019896544233i</v>
      </c>
      <c r="N497" s="270" t="str">
        <f t="shared" si="387"/>
        <v>-6.72240927732857-17.1014922408175i</v>
      </c>
      <c r="O497" s="581" t="str">
        <f t="shared" si="388"/>
        <v>-4.42551705733465-7.89237501241435i</v>
      </c>
      <c r="P497" s="582" t="str">
        <f t="shared" si="389"/>
        <v>-0.361967780697972+0.0707162103845952i</v>
      </c>
      <c r="Q497" s="583" t="str">
        <f t="shared" si="390"/>
        <v>-0.317712610124627+0.149639960508739i</v>
      </c>
      <c r="R497" s="581" t="str">
        <f t="shared" si="411"/>
        <v>-0.511476905176836-0.916664228418074i</v>
      </c>
      <c r="S497" s="253" t="str">
        <f t="shared" si="412"/>
        <v>44.4054651555686-23.8514308004358i</v>
      </c>
      <c r="T497" s="253" t="str">
        <f t="shared" si="413"/>
        <v>10.7956014017705-16.8388469203455i</v>
      </c>
      <c r="U497" s="253" t="str">
        <f t="shared" si="414"/>
        <v>-0.622236464738599-0.464226851065944i</v>
      </c>
      <c r="V497" s="582" t="str">
        <f t="shared" si="391"/>
        <v>6000</v>
      </c>
      <c r="W497" s="584" t="str">
        <f t="shared" si="392"/>
        <v>1+222041.862963662i</v>
      </c>
      <c r="X497" s="585">
        <f t="shared" si="393"/>
        <v>222041.86296591381</v>
      </c>
      <c r="Y497" s="586">
        <f t="shared" si="394"/>
        <v>1.5707918231396549</v>
      </c>
      <c r="Z497" s="273" t="str">
        <f t="shared" si="395"/>
        <v>1+33.3012842519115i</v>
      </c>
      <c r="AA497" s="585">
        <f t="shared" si="396"/>
        <v>33.316295304649472</v>
      </c>
      <c r="AB497" s="586">
        <f t="shared" si="397"/>
        <v>1.5407764759915163</v>
      </c>
      <c r="AC497" s="584" t="str">
        <f t="shared" si="398"/>
        <v>1+1.60996581818969i</v>
      </c>
      <c r="AD497" s="585">
        <f t="shared" si="399"/>
        <v>1.8952545833579189</v>
      </c>
      <c r="AE497" s="586">
        <f t="shared" si="400"/>
        <v>1.0149839087686612</v>
      </c>
      <c r="AF497" s="580" t="str">
        <f t="shared" si="415"/>
        <v>0.238410267275513-0.410850259786526i</v>
      </c>
      <c r="AG497" s="270">
        <f t="shared" si="416"/>
        <v>0.47501304351463602</v>
      </c>
      <c r="AH497" s="581">
        <f t="shared" si="417"/>
        <v>-1.0449992559168</v>
      </c>
      <c r="AI497" s="582" t="str">
        <f t="shared" si="401"/>
        <v>4000</v>
      </c>
      <c r="AJ497" s="584" t="str">
        <f t="shared" si="418"/>
        <v>1+17444.140369784i</v>
      </c>
      <c r="AK497" s="585">
        <f t="shared" si="419"/>
        <v>17444.140398446918</v>
      </c>
      <c r="AL497" s="586">
        <f t="shared" si="420"/>
        <v>1.5707390009549465</v>
      </c>
      <c r="AM497" s="273" t="str">
        <f t="shared" si="421"/>
        <v>1+0.610523544618377i</v>
      </c>
      <c r="AN497" s="585">
        <f t="shared" si="422"/>
        <v>1.1716394490342954</v>
      </c>
      <c r="AO497" s="586">
        <f t="shared" si="423"/>
        <v>0.54812148938390459</v>
      </c>
      <c r="AP497" s="584" t="str">
        <f t="shared" si="424"/>
        <v>1+0.0044169975107021i</v>
      </c>
      <c r="AQ497" s="585">
        <f t="shared" si="425"/>
        <v>1.0000097548859259</v>
      </c>
      <c r="AR497" s="586">
        <f t="shared" si="426"/>
        <v>4.4169687860270094E-3</v>
      </c>
      <c r="AS497" s="580" t="str">
        <f t="shared" si="427"/>
        <v>0.138992736070006-0.229909264530404i</v>
      </c>
      <c r="AT497" s="270">
        <f t="shared" si="428"/>
        <v>0.26865824126041177</v>
      </c>
      <c r="AU497" s="581">
        <f t="shared" si="429"/>
        <v>-1.0270344803570677</v>
      </c>
      <c r="AV497" s="580" t="str">
        <f t="shared" si="430"/>
        <v>-0.0237089673464342-0.0482248618416727i</v>
      </c>
      <c r="AW497" s="270">
        <f t="shared" si="431"/>
        <v>-25.394400416779281</v>
      </c>
      <c r="AX497" s="581">
        <f t="shared" si="432"/>
        <v>-116.18028645794777</v>
      </c>
      <c r="AY497" s="299">
        <f t="shared" si="402"/>
        <v>63.819713542052227</v>
      </c>
      <c r="BB497" s="270">
        <f t="shared" si="435"/>
        <v>-51.415996652694943</v>
      </c>
      <c r="BC497" s="270">
        <f t="shared" si="436"/>
        <v>-58.84474113887164</v>
      </c>
      <c r="BD497" s="286"/>
      <c r="BE497" s="270">
        <f t="shared" si="433"/>
        <v>26.021596235915659</v>
      </c>
      <c r="BF497" s="581">
        <f t="shared" si="434"/>
        <v>-57.335545319076111</v>
      </c>
      <c r="BI497" s="286"/>
      <c r="BJ497" s="286"/>
      <c r="BL497" s="253">
        <f t="shared" si="403"/>
        <v>0</v>
      </c>
      <c r="BM497" s="253">
        <f t="shared" si="437"/>
        <v>0</v>
      </c>
      <c r="BN497" s="253">
        <f t="shared" si="404"/>
        <v>0</v>
      </c>
      <c r="BO497" s="253">
        <f t="shared" si="405"/>
        <v>0</v>
      </c>
    </row>
    <row r="498" spans="4:67" ht="13.6" thickBot="1" x14ac:dyDescent="0.25">
      <c r="D498" s="280">
        <v>63463.25</v>
      </c>
      <c r="E498" s="273" t="str">
        <f t="shared" si="384"/>
        <v>0.717752447902557i</v>
      </c>
      <c r="F498" s="579" t="str">
        <f t="shared" si="406"/>
        <v>0.002-0.038581975962926i</v>
      </c>
      <c r="G498" s="270" t="str">
        <f t="shared" si="407"/>
        <v>0.002-0.038581975962926i</v>
      </c>
      <c r="H498" s="271" t="str">
        <f t="shared" si="408"/>
        <v>0.00273978254098767-0.0384906322186374i</v>
      </c>
      <c r="I498" s="271" t="str">
        <f t="shared" si="409"/>
        <v>0.0127397825409877-0.0384906322186374i</v>
      </c>
      <c r="J498" s="270" t="str">
        <f t="shared" si="410"/>
        <v>0.00362206291266141-0.0196302361805843i</v>
      </c>
      <c r="K498" s="271" t="str">
        <f t="shared" si="385"/>
        <v>0.898295899079253-0.500943919529981i</v>
      </c>
      <c r="L498" s="580"/>
      <c r="M498" s="580" t="str">
        <f t="shared" si="386"/>
        <v>-0.0735398058848219-22.6659452549934i</v>
      </c>
      <c r="N498" s="270" t="str">
        <f t="shared" si="387"/>
        <v>-6.72182152108029-16.999458941245i</v>
      </c>
      <c r="O498" s="581" t="str">
        <f t="shared" si="388"/>
        <v>-4.42282112707132-7.83838709911234i</v>
      </c>
      <c r="P498" s="582" t="str">
        <f t="shared" si="389"/>
        <v>-0.358050254395819+0.0703778342561466i</v>
      </c>
      <c r="Q498" s="583" t="str">
        <f t="shared" si="390"/>
        <v>-0.313822043125107+0.148761705247271i</v>
      </c>
      <c r="R498" s="581" t="str">
        <f t="shared" si="411"/>
        <v>-0.511349661995586-0.910002011442771i</v>
      </c>
      <c r="S498" s="253" t="str">
        <f t="shared" si="412"/>
        <v>44.3142244158653-23.9812870443488i</v>
      </c>
      <c r="T498" s="253" t="str">
        <f t="shared" si="413"/>
        <v>10.7002083720266-16.9056089833174i</v>
      </c>
      <c r="U498" s="253" t="str">
        <f t="shared" si="414"/>
        <v>-0.621391333726355-0.45817547744772i</v>
      </c>
      <c r="V498" s="582" t="str">
        <f t="shared" si="391"/>
        <v>6000</v>
      </c>
      <c r="W498" s="584" t="str">
        <f t="shared" si="392"/>
        <v>1+223334.25668392i</v>
      </c>
      <c r="X498" s="585">
        <f t="shared" si="393"/>
        <v>223334.2566861588</v>
      </c>
      <c r="Y498" s="586">
        <f t="shared" si="394"/>
        <v>1.5707918492014685</v>
      </c>
      <c r="Z498" s="273" t="str">
        <f t="shared" si="395"/>
        <v>1+33.4951142354527i</v>
      </c>
      <c r="AA498" s="585">
        <f t="shared" si="396"/>
        <v>33.510038460825818</v>
      </c>
      <c r="AB498" s="586">
        <f t="shared" si="397"/>
        <v>1.540950091825918</v>
      </c>
      <c r="AC498" s="584" t="str">
        <f t="shared" si="398"/>
        <v>1+1.61933661739614i</v>
      </c>
      <c r="AD498" s="585">
        <f t="shared" si="399"/>
        <v>1.9032212379121807</v>
      </c>
      <c r="AE498" s="586">
        <f t="shared" si="400"/>
        <v>1.0175817959661837</v>
      </c>
      <c r="AF498" s="580" t="str">
        <f t="shared" si="415"/>
        <v>0.236418530965643-0.409702715562096i</v>
      </c>
      <c r="AG498" s="270">
        <f t="shared" si="416"/>
        <v>0.47302223723933784</v>
      </c>
      <c r="AH498" s="581">
        <f t="shared" si="417"/>
        <v>-1.047423553341734</v>
      </c>
      <c r="AI498" s="582" t="str">
        <f t="shared" si="401"/>
        <v>4000</v>
      </c>
      <c r="AJ498" s="584" t="str">
        <f t="shared" si="418"/>
        <v>1+17545.6739147124i</v>
      </c>
      <c r="AK498" s="585">
        <f t="shared" si="419"/>
        <v>17545.673943209451</v>
      </c>
      <c r="AL498" s="586">
        <f t="shared" si="420"/>
        <v>1.5707393326888976</v>
      </c>
      <c r="AM498" s="273" t="str">
        <f t="shared" si="421"/>
        <v>1+0.614077094316632i</v>
      </c>
      <c r="AN498" s="585">
        <f t="shared" si="422"/>
        <v>1.1734950693396022</v>
      </c>
      <c r="AO498" s="586">
        <f t="shared" si="423"/>
        <v>0.55070605535532824</v>
      </c>
      <c r="AP498" s="584" t="str">
        <f t="shared" si="424"/>
        <v>1+0.00444270662595196i</v>
      </c>
      <c r="AQ498" s="585">
        <f t="shared" si="425"/>
        <v>1.0000098687723857</v>
      </c>
      <c r="AR498" s="586">
        <f t="shared" si="426"/>
        <v>4.4426773967802336E-3</v>
      </c>
      <c r="AS498" s="580" t="str">
        <f t="shared" si="427"/>
        <v>0.138992552724575-0.228585947741285i</v>
      </c>
      <c r="AT498" s="270">
        <f t="shared" si="428"/>
        <v>0.26752656918084838</v>
      </c>
      <c r="AU498" s="581">
        <f t="shared" si="429"/>
        <v>-1.0244759547303486</v>
      </c>
      <c r="AV498" s="580" t="str">
        <f t="shared" si="430"/>
        <v>-0.0237713537528234-0.0479567101970373i</v>
      </c>
      <c r="AW498" s="270">
        <f t="shared" si="431"/>
        <v>-25.428869986702523</v>
      </c>
      <c r="AX498" s="581">
        <f t="shared" si="432"/>
        <v>-116.36685961524935</v>
      </c>
      <c r="AY498" s="299">
        <f t="shared" si="402"/>
        <v>63.633140384750646</v>
      </c>
      <c r="BB498" s="270">
        <f t="shared" si="435"/>
        <v>-51.452661598041857</v>
      </c>
      <c r="BC498" s="270">
        <f t="shared" si="436"/>
        <v>-58.698148418684561</v>
      </c>
      <c r="BD498" s="286"/>
      <c r="BE498" s="270">
        <f t="shared" si="433"/>
        <v>26.023791611339327</v>
      </c>
      <c r="BF498" s="581">
        <f t="shared" si="434"/>
        <v>-57.668711196564878</v>
      </c>
      <c r="BI498" s="286"/>
      <c r="BJ498" s="286"/>
      <c r="BL498" s="253">
        <f t="shared" si="403"/>
        <v>0</v>
      </c>
      <c r="BM498" s="253">
        <f t="shared" si="437"/>
        <v>0</v>
      </c>
      <c r="BN498" s="253">
        <f t="shared" si="404"/>
        <v>0</v>
      </c>
      <c r="BO498" s="253">
        <f t="shared" si="405"/>
        <v>0</v>
      </c>
    </row>
    <row r="499" spans="4:67" ht="13.6" thickBot="1" x14ac:dyDescent="0.25">
      <c r="D499" s="280">
        <v>63830.5</v>
      </c>
      <c r="E499" s="273" t="str">
        <f t="shared" si="384"/>
        <v>0.721905947549868i</v>
      </c>
      <c r="F499" s="579" t="str">
        <f t="shared" si="406"/>
        <v>0.002-0.0383599938278591i</v>
      </c>
      <c r="G499" s="270" t="str">
        <f t="shared" si="407"/>
        <v>0.002-0.0383599938278591i</v>
      </c>
      <c r="H499" s="271" t="str">
        <f t="shared" si="408"/>
        <v>0.00273127452272631-0.0382693386522898i</v>
      </c>
      <c r="I499" s="271" t="str">
        <f t="shared" si="409"/>
        <v>0.0127312745227263-0.0382693386522898i</v>
      </c>
      <c r="J499" s="270" t="str">
        <f t="shared" si="410"/>
        <v>0.0036192933108393-0.0195207996778568i</v>
      </c>
      <c r="K499" s="271" t="str">
        <f t="shared" si="385"/>
        <v>0.897115407937931-0.503842788630561i</v>
      </c>
      <c r="L499" s="580"/>
      <c r="M499" s="580" t="str">
        <f t="shared" si="386"/>
        <v>-0.0727686819532658-22.5315376421i</v>
      </c>
      <c r="N499" s="270" t="str">
        <f t="shared" si="387"/>
        <v>-6.72124317813162-16.898653231575i</v>
      </c>
      <c r="O499" s="581" t="str">
        <f t="shared" si="388"/>
        <v>-4.42014428793851-7.78501315064268i</v>
      </c>
      <c r="P499" s="582" t="str">
        <f t="shared" si="389"/>
        <v>-0.354201375034279+0.0700428590632366i</v>
      </c>
      <c r="Q499" s="583" t="str">
        <f t="shared" si="390"/>
        <v>-0.309999932154895+0.147892990569664i</v>
      </c>
      <c r="R499" s="581" t="str">
        <f t="shared" si="411"/>
        <v>-0.511224592059365-0.903412889081236i</v>
      </c>
      <c r="S499" s="253" t="str">
        <f t="shared" si="412"/>
        <v>44.2224663404569-24.1107276394921i</v>
      </c>
      <c r="T499" s="253" t="str">
        <f t="shared" si="413"/>
        <v>10.6044516336191-16.9717818572491i</v>
      </c>
      <c r="U499" s="253" t="str">
        <f t="shared" si="414"/>
        <v>-0.620535198853467-0.452179946180771i</v>
      </c>
      <c r="V499" s="582" t="str">
        <f t="shared" si="391"/>
        <v>6000</v>
      </c>
      <c r="W499" s="584" t="str">
        <f t="shared" si="392"/>
        <v>1+224626.650404179i</v>
      </c>
      <c r="X499" s="585">
        <f t="shared" si="393"/>
        <v>224626.65040640492</v>
      </c>
      <c r="Y499" s="586">
        <f t="shared" si="394"/>
        <v>1.5707918749633878</v>
      </c>
      <c r="Z499" s="273" t="str">
        <f t="shared" si="395"/>
        <v>1+33.6889442189939i</v>
      </c>
      <c r="AA499" s="585">
        <f t="shared" si="396"/>
        <v>33.703782615464441</v>
      </c>
      <c r="AB499" s="586">
        <f t="shared" si="397"/>
        <v>1.5411217116252092</v>
      </c>
      <c r="AC499" s="584" t="str">
        <f t="shared" si="398"/>
        <v>1+1.62870741660259i</v>
      </c>
      <c r="AD499" s="585">
        <f t="shared" si="399"/>
        <v>1.911200630205077</v>
      </c>
      <c r="AE499" s="586">
        <f t="shared" si="400"/>
        <v>1.0201580077193113</v>
      </c>
      <c r="AF499" s="580" t="str">
        <f t="shared" si="415"/>
        <v>0.234448524832214-0.40855503421097i</v>
      </c>
      <c r="AG499" s="270">
        <f t="shared" si="416"/>
        <v>0.47104493073923226</v>
      </c>
      <c r="AH499" s="581">
        <f t="shared" si="417"/>
        <v>-1.0498281710574899</v>
      </c>
      <c r="AI499" s="582" t="str">
        <f t="shared" si="401"/>
        <v>4000</v>
      </c>
      <c r="AJ499" s="584" t="str">
        <f t="shared" si="418"/>
        <v>1+17647.2074596408i</v>
      </c>
      <c r="AK499" s="585">
        <f t="shared" si="419"/>
        <v>17647.20748797389</v>
      </c>
      <c r="AL499" s="586">
        <f t="shared" si="420"/>
        <v>1.5707396606055737</v>
      </c>
      <c r="AM499" s="273" t="str">
        <f t="shared" si="421"/>
        <v>1+0.617630644014888i</v>
      </c>
      <c r="AN499" s="585">
        <f t="shared" si="422"/>
        <v>1.1753585037877785</v>
      </c>
      <c r="AO499" s="586">
        <f t="shared" si="423"/>
        <v>0.55328244325714016</v>
      </c>
      <c r="AP499" s="584" t="str">
        <f t="shared" si="424"/>
        <v>1+0.00446841574120183i</v>
      </c>
      <c r="AQ499" s="585">
        <f t="shared" si="425"/>
        <v>1.0000099833197849</v>
      </c>
      <c r="AR499" s="586">
        <f t="shared" si="426"/>
        <v>4.468386001660809E-3</v>
      </c>
      <c r="AS499" s="580" t="str">
        <f t="shared" si="427"/>
        <v>0.138992371806156-0.227277899519891i</v>
      </c>
      <c r="AT499" s="270">
        <f t="shared" si="428"/>
        <v>0.26640969019627342</v>
      </c>
      <c r="AU499" s="581">
        <f t="shared" si="429"/>
        <v>-1.021925603350095</v>
      </c>
      <c r="AV499" s="580" t="str">
        <f t="shared" si="430"/>
        <v>-0.0238337304736499-0.0476910570696497i</v>
      </c>
      <c r="AW499" s="270">
        <f t="shared" si="431"/>
        <v>-25.463020273416124</v>
      </c>
      <c r="AX499" s="581">
        <f t="shared" si="432"/>
        <v>-116.55371075324206</v>
      </c>
      <c r="AY499" s="299">
        <f t="shared" si="402"/>
        <v>63.446289246757942</v>
      </c>
      <c r="BB499" s="270">
        <f t="shared" si="435"/>
        <v>-51.488999649927187</v>
      </c>
      <c r="BC499" s="270">
        <f t="shared" si="436"/>
        <v>-58.552024048320661</v>
      </c>
      <c r="BD499" s="286"/>
      <c r="BE499" s="270">
        <f t="shared" si="433"/>
        <v>26.025979376511046</v>
      </c>
      <c r="BF499" s="581">
        <f t="shared" si="434"/>
        <v>-58.001686704921376</v>
      </c>
      <c r="BI499" s="286"/>
      <c r="BJ499" s="286"/>
      <c r="BL499" s="253">
        <f t="shared" si="403"/>
        <v>0</v>
      </c>
      <c r="BM499" s="253">
        <f t="shared" si="437"/>
        <v>0</v>
      </c>
      <c r="BN499" s="253">
        <f t="shared" si="404"/>
        <v>0</v>
      </c>
      <c r="BO499" s="253">
        <f t="shared" si="405"/>
        <v>0</v>
      </c>
    </row>
    <row r="500" spans="4:67" ht="13.6" thickBot="1" x14ac:dyDescent="0.25">
      <c r="D500" s="280">
        <v>64197.75</v>
      </c>
      <c r="E500" s="273" t="str">
        <f t="shared" si="384"/>
        <v>0.726059447197179i</v>
      </c>
      <c r="F500" s="579" t="str">
        <f t="shared" si="406"/>
        <v>0.002-0.0381405514372258i</v>
      </c>
      <c r="G500" s="270" t="str">
        <f t="shared" si="407"/>
        <v>0.002-0.0381405514372258i</v>
      </c>
      <c r="H500" s="271" t="str">
        <f t="shared" si="408"/>
        <v>0.00272291202883337-0.0380505741798986i</v>
      </c>
      <c r="I500" s="271" t="str">
        <f t="shared" si="409"/>
        <v>0.0127229120288334-0.0380505741798986i</v>
      </c>
      <c r="J500" s="270" t="str">
        <f t="shared" si="410"/>
        <v>0.00361655702950787-0.0194126323332203i</v>
      </c>
      <c r="K500" s="271" t="str">
        <f t="shared" si="385"/>
        <v>0.895928105223037-0.506741657731141i</v>
      </c>
      <c r="L500" s="580"/>
      <c r="M500" s="580" t="str">
        <f t="shared" si="386"/>
        <v>-0.0720098494136065-22.3987370664843i</v>
      </c>
      <c r="N500" s="270" t="str">
        <f t="shared" si="387"/>
        <v>-6.72067405372687-16.7990527998632i</v>
      </c>
      <c r="O500" s="581" t="str">
        <f t="shared" si="388"/>
        <v>-4.41748597540695-7.73224208647702i</v>
      </c>
      <c r="P500" s="582" t="str">
        <f t="shared" si="389"/>
        <v>-0.350419536542136+0.0697112419439938i</v>
      </c>
      <c r="Q500" s="583" t="str">
        <f t="shared" si="390"/>
        <v>-0.306244676788066+0.147033662808764i</v>
      </c>
      <c r="R500" s="581" t="str">
        <f t="shared" si="411"/>
        <v>-0.511101646024332-0.896895532374975i</v>
      </c>
      <c r="S500" s="253" t="str">
        <f t="shared" si="412"/>
        <v>44.1301920861678-24.2397505389292i</v>
      </c>
      <c r="T500" s="253" t="str">
        <f t="shared" si="413"/>
        <v>10.5083348112491-17.0373632752334i</v>
      </c>
      <c r="U500" s="253" t="str">
        <f t="shared" si="414"/>
        <v>-0.619668183873589-0.446239414644383i</v>
      </c>
      <c r="V500" s="582" t="str">
        <f t="shared" si="391"/>
        <v>6000</v>
      </c>
      <c r="W500" s="584" t="str">
        <f t="shared" si="392"/>
        <v>1+225919.044124436i</v>
      </c>
      <c r="X500" s="585">
        <f t="shared" si="393"/>
        <v>225919.04412664921</v>
      </c>
      <c r="Y500" s="586">
        <f t="shared" si="394"/>
        <v>1.5707919004305595</v>
      </c>
      <c r="Z500" s="273" t="str">
        <f t="shared" si="395"/>
        <v>1+33.882774202535i</v>
      </c>
      <c r="AA500" s="585">
        <f t="shared" si="396"/>
        <v>33.897527751444819</v>
      </c>
      <c r="AB500" s="586">
        <f t="shared" si="397"/>
        <v>1.5412913696048831</v>
      </c>
      <c r="AC500" s="584" t="str">
        <f t="shared" si="398"/>
        <v>1+1.63807821580904i</v>
      </c>
      <c r="AD500" s="585">
        <f t="shared" si="399"/>
        <v>1.919192601358219</v>
      </c>
      <c r="AE500" s="586">
        <f t="shared" si="400"/>
        <v>1.0227127804026512</v>
      </c>
      <c r="AF500" s="580" t="str">
        <f t="shared" si="415"/>
        <v>0.232499991972479-0.407407374917962i</v>
      </c>
      <c r="AG500" s="270">
        <f t="shared" si="416"/>
        <v>0.46908103287678099</v>
      </c>
      <c r="AH500" s="581">
        <f t="shared" si="417"/>
        <v>-1.0522133112283276</v>
      </c>
      <c r="AI500" s="582" t="str">
        <f t="shared" si="401"/>
        <v>4000</v>
      </c>
      <c r="AJ500" s="584" t="str">
        <f t="shared" si="418"/>
        <v>1+17748.7410045692i</v>
      </c>
      <c r="AK500" s="585">
        <f t="shared" si="419"/>
        <v>17748.74103274021</v>
      </c>
      <c r="AL500" s="586">
        <f t="shared" si="420"/>
        <v>1.5707399847704857</v>
      </c>
      <c r="AM500" s="273" t="str">
        <f t="shared" si="421"/>
        <v>1+0.621184193713142i</v>
      </c>
      <c r="AN500" s="585">
        <f t="shared" si="422"/>
        <v>1.1772297152718523</v>
      </c>
      <c r="AO500" s="586">
        <f t="shared" si="423"/>
        <v>0.55585065780275644</v>
      </c>
      <c r="AP500" s="584" t="str">
        <f t="shared" si="424"/>
        <v>1+0.00449412485645169i</v>
      </c>
      <c r="AQ500" s="585">
        <f t="shared" si="425"/>
        <v>1.0000100985281226</v>
      </c>
      <c r="AR500" s="586">
        <f t="shared" si="426"/>
        <v>4.4940946006347352E-3</v>
      </c>
      <c r="AS500" s="580" t="str">
        <f t="shared" si="427"/>
        <v>0.138992193255181-0.225984857829811i</v>
      </c>
      <c r="AT500" s="270">
        <f t="shared" si="428"/>
        <v>0.26530734206622603</v>
      </c>
      <c r="AU500" s="581">
        <f t="shared" si="429"/>
        <v>-1.0193834215683633</v>
      </c>
      <c r="AV500" s="580" t="str">
        <f t="shared" si="430"/>
        <v>-0.0238960961467318-0.0474278503725815i</v>
      </c>
      <c r="AW500" s="270">
        <f t="shared" si="431"/>
        <v>-25.496855365081686</v>
      </c>
      <c r="AX500" s="581">
        <f t="shared" si="432"/>
        <v>-116.74083958122765</v>
      </c>
      <c r="AY500" s="299">
        <f t="shared" si="402"/>
        <v>63.259160418772353</v>
      </c>
      <c r="BB500" s="270">
        <f t="shared" si="435"/>
        <v>-51.525014625326904</v>
      </c>
      <c r="BC500" s="270">
        <f t="shared" si="436"/>
        <v>-58.406367761472389</v>
      </c>
      <c r="BD500" s="286"/>
      <c r="BE500" s="270">
        <f t="shared" si="433"/>
        <v>26.028159260245211</v>
      </c>
      <c r="BF500" s="581">
        <f t="shared" si="434"/>
        <v>-58.334471819755294</v>
      </c>
      <c r="BI500" s="286"/>
      <c r="BJ500" s="286"/>
      <c r="BL500" s="253">
        <f t="shared" si="403"/>
        <v>0</v>
      </c>
      <c r="BM500" s="253">
        <f t="shared" si="437"/>
        <v>0</v>
      </c>
      <c r="BN500" s="253">
        <f t="shared" si="404"/>
        <v>0</v>
      </c>
      <c r="BO500" s="253">
        <f t="shared" si="405"/>
        <v>0</v>
      </c>
    </row>
    <row r="501" spans="4:67" ht="13.6" thickBot="1" x14ac:dyDescent="0.25">
      <c r="D501" s="280">
        <v>64565</v>
      </c>
      <c r="E501" s="273" t="str">
        <f t="shared" si="384"/>
        <v>0.73021294684449i</v>
      </c>
      <c r="F501" s="579" t="str">
        <f t="shared" si="406"/>
        <v>0.002-0.0379236054523219i</v>
      </c>
      <c r="G501" s="270" t="str">
        <f t="shared" si="407"/>
        <v>0.002-0.0379236054523219i</v>
      </c>
      <c r="H501" s="271" t="str">
        <f t="shared" si="408"/>
        <v>0.00271469175971975-0.0378342957070048i</v>
      </c>
      <c r="I501" s="271" t="str">
        <f t="shared" si="409"/>
        <v>0.0127146917597198-0.0378342957070048i</v>
      </c>
      <c r="J501" s="270" t="str">
        <f t="shared" si="410"/>
        <v>0.00361385324800059-0.0193057124559557i</v>
      </c>
      <c r="K501" s="271" t="str">
        <f t="shared" si="385"/>
        <v>0.894733990934572-0.509640526831721i</v>
      </c>
      <c r="L501" s="580"/>
      <c r="M501" s="580" t="str">
        <f t="shared" si="386"/>
        <v>-0.071263055008384-22.2675145039184i</v>
      </c>
      <c r="N501" s="270" t="str">
        <f t="shared" si="387"/>
        <v>-6.72011395792296-16.7006358779388i</v>
      </c>
      <c r="O501" s="581" t="str">
        <f t="shared" si="388"/>
        <v>-4.41484564148444-7.68006309663811i</v>
      </c>
      <c r="P501" s="582" t="str">
        <f t="shared" si="389"/>
        <v>-0.346703179744878+0.0693829405317507i</v>
      </c>
      <c r="Q501" s="583" t="str">
        <f t="shared" si="390"/>
        <v>-0.302554723330034+0.146183571498132i</v>
      </c>
      <c r="R501" s="581" t="str">
        <f t="shared" si="411"/>
        <v>-0.510980775935432-0.890448644767021i</v>
      </c>
      <c r="S501" s="253" t="str">
        <f t="shared" si="412"/>
        <v>44.0374028304967-24.3683536690786i</v>
      </c>
      <c r="T501" s="253" t="str">
        <f t="shared" si="413"/>
        <v>10.4118615529573-17.1023509857208i</v>
      </c>
      <c r="U501" s="253" t="str">
        <f t="shared" si="414"/>
        <v>-0.618790409717588-0.440353060147757i</v>
      </c>
      <c r="V501" s="582" t="str">
        <f t="shared" si="391"/>
        <v>6000</v>
      </c>
      <c r="W501" s="584" t="str">
        <f t="shared" si="392"/>
        <v>1+227211.437844695i</v>
      </c>
      <c r="X501" s="585">
        <f t="shared" si="393"/>
        <v>227211.43784689557</v>
      </c>
      <c r="Y501" s="586">
        <f t="shared" si="394"/>
        <v>1.5707919256080132</v>
      </c>
      <c r="Z501" s="273" t="str">
        <f t="shared" si="395"/>
        <v>1+34.0766041860762i</v>
      </c>
      <c r="AA501" s="585">
        <f t="shared" si="396"/>
        <v>34.09127385203589</v>
      </c>
      <c r="AB501" s="586">
        <f t="shared" si="397"/>
        <v>1.5414590992030819</v>
      </c>
      <c r="AC501" s="584" t="str">
        <f t="shared" si="398"/>
        <v>1+1.64744901501549i</v>
      </c>
      <c r="AD501" s="585">
        <f t="shared" si="399"/>
        <v>1.927196994880261</v>
      </c>
      <c r="AE501" s="586">
        <f t="shared" si="400"/>
        <v>1.0252463475925098</v>
      </c>
      <c r="AF501" s="580" t="str">
        <f t="shared" si="415"/>
        <v>0.230572677836911-0.406259891817654i</v>
      </c>
      <c r="AG501" s="270">
        <f t="shared" si="416"/>
        <v>0.46713045229847283</v>
      </c>
      <c r="AH501" s="581">
        <f t="shared" si="417"/>
        <v>-1.0545791739974415</v>
      </c>
      <c r="AI501" s="582" t="str">
        <f t="shared" si="401"/>
        <v>4000</v>
      </c>
      <c r="AJ501" s="584" t="str">
        <f t="shared" si="418"/>
        <v>1+17850.2745494976i</v>
      </c>
      <c r="AK501" s="585">
        <f t="shared" si="419"/>
        <v>17850.274577508371</v>
      </c>
      <c r="AL501" s="586">
        <f t="shared" si="420"/>
        <v>1.5707403052476547</v>
      </c>
      <c r="AM501" s="273" t="str">
        <f t="shared" si="421"/>
        <v>1+0.624737743411397i</v>
      </c>
      <c r="AN501" s="585">
        <f t="shared" si="422"/>
        <v>1.1791086667660298</v>
      </c>
      <c r="AO501" s="586">
        <f t="shared" si="423"/>
        <v>0.55841070410701033</v>
      </c>
      <c r="AP501" s="584" t="str">
        <f t="shared" si="424"/>
        <v>1+0.00451983397170155i</v>
      </c>
      <c r="AQ501" s="585">
        <f t="shared" si="425"/>
        <v>1.0000102143973988</v>
      </c>
      <c r="AR501" s="586">
        <f t="shared" si="426"/>
        <v>4.5198031936680393E-3</v>
      </c>
      <c r="AS501" s="580" t="str">
        <f t="shared" si="427"/>
        <v>0.138992017013772-0.224706566596561i</v>
      </c>
      <c r="AT501" s="270">
        <f t="shared" si="428"/>
        <v>0.26421926853500177</v>
      </c>
      <c r="AU501" s="581">
        <f t="shared" si="429"/>
        <v>-1.0168494043343135</v>
      </c>
      <c r="AV501" s="580" t="str">
        <f t="shared" si="430"/>
        <v>-0.0239584493261695-0.0471670392062658i</v>
      </c>
      <c r="AW501" s="270">
        <f t="shared" si="431"/>
        <v>-25.530379290581347</v>
      </c>
      <c r="AX501" s="581">
        <f t="shared" si="432"/>
        <v>-116.92824576635866</v>
      </c>
      <c r="AY501" s="299">
        <f t="shared" si="402"/>
        <v>63.071754233641343</v>
      </c>
      <c r="BB501" s="270">
        <f t="shared" si="435"/>
        <v>-51.560710281493684</v>
      </c>
      <c r="BC501" s="270">
        <f t="shared" si="436"/>
        <v>-58.261179268747924</v>
      </c>
      <c r="BD501" s="286"/>
      <c r="BE501" s="270">
        <f t="shared" si="433"/>
        <v>26.030330990912329</v>
      </c>
      <c r="BF501" s="581">
        <f t="shared" si="434"/>
        <v>-58.667066497610762</v>
      </c>
      <c r="BI501" s="286"/>
      <c r="BJ501" s="286"/>
      <c r="BL501" s="253">
        <f t="shared" si="403"/>
        <v>0</v>
      </c>
      <c r="BM501" s="253">
        <f t="shared" si="437"/>
        <v>0</v>
      </c>
      <c r="BN501" s="253">
        <f t="shared" si="404"/>
        <v>0</v>
      </c>
      <c r="BO501" s="253">
        <f t="shared" si="405"/>
        <v>0</v>
      </c>
    </row>
    <row r="502" spans="4:67" ht="13.6" thickBot="1" x14ac:dyDescent="0.25">
      <c r="D502" s="280">
        <v>64941</v>
      </c>
      <c r="E502" s="273" t="str">
        <f t="shared" si="384"/>
        <v>0.734465406660389i</v>
      </c>
      <c r="F502" s="579" t="str">
        <f t="shared" si="406"/>
        <v>0.002-0.0377040326762625i</v>
      </c>
      <c r="G502" s="270" t="str">
        <f t="shared" si="407"/>
        <v>0.002-0.0377040326762625i</v>
      </c>
      <c r="H502" s="271" t="str">
        <f t="shared" si="408"/>
        <v>0.00270641963679965-0.0376153958132385i</v>
      </c>
      <c r="I502" s="271" t="str">
        <f t="shared" si="409"/>
        <v>0.0127064196367997-0.0376153958132385i</v>
      </c>
      <c r="J502" s="270" t="str">
        <f t="shared" si="410"/>
        <v>0.00361111788504457-0.0191975154030313i</v>
      </c>
      <c r="K502" s="271" t="str">
        <f t="shared" si="385"/>
        <v>0.893504369056337-0.512608463609987i</v>
      </c>
      <c r="L502" s="580"/>
      <c r="M502" s="580" t="str">
        <f t="shared" si="386"/>
        <v>-0.0705106815457772-22.1347707543409i</v>
      </c>
      <c r="N502" s="270" t="str">
        <f t="shared" si="387"/>
        <v>-6.719549677826-16.6010780657557i</v>
      </c>
      <c r="O502" s="581" t="str">
        <f t="shared" si="388"/>
        <v>-4.41216047045611-7.62724329360441i</v>
      </c>
      <c r="P502" s="582" t="str">
        <f t="shared" si="389"/>
        <v>-0.342964537895313+0.0690502085272271i</v>
      </c>
      <c r="Q502" s="583" t="str">
        <f t="shared" si="390"/>
        <v>-0.298842933190752+0.145322641463272i</v>
      </c>
      <c r="R502" s="581" t="str">
        <f t="shared" si="411"/>
        <v>-0.510859128087649-0.883919841970686i</v>
      </c>
      <c r="S502" s="253" t="str">
        <f t="shared" si="412"/>
        <v>43.9418705015684-24.4995837800655i</v>
      </c>
      <c r="T502" s="253" t="str">
        <f t="shared" si="413"/>
        <v>10.3127243070047-17.1682696471351i</v>
      </c>
      <c r="U502" s="253" t="str">
        <f t="shared" si="414"/>
        <v>-0.617880698632017-0.434381748823667i</v>
      </c>
      <c r="V502" s="582" t="str">
        <f t="shared" si="391"/>
        <v>6000</v>
      </c>
      <c r="W502" s="584" t="str">
        <f t="shared" si="392"/>
        <v>1+228534.623791099i</v>
      </c>
      <c r="X502" s="585">
        <f t="shared" si="393"/>
        <v>228534.62379328682</v>
      </c>
      <c r="Y502" s="586">
        <f t="shared" si="394"/>
        <v>1.5707919510903168</v>
      </c>
      <c r="Z502" s="273" t="str">
        <f t="shared" si="395"/>
        <v>1+34.2750523108181i</v>
      </c>
      <c r="AA502" s="585">
        <f t="shared" si="396"/>
        <v>34.289637077538707</v>
      </c>
      <c r="AB502" s="586">
        <f t="shared" si="397"/>
        <v>1.5416288613596081</v>
      </c>
      <c r="AC502" s="584" t="str">
        <f t="shared" si="398"/>
        <v>1+1.65704308037049i</v>
      </c>
      <c r="AD502" s="585">
        <f t="shared" si="399"/>
        <v>1.9354048078383297</v>
      </c>
      <c r="AE502" s="586">
        <f t="shared" si="400"/>
        <v>1.0278185505077515</v>
      </c>
      <c r="AF502" s="580" t="str">
        <f t="shared" si="415"/>
        <v>0.22862116378888-0.405085407418324i</v>
      </c>
      <c r="AG502" s="270">
        <f t="shared" si="416"/>
        <v>0.46514709913687674</v>
      </c>
      <c r="AH502" s="581">
        <f t="shared" si="417"/>
        <v>-1.0569816402384615</v>
      </c>
      <c r="AI502" s="582" t="str">
        <f t="shared" si="401"/>
        <v>4000</v>
      </c>
      <c r="AJ502" s="584" t="str">
        <f t="shared" si="418"/>
        <v>1+17954.2272054352i</v>
      </c>
      <c r="AK502" s="585">
        <f t="shared" si="419"/>
        <v>17954.227233283793</v>
      </c>
      <c r="AL502" s="586">
        <f t="shared" si="420"/>
        <v>1.5707406296051749</v>
      </c>
      <c r="AM502" s="273" t="str">
        <f t="shared" si="421"/>
        <v>1+0.628375959031666i</v>
      </c>
      <c r="AN502" s="585">
        <f t="shared" si="422"/>
        <v>1.1810403659015918</v>
      </c>
      <c r="AO502" s="586">
        <f t="shared" si="423"/>
        <v>0.56102328866350404</v>
      </c>
      <c r="AP502" s="584" t="str">
        <f t="shared" si="424"/>
        <v>1+0.00454615562543592i</v>
      </c>
      <c r="AQ502" s="585">
        <f t="shared" si="425"/>
        <v>1.0000103337120925</v>
      </c>
      <c r="AR502" s="586">
        <f t="shared" si="426"/>
        <v>4.5461243065535607E-3</v>
      </c>
      <c r="AS502" s="580" t="str">
        <f t="shared" si="427"/>
        <v>0.13899183890732-0.22341283962237i</v>
      </c>
      <c r="AT502" s="270">
        <f t="shared" si="428"/>
        <v>0.26311979817370112</v>
      </c>
      <c r="AU502" s="581">
        <f t="shared" si="429"/>
        <v>-1.0142634652482225</v>
      </c>
      <c r="AV502" s="580" t="str">
        <f t="shared" si="430"/>
        <v>-0.024022273576942-0.0469024439078259i</v>
      </c>
      <c r="AW502" s="270">
        <f t="shared" si="431"/>
        <v>-25.564383719215602</v>
      </c>
      <c r="AX502" s="581">
        <f t="shared" si="432"/>
        <v>-117.12040399819219</v>
      </c>
      <c r="AY502" s="299">
        <f t="shared" si="402"/>
        <v>62.879596001807812</v>
      </c>
      <c r="BB502" s="270">
        <f t="shared" si="435"/>
        <v>-51.596929453025631</v>
      </c>
      <c r="BC502" s="270">
        <f t="shared" si="436"/>
        <v>-58.113015873036993</v>
      </c>
      <c r="BD502" s="286"/>
      <c r="BE502" s="270">
        <f t="shared" si="433"/>
        <v>26.032545733810029</v>
      </c>
      <c r="BF502" s="581">
        <f t="shared" si="434"/>
        <v>-59.007388125155138</v>
      </c>
      <c r="BI502" s="286"/>
      <c r="BJ502" s="286"/>
      <c r="BL502" s="253">
        <f t="shared" si="403"/>
        <v>0</v>
      </c>
      <c r="BM502" s="253">
        <f t="shared" si="437"/>
        <v>0</v>
      </c>
      <c r="BN502" s="253">
        <f t="shared" si="404"/>
        <v>0</v>
      </c>
      <c r="BO502" s="253">
        <f t="shared" si="405"/>
        <v>0</v>
      </c>
    </row>
    <row r="503" spans="4:67" ht="13.6" thickBot="1" x14ac:dyDescent="0.25">
      <c r="D503" s="280">
        <v>65317</v>
      </c>
      <c r="E503" s="273" t="str">
        <f t="shared" si="384"/>
        <v>0.738717866476288i</v>
      </c>
      <c r="F503" s="579" t="str">
        <f t="shared" si="406"/>
        <v>0.002-0.0374869878596561i</v>
      </c>
      <c r="G503" s="270" t="str">
        <f t="shared" si="407"/>
        <v>0.002-0.0374869878596561i</v>
      </c>
      <c r="H503" s="271" t="str">
        <f t="shared" si="408"/>
        <v>0.00269828989198914-0.0373990134659787i</v>
      </c>
      <c r="I503" s="271" t="str">
        <f t="shared" si="409"/>
        <v>0.0126982898919891-0.0373990134659787i</v>
      </c>
      <c r="J503" s="270" t="str">
        <f t="shared" si="410"/>
        <v>0.00360841492228256-0.0190905815138935i</v>
      </c>
      <c r="K503" s="271" t="str">
        <f t="shared" si="385"/>
        <v>0.892267607156385-0.515576400388252i</v>
      </c>
      <c r="L503" s="580"/>
      <c r="M503" s="580" t="str">
        <f t="shared" si="386"/>
        <v>-0.0697704092679429-22.003621769579i</v>
      </c>
      <c r="N503" s="270" t="str">
        <f t="shared" si="387"/>
        <v>-6.71899447361763-16.5027163271842i</v>
      </c>
      <c r="O503" s="581" t="str">
        <f t="shared" si="388"/>
        <v>-4.40949303315173-7.5750220152773i</v>
      </c>
      <c r="P503" s="582" t="str">
        <f t="shared" si="389"/>
        <v>-0.339291371166107+0.0687208638367898i</v>
      </c>
      <c r="Q503" s="583" t="str">
        <f t="shared" si="390"/>
        <v>-0.295196440834591+0.144471083989563i</v>
      </c>
      <c r="R503" s="581" t="str">
        <f t="shared" si="411"/>
        <v>-0.51073955881533-0.877462255521413i</v>
      </c>
      <c r="S503" s="253" t="str">
        <f t="shared" si="412"/>
        <v>43.8458009040202-24.6303693999257i</v>
      </c>
      <c r="T503" s="253" t="str">
        <f t="shared" si="413"/>
        <v>10.2132212518122-17.2335612478881i</v>
      </c>
      <c r="U503" s="253" t="str">
        <f t="shared" si="414"/>
        <v>-0.61695995750812-0.428465543245696i</v>
      </c>
      <c r="V503" s="582" t="str">
        <f t="shared" si="391"/>
        <v>6000</v>
      </c>
      <c r="W503" s="584" t="str">
        <f t="shared" si="392"/>
        <v>1+229857.809737504i</v>
      </c>
      <c r="X503" s="585">
        <f t="shared" si="393"/>
        <v>229857.80973967927</v>
      </c>
      <c r="Y503" s="586">
        <f t="shared" si="394"/>
        <v>1.5707919762792404</v>
      </c>
      <c r="Z503" s="273" t="str">
        <f t="shared" si="395"/>
        <v>1+34.4735004355601i</v>
      </c>
      <c r="AA503" s="585">
        <f t="shared" si="396"/>
        <v>34.488001279873586</v>
      </c>
      <c r="AB503" s="586">
        <f t="shared" si="397"/>
        <v>1.5417966706832116</v>
      </c>
      <c r="AC503" s="584" t="str">
        <f t="shared" si="398"/>
        <v>1+1.6666371457255i</v>
      </c>
      <c r="AD503" s="585">
        <f t="shared" si="399"/>
        <v>1.9436253176762339</v>
      </c>
      <c r="AE503" s="586">
        <f t="shared" si="400"/>
        <v>1.030369012055758</v>
      </c>
      <c r="AF503" s="580" t="str">
        <f t="shared" si="415"/>
        <v>0.226691359263403-0.403911419024208i</v>
      </c>
      <c r="AG503" s="270">
        <f t="shared" si="416"/>
        <v>0.46317751109357475</v>
      </c>
      <c r="AH503" s="581">
        <f t="shared" si="417"/>
        <v>-1.0593643176517864</v>
      </c>
      <c r="AI503" s="582" t="str">
        <f t="shared" si="401"/>
        <v>4000</v>
      </c>
      <c r="AJ503" s="584" t="str">
        <f t="shared" si="418"/>
        <v>1+18058.1798613728i</v>
      </c>
      <c r="AK503" s="585">
        <f t="shared" si="419"/>
        <v>18058.179889061081</v>
      </c>
      <c r="AL503" s="586">
        <f t="shared" si="420"/>
        <v>1.5707409502283405</v>
      </c>
      <c r="AM503" s="273" t="str">
        <f t="shared" si="421"/>
        <v>1+0.632014174651936i</v>
      </c>
      <c r="AN503" s="585">
        <f t="shared" si="422"/>
        <v>1.1829800999851892</v>
      </c>
      <c r="AO503" s="586">
        <f t="shared" si="423"/>
        <v>0.56362732322871845</v>
      </c>
      <c r="AP503" s="584" t="str">
        <f t="shared" si="424"/>
        <v>1+0.0045724772791703i</v>
      </c>
      <c r="AQ503" s="585">
        <f t="shared" si="425"/>
        <v>1.0000104537195942</v>
      </c>
      <c r="AR503" s="586">
        <f t="shared" si="426"/>
        <v>4.5724454131399316E-3</v>
      </c>
      <c r="AS503" s="580" t="str">
        <f t="shared" si="427"/>
        <v>0.138991663104194-0.222134049545678i</v>
      </c>
      <c r="AT503" s="270">
        <f t="shared" si="428"/>
        <v>0.2620347655942461</v>
      </c>
      <c r="AU503" s="581">
        <f t="shared" si="429"/>
        <v>-1.0116860724127623</v>
      </c>
      <c r="AV503" s="580" t="str">
        <f t="shared" si="430"/>
        <v>-0.0240860814064638-0.0466402553462298i</v>
      </c>
      <c r="AW503" s="270">
        <f t="shared" si="431"/>
        <v>-25.598070339394333</v>
      </c>
      <c r="AX503" s="581">
        <f t="shared" si="432"/>
        <v>-117.31285212298171</v>
      </c>
      <c r="AY503" s="299">
        <f t="shared" si="402"/>
        <v>62.68714787701829</v>
      </c>
      <c r="BB503" s="270">
        <f t="shared" si="435"/>
        <v>-51.632821692376396</v>
      </c>
      <c r="BC503" s="270">
        <f t="shared" si="436"/>
        <v>-57.965342141417864</v>
      </c>
      <c r="BD503" s="286"/>
      <c r="BE503" s="270">
        <f t="shared" si="433"/>
        <v>26.034751352982056</v>
      </c>
      <c r="BF503" s="581">
        <f t="shared" si="434"/>
        <v>-59.347509981563796</v>
      </c>
      <c r="BI503" s="286"/>
      <c r="BJ503" s="286"/>
      <c r="BL503" s="253">
        <f t="shared" si="403"/>
        <v>0</v>
      </c>
      <c r="BM503" s="253">
        <f t="shared" si="437"/>
        <v>0</v>
      </c>
      <c r="BN503" s="253">
        <f t="shared" si="404"/>
        <v>0</v>
      </c>
      <c r="BO503" s="253">
        <f t="shared" si="405"/>
        <v>0</v>
      </c>
    </row>
    <row r="504" spans="4:67" ht="13.6" thickBot="1" x14ac:dyDescent="0.25">
      <c r="D504" s="280">
        <v>65693</v>
      </c>
      <c r="E504" s="273" t="str">
        <f t="shared" si="384"/>
        <v>0.742970326292188i</v>
      </c>
      <c r="F504" s="579" t="str">
        <f t="shared" si="406"/>
        <v>0.002-0.0372724275954692i</v>
      </c>
      <c r="G504" s="270" t="str">
        <f t="shared" si="407"/>
        <v>0.002-0.0372724275954692i</v>
      </c>
      <c r="H504" s="271" t="str">
        <f t="shared" si="408"/>
        <v>0.00269029927686526-0.0371851054974682i</v>
      </c>
      <c r="I504" s="271" t="str">
        <f t="shared" si="409"/>
        <v>0.0126902992768653-0.0371851054974682i</v>
      </c>
      <c r="J504" s="270" t="str">
        <f t="shared" si="410"/>
        <v>0.00360574355258383-0.0189848890624568i</v>
      </c>
      <c r="K504" s="271" t="str">
        <f t="shared" si="385"/>
        <v>0.891023705234716-0.518544337166518i</v>
      </c>
      <c r="L504" s="580"/>
      <c r="M504" s="580" t="str">
        <f t="shared" si="386"/>
        <v>-0.0690419861371702-21.8740386207803i</v>
      </c>
      <c r="N504" s="270" t="str">
        <f t="shared" si="387"/>
        <v>-6.71844815626955-16.4055289655852i</v>
      </c>
      <c r="O504" s="581" t="str">
        <f t="shared" si="388"/>
        <v>-4.4068427917603-7.52338848872988i</v>
      </c>
      <c r="P504" s="582" t="str">
        <f t="shared" si="389"/>
        <v>-0.335682148545394+0.0683948626242587i</v>
      </c>
      <c r="Q504" s="583" t="str">
        <f t="shared" si="390"/>
        <v>-0.29161372062779+0.143628747511558i</v>
      </c>
      <c r="R504" s="581" t="str">
        <f t="shared" si="411"/>
        <v>-0.510622020879827-0.871074593160742i</v>
      </c>
      <c r="S504" s="253" t="str">
        <f t="shared" si="412"/>
        <v>43.7491953708916-24.760708221891i</v>
      </c>
      <c r="T504" s="253" t="str">
        <f t="shared" si="413"/>
        <v>10.1133563780843-17.2982234247581i</v>
      </c>
      <c r="U504" s="253" t="str">
        <f t="shared" si="414"/>
        <v>-0.616028307617765-0.422603621823236i</v>
      </c>
      <c r="V504" s="582" t="str">
        <f t="shared" si="391"/>
        <v>6000</v>
      </c>
      <c r="W504" s="584" t="str">
        <f t="shared" si="392"/>
        <v>1+231180.995683908i</v>
      </c>
      <c r="X504" s="585">
        <f t="shared" si="393"/>
        <v>231180.99568607085</v>
      </c>
      <c r="Y504" s="586">
        <f t="shared" si="394"/>
        <v>1.5707920011798215</v>
      </c>
      <c r="Z504" s="273" t="str">
        <f t="shared" si="395"/>
        <v>1+34.6719485603021i</v>
      </c>
      <c r="AA504" s="585">
        <f t="shared" si="396"/>
        <v>34.686366442281539</v>
      </c>
      <c r="AB504" s="586">
        <f t="shared" si="397"/>
        <v>1.5419625606680722</v>
      </c>
      <c r="AC504" s="584" t="str">
        <f t="shared" si="398"/>
        <v>1+1.6762312110805i</v>
      </c>
      <c r="AD504" s="585">
        <f t="shared" si="399"/>
        <v>1.9518583639701932</v>
      </c>
      <c r="AE504" s="586">
        <f t="shared" si="400"/>
        <v>1.0328979739637982</v>
      </c>
      <c r="AF504" s="580" t="str">
        <f t="shared" si="415"/>
        <v>0.2247829988865-0.402738076434062i</v>
      </c>
      <c r="AG504" s="270">
        <f t="shared" si="416"/>
        <v>0.46122158969221788</v>
      </c>
      <c r="AH504" s="581">
        <f t="shared" si="417"/>
        <v>-1.0617274144755477</v>
      </c>
      <c r="AI504" s="582" t="str">
        <f t="shared" si="401"/>
        <v>4000</v>
      </c>
      <c r="AJ504" s="584" t="str">
        <f t="shared" si="418"/>
        <v>1+18162.1325173104i</v>
      </c>
      <c r="AK504" s="585">
        <f t="shared" si="419"/>
        <v>18162.132544840206</v>
      </c>
      <c r="AL504" s="586">
        <f t="shared" si="420"/>
        <v>1.5707412671812726</v>
      </c>
      <c r="AM504" s="273" t="str">
        <f t="shared" si="421"/>
        <v>1+0.635652390272206i</v>
      </c>
      <c r="AN504" s="585">
        <f t="shared" si="422"/>
        <v>1.1849278295570447</v>
      </c>
      <c r="AO504" s="586">
        <f t="shared" si="423"/>
        <v>0.566222814562652</v>
      </c>
      <c r="AP504" s="584" t="str">
        <f t="shared" si="424"/>
        <v>1+0.00459879893290467i</v>
      </c>
      <c r="AQ504" s="585">
        <f t="shared" si="425"/>
        <v>1.0000105744199035</v>
      </c>
      <c r="AR504" s="586">
        <f t="shared" si="426"/>
        <v>4.5987665133906631E-3</v>
      </c>
      <c r="AS504" s="580" t="str">
        <f t="shared" si="427"/>
        <v>0.13899148954742-0.22086993988826i</v>
      </c>
      <c r="AT504" s="270">
        <f t="shared" si="428"/>
        <v>0.2609639141966838</v>
      </c>
      <c r="AU504" s="581">
        <f t="shared" si="429"/>
        <v>-1.0091172191320101</v>
      </c>
      <c r="AV504" s="580" t="str">
        <f t="shared" si="430"/>
        <v>-0.0241498710068618-0.0463804225562723i</v>
      </c>
      <c r="AW504" s="270">
        <f t="shared" si="431"/>
        <v>-25.631443289793413</v>
      </c>
      <c r="AX504" s="581">
        <f t="shared" si="432"/>
        <v>-117.50558965127659</v>
      </c>
      <c r="AY504" s="299">
        <f t="shared" si="402"/>
        <v>62.494410348723406</v>
      </c>
      <c r="BB504" s="270">
        <f t="shared" si="435"/>
        <v>-51.66839084547572</v>
      </c>
      <c r="BC504" s="270">
        <f t="shared" si="436"/>
        <v>-57.81815769024243</v>
      </c>
      <c r="BD504" s="286"/>
      <c r="BE504" s="270">
        <f t="shared" si="433"/>
        <v>26.036947555682307</v>
      </c>
      <c r="BF504" s="581">
        <f t="shared" si="434"/>
        <v>-59.687431961034108</v>
      </c>
      <c r="BI504" s="286"/>
      <c r="BJ504" s="286"/>
      <c r="BL504" s="253">
        <f t="shared" si="403"/>
        <v>0</v>
      </c>
      <c r="BM504" s="253">
        <f t="shared" si="437"/>
        <v>0</v>
      </c>
      <c r="BN504" s="253">
        <f t="shared" si="404"/>
        <v>0</v>
      </c>
      <c r="BO504" s="253">
        <f t="shared" si="405"/>
        <v>0</v>
      </c>
    </row>
    <row r="505" spans="4:67" ht="13.6" thickBot="1" x14ac:dyDescent="0.25">
      <c r="D505" s="280">
        <v>66069</v>
      </c>
      <c r="E505" s="273" t="str">
        <f t="shared" si="384"/>
        <v>0.747222786108087i</v>
      </c>
      <c r="F505" s="579" t="str">
        <f t="shared" si="406"/>
        <v>0.002-0.0370603094647893i</v>
      </c>
      <c r="G505" s="270" t="str">
        <f t="shared" si="407"/>
        <v>0.002-0.0370603094647893i</v>
      </c>
      <c r="H505" s="271" t="str">
        <f t="shared" si="408"/>
        <v>0.00268244463511178-0.0369736297209187i</v>
      </c>
      <c r="I505" s="271" t="str">
        <f t="shared" si="409"/>
        <v>0.0126824446351118-0.0369736297209187i</v>
      </c>
      <c r="J505" s="270" t="str">
        <f t="shared" si="410"/>
        <v>0.00360310299198167-0.0188804168168289i</v>
      </c>
      <c r="K505" s="271" t="str">
        <f t="shared" si="385"/>
        <v>0.889772663291331-0.521512273944784i</v>
      </c>
      <c r="L505" s="580"/>
      <c r="M505" s="580" t="str">
        <f t="shared" si="386"/>
        <v>-0.0683251664086496-21.7459930824676i</v>
      </c>
      <c r="N505" s="270" t="str">
        <f t="shared" si="387"/>
        <v>-6.71791054147316-16.3094948118507i</v>
      </c>
      <c r="O505" s="581" t="str">
        <f t="shared" si="388"/>
        <v>-4.40420922429673-7.47233220347294i</v>
      </c>
      <c r="P505" s="582" t="str">
        <f t="shared" si="389"/>
        <v>-0.332135383691497+0.0680721616068932i</v>
      </c>
      <c r="Q505" s="583" t="str">
        <f t="shared" si="390"/>
        <v>-0.28809329144853+0.142795483641623i</v>
      </c>
      <c r="R505" s="581" t="str">
        <f t="shared" si="411"/>
        <v>-0.510506468373417-0.864755594062229i</v>
      </c>
      <c r="S505" s="253" t="str">
        <f t="shared" si="412"/>
        <v>43.6520552592673-24.8905979135035i</v>
      </c>
      <c r="T505" s="253" t="str">
        <f t="shared" si="413"/>
        <v>10.0131337018886-17.3622538334703i</v>
      </c>
      <c r="U505" s="253" t="str">
        <f t="shared" si="414"/>
        <v>-0.615085867580043-0.41679518248872i</v>
      </c>
      <c r="V505" s="582" t="str">
        <f t="shared" si="391"/>
        <v>6000</v>
      </c>
      <c r="W505" s="584" t="str">
        <f t="shared" si="392"/>
        <v>1+232504.181630312i</v>
      </c>
      <c r="X505" s="585">
        <f t="shared" si="393"/>
        <v>232504.18163246248</v>
      </c>
      <c r="Y505" s="586">
        <f t="shared" si="394"/>
        <v>1.5707920257969834</v>
      </c>
      <c r="Z505" s="273" t="str">
        <f t="shared" si="395"/>
        <v>1+34.870396685044i</v>
      </c>
      <c r="AA505" s="585">
        <f t="shared" si="396"/>
        <v>34.884732548384655</v>
      </c>
      <c r="AB505" s="586">
        <f t="shared" si="397"/>
        <v>1.5421265640469619</v>
      </c>
      <c r="AC505" s="584" t="str">
        <f t="shared" si="398"/>
        <v>1+1.68582527643551i</v>
      </c>
      <c r="AD505" s="585">
        <f t="shared" si="399"/>
        <v>1.960103788749173</v>
      </c>
      <c r="AE505" s="586">
        <f t="shared" si="400"/>
        <v>1.035405675001059</v>
      </c>
      <c r="AF505" s="580" t="str">
        <f t="shared" si="415"/>
        <v>0.222895819954683-0.401565524452514i</v>
      </c>
      <c r="AG505" s="270">
        <f t="shared" si="416"/>
        <v>0.45927923639338741</v>
      </c>
      <c r="AH505" s="581">
        <f t="shared" si="417"/>
        <v>-1.0640711367510811</v>
      </c>
      <c r="AI505" s="582" t="str">
        <f t="shared" si="401"/>
        <v>4000</v>
      </c>
      <c r="AJ505" s="584" t="str">
        <f t="shared" si="418"/>
        <v>1+18266.085173248i</v>
      </c>
      <c r="AK505" s="585">
        <f t="shared" si="419"/>
        <v>18266.085200621132</v>
      </c>
      <c r="AL505" s="586">
        <f t="shared" si="420"/>
        <v>1.570741580526634</v>
      </c>
      <c r="AM505" s="273" t="str">
        <f t="shared" si="421"/>
        <v>1+0.639290605892474i</v>
      </c>
      <c r="AN505" s="585">
        <f t="shared" si="422"/>
        <v>1.186883515254284</v>
      </c>
      <c r="AO505" s="586">
        <f t="shared" si="423"/>
        <v>0.56880976984143516</v>
      </c>
      <c r="AP505" s="584" t="str">
        <f t="shared" si="424"/>
        <v>1+0.00462512058663904i</v>
      </c>
      <c r="AQ505" s="585">
        <f t="shared" si="425"/>
        <v>1.0000106958130204</v>
      </c>
      <c r="AR505" s="586">
        <f t="shared" si="426"/>
        <v>4.6250876072692982E-3</v>
      </c>
      <c r="AS505" s="580" t="str">
        <f t="shared" si="427"/>
        <v>0.138991318181633-0.219620260010377i</v>
      </c>
      <c r="AT505" s="270">
        <f t="shared" si="428"/>
        <v>0.25990699324353228</v>
      </c>
      <c r="AU505" s="581">
        <f t="shared" si="429"/>
        <v>-1.0065568982924673</v>
      </c>
      <c r="AV505" s="580" t="str">
        <f t="shared" si="430"/>
        <v>-0.0242136404891848-0.0461228957404559i</v>
      </c>
      <c r="AW505" s="270">
        <f t="shared" si="431"/>
        <v>-25.664506649255252</v>
      </c>
      <c r="AX505" s="581">
        <f t="shared" si="432"/>
        <v>-117.69861605068164</v>
      </c>
      <c r="AY505" s="299">
        <f t="shared" si="402"/>
        <v>62.301383949318364</v>
      </c>
      <c r="BB505" s="270">
        <f t="shared" si="435"/>
        <v>-51.703640698073876</v>
      </c>
      <c r="BC505" s="270">
        <f t="shared" si="436"/>
        <v>-57.671462111937224</v>
      </c>
      <c r="BD505" s="286"/>
      <c r="BE505" s="270">
        <f t="shared" si="433"/>
        <v>26.039134048818635</v>
      </c>
      <c r="BF505" s="581">
        <f t="shared" si="434"/>
        <v>-60.027153938744412</v>
      </c>
      <c r="BI505" s="286"/>
      <c r="BJ505" s="286"/>
      <c r="BL505" s="253">
        <f t="shared" si="403"/>
        <v>0</v>
      </c>
      <c r="BM505" s="253">
        <f t="shared" si="437"/>
        <v>0</v>
      </c>
      <c r="BN505" s="253">
        <f t="shared" si="404"/>
        <v>0</v>
      </c>
      <c r="BO505" s="253">
        <f t="shared" si="405"/>
        <v>0</v>
      </c>
    </row>
    <row r="506" spans="4:67" ht="13.6" thickBot="1" x14ac:dyDescent="0.25">
      <c r="D506" s="280">
        <v>66453.75</v>
      </c>
      <c r="E506" s="273" t="str">
        <f t="shared" si="384"/>
        <v>0.751574206092574i</v>
      </c>
      <c r="F506" s="579" t="str">
        <f t="shared" si="406"/>
        <v>0.002-0.036845739872154i</v>
      </c>
      <c r="G506" s="270" t="str">
        <f t="shared" si="407"/>
        <v>0.002-0.036845739872154i</v>
      </c>
      <c r="H506" s="271" t="str">
        <f t="shared" si="408"/>
        <v>0.00267454476308505-0.036759707374471i</v>
      </c>
      <c r="I506" s="271" t="str">
        <f t="shared" si="409"/>
        <v>0.012674544763085-0.036759707374471i</v>
      </c>
      <c r="J506" s="270" t="str">
        <f t="shared" si="410"/>
        <v>0.00360043208069266-0.0187747548530523i</v>
      </c>
      <c r="K506" s="271" t="str">
        <f t="shared" si="385"/>
        <v>0.888485116813654-0.524549278400736i</v>
      </c>
      <c r="L506" s="580"/>
      <c r="M506" s="580" t="str">
        <f t="shared" si="386"/>
        <v>-0.0676034270059171-21.6165307314708i</v>
      </c>
      <c r="N506" s="270" t="str">
        <f t="shared" si="387"/>
        <v>-6.71736923692111-16.2123980486031i</v>
      </c>
      <c r="O506" s="581" t="str">
        <f t="shared" si="388"/>
        <v>-4.4015311023366-7.42067462288514i</v>
      </c>
      <c r="P506" s="582" t="str">
        <f t="shared" si="389"/>
        <v>-0.328569230641095+0.0677453226414792i</v>
      </c>
      <c r="Q506" s="583" t="str">
        <f t="shared" si="390"/>
        <v>-0.284553919617731+0.141952068870331i</v>
      </c>
      <c r="R506" s="581" t="str">
        <f t="shared" si="411"/>
        <v>-0.510390235542754-0.858359339130934i</v>
      </c>
      <c r="S506" s="253" t="str">
        <f t="shared" si="412"/>
        <v>43.5521026307886-25.0230429150543i</v>
      </c>
      <c r="T506" s="253" t="str">
        <f t="shared" si="413"/>
        <v>9.91021254305441-17.4271178940832i</v>
      </c>
      <c r="U506" s="253" t="str">
        <f t="shared" si="414"/>
        <v>-0.614110447108819-0.410906120000778i</v>
      </c>
      <c r="V506" s="582" t="str">
        <f t="shared" si="391"/>
        <v>6000</v>
      </c>
      <c r="W506" s="584" t="str">
        <f t="shared" si="392"/>
        <v>1+233858.159802863i</v>
      </c>
      <c r="X506" s="585">
        <f t="shared" si="393"/>
        <v>233858.15980500102</v>
      </c>
      <c r="Y506" s="586">
        <f t="shared" si="394"/>
        <v>1.5707920506986472</v>
      </c>
      <c r="Z506" s="273" t="str">
        <f t="shared" si="395"/>
        <v>1+35.0734629509868i</v>
      </c>
      <c r="AA506" s="585">
        <f t="shared" si="396"/>
        <v>35.087715847205615</v>
      </c>
      <c r="AB506" s="586">
        <f t="shared" si="397"/>
        <v>1.542292464392252</v>
      </c>
      <c r="AC506" s="584" t="str">
        <f t="shared" si="398"/>
        <v>1+1.69564260793906i</v>
      </c>
      <c r="AD506" s="585">
        <f t="shared" si="399"/>
        <v>1.9685537467537879</v>
      </c>
      <c r="AE506" s="586">
        <f t="shared" si="400"/>
        <v>1.0379499706772548</v>
      </c>
      <c r="AF506" s="580" t="str">
        <f t="shared" si="415"/>
        <v>0.220986379282249-0.400366650071024i</v>
      </c>
      <c r="AG506" s="270">
        <f t="shared" si="416"/>
        <v>0.45730562462905683</v>
      </c>
      <c r="AH506" s="581">
        <f t="shared" si="417"/>
        <v>-1.0664495569836494</v>
      </c>
      <c r="AI506" s="582" t="str">
        <f t="shared" si="401"/>
        <v>4000</v>
      </c>
      <c r="AJ506" s="584" t="str">
        <f t="shared" si="418"/>
        <v>1+18372.4569401948i</v>
      </c>
      <c r="AK506" s="585">
        <f t="shared" si="419"/>
        <v>18372.456967409449</v>
      </c>
      <c r="AL506" s="586">
        <f t="shared" si="420"/>
        <v>1.5707418974933467</v>
      </c>
      <c r="AM506" s="273" t="str">
        <f t="shared" si="421"/>
        <v>1+0.643013487434757i</v>
      </c>
      <c r="AN506" s="585">
        <f t="shared" si="422"/>
        <v>1.188892907297797</v>
      </c>
      <c r="AO506" s="586">
        <f t="shared" si="423"/>
        <v>0.57144809845443933</v>
      </c>
      <c r="AP506" s="584" t="str">
        <f t="shared" si="424"/>
        <v>1+0.00465205477885792i</v>
      </c>
      <c r="AQ506" s="585">
        <f t="shared" si="425"/>
        <v>1.0000108207482885</v>
      </c>
      <c r="AR506" s="586">
        <f t="shared" si="426"/>
        <v>4.6520212199695887E-3</v>
      </c>
      <c r="AS506" s="580" t="str">
        <f t="shared" si="427"/>
        <v>0.138991145039895-0.218356180355046i</v>
      </c>
      <c r="AT506" s="270">
        <f t="shared" si="428"/>
        <v>0.25883964128152104</v>
      </c>
      <c r="AU506" s="581">
        <f t="shared" si="429"/>
        <v>-1.0039458202588771</v>
      </c>
      <c r="AV506" s="580" t="str">
        <f t="shared" si="430"/>
        <v>-0.0242788710900122-0.045861712282519i</v>
      </c>
      <c r="AW506" s="270">
        <f t="shared" si="431"/>
        <v>-25.698023147280871</v>
      </c>
      <c r="AX506" s="581">
        <f t="shared" si="432"/>
        <v>-117.89643285413453</v>
      </c>
      <c r="AY506" s="299">
        <f t="shared" si="402"/>
        <v>62.103567145865469</v>
      </c>
      <c r="BB506" s="270">
        <f t="shared" si="435"/>
        <v>-51.739384214515063</v>
      </c>
      <c r="BC506" s="270">
        <f t="shared" si="436"/>
        <v>-57.521858360633189</v>
      </c>
      <c r="BD506" s="286"/>
      <c r="BE506" s="270">
        <f t="shared" si="433"/>
        <v>26.041361067234181</v>
      </c>
      <c r="BF506" s="581">
        <f t="shared" si="434"/>
        <v>-60.374574493501356</v>
      </c>
      <c r="BI506" s="286"/>
      <c r="BJ506" s="286"/>
      <c r="BL506" s="253">
        <f t="shared" si="403"/>
        <v>0</v>
      </c>
      <c r="BM506" s="253">
        <f t="shared" si="437"/>
        <v>0</v>
      </c>
      <c r="BN506" s="253">
        <f t="shared" si="404"/>
        <v>0</v>
      </c>
      <c r="BO506" s="253">
        <f t="shared" si="405"/>
        <v>0</v>
      </c>
    </row>
    <row r="507" spans="4:67" ht="13.6" thickBot="1" x14ac:dyDescent="0.25">
      <c r="D507" s="280">
        <v>66838.5</v>
      </c>
      <c r="E507" s="273" t="str">
        <f t="shared" si="384"/>
        <v>0.755925626077061i</v>
      </c>
      <c r="F507" s="579" t="str">
        <f t="shared" si="406"/>
        <v>0.002-0.0366336405818377i</v>
      </c>
      <c r="G507" s="270" t="str">
        <f t="shared" si="407"/>
        <v>0.002-0.0366336405818377i</v>
      </c>
      <c r="H507" s="271" t="str">
        <f t="shared" si="408"/>
        <v>0.00266678086190693-0.0365482453906443i</v>
      </c>
      <c r="I507" s="271" t="str">
        <f t="shared" si="409"/>
        <v>0.0126667808619069-0.0365482453906443i</v>
      </c>
      <c r="J507" s="270" t="str">
        <f t="shared" si="410"/>
        <v>0.00359779183919538-0.0186703270918689i</v>
      </c>
      <c r="K507" s="271" t="str">
        <f t="shared" si="385"/>
        <v>0.887190094132724-0.527586282856687i</v>
      </c>
      <c r="L507" s="580"/>
      <c r="M507" s="580" t="str">
        <f t="shared" si="386"/>
        <v>-0.0668933361412429-21.4886207551653i</v>
      </c>
      <c r="N507" s="270" t="str">
        <f t="shared" si="387"/>
        <v>-6.7168366687726-16.116465566374i</v>
      </c>
      <c r="O507" s="581" t="str">
        <f t="shared" si="388"/>
        <v>-4.39886938199987-7.36960000296396i</v>
      </c>
      <c r="P507" s="582" t="str">
        <f t="shared" si="389"/>
        <v>-0.325065463841163+0.0674218493372698i</v>
      </c>
      <c r="Q507" s="583" t="str">
        <f t="shared" si="390"/>
        <v>-0.281076770021165+0.14111784936691i</v>
      </c>
      <c r="R507" s="581" t="str">
        <f t="shared" si="411"/>
        <v>-0.51027598844357-0.852032406000372i</v>
      </c>
      <c r="S507" s="253" t="str">
        <f t="shared" si="412"/>
        <v>43.4515932071534-25.1550126192955i</v>
      </c>
      <c r="T507" s="253" t="str">
        <f t="shared" si="413"/>
        <v>9.8069253240689-17.4913155368157i</v>
      </c>
      <c r="U507" s="253" t="str">
        <f t="shared" si="414"/>
        <v>-0.613123971676353-0.405071418794949i</v>
      </c>
      <c r="V507" s="582" t="str">
        <f t="shared" si="391"/>
        <v>6000</v>
      </c>
      <c r="W507" s="584" t="str">
        <f t="shared" si="392"/>
        <v>1+235212.137975414i</v>
      </c>
      <c r="X507" s="585">
        <f t="shared" si="393"/>
        <v>235212.13797753977</v>
      </c>
      <c r="Y507" s="586">
        <f t="shared" si="394"/>
        <v>1.5707920753136226</v>
      </c>
      <c r="Z507" s="273" t="str">
        <f t="shared" si="395"/>
        <v>1+35.2765292169295i</v>
      </c>
      <c r="AA507" s="585">
        <f t="shared" si="396"/>
        <v>35.290700100633877</v>
      </c>
      <c r="AB507" s="586">
        <f t="shared" si="397"/>
        <v>1.5424564562982788</v>
      </c>
      <c r="AC507" s="584" t="str">
        <f t="shared" si="398"/>
        <v>1+1.70545993944262i</v>
      </c>
      <c r="AD507" s="585">
        <f t="shared" si="399"/>
        <v>1.9770163390937427</v>
      </c>
      <c r="AE507" s="586">
        <f t="shared" si="400"/>
        <v>1.0404725009185765</v>
      </c>
      <c r="AF507" s="580" t="str">
        <f t="shared" si="415"/>
        <v>0.219098569439521-0.399168894852038i</v>
      </c>
      <c r="AG507" s="270">
        <f t="shared" si="416"/>
        <v>0.45534601101562527</v>
      </c>
      <c r="AH507" s="581">
        <f t="shared" si="417"/>
        <v>-1.0688081199339214</v>
      </c>
      <c r="AI507" s="582" t="str">
        <f t="shared" si="401"/>
        <v>4000</v>
      </c>
      <c r="AJ507" s="584" t="str">
        <f t="shared" si="418"/>
        <v>1+18478.8287071416i</v>
      </c>
      <c r="AK507" s="585">
        <f t="shared" si="419"/>
        <v>18478.828734199593</v>
      </c>
      <c r="AL507" s="586">
        <f t="shared" si="420"/>
        <v>1.5707422108108766</v>
      </c>
      <c r="AM507" s="273" t="str">
        <f t="shared" si="421"/>
        <v>1+0.646736368977042i</v>
      </c>
      <c r="AN507" s="585">
        <f t="shared" si="422"/>
        <v>1.1909105470007428</v>
      </c>
      <c r="AO507" s="586">
        <f t="shared" si="423"/>
        <v>0.57407750561013138</v>
      </c>
      <c r="AP507" s="584" t="str">
        <f t="shared" si="424"/>
        <v>1+0.00467898897107681i</v>
      </c>
      <c r="AQ507" s="585">
        <f t="shared" si="425"/>
        <v>1.0000109464089839</v>
      </c>
      <c r="AR507" s="586">
        <f t="shared" si="426"/>
        <v>4.6789548259205081E-3</v>
      </c>
      <c r="AS507" s="580" t="str">
        <f t="shared" si="427"/>
        <v>0.138990974079974-0.217106696919558i</v>
      </c>
      <c r="AT507" s="270">
        <f t="shared" si="428"/>
        <v>0.25778636256214332</v>
      </c>
      <c r="AU507" s="581">
        <f t="shared" si="429"/>
        <v>-1.0013436600266652</v>
      </c>
      <c r="AV507" s="580" t="str">
        <f t="shared" si="430"/>
        <v>-0.024344076374539-0.0456028414844756i</v>
      </c>
      <c r="AW507" s="270">
        <f t="shared" si="431"/>
        <v>-25.731223932199985</v>
      </c>
      <c r="AX507" s="581">
        <f t="shared" si="432"/>
        <v>-118.09455086777874</v>
      </c>
      <c r="AY507" s="299">
        <f t="shared" si="402"/>
        <v>61.905449132221264</v>
      </c>
      <c r="BB507" s="270">
        <f t="shared" si="435"/>
        <v>-51.774801229230775</v>
      </c>
      <c r="BC507" s="270">
        <f t="shared" si="436"/>
        <v>-57.372765561710672</v>
      </c>
      <c r="BD507" s="286"/>
      <c r="BE507" s="270">
        <f t="shared" si="433"/>
        <v>26.043577297030794</v>
      </c>
      <c r="BF507" s="581">
        <f t="shared" si="434"/>
        <v>-60.721785306068071</v>
      </c>
      <c r="BI507" s="286"/>
      <c r="BJ507" s="286"/>
      <c r="BL507" s="253">
        <f t="shared" si="403"/>
        <v>0</v>
      </c>
      <c r="BM507" s="253">
        <f t="shared" si="437"/>
        <v>0</v>
      </c>
      <c r="BN507" s="253">
        <f t="shared" si="404"/>
        <v>0</v>
      </c>
      <c r="BO507" s="253">
        <f t="shared" si="405"/>
        <v>0</v>
      </c>
    </row>
    <row r="508" spans="4:67" ht="13.6" thickBot="1" x14ac:dyDescent="0.25">
      <c r="D508" s="280">
        <v>67223.25</v>
      </c>
      <c r="E508" s="273" t="str">
        <f t="shared" si="384"/>
        <v>0.760277046061548i</v>
      </c>
      <c r="F508" s="579" t="str">
        <f t="shared" si="406"/>
        <v>0.002-0.0364239691777645i</v>
      </c>
      <c r="G508" s="270" t="str">
        <f t="shared" si="407"/>
        <v>0.002-0.0364239691777645i</v>
      </c>
      <c r="H508" s="271" t="str">
        <f t="shared" si="408"/>
        <v>0.00265914982932654-0.0363392015804728i</v>
      </c>
      <c r="I508" s="271" t="str">
        <f t="shared" si="409"/>
        <v>0.0126591498293265-0.0363392015804728i</v>
      </c>
      <c r="J508" s="270" t="str">
        <f t="shared" si="410"/>
        <v>0.00359518149782403-0.0185671123016632i</v>
      </c>
      <c r="K508" s="271" t="str">
        <f t="shared" si="385"/>
        <v>0.885887595248541-0.530623287312638i</v>
      </c>
      <c r="L508" s="580"/>
      <c r="M508" s="580" t="str">
        <f t="shared" si="386"/>
        <v>-0.0661946498306463-21.3622350610988i</v>
      </c>
      <c r="N508" s="270" t="str">
        <f t="shared" si="387"/>
        <v>-6.71631265403965-16.0216762958241i</v>
      </c>
      <c r="O508" s="581" t="str">
        <f t="shared" si="388"/>
        <v>-4.39622355204186-7.319097884288i</v>
      </c>
      <c r="P508" s="582" t="str">
        <f t="shared" si="389"/>
        <v>-0.321622626032866+0.0671016971177632i</v>
      </c>
      <c r="Q508" s="583" t="str">
        <f t="shared" si="390"/>
        <v>-0.277660390512447+0.140292675960643i</v>
      </c>
      <c r="R508" s="581" t="str">
        <f t="shared" si="411"/>
        <v>-0.510163681930391-0.845773539821626i</v>
      </c>
      <c r="S508" s="253" t="str">
        <f t="shared" si="412"/>
        <v>43.3505285226506-25.2865044491941i</v>
      </c>
      <c r="T508" s="253" t="str">
        <f t="shared" si="413"/>
        <v>9.70327642982736-17.5548443148301i</v>
      </c>
      <c r="U508" s="253" t="str">
        <f t="shared" si="414"/>
        <v>-0.612126560408141-0.399290279438181i</v>
      </c>
      <c r="V508" s="582" t="str">
        <f t="shared" si="391"/>
        <v>6000</v>
      </c>
      <c r="W508" s="584" t="str">
        <f t="shared" si="392"/>
        <v>1+236566.116147965i</v>
      </c>
      <c r="X508" s="585">
        <f t="shared" si="393"/>
        <v>236566.11615007857</v>
      </c>
      <c r="Y508" s="586">
        <f t="shared" si="394"/>
        <v>1.5707920996468321</v>
      </c>
      <c r="Z508" s="273" t="str">
        <f t="shared" si="395"/>
        <v>1+35.4795954828723i</v>
      </c>
      <c r="AA508" s="585">
        <f t="shared" si="396"/>
        <v>35.493685292291815</v>
      </c>
      <c r="AB508" s="586">
        <f t="shared" si="397"/>
        <v>1.5426185724987225</v>
      </c>
      <c r="AC508" s="584" t="str">
        <f t="shared" si="398"/>
        <v>1+1.71527727094618i</v>
      </c>
      <c r="AD508" s="585">
        <f t="shared" si="399"/>
        <v>1.9854914042182541</v>
      </c>
      <c r="AE508" s="586">
        <f t="shared" si="400"/>
        <v>1.0429735121331483</v>
      </c>
      <c r="AF508" s="580" t="str">
        <f t="shared" si="415"/>
        <v>0.217232117718771-0.397972398566351i</v>
      </c>
      <c r="AG508" s="270">
        <f t="shared" si="416"/>
        <v>0.45340029001891535</v>
      </c>
      <c r="AH508" s="581">
        <f t="shared" si="417"/>
        <v>-1.071147039281257</v>
      </c>
      <c r="AI508" s="582" t="str">
        <f t="shared" si="401"/>
        <v>4000</v>
      </c>
      <c r="AJ508" s="584" t="str">
        <f t="shared" si="418"/>
        <v>1+18585.2004740884i</v>
      </c>
      <c r="AK508" s="585">
        <f t="shared" si="419"/>
        <v>18585.200500991523</v>
      </c>
      <c r="AL508" s="586">
        <f t="shared" si="420"/>
        <v>1.5707425205418821</v>
      </c>
      <c r="AM508" s="273" t="str">
        <f t="shared" si="421"/>
        <v>1+0.650459250519325i</v>
      </c>
      <c r="AN508" s="585">
        <f t="shared" si="422"/>
        <v>1.1929363925147736</v>
      </c>
      <c r="AO508" s="586">
        <f t="shared" si="423"/>
        <v>0.57669800030962726</v>
      </c>
      <c r="AP508" s="584" t="str">
        <f t="shared" si="424"/>
        <v>1+0.00470592316329569i</v>
      </c>
      <c r="AQ508" s="585">
        <f t="shared" si="425"/>
        <v>1.0000110727951061</v>
      </c>
      <c r="AR508" s="586">
        <f t="shared" si="426"/>
        <v>4.7058884250829628E-3</v>
      </c>
      <c r="AS508" s="580" t="str">
        <f t="shared" si="427"/>
        <v>0.138990805247459-0.215871559080938i</v>
      </c>
      <c r="AT508" s="270">
        <f t="shared" si="428"/>
        <v>0.25674690643388864</v>
      </c>
      <c r="AU508" s="581">
        <f t="shared" si="429"/>
        <v>-0.99875040865733733</v>
      </c>
      <c r="AV508" s="580" t="str">
        <f t="shared" si="430"/>
        <v>-0.0244092540714512-0.0453462335841216i</v>
      </c>
      <c r="AW508" s="270">
        <f t="shared" si="431"/>
        <v>-25.764113187759925</v>
      </c>
      <c r="AX508" s="581">
        <f t="shared" si="432"/>
        <v>-118.29296938673843</v>
      </c>
      <c r="AY508" s="299">
        <f t="shared" si="402"/>
        <v>61.707030613261566</v>
      </c>
      <c r="BB508" s="270">
        <f t="shared" si="435"/>
        <v>-51.809895611033205</v>
      </c>
      <c r="BC508" s="270">
        <f t="shared" si="436"/>
        <v>-57.224183203031657</v>
      </c>
      <c r="BD508" s="286"/>
      <c r="BE508" s="270">
        <f t="shared" si="433"/>
        <v>26.045782423273284</v>
      </c>
      <c r="BF508" s="581">
        <f t="shared" si="434"/>
        <v>-61.068786183706763</v>
      </c>
      <c r="BI508" s="286"/>
      <c r="BJ508" s="286"/>
      <c r="BL508" s="253">
        <f t="shared" si="403"/>
        <v>0</v>
      </c>
      <c r="BM508" s="253">
        <f t="shared" si="437"/>
        <v>0</v>
      </c>
      <c r="BN508" s="253">
        <f t="shared" si="404"/>
        <v>0</v>
      </c>
      <c r="BO508" s="253">
        <f t="shared" si="405"/>
        <v>0</v>
      </c>
    </row>
    <row r="509" spans="4:67" ht="13.6" thickBot="1" x14ac:dyDescent="0.25">
      <c r="D509" s="280">
        <v>67608</v>
      </c>
      <c r="E509" s="273" t="str">
        <f t="shared" si="384"/>
        <v>0.764628466046036i</v>
      </c>
      <c r="F509" s="579" t="str">
        <f t="shared" si="406"/>
        <v>0.002-0.0362166842094007i</v>
      </c>
      <c r="G509" s="270" t="str">
        <f t="shared" si="407"/>
        <v>0.002-0.0362166842094007i</v>
      </c>
      <c r="H509" s="271" t="str">
        <f t="shared" si="408"/>
        <v>0.00265164865105588-0.0361325347137721i</v>
      </c>
      <c r="I509" s="271" t="str">
        <f t="shared" si="409"/>
        <v>0.0126516486510559-0.0361325347137721i</v>
      </c>
      <c r="J509" s="270" t="str">
        <f t="shared" si="410"/>
        <v>0.00359260030903637-0.0184650897337548i</v>
      </c>
      <c r="K509" s="271" t="str">
        <f t="shared" si="385"/>
        <v>0.884577620161107-0.53366029176859i</v>
      </c>
      <c r="L509" s="580"/>
      <c r="M509" s="580" t="str">
        <f t="shared" si="386"/>
        <v>-0.0655071302364343-21.2373462379557i</v>
      </c>
      <c r="N509" s="270" t="str">
        <f t="shared" si="387"/>
        <v>-6.715797014344-15.9280096784668i</v>
      </c>
      <c r="O509" s="581" t="str">
        <f t="shared" si="388"/>
        <v>-4.39359311633049-7.26915806154445i</v>
      </c>
      <c r="P509" s="582" t="str">
        <f t="shared" si="389"/>
        <v>-0.318239302422162+0.0667848220103504i</v>
      </c>
      <c r="Q509" s="583" t="str">
        <f t="shared" si="390"/>
        <v>-0.274303371258857+0.139476402625795i</v>
      </c>
      <c r="R509" s="581" t="str">
        <f t="shared" si="411"/>
        <v>-0.510053272130278-0.839581516182422i</v>
      </c>
      <c r="S509" s="253" t="str">
        <f t="shared" si="412"/>
        <v>43.2489101392901-25.4175158032933i</v>
      </c>
      <c r="T509" s="253" t="str">
        <f t="shared" si="413"/>
        <v>9.59927027260474-17.6177018042918i</v>
      </c>
      <c r="U509" s="253" t="str">
        <f t="shared" si="414"/>
        <v>-0.611118329950984-0.393561921575824i</v>
      </c>
      <c r="V509" s="582" t="str">
        <f t="shared" si="391"/>
        <v>6000</v>
      </c>
      <c r="W509" s="584" t="str">
        <f t="shared" si="392"/>
        <v>1+237920.094320516i</v>
      </c>
      <c r="X509" s="585">
        <f t="shared" si="393"/>
        <v>237920.09432261751</v>
      </c>
      <c r="Y509" s="586">
        <f t="shared" si="394"/>
        <v>1.5707921237030862</v>
      </c>
      <c r="Z509" s="273" t="str">
        <f t="shared" si="395"/>
        <v>1+35.682661748815i</v>
      </c>
      <c r="AA509" s="585">
        <f t="shared" si="396"/>
        <v>35.696671406173785</v>
      </c>
      <c r="AB509" s="586">
        <f t="shared" si="397"/>
        <v>1.542778844983113</v>
      </c>
      <c r="AC509" s="584" t="str">
        <f t="shared" si="398"/>
        <v>1+1.72509460244973i</v>
      </c>
      <c r="AD509" s="585">
        <f t="shared" si="399"/>
        <v>1.9939787830870195</v>
      </c>
      <c r="AE509" s="586">
        <f t="shared" si="400"/>
        <v>1.0454532476198404</v>
      </c>
      <c r="AF509" s="580" t="str">
        <f t="shared" si="415"/>
        <v>0.215386754386588-0.39677729607893i</v>
      </c>
      <c r="AG509" s="270">
        <f t="shared" si="416"/>
        <v>0.45146835619885395</v>
      </c>
      <c r="AH509" s="581">
        <f t="shared" si="417"/>
        <v>-1.0734665263398144</v>
      </c>
      <c r="AI509" s="582" t="str">
        <f t="shared" si="401"/>
        <v>4000</v>
      </c>
      <c r="AJ509" s="584" t="str">
        <f t="shared" si="418"/>
        <v>1+18691.5722410351i</v>
      </c>
      <c r="AK509" s="585">
        <f t="shared" si="419"/>
        <v>18691.572267785123</v>
      </c>
      <c r="AL509" s="586">
        <f t="shared" si="420"/>
        <v>1.5707428267475945</v>
      </c>
      <c r="AM509" s="273" t="str">
        <f t="shared" si="421"/>
        <v>1+0.654182132061608i</v>
      </c>
      <c r="AN509" s="585">
        <f t="shared" si="422"/>
        <v>1.1949704021057053</v>
      </c>
      <c r="AO509" s="586">
        <f t="shared" si="423"/>
        <v>0.57930959198274457</v>
      </c>
      <c r="AP509" s="584" t="str">
        <f t="shared" si="424"/>
        <v>1+0.00473285735551457i</v>
      </c>
      <c r="AQ509" s="585">
        <f t="shared" si="425"/>
        <v>1.0000111999066548</v>
      </c>
      <c r="AR509" s="586">
        <f t="shared" si="426"/>
        <v>4.7328220174178903E-3</v>
      </c>
      <c r="AS509" s="580" t="str">
        <f t="shared" si="427"/>
        <v>0.138990638489486-0.214650521921289i</v>
      </c>
      <c r="AT509" s="270">
        <f t="shared" si="428"/>
        <v>0.25572102797540286</v>
      </c>
      <c r="AU509" s="581">
        <f t="shared" si="429"/>
        <v>-0.99616605678226977</v>
      </c>
      <c r="AV509" s="580" t="str">
        <f t="shared" si="430"/>
        <v>-0.024474401831224-0.0450918399657401i</v>
      </c>
      <c r="AW509" s="270">
        <f t="shared" si="431"/>
        <v>-25.796695037405485</v>
      </c>
      <c r="AX509" s="581">
        <f t="shared" si="432"/>
        <v>-118.49168766250759</v>
      </c>
      <c r="AY509" s="299">
        <f t="shared" si="402"/>
        <v>61.508312337492413</v>
      </c>
      <c r="BB509" s="270">
        <f t="shared" si="435"/>
        <v>-51.844671168202566</v>
      </c>
      <c r="BC509" s="270">
        <f t="shared" si="436"/>
        <v>-57.07611074781358</v>
      </c>
      <c r="BD509" s="286"/>
      <c r="BE509" s="270">
        <f t="shared" si="433"/>
        <v>26.047976130797075</v>
      </c>
      <c r="BF509" s="581">
        <f t="shared" si="434"/>
        <v>-61.415576914693972</v>
      </c>
      <c r="BI509" s="286"/>
      <c r="BJ509" s="286"/>
      <c r="BL509" s="253">
        <f t="shared" si="403"/>
        <v>0</v>
      </c>
      <c r="BM509" s="253">
        <f t="shared" si="437"/>
        <v>0</v>
      </c>
      <c r="BN509" s="253">
        <f t="shared" si="404"/>
        <v>0</v>
      </c>
      <c r="BO509" s="253">
        <f t="shared" si="405"/>
        <v>0</v>
      </c>
    </row>
    <row r="510" spans="4:67" ht="13.6" thickBot="1" x14ac:dyDescent="0.25">
      <c r="D510" s="280">
        <v>68001.75</v>
      </c>
      <c r="E510" s="273" t="str">
        <f t="shared" si="384"/>
        <v>0.769081673632499i</v>
      </c>
      <c r="F510" s="579" t="str">
        <f t="shared" si="406"/>
        <v>0.002-0.0360069790267038i</v>
      </c>
      <c r="G510" s="270" t="str">
        <f t="shared" si="407"/>
        <v>0.002-0.0360069790267038i</v>
      </c>
      <c r="H510" s="271" t="str">
        <f t="shared" si="408"/>
        <v>0.00264410339672634-0.0359234524864422i</v>
      </c>
      <c r="I510" s="271" t="str">
        <f t="shared" si="409"/>
        <v>0.0126441033967263-0.0359234524864422i</v>
      </c>
      <c r="J510" s="270" t="str">
        <f t="shared" si="410"/>
        <v>0.00358998816744027-0.0183618938964421i</v>
      </c>
      <c r="K510" s="271" t="str">
        <f t="shared" si="385"/>
        <v>0.883229261809992-0.536768337264447i</v>
      </c>
      <c r="L510" s="580"/>
      <c r="M510" s="580" t="str">
        <f t="shared" si="386"/>
        <v>-0.0648148479955943-21.1110579321985i</v>
      </c>
      <c r="N510" s="270" t="str">
        <f t="shared" si="387"/>
        <v>-6.71527780266337-15.8332934491489i</v>
      </c>
      <c r="O510" s="581" t="str">
        <f t="shared" si="388"/>
        <v>-4.39091658620722-7.21862184523059i</v>
      </c>
      <c r="P510" s="582" t="str">
        <f t="shared" si="389"/>
        <v>-0.31483702219714+0.0664638823635835i</v>
      </c>
      <c r="Q510" s="583" t="str">
        <f t="shared" si="390"/>
        <v>-0.270927856335067+0.138650100815889i</v>
      </c>
      <c r="R510" s="581" t="str">
        <f t="shared" si="411"/>
        <v>-0.509942198940145-0.833312609438336i</v>
      </c>
      <c r="S510" s="253" t="str">
        <f t="shared" si="412"/>
        <v>43.1443430986394-25.5510915452908i</v>
      </c>
      <c r="T510" s="253" t="str">
        <f t="shared" si="413"/>
        <v>9.49246595907057-17.6813321138018i</v>
      </c>
      <c r="U510" s="253" t="str">
        <f t="shared" si="414"/>
        <v>-0.610075432601479-0.387753420160591i</v>
      </c>
      <c r="V510" s="582" t="str">
        <f t="shared" si="391"/>
        <v>6000</v>
      </c>
      <c r="W510" s="584" t="str">
        <f t="shared" si="392"/>
        <v>1+239305.744497103i</v>
      </c>
      <c r="X510" s="585">
        <f t="shared" si="393"/>
        <v>239305.7444991924</v>
      </c>
      <c r="Y510" s="586">
        <f t="shared" si="394"/>
        <v>1.5707921480402156</v>
      </c>
      <c r="Z510" s="273" t="str">
        <f t="shared" si="395"/>
        <v>1+35.8904781028499i</v>
      </c>
      <c r="AA510" s="585">
        <f t="shared" si="396"/>
        <v>35.904406671760334</v>
      </c>
      <c r="AB510" s="586">
        <f t="shared" si="397"/>
        <v>1.5429409902393263</v>
      </c>
      <c r="AC510" s="584" t="str">
        <f t="shared" si="398"/>
        <v>1+1.73514157913466i</v>
      </c>
      <c r="AD510" s="585">
        <f t="shared" si="399"/>
        <v>2.0026772829494823</v>
      </c>
      <c r="AE510" s="586">
        <f t="shared" si="400"/>
        <v>1.0479692111886583</v>
      </c>
      <c r="AF510" s="580" t="str">
        <f t="shared" si="415"/>
        <v>0.213519780440188-0.395555816779684i</v>
      </c>
      <c r="AG510" s="270">
        <f t="shared" si="416"/>
        <v>0.44950539577125104</v>
      </c>
      <c r="AH510" s="581">
        <f t="shared" si="417"/>
        <v>-1.0758203689895485</v>
      </c>
      <c r="AI510" s="582" t="str">
        <f t="shared" si="401"/>
        <v>4000</v>
      </c>
      <c r="AJ510" s="584" t="str">
        <f t="shared" si="418"/>
        <v>1+18800.4322364485i</v>
      </c>
      <c r="AK510" s="585">
        <f t="shared" si="419"/>
        <v>18800.432263043636</v>
      </c>
      <c r="AL510" s="586">
        <f t="shared" si="420"/>
        <v>1.5707431365284985</v>
      </c>
      <c r="AM510" s="273" t="str">
        <f t="shared" si="421"/>
        <v>1+0.657992098552249i</v>
      </c>
      <c r="AN510" s="585">
        <f t="shared" si="422"/>
        <v>1.1970604002126177</v>
      </c>
      <c r="AO510" s="586">
        <f t="shared" si="423"/>
        <v>0.58197306595259302</v>
      </c>
      <c r="AP510" s="584" t="str">
        <f t="shared" si="424"/>
        <v>1+0.00476042158731752i</v>
      </c>
      <c r="AQ510" s="585">
        <f t="shared" si="425"/>
        <v>1.0000113307426517</v>
      </c>
      <c r="AR510" s="586">
        <f t="shared" si="426"/>
        <v>4.7603856281947842E-3</v>
      </c>
      <c r="AS510" s="580" t="str">
        <f t="shared" si="427"/>
        <v>0.138990469925046-0.21341527204808i</v>
      </c>
      <c r="AT510" s="270">
        <f t="shared" si="428"/>
        <v>0.25468496043806965</v>
      </c>
      <c r="AU510" s="581">
        <f t="shared" si="429"/>
        <v>-0.99353045620410008</v>
      </c>
      <c r="AV510" s="580" t="str">
        <f t="shared" si="430"/>
        <v>-0.0245410399884074-0.044833738644603i</v>
      </c>
      <c r="AW510" s="270">
        <f t="shared" si="431"/>
        <v>-25.829724999958962</v>
      </c>
      <c r="AX510" s="581">
        <f t="shared" si="432"/>
        <v>-118.69536384966254</v>
      </c>
      <c r="AY510" s="299">
        <f t="shared" si="402"/>
        <v>61.304636150337458</v>
      </c>
      <c r="BB510" s="270">
        <f t="shared" si="435"/>
        <v>-51.879934001521065</v>
      </c>
      <c r="BC510" s="270">
        <f t="shared" si="436"/>
        <v>-56.925101958202205</v>
      </c>
      <c r="BD510" s="286"/>
      <c r="BE510" s="270">
        <f t="shared" si="433"/>
        <v>26.05020900156212</v>
      </c>
      <c r="BF510" s="581">
        <f t="shared" si="434"/>
        <v>-61.770261891460343</v>
      </c>
      <c r="BI510" s="286"/>
      <c r="BJ510" s="286"/>
      <c r="BL510" s="253">
        <f t="shared" si="403"/>
        <v>0</v>
      </c>
      <c r="BM510" s="253">
        <f t="shared" si="437"/>
        <v>0</v>
      </c>
      <c r="BN510" s="253">
        <f t="shared" si="404"/>
        <v>0</v>
      </c>
      <c r="BO510" s="253">
        <f t="shared" si="405"/>
        <v>0</v>
      </c>
    </row>
    <row r="511" spans="4:67" ht="13.6" thickBot="1" x14ac:dyDescent="0.25">
      <c r="D511" s="280">
        <v>68395.5</v>
      </c>
      <c r="E511" s="273" t="str">
        <f t="shared" si="384"/>
        <v>0.773534881218963i</v>
      </c>
      <c r="F511" s="579" t="str">
        <f t="shared" si="406"/>
        <v>0.002-0.0357996883717373i</v>
      </c>
      <c r="G511" s="270" t="str">
        <f t="shared" si="407"/>
        <v>0.002-0.0357996883717373i</v>
      </c>
      <c r="H511" s="271" t="str">
        <f t="shared" si="408"/>
        <v>0.00263668802451753-0.0357167752916401i</v>
      </c>
      <c r="I511" s="271" t="str">
        <f t="shared" si="409"/>
        <v>0.0126366880245175-0.0357167752916401i</v>
      </c>
      <c r="J511" s="270" t="str">
        <f t="shared" si="410"/>
        <v>0.00358740504185495-0.0182599042312405i</v>
      </c>
      <c r="K511" s="271" t="str">
        <f t="shared" si="385"/>
        <v>0.881873073400924-0.539876382760303i</v>
      </c>
      <c r="L511" s="580"/>
      <c r="M511" s="580" t="str">
        <f t="shared" si="386"/>
        <v>-0.0641337759465518-20.9862813529165i</v>
      </c>
      <c r="N511" s="270" t="str">
        <f t="shared" si="387"/>
        <v>-6.71476699862658-15.7397110146874i</v>
      </c>
      <c r="O511" s="581" t="str">
        <f t="shared" si="388"/>
        <v>-4.38825517386363-7.16865369414207i</v>
      </c>
      <c r="P511" s="582" t="str">
        <f t="shared" si="389"/>
        <v>-0.311494204741347+0.0661462836785861i</v>
      </c>
      <c r="Q511" s="583" t="str">
        <f t="shared" si="390"/>
        <v>-0.267611653002711+0.137832820620007i</v>
      </c>
      <c r="R511" s="581" t="str">
        <f t="shared" si="411"/>
        <v>-0.509833023161978-0.827111207896079i</v>
      </c>
      <c r="S511" s="253" t="str">
        <f t="shared" si="412"/>
        <v>43.0391995525762-25.6841584828237i</v>
      </c>
      <c r="T511" s="253" t="str">
        <f t="shared" si="413"/>
        <v>9.38529691060611-17.7442543017922i</v>
      </c>
      <c r="U511" s="253" t="str">
        <f t="shared" si="414"/>
        <v>-0.609021443644094-0.38199860362297i</v>
      </c>
      <c r="V511" s="582" t="str">
        <f t="shared" si="391"/>
        <v>6000</v>
      </c>
      <c r="W511" s="584" t="str">
        <f t="shared" si="392"/>
        <v>1+240691.39467369i</v>
      </c>
      <c r="X511" s="585">
        <f t="shared" si="393"/>
        <v>240691.39467576737</v>
      </c>
      <c r="Y511" s="586">
        <f t="shared" si="394"/>
        <v>1.5707921720971296</v>
      </c>
      <c r="Z511" s="273" t="str">
        <f t="shared" si="395"/>
        <v>1+36.0982944568849i</v>
      </c>
      <c r="AA511" s="585">
        <f t="shared" si="396"/>
        <v>36.112142870452416</v>
      </c>
      <c r="AB511" s="586">
        <f t="shared" si="397"/>
        <v>1.5431012700086908</v>
      </c>
      <c r="AC511" s="584" t="str">
        <f t="shared" si="398"/>
        <v>1+1.74518855581959i</v>
      </c>
      <c r="AD511" s="585">
        <f t="shared" si="399"/>
        <v>2.0113883502107859</v>
      </c>
      <c r="AE511" s="586">
        <f t="shared" si="400"/>
        <v>1.0504633977953821</v>
      </c>
      <c r="AF511" s="580" t="str">
        <f t="shared" si="415"/>
        <v>0.211674330964314-0.394336067894395i</v>
      </c>
      <c r="AG511" s="270">
        <f t="shared" si="416"/>
        <v>0.44755665209178025</v>
      </c>
      <c r="AH511" s="581">
        <f t="shared" si="417"/>
        <v>-1.0781542998838205</v>
      </c>
      <c r="AI511" s="582" t="str">
        <f t="shared" si="401"/>
        <v>4000</v>
      </c>
      <c r="AJ511" s="584" t="str">
        <f t="shared" si="418"/>
        <v>1+18909.2922318619i</v>
      </c>
      <c r="AK511" s="585">
        <f t="shared" si="419"/>
        <v>18909.292258303922</v>
      </c>
      <c r="AL511" s="586">
        <f t="shared" si="420"/>
        <v>1.5707434427426112</v>
      </c>
      <c r="AM511" s="273" t="str">
        <f t="shared" si="421"/>
        <v>1+0.66180206504289i</v>
      </c>
      <c r="AN511" s="585">
        <f t="shared" si="422"/>
        <v>1.1991588607415757</v>
      </c>
      <c r="AO511" s="586">
        <f t="shared" si="423"/>
        <v>0.58462723683745577</v>
      </c>
      <c r="AP511" s="584" t="str">
        <f t="shared" si="424"/>
        <v>1+0.00478798581912047i</v>
      </c>
      <c r="AQ511" s="585">
        <f t="shared" si="425"/>
        <v>1.0000114623384095</v>
      </c>
      <c r="AR511" s="586">
        <f t="shared" si="426"/>
        <v>4.7879492317381952E-3</v>
      </c>
      <c r="AS511" s="580" t="str">
        <f t="shared" si="427"/>
        <v>0.138990303426034-0.212194288840402i</v>
      </c>
      <c r="AT511" s="270">
        <f t="shared" si="428"/>
        <v>0.25366261187440481</v>
      </c>
      <c r="AU511" s="581">
        <f t="shared" si="429"/>
        <v>-0.99090415513689645</v>
      </c>
      <c r="AV511" s="580" t="str">
        <f t="shared" si="430"/>
        <v>-0.0246076415722348-0.0445778569297689i</v>
      </c>
      <c r="AW511" s="270">
        <f t="shared" si="431"/>
        <v>-25.862441556970129</v>
      </c>
      <c r="AX511" s="581">
        <f t="shared" si="432"/>
        <v>-118.89935225874704</v>
      </c>
      <c r="AY511" s="299">
        <f t="shared" si="402"/>
        <v>61.100647741252956</v>
      </c>
      <c r="BB511" s="270">
        <f t="shared" si="435"/>
        <v>-51.914870801660825</v>
      </c>
      <c r="BC511" s="270">
        <f t="shared" si="436"/>
        <v>-56.774625991320733</v>
      </c>
      <c r="BD511" s="286"/>
      <c r="BE511" s="270">
        <f t="shared" si="433"/>
        <v>26.0524292446907</v>
      </c>
      <c r="BF511" s="581">
        <f t="shared" si="434"/>
        <v>-62.124726267426283</v>
      </c>
      <c r="BI511" s="286"/>
      <c r="BJ511" s="286"/>
      <c r="BL511" s="253">
        <f t="shared" si="403"/>
        <v>0</v>
      </c>
      <c r="BM511" s="253">
        <f t="shared" si="437"/>
        <v>0</v>
      </c>
      <c r="BN511" s="253">
        <f t="shared" si="404"/>
        <v>0</v>
      </c>
      <c r="BO511" s="253">
        <f t="shared" si="405"/>
        <v>0</v>
      </c>
    </row>
    <row r="512" spans="4:67" ht="13.6" thickBot="1" x14ac:dyDescent="0.25">
      <c r="D512" s="280">
        <v>68789.25</v>
      </c>
      <c r="E512" s="273" t="str">
        <f t="shared" si="384"/>
        <v>0.777988088805426i</v>
      </c>
      <c r="F512" s="579" t="str">
        <f t="shared" si="406"/>
        <v>0.002-0.0355947707821958i</v>
      </c>
      <c r="G512" s="270" t="str">
        <f t="shared" si="407"/>
        <v>0.002-0.0355947707821958i</v>
      </c>
      <c r="H512" s="271" t="str">
        <f t="shared" si="408"/>
        <v>0.00262939957074421-0.0355124618828053i</v>
      </c>
      <c r="I512" s="271" t="str">
        <f t="shared" si="409"/>
        <v>0.0126293995707442-0.0355124618828053i</v>
      </c>
      <c r="J512" s="270" t="str">
        <f t="shared" si="410"/>
        <v>0.0035848501982278-0.0181590999824567i</v>
      </c>
      <c r="K512" s="271" t="str">
        <f t="shared" si="385"/>
        <v>0.880509054933903-0.54298442825616i</v>
      </c>
      <c r="L512" s="580"/>
      <c r="M512" s="580" t="str">
        <f t="shared" si="386"/>
        <v>-0.0634636780288047-20.862989202897i</v>
      </c>
      <c r="N512" s="270" t="str">
        <f t="shared" si="387"/>
        <v>-6.71426442518827-15.6472419021728i</v>
      </c>
      <c r="O512" s="581" t="str">
        <f t="shared" si="388"/>
        <v>-4.385608393422-7.11924344698583i</v>
      </c>
      <c r="P512" s="582" t="str">
        <f t="shared" si="389"/>
        <v>-0.308209462306832+0.0658319807709235i</v>
      </c>
      <c r="Q512" s="583" t="str">
        <f t="shared" si="390"/>
        <v>-0.264353378372612+0.137024415240782i</v>
      </c>
      <c r="R512" s="581" t="str">
        <f t="shared" si="411"/>
        <v>-0.509725701637974-0.820976092273059i</v>
      </c>
      <c r="S512" s="253" t="str">
        <f t="shared" si="412"/>
        <v>42.9334812675813-25.8167137540103i</v>
      </c>
      <c r="T512" s="253" t="str">
        <f t="shared" si="413"/>
        <v>9.27776794463062-17.8064658487494i</v>
      </c>
      <c r="U512" s="253" t="str">
        <f t="shared" si="414"/>
        <v>-0.607956480670114-0.376296694150381i</v>
      </c>
      <c r="V512" s="582" t="str">
        <f t="shared" si="391"/>
        <v>6000</v>
      </c>
      <c r="W512" s="584" t="str">
        <f t="shared" si="392"/>
        <v>1+242077.044850277i</v>
      </c>
      <c r="X512" s="585">
        <f t="shared" si="393"/>
        <v>242077.04485234246</v>
      </c>
      <c r="Y512" s="586">
        <f t="shared" si="394"/>
        <v>1.5707921958786397</v>
      </c>
      <c r="Z512" s="273" t="str">
        <f t="shared" si="395"/>
        <v>1+36.3061108109199i</v>
      </c>
      <c r="AA512" s="585">
        <f t="shared" si="396"/>
        <v>36.319879986238867</v>
      </c>
      <c r="AB512" s="586">
        <f t="shared" si="397"/>
        <v>1.5432597162927131</v>
      </c>
      <c r="AC512" s="584" t="str">
        <f t="shared" si="398"/>
        <v>1+1.75523553250452i</v>
      </c>
      <c r="AD512" s="585">
        <f t="shared" si="399"/>
        <v>2.0201118222926238</v>
      </c>
      <c r="AE512" s="586">
        <f t="shared" si="400"/>
        <v>1.0529360583246612</v>
      </c>
      <c r="AF512" s="580" t="str">
        <f t="shared" si="415"/>
        <v>0.209850126549531-0.393118178894384i</v>
      </c>
      <c r="AG512" s="270">
        <f t="shared" si="416"/>
        <v>0.44562201268574142</v>
      </c>
      <c r="AH512" s="581">
        <f t="shared" si="417"/>
        <v>-1.0804685379105883</v>
      </c>
      <c r="AI512" s="582" t="str">
        <f t="shared" si="401"/>
        <v>4000</v>
      </c>
      <c r="AJ512" s="584" t="str">
        <f t="shared" si="418"/>
        <v>1+19018.1522272753i</v>
      </c>
      <c r="AK512" s="585">
        <f t="shared" si="419"/>
        <v>19018.152253565971</v>
      </c>
      <c r="AL512" s="586">
        <f t="shared" si="420"/>
        <v>1.5707437454511821</v>
      </c>
      <c r="AM512" s="273" t="str">
        <f t="shared" si="421"/>
        <v>1+0.665612031533531i</v>
      </c>
      <c r="AN512" s="585">
        <f t="shared" si="422"/>
        <v>1.2012657393442112</v>
      </c>
      <c r="AO512" s="586">
        <f t="shared" si="423"/>
        <v>0.58727211609400443</v>
      </c>
      <c r="AP512" s="584" t="str">
        <f t="shared" si="424"/>
        <v>1+0.00481555005092342i</v>
      </c>
      <c r="AQ512" s="585">
        <f t="shared" si="425"/>
        <v>1.0000115946939279</v>
      </c>
      <c r="AR512" s="586">
        <f t="shared" si="426"/>
        <v>4.8155128280062418E-3</v>
      </c>
      <c r="AS512" s="580" t="str">
        <f t="shared" si="427"/>
        <v>0.138990138940477-0.210987327310799i</v>
      </c>
      <c r="AT512" s="270">
        <f t="shared" si="428"/>
        <v>0.252653737372807</v>
      </c>
      <c r="AU512" s="581">
        <f t="shared" si="429"/>
        <v>-0.98828714218518365</v>
      </c>
      <c r="AV512" s="580" t="str">
        <f t="shared" si="430"/>
        <v>-0.0246742038259694-0.0443241462440396i</v>
      </c>
      <c r="AW512" s="270">
        <f t="shared" si="431"/>
        <v>-25.894848939928647</v>
      </c>
      <c r="AX512" s="581">
        <f t="shared" si="432"/>
        <v>-119.10365195090837</v>
      </c>
      <c r="AY512" s="299">
        <f t="shared" si="402"/>
        <v>60.896348049091628</v>
      </c>
      <c r="BB512" s="270">
        <f t="shared" si="435"/>
        <v>-51.949485461803604</v>
      </c>
      <c r="BC512" s="270">
        <f t="shared" si="436"/>
        <v>-56.624682194256529</v>
      </c>
      <c r="BD512" s="286"/>
      <c r="BE512" s="270">
        <f t="shared" si="433"/>
        <v>26.054636521874954</v>
      </c>
      <c r="BF512" s="581">
        <f t="shared" si="434"/>
        <v>-62.478969756651885</v>
      </c>
      <c r="BI512" s="286"/>
      <c r="BJ512" s="286"/>
      <c r="BL512" s="253">
        <f t="shared" si="403"/>
        <v>0</v>
      </c>
      <c r="BM512" s="253">
        <f t="shared" si="437"/>
        <v>0</v>
      </c>
      <c r="BN512" s="253">
        <f t="shared" si="404"/>
        <v>0</v>
      </c>
      <c r="BO512" s="253">
        <f t="shared" si="405"/>
        <v>0</v>
      </c>
    </row>
    <row r="513" spans="4:67" ht="13.6" thickBot="1" x14ac:dyDescent="0.25">
      <c r="D513" s="280">
        <v>69183</v>
      </c>
      <c r="E513" s="273" t="str">
        <f t="shared" si="384"/>
        <v>0.78244129639189i</v>
      </c>
      <c r="F513" s="579" t="str">
        <f t="shared" si="406"/>
        <v>0.002-0.0353921857396927i</v>
      </c>
      <c r="G513" s="270" t="str">
        <f t="shared" si="407"/>
        <v>0.002-0.0353921857396927i</v>
      </c>
      <c r="H513" s="271" t="str">
        <f t="shared" si="408"/>
        <v>0.00262223515576545-0.0353104719508988i</v>
      </c>
      <c r="I513" s="271" t="str">
        <f t="shared" si="409"/>
        <v>0.0126222351557654-0.0353104719508988i</v>
      </c>
      <c r="J513" s="270" t="str">
        <f t="shared" si="410"/>
        <v>0.00358232292364579-0.0180594608665501i</v>
      </c>
      <c r="K513" s="271" t="str">
        <f t="shared" si="385"/>
        <v>0.879137206408929-0.546092473752017i</v>
      </c>
      <c r="L513" s="580"/>
      <c r="M513" s="580" t="str">
        <f t="shared" si="386"/>
        <v>-0.0628043241776006-20.7411548450881i</v>
      </c>
      <c r="N513" s="270" t="str">
        <f t="shared" si="387"/>
        <v>-6.71376990979987-15.5558661338161i</v>
      </c>
      <c r="O513" s="581" t="str">
        <f t="shared" si="388"/>
        <v>-4.38297577344357-7.07038118872047i</v>
      </c>
      <c r="P513" s="582" t="str">
        <f t="shared" si="389"/>
        <v>-0.304981447540903+0.0655209291047177i</v>
      </c>
      <c r="Q513" s="583" t="str">
        <f t="shared" si="390"/>
        <v>-0.261151689806469+0.136224740991923i</v>
      </c>
      <c r="R513" s="581" t="str">
        <f t="shared" si="411"/>
        <v>-0.509620192427521-0.814906072784523i</v>
      </c>
      <c r="S513" s="253" t="str">
        <f t="shared" si="412"/>
        <v>42.8271900419266-25.9487544741083i</v>
      </c>
      <c r="T513" s="253" t="str">
        <f t="shared" si="413"/>
        <v>9.16988390798972-17.8679642628012i</v>
      </c>
      <c r="U513" s="253" t="str">
        <f t="shared" si="414"/>
        <v>-0.606880658963489-0.370646932577949i</v>
      </c>
      <c r="V513" s="582" t="str">
        <f t="shared" si="391"/>
        <v>6000</v>
      </c>
      <c r="W513" s="584" t="str">
        <f t="shared" si="392"/>
        <v>1+243462.695026864i</v>
      </c>
      <c r="X513" s="585">
        <f t="shared" si="393"/>
        <v>243462.69502891772</v>
      </c>
      <c r="Y513" s="586">
        <f t="shared" si="394"/>
        <v>1.5707922193894484</v>
      </c>
      <c r="Z513" s="273" t="str">
        <f t="shared" si="395"/>
        <v>1+36.5139271649548i</v>
      </c>
      <c r="AA513" s="585">
        <f t="shared" si="396"/>
        <v>36.527618003472718</v>
      </c>
      <c r="AB513" s="586">
        <f t="shared" si="397"/>
        <v>1.5434163603652837</v>
      </c>
      <c r="AC513" s="584" t="str">
        <f t="shared" si="398"/>
        <v>1+1.76528250918945i</v>
      </c>
      <c r="AD513" s="585">
        <f t="shared" si="399"/>
        <v>2.028847539183317</v>
      </c>
      <c r="AE513" s="586">
        <f t="shared" si="400"/>
        <v>1.0553874404022767</v>
      </c>
      <c r="AF513" s="580" t="str">
        <f t="shared" si="415"/>
        <v>0.208046891056123-0.391902274451239i</v>
      </c>
      <c r="AG513" s="270">
        <f t="shared" si="416"/>
        <v>0.44370136533277943</v>
      </c>
      <c r="AH513" s="581">
        <f t="shared" si="417"/>
        <v>-1.0827632994264405</v>
      </c>
      <c r="AI513" s="582" t="str">
        <f t="shared" si="401"/>
        <v>4000</v>
      </c>
      <c r="AJ513" s="584" t="str">
        <f t="shared" si="418"/>
        <v>1+19127.0122226886i</v>
      </c>
      <c r="AK513" s="585">
        <f t="shared" si="419"/>
        <v>19127.01224882964</v>
      </c>
      <c r="AL513" s="586">
        <f t="shared" si="420"/>
        <v>1.5707440447140653</v>
      </c>
      <c r="AM513" s="273" t="str">
        <f t="shared" si="421"/>
        <v>1+0.669421998024172i</v>
      </c>
      <c r="AN513" s="585">
        <f t="shared" si="422"/>
        <v>1.2033809918054525</v>
      </c>
      <c r="AO513" s="586">
        <f t="shared" si="423"/>
        <v>0.58990771561882405</v>
      </c>
      <c r="AP513" s="584" t="str">
        <f t="shared" si="424"/>
        <v>1+0.00484311428272637i</v>
      </c>
      <c r="AQ513" s="585">
        <f t="shared" si="425"/>
        <v>1.0000117278092071</v>
      </c>
      <c r="AR513" s="586">
        <f t="shared" si="426"/>
        <v>4.8430764169570435E-3</v>
      </c>
      <c r="AS513" s="580" t="str">
        <f t="shared" si="427"/>
        <v>0.138989976417874-0.209794148049133i</v>
      </c>
      <c r="AT513" s="270">
        <f t="shared" si="428"/>
        <v>0.25165809762513647</v>
      </c>
      <c r="AU513" s="581">
        <f t="shared" si="429"/>
        <v>-0.98567940551219979</v>
      </c>
      <c r="AV513" s="580" t="str">
        <f t="shared" si="430"/>
        <v>-0.024740723917606-0.0440725591370831i</v>
      </c>
      <c r="AW513" s="270">
        <f t="shared" si="431"/>
        <v>-25.926951319474792</v>
      </c>
      <c r="AX513" s="581">
        <f t="shared" si="432"/>
        <v>-119.3082619429925</v>
      </c>
      <c r="AY513" s="299">
        <f t="shared" si="402"/>
        <v>60.691738057007498</v>
      </c>
      <c r="BB513" s="270">
        <f t="shared" si="435"/>
        <v>-51.98378181419173</v>
      </c>
      <c r="BC513" s="270">
        <f t="shared" si="436"/>
        <v>-56.475269888813067</v>
      </c>
      <c r="BD513" s="286"/>
      <c r="BE513" s="270">
        <f t="shared" si="433"/>
        <v>26.056830494716941</v>
      </c>
      <c r="BF513" s="581">
        <f t="shared" si="434"/>
        <v>-62.832992054179449</v>
      </c>
      <c r="BI513" s="286"/>
      <c r="BJ513" s="286"/>
      <c r="BL513" s="253">
        <f t="shared" si="403"/>
        <v>0</v>
      </c>
      <c r="BM513" s="253">
        <f t="shared" si="437"/>
        <v>0</v>
      </c>
      <c r="BN513" s="253">
        <f t="shared" si="404"/>
        <v>0</v>
      </c>
      <c r="BO513" s="253">
        <f t="shared" si="405"/>
        <v>0</v>
      </c>
    </row>
    <row r="514" spans="4:67" ht="13.6" thickBot="1" x14ac:dyDescent="0.25">
      <c r="D514" s="280">
        <v>69586</v>
      </c>
      <c r="E514" s="273" t="str">
        <f t="shared" si="384"/>
        <v>0.786999119013718i</v>
      </c>
      <c r="F514" s="579" t="str">
        <f t="shared" si="406"/>
        <v>0.002-0.0351872156185032i</v>
      </c>
      <c r="G514" s="270" t="str">
        <f t="shared" si="407"/>
        <v>0.002-0.0351872156185032i</v>
      </c>
      <c r="H514" s="271" t="str">
        <f t="shared" si="408"/>
        <v>0.00261502795777563-0.0351061017404634i</v>
      </c>
      <c r="I514" s="271" t="str">
        <f t="shared" si="409"/>
        <v>0.0126150279577756-0.0351061017404634i</v>
      </c>
      <c r="J514" s="270" t="str">
        <f t="shared" si="410"/>
        <v>0.00357976410372754-0.0179586668468484i</v>
      </c>
      <c r="K514" s="271" t="str">
        <f t="shared" si="385"/>
        <v>0.877725022196409-0.549273533649998i</v>
      </c>
      <c r="L514" s="580"/>
      <c r="M514" s="580" t="str">
        <f t="shared" si="386"/>
        <v>-0.0621403723850705-20.6179407839581i</v>
      </c>
      <c r="N514" s="270" t="str">
        <f t="shared" si="387"/>
        <v>-6.71327194595547-15.4634555879686i</v>
      </c>
      <c r="O514" s="581" t="str">
        <f t="shared" si="388"/>
        <v>-4.38029549378531-7.02092840842383i</v>
      </c>
      <c r="P514" s="582" t="str">
        <f t="shared" si="389"/>
        <v>-0.301734977136057+0.0652058910963129i</v>
      </c>
      <c r="Q514" s="583" t="str">
        <f t="shared" si="390"/>
        <v>-0.257932022198204+0.135415175180551i</v>
      </c>
      <c r="R514" s="581" t="str">
        <f t="shared" si="411"/>
        <v>-0.509514038728581-0.808759652308651i</v>
      </c>
      <c r="S514" s="253" t="str">
        <f t="shared" si="412"/>
        <v>42.717810438392-26.0833612447419i</v>
      </c>
      <c r="T514" s="253" t="str">
        <f t="shared" si="413"/>
        <v>9.05910286103965-17.9301663714364i</v>
      </c>
      <c r="U514" s="253" t="str">
        <f t="shared" si="414"/>
        <v>-0.6057684376051-0.364917673065855i</v>
      </c>
      <c r="V514" s="582" t="str">
        <f t="shared" si="391"/>
        <v>6000</v>
      </c>
      <c r="W514" s="584" t="str">
        <f t="shared" si="392"/>
        <v>1+244880.896985378i</v>
      </c>
      <c r="X514" s="585">
        <f t="shared" si="393"/>
        <v>244880.89698741981</v>
      </c>
      <c r="Y514" s="586">
        <f t="shared" si="394"/>
        <v>1.5707922431770551</v>
      </c>
      <c r="Z514" s="273" t="str">
        <f t="shared" si="395"/>
        <v>1+36.7266255539735i</v>
      </c>
      <c r="AA514" s="585">
        <f t="shared" si="396"/>
        <v>36.740237132900752</v>
      </c>
      <c r="AB514" s="586">
        <f t="shared" si="397"/>
        <v>1.5435748500111108</v>
      </c>
      <c r="AC514" s="584" t="str">
        <f t="shared" si="398"/>
        <v>1+1.77556551008856i</v>
      </c>
      <c r="AD514" s="585">
        <f t="shared" si="399"/>
        <v>2.0378009914160038</v>
      </c>
      <c r="AE514" s="586">
        <f t="shared" si="400"/>
        <v>1.0578746314153324</v>
      </c>
      <c r="AF514" s="580" t="str">
        <f t="shared" si="415"/>
        <v>0.206222722694601-0.390659986157517i</v>
      </c>
      <c r="AG514" s="270">
        <f t="shared" si="416"/>
        <v>0.4417499701643065</v>
      </c>
      <c r="AH514" s="581">
        <f t="shared" si="417"/>
        <v>-1.0850920245812774</v>
      </c>
      <c r="AI514" s="582" t="str">
        <f t="shared" si="401"/>
        <v>4000</v>
      </c>
      <c r="AJ514" s="584" t="str">
        <f t="shared" si="418"/>
        <v>1+19238.4295640261i</v>
      </c>
      <c r="AK514" s="585">
        <f t="shared" si="419"/>
        <v>19238.429590015745</v>
      </c>
      <c r="AL514" s="586">
        <f t="shared" si="420"/>
        <v>1.5707443475002369</v>
      </c>
      <c r="AM514" s="273" t="str">
        <f t="shared" si="421"/>
        <v>1+0.673321468489515i</v>
      </c>
      <c r="AN514" s="585">
        <f t="shared" si="422"/>
        <v>1.2055545611580079</v>
      </c>
      <c r="AO514" s="586">
        <f t="shared" si="423"/>
        <v>0.5925956343919585</v>
      </c>
      <c r="AP514" s="584" t="str">
        <f t="shared" si="424"/>
        <v>1+0.00487132605521295i</v>
      </c>
      <c r="AQ514" s="585">
        <f t="shared" si="425"/>
        <v>1.0000118648383809</v>
      </c>
      <c r="AR514" s="586">
        <f t="shared" si="426"/>
        <v>4.8712875238687368E-3</v>
      </c>
      <c r="AS514" s="580" t="str">
        <f t="shared" si="427"/>
        <v>0.138989812058738-0.208586966110839i</v>
      </c>
      <c r="AT514" s="270">
        <f t="shared" si="428"/>
        <v>0.25065252898673812</v>
      </c>
      <c r="AU514" s="581">
        <f t="shared" si="429"/>
        <v>-0.98302000063214678</v>
      </c>
      <c r="AV514" s="580" t="str">
        <f t="shared" si="430"/>
        <v>-0.0248087600120383-0.0438172123561813i</v>
      </c>
      <c r="AW514" s="270">
        <f t="shared" si="431"/>
        <v>-25.959496304859066</v>
      </c>
      <c r="AX514" s="581">
        <f t="shared" si="432"/>
        <v>-119.51799889427087</v>
      </c>
      <c r="AY514" s="299">
        <f t="shared" si="402"/>
        <v>60.482001105729125</v>
      </c>
      <c r="BB514" s="270">
        <f t="shared" si="435"/>
        <v>-52.018558183321019</v>
      </c>
      <c r="BC514" s="270">
        <f t="shared" si="436"/>
        <v>-56.322897213169526</v>
      </c>
      <c r="BD514" s="286"/>
      <c r="BE514" s="270">
        <f t="shared" si="433"/>
        <v>26.059061878461954</v>
      </c>
      <c r="BF514" s="581">
        <f t="shared" si="434"/>
        <v>-63.195101681101363</v>
      </c>
      <c r="BI514" s="286"/>
      <c r="BJ514" s="286"/>
      <c r="BL514" s="253">
        <f t="shared" si="403"/>
        <v>0</v>
      </c>
      <c r="BM514" s="253">
        <f t="shared" si="437"/>
        <v>0</v>
      </c>
      <c r="BN514" s="253">
        <f t="shared" si="404"/>
        <v>0</v>
      </c>
      <c r="BO514" s="253">
        <f t="shared" si="405"/>
        <v>0</v>
      </c>
    </row>
    <row r="515" spans="4:67" ht="13.6" thickBot="1" x14ac:dyDescent="0.25">
      <c r="D515" s="280">
        <v>69989</v>
      </c>
      <c r="E515" s="273" t="str">
        <f t="shared" si="384"/>
        <v>0.791556941635546i</v>
      </c>
      <c r="F515" s="579" t="str">
        <f t="shared" si="406"/>
        <v>0.002-0.0349846059527805i</v>
      </c>
      <c r="G515" s="270" t="str">
        <f t="shared" si="407"/>
        <v>0.002-0.0349846059527805i</v>
      </c>
      <c r="H515" s="271" t="str">
        <f t="shared" si="408"/>
        <v>0.00260794484849891-0.0349040829084364i</v>
      </c>
      <c r="I515" s="271" t="str">
        <f t="shared" si="409"/>
        <v>0.0126079448484989-0.0349040829084364i</v>
      </c>
      <c r="J515" s="270" t="str">
        <f t="shared" si="410"/>
        <v>0.0035772327170075-0.0178590518090367i</v>
      </c>
      <c r="K515" s="271" t="str">
        <f t="shared" si="385"/>
        <v>0.87630463571627-0.55245459354798i</v>
      </c>
      <c r="L515" s="580"/>
      <c r="M515" s="580" t="str">
        <f t="shared" si="386"/>
        <v>-0.0614872062183033-20.496199383291i</v>
      </c>
      <c r="N515" s="270" t="str">
        <f t="shared" si="387"/>
        <v>-6.7127820713304-15.3721495374682i</v>
      </c>
      <c r="O515" s="581" t="str">
        <f t="shared" si="388"/>
        <v>-4.37762909266546-6.97202940769087i</v>
      </c>
      <c r="P515" s="582" t="str">
        <f t="shared" si="389"/>
        <v>-0.298545198653609+0.0648941665384993i</v>
      </c>
      <c r="Q515" s="583" t="str">
        <f t="shared" si="390"/>
        <v>-0.254768907726955+0.134614460615408i</v>
      </c>
      <c r="R515" s="581" t="str">
        <f t="shared" si="411"/>
        <v>-0.509409698323664-0.802678991238002i</v>
      </c>
      <c r="S515" s="253" t="str">
        <f t="shared" si="412"/>
        <v>42.6078345740567-26.2174228206124i</v>
      </c>
      <c r="T515" s="253" t="str">
        <f t="shared" si="413"/>
        <v>8.94796023220915-17.9916162569454i</v>
      </c>
      <c r="U515" s="253" t="str">
        <f t="shared" si="414"/>
        <v>-0.60464507869703-0.359241488739892i</v>
      </c>
      <c r="V515" s="582" t="str">
        <f t="shared" si="391"/>
        <v>6000</v>
      </c>
      <c r="W515" s="584" t="str">
        <f t="shared" si="392"/>
        <v>1+246299.098943891i</v>
      </c>
      <c r="X515" s="585">
        <f t="shared" si="393"/>
        <v>246299.09894592108</v>
      </c>
      <c r="Y515" s="586">
        <f t="shared" si="394"/>
        <v>1.5707922666907213</v>
      </c>
      <c r="Z515" s="273" t="str">
        <f t="shared" si="395"/>
        <v>1+36.9393239429921i</v>
      </c>
      <c r="AA515" s="585">
        <f t="shared" si="396"/>
        <v>36.952857174585418</v>
      </c>
      <c r="AB515" s="586">
        <f t="shared" si="397"/>
        <v>1.5437315158194505</v>
      </c>
      <c r="AC515" s="584" t="str">
        <f t="shared" si="398"/>
        <v>1+1.78584851098767i</v>
      </c>
      <c r="AD515" s="585">
        <f t="shared" si="399"/>
        <v>2.0467669393941454</v>
      </c>
      <c r="AE515" s="586">
        <f t="shared" si="400"/>
        <v>1.0603400470806406</v>
      </c>
      <c r="AF515" s="580" t="str">
        <f t="shared" si="415"/>
        <v>0.204419945175709-0.389420026214023i</v>
      </c>
      <c r="AG515" s="270">
        <f t="shared" si="416"/>
        <v>0.43981299526295287</v>
      </c>
      <c r="AH515" s="581">
        <f t="shared" si="417"/>
        <v>-1.0874007979519122</v>
      </c>
      <c r="AI515" s="582" t="str">
        <f t="shared" si="401"/>
        <v>4000</v>
      </c>
      <c r="AJ515" s="584" t="str">
        <f t="shared" si="418"/>
        <v>1+19349.8469053634i</v>
      </c>
      <c r="AK515" s="585">
        <f t="shared" si="419"/>
        <v>19349.846931203396</v>
      </c>
      <c r="AL515" s="586">
        <f t="shared" si="420"/>
        <v>1.5707446467994941</v>
      </c>
      <c r="AM515" s="273" t="str">
        <f t="shared" si="421"/>
        <v>1+0.677220938954856i</v>
      </c>
      <c r="AN515" s="585">
        <f t="shared" si="422"/>
        <v>1.2077368091429923</v>
      </c>
      <c r="AO515" s="586">
        <f t="shared" si="423"/>
        <v>0.59527385890790763</v>
      </c>
      <c r="AP515" s="584" t="str">
        <f t="shared" si="424"/>
        <v>1+0.00489953782769953i</v>
      </c>
      <c r="AQ515" s="585">
        <f t="shared" si="425"/>
        <v>1.0000120026634305</v>
      </c>
      <c r="AR515" s="586">
        <f t="shared" si="426"/>
        <v>4.8994986230265812E-3</v>
      </c>
      <c r="AS515" s="580" t="str">
        <f t="shared" si="427"/>
        <v>0.138989649653343-0.207393731342244i</v>
      </c>
      <c r="AT515" s="270">
        <f t="shared" si="428"/>
        <v>0.2496603342760278</v>
      </c>
      <c r="AU515" s="581">
        <f t="shared" si="429"/>
        <v>-0.98037028651461389</v>
      </c>
      <c r="AV515" s="580" t="str">
        <f t="shared" si="430"/>
        <v>-0.0248767457061889-0.043563993007101i</v>
      </c>
      <c r="AW515" s="270">
        <f t="shared" si="431"/>
        <v>-25.991730438707275</v>
      </c>
      <c r="AX515" s="581">
        <f t="shared" si="432"/>
        <v>-119.72805867341069</v>
      </c>
      <c r="AY515" s="299">
        <f t="shared" si="402"/>
        <v>60.271941326589314</v>
      </c>
      <c r="BB515" s="270">
        <f t="shared" si="435"/>
        <v>-52.053009046720753</v>
      </c>
      <c r="BC515" s="270">
        <f t="shared" si="436"/>
        <v>-56.17107977731866</v>
      </c>
      <c r="BD515" s="286"/>
      <c r="BE515" s="270">
        <f t="shared" si="433"/>
        <v>26.061278608013478</v>
      </c>
      <c r="BF515" s="581">
        <f t="shared" si="434"/>
        <v>-63.556978896092019</v>
      </c>
      <c r="BI515" s="286"/>
      <c r="BJ515" s="286"/>
      <c r="BL515" s="253">
        <f t="shared" si="403"/>
        <v>0</v>
      </c>
      <c r="BM515" s="253">
        <f t="shared" si="437"/>
        <v>0</v>
      </c>
      <c r="BN515" s="253">
        <f t="shared" si="404"/>
        <v>0</v>
      </c>
      <c r="BO515" s="253">
        <f t="shared" si="405"/>
        <v>0</v>
      </c>
    </row>
    <row r="516" spans="4:67" ht="13.6" thickBot="1" x14ac:dyDescent="0.25">
      <c r="D516" s="280">
        <v>70392</v>
      </c>
      <c r="E516" s="273" t="str">
        <f t="shared" si="384"/>
        <v>0.796114764257374i</v>
      </c>
      <c r="F516" s="579" t="str">
        <f t="shared" si="406"/>
        <v>0.002-0.0347843162011188i</v>
      </c>
      <c r="G516" s="270" t="str">
        <f t="shared" si="407"/>
        <v>0.002-0.0347843162011188i</v>
      </c>
      <c r="H516" s="271" t="str">
        <f t="shared" si="408"/>
        <v>0.00260098299584656-0.0347043751185196i</v>
      </c>
      <c r="I516" s="271" t="str">
        <f t="shared" si="409"/>
        <v>0.0126009829958466-0.0347043751185196i</v>
      </c>
      <c r="J516" s="270" t="str">
        <f t="shared" si="410"/>
        <v>0.00357472806335955-0.0177605954569507i</v>
      </c>
      <c r="K516" s="271" t="str">
        <f t="shared" si="385"/>
        <v>0.874876046968511-0.555635653445962i</v>
      </c>
      <c r="L516" s="580"/>
      <c r="M516" s="580" t="str">
        <f t="shared" si="386"/>
        <v>-0.0608445974055845-20.3759041042572i</v>
      </c>
      <c r="N516" s="270" t="str">
        <f t="shared" si="387"/>
        <v>-6.71230011472086-15.2819280781929i</v>
      </c>
      <c r="O516" s="581" t="str">
        <f t="shared" si="388"/>
        <v>-4.37497610849427-6.92367430958841i</v>
      </c>
      <c r="P516" s="582" t="str">
        <f t="shared" si="389"/>
        <v>-0.295410789988784+0.0645857097598425i</v>
      </c>
      <c r="Q516" s="583" t="str">
        <f t="shared" si="390"/>
        <v>-0.251661028903842+0.133822452855727i</v>
      </c>
      <c r="R516" s="581" t="str">
        <f t="shared" si="411"/>
        <v>-0.509307129945761-0.796662904205763i</v>
      </c>
      <c r="S516" s="253" t="str">
        <f t="shared" si="412"/>
        <v>42.4972644824979-26.3509360406964i</v>
      </c>
      <c r="T516" s="253" t="str">
        <f t="shared" si="413"/>
        <v>8.83646131260222-18.0523113415104i</v>
      </c>
      <c r="U516" s="253" t="str">
        <f t="shared" si="414"/>
        <v>-0.603510698934551-0.353617622947831i</v>
      </c>
      <c r="V516" s="582" t="str">
        <f t="shared" si="391"/>
        <v>6000</v>
      </c>
      <c r="W516" s="584" t="str">
        <f t="shared" si="392"/>
        <v>1+247717.300902404i</v>
      </c>
      <c r="X516" s="585">
        <f t="shared" si="393"/>
        <v>247717.30090442245</v>
      </c>
      <c r="Y516" s="586">
        <f t="shared" si="394"/>
        <v>1.5707922899351523</v>
      </c>
      <c r="Z516" s="273" t="str">
        <f t="shared" si="395"/>
        <v>1+37.1520223320108i</v>
      </c>
      <c r="AA516" s="585">
        <f t="shared" si="396"/>
        <v>37.16547811287014</v>
      </c>
      <c r="AB516" s="586">
        <f t="shared" si="397"/>
        <v>1.5438863890846619</v>
      </c>
      <c r="AC516" s="584" t="str">
        <f t="shared" si="398"/>
        <v>1+1.79613151188678i</v>
      </c>
      <c r="AD516" s="585">
        <f t="shared" si="399"/>
        <v>2.0557452196205368</v>
      </c>
      <c r="AE516" s="586">
        <f t="shared" si="400"/>
        <v>1.062783942535487</v>
      </c>
      <c r="AF516" s="580" t="str">
        <f t="shared" si="415"/>
        <v>0.202638273040924-0.388182513560146i</v>
      </c>
      <c r="AG516" s="270">
        <f t="shared" si="416"/>
        <v>0.43789032135328243</v>
      </c>
      <c r="AH516" s="581">
        <f t="shared" si="417"/>
        <v>-1.0896898433859776</v>
      </c>
      <c r="AI516" s="582" t="str">
        <f t="shared" si="401"/>
        <v>4000</v>
      </c>
      <c r="AJ516" s="584" t="str">
        <f t="shared" si="418"/>
        <v>1+19461.2642467008i</v>
      </c>
      <c r="AK516" s="585">
        <f t="shared" si="419"/>
        <v>19461.264272392862</v>
      </c>
      <c r="AL516" s="586">
        <f t="shared" si="420"/>
        <v>1.5707449426717255</v>
      </c>
      <c r="AM516" s="273" t="str">
        <f t="shared" si="421"/>
        <v>1+0.681120409420197i</v>
      </c>
      <c r="AN516" s="585">
        <f t="shared" si="422"/>
        <v>1.2099276888015815</v>
      </c>
      <c r="AO516" s="586">
        <f t="shared" si="423"/>
        <v>0.59794240330360937</v>
      </c>
      <c r="AP516" s="584" t="str">
        <f t="shared" si="424"/>
        <v>1+0.0049277496001861i</v>
      </c>
      <c r="AQ516" s="585">
        <f t="shared" si="425"/>
        <v>1.0000121412843557</v>
      </c>
      <c r="AR516" s="586">
        <f t="shared" si="426"/>
        <v>4.9277097143856658E-3</v>
      </c>
      <c r="AS516" s="580" t="str">
        <f t="shared" si="427"/>
        <v>0.138989489152022-0.206214204197182i</v>
      </c>
      <c r="AT516" s="270">
        <f t="shared" si="428"/>
        <v>0.24868127413904154</v>
      </c>
      <c r="AU516" s="581">
        <f t="shared" si="429"/>
        <v>-0.97773024908250339</v>
      </c>
      <c r="AV516" s="580" t="str">
        <f t="shared" si="430"/>
        <v>-0.0249446777345914-0.0433128536886724i</v>
      </c>
      <c r="AW516" s="270">
        <f t="shared" si="431"/>
        <v>-26.023658002566968</v>
      </c>
      <c r="AX516" s="581">
        <f t="shared" si="432"/>
        <v>-119.93844008766678</v>
      </c>
      <c r="AY516" s="299">
        <f t="shared" si="402"/>
        <v>60.061559912333223</v>
      </c>
      <c r="BB516" s="270">
        <f t="shared" si="435"/>
        <v>-52.087138323090876</v>
      </c>
      <c r="BC516" s="270">
        <f t="shared" si="436"/>
        <v>-56.019816774702171</v>
      </c>
      <c r="BD516" s="286"/>
      <c r="BE516" s="270">
        <f t="shared" si="433"/>
        <v>26.063480320523912</v>
      </c>
      <c r="BF516" s="581">
        <f t="shared" si="434"/>
        <v>-63.918623312964669</v>
      </c>
      <c r="BI516" s="286"/>
      <c r="BJ516" s="286"/>
      <c r="BL516" s="253">
        <f t="shared" si="403"/>
        <v>0</v>
      </c>
      <c r="BM516" s="253">
        <f t="shared" si="437"/>
        <v>0</v>
      </c>
      <c r="BN516" s="253">
        <f t="shared" si="404"/>
        <v>0</v>
      </c>
      <c r="BO516" s="253">
        <f t="shared" si="405"/>
        <v>0</v>
      </c>
    </row>
    <row r="517" spans="4:67" ht="13.6" thickBot="1" x14ac:dyDescent="0.25">
      <c r="D517" s="280">
        <v>70795</v>
      </c>
      <c r="E517" s="273" t="str">
        <f t="shared" si="384"/>
        <v>0.800672586879202i</v>
      </c>
      <c r="F517" s="579" t="str">
        <f t="shared" si="406"/>
        <v>0.002-0.0345863067452385i</v>
      </c>
      <c r="G517" s="270" t="str">
        <f t="shared" si="407"/>
        <v>0.002-0.0345863067452385i</v>
      </c>
      <c r="H517" s="271" t="str">
        <f t="shared" si="408"/>
        <v>0.00259413964805955-0.0345069389514831i</v>
      </c>
      <c r="I517" s="271" t="str">
        <f t="shared" si="409"/>
        <v>0.0125941396480596-0.0345069389514831i</v>
      </c>
      <c r="J517" s="270" t="str">
        <f t="shared" si="410"/>
        <v>0.00357224946286502-0.0176632779562092i</v>
      </c>
      <c r="K517" s="271" t="str">
        <f t="shared" si="385"/>
        <v>0.873439255953133-0.558816713343943i</v>
      </c>
      <c r="L517" s="580"/>
      <c r="M517" s="580" t="str">
        <f t="shared" si="386"/>
        <v>-0.0602123235173709-20.2570290483304i</v>
      </c>
      <c r="N517" s="270" t="str">
        <f t="shared" si="387"/>
        <v>-6.7118259093047-15.1927717862478i</v>
      </c>
      <c r="O517" s="581" t="str">
        <f t="shared" si="388"/>
        <v>-4.37233609348259-6.87585347599592i</v>
      </c>
      <c r="P517" s="582" t="str">
        <f t="shared" si="389"/>
        <v>-0.292330467485105+0.0642804757768809i</v>
      </c>
      <c r="Q517" s="583" t="str">
        <f t="shared" si="390"/>
        <v>-0.248607106550279+0.133039010536841i</v>
      </c>
      <c r="R517" s="581" t="str">
        <f t="shared" si="411"/>
        <v>-0.509206293492446-0.790710234454288i</v>
      </c>
      <c r="S517" s="253" t="str">
        <f t="shared" si="412"/>
        <v>42.386102233574-26.4838977230474i</v>
      </c>
      <c r="T517" s="253" t="str">
        <f t="shared" si="413"/>
        <v>8.72461142478699-18.1122490802471i</v>
      </c>
      <c r="U517" s="253" t="str">
        <f t="shared" si="414"/>
        <v>-0.602365412875191-0.348045337265133i</v>
      </c>
      <c r="V517" s="582" t="str">
        <f t="shared" si="391"/>
        <v>6000</v>
      </c>
      <c r="W517" s="584" t="str">
        <f t="shared" si="392"/>
        <v>1+249135.502860918i</v>
      </c>
      <c r="X517" s="585">
        <f t="shared" si="393"/>
        <v>249135.50286292497</v>
      </c>
      <c r="Y517" s="586">
        <f t="shared" si="394"/>
        <v>1.5707923129149457</v>
      </c>
      <c r="Z517" s="273" t="str">
        <f t="shared" si="395"/>
        <v>1+37.3647207210295i</v>
      </c>
      <c r="AA517" s="585">
        <f t="shared" si="396"/>
        <v>37.378099932454184</v>
      </c>
      <c r="AB517" s="586">
        <f t="shared" si="397"/>
        <v>1.5440395003893923</v>
      </c>
      <c r="AC517" s="584" t="str">
        <f t="shared" si="398"/>
        <v>1+1.8064145127859i</v>
      </c>
      <c r="AD517" s="585">
        <f t="shared" si="399"/>
        <v>2.0647356712188416</v>
      </c>
      <c r="AE517" s="586">
        <f t="shared" si="400"/>
        <v>1.0652065695108222</v>
      </c>
      <c r="AF517" s="580" t="str">
        <f t="shared" si="415"/>
        <v>0.200877424387037-0.386947562458864i</v>
      </c>
      <c r="AG517" s="270">
        <f t="shared" si="416"/>
        <v>0.4359818295769059</v>
      </c>
      <c r="AH517" s="581">
        <f t="shared" si="417"/>
        <v>-1.0919593820363738</v>
      </c>
      <c r="AI517" s="582" t="str">
        <f t="shared" si="401"/>
        <v>4000</v>
      </c>
      <c r="AJ517" s="584" t="str">
        <f t="shared" si="418"/>
        <v>1+19572.6815880382i</v>
      </c>
      <c r="AK517" s="585">
        <f t="shared" si="419"/>
        <v>19572.681613584005</v>
      </c>
      <c r="AL517" s="586">
        <f t="shared" si="420"/>
        <v>1.5707452351754558</v>
      </c>
      <c r="AM517" s="273" t="str">
        <f t="shared" si="421"/>
        <v>1+0.68501987988554i</v>
      </c>
      <c r="AN517" s="585">
        <f t="shared" si="422"/>
        <v>1.2121271533293856</v>
      </c>
      <c r="AO517" s="586">
        <f t="shared" si="423"/>
        <v>0.60060128216546083</v>
      </c>
      <c r="AP517" s="584" t="str">
        <f t="shared" si="424"/>
        <v>1+0.00495596137267268i</v>
      </c>
      <c r="AQ517" s="585">
        <f t="shared" si="425"/>
        <v>1.0000122807011558</v>
      </c>
      <c r="AR517" s="586">
        <f t="shared" si="426"/>
        <v>4.9559207979011088E-3</v>
      </c>
      <c r="AS517" s="580" t="str">
        <f t="shared" si="427"/>
        <v>0.138989330506524-0.205048150583956i</v>
      </c>
      <c r="AT517" s="270">
        <f t="shared" si="428"/>
        <v>0.24771511470346833</v>
      </c>
      <c r="AU517" s="581">
        <f t="shared" si="429"/>
        <v>-0.97509987380789676</v>
      </c>
      <c r="AV517" s="580" t="str">
        <f t="shared" si="430"/>
        <v>-0.0250125527595991-0.0430637481084718i</v>
      </c>
      <c r="AW517" s="270">
        <f t="shared" si="431"/>
        <v>-26.055283216513825</v>
      </c>
      <c r="AX517" s="581">
        <f t="shared" si="432"/>
        <v>-120.14914189934372</v>
      </c>
      <c r="AY517" s="299">
        <f t="shared" si="402"/>
        <v>59.850858100656282</v>
      </c>
      <c r="BB517" s="270">
        <f t="shared" si="435"/>
        <v>-52.120949869733025</v>
      </c>
      <c r="BC517" s="270">
        <f t="shared" si="436"/>
        <v>-55.869107372931659</v>
      </c>
      <c r="BD517" s="286"/>
      <c r="BE517" s="270">
        <f t="shared" si="433"/>
        <v>26.065666653219196</v>
      </c>
      <c r="BF517" s="581">
        <f t="shared" si="434"/>
        <v>-64.280034526412109</v>
      </c>
      <c r="BI517" s="286"/>
      <c r="BJ517" s="286"/>
      <c r="BL517" s="253">
        <f t="shared" si="403"/>
        <v>0</v>
      </c>
      <c r="BM517" s="253">
        <f t="shared" si="437"/>
        <v>0</v>
      </c>
      <c r="BN517" s="253">
        <f t="shared" si="404"/>
        <v>0</v>
      </c>
      <c r="BO517" s="253">
        <f t="shared" si="405"/>
        <v>0</v>
      </c>
    </row>
    <row r="518" spans="4:67" ht="13.6" thickBot="1" x14ac:dyDescent="0.25">
      <c r="D518" s="280">
        <v>71207.25</v>
      </c>
      <c r="E518" s="273" t="str">
        <f t="shared" si="384"/>
        <v>0.805335024536394i</v>
      </c>
      <c r="F518" s="579" t="str">
        <f t="shared" si="406"/>
        <v>0.002-0.0343860714467861i</v>
      </c>
      <c r="G518" s="270" t="str">
        <f t="shared" si="407"/>
        <v>0.002-0.0343860714467861i</v>
      </c>
      <c r="H518" s="271" t="str">
        <f t="shared" si="408"/>
        <v>0.0025872590543923-0.0343072813281102i</v>
      </c>
      <c r="I518" s="271" t="str">
        <f t="shared" si="409"/>
        <v>0.0125872590543923-0.0343072813281102i</v>
      </c>
      <c r="J518" s="270" t="str">
        <f t="shared" si="410"/>
        <v>0.00356974024000413-0.0175648848932495i</v>
      </c>
      <c r="K518" s="271" t="str">
        <f t="shared" si="385"/>
        <v>0.871960999657521-0.56207078764405i</v>
      </c>
      <c r="L518" s="580"/>
      <c r="M518" s="580" t="str">
        <f t="shared" si="386"/>
        <v>-0.0595760046481352-20.1368686141037i</v>
      </c>
      <c r="N518" s="270" t="str">
        <f t="shared" si="387"/>
        <v>-6.71134867015277-15.1026514605778i</v>
      </c>
      <c r="O518" s="581" t="str">
        <f t="shared" si="388"/>
        <v>-4.36964844879811-6.82747801140661i</v>
      </c>
      <c r="P518" s="582" t="str">
        <f t="shared" si="389"/>
        <v>-0.289234105900458+0.0639715242201148i</v>
      </c>
      <c r="Q518" s="583" t="str">
        <f t="shared" si="390"/>
        <v>-0.245537621412477+0.132246304334181i</v>
      </c>
      <c r="R518" s="581" t="str">
        <f t="shared" si="411"/>
        <v>-0.509104893933302-0.78468537438425i</v>
      </c>
      <c r="S518" s="253" t="str">
        <f t="shared" si="412"/>
        <v>42.2717779893671-26.6193372449696i</v>
      </c>
      <c r="T518" s="253" t="str">
        <f t="shared" si="413"/>
        <v>8.60983670073694-18.17277632282i</v>
      </c>
      <c r="U518" s="253" t="str">
        <f t="shared" si="414"/>
        <v>-0.601182671858983-0.342397769965933i</v>
      </c>
      <c r="V518" s="582" t="str">
        <f t="shared" si="391"/>
        <v>6000</v>
      </c>
      <c r="W518" s="584" t="str">
        <f t="shared" si="392"/>
        <v>1+250586.256601357i</v>
      </c>
      <c r="X518" s="585">
        <f t="shared" si="393"/>
        <v>250586.25660335229</v>
      </c>
      <c r="Y518" s="586">
        <f t="shared" si="394"/>
        <v>1.5707923361530571</v>
      </c>
      <c r="Z518" s="273" t="str">
        <f t="shared" si="395"/>
        <v>1+37.5823011450318i</v>
      </c>
      <c r="AA518" s="585">
        <f t="shared" si="396"/>
        <v>37.595602925819115</v>
      </c>
      <c r="AB518" s="586">
        <f t="shared" si="397"/>
        <v>1.5441943341084778</v>
      </c>
      <c r="AC518" s="584" t="str">
        <f t="shared" si="398"/>
        <v>1+1.8169335378992i</v>
      </c>
      <c r="AD518" s="585">
        <f t="shared" si="399"/>
        <v>2.0739449079334058</v>
      </c>
      <c r="AE518" s="586">
        <f t="shared" si="400"/>
        <v>1.0676630552780111</v>
      </c>
      <c r="AF518" s="580" t="str">
        <f t="shared" si="415"/>
        <v>0.199097414934281-0.385687030500817i</v>
      </c>
      <c r="AG518" s="270">
        <f t="shared" si="416"/>
        <v>0.43404408316443083</v>
      </c>
      <c r="AH518" s="581">
        <f t="shared" si="417"/>
        <v>-1.0942610573225897</v>
      </c>
      <c r="AI518" s="582" t="str">
        <f t="shared" si="401"/>
        <v>4000</v>
      </c>
      <c r="AJ518" s="584" t="str">
        <f t="shared" si="418"/>
        <v>1+19686.6562752995i</v>
      </c>
      <c r="AK518" s="585">
        <f t="shared" si="419"/>
        <v>19686.656300697414</v>
      </c>
      <c r="AL518" s="586">
        <f t="shared" si="420"/>
        <v>1.5707455309672478</v>
      </c>
      <c r="AM518" s="273" t="str">
        <f t="shared" si="421"/>
        <v>1+0.689008854325583i</v>
      </c>
      <c r="AN518" s="585">
        <f t="shared" si="422"/>
        <v>1.2143859359112541</v>
      </c>
      <c r="AO518" s="586">
        <f t="shared" si="423"/>
        <v>0.60331120469776101</v>
      </c>
      <c r="AP518" s="584" t="str">
        <f t="shared" si="424"/>
        <v>1+0.00498482068584288i</v>
      </c>
      <c r="AQ518" s="585">
        <f t="shared" si="425"/>
        <v>1.0000124241414554</v>
      </c>
      <c r="AR518" s="586">
        <f t="shared" si="426"/>
        <v>4.9847793981237344E-3</v>
      </c>
      <c r="AS518" s="580" t="str">
        <f t="shared" si="427"/>
        <v>0.138989170090982-0.20386903516863i</v>
      </c>
      <c r="AT518" s="270">
        <f t="shared" si="428"/>
        <v>0.24673988916097053</v>
      </c>
      <c r="AU518" s="581">
        <f t="shared" si="429"/>
        <v>-0.97241910566761125</v>
      </c>
      <c r="AV518" s="580" t="str">
        <f t="shared" si="430"/>
        <v>-0.0250819231761433-0.042810982004965i</v>
      </c>
      <c r="AW518" s="270">
        <f t="shared" si="431"/>
        <v>-26.087325816863665</v>
      </c>
      <c r="AX518" s="581">
        <f t="shared" si="432"/>
        <v>-120.36501009508623</v>
      </c>
      <c r="AY518" s="299">
        <f t="shared" si="402"/>
        <v>59.634989904913766</v>
      </c>
      <c r="BB518" s="270">
        <f t="shared" si="435"/>
        <v>-52.155212693860733</v>
      </c>
      <c r="BC518" s="270">
        <f t="shared" si="436"/>
        <v>-55.715510672640157</v>
      </c>
      <c r="BD518" s="286"/>
      <c r="BE518" s="270">
        <f t="shared" si="433"/>
        <v>26.067886876997068</v>
      </c>
      <c r="BF518" s="581">
        <f t="shared" si="434"/>
        <v>-64.649499422446098</v>
      </c>
      <c r="BI518" s="286"/>
      <c r="BJ518" s="286"/>
      <c r="BL518" s="253">
        <f t="shared" si="403"/>
        <v>0</v>
      </c>
      <c r="BM518" s="253">
        <f t="shared" si="437"/>
        <v>0</v>
      </c>
      <c r="BN518" s="253">
        <f t="shared" si="404"/>
        <v>0</v>
      </c>
      <c r="BO518" s="253">
        <f t="shared" si="405"/>
        <v>0</v>
      </c>
    </row>
    <row r="519" spans="4:67" ht="13.6" thickBot="1" x14ac:dyDescent="0.25">
      <c r="D519" s="280">
        <v>71619.5</v>
      </c>
      <c r="E519" s="273" t="str">
        <f t="shared" si="384"/>
        <v>0.809997462193587i</v>
      </c>
      <c r="F519" s="579" t="str">
        <f t="shared" si="406"/>
        <v>0.002-0.0341881413027062i</v>
      </c>
      <c r="G519" s="270" t="str">
        <f t="shared" si="407"/>
        <v>0.002-0.0341881413027062i</v>
      </c>
      <c r="H519" s="271" t="str">
        <f t="shared" si="408"/>
        <v>0.00258049688868945-0.0341099201863889i</v>
      </c>
      <c r="I519" s="271" t="str">
        <f t="shared" si="409"/>
        <v>0.0125804968886895-0.0341099201863889i</v>
      </c>
      <c r="J519" s="270" t="str">
        <f t="shared" si="410"/>
        <v>0.00356725690252979-0.0174676429980065i</v>
      </c>
      <c r="K519" s="271" t="str">
        <f t="shared" si="385"/>
        <v>0.870474160242166-0.565324861944156i</v>
      </c>
      <c r="L519" s="580"/>
      <c r="M519" s="580" t="str">
        <f t="shared" si="386"/>
        <v>-0.0589500477060847-20.0181414921439i</v>
      </c>
      <c r="N519" s="270" t="str">
        <f t="shared" si="387"/>
        <v>-6.71087920244623-15.0136061191079i</v>
      </c>
      <c r="O519" s="581" t="str">
        <f t="shared" si="388"/>
        <v>-4.36697346977097-6.77964195005848i</v>
      </c>
      <c r="P519" s="582" t="str">
        <f t="shared" si="389"/>
        <v>-0.286191741958233+0.0636658520508262i</v>
      </c>
      <c r="Q519" s="583" t="str">
        <f t="shared" si="390"/>
        <v>-0.242522007260522+0.131462271551411i</v>
      </c>
      <c r="R519" s="581" t="str">
        <f t="shared" si="411"/>
        <v>-0.509005225388455-0.778724515463166i</v>
      </c>
      <c r="S519" s="253" t="str">
        <f t="shared" si="412"/>
        <v>42.156838591709-26.754192821387i</v>
      </c>
      <c r="T519" s="253" t="str">
        <f t="shared" si="413"/>
        <v>8.49470607918529-18.2325057751169i</v>
      </c>
      <c r="U519" s="253" t="str">
        <f t="shared" si="414"/>
        <v>-0.599988754179444-0.336802670793543i</v>
      </c>
      <c r="V519" s="582" t="str">
        <f t="shared" si="391"/>
        <v>6000</v>
      </c>
      <c r="W519" s="584" t="str">
        <f t="shared" si="392"/>
        <v>1+252037.010341797i</v>
      </c>
      <c r="X519" s="585">
        <f t="shared" si="393"/>
        <v>252037.01034378086</v>
      </c>
      <c r="Y519" s="586">
        <f t="shared" si="394"/>
        <v>1.5707923591236461</v>
      </c>
      <c r="Z519" s="273" t="str">
        <f t="shared" si="395"/>
        <v>1+37.799881569034i</v>
      </c>
      <c r="AA519" s="585">
        <f t="shared" si="396"/>
        <v>37.813106810112757</v>
      </c>
      <c r="AB519" s="586">
        <f t="shared" si="397"/>
        <v>1.5443473866003934</v>
      </c>
      <c r="AC519" s="584" t="str">
        <f t="shared" si="398"/>
        <v>1+1.8274525630125i</v>
      </c>
      <c r="AD519" s="585">
        <f t="shared" si="399"/>
        <v>2.0831665488051971</v>
      </c>
      <c r="AE519" s="586">
        <f t="shared" si="400"/>
        <v>1.0700978071716616</v>
      </c>
      <c r="AF519" s="580" t="str">
        <f t="shared" si="415"/>
        <v>0.197338610422577-0.384429406532234i</v>
      </c>
      <c r="AG519" s="270">
        <f t="shared" si="416"/>
        <v>0.43212092725328549</v>
      </c>
      <c r="AH519" s="581">
        <f t="shared" si="417"/>
        <v>-1.0965427796949134</v>
      </c>
      <c r="AI519" s="582" t="str">
        <f t="shared" si="401"/>
        <v>4000</v>
      </c>
      <c r="AJ519" s="584" t="str">
        <f t="shared" si="418"/>
        <v>1+19800.6309625609i</v>
      </c>
      <c r="AK519" s="585">
        <f t="shared" si="419"/>
        <v>19800.630987812619</v>
      </c>
      <c r="AL519" s="586">
        <f t="shared" si="420"/>
        <v>1.5707458233538174</v>
      </c>
      <c r="AM519" s="273" t="str">
        <f t="shared" si="421"/>
        <v>1+0.692997828765624i</v>
      </c>
      <c r="AN519" s="585">
        <f t="shared" si="422"/>
        <v>1.2166536034031499</v>
      </c>
      <c r="AO519" s="586">
        <f t="shared" si="423"/>
        <v>0.6060110451829831</v>
      </c>
      <c r="AP519" s="584" t="str">
        <f t="shared" si="424"/>
        <v>1+0.00501367999901307i</v>
      </c>
      <c r="AQ519" s="585">
        <f t="shared" si="425"/>
        <v>1.0000125684145837</v>
      </c>
      <c r="AR519" s="586">
        <f t="shared" si="426"/>
        <v>5.0136379900434487E-3</v>
      </c>
      <c r="AS519" s="580" t="str">
        <f t="shared" si="427"/>
        <v>0.138989011519596-0.20270354016638i</v>
      </c>
      <c r="AT519" s="270">
        <f t="shared" si="428"/>
        <v>0.2457776851530212</v>
      </c>
      <c r="AU519" s="581">
        <f t="shared" si="429"/>
        <v>-0.96974841616087681</v>
      </c>
      <c r="AV519" s="580" t="str">
        <f t="shared" si="430"/>
        <v>-0.025151226656247-0.0425602495013255i</v>
      </c>
      <c r="AW519" s="270">
        <f t="shared" si="431"/>
        <v>-26.119060770227264</v>
      </c>
      <c r="AX519" s="581">
        <f t="shared" si="432"/>
        <v>-120.58121080481028</v>
      </c>
      <c r="AY519" s="299">
        <f t="shared" si="402"/>
        <v>59.418789195189717</v>
      </c>
      <c r="BB519" s="270">
        <f t="shared" si="435"/>
        <v>-52.189151009531606</v>
      </c>
      <c r="BC519" s="270">
        <f t="shared" si="436"/>
        <v>-55.562491435514389</v>
      </c>
      <c r="BD519" s="286"/>
      <c r="BE519" s="270">
        <f t="shared" si="433"/>
        <v>26.070090239304342</v>
      </c>
      <c r="BF519" s="581">
        <f t="shared" si="434"/>
        <v>-65.018719369295852</v>
      </c>
      <c r="BI519" s="286"/>
      <c r="BJ519" s="286"/>
      <c r="BL519" s="253">
        <f t="shared" si="403"/>
        <v>0</v>
      </c>
      <c r="BM519" s="253">
        <f t="shared" si="437"/>
        <v>0</v>
      </c>
      <c r="BN519" s="253">
        <f t="shared" si="404"/>
        <v>0</v>
      </c>
      <c r="BO519" s="253">
        <f t="shared" si="405"/>
        <v>0</v>
      </c>
    </row>
    <row r="520" spans="4:67" ht="13.6" thickBot="1" x14ac:dyDescent="0.25">
      <c r="D520" s="280">
        <v>72031.75</v>
      </c>
      <c r="E520" s="273" t="str">
        <f t="shared" si="384"/>
        <v>0.81465989985078i</v>
      </c>
      <c r="F520" s="579" t="str">
        <f t="shared" si="406"/>
        <v>0.002-0.0339924767346227i</v>
      </c>
      <c r="G520" s="270" t="str">
        <f t="shared" si="407"/>
        <v>0.002-0.0339924767346227i</v>
      </c>
      <c r="H520" s="271" t="str">
        <f t="shared" si="408"/>
        <v>0.00257385044889647-0.0339148161427287i</v>
      </c>
      <c r="I520" s="271" t="str">
        <f t="shared" si="409"/>
        <v>0.0125738504488965-0.0339148161427287i</v>
      </c>
      <c r="J520" s="270" t="str">
        <f t="shared" si="410"/>
        <v>0.00356479878389716-0.0173715324549962i</v>
      </c>
      <c r="K520" s="271" t="str">
        <f t="shared" si="385"/>
        <v>0.868978737707066-0.568578936244263i</v>
      </c>
      <c r="L520" s="580"/>
      <c r="M520" s="580" t="str">
        <f t="shared" si="386"/>
        <v>-0.0583342324656666-19.9008219152612i</v>
      </c>
      <c r="N520" s="270" t="str">
        <f t="shared" si="387"/>
        <v>-6.71041734101592-14.9256164364459i</v>
      </c>
      <c r="O520" s="581" t="str">
        <f t="shared" si="388"/>
        <v>-4.36431071891116-6.73233570426088i</v>
      </c>
      <c r="P520" s="582" t="str">
        <f t="shared" si="389"/>
        <v>-0.283202117913241+0.0633634133044695i</v>
      </c>
      <c r="Q520" s="583" t="str">
        <f t="shared" si="390"/>
        <v>-0.239559010724129+0.130686770347078i</v>
      </c>
      <c r="R520" s="581" t="str">
        <f t="shared" si="411"/>
        <v>-0.508907248463051-0.772826506828101i</v>
      </c>
      <c r="S520" s="253" t="str">
        <f t="shared" si="412"/>
        <v>42.0412863762405-26.8884609848422i</v>
      </c>
      <c r="T520" s="253" t="str">
        <f t="shared" si="413"/>
        <v>8.37922535832219-18.2914348241283i</v>
      </c>
      <c r="U520" s="253" t="str">
        <f t="shared" si="414"/>
        <v>-0.598783776097093-0.331259305179031i</v>
      </c>
      <c r="V520" s="582" t="str">
        <f t="shared" si="391"/>
        <v>6000</v>
      </c>
      <c r="W520" s="584" t="str">
        <f t="shared" si="392"/>
        <v>1+253487.764082236i</v>
      </c>
      <c r="X520" s="585">
        <f t="shared" si="393"/>
        <v>253487.76408420849</v>
      </c>
      <c r="Y520" s="586">
        <f t="shared" si="394"/>
        <v>1.5707923818313059</v>
      </c>
      <c r="Z520" s="273" t="str">
        <f t="shared" si="395"/>
        <v>1+38.0174619930364i</v>
      </c>
      <c r="AA520" s="585">
        <f t="shared" si="396"/>
        <v>38.030611570049288</v>
      </c>
      <c r="AB520" s="586">
        <f t="shared" si="397"/>
        <v>1.5444986884195018</v>
      </c>
      <c r="AC520" s="584" t="str">
        <f t="shared" si="398"/>
        <v>1+1.8379715881258i</v>
      </c>
      <c r="AD520" s="585">
        <f t="shared" si="399"/>
        <v>2.0924004298311725</v>
      </c>
      <c r="AE520" s="586">
        <f t="shared" si="400"/>
        <v>1.0725110838716214</v>
      </c>
      <c r="AF520" s="580" t="str">
        <f t="shared" si="415"/>
        <v>0.195600720539055-0.383174798576988i</v>
      </c>
      <c r="AG520" s="270">
        <f t="shared" si="416"/>
        <v>0.43021223615782112</v>
      </c>
      <c r="AH520" s="581">
        <f t="shared" si="417"/>
        <v>-1.0988047772834248</v>
      </c>
      <c r="AI520" s="582" t="str">
        <f t="shared" si="401"/>
        <v>4000</v>
      </c>
      <c r="AJ520" s="584" t="str">
        <f t="shared" si="418"/>
        <v>1+19914.6056498223i</v>
      </c>
      <c r="AK520" s="585">
        <f t="shared" si="419"/>
        <v>19914.605674929502</v>
      </c>
      <c r="AL520" s="586">
        <f t="shared" si="420"/>
        <v>1.5707461123936304</v>
      </c>
      <c r="AM520" s="273" t="str">
        <f t="shared" si="421"/>
        <v>1+0.696986803205667i</v>
      </c>
      <c r="AN520" s="585">
        <f t="shared" si="422"/>
        <v>1.2189301062172742</v>
      </c>
      <c r="AO520" s="586">
        <f t="shared" si="423"/>
        <v>0.60870082064106179</v>
      </c>
      <c r="AP520" s="584" t="str">
        <f t="shared" si="424"/>
        <v>1+0.00504253931218327i</v>
      </c>
      <c r="AQ520" s="585">
        <f t="shared" si="425"/>
        <v>1.0000127135205406</v>
      </c>
      <c r="AR520" s="586">
        <f t="shared" si="426"/>
        <v>5.0424965736122051E-3</v>
      </c>
      <c r="AS520" s="580" t="str">
        <f t="shared" si="427"/>
        <v>0.138988854744986-0.201551431721284i</v>
      </c>
      <c r="AT520" s="270">
        <f t="shared" si="428"/>
        <v>0.24482826914435807</v>
      </c>
      <c r="AU520" s="581">
        <f t="shared" si="429"/>
        <v>-0.96708778832618281</v>
      </c>
      <c r="AV520" s="580" t="str">
        <f t="shared" si="430"/>
        <v>-0.0252204594083627-0.0423115044553327i</v>
      </c>
      <c r="AW520" s="270">
        <f t="shared" si="431"/>
        <v>-26.150492402338621</v>
      </c>
      <c r="AX520" s="581">
        <f t="shared" si="432"/>
        <v>-120.79774256330037</v>
      </c>
      <c r="AY520" s="299">
        <f t="shared" si="402"/>
        <v>59.202257436699625</v>
      </c>
      <c r="BB520" s="270">
        <f t="shared" si="435"/>
        <v>-52.222768754664763</v>
      </c>
      <c r="BC520" s="270">
        <f t="shared" si="436"/>
        <v>-55.410048689731404</v>
      </c>
      <c r="BD520" s="286"/>
      <c r="BE520" s="270">
        <f t="shared" si="433"/>
        <v>26.072276352326142</v>
      </c>
      <c r="BF520" s="581">
        <f t="shared" si="434"/>
        <v>-65.387693873568907</v>
      </c>
      <c r="BI520" s="286"/>
      <c r="BJ520" s="286"/>
      <c r="BL520" s="253">
        <f t="shared" si="403"/>
        <v>0</v>
      </c>
      <c r="BM520" s="253">
        <f t="shared" si="437"/>
        <v>0</v>
      </c>
      <c r="BN520" s="253">
        <f t="shared" si="404"/>
        <v>0</v>
      </c>
      <c r="BO520" s="253">
        <f t="shared" si="405"/>
        <v>0</v>
      </c>
    </row>
    <row r="521" spans="4:67" ht="13.6" thickBot="1" x14ac:dyDescent="0.25">
      <c r="D521" s="280">
        <v>72444</v>
      </c>
      <c r="E521" s="273" t="str">
        <f t="shared" si="384"/>
        <v>0.819322337507972i</v>
      </c>
      <c r="F521" s="579" t="str">
        <f t="shared" si="406"/>
        <v>0.002-0.0337990390650593i</v>
      </c>
      <c r="G521" s="270" t="str">
        <f t="shared" si="407"/>
        <v>0.002-0.0337990390650593i</v>
      </c>
      <c r="H521" s="271" t="str">
        <f t="shared" si="408"/>
        <v>0.00256731710957689-0.0337219307087111i</v>
      </c>
      <c r="I521" s="271" t="str">
        <f t="shared" si="409"/>
        <v>0.0125673171095769-0.0337219307087111i</v>
      </c>
      <c r="J521" s="270" t="str">
        <f t="shared" si="410"/>
        <v>0.00356236523683765-0.0172765338994301i</v>
      </c>
      <c r="K521" s="271" t="str">
        <f t="shared" si="385"/>
        <v>0.867474732052221-0.571833010544369i</v>
      </c>
      <c r="L521" s="580"/>
      <c r="M521" s="580" t="str">
        <f t="shared" si="386"/>
        <v>-0.0577283443740927-19.7848847362244i</v>
      </c>
      <c r="N521" s="270" t="str">
        <f t="shared" si="387"/>
        <v>-6.70996292494724-14.8386635521683i</v>
      </c>
      <c r="O521" s="581" t="str">
        <f t="shared" si="388"/>
        <v>-4.36165977189247-6.68554991751642i</v>
      </c>
      <c r="P521" s="582" t="str">
        <f t="shared" si="389"/>
        <v>-0.280264012545575+0.0630641627373959i</v>
      </c>
      <c r="Q521" s="583" t="str">
        <f t="shared" si="390"/>
        <v>-0.236647414826651+0.12991966191256i</v>
      </c>
      <c r="R521" s="581" t="str">
        <f t="shared" si="411"/>
        <v>-0.50881092487407-0.76699022531498i</v>
      </c>
      <c r="S521" s="253" t="str">
        <f t="shared" si="412"/>
        <v>41.9251237197204-27.0221382493954i</v>
      </c>
      <c r="T521" s="253" t="str">
        <f t="shared" si="413"/>
        <v>8.26340036970256-18.3495608957143i</v>
      </c>
      <c r="U521" s="253" t="str">
        <f t="shared" si="414"/>
        <v>-0.597567851908131-0.325766956326238i</v>
      </c>
      <c r="V521" s="582" t="str">
        <f t="shared" si="391"/>
        <v>6000</v>
      </c>
      <c r="W521" s="584" t="str">
        <f t="shared" si="392"/>
        <v>1+254938.517822676i</v>
      </c>
      <c r="X521" s="585">
        <f t="shared" si="393"/>
        <v>254938.51782463721</v>
      </c>
      <c r="Y521" s="586">
        <f t="shared" si="394"/>
        <v>1.5707924042805252</v>
      </c>
      <c r="Z521" s="273" t="str">
        <f t="shared" si="395"/>
        <v>1+38.2350424170387i</v>
      </c>
      <c r="AA521" s="585">
        <f t="shared" si="396"/>
        <v>38.248117190689904</v>
      </c>
      <c r="AB521" s="586">
        <f t="shared" si="397"/>
        <v>1.5446482694254764</v>
      </c>
      <c r="AC521" s="584" t="str">
        <f t="shared" si="398"/>
        <v>1+1.8484906132391i</v>
      </c>
      <c r="AD521" s="585">
        <f t="shared" si="399"/>
        <v>2.1016463896747859</v>
      </c>
      <c r="AE521" s="586">
        <f t="shared" si="400"/>
        <v>1.0749031405152263</v>
      </c>
      <c r="AF521" s="580" t="str">
        <f t="shared" si="415"/>
        <v>0.1938834587914-0.381923310133201i</v>
      </c>
      <c r="AG521" s="270">
        <f t="shared" si="416"/>
        <v>0.42831788477253407</v>
      </c>
      <c r="AH521" s="581">
        <f t="shared" si="417"/>
        <v>-1.1010472753702765</v>
      </c>
      <c r="AI521" s="582" t="str">
        <f t="shared" si="401"/>
        <v>4000</v>
      </c>
      <c r="AJ521" s="584" t="str">
        <f t="shared" si="418"/>
        <v>1+20028.5803370836i</v>
      </c>
      <c r="AK521" s="585">
        <f t="shared" si="419"/>
        <v>20028.580362047924</v>
      </c>
      <c r="AL521" s="586">
        <f t="shared" si="420"/>
        <v>1.5707463981438221</v>
      </c>
      <c r="AM521" s="273" t="str">
        <f t="shared" si="421"/>
        <v>1+0.70097577764571i</v>
      </c>
      <c r="AN521" s="585">
        <f t="shared" si="422"/>
        <v>1.2212153949430902</v>
      </c>
      <c r="AO521" s="586">
        <f t="shared" si="423"/>
        <v>0.61138054854781954</v>
      </c>
      <c r="AP521" s="584" t="str">
        <f t="shared" si="424"/>
        <v>1+0.00507139862535348i</v>
      </c>
      <c r="AQ521" s="585">
        <f t="shared" si="425"/>
        <v>1.0000128594593258</v>
      </c>
      <c r="AR521" s="586">
        <f t="shared" si="426"/>
        <v>5.0713551487819412E-3</v>
      </c>
      <c r="AS521" s="580" t="str">
        <f t="shared" si="427"/>
        <v>0.138988699721118-0.200412481300541i</v>
      </c>
      <c r="AT521" s="270">
        <f t="shared" si="428"/>
        <v>0.24389141295094174</v>
      </c>
      <c r="AU521" s="581">
        <f t="shared" si="429"/>
        <v>-0.96443720474478445</v>
      </c>
      <c r="AV521" s="580" t="str">
        <f t="shared" si="430"/>
        <v>-0.0252896175722552-0.042064701814207i</v>
      </c>
      <c r="AW521" s="270">
        <f t="shared" si="431"/>
        <v>-26.181624976910665</v>
      </c>
      <c r="AX521" s="581">
        <f t="shared" si="432"/>
        <v>-121.01460385989269</v>
      </c>
      <c r="AY521" s="299">
        <f t="shared" si="402"/>
        <v>58.985396140107312</v>
      </c>
      <c r="BB521" s="270">
        <f t="shared" si="435"/>
        <v>-52.256069805424666</v>
      </c>
      <c r="BC521" s="270">
        <f t="shared" si="436"/>
        <v>-55.258181437270594</v>
      </c>
      <c r="BD521" s="286"/>
      <c r="BE521" s="270">
        <f t="shared" si="433"/>
        <v>26.074444828514004</v>
      </c>
      <c r="BF521" s="581">
        <f t="shared" si="434"/>
        <v>-65.756422422622052</v>
      </c>
      <c r="BI521" s="286"/>
      <c r="BJ521" s="286"/>
      <c r="BL521" s="253">
        <f t="shared" si="403"/>
        <v>0</v>
      </c>
      <c r="BM521" s="253">
        <f t="shared" si="437"/>
        <v>0</v>
      </c>
      <c r="BN521" s="253">
        <f t="shared" si="404"/>
        <v>0</v>
      </c>
      <c r="BO521" s="253">
        <f t="shared" si="405"/>
        <v>0</v>
      </c>
    </row>
    <row r="522" spans="4:67" ht="13.6" thickBot="1" x14ac:dyDescent="0.25">
      <c r="D522" s="280">
        <v>72865.75</v>
      </c>
      <c r="E522" s="273" t="str">
        <f t="shared" si="384"/>
        <v>0.824092217633918i</v>
      </c>
      <c r="F522" s="579" t="str">
        <f t="shared" si="406"/>
        <v>0.002-0.0336034088172997i</v>
      </c>
      <c r="G522" s="270" t="str">
        <f t="shared" si="407"/>
        <v>0.002-0.0336034088172997i</v>
      </c>
      <c r="H522" s="271" t="str">
        <f t="shared" si="408"/>
        <v>0.00256074759407793-0.0335268570361228i</v>
      </c>
      <c r="I522" s="271" t="str">
        <f t="shared" si="409"/>
        <v>0.0125607475940779-0.0335268570361228i</v>
      </c>
      <c r="J522" s="270" t="str">
        <f t="shared" si="410"/>
        <v>0.00355990038248364-0.0171804771577029i</v>
      </c>
      <c r="K522" s="271" t="str">
        <f t="shared" si="385"/>
        <v>0.865927185599796-0.57516207260882i</v>
      </c>
      <c r="L522" s="580"/>
      <c r="M522" s="580" t="str">
        <f t="shared" si="386"/>
        <v>-0.0571185490051639-19.6676808264952i</v>
      </c>
      <c r="N522" s="270" t="str">
        <f t="shared" si="387"/>
        <v>-6.70950557842054-14.7507606198714i</v>
      </c>
      <c r="O522" s="581" t="str">
        <f t="shared" si="388"/>
        <v>-4.35895952158636-6.63821505249059i</v>
      </c>
      <c r="P522" s="582" t="str">
        <f t="shared" si="389"/>
        <v>-0.277310277363339+0.0627612689569294i</v>
      </c>
      <c r="Q522" s="583" t="str">
        <f t="shared" si="390"/>
        <v>-0.233720682147476+0.129143419481835i</v>
      </c>
      <c r="R522" s="581" t="str">
        <f t="shared" si="411"/>
        <v>-0.508714053709569-0.761082185111409i</v>
      </c>
      <c r="S522" s="253" t="str">
        <f t="shared" si="412"/>
        <v>41.8056549976798-27.1582808744704i</v>
      </c>
      <c r="T522" s="253" t="str">
        <f t="shared" si="413"/>
        <v>8.14455613530117-18.4081928507046i</v>
      </c>
      <c r="U522" s="253" t="str">
        <f t="shared" si="414"/>
        <v>-0.596312697470643-0.320200104724683i</v>
      </c>
      <c r="V522" s="582" t="str">
        <f t="shared" si="391"/>
        <v>6000</v>
      </c>
      <c r="W522" s="584" t="str">
        <f t="shared" si="392"/>
        <v>1+256422.703122931i</v>
      </c>
      <c r="X522" s="585">
        <f t="shared" si="393"/>
        <v>256422.70312488088</v>
      </c>
      <c r="Y522" s="586">
        <f t="shared" si="394"/>
        <v>1.570792426984202</v>
      </c>
      <c r="Z522" s="273" t="str">
        <f t="shared" si="395"/>
        <v>1+38.4576368229162i</v>
      </c>
      <c r="AA522" s="585">
        <f t="shared" si="396"/>
        <v>38.470635944877749</v>
      </c>
      <c r="AB522" s="586">
        <f t="shared" si="397"/>
        <v>1.5447995470932556</v>
      </c>
      <c r="AC522" s="584" t="str">
        <f t="shared" si="398"/>
        <v>1+1.8592520415994i</v>
      </c>
      <c r="AD522" s="585">
        <f t="shared" si="399"/>
        <v>2.1111177499589018</v>
      </c>
      <c r="AE522" s="586">
        <f t="shared" si="400"/>
        <v>1.0773286235507646</v>
      </c>
      <c r="AF522" s="580" t="str">
        <f t="shared" si="415"/>
        <v>0.192147675889169-0.380646313550068i</v>
      </c>
      <c r="AG522" s="270">
        <f t="shared" si="416"/>
        <v>0.4263945888128341</v>
      </c>
      <c r="AH522" s="581">
        <f t="shared" si="417"/>
        <v>-1.1033215034417101</v>
      </c>
      <c r="AI522" s="582" t="str">
        <f t="shared" si="401"/>
        <v>4000</v>
      </c>
      <c r="AJ522" s="584" t="str">
        <f t="shared" si="418"/>
        <v>1+20145.1814877264i</v>
      </c>
      <c r="AK522" s="585">
        <f t="shared" si="419"/>
        <v>20145.181512546231</v>
      </c>
      <c r="AL522" s="586">
        <f t="shared" si="420"/>
        <v>1.5707466871329363</v>
      </c>
      <c r="AM522" s="273" t="str">
        <f t="shared" si="421"/>
        <v>1+0.705056675086797i</v>
      </c>
      <c r="AN522" s="585">
        <f t="shared" si="422"/>
        <v>1.2235623870830818</v>
      </c>
      <c r="AO522" s="586">
        <f t="shared" si="423"/>
        <v>0.61411164999123957</v>
      </c>
      <c r="AP522" s="584" t="str">
        <f t="shared" si="424"/>
        <v>1+0.00510092298030686i</v>
      </c>
      <c r="AQ522" s="585">
        <f t="shared" si="425"/>
        <v>1.0000130096230004</v>
      </c>
      <c r="AR522" s="586">
        <f t="shared" si="426"/>
        <v>5.1008787399864598E-3</v>
      </c>
      <c r="AS522" s="580" t="str">
        <f t="shared" si="427"/>
        <v>0.138988542889915-0.199260668057813i</v>
      </c>
      <c r="AT522" s="270">
        <f t="shared" si="428"/>
        <v>0.24294573239616227</v>
      </c>
      <c r="AU522" s="581">
        <f t="shared" si="429"/>
        <v>-0.96173591588168506</v>
      </c>
      <c r="AV522" s="580" t="str">
        <f t="shared" si="430"/>
        <v>-0.0253602881543783-0.0418141759811045i</v>
      </c>
      <c r="AW522" s="270">
        <f t="shared" si="431"/>
        <v>-26.213169887007801</v>
      </c>
      <c r="AX522" s="581">
        <f t="shared" si="432"/>
        <v>-121.23680196114901</v>
      </c>
      <c r="AY522" s="299">
        <f t="shared" si="402"/>
        <v>58.763198038850987</v>
      </c>
      <c r="BB522" s="270">
        <f t="shared" si="435"/>
        <v>-52.289814507699774</v>
      </c>
      <c r="BC522" s="270">
        <f t="shared" si="436"/>
        <v>-55.103408986169306</v>
      </c>
      <c r="BD522" s="286"/>
      <c r="BE522" s="270">
        <f t="shared" si="433"/>
        <v>26.076644620691972</v>
      </c>
      <c r="BF522" s="581">
        <f t="shared" si="434"/>
        <v>-66.133392974979671</v>
      </c>
      <c r="BI522" s="286"/>
      <c r="BJ522" s="286"/>
      <c r="BL522" s="253">
        <f t="shared" si="403"/>
        <v>0</v>
      </c>
      <c r="BM522" s="253">
        <f t="shared" si="437"/>
        <v>0</v>
      </c>
      <c r="BN522" s="253">
        <f t="shared" si="404"/>
        <v>0</v>
      </c>
      <c r="BO522" s="253">
        <f t="shared" si="405"/>
        <v>0</v>
      </c>
    </row>
    <row r="523" spans="4:67" ht="13.6" thickBot="1" x14ac:dyDescent="0.25">
      <c r="D523" s="280">
        <v>73287.5</v>
      </c>
      <c r="E523" s="273" t="str">
        <f t="shared" si="384"/>
        <v>0.828862097759863i</v>
      </c>
      <c r="F523" s="579" t="str">
        <f t="shared" si="406"/>
        <v>0.002-0.0334100301692534i</v>
      </c>
      <c r="G523" s="270" t="str">
        <f t="shared" si="407"/>
        <v>0.002-0.0334100301692534i</v>
      </c>
      <c r="H523" s="271" t="str">
        <f t="shared" si="408"/>
        <v>0.00255429112723934-0.0333340266707715i</v>
      </c>
      <c r="I523" s="271" t="str">
        <f t="shared" si="409"/>
        <v>0.0125542911272393-0.0333340266707715i</v>
      </c>
      <c r="J523" s="270" t="str">
        <f t="shared" si="410"/>
        <v>0.00355745993371432-0.0170855446314977i</v>
      </c>
      <c r="K523" s="271" t="str">
        <f t="shared" si="385"/>
        <v>0.864370655886215-0.578491134673271i</v>
      </c>
      <c r="L523" s="580"/>
      <c r="M523" s="580" t="str">
        <f t="shared" si="386"/>
        <v>-0.0565187067586779-19.5518724226679i</v>
      </c>
      <c r="N523" s="270" t="str">
        <f t="shared" si="387"/>
        <v>-6.70905569673568-14.6639043170009i</v>
      </c>
      <c r="O523" s="581" t="str">
        <f t="shared" si="388"/>
        <v>-4.35627076724813-6.59140581014375i</v>
      </c>
      <c r="P523" s="582" t="str">
        <f t="shared" si="389"/>
        <v>-0.274407988514326+0.0624616184622302i</v>
      </c>
      <c r="Q523" s="583" t="str">
        <f t="shared" si="390"/>
        <v>-0.230845280841844+0.128375676563667i</v>
      </c>
      <c r="R523" s="581" t="str">
        <f t="shared" si="411"/>
        <v>-0.508618835304075-0.755236456779918i</v>
      </c>
      <c r="S523" s="253" t="str">
        <f t="shared" si="412"/>
        <v>41.6855525416685-27.2937976176495i</v>
      </c>
      <c r="T523" s="253" t="str">
        <f t="shared" si="413"/>
        <v>8.02536403661563-18.4659790709619i</v>
      </c>
      <c r="U523" s="253" t="str">
        <f t="shared" si="414"/>
        <v>-0.595046322701758-0.314685185335942i</v>
      </c>
      <c r="V523" s="582" t="str">
        <f t="shared" si="391"/>
        <v>6000</v>
      </c>
      <c r="W523" s="584" t="str">
        <f t="shared" si="392"/>
        <v>1+257906.888423187i</v>
      </c>
      <c r="X523" s="585">
        <f t="shared" si="393"/>
        <v>257906.88842512571</v>
      </c>
      <c r="Y523" s="586">
        <f t="shared" si="394"/>
        <v>1.5707924494265715</v>
      </c>
      <c r="Z523" s="273" t="str">
        <f t="shared" si="395"/>
        <v>1+38.6802312287936i</v>
      </c>
      <c r="AA523" s="585">
        <f t="shared" si="396"/>
        <v>38.693155569337321</v>
      </c>
      <c r="AB523" s="586">
        <f t="shared" si="397"/>
        <v>1.5449490848055436</v>
      </c>
      <c r="AC523" s="584" t="str">
        <f t="shared" si="398"/>
        <v>1+1.8700134699597i</v>
      </c>
      <c r="AD523" s="585">
        <f t="shared" si="399"/>
        <v>2.1206014188976479</v>
      </c>
      <c r="AE523" s="586">
        <f t="shared" si="400"/>
        <v>1.0797324263259955</v>
      </c>
      <c r="AF523" s="580" t="str">
        <f t="shared" si="415"/>
        <v>0.190432888333222-0.379372787148645i</v>
      </c>
      <c r="AG523" s="270">
        <f t="shared" si="416"/>
        <v>0.42448603815421837</v>
      </c>
      <c r="AH523" s="581">
        <f t="shared" si="417"/>
        <v>-1.1055757909470219</v>
      </c>
      <c r="AI523" s="582" t="str">
        <f t="shared" si="401"/>
        <v>4000</v>
      </c>
      <c r="AJ523" s="584" t="str">
        <f t="shared" si="418"/>
        <v>1+20261.7826383692i</v>
      </c>
      <c r="AK523" s="585">
        <f t="shared" si="419"/>
        <v>20261.7826630462</v>
      </c>
      <c r="AL523" s="586">
        <f t="shared" si="420"/>
        <v>1.5707469727959402</v>
      </c>
      <c r="AM523" s="273" t="str">
        <f t="shared" si="421"/>
        <v>1+0.709137572527883i</v>
      </c>
      <c r="AN523" s="585">
        <f t="shared" si="422"/>
        <v>1.2259184706866679</v>
      </c>
      <c r="AO523" s="586">
        <f t="shared" si="423"/>
        <v>0.61683227389556383</v>
      </c>
      <c r="AP523" s="584" t="str">
        <f t="shared" si="424"/>
        <v>1+0.00513044733526024i</v>
      </c>
      <c r="AQ523" s="585">
        <f t="shared" si="425"/>
        <v>1.0000131606583285</v>
      </c>
      <c r="AR523" s="586">
        <f t="shared" si="426"/>
        <v>5.1304023222986193E-3</v>
      </c>
      <c r="AS523" s="580" t="str">
        <f t="shared" si="427"/>
        <v>0.138988387797712-0.198122158790652i</v>
      </c>
      <c r="AT523" s="270">
        <f t="shared" si="428"/>
        <v>0.24201273054629896</v>
      </c>
      <c r="AU523" s="581">
        <f t="shared" si="429"/>
        <v>-0.95904510122267561</v>
      </c>
      <c r="AV523" s="580" t="str">
        <f t="shared" si="430"/>
        <v>-0.0254308722878303-0.0415655910819444i</v>
      </c>
      <c r="AW523" s="270">
        <f t="shared" si="431"/>
        <v>-26.244410632006513</v>
      </c>
      <c r="AX523" s="581">
        <f t="shared" si="432"/>
        <v>-121.45934162308373</v>
      </c>
      <c r="AY523" s="299">
        <f t="shared" si="402"/>
        <v>58.540658376916269</v>
      </c>
      <c r="BB523" s="270">
        <f t="shared" si="435"/>
        <v>-52.32323576629291</v>
      </c>
      <c r="BC523" s="270">
        <f t="shared" si="436"/>
        <v>-54.949236662756135</v>
      </c>
      <c r="BD523" s="286"/>
      <c r="BE523" s="270">
        <f t="shared" si="433"/>
        <v>26.078825134286387</v>
      </c>
      <c r="BF523" s="581">
        <f t="shared" si="434"/>
        <v>-66.510104960327567</v>
      </c>
      <c r="BI523" s="286"/>
      <c r="BJ523" s="286"/>
      <c r="BL523" s="253">
        <f t="shared" si="403"/>
        <v>0</v>
      </c>
      <c r="BM523" s="253">
        <f t="shared" si="437"/>
        <v>0</v>
      </c>
      <c r="BN523" s="253">
        <f t="shared" si="404"/>
        <v>0</v>
      </c>
      <c r="BO523" s="253">
        <f t="shared" si="405"/>
        <v>0</v>
      </c>
    </row>
    <row r="524" spans="4:67" ht="13.6" thickBot="1" x14ac:dyDescent="0.25">
      <c r="D524" s="280">
        <v>73709.25</v>
      </c>
      <c r="E524" s="273" t="str">
        <f t="shared" si="384"/>
        <v>0.833631977885809i</v>
      </c>
      <c r="F524" s="579" t="str">
        <f t="shared" si="406"/>
        <v>0.002-0.0332188644712728i</v>
      </c>
      <c r="G524" s="270" t="str">
        <f t="shared" si="407"/>
        <v>0.002-0.0332188644712728i</v>
      </c>
      <c r="H524" s="271" t="str">
        <f t="shared" si="408"/>
        <v>0.00254794513029829-0.0331434011481428i</v>
      </c>
      <c r="I524" s="271" t="str">
        <f t="shared" si="409"/>
        <v>0.0125479451302983-0.0331434011481428i</v>
      </c>
      <c r="J524" s="270" t="str">
        <f t="shared" si="410"/>
        <v>0.00355504325594525-0.0169917169688976i</v>
      </c>
      <c r="K524" s="271" t="str">
        <f t="shared" si="385"/>
        <v>0.86280514291148-0.581820196737722i</v>
      </c>
      <c r="L524" s="580"/>
      <c r="M524" s="580" t="str">
        <f t="shared" si="386"/>
        <v>-0.0559286052556133-19.4374344933584i</v>
      </c>
      <c r="N524" s="270" t="str">
        <f t="shared" si="387"/>
        <v>-6.70861312060838-14.5780758700188i</v>
      </c>
      <c r="O524" s="581" t="str">
        <f t="shared" si="388"/>
        <v>-4.35359309446474-6.54511287864029i</v>
      </c>
      <c r="P524" s="582" t="str">
        <f t="shared" si="389"/>
        <v>-0.27155594896564+0.062165165092842i</v>
      </c>
      <c r="Q524" s="583" t="str">
        <f t="shared" si="390"/>
        <v>-0.228020018020993+0.127616293879245i</v>
      </c>
      <c r="R524" s="581" t="str">
        <f t="shared" si="411"/>
        <v>-0.508525232040294-0.749451922357174i</v>
      </c>
      <c r="S524" s="253" t="str">
        <f t="shared" si="412"/>
        <v>41.5648190322412-27.4286846934376i</v>
      </c>
      <c r="T524" s="253" t="str">
        <f t="shared" si="413"/>
        <v>7.90583042409234-18.5229169310713i</v>
      </c>
      <c r="U524" s="253" t="str">
        <f t="shared" si="414"/>
        <v>-0.593768844150191-0.309221485148328i</v>
      </c>
      <c r="V524" s="582" t="str">
        <f t="shared" si="391"/>
        <v>6000</v>
      </c>
      <c r="W524" s="584" t="str">
        <f t="shared" si="392"/>
        <v>1+259391.073723442i</v>
      </c>
      <c r="X524" s="585">
        <f t="shared" si="393"/>
        <v>259391.07372536958</v>
      </c>
      <c r="Y524" s="586">
        <f t="shared" si="394"/>
        <v>1.5707924716121193</v>
      </c>
      <c r="Z524" s="273" t="str">
        <f t="shared" si="395"/>
        <v>1+38.9028256346711i</v>
      </c>
      <c r="AA524" s="585">
        <f t="shared" si="396"/>
        <v>38.915676049140188</v>
      </c>
      <c r="AB524" s="586">
        <f t="shared" si="397"/>
        <v>1.5450969124028777</v>
      </c>
      <c r="AC524" s="584" t="str">
        <f t="shared" si="398"/>
        <v>1+1.88077489832i</v>
      </c>
      <c r="AD524" s="585">
        <f t="shared" si="399"/>
        <v>2.1300972320883869</v>
      </c>
      <c r="AE524" s="586">
        <f t="shared" si="400"/>
        <v>1.0821148108214265</v>
      </c>
      <c r="AF524" s="580" t="str">
        <f t="shared" si="415"/>
        <v>0.188738801621143-0.378102827947281i</v>
      </c>
      <c r="AG524" s="270">
        <f t="shared" si="416"/>
        <v>0.42259210089531535</v>
      </c>
      <c r="AH524" s="581">
        <f t="shared" si="417"/>
        <v>-1.1078103700306685</v>
      </c>
      <c r="AI524" s="582" t="str">
        <f t="shared" si="401"/>
        <v>4000</v>
      </c>
      <c r="AJ524" s="584" t="str">
        <f t="shared" si="418"/>
        <v>1+20378.383789012i</v>
      </c>
      <c r="AK524" s="585">
        <f t="shared" si="419"/>
        <v>20378.3838135478</v>
      </c>
      <c r="AL524" s="586">
        <f t="shared" si="420"/>
        <v>1.5707472551899277</v>
      </c>
      <c r="AM524" s="273" t="str">
        <f t="shared" si="421"/>
        <v>1+0.71321846996897i</v>
      </c>
      <c r="AN524" s="585">
        <f t="shared" si="422"/>
        <v>1.2282835934363361</v>
      </c>
      <c r="AO524" s="586">
        <f t="shared" si="423"/>
        <v>0.61954244039539419</v>
      </c>
      <c r="AP524" s="584" t="str">
        <f t="shared" si="424"/>
        <v>1+0.00515997169021362i</v>
      </c>
      <c r="AQ524" s="585">
        <f t="shared" si="425"/>
        <v>1.0000133125653097</v>
      </c>
      <c r="AR524" s="586">
        <f t="shared" si="426"/>
        <v>5.1599258956669548E-3</v>
      </c>
      <c r="AS524" s="580" t="str">
        <f t="shared" si="427"/>
        <v>0.138988234399292-0.196996725130688i</v>
      </c>
      <c r="AT524" s="270">
        <f t="shared" si="428"/>
        <v>0.24109217949499809</v>
      </c>
      <c r="AU524" s="581">
        <f t="shared" si="429"/>
        <v>-0.95636474069020228</v>
      </c>
      <c r="AV524" s="580" t="str">
        <f t="shared" si="430"/>
        <v>-0.0255013656318402-0.041318902231591i</v>
      </c>
      <c r="AW524" s="270">
        <f t="shared" si="431"/>
        <v>-26.275351583716674</v>
      </c>
      <c r="AX524" s="581">
        <f t="shared" si="432"/>
        <v>-121.68222108638849</v>
      </c>
      <c r="AY524" s="299">
        <f t="shared" si="402"/>
        <v>58.317778913611505</v>
      </c>
      <c r="BB524" s="270">
        <f t="shared" si="435"/>
        <v>-52.356337539216035</v>
      </c>
      <c r="BC524" s="270">
        <f t="shared" si="436"/>
        <v>-54.795663316671977</v>
      </c>
      <c r="BD524" s="286"/>
      <c r="BE524" s="270">
        <f t="shared" si="433"/>
        <v>26.080985955499361</v>
      </c>
      <c r="BF524" s="581">
        <f t="shared" si="434"/>
        <v>-66.886557769716504</v>
      </c>
      <c r="BI524" s="286"/>
      <c r="BJ524" s="286"/>
      <c r="BL524" s="253">
        <f t="shared" si="403"/>
        <v>0</v>
      </c>
      <c r="BM524" s="253">
        <f t="shared" si="437"/>
        <v>0</v>
      </c>
      <c r="BN524" s="253">
        <f t="shared" si="404"/>
        <v>0</v>
      </c>
      <c r="BO524" s="253">
        <f t="shared" si="405"/>
        <v>0</v>
      </c>
    </row>
    <row r="525" spans="4:67" ht="13.6" thickBot="1" x14ac:dyDescent="0.25">
      <c r="D525" s="280">
        <v>74131</v>
      </c>
      <c r="E525" s="273" t="str">
        <f t="shared" ref="E525:E588" si="438">COMPLEX(0,2*PI()*D525*Lf)</f>
        <v>0.838401858011754i</v>
      </c>
      <c r="F525" s="579" t="str">
        <f t="shared" si="406"/>
        <v>0.002-0.0330298739532606i</v>
      </c>
      <c r="G525" s="270" t="str">
        <f t="shared" si="407"/>
        <v>0.002-0.0330298739532606i</v>
      </c>
      <c r="H525" s="271" t="str">
        <f t="shared" si="408"/>
        <v>0.0025417070975986-0.0329549428778529i</v>
      </c>
      <c r="I525" s="271" t="str">
        <f t="shared" si="409"/>
        <v>0.0125417070975986-0.0329549428778529i</v>
      </c>
      <c r="J525" s="270" t="str">
        <f t="shared" si="410"/>
        <v>0.00355264973298712-0.0168989752580303i</v>
      </c>
      <c r="K525" s="271" t="str">
        <f t="shared" ref="K525:K588" si="439">IMSUM(COMPLEX(1,0),COMPLEX(0,2*PI()*D525/(Fsw*PI()*(-2)/PI())),IMPRODUCT(COMPLEX(0,2*PI()*D525/(Fsw*PI())),COMPLEX(0,2*PI()*D525/(Fsw*PI()))))</f>
        <v>0.861230646675589-0.585149258802173i</v>
      </c>
      <c r="L525" s="580"/>
      <c r="M525" s="580" t="str">
        <f t="shared" ref="M525:M588" si="440">IF(Vin&gt;=Vout,IMDIV(COMPLEX(Vin,0),IMSUM(E525,J525)),IMDIV(IMSUM(COMPLEX(Vout,0),IMPRODUCT(J525,COMPLEX($B$4,0))),IMSUM(E525,IMPRODUCT(J525,COMPLEX((1-$B$11)^2,0)))))</f>
        <v>-0.0553480376204823-19.3243426078797i</v>
      </c>
      <c r="N525" s="270" t="str">
        <f t="shared" ref="N525:N588" si="441">IF(Vin&gt;=Vout,0,IMSUB(IMPRODUCT(M525,COMPLEX(1-$B$11,0)),COMPLEX($B$4/(1-$B$11),0)))</f>
        <v>-6.70817769488203-14.4932569559098i</v>
      </c>
      <c r="O525" s="581" t="str">
        <f t="shared" ref="O525:O588" si="442">IMDIV(IF(Vin&gt;=Vout,M525,N525),IMPRODUCT(I525,IMSUM(IMDIV(COMPLEX(1,0),F525),IMDIV(COMPLEX(1,0),I525))))</f>
        <v>-4.35092610138502-6.49932717012299i</v>
      </c>
      <c r="P525" s="582" t="str">
        <f t="shared" ref="P525:P588" si="443">IF(Vin&gt;=Vout,IMDIV(IMPRODUCT(COMPLEX(Vin,0),J525),IMSUM(J525,E525)),IMPRODUCT(N525,J525))</f>
        <v>-0.268752996402748+0.0618718634377555i</v>
      </c>
      <c r="Q525" s="583" t="str">
        <f t="shared" ref="Q525:Q588" si="444">IF(Vin&gt;=Vout,IMDIV(IMPRODUCT(P525,H525),IMSUM(COMPLEX($B$15,0),H525)),IMPRODUCT(O525,H525))</f>
        <v>-0.225243735388898+0.126865135138986i</v>
      </c>
      <c r="R525" s="581" t="str">
        <f t="shared" si="411"/>
        <v>-0.508433207362732-0.743727490716926i</v>
      </c>
      <c r="S525" s="253" t="str">
        <f t="shared" si="412"/>
        <v>41.4434571963493-27.5629383008393i</v>
      </c>
      <c r="T525" s="253" t="str">
        <f t="shared" si="413"/>
        <v>7.78596168331402-18.5790038512224i</v>
      </c>
      <c r="U525" s="253" t="str">
        <f t="shared" si="414"/>
        <v>-0.592480376572334-0.303808308477728i</v>
      </c>
      <c r="V525" s="582" t="str">
        <f t="shared" ref="V525:V588" si="445">COMPLEX(AEA,0)</f>
        <v>6000</v>
      </c>
      <c r="W525" s="584" t="str">
        <f t="shared" ref="W525:W588" si="446">IMSUM(COMPLEX(1,0),IMDIV(COMPLEX(0,2*PI()*D525),COMPLEX(2*PI()*EA_Pole1,0)))</f>
        <v>1+260875.259023698i</v>
      </c>
      <c r="X525" s="585">
        <f t="shared" ref="X525:X588" si="447">IMABS(W525)</f>
        <v>260875.25902561465</v>
      </c>
      <c r="Y525" s="586">
        <f t="shared" ref="Y525:Y588" si="448">IMARGUMENT(W525)</f>
        <v>1.5707924935452289</v>
      </c>
      <c r="Z525" s="273" t="str">
        <f t="shared" ref="Z525:Z588" si="449">IMSUM(COMPLEX(1,0),IMDIV(COMPLEX(0,2*PI()*D525),COMPLEX(2*PI()*EA_Zero1,0)))</f>
        <v>1+39.1254200405485i</v>
      </c>
      <c r="AA525" s="585">
        <f t="shared" ref="AA525:AA588" si="450">IMABS(Z525)</f>
        <v>39.138197369696961</v>
      </c>
      <c r="AB525" s="586">
        <f t="shared" ref="AB525:AB588" si="451">IMARGUMENT(Z525)</f>
        <v>1.5452430590474611</v>
      </c>
      <c r="AC525" s="584" t="str">
        <f t="shared" ref="AC525:AC588" si="452">IMSUM(COMPLEX(1,0),IMDIV(COMPLEX(0,2*PI()*D525),COMPLEX(2*PI()*EA_Pole2,0)))</f>
        <v>1+1.8915363266803i</v>
      </c>
      <c r="AD525" s="585">
        <f t="shared" ref="AD525:AD588" si="453">IMABS(AC525)</f>
        <v>2.1396050278383631</v>
      </c>
      <c r="AE525" s="586">
        <f t="shared" ref="AE525:AE588" si="454">IMARGUMENT(AC525)</f>
        <v>1.0844760353423639</v>
      </c>
      <c r="AF525" s="580" t="str">
        <f t="shared" si="415"/>
        <v>0.187065125323249-0.376836528603334i</v>
      </c>
      <c r="AG525" s="270">
        <f t="shared" si="416"/>
        <v>0.42071264587841217</v>
      </c>
      <c r="AH525" s="581">
        <f t="shared" si="417"/>
        <v>-1.1100254698401313</v>
      </c>
      <c r="AI525" s="582" t="str">
        <f t="shared" ref="AI525:AI588" si="455">COMPLEX(AIL,0)</f>
        <v>4000</v>
      </c>
      <c r="AJ525" s="584" t="str">
        <f t="shared" si="418"/>
        <v>1+20494.9849396547i</v>
      </c>
      <c r="AK525" s="585">
        <f t="shared" si="419"/>
        <v>20494.984964050909</v>
      </c>
      <c r="AL525" s="586">
        <f t="shared" si="420"/>
        <v>1.5707475343706938</v>
      </c>
      <c r="AM525" s="273" t="str">
        <f t="shared" si="421"/>
        <v>1+0.717299367410057i</v>
      </c>
      <c r="AN525" s="585">
        <f t="shared" si="422"/>
        <v>1.2306577032168076</v>
      </c>
      <c r="AO525" s="586">
        <f t="shared" si="423"/>
        <v>0.62224217008532212</v>
      </c>
      <c r="AP525" s="584" t="str">
        <f t="shared" si="424"/>
        <v>1+0.00518949604516701i</v>
      </c>
      <c r="AQ525" s="585">
        <f t="shared" si="425"/>
        <v>1.0000134653439436</v>
      </c>
      <c r="AR525" s="586">
        <f t="shared" si="426"/>
        <v>5.1894494600400144E-3</v>
      </c>
      <c r="AS525" s="580" t="str">
        <f t="shared" si="427"/>
        <v>0.138988082650725-0.195884143906535i</v>
      </c>
      <c r="AT525" s="270">
        <f t="shared" si="428"/>
        <v>0.24018385656184488</v>
      </c>
      <c r="AU525" s="581">
        <f t="shared" si="429"/>
        <v>-0.95369481374541198</v>
      </c>
      <c r="AV525" s="580" t="str">
        <f t="shared" si="430"/>
        <v>-0.0255717637807709-0.0410740656166689i</v>
      </c>
      <c r="AW525" s="270">
        <f t="shared" si="431"/>
        <v>-26.30599705129406</v>
      </c>
      <c r="AX525" s="581">
        <f t="shared" si="432"/>
        <v>-121.90543854587929</v>
      </c>
      <c r="AY525" s="299">
        <f t="shared" ref="AY525:AY588" si="456">IF(AX525&gt;0,AX525-180,AX525+180)</f>
        <v>58.094561454120708</v>
      </c>
      <c r="BB525" s="270">
        <f t="shared" si="435"/>
        <v>-52.389123722319148</v>
      </c>
      <c r="BC525" s="270">
        <f t="shared" si="436"/>
        <v>-54.642687771127228</v>
      </c>
      <c r="BD525" s="286"/>
      <c r="BE525" s="270">
        <f t="shared" si="433"/>
        <v>26.083126671025077</v>
      </c>
      <c r="BF525" s="581">
        <f t="shared" si="434"/>
        <v>-67.262750774752078</v>
      </c>
      <c r="BI525" s="286"/>
      <c r="BJ525" s="286"/>
      <c r="BL525" s="253">
        <f t="shared" ref="BL525:BL588" si="457">SUM((AW526&lt;0)*(AW525&gt;0))*D525</f>
        <v>0</v>
      </c>
      <c r="BM525" s="253">
        <f t="shared" si="437"/>
        <v>0</v>
      </c>
      <c r="BN525" s="253">
        <f t="shared" ref="BN525:BN588" si="458">SUM((BB526&lt;0)*(BB525&gt;0))*D525</f>
        <v>0</v>
      </c>
      <c r="BO525" s="253">
        <f t="shared" ref="BO525:BO588" si="459">IF(BN525&gt;0,BC525,0)</f>
        <v>0</v>
      </c>
    </row>
    <row r="526" spans="4:67" ht="13.6" thickBot="1" x14ac:dyDescent="0.25">
      <c r="D526" s="280">
        <v>74562.75</v>
      </c>
      <c r="E526" s="273" t="str">
        <f t="shared" si="438"/>
        <v>0.843284835473229i</v>
      </c>
      <c r="F526" s="579" t="str">
        <f t="shared" ref="F526:F589" si="460">IMSUM(COMPLEX($B$8,0),IMDIV(COMPLEX(1,0),COMPLEX(0,2*PI()*D526*$B$6)))</f>
        <v>0.002-0.0328386169505438i</v>
      </c>
      <c r="G526" s="270" t="str">
        <f t="shared" ref="G526:G589" si="461">IMSUM(COMPLEX($B$9,0),IMDIV(COMPLEX(1,0),COMPLEX(0,2*PI()*D526*$B$7)))</f>
        <v>0.002-0.0328386169505438i</v>
      </c>
      <c r="H526" s="271" t="str">
        <f t="shared" ref="H526:H589" si="462">IMDIV(COMPLEX(1,0),IMSUM(IMDIV(COMPLEX(1,0),COMPLEX($B$5,0)), IMDIV(COMPLEX(1,0),G526)))</f>
        <v>0.00253543044923076-0.0327642227131671i</v>
      </c>
      <c r="I526" s="271" t="str">
        <f t="shared" ref="I526:I589" si="463">IMSUM(H526,COMPLEX($B$15,0))</f>
        <v>0.0125354304492308-0.0327642227131671i</v>
      </c>
      <c r="J526" s="270" t="str">
        <f t="shared" ref="J526:J589" si="464">IMDIV(COMPLEX(1,0),IMSUM(IMDIV(COMPLEX(1,0),F526),IMDIV(COMPLEX(1,0),IMSUM(COMPLEX($B$15,0),H526))))</f>
        <v>0.0035502228180412-0.016805140158015i</v>
      </c>
      <c r="K526" s="271" t="str">
        <f t="shared" si="439"/>
        <v>0.859609512700121-0.588557255355408i</v>
      </c>
      <c r="L526" s="580"/>
      <c r="M526" s="580" t="str">
        <f t="shared" si="440"/>
        <v>-0.0547633695545183-19.2099386324024i</v>
      </c>
      <c r="N526" s="270" t="str">
        <f t="shared" si="441"/>
        <v>-6.70773919383256-14.4074539743018i</v>
      </c>
      <c r="O526" s="581" t="str">
        <f t="shared" si="442"/>
        <v>-4.34820652769448-6.45297199466094i</v>
      </c>
      <c r="P526" s="582" t="str">
        <f t="shared" si="443"/>
        <v>-0.265933252101706+0.0615748254463221i</v>
      </c>
      <c r="Q526" s="583" t="str">
        <f t="shared" si="444"/>
        <v>-0.222451186824762+0.126104545392932i</v>
      </c>
      <c r="R526" s="581" t="str">
        <f t="shared" ref="R526:R589" si="465">IMPRODUCT(M526,COMPLEX($B$29,0),K526,COMPLEX($B$34,0))</f>
        <v>-0.508340598799362-0.737928474087513i</v>
      </c>
      <c r="S526" s="253" t="str">
        <f t="shared" ref="S526:S589" si="466">IMDIV(IMPRODUCT(COMPLEX($B$34,0),M526),IMSUM(COMPLEX(1,0),R526))</f>
        <v>41.3185698287242-27.6997149992943i</v>
      </c>
      <c r="T526" s="253" t="str">
        <f t="shared" ref="T526:T589" si="467">IMDIV(IMPRODUCT(COMPLEX($B$34,0),O526),IMSUM(COMPLEX(1,0),R526))</f>
        <v>7.66291032889279-18.6355365446485i</v>
      </c>
      <c r="U526" s="253" t="str">
        <f t="shared" ref="U526:U589" si="468">IMDIV(IMPRODUCT(COMPLEX($B$34,0),Q526),IMSUM(COMPLEX(1,0),R526))</f>
        <v>-0.591150093550629-0.298318407439927i</v>
      </c>
      <c r="V526" s="582" t="str">
        <f t="shared" si="445"/>
        <v>6000</v>
      </c>
      <c r="W526" s="584" t="str">
        <f t="shared" si="446"/>
        <v>1+262394.63543955i</v>
      </c>
      <c r="X526" s="585">
        <f t="shared" si="447"/>
        <v>262394.63544145552</v>
      </c>
      <c r="Y526" s="586">
        <f t="shared" si="448"/>
        <v>1.5707925157413729</v>
      </c>
      <c r="Z526" s="273" t="str">
        <f t="shared" si="449"/>
        <v>1+39.353292322084i</v>
      </c>
      <c r="AA526" s="585">
        <f t="shared" si="450"/>
        <v>39.365995689013069</v>
      </c>
      <c r="AB526" s="586">
        <f t="shared" si="451"/>
        <v>1.5453909594795046</v>
      </c>
      <c r="AC526" s="584" t="str">
        <f t="shared" si="452"/>
        <v>1+1.90255291635323i</v>
      </c>
      <c r="AD526" s="585">
        <f t="shared" si="453"/>
        <v>2.1493505064377425</v>
      </c>
      <c r="AE526" s="586">
        <f t="shared" si="454"/>
        <v>1.0868715935916475</v>
      </c>
      <c r="AF526" s="580" t="str">
        <f t="shared" ref="AF526:AF589" si="469">IMPRODUCT(V526,IMDIV(Z526,IMPRODUCT(W526,AC526)))</f>
        <v>0.185372608034971-0.375544087737236i</v>
      </c>
      <c r="AG526" s="270">
        <f t="shared" ref="AG526:AG589" si="470">IMABS(AF526)</f>
        <v>0.41880349287473689</v>
      </c>
      <c r="AH526" s="581">
        <f t="shared" ref="AH526:AH589" si="471">IMARGUMENT(AF526)</f>
        <v>-1.1122731498535163</v>
      </c>
      <c r="AI526" s="582" t="str">
        <f t="shared" si="455"/>
        <v>4000</v>
      </c>
      <c r="AJ526" s="584" t="str">
        <f t="shared" ref="AJ526:AJ589" si="472">IMSUM(COMPLEX(1,0),IMDIV(COMPLEX(0,2*PI()*D526),COMPLEX(2*PI()*IL_Pole1,0)))</f>
        <v>1+20614.3507885937i</v>
      </c>
      <c r="AK526" s="585">
        <f t="shared" ref="AK526:AK589" si="473">IMABS(AJ526)</f>
        <v>20614.350812848643</v>
      </c>
      <c r="AL526" s="586">
        <f t="shared" ref="AL526:AL589" si="474">IMARGUMENT(AJ526)</f>
        <v>1.5707478168995586</v>
      </c>
      <c r="AM526" s="273" t="str">
        <f t="shared" ref="AM526:AM589" si="475">IMSUM(COMPLEX(1,0),IMDIV(COMPLEX(0,2*PI()*D526),COMPLEX(2*PI()*IL_Zero1,0)))</f>
        <v>1+0.721477025904874i</v>
      </c>
      <c r="AN526" s="585">
        <f t="shared" ref="AN526:AN589" si="476">IMABS(AM526)</f>
        <v>1.2330973598660173</v>
      </c>
      <c r="AO526" s="586">
        <f t="shared" ref="AO526:AO589" si="477">IMARGUMENT(AM526)</f>
        <v>0.62499512336860463</v>
      </c>
      <c r="AP526" s="584" t="str">
        <f t="shared" ref="AP526:AP589" si="478">IMSUM(COMPLEX(1,0),IMDIV(COMPLEX(0,2*PI()*D526),COMPLEX(2*PI()*IL_Pole2,0)))</f>
        <v>1+0.00521972044410269i</v>
      </c>
      <c r="AQ526" s="585">
        <f t="shared" ref="AQ526:AQ589" si="479">IMABS(AP526)</f>
        <v>1.000013622647969</v>
      </c>
      <c r="AR526" s="586">
        <f t="shared" ref="AR526:AR589" si="480">IMARGUMENT(AP526)</f>
        <v>5.2196730402786547E-3</v>
      </c>
      <c r="AS526" s="580" t="str">
        <f t="shared" ref="AS526:AS589" si="481">IMPRODUCT(AI526,IMDIV(AM526,IMPRODUCT(AJ526,AP526)))</f>
        <v>0.138987928968516-0.194758268034283i</v>
      </c>
      <c r="AT526" s="270">
        <f t="shared" ref="AT526:AT589" si="482">IMABS(AS526)</f>
        <v>0.23926643593841337</v>
      </c>
      <c r="AU526" s="581">
        <f t="shared" ref="AU526:AU589" si="483">IMARGUMENT(AS526)</f>
        <v>-0.95097236657123119</v>
      </c>
      <c r="AV526" s="580" t="str">
        <f t="shared" ref="AV526:AV589" si="484">IMPRODUCT(T526,AS526,COMPLEX($B$15,0))</f>
        <v>-0.0256437278484107-0.0408252977331497i</v>
      </c>
      <c r="AW526" s="270">
        <f t="shared" ref="AW526:AW589" si="485">20*LOG10(IMABS(AV526))</f>
        <v>-26.337067503259032</v>
      </c>
      <c r="AX526" s="581">
        <f t="shared" ref="AX526:AX589" si="486">(180/PI())*IMARGUMENT(AV526)</f>
        <v>-122.13429683461992</v>
      </c>
      <c r="AY526" s="299">
        <f t="shared" si="456"/>
        <v>57.865703165380083</v>
      </c>
      <c r="BB526" s="270">
        <f t="shared" si="435"/>
        <v>-52.422364390379911</v>
      </c>
      <c r="BC526" s="270">
        <f t="shared" si="436"/>
        <v>-54.486703038099364</v>
      </c>
      <c r="BD526" s="286"/>
      <c r="BE526" s="270">
        <f t="shared" ref="BE526:BE589" si="487">20*LOG10(IMABS(T526))</f>
        <v>26.085296887120876</v>
      </c>
      <c r="BF526" s="581">
        <f t="shared" ref="BF526:BF589" si="488">180/PI()*IMARGUMENT(T526)</f>
        <v>-67.647593796520553</v>
      </c>
      <c r="BI526" s="286"/>
      <c r="BJ526" s="286"/>
      <c r="BL526" s="253">
        <f t="shared" si="457"/>
        <v>0</v>
      </c>
      <c r="BM526" s="253">
        <f t="shared" si="437"/>
        <v>0</v>
      </c>
      <c r="BN526" s="253">
        <f t="shared" si="458"/>
        <v>0</v>
      </c>
      <c r="BO526" s="253">
        <f t="shared" si="459"/>
        <v>0</v>
      </c>
    </row>
    <row r="527" spans="4:67" ht="13.6" thickBot="1" x14ac:dyDescent="0.25">
      <c r="D527" s="280">
        <v>74994.5</v>
      </c>
      <c r="E527" s="273" t="str">
        <f t="shared" si="438"/>
        <v>0.848167812934703i</v>
      </c>
      <c r="F527" s="579" t="str">
        <f t="shared" si="460"/>
        <v>0.002-0.0326495621149438i</v>
      </c>
      <c r="G527" s="270" t="str">
        <f t="shared" si="461"/>
        <v>0.002-0.0326495621149438i</v>
      </c>
      <c r="H527" s="271" t="str">
        <f t="shared" si="462"/>
        <v>0.00252926185574402-0.0325756967721396i</v>
      </c>
      <c r="I527" s="271" t="str">
        <f t="shared" si="463"/>
        <v>0.012529261855744-0.0325756967721396i</v>
      </c>
      <c r="J527" s="270" t="str">
        <f t="shared" si="464"/>
        <v>0.00354781891854002-0.0167124043686725i</v>
      </c>
      <c r="K527" s="271" t="str">
        <f t="shared" si="439"/>
        <v>0.857978964413777-0.591965251908643i</v>
      </c>
      <c r="L527" s="580"/>
      <c r="M527" s="580" t="str">
        <f t="shared" si="440"/>
        <v>-0.0541882710452427-19.0968953272644i</v>
      </c>
      <c r="N527" s="270" t="str">
        <f t="shared" si="441"/>
        <v>-6.7073078699506-14.3226714954483i</v>
      </c>
      <c r="O527" s="581" t="str">
        <f t="shared" si="442"/>
        <v>-4.34549733242463-6.40712979721109i</v>
      </c>
      <c r="P527" s="582" t="str">
        <f t="shared" si="443"/>
        <v>-0.263162591425074+0.0612809964522085i</v>
      </c>
      <c r="Q527" s="583" t="str">
        <f t="shared" si="444"/>
        <v>-0.219707618100828+0.125352294424319i</v>
      </c>
      <c r="R527" s="581" t="str">
        <f t="shared" si="465"/>
        <v>-0.508249570297639-0.732190212826669i</v>
      </c>
      <c r="S527" s="253" t="str">
        <f t="shared" si="466"/>
        <v>41.1930299188835-27.8358197272912i</v>
      </c>
      <c r="T527" s="253" t="str">
        <f t="shared" si="467"/>
        <v>7.53952141931095-18.691172145228i</v>
      </c>
      <c r="U527" s="253" t="str">
        <f t="shared" si="468"/>
        <v>-0.589808532182382-0.292880032308595i</v>
      </c>
      <c r="V527" s="582" t="str">
        <f t="shared" si="445"/>
        <v>6000</v>
      </c>
      <c r="W527" s="584" t="str">
        <f t="shared" si="446"/>
        <v>1+263914.0118554i</v>
      </c>
      <c r="X527" s="585">
        <f t="shared" si="447"/>
        <v>263914.01185729454</v>
      </c>
      <c r="Y527" s="586">
        <f t="shared" si="448"/>
        <v>1.5707925376819467</v>
      </c>
      <c r="Z527" s="273" t="str">
        <f t="shared" si="449"/>
        <v>1+39.5811646036195i</v>
      </c>
      <c r="AA527" s="585">
        <f t="shared" si="450"/>
        <v>39.593794859533496</v>
      </c>
      <c r="AB527" s="586">
        <f t="shared" si="451"/>
        <v>1.5455371580522967</v>
      </c>
      <c r="AC527" s="584" t="str">
        <f t="shared" si="452"/>
        <v>1+1.91356950602616i</v>
      </c>
      <c r="AD527" s="585">
        <f t="shared" si="453"/>
        <v>2.1591082081251054</v>
      </c>
      <c r="AE527" s="586">
        <f t="shared" si="454"/>
        <v>1.089245512771424</v>
      </c>
      <c r="AF527" s="580" t="str">
        <f t="shared" si="469"/>
        <v>0.183700877514219-0.374255665450752i</v>
      </c>
      <c r="AG527" s="270">
        <f t="shared" si="470"/>
        <v>0.41690924134813717</v>
      </c>
      <c r="AH527" s="581">
        <f t="shared" si="471"/>
        <v>-1.1145008924010738</v>
      </c>
      <c r="AI527" s="582" t="str">
        <f t="shared" si="455"/>
        <v>4000</v>
      </c>
      <c r="AJ527" s="584" t="str">
        <f t="shared" si="472"/>
        <v>1+20733.7166375327i</v>
      </c>
      <c r="AK527" s="585">
        <f t="shared" si="473"/>
        <v>20733.71666164801</v>
      </c>
      <c r="AL527" s="586">
        <f t="shared" si="474"/>
        <v>1.570748096175336</v>
      </c>
      <c r="AM527" s="273" t="str">
        <f t="shared" si="475"/>
        <v>1+0.72565468439969i</v>
      </c>
      <c r="AN527" s="585">
        <f t="shared" si="476"/>
        <v>1.235546324907008</v>
      </c>
      <c r="AO527" s="586">
        <f t="shared" si="477"/>
        <v>0.62773718415788715</v>
      </c>
      <c r="AP527" s="584" t="str">
        <f t="shared" si="478"/>
        <v>1+0.00524994484303836i</v>
      </c>
      <c r="AQ527" s="585">
        <f t="shared" si="479"/>
        <v>1.0000137808654714</v>
      </c>
      <c r="AR527" s="586">
        <f t="shared" si="480"/>
        <v>5.2498966109812261E-3</v>
      </c>
      <c r="AS527" s="580" t="str">
        <f t="shared" si="481"/>
        <v>0.138987776926082-0.193645404056008i</v>
      </c>
      <c r="AT527" s="270">
        <f t="shared" si="482"/>
        <v>0.23836137406649788</v>
      </c>
      <c r="AU527" s="581">
        <f t="shared" si="483"/>
        <v>-0.94826080862843154</v>
      </c>
      <c r="AV527" s="580" t="str">
        <f t="shared" si="484"/>
        <v>-0.0257155826118647-0.0405783813623934i</v>
      </c>
      <c r="AW527" s="270">
        <f t="shared" si="485"/>
        <v>-26.367837235777912</v>
      </c>
      <c r="AX527" s="581">
        <f t="shared" si="486"/>
        <v>-122.3635053661158</v>
      </c>
      <c r="AY527" s="299">
        <f t="shared" si="456"/>
        <v>57.636494633884197</v>
      </c>
      <c r="BB527" s="270">
        <f t="shared" si="435"/>
        <v>-52.455282393810791</v>
      </c>
      <c r="BC527" s="270">
        <f t="shared" si="436"/>
        <v>-54.331342212071768</v>
      </c>
      <c r="BD527" s="286"/>
      <c r="BE527" s="270">
        <f t="shared" si="487"/>
        <v>26.087445158032875</v>
      </c>
      <c r="BF527" s="581">
        <f t="shared" si="488"/>
        <v>-68.032163154044028</v>
      </c>
      <c r="BI527" s="286"/>
      <c r="BJ527" s="286"/>
      <c r="BL527" s="253">
        <f t="shared" si="457"/>
        <v>0</v>
      </c>
      <c r="BM527" s="253">
        <f t="shared" si="437"/>
        <v>0</v>
      </c>
      <c r="BN527" s="253">
        <f t="shared" si="458"/>
        <v>0</v>
      </c>
      <c r="BO527" s="253">
        <f t="shared" si="459"/>
        <v>0</v>
      </c>
    </row>
    <row r="528" spans="4:67" ht="13.6" thickBot="1" x14ac:dyDescent="0.25">
      <c r="D528" s="280">
        <v>75426.25</v>
      </c>
      <c r="E528" s="273" t="str">
        <f t="shared" si="438"/>
        <v>0.853050790396178i</v>
      </c>
      <c r="F528" s="579" t="str">
        <f t="shared" si="460"/>
        <v>0.002-0.0324626716299586i</v>
      </c>
      <c r="G528" s="270" t="str">
        <f t="shared" si="461"/>
        <v>0.002-0.0324626716299586i</v>
      </c>
      <c r="H528" s="271" t="str">
        <f t="shared" si="462"/>
        <v>0.00252319885123744-0.0323893274146615i</v>
      </c>
      <c r="I528" s="271" t="str">
        <f t="shared" si="463"/>
        <v>0.0125231988512374-0.0323893274146615i</v>
      </c>
      <c r="J528" s="270" t="str">
        <f t="shared" si="464"/>
        <v>0.00354543742934249-0.0166207489538486i</v>
      </c>
      <c r="K528" s="271" t="str">
        <f t="shared" si="439"/>
        <v>0.856339001816557-0.595373248461877i</v>
      </c>
      <c r="L528" s="580"/>
      <c r="M528" s="580" t="str">
        <f t="shared" si="440"/>
        <v>-0.0536225370119207-18.9851883227801i</v>
      </c>
      <c r="N528" s="270" t="str">
        <f t="shared" si="441"/>
        <v>-6.70688356942561-14.2388912420851i</v>
      </c>
      <c r="O528" s="581" t="str">
        <f t="shared" si="442"/>
        <v>-4.34279812264788-6.36179151417514i</v>
      </c>
      <c r="P528" s="582" t="str">
        <f t="shared" si="443"/>
        <v>-0.260439872757134+0.0609903301080896i</v>
      </c>
      <c r="Q528" s="583" t="str">
        <f t="shared" si="444"/>
        <v>-0.217011891530655+0.124608245249841i</v>
      </c>
      <c r="R528" s="581" t="str">
        <f t="shared" si="465"/>
        <v>-0.508160085868921-0.726511618557425i</v>
      </c>
      <c r="S528" s="253" t="str">
        <f t="shared" si="466"/>
        <v>41.0668405454785-27.9712483641679i</v>
      </c>
      <c r="T528" s="253" t="str">
        <f t="shared" si="467"/>
        <v>7.41580191705949-18.7459080386487i</v>
      </c>
      <c r="U528" s="253" t="str">
        <f t="shared" si="468"/>
        <v>-0.588455810270798-0.287492489962434i</v>
      </c>
      <c r="V528" s="582" t="str">
        <f t="shared" si="445"/>
        <v>6000</v>
      </c>
      <c r="W528" s="584" t="str">
        <f t="shared" si="446"/>
        <v>1+265433.388271252i</v>
      </c>
      <c r="X528" s="585">
        <f t="shared" si="447"/>
        <v>265433.3882731357</v>
      </c>
      <c r="Y528" s="586">
        <f t="shared" si="448"/>
        <v>1.5707925593713388</v>
      </c>
      <c r="Z528" s="273" t="str">
        <f t="shared" si="449"/>
        <v>1+39.809036885155i</v>
      </c>
      <c r="AA528" s="585">
        <f t="shared" si="450"/>
        <v>39.821594866650322</v>
      </c>
      <c r="AB528" s="586">
        <f t="shared" si="451"/>
        <v>1.545681683966065</v>
      </c>
      <c r="AC528" s="584" t="str">
        <f t="shared" si="452"/>
        <v>1+1.92458609569909i</v>
      </c>
      <c r="AD528" s="585">
        <f t="shared" si="453"/>
        <v>2.1688779679267958</v>
      </c>
      <c r="AE528" s="586">
        <f t="shared" si="454"/>
        <v>1.0915980583645095</v>
      </c>
      <c r="AF528" s="580" t="str">
        <f t="shared" si="469"/>
        <v>0.182049635223793-0.372971347852609i</v>
      </c>
      <c r="AG528" s="270">
        <f t="shared" si="470"/>
        <v>0.41502975315525026</v>
      </c>
      <c r="AH528" s="581">
        <f t="shared" si="471"/>
        <v>-1.1167089337697809</v>
      </c>
      <c r="AI528" s="582" t="str">
        <f t="shared" si="455"/>
        <v>4000</v>
      </c>
      <c r="AJ528" s="584" t="str">
        <f t="shared" si="472"/>
        <v>1+20853.0824864717i</v>
      </c>
      <c r="AK528" s="585">
        <f t="shared" si="473"/>
        <v>20853.082510448967</v>
      </c>
      <c r="AL528" s="586">
        <f t="shared" si="474"/>
        <v>1.5707483722538889</v>
      </c>
      <c r="AM528" s="273" t="str">
        <f t="shared" si="475"/>
        <v>1+0.729832342894508i</v>
      </c>
      <c r="AN528" s="585">
        <f t="shared" si="476"/>
        <v>1.2380045430994535</v>
      </c>
      <c r="AO528" s="586">
        <f t="shared" si="477"/>
        <v>0.63046837598200489</v>
      </c>
      <c r="AP528" s="584" t="str">
        <f t="shared" si="478"/>
        <v>1+0.00528016924197404i</v>
      </c>
      <c r="AQ528" s="585">
        <f t="shared" si="479"/>
        <v>1.0000139399964503</v>
      </c>
      <c r="AR528" s="586">
        <f t="shared" si="480"/>
        <v>5.2801201720925374E-3</v>
      </c>
      <c r="AS528" s="580" t="str">
        <f t="shared" si="481"/>
        <v>0.138987626480193-0.192545328526127i</v>
      </c>
      <c r="AT528" s="270">
        <f t="shared" si="482"/>
        <v>0.23746844811854864</v>
      </c>
      <c r="AU528" s="581">
        <f t="shared" si="483"/>
        <v>-0.94556011644397597</v>
      </c>
      <c r="AV528" s="580" t="str">
        <f t="shared" si="484"/>
        <v>-0.0257873231492282-0.0403332728091265i</v>
      </c>
      <c r="AW528" s="270">
        <f t="shared" si="485"/>
        <v>-26.398310675832594</v>
      </c>
      <c r="AX528" s="581">
        <f t="shared" si="486"/>
        <v>-122.59306206039614</v>
      </c>
      <c r="AY528" s="299">
        <f t="shared" si="456"/>
        <v>57.406937939603864</v>
      </c>
      <c r="BB528" s="270">
        <f t="shared" si="435"/>
        <v>-52.487881718112632</v>
      </c>
      <c r="BC528" s="270">
        <f t="shared" si="436"/>
        <v>-54.176603948138492</v>
      </c>
      <c r="BD528" s="286"/>
      <c r="BE528" s="270">
        <f t="shared" si="487"/>
        <v>26.089571042280046</v>
      </c>
      <c r="BF528" s="581">
        <f t="shared" si="488"/>
        <v>-68.416458112257601</v>
      </c>
      <c r="BI528" s="286"/>
      <c r="BJ528" s="286"/>
      <c r="BL528" s="253">
        <f t="shared" si="457"/>
        <v>0</v>
      </c>
      <c r="BM528" s="253">
        <f t="shared" si="437"/>
        <v>0</v>
      </c>
      <c r="BN528" s="253">
        <f t="shared" si="458"/>
        <v>0</v>
      </c>
      <c r="BO528" s="253">
        <f t="shared" si="459"/>
        <v>0</v>
      </c>
    </row>
    <row r="529" spans="4:67" ht="13.6" thickBot="1" x14ac:dyDescent="0.25">
      <c r="D529" s="280">
        <v>75858</v>
      </c>
      <c r="E529" s="273" t="str">
        <f t="shared" si="438"/>
        <v>0.857933767857652i</v>
      </c>
      <c r="F529" s="579" t="str">
        <f t="shared" si="460"/>
        <v>0.002-0.0322779085400242i</v>
      </c>
      <c r="G529" s="270" t="str">
        <f t="shared" si="461"/>
        <v>0.002-0.0322779085400242i</v>
      </c>
      <c r="H529" s="271" t="str">
        <f t="shared" si="462"/>
        <v>0.00251723903974717-0.0322050778564186i</v>
      </c>
      <c r="I529" s="271" t="str">
        <f t="shared" si="463"/>
        <v>0.0125172390397472-0.0322050778564186i</v>
      </c>
      <c r="J529" s="270" t="str">
        <f t="shared" si="464"/>
        <v>0.00354307776290775-0.016530155408151i</v>
      </c>
      <c r="K529" s="271" t="str">
        <f t="shared" si="439"/>
        <v>0.854689624908462-0.598781245015112i</v>
      </c>
      <c r="L529" s="580"/>
      <c r="M529" s="580" t="str">
        <f t="shared" si="440"/>
        <v>-0.0530659677209385-18.8747938329983i</v>
      </c>
      <c r="N529" s="270" t="str">
        <f t="shared" si="441"/>
        <v>-6.70646614245737-14.1560953747487i</v>
      </c>
      <c r="O529" s="581" t="str">
        <f t="shared" si="442"/>
        <v>-4.34010851745559-6.31694829957562i</v>
      </c>
      <c r="P529" s="582" t="str">
        <f t="shared" si="443"/>
        <v>-0.257763987574238+0.0607027808424499i</v>
      </c>
      <c r="Q529" s="583" t="str">
        <f t="shared" si="444"/>
        <v>-0.214362902399682+0.123872263838207i</v>
      </c>
      <c r="R529" s="581" t="str">
        <f t="shared" si="465"/>
        <v>-0.508072110541166-0.720891628980947i</v>
      </c>
      <c r="S529" s="253" t="str">
        <f t="shared" si="466"/>
        <v>40.9400048394138-28.1059967773674i</v>
      </c>
      <c r="T529" s="253" t="str">
        <f t="shared" si="467"/>
        <v>7.2917588214186-18.7997416639474i</v>
      </c>
      <c r="U529" s="253" t="str">
        <f t="shared" si="468"/>
        <v>-0.587092043994287-0.282155104207661i</v>
      </c>
      <c r="V529" s="582" t="str">
        <f t="shared" si="445"/>
        <v>6000</v>
      </c>
      <c r="W529" s="584" t="str">
        <f t="shared" si="446"/>
        <v>1+266952.764687104i</v>
      </c>
      <c r="X529" s="585">
        <f t="shared" si="447"/>
        <v>266952.76468897698</v>
      </c>
      <c r="Y529" s="586">
        <f t="shared" si="448"/>
        <v>1.5707925808138383</v>
      </c>
      <c r="Z529" s="273" t="str">
        <f t="shared" si="449"/>
        <v>1+40.0369091666905i</v>
      </c>
      <c r="AA529" s="585">
        <f t="shared" si="450"/>
        <v>40.04939569608792</v>
      </c>
      <c r="AB529" s="586">
        <f t="shared" si="451"/>
        <v>1.5458245657569565</v>
      </c>
      <c r="AC529" s="584" t="str">
        <f t="shared" si="452"/>
        <v>1+1.93560268537203i</v>
      </c>
      <c r="AD529" s="585">
        <f t="shared" si="453"/>
        <v>2.1786596236262823</v>
      </c>
      <c r="AE529" s="586">
        <f t="shared" si="454"/>
        <v>1.0939294920410811</v>
      </c>
      <c r="AF529" s="580" t="str">
        <f t="shared" si="469"/>
        <v>0.180418586947313-0.37169121685889i</v>
      </c>
      <c r="AG529" s="270">
        <f t="shared" si="470"/>
        <v>0.41316489106179821</v>
      </c>
      <c r="AH529" s="581">
        <f t="shared" si="471"/>
        <v>-1.1188975070979648</v>
      </c>
      <c r="AI529" s="582" t="str">
        <f t="shared" si="455"/>
        <v>4000</v>
      </c>
      <c r="AJ529" s="584" t="str">
        <f t="shared" si="472"/>
        <v>1+20972.4483354107i</v>
      </c>
      <c r="AK529" s="585">
        <f t="shared" si="473"/>
        <v>20972.448359251499</v>
      </c>
      <c r="AL529" s="586">
        <f t="shared" si="474"/>
        <v>1.5707486451898094</v>
      </c>
      <c r="AM529" s="273" t="str">
        <f t="shared" si="475"/>
        <v>1+0.734010001389325i</v>
      </c>
      <c r="AN529" s="585">
        <f t="shared" si="476"/>
        <v>1.2404719594330043</v>
      </c>
      <c r="AO529" s="586">
        <f t="shared" si="477"/>
        <v>0.63318872283224348</v>
      </c>
      <c r="AP529" s="584" t="str">
        <f t="shared" si="478"/>
        <v>1+0.00531039364090972i</v>
      </c>
      <c r="AQ529" s="585">
        <f t="shared" si="479"/>
        <v>1.0000141000409051</v>
      </c>
      <c r="AR529" s="586">
        <f t="shared" si="480"/>
        <v>5.3103437235573663E-3</v>
      </c>
      <c r="AS529" s="580" t="str">
        <f t="shared" si="481"/>
        <v>0.13898747758884-0.191457823086068i</v>
      </c>
      <c r="AT529" s="270">
        <f t="shared" si="482"/>
        <v>0.23658744038381335</v>
      </c>
      <c r="AU529" s="581">
        <f t="shared" si="483"/>
        <v>-0.94287026608112146</v>
      </c>
      <c r="AV529" s="580" t="str">
        <f t="shared" si="484"/>
        <v>-0.0258589444778468-0.0400899294361131i</v>
      </c>
      <c r="AW529" s="270">
        <f t="shared" si="485"/>
        <v>-26.428492186890171</v>
      </c>
      <c r="AX529" s="581">
        <f t="shared" si="486"/>
        <v>-122.82296479115877</v>
      </c>
      <c r="AY529" s="299">
        <f t="shared" si="456"/>
        <v>57.177035208841232</v>
      </c>
      <c r="BB529" s="270">
        <f t="shared" si="435"/>
        <v>-52.520166286028584</v>
      </c>
      <c r="BC529" s="270">
        <f t="shared" si="436"/>
        <v>-54.022486874825205</v>
      </c>
      <c r="BD529" s="286"/>
      <c r="BE529" s="270">
        <f t="shared" si="487"/>
        <v>26.091674099138409</v>
      </c>
      <c r="BF529" s="581">
        <f t="shared" si="488"/>
        <v>-68.800477916333548</v>
      </c>
      <c r="BI529" s="286"/>
      <c r="BJ529" s="286"/>
      <c r="BL529" s="253">
        <f t="shared" si="457"/>
        <v>0</v>
      </c>
      <c r="BM529" s="253">
        <f t="shared" si="437"/>
        <v>0</v>
      </c>
      <c r="BN529" s="253">
        <f t="shared" si="458"/>
        <v>0</v>
      </c>
      <c r="BO529" s="253">
        <f t="shared" si="459"/>
        <v>0</v>
      </c>
    </row>
    <row r="530" spans="4:67" ht="13.6" thickBot="1" x14ac:dyDescent="0.25">
      <c r="D530" s="280">
        <v>76299.75</v>
      </c>
      <c r="E530" s="273" t="str">
        <f t="shared" si="438"/>
        <v>0.862929842654656i</v>
      </c>
      <c r="F530" s="579" t="str">
        <f t="shared" si="460"/>
        <v>0.002-0.032091030259328i</v>
      </c>
      <c r="G530" s="270" t="str">
        <f t="shared" si="461"/>
        <v>0.002-0.032091030259328i</v>
      </c>
      <c r="H530" s="271" t="str">
        <f t="shared" si="462"/>
        <v>0.00251124556751495-0.0320187173132669i</v>
      </c>
      <c r="I530" s="271" t="str">
        <f t="shared" si="463"/>
        <v>0.012511245567515-0.0320187173132669i</v>
      </c>
      <c r="J530" s="270" t="str">
        <f t="shared" si="464"/>
        <v>0.00354068543475729-0.0164385437590067i</v>
      </c>
      <c r="K530" s="271" t="str">
        <f t="shared" si="439"/>
        <v>0.852992301960493-0.60226817605713i</v>
      </c>
      <c r="L530" s="580"/>
      <c r="M530" s="580" t="str">
        <f t="shared" si="440"/>
        <v>-0.0525057901429661-18.7631766872176i</v>
      </c>
      <c r="N530" s="270" t="str">
        <f t="shared" si="441"/>
        <v>-6.70604600927389-14.0723825154132i</v>
      </c>
      <c r="O530" s="581" t="str">
        <f t="shared" si="442"/>
        <v>-4.33736617257187-6.27156984263281i</v>
      </c>
      <c r="P530" s="582" t="str">
        <f t="shared" si="443"/>
        <v>-0.255073475202949+0.0604117509687044i</v>
      </c>
      <c r="Q530" s="583" t="str">
        <f t="shared" si="444"/>
        <v>-0.21169981347723+0.123127449395033i</v>
      </c>
      <c r="R530" s="581" t="str">
        <f t="shared" si="465"/>
        <v>-0.507983624058253-0.715201046753359i</v>
      </c>
      <c r="S530" s="253" t="str">
        <f t="shared" si="466"/>
        <v>40.809565781107-28.2431578128333i</v>
      </c>
      <c r="T530" s="253" t="str">
        <f t="shared" si="467"/>
        <v>7.16451511095369-18.8538856882433i</v>
      </c>
      <c r="U530" s="253" t="str">
        <f t="shared" si="468"/>
        <v>-0.585685379292736-0.27674532088929i</v>
      </c>
      <c r="V530" s="582" t="str">
        <f t="shared" si="445"/>
        <v>6000</v>
      </c>
      <c r="W530" s="584" t="str">
        <f t="shared" si="446"/>
        <v>1+268507.332218551i</v>
      </c>
      <c r="X530" s="585">
        <f t="shared" si="447"/>
        <v>268507.3322204132</v>
      </c>
      <c r="Y530" s="586">
        <f t="shared" si="448"/>
        <v>1.570792602501814</v>
      </c>
      <c r="Z530" s="273" t="str">
        <f t="shared" si="449"/>
        <v>1+40.270059323884i</v>
      </c>
      <c r="AA530" s="585">
        <f t="shared" si="450"/>
        <v>40.282473582801948</v>
      </c>
      <c r="AB530" s="586">
        <f t="shared" si="451"/>
        <v>1.5459690843136893</v>
      </c>
      <c r="AC530" s="584" t="str">
        <f t="shared" si="452"/>
        <v>1+1.9468744363576i</v>
      </c>
      <c r="AD530" s="585">
        <f t="shared" si="453"/>
        <v>2.1886799836757143</v>
      </c>
      <c r="AE530" s="586">
        <f t="shared" si="454"/>
        <v>1.0962933432641477</v>
      </c>
      <c r="AF530" s="580" t="str">
        <f t="shared" si="469"/>
        <v>0.178770359700032-0.370385850412467i</v>
      </c>
      <c r="AG530" s="270">
        <f t="shared" si="470"/>
        <v>0.41127183187406019</v>
      </c>
      <c r="AH530" s="581">
        <f t="shared" si="471"/>
        <v>-1.121116861452274</v>
      </c>
      <c r="AI530" s="582" t="str">
        <f t="shared" si="455"/>
        <v>4000</v>
      </c>
      <c r="AJ530" s="584" t="str">
        <f t="shared" si="472"/>
        <v>1+21094.5788826459i</v>
      </c>
      <c r="AK530" s="585">
        <f t="shared" si="473"/>
        <v>21094.57890634867</v>
      </c>
      <c r="AL530" s="586">
        <f t="shared" si="474"/>
        <v>1.5707489212503341</v>
      </c>
      <c r="AM530" s="273" t="str">
        <f t="shared" si="475"/>
        <v>1+0.738284420937873i</v>
      </c>
      <c r="AN530" s="585">
        <f t="shared" si="476"/>
        <v>1.243005987998276</v>
      </c>
      <c r="AO530" s="586">
        <f t="shared" si="477"/>
        <v>0.63596087797154066</v>
      </c>
      <c r="AP530" s="584" t="str">
        <f t="shared" si="478"/>
        <v>1+0.0053413180838277i</v>
      </c>
      <c r="AQ530" s="585">
        <f t="shared" si="479"/>
        <v>1.0000142647376951</v>
      </c>
      <c r="AR530" s="586">
        <f t="shared" si="480"/>
        <v>5.3412672893339581E-3</v>
      </c>
      <c r="AS530" s="580" t="str">
        <f t="shared" si="481"/>
        <v>0.138987326815323-0.190357916944568i</v>
      </c>
      <c r="AT530" s="270">
        <f t="shared" si="482"/>
        <v>0.23569814076217158</v>
      </c>
      <c r="AU530" s="581">
        <f t="shared" si="483"/>
        <v>-0.94012931056812721</v>
      </c>
      <c r="AV530" s="580" t="str">
        <f t="shared" si="484"/>
        <v>-0.0259320960272556-0.0398427334432964i</v>
      </c>
      <c r="AW530" s="270">
        <f t="shared" si="485"/>
        <v>-26.459075084771367</v>
      </c>
      <c r="AX530" s="581">
        <f t="shared" si="486"/>
        <v>-123.05854831203153</v>
      </c>
      <c r="AY530" s="299">
        <f t="shared" si="456"/>
        <v>56.941451687968467</v>
      </c>
      <c r="BB530" s="270">
        <f t="shared" si="435"/>
        <v>-52.552876865416287</v>
      </c>
      <c r="BC530" s="270">
        <f t="shared" si="436"/>
        <v>-53.865441692097512</v>
      </c>
      <c r="BD530" s="286"/>
      <c r="BE530" s="270">
        <f t="shared" si="487"/>
        <v>26.093801780644917</v>
      </c>
      <c r="BF530" s="581">
        <f t="shared" si="488"/>
        <v>-69.193106619934014</v>
      </c>
      <c r="BI530" s="286"/>
      <c r="BJ530" s="286"/>
      <c r="BL530" s="253">
        <f t="shared" si="457"/>
        <v>0</v>
      </c>
      <c r="BM530" s="253">
        <f t="shared" si="437"/>
        <v>0</v>
      </c>
      <c r="BN530" s="253">
        <f t="shared" si="458"/>
        <v>0</v>
      </c>
      <c r="BO530" s="253">
        <f t="shared" si="459"/>
        <v>0</v>
      </c>
    </row>
    <row r="531" spans="4:67" ht="13.6" thickBot="1" x14ac:dyDescent="0.25">
      <c r="D531" s="280">
        <v>76741.5</v>
      </c>
      <c r="E531" s="273" t="str">
        <f t="shared" si="438"/>
        <v>0.86792591745166i</v>
      </c>
      <c r="F531" s="579" t="str">
        <f t="shared" si="460"/>
        <v>0.002-0.0319063034476673i</v>
      </c>
      <c r="G531" s="270" t="str">
        <f t="shared" si="461"/>
        <v>0.002-0.0319063034476673i</v>
      </c>
      <c r="H531" s="271" t="str">
        <f t="shared" si="462"/>
        <v>0.00250535526340954-0.0318345006343936i</v>
      </c>
      <c r="I531" s="271" t="str">
        <f t="shared" si="463"/>
        <v>0.0125053552634095-0.0318345006343936i</v>
      </c>
      <c r="J531" s="270" t="str">
        <f t="shared" si="464"/>
        <v>0.00353831476146699-0.0163480058727595i</v>
      </c>
      <c r="K531" s="271" t="str">
        <f t="shared" si="439"/>
        <v>0.851285123551173-0.605755107099148i</v>
      </c>
      <c r="L531" s="580"/>
      <c r="M531" s="580" t="str">
        <f t="shared" si="440"/>
        <v>-0.0519548001840703-18.6528849786483i</v>
      </c>
      <c r="N531" s="270" t="str">
        <f t="shared" si="441"/>
        <v>-6.70563276680472-13.9896637339862i</v>
      </c>
      <c r="O531" s="581" t="str">
        <f t="shared" si="442"/>
        <v>-4.3346331123844-6.22669158704615i</v>
      </c>
      <c r="P531" s="582" t="str">
        <f t="shared" si="443"/>
        <v>-0.252429744284899+0.0601238901543693i</v>
      </c>
      <c r="Q531" s="583" t="str">
        <f t="shared" si="444"/>
        <v>-0.209083413161055+0.122390806024831i</v>
      </c>
      <c r="R531" s="581" t="str">
        <f t="shared" si="465"/>
        <v>-0.507896646435484-0.70956964575199i</v>
      </c>
      <c r="S531" s="253" t="str">
        <f t="shared" si="466"/>
        <v>40.678456903169-28.3795979643503i</v>
      </c>
      <c r="T531" s="253" t="str">
        <f t="shared" si="467"/>
        <v>7.03694758370346-18.9070799149638i</v>
      </c>
      <c r="U531" s="253" t="str">
        <f t="shared" si="468"/>
        <v>-0.584267393880279-0.271386664498262i</v>
      </c>
      <c r="V531" s="582" t="str">
        <f t="shared" si="445"/>
        <v>6000</v>
      </c>
      <c r="W531" s="584" t="str">
        <f t="shared" si="446"/>
        <v>1+270061.899749998i</v>
      </c>
      <c r="X531" s="585">
        <f t="shared" si="447"/>
        <v>270061.89975184941</v>
      </c>
      <c r="Y531" s="586">
        <f t="shared" si="448"/>
        <v>1.5707926239401033</v>
      </c>
      <c r="Z531" s="273" t="str">
        <f t="shared" si="449"/>
        <v>1+40.5032094810775i</v>
      </c>
      <c r="AA531" s="585">
        <f t="shared" si="450"/>
        <v>40.515552301160177</v>
      </c>
      <c r="AB531" s="586">
        <f t="shared" si="451"/>
        <v>1.5461119400946133</v>
      </c>
      <c r="AC531" s="584" t="str">
        <f t="shared" si="452"/>
        <v>1+1.95814618734316i</v>
      </c>
      <c r="AD531" s="585">
        <f t="shared" si="453"/>
        <v>2.1987124621028902</v>
      </c>
      <c r="AE531" s="586">
        <f t="shared" si="454"/>
        <v>1.0986356355000035</v>
      </c>
      <c r="AF531" s="580" t="str">
        <f t="shared" si="469"/>
        <v>0.177142663279361-0.369085027406797i</v>
      </c>
      <c r="AG531" s="270">
        <f t="shared" si="470"/>
        <v>0.40939379649621116</v>
      </c>
      <c r="AH531" s="581">
        <f t="shared" si="471"/>
        <v>-1.1233163193454934</v>
      </c>
      <c r="AI531" s="582" t="str">
        <f t="shared" si="455"/>
        <v>4000</v>
      </c>
      <c r="AJ531" s="584" t="str">
        <f t="shared" si="472"/>
        <v>1+21216.7094298811i</v>
      </c>
      <c r="AK531" s="585">
        <f t="shared" si="473"/>
        <v>21216.709453447431</v>
      </c>
      <c r="AL531" s="586">
        <f t="shared" si="474"/>
        <v>1.5707491941326635</v>
      </c>
      <c r="AM531" s="273" t="str">
        <f t="shared" si="475"/>
        <v>1+0.74255884048642i</v>
      </c>
      <c r="AN531" s="585">
        <f t="shared" si="476"/>
        <v>1.2455495299603851</v>
      </c>
      <c r="AO531" s="586">
        <f t="shared" si="477"/>
        <v>0.63872173219607564</v>
      </c>
      <c r="AP531" s="584" t="str">
        <f t="shared" si="478"/>
        <v>1+0.00537224252674567i</v>
      </c>
      <c r="AQ531" s="585">
        <f t="shared" si="479"/>
        <v>1.000014430390765</v>
      </c>
      <c r="AR531" s="586">
        <f t="shared" si="480"/>
        <v>5.372190844895092E-3</v>
      </c>
      <c r="AS531" s="580" t="str">
        <f t="shared" si="481"/>
        <v>0.138987177583976-0.189270723138098i</v>
      </c>
      <c r="AT531" s="270">
        <f t="shared" si="482"/>
        <v>0.23482087251770917</v>
      </c>
      <c r="AU531" s="581">
        <f t="shared" si="483"/>
        <v>-0.9373996527814823</v>
      </c>
      <c r="AV531" s="580" t="str">
        <f t="shared" si="484"/>
        <v>-0.0260051120446968-0.0395972983158794i</v>
      </c>
      <c r="AW531" s="270">
        <f t="shared" si="485"/>
        <v>-26.489361417390462</v>
      </c>
      <c r="AX531" s="581">
        <f t="shared" si="486"/>
        <v>-123.29448943672347</v>
      </c>
      <c r="AY531" s="299">
        <f t="shared" si="456"/>
        <v>56.705510563276533</v>
      </c>
      <c r="BB531" s="270">
        <f t="shared" si="435"/>
        <v>-52.585266051692862</v>
      </c>
      <c r="BC531" s="270">
        <f t="shared" si="436"/>
        <v>-53.709043821407732</v>
      </c>
      <c r="BD531" s="286"/>
      <c r="BE531" s="270">
        <f t="shared" si="487"/>
        <v>26.095904634302407</v>
      </c>
      <c r="BF531" s="581">
        <f t="shared" si="488"/>
        <v>-69.585445615315734</v>
      </c>
      <c r="BI531" s="286"/>
      <c r="BJ531" s="286"/>
      <c r="BL531" s="253">
        <f t="shared" si="457"/>
        <v>0</v>
      </c>
      <c r="BM531" s="253">
        <f t="shared" si="437"/>
        <v>0</v>
      </c>
      <c r="BN531" s="253">
        <f t="shared" si="458"/>
        <v>0</v>
      </c>
      <c r="BO531" s="253">
        <f t="shared" si="459"/>
        <v>0</v>
      </c>
    </row>
    <row r="532" spans="4:67" ht="13.6" thickBot="1" x14ac:dyDescent="0.25">
      <c r="D532" s="280">
        <v>77183.25</v>
      </c>
      <c r="E532" s="273" t="str">
        <f t="shared" si="438"/>
        <v>0.872921992248664i</v>
      </c>
      <c r="F532" s="579" t="str">
        <f t="shared" si="460"/>
        <v>0.002-0.0317236911639398i</v>
      </c>
      <c r="G532" s="270" t="str">
        <f t="shared" si="461"/>
        <v>0.002-0.0317236911639398i</v>
      </c>
      <c r="H532" s="271" t="str">
        <f t="shared" si="462"/>
        <v>0.00249956577330759-0.031652391046575i</v>
      </c>
      <c r="I532" s="271" t="str">
        <f t="shared" si="463"/>
        <v>0.0124995657733076-0.031652391046575i</v>
      </c>
      <c r="J532" s="270" t="str">
        <f t="shared" si="464"/>
        <v>0.00353596516712717-0.0162585232502288i</v>
      </c>
      <c r="K532" s="271" t="str">
        <f t="shared" si="439"/>
        <v>0.8495680896805-0.609242038141167i</v>
      </c>
      <c r="L532" s="580"/>
      <c r="M532" s="580" t="str">
        <f t="shared" si="440"/>
        <v>-0.0514128002514124-18.5438950152725i</v>
      </c>
      <c r="N532" s="270" t="str">
        <f t="shared" si="441"/>
        <v>-6.70522626685523-13.9079212614544i</v>
      </c>
      <c r="O532" s="581" t="str">
        <f t="shared" si="442"/>
        <v>-4.33190896537221-6.18230472334372i</v>
      </c>
      <c r="P532" s="582" t="str">
        <f t="shared" si="443"/>
        <v>-0.249831707709014+0.0598391520300605i</v>
      </c>
      <c r="Q532" s="583" t="str">
        <f t="shared" si="444"/>
        <v>-0.206512618055292+0.121662199263498i</v>
      </c>
      <c r="R532" s="581" t="str">
        <f t="shared" si="465"/>
        <v>-0.507811143299931-0.703996367896277i</v>
      </c>
      <c r="S532" s="253" t="str">
        <f t="shared" si="466"/>
        <v>40.5466817308344-28.5153127751328i</v>
      </c>
      <c r="T532" s="253" t="str">
        <f t="shared" si="467"/>
        <v>6.90906385295563-18.9593217796946i</v>
      </c>
      <c r="U532" s="253" t="str">
        <f t="shared" si="468"/>
        <v>-0.582838207416295-0.266078462645157i</v>
      </c>
      <c r="V532" s="582" t="str">
        <f t="shared" si="445"/>
        <v>6000</v>
      </c>
      <c r="W532" s="584" t="str">
        <f t="shared" si="446"/>
        <v>1+271616.467281446i</v>
      </c>
      <c r="X532" s="585">
        <f t="shared" si="447"/>
        <v>271616.46728328679</v>
      </c>
      <c r="Y532" s="586">
        <f t="shared" si="448"/>
        <v>1.570792645132993</v>
      </c>
      <c r="Z532" s="273" t="str">
        <f t="shared" si="449"/>
        <v>1+40.736359638271i</v>
      </c>
      <c r="AA532" s="585">
        <f t="shared" si="450"/>
        <v>40.748631836891832</v>
      </c>
      <c r="AB532" s="586">
        <f t="shared" si="451"/>
        <v>1.5462531616267574</v>
      </c>
      <c r="AC532" s="584" t="str">
        <f t="shared" si="452"/>
        <v>1+1.96941793832873i</v>
      </c>
      <c r="AD532" s="585">
        <f t="shared" si="453"/>
        <v>2.208756893777807</v>
      </c>
      <c r="AE532" s="586">
        <f t="shared" si="454"/>
        <v>1.1009566369928123</v>
      </c>
      <c r="AF532" s="580" t="str">
        <f t="shared" si="469"/>
        <v>0.175535196315517-0.367788822854801i</v>
      </c>
      <c r="AG532" s="270">
        <f t="shared" si="470"/>
        <v>0.40753064101052244</v>
      </c>
      <c r="AH532" s="581">
        <f t="shared" si="471"/>
        <v>-1.1254961204990468</v>
      </c>
      <c r="AI532" s="582" t="str">
        <f t="shared" si="455"/>
        <v>4000</v>
      </c>
      <c r="AJ532" s="584" t="str">
        <f t="shared" si="472"/>
        <v>1+21338.8399771163i</v>
      </c>
      <c r="AK532" s="585">
        <f t="shared" si="473"/>
        <v>21338.840000547749</v>
      </c>
      <c r="AL532" s="586">
        <f t="shared" si="474"/>
        <v>1.5707494638913677</v>
      </c>
      <c r="AM532" s="273" t="str">
        <f t="shared" si="475"/>
        <v>1+0.746833260034969i</v>
      </c>
      <c r="AN532" s="585">
        <f t="shared" si="476"/>
        <v>1.2481025271565072</v>
      </c>
      <c r="AO532" s="586">
        <f t="shared" si="477"/>
        <v>0.64147131263749602</v>
      </c>
      <c r="AP532" s="584" t="str">
        <f t="shared" si="478"/>
        <v>1+0.00540316696966366i</v>
      </c>
      <c r="AQ532" s="585">
        <f t="shared" si="479"/>
        <v>1.0000145970001149</v>
      </c>
      <c r="AR532" s="586">
        <f t="shared" si="480"/>
        <v>5.4031143901816609E-3</v>
      </c>
      <c r="AS532" s="580" t="str">
        <f t="shared" si="481"/>
        <v>0.138987029853526-0.188196023393528i</v>
      </c>
      <c r="AT532" s="270">
        <f t="shared" si="482"/>
        <v>0.23395541816474835</v>
      </c>
      <c r="AU532" s="581">
        <f t="shared" si="483"/>
        <v>-0.93468126564405307</v>
      </c>
      <c r="AV532" s="580" t="str">
        <f t="shared" si="484"/>
        <v>-0.0260779870118617-0.0393535816469524i</v>
      </c>
      <c r="AW532" s="270">
        <f t="shared" si="485"/>
        <v>-26.519355660053151</v>
      </c>
      <c r="AX532" s="581">
        <f t="shared" si="486"/>
        <v>-123.53078574345163</v>
      </c>
      <c r="AY532" s="299">
        <f t="shared" si="456"/>
        <v>56.469214256548369</v>
      </c>
      <c r="BB532" s="270">
        <f t="shared" si="435"/>
        <v>-52.617337850914573</v>
      </c>
      <c r="BC532" s="270">
        <f t="shared" si="436"/>
        <v>-53.553291711350397</v>
      </c>
      <c r="BD532" s="286"/>
      <c r="BE532" s="270">
        <f t="shared" si="487"/>
        <v>26.097982190861416</v>
      </c>
      <c r="BF532" s="581">
        <f t="shared" si="488"/>
        <v>-69.977494032101262</v>
      </c>
      <c r="BI532" s="286"/>
      <c r="BJ532" s="286"/>
      <c r="BL532" s="253">
        <f t="shared" si="457"/>
        <v>0</v>
      </c>
      <c r="BM532" s="253">
        <f t="shared" si="437"/>
        <v>0</v>
      </c>
      <c r="BN532" s="253">
        <f t="shared" si="458"/>
        <v>0</v>
      </c>
      <c r="BO532" s="253">
        <f t="shared" si="459"/>
        <v>0</v>
      </c>
    </row>
    <row r="533" spans="4:67" ht="13.6" thickBot="1" x14ac:dyDescent="0.25">
      <c r="D533" s="280">
        <v>77625</v>
      </c>
      <c r="E533" s="273" t="str">
        <f t="shared" si="438"/>
        <v>0.877918067045668i</v>
      </c>
      <c r="F533" s="579" t="str">
        <f t="shared" si="460"/>
        <v>0.002-0.0315431573079441i</v>
      </c>
      <c r="G533" s="270" t="str">
        <f t="shared" si="461"/>
        <v>0.002-0.0315431573079441i</v>
      </c>
      <c r="H533" s="271" t="str">
        <f t="shared" si="462"/>
        <v>0.00249387480984555-0.0314723526126148i</v>
      </c>
      <c r="I533" s="271" t="str">
        <f t="shared" si="463"/>
        <v>0.0124938748098456-0.0314723526126148i</v>
      </c>
      <c r="J533" s="270" t="str">
        <f t="shared" si="464"/>
        <v>0.0035336360926317-0.0161700778129992i</v>
      </c>
      <c r="K533" s="271" t="str">
        <f t="shared" si="439"/>
        <v>0.847841200348476-0.612728969183185i</v>
      </c>
      <c r="L533" s="580"/>
      <c r="M533" s="580" t="str">
        <f t="shared" si="440"/>
        <v>-0.0508795979306848-18.4361836712723i</v>
      </c>
      <c r="N533" s="270" t="str">
        <f t="shared" si="441"/>
        <v>-6.70482636511468-13.8271377534542i</v>
      </c>
      <c r="O533" s="581" t="str">
        <f t="shared" si="442"/>
        <v>-4.32919337148964-6.13840065310436i</v>
      </c>
      <c r="P533" s="582" t="str">
        <f t="shared" si="443"/>
        <v>-0.247278309843011+0.0595574910231568i</v>
      </c>
      <c r="Q533" s="583" t="str">
        <f t="shared" si="444"/>
        <v>-0.203986376128114+0.1209414975542i</v>
      </c>
      <c r="R533" s="581" t="str">
        <f t="shared" si="465"/>
        <v>-0.507727081249812-0.698480180399406i</v>
      </c>
      <c r="S533" s="253" t="str">
        <f t="shared" si="466"/>
        <v>40.4142438477957-28.6502977809226i</v>
      </c>
      <c r="T533" s="253" t="str">
        <f t="shared" si="467"/>
        <v>6.78087157005254-19.0106087799895i</v>
      </c>
      <c r="U533" s="253" t="str">
        <f t="shared" si="468"/>
        <v>-0.58139793810695-0.260820059429793i</v>
      </c>
      <c r="V533" s="582" t="str">
        <f t="shared" si="445"/>
        <v>6000</v>
      </c>
      <c r="W533" s="584" t="str">
        <f t="shared" si="446"/>
        <v>1+273171.034812892i</v>
      </c>
      <c r="X533" s="585">
        <f t="shared" si="447"/>
        <v>273171.03481472231</v>
      </c>
      <c r="Y533" s="586">
        <f t="shared" si="448"/>
        <v>1.5707926660846727</v>
      </c>
      <c r="Z533" s="273" t="str">
        <f t="shared" si="449"/>
        <v>1+40.9695097954645i</v>
      </c>
      <c r="AA533" s="585">
        <f t="shared" si="450"/>
        <v>40.981712176050685</v>
      </c>
      <c r="AB533" s="586">
        <f t="shared" si="451"/>
        <v>1.5463927767884331</v>
      </c>
      <c r="AC533" s="584" t="str">
        <f t="shared" si="452"/>
        <v>1+1.98068968931429i</v>
      </c>
      <c r="AD533" s="585">
        <f t="shared" si="453"/>
        <v>2.2188131163655807</v>
      </c>
      <c r="AE533" s="586">
        <f t="shared" si="454"/>
        <v>1.1032566120499783</v>
      </c>
      <c r="AF533" s="580" t="str">
        <f t="shared" si="469"/>
        <v>0.173947661982914-0.366497307767628i</v>
      </c>
      <c r="AG533" s="270">
        <f t="shared" si="470"/>
        <v>0.4056822225711173</v>
      </c>
      <c r="AH533" s="581">
        <f t="shared" si="471"/>
        <v>-1.1276565013462181</v>
      </c>
      <c r="AI533" s="582" t="str">
        <f t="shared" si="455"/>
        <v>4000</v>
      </c>
      <c r="AJ533" s="584" t="str">
        <f t="shared" si="472"/>
        <v>1+21460.9705243515i</v>
      </c>
      <c r="AK533" s="585">
        <f t="shared" si="473"/>
        <v>21460.970547649609</v>
      </c>
      <c r="AL533" s="586">
        <f t="shared" si="474"/>
        <v>1.5707497305797748</v>
      </c>
      <c r="AM533" s="273" t="str">
        <f t="shared" si="475"/>
        <v>1+0.751107679583516i</v>
      </c>
      <c r="AN533" s="585">
        <f t="shared" si="476"/>
        <v>1.2506649216833954</v>
      </c>
      <c r="AO533" s="586">
        <f t="shared" si="477"/>
        <v>0.64420964688817606</v>
      </c>
      <c r="AP533" s="584" t="str">
        <f t="shared" si="478"/>
        <v>1+0.00543409141258163i</v>
      </c>
      <c r="AQ533" s="585">
        <f t="shared" si="479"/>
        <v>1.000014764565744</v>
      </c>
      <c r="AR533" s="586">
        <f t="shared" si="480"/>
        <v>5.4340379251344864E-3</v>
      </c>
      <c r="AS533" s="580" t="str">
        <f t="shared" si="481"/>
        <v>0.138986883583874-0.187133604406345i</v>
      </c>
      <c r="AT533" s="270">
        <f t="shared" si="482"/>
        <v>0.23310156521668352</v>
      </c>
      <c r="AU533" s="581">
        <f t="shared" si="483"/>
        <v>-0.93197412161673276</v>
      </c>
      <c r="AV533" s="580" t="str">
        <f t="shared" si="484"/>
        <v>-0.0261507153545425-0.0391115420728342i</v>
      </c>
      <c r="AW533" s="270">
        <f t="shared" si="485"/>
        <v>-26.549062223754547</v>
      </c>
      <c r="AX533" s="581">
        <f t="shared" si="486"/>
        <v>-123.76743476386089</v>
      </c>
      <c r="AY533" s="299">
        <f t="shared" si="456"/>
        <v>56.232565236139109</v>
      </c>
      <c r="BB533" s="270">
        <f t="shared" si="435"/>
        <v>-52.649096205891645</v>
      </c>
      <c r="BC533" s="270">
        <f t="shared" si="436"/>
        <v>-53.398183784050893</v>
      </c>
      <c r="BD533" s="286"/>
      <c r="BE533" s="270">
        <f t="shared" si="487"/>
        <v>26.100033982137099</v>
      </c>
      <c r="BF533" s="581">
        <f t="shared" si="488"/>
        <v>-70.369250979810033</v>
      </c>
      <c r="BI533" s="286"/>
      <c r="BJ533" s="286"/>
      <c r="BL533" s="253">
        <f t="shared" si="457"/>
        <v>0</v>
      </c>
      <c r="BM533" s="253">
        <f t="shared" si="437"/>
        <v>0</v>
      </c>
      <c r="BN533" s="253">
        <f t="shared" si="458"/>
        <v>0</v>
      </c>
      <c r="BO533" s="253">
        <f t="shared" si="459"/>
        <v>0</v>
      </c>
    </row>
    <row r="534" spans="4:67" ht="13.6" thickBot="1" x14ac:dyDescent="0.25">
      <c r="D534" s="280">
        <v>78077</v>
      </c>
      <c r="E534" s="273" t="str">
        <f t="shared" si="438"/>
        <v>0.883030066611589i</v>
      </c>
      <c r="F534" s="579" t="str">
        <f t="shared" si="460"/>
        <v>0.002-0.0313605490224927i</v>
      </c>
      <c r="G534" s="270" t="str">
        <f t="shared" si="461"/>
        <v>0.002-0.0313605490224927i</v>
      </c>
      <c r="H534" s="271" t="str">
        <f t="shared" si="462"/>
        <v>0.0024881514621105-0.0312902438806606i</v>
      </c>
      <c r="I534" s="271" t="str">
        <f t="shared" si="463"/>
        <v>0.0124881514621105-0.0312902438806606i</v>
      </c>
      <c r="J534" s="270" t="str">
        <f t="shared" si="464"/>
        <v>0.0035312736496215-0.0160806352964794i</v>
      </c>
      <c r="K534" s="271" t="str">
        <f t="shared" si="439"/>
        <v>0.846064040579783-0.616296808076207i</v>
      </c>
      <c r="L534" s="580"/>
      <c r="M534" s="580" t="str">
        <f t="shared" si="440"/>
        <v>-0.0503429343682837-18.3272730024254i</v>
      </c>
      <c r="N534" s="270" t="str">
        <f t="shared" si="441"/>
        <v>-6.70442386744288-13.7454547518191i</v>
      </c>
      <c r="O534" s="581" t="str">
        <f t="shared" si="442"/>
        <v>-4.32642325641868-6.09396884214626i</v>
      </c>
      <c r="P534" s="582" t="str">
        <f t="shared" si="443"/>
        <v>-0.244710800187257+0.0592724329181975i</v>
      </c>
      <c r="Q534" s="583" t="str">
        <f t="shared" si="444"/>
        <v>-0.20144656762307+0.12021212133966i</v>
      </c>
      <c r="R534" s="581" t="str">
        <f t="shared" si="465"/>
        <v>-0.507642526467418-0.692894041073238i</v>
      </c>
      <c r="S534" s="253" t="str">
        <f t="shared" si="466"/>
        <v>40.2780508312435-28.7876548015456i</v>
      </c>
      <c r="T534" s="253" t="str">
        <f t="shared" si="467"/>
        <v>6.64939346586083-19.062094901599i</v>
      </c>
      <c r="U534" s="253" t="str">
        <f t="shared" si="468"/>
        <v>-0.579912900273099-0.255490522505557i</v>
      </c>
      <c r="V534" s="582" t="str">
        <f t="shared" si="445"/>
        <v>6000</v>
      </c>
      <c r="W534" s="584" t="str">
        <f t="shared" si="446"/>
        <v>1+274761.673237826i</v>
      </c>
      <c r="X534" s="585">
        <f t="shared" si="447"/>
        <v>274761.67323964578</v>
      </c>
      <c r="Y534" s="586">
        <f t="shared" si="448"/>
        <v>1.5707926872770985</v>
      </c>
      <c r="Z534" s="273" t="str">
        <f t="shared" si="449"/>
        <v>1+41.2080697752075i</v>
      </c>
      <c r="AA534" s="585">
        <f t="shared" si="450"/>
        <v>41.220201535149847</v>
      </c>
      <c r="AB534" s="586">
        <f t="shared" si="451"/>
        <v>1.5465339971701375</v>
      </c>
      <c r="AC534" s="584" t="str">
        <f t="shared" si="452"/>
        <v>1+1.99222298064531i</v>
      </c>
      <c r="AD534" s="585">
        <f t="shared" si="453"/>
        <v>2.2291147132014726</v>
      </c>
      <c r="AE534" s="586">
        <f t="shared" si="454"/>
        <v>1.1055884615280391</v>
      </c>
      <c r="AF534" s="580" t="str">
        <f t="shared" si="469"/>
        <v>0.172343618671193-0.365180749398208i</v>
      </c>
      <c r="AG534" s="270">
        <f t="shared" si="470"/>
        <v>0.40380602103945701</v>
      </c>
      <c r="AH534" s="581">
        <f t="shared" si="471"/>
        <v>-1.1298471516349997</v>
      </c>
      <c r="AI534" s="582" t="str">
        <f t="shared" si="455"/>
        <v>4000</v>
      </c>
      <c r="AJ534" s="584" t="str">
        <f t="shared" si="472"/>
        <v>1+21585.9348873403i</v>
      </c>
      <c r="AK534" s="585">
        <f t="shared" si="473"/>
        <v>21585.934910503529</v>
      </c>
      <c r="AL534" s="586">
        <f t="shared" si="474"/>
        <v>1.5707500003325727</v>
      </c>
      <c r="AM534" s="273" t="str">
        <f t="shared" si="475"/>
        <v>1+0.755481279212138i</v>
      </c>
      <c r="AN534" s="585">
        <f t="shared" si="476"/>
        <v>1.2532964386927812</v>
      </c>
      <c r="AO534" s="586">
        <f t="shared" si="477"/>
        <v>0.64699990778525296</v>
      </c>
      <c r="AP534" s="584" t="str">
        <f t="shared" si="478"/>
        <v>1+0.00546573340058147i</v>
      </c>
      <c r="AQ534" s="585">
        <f t="shared" si="479"/>
        <v>1.0000149370092459</v>
      </c>
      <c r="AR534" s="586">
        <f t="shared" si="480"/>
        <v>5.4656789733436625E-3</v>
      </c>
      <c r="AS534" s="580" t="str">
        <f t="shared" si="481"/>
        <v>0.138986735391694-0.186059027994632i</v>
      </c>
      <c r="AT534" s="270">
        <f t="shared" si="482"/>
        <v>0.23223969194164037</v>
      </c>
      <c r="AU534" s="581">
        <f t="shared" si="483"/>
        <v>-0.92921577152066415</v>
      </c>
      <c r="AV534" s="580" t="str">
        <f t="shared" si="484"/>
        <v>-0.0262249735877808-0.0388655802511182i</v>
      </c>
      <c r="AW534" s="270">
        <f t="shared" si="485"/>
        <v>-26.579164839744461</v>
      </c>
      <c r="AX534" s="581">
        <f t="shared" si="486"/>
        <v>-124.00993725379099</v>
      </c>
      <c r="AY534" s="299">
        <f t="shared" si="456"/>
        <v>55.990062746209006</v>
      </c>
      <c r="BB534" s="270">
        <f t="shared" ref="BB534:BB597" si="489">20*LOG10(IMABS(IMPRODUCT(COMPLEX($B$15,0),AS534)))</f>
        <v>-52.681271065068678</v>
      </c>
      <c r="BC534" s="270">
        <f t="shared" ref="BC534:BC597" si="490">180/PI()*IMARGUMENT(IMPRODUCT(COMPLEX($B$15,0),AS534))</f>
        <v>-53.240141965126654</v>
      </c>
      <c r="BD534" s="286"/>
      <c r="BE534" s="270">
        <f t="shared" si="487"/>
        <v>26.102106225324228</v>
      </c>
      <c r="BF534" s="581">
        <f t="shared" si="488"/>
        <v>-70.769795288664341</v>
      </c>
      <c r="BI534" s="286"/>
      <c r="BJ534" s="286"/>
      <c r="BL534" s="253">
        <f t="shared" si="457"/>
        <v>0</v>
      </c>
      <c r="BM534" s="253">
        <f t="shared" si="437"/>
        <v>0</v>
      </c>
      <c r="BN534" s="253">
        <f t="shared" si="458"/>
        <v>0</v>
      </c>
      <c r="BO534" s="253">
        <f t="shared" si="459"/>
        <v>0</v>
      </c>
    </row>
    <row r="535" spans="4:67" ht="13.6" thickBot="1" x14ac:dyDescent="0.25">
      <c r="D535" s="280">
        <v>78529</v>
      </c>
      <c r="E535" s="273" t="str">
        <f t="shared" si="438"/>
        <v>0.88814206617751i</v>
      </c>
      <c r="F535" s="579" t="str">
        <f t="shared" si="460"/>
        <v>0.002-0.0311800428635174i</v>
      </c>
      <c r="G535" s="270" t="str">
        <f t="shared" si="461"/>
        <v>0.002-0.0311800428635174i</v>
      </c>
      <c r="H535" s="271" t="str">
        <f t="shared" si="462"/>
        <v>0.00248252662566893-0.0311102299902281i</v>
      </c>
      <c r="I535" s="271" t="str">
        <f t="shared" si="463"/>
        <v>0.0124825266256689-0.0311102299902281i</v>
      </c>
      <c r="J535" s="270" t="str">
        <f t="shared" si="464"/>
        <v>0.00352893155691674-0.0159922416604276i</v>
      </c>
      <c r="K535" s="271" t="str">
        <f t="shared" si="439"/>
        <v>0.844276562687811-0.619864646969228i</v>
      </c>
      <c r="L535" s="580"/>
      <c r="M535" s="580" t="str">
        <f t="shared" si="440"/>
        <v>-0.0498150897788254-18.2196537356087i</v>
      </c>
      <c r="N535" s="270" t="str">
        <f t="shared" si="441"/>
        <v>-6.70402798400079-13.6647403017065i</v>
      </c>
      <c r="O535" s="581" t="str">
        <f t="shared" si="442"/>
        <v>-4.32366136849622-6.05002492587028i</v>
      </c>
      <c r="P535" s="582" t="str">
        <f t="shared" si="443"/>
        <v>-0.242187885043068+0.0589905023506458i</v>
      </c>
      <c r="Q535" s="583" t="str">
        <f t="shared" si="444"/>
        <v>-0.198951271358105+0.119490751609348i</v>
      </c>
      <c r="R535" s="581" t="str">
        <f t="shared" si="465"/>
        <v>-0.507559412644905-0.687365562426357i</v>
      </c>
      <c r="S535" s="253" t="str">
        <f t="shared" si="466"/>
        <v>40.1411717726423-28.9242382825426i</v>
      </c>
      <c r="T535" s="253" t="str">
        <f t="shared" si="467"/>
        <v>6.51760865090796-19.1125762346447i</v>
      </c>
      <c r="U535" s="253" t="str">
        <f t="shared" si="468"/>
        <v>-0.578416505353995-0.250211783503679i</v>
      </c>
      <c r="V535" s="582" t="str">
        <f t="shared" si="445"/>
        <v>6000</v>
      </c>
      <c r="W535" s="584" t="str">
        <f t="shared" si="446"/>
        <v>1+276352.311662759i</v>
      </c>
      <c r="X535" s="585">
        <f t="shared" si="447"/>
        <v>276352.31166456826</v>
      </c>
      <c r="Y535" s="586">
        <f t="shared" si="448"/>
        <v>1.5707927082255639</v>
      </c>
      <c r="Z535" s="273" t="str">
        <f t="shared" si="449"/>
        <v>1+41.4466297549505i</v>
      </c>
      <c r="AA535" s="585">
        <f t="shared" si="450"/>
        <v>41.458691706853806</v>
      </c>
      <c r="AB535" s="586">
        <f t="shared" si="451"/>
        <v>1.5466735928205959</v>
      </c>
      <c r="AC535" s="584" t="str">
        <f t="shared" si="452"/>
        <v>1+2.00375627197633i</v>
      </c>
      <c r="AD535" s="585">
        <f t="shared" si="453"/>
        <v>2.2394283193450244</v>
      </c>
      <c r="AE535" s="586">
        <f t="shared" si="454"/>
        <v>1.1078988449757641</v>
      </c>
      <c r="AF535" s="580" t="str">
        <f t="shared" si="469"/>
        <v>0.170759829341521-0.363869238816553i</v>
      </c>
      <c r="AG535" s="270">
        <f t="shared" si="470"/>
        <v>0.40194494930734365</v>
      </c>
      <c r="AH535" s="581">
        <f t="shared" si="471"/>
        <v>-1.1320179603807332</v>
      </c>
      <c r="AI535" s="582" t="str">
        <f t="shared" si="455"/>
        <v>4000</v>
      </c>
      <c r="AJ535" s="584" t="str">
        <f t="shared" si="472"/>
        <v>1+21710.8992503291i</v>
      </c>
      <c r="AK535" s="585">
        <f t="shared" si="473"/>
        <v>21710.899273359009</v>
      </c>
      <c r="AL535" s="586">
        <f t="shared" si="474"/>
        <v>1.5707502669800653</v>
      </c>
      <c r="AM535" s="273" t="str">
        <f t="shared" si="475"/>
        <v>1+0.75985487884076i</v>
      </c>
      <c r="AN535" s="585">
        <f t="shared" si="476"/>
        <v>1.2559376723779354</v>
      </c>
      <c r="AO535" s="586">
        <f t="shared" si="477"/>
        <v>0.64977845441628956</v>
      </c>
      <c r="AP535" s="584" t="str">
        <f t="shared" si="478"/>
        <v>1+0.0054973753885813i</v>
      </c>
      <c r="AQ535" s="585">
        <f t="shared" si="479"/>
        <v>1.0000151104539186</v>
      </c>
      <c r="AR535" s="586">
        <f t="shared" si="480"/>
        <v>5.4973200106087283E-3</v>
      </c>
      <c r="AS535" s="580" t="str">
        <f t="shared" si="481"/>
        <v>0.138986588647535-0.184996872368322i</v>
      </c>
      <c r="AT535" s="270">
        <f t="shared" si="482"/>
        <v>0.23138953003526397</v>
      </c>
      <c r="AU535" s="581">
        <f t="shared" si="483"/>
        <v>-0.92646913257438457</v>
      </c>
      <c r="AV535" s="580" t="str">
        <f t="shared" si="484"/>
        <v>-0.0262990663378103-0.0386212898685791i</v>
      </c>
      <c r="AW535" s="270">
        <f t="shared" si="485"/>
        <v>-26.608975414206185</v>
      </c>
      <c r="AX535" s="581">
        <f t="shared" si="486"/>
        <v>-124.25280364205015</v>
      </c>
      <c r="AY535" s="299">
        <f t="shared" si="456"/>
        <v>55.747196357949846</v>
      </c>
      <c r="BB535" s="270">
        <f t="shared" si="489"/>
        <v>-52.713125919853226</v>
      </c>
      <c r="BC535" s="270">
        <f t="shared" si="490"/>
        <v>-53.082771145658576</v>
      </c>
      <c r="BD535" s="286"/>
      <c r="BE535" s="270">
        <f t="shared" si="487"/>
        <v>26.104150505647041</v>
      </c>
      <c r="BF535" s="581">
        <f t="shared" si="488"/>
        <v>-71.170032496391613</v>
      </c>
      <c r="BI535" s="286"/>
      <c r="BJ535" s="286"/>
      <c r="BL535" s="253">
        <f t="shared" si="457"/>
        <v>0</v>
      </c>
      <c r="BM535" s="253">
        <f t="shared" si="437"/>
        <v>0</v>
      </c>
      <c r="BN535" s="253">
        <f t="shared" si="458"/>
        <v>0</v>
      </c>
      <c r="BO535" s="253">
        <f t="shared" si="459"/>
        <v>0</v>
      </c>
    </row>
    <row r="536" spans="4:67" ht="13.6" thickBot="1" x14ac:dyDescent="0.25">
      <c r="D536" s="280">
        <v>78981</v>
      </c>
      <c r="E536" s="273" t="str">
        <f t="shared" si="438"/>
        <v>0.893254065743432i</v>
      </c>
      <c r="F536" s="579" t="str">
        <f t="shared" si="460"/>
        <v>0.002-0.0310016027402687i</v>
      </c>
      <c r="G536" s="270" t="str">
        <f t="shared" si="461"/>
        <v>0.002-0.0310016027402687i</v>
      </c>
      <c r="H536" s="271" t="str">
        <f t="shared" si="462"/>
        <v>0.00247699805281051-0.0309322750104474i</v>
      </c>
      <c r="I536" s="271" t="str">
        <f t="shared" si="463"/>
        <v>0.0124769980528105-0.0309322750104474i</v>
      </c>
      <c r="J536" s="270" t="str">
        <f t="shared" si="464"/>
        <v>0.00352660926658138-0.0159048788301479i</v>
      </c>
      <c r="K536" s="271" t="str">
        <f t="shared" si="439"/>
        <v>0.842478766672559-0.62343248586225i</v>
      </c>
      <c r="L536" s="580"/>
      <c r="M536" s="580" t="str">
        <f t="shared" si="440"/>
        <v>-0.0492958738635252-18.1133028297448i</v>
      </c>
      <c r="N536" s="270" t="str">
        <f t="shared" si="441"/>
        <v>-6.70363857206431-13.5849771223086i</v>
      </c>
      <c r="O536" s="581" t="str">
        <f t="shared" si="442"/>
        <v>-4.32090735685674-6.00656033893645i</v>
      </c>
      <c r="P536" s="582" t="str">
        <f t="shared" si="443"/>
        <v>-0.239708528948704+0.058711653003959i</v>
      </c>
      <c r="Q536" s="583" t="str">
        <f t="shared" si="444"/>
        <v>-0.196499455380137+0.118777256393324i</v>
      </c>
      <c r="R536" s="581" t="str">
        <f t="shared" si="465"/>
        <v>-0.507477706949315-0.681893715477986i</v>
      </c>
      <c r="S536" s="253" t="str">
        <f t="shared" si="466"/>
        <v>40.0036107026531-29.060043426355i</v>
      </c>
      <c r="T536" s="253" t="str">
        <f t="shared" si="467"/>
        <v>6.38552544123452-19.1620503054676i</v>
      </c>
      <c r="U536" s="253" t="str">
        <f t="shared" si="468"/>
        <v>-0.576908875728642-0.244983190328974i</v>
      </c>
      <c r="V536" s="582" t="str">
        <f t="shared" si="445"/>
        <v>6000</v>
      </c>
      <c r="W536" s="584" t="str">
        <f t="shared" si="446"/>
        <v>1+277942.950087692i</v>
      </c>
      <c r="X536" s="585">
        <f t="shared" si="447"/>
        <v>277942.95008949091</v>
      </c>
      <c r="Y536" s="586">
        <f t="shared" si="448"/>
        <v>1.5707927289342576</v>
      </c>
      <c r="Z536" s="273" t="str">
        <f t="shared" si="449"/>
        <v>1+41.6851897346935i</v>
      </c>
      <c r="AA536" s="585">
        <f t="shared" si="450"/>
        <v>41.697182677219288</v>
      </c>
      <c r="AB536" s="586">
        <f t="shared" si="451"/>
        <v>1.546811591612731</v>
      </c>
      <c r="AC536" s="584" t="str">
        <f t="shared" si="452"/>
        <v>1+2.01528956330734i</v>
      </c>
      <c r="AD536" s="585">
        <f t="shared" si="453"/>
        <v>2.2497537696324654</v>
      </c>
      <c r="AE536" s="586">
        <f t="shared" si="454"/>
        <v>1.1101880331181702</v>
      </c>
      <c r="AF536" s="580" t="str">
        <f t="shared" si="469"/>
        <v>0.169195990460807-0.362562839973722i</v>
      </c>
      <c r="AG536" s="270">
        <f t="shared" si="470"/>
        <v>0.40009885793116712</v>
      </c>
      <c r="AH536" s="581">
        <f t="shared" si="471"/>
        <v>-1.1341691704396961</v>
      </c>
      <c r="AI536" s="582" t="str">
        <f t="shared" si="455"/>
        <v>4000</v>
      </c>
      <c r="AJ536" s="584" t="str">
        <f t="shared" si="472"/>
        <v>1+21835.8636133179i</v>
      </c>
      <c r="AK536" s="585">
        <f t="shared" si="473"/>
        <v>21835.863636216007</v>
      </c>
      <c r="AL536" s="586">
        <f t="shared" si="474"/>
        <v>1.5707505305755665</v>
      </c>
      <c r="AM536" s="273" t="str">
        <f t="shared" si="475"/>
        <v>1+0.764228478469381i</v>
      </c>
      <c r="AN536" s="585">
        <f t="shared" si="476"/>
        <v>1.2585885615655441</v>
      </c>
      <c r="AO536" s="586">
        <f t="shared" si="477"/>
        <v>0.65254531776318414</v>
      </c>
      <c r="AP536" s="584" t="str">
        <f t="shared" si="478"/>
        <v>1+0.00552901737658112i</v>
      </c>
      <c r="AQ536" s="585">
        <f t="shared" si="479"/>
        <v>1.0000152848997612</v>
      </c>
      <c r="AR536" s="586">
        <f t="shared" si="480"/>
        <v>5.528961036866337E-3</v>
      </c>
      <c r="AS536" s="580" t="str">
        <f t="shared" si="481"/>
        <v>0.138986443311991-0.183946924278744i</v>
      </c>
      <c r="AT536" s="270">
        <f t="shared" si="482"/>
        <v>0.23055086722050575</v>
      </c>
      <c r="AU536" s="581">
        <f t="shared" si="483"/>
        <v>-0.92373417384925061</v>
      </c>
      <c r="AV536" s="580" t="str">
        <f t="shared" si="484"/>
        <v>-0.0263729874680991-0.0383786298334115i</v>
      </c>
      <c r="AW536" s="270">
        <f t="shared" si="485"/>
        <v>-26.638498471317323</v>
      </c>
      <c r="AX536" s="581">
        <f t="shared" si="486"/>
        <v>-124.49603113959708</v>
      </c>
      <c r="AY536" s="299">
        <f t="shared" si="456"/>
        <v>55.503968860402921</v>
      </c>
      <c r="BB536" s="270">
        <f t="shared" si="489"/>
        <v>-52.744664796727356</v>
      </c>
      <c r="BC536" s="270">
        <f t="shared" si="490"/>
        <v>-52.926069553565917</v>
      </c>
      <c r="BD536" s="286"/>
      <c r="BE536" s="270">
        <f t="shared" si="487"/>
        <v>26.106166325410037</v>
      </c>
      <c r="BF536" s="581">
        <f t="shared" si="488"/>
        <v>-71.569961586031212</v>
      </c>
      <c r="BI536" s="286"/>
      <c r="BJ536" s="286"/>
      <c r="BL536" s="253">
        <f t="shared" si="457"/>
        <v>0</v>
      </c>
      <c r="BM536" s="253">
        <f t="shared" si="437"/>
        <v>0</v>
      </c>
      <c r="BN536" s="253">
        <f t="shared" si="458"/>
        <v>0</v>
      </c>
      <c r="BO536" s="253">
        <f t="shared" si="459"/>
        <v>0</v>
      </c>
    </row>
    <row r="537" spans="4:67" ht="13.6" thickBot="1" x14ac:dyDescent="0.25">
      <c r="D537" s="280">
        <v>79433</v>
      </c>
      <c r="E537" s="273" t="str">
        <f t="shared" si="438"/>
        <v>0.898366065309353i</v>
      </c>
      <c r="F537" s="579" t="str">
        <f t="shared" si="460"/>
        <v>0.002-0.0308251933834699i</v>
      </c>
      <c r="G537" s="270" t="str">
        <f t="shared" si="461"/>
        <v>0.002-0.0308251933834699i</v>
      </c>
      <c r="H537" s="271" t="str">
        <f t="shared" si="462"/>
        <v>0.00247156355956297-0.0307563438273011i</v>
      </c>
      <c r="I537" s="271" t="str">
        <f t="shared" si="463"/>
        <v>0.012471563559563-0.0307563438273011i</v>
      </c>
      <c r="J537" s="270" t="str">
        <f t="shared" si="464"/>
        <v>0.00352430624672538-0.0158185291420168i</v>
      </c>
      <c r="K537" s="271" t="str">
        <f t="shared" si="439"/>
        <v>0.840670652534027-0.627000324755271i</v>
      </c>
      <c r="L537" s="580"/>
      <c r="M537" s="580" t="str">
        <f t="shared" si="440"/>
        <v>-0.0487851013349512-18.0081977932086i</v>
      </c>
      <c r="N537" s="270" t="str">
        <f t="shared" si="441"/>
        <v>-6.70325549266788-13.5061483449064i</v>
      </c>
      <c r="O537" s="581" t="str">
        <f t="shared" si="442"/>
        <v>-4.31816088159305-5.96356672077816i</v>
      </c>
      <c r="P537" s="582" t="str">
        <f t="shared" si="443"/>
        <v>-0.237271726396509+0.0584358393759978i</v>
      </c>
      <c r="Q537" s="583" t="str">
        <f t="shared" si="444"/>
        <v>-0.194090117580579+0.11807150658378i</v>
      </c>
      <c r="R537" s="581" t="str">
        <f t="shared" si="465"/>
        <v>-0.507397377475543-0.676477495791958i</v>
      </c>
      <c r="S537" s="253" t="str">
        <f t="shared" si="466"/>
        <v>39.8653717170465-29.1950654332905i</v>
      </c>
      <c r="T537" s="253" t="str">
        <f t="shared" si="467"/>
        <v>6.25315219177781-19.2105147120694i</v>
      </c>
      <c r="U537" s="253" t="str">
        <f t="shared" si="468"/>
        <v>-0.575390132494233-0.239804106937556i</v>
      </c>
      <c r="V537" s="582" t="str">
        <f t="shared" si="445"/>
        <v>6000</v>
      </c>
      <c r="W537" s="584" t="str">
        <f t="shared" si="446"/>
        <v>1+279533.588512625i</v>
      </c>
      <c r="X537" s="585">
        <f t="shared" si="447"/>
        <v>279533.58851441374</v>
      </c>
      <c r="Y537" s="586">
        <f t="shared" si="448"/>
        <v>1.5707927494072729</v>
      </c>
      <c r="Z537" s="273" t="str">
        <f t="shared" si="449"/>
        <v>1+41.9237497144365i</v>
      </c>
      <c r="AA537" s="585">
        <f t="shared" si="450"/>
        <v>41.935674432620189</v>
      </c>
      <c r="AB537" s="586">
        <f t="shared" si="451"/>
        <v>1.5469480207856499</v>
      </c>
      <c r="AC537" s="584" t="str">
        <f t="shared" si="452"/>
        <v>1+2.02682285463836i</v>
      </c>
      <c r="AD537" s="585">
        <f t="shared" si="453"/>
        <v>2.2600909017303685</v>
      </c>
      <c r="AE537" s="586">
        <f t="shared" si="454"/>
        <v>1.1124562926244572</v>
      </c>
      <c r="AF537" s="580" t="str">
        <f t="shared" si="469"/>
        <v>0.167651803247713-0.361261613020735i</v>
      </c>
      <c r="AG537" s="270">
        <f t="shared" si="470"/>
        <v>0.39826759870036277</v>
      </c>
      <c r="AH537" s="581">
        <f t="shared" si="471"/>
        <v>-1.13630102124608</v>
      </c>
      <c r="AI537" s="582" t="str">
        <f t="shared" si="455"/>
        <v>4000</v>
      </c>
      <c r="AJ537" s="584" t="str">
        <f t="shared" si="472"/>
        <v>1+21960.8279763067i</v>
      </c>
      <c r="AK537" s="585">
        <f t="shared" si="473"/>
        <v>21960.82799907451</v>
      </c>
      <c r="AL537" s="586">
        <f t="shared" si="474"/>
        <v>1.5707507911711767</v>
      </c>
      <c r="AM537" s="273" t="str">
        <f t="shared" si="475"/>
        <v>1+0.768602078098002i</v>
      </c>
      <c r="AN537" s="585">
        <f t="shared" si="476"/>
        <v>1.2612490453738971</v>
      </c>
      <c r="AO537" s="586">
        <f t="shared" si="477"/>
        <v>0.65530052926337701</v>
      </c>
      <c r="AP537" s="584" t="str">
        <f t="shared" si="478"/>
        <v>1+0.00556065936458095i</v>
      </c>
      <c r="AQ537" s="585">
        <f t="shared" si="479"/>
        <v>1.0000154603467732</v>
      </c>
      <c r="AR537" s="586">
        <f t="shared" si="480"/>
        <v>5.5606020520531574E-3</v>
      </c>
      <c r="AS537" s="580" t="str">
        <f t="shared" si="481"/>
        <v>0.138986299346779-0.18290897533105i</v>
      </c>
      <c r="AT537" s="270">
        <f t="shared" si="482"/>
        <v>0.22972349610513748</v>
      </c>
      <c r="AU537" s="581">
        <f t="shared" si="483"/>
        <v>-0.92101086395985243</v>
      </c>
      <c r="AV537" s="580" t="str">
        <f t="shared" si="484"/>
        <v>-0.0264467307917928-0.0381375600836457i</v>
      </c>
      <c r="AW537" s="270">
        <f t="shared" si="485"/>
        <v>-26.667738470064325</v>
      </c>
      <c r="AX537" s="581">
        <f t="shared" si="486"/>
        <v>-124.73961691070789</v>
      </c>
      <c r="AY537" s="299">
        <f t="shared" si="456"/>
        <v>55.260383089292105</v>
      </c>
      <c r="BB537" s="270">
        <f t="shared" si="489"/>
        <v>-52.775891658402863</v>
      </c>
      <c r="BC537" s="270">
        <f t="shared" si="490"/>
        <v>-52.770035390597172</v>
      </c>
      <c r="BD537" s="286"/>
      <c r="BE537" s="270">
        <f t="shared" si="487"/>
        <v>26.108153188338523</v>
      </c>
      <c r="BF537" s="581">
        <f t="shared" si="488"/>
        <v>-71.969581520110737</v>
      </c>
      <c r="BI537" s="286"/>
      <c r="BJ537" s="286"/>
      <c r="BL537" s="253">
        <f t="shared" si="457"/>
        <v>0</v>
      </c>
      <c r="BM537" s="253">
        <f t="shared" si="437"/>
        <v>0</v>
      </c>
      <c r="BN537" s="253">
        <f t="shared" si="458"/>
        <v>0</v>
      </c>
      <c r="BO537" s="253">
        <f t="shared" si="459"/>
        <v>0</v>
      </c>
    </row>
    <row r="538" spans="4:67" ht="13.6" thickBot="1" x14ac:dyDescent="0.25">
      <c r="D538" s="280">
        <v>79895.5</v>
      </c>
      <c r="E538" s="273" t="str">
        <f t="shared" si="438"/>
        <v>0.90359681707758i</v>
      </c>
      <c r="F538" s="579" t="str">
        <f t="shared" si="460"/>
        <v>0.002-0.0306467521453544i</v>
      </c>
      <c r="G538" s="270" t="str">
        <f t="shared" si="461"/>
        <v>0.002-0.0306467521453544i</v>
      </c>
      <c r="H538" s="271" t="str">
        <f t="shared" si="462"/>
        <v>0.00246609799220124-0.0305783848135743i</v>
      </c>
      <c r="I538" s="271" t="str">
        <f t="shared" si="463"/>
        <v>0.0124660979922012-0.0305783848135743i</v>
      </c>
      <c r="J538" s="270" t="str">
        <f t="shared" si="464"/>
        <v>0.00352196913610892-0.0157312042551581i</v>
      </c>
      <c r="K538" s="271" t="str">
        <f t="shared" si="439"/>
        <v>0.838809855300371-0.630651044861516i</v>
      </c>
      <c r="L538" s="580"/>
      <c r="M538" s="580" t="str">
        <f t="shared" si="440"/>
        <v>-0.0482710152079159-17.9019178728365i</v>
      </c>
      <c r="N538" s="270" t="str">
        <f t="shared" si="441"/>
        <v>-6.70286992807261-13.4264384046274i</v>
      </c>
      <c r="O538" s="581" t="str">
        <f t="shared" si="442"/>
        <v>-4.31535806302147-5.92005335112063i</v>
      </c>
      <c r="P538" s="582" t="str">
        <f t="shared" si="443"/>
        <v>-0.234821345972517+0.0581567142653019i</v>
      </c>
      <c r="Q538" s="583" t="str">
        <f t="shared" si="444"/>
        <v>-0.191667765342303+0.117357247776508i</v>
      </c>
      <c r="R538" s="581" t="str">
        <f t="shared" si="465"/>
        <v>-0.50731657414817-0.670992014675883i</v>
      </c>
      <c r="S538" s="253" t="str">
        <f t="shared" si="466"/>
        <v>39.7232240479387-29.3324083693496i</v>
      </c>
      <c r="T538" s="253" t="str">
        <f t="shared" si="467"/>
        <v>6.11741243080837-19.2590574031484i</v>
      </c>
      <c r="U538" s="253" t="str">
        <f t="shared" si="468"/>
        <v>-0.573824729907104-0.234555314166195i</v>
      </c>
      <c r="V538" s="582" t="str">
        <f t="shared" si="445"/>
        <v>6000</v>
      </c>
      <c r="W538" s="584" t="str">
        <f t="shared" si="446"/>
        <v>1+281161.177608934i</v>
      </c>
      <c r="X538" s="585">
        <f t="shared" si="447"/>
        <v>281161.1776107123</v>
      </c>
      <c r="Y538" s="586">
        <f t="shared" si="448"/>
        <v>1.570792770116096</v>
      </c>
      <c r="Z538" s="273" t="str">
        <f t="shared" si="449"/>
        <v>1+42.1678514636205i</v>
      </c>
      <c r="AA538" s="585">
        <f t="shared" si="450"/>
        <v>42.17970717131594</v>
      </c>
      <c r="AB538" s="586">
        <f t="shared" si="451"/>
        <v>1.5470860222518301</v>
      </c>
      <c r="AC538" s="584" t="str">
        <f t="shared" si="452"/>
        <v>1+2.03862406534764i</v>
      </c>
      <c r="AD538" s="585">
        <f t="shared" si="453"/>
        <v>2.2706800919139929</v>
      </c>
      <c r="AE538" s="586">
        <f t="shared" si="454"/>
        <v>1.1147558544380523</v>
      </c>
      <c r="AF538" s="580" t="str">
        <f t="shared" si="469"/>
        <v>0.166091779418969-0.359935570853406i</v>
      </c>
      <c r="AG538" s="270">
        <f t="shared" si="470"/>
        <v>0.39640899883343556</v>
      </c>
      <c r="AH538" s="581">
        <f t="shared" si="471"/>
        <v>-1.138462602302319</v>
      </c>
      <c r="AI538" s="582" t="str">
        <f t="shared" si="455"/>
        <v>4000</v>
      </c>
      <c r="AJ538" s="584" t="str">
        <f t="shared" si="472"/>
        <v>1+22088.6952725066i</v>
      </c>
      <c r="AK538" s="585">
        <f t="shared" si="473"/>
        <v>22088.69529514261</v>
      </c>
      <c r="AL538" s="586">
        <f t="shared" si="474"/>
        <v>1.5707510547683246</v>
      </c>
      <c r="AM538" s="273" t="str">
        <f t="shared" si="475"/>
        <v>1+0.773077276833042i</v>
      </c>
      <c r="AN538" s="585">
        <f t="shared" si="476"/>
        <v>1.2639812007920022</v>
      </c>
      <c r="AO538" s="586">
        <f t="shared" si="477"/>
        <v>0.65810771682830371</v>
      </c>
      <c r="AP538" s="584" t="str">
        <f t="shared" si="478"/>
        <v>1+0.0055930363987622i</v>
      </c>
      <c r="AQ538" s="585">
        <f t="shared" si="479"/>
        <v>1.0000156409057599</v>
      </c>
      <c r="AR538" s="586">
        <f t="shared" si="480"/>
        <v>5.5929780792972348E-3</v>
      </c>
      <c r="AS538" s="580" t="str">
        <f t="shared" si="481"/>
        <v>0.138986153416889-0.181859122793499i</v>
      </c>
      <c r="AT538" s="270">
        <f t="shared" si="482"/>
        <v>0.22888838193504701</v>
      </c>
      <c r="AU538" s="581">
        <f t="shared" si="483"/>
        <v>-0.91823631601931888</v>
      </c>
      <c r="AV538" s="580" t="str">
        <f t="shared" si="484"/>
        <v>-0.0265219966254349-0.0378924956533151i</v>
      </c>
      <c r="AW538" s="270">
        <f t="shared" si="485"/>
        <v>-26.697369302845186</v>
      </c>
      <c r="AX538" s="581">
        <f t="shared" si="486"/>
        <v>-124.98922904926138</v>
      </c>
      <c r="AY538" s="299">
        <f t="shared" si="456"/>
        <v>55.010770950738618</v>
      </c>
      <c r="BB538" s="270">
        <f t="shared" si="489"/>
        <v>-52.807525019340318</v>
      </c>
      <c r="BC538" s="270">
        <f t="shared" si="490"/>
        <v>-52.61106550354787</v>
      </c>
      <c r="BD538" s="286"/>
      <c r="BE538" s="270">
        <f t="shared" si="487"/>
        <v>26.110155716495136</v>
      </c>
      <c r="BF538" s="581">
        <f t="shared" si="488"/>
        <v>-72.378163545713576</v>
      </c>
      <c r="BI538" s="286"/>
      <c r="BJ538" s="286"/>
      <c r="BL538" s="253">
        <f t="shared" si="457"/>
        <v>0</v>
      </c>
      <c r="BM538" s="253">
        <f t="shared" ref="BM538:BM601" si="491">IF(BL538&gt;0,AY538,0)</f>
        <v>0</v>
      </c>
      <c r="BN538" s="253">
        <f t="shared" si="458"/>
        <v>0</v>
      </c>
      <c r="BO538" s="253">
        <f t="shared" si="459"/>
        <v>0</v>
      </c>
    </row>
    <row r="539" spans="4:67" ht="13.6" thickBot="1" x14ac:dyDescent="0.25">
      <c r="D539" s="280">
        <v>80358</v>
      </c>
      <c r="E539" s="273" t="str">
        <f t="shared" si="438"/>
        <v>0.908827568845807i</v>
      </c>
      <c r="F539" s="579" t="str">
        <f t="shared" si="460"/>
        <v>0.002-0.0304703649422479i</v>
      </c>
      <c r="G539" s="270" t="str">
        <f t="shared" si="461"/>
        <v>0.002-0.0304703649422479i</v>
      </c>
      <c r="H539" s="271" t="str">
        <f t="shared" si="462"/>
        <v>0.00246072649498218-0.0304024728522331i</v>
      </c>
      <c r="I539" s="271" t="str">
        <f t="shared" si="463"/>
        <v>0.0124607264949822-0.0304024728522331i</v>
      </c>
      <c r="J539" s="270" t="str">
        <f t="shared" si="464"/>
        <v>0.00351965112410187-0.0156449039790634i</v>
      </c>
      <c r="K539" s="271" t="str">
        <f t="shared" si="439"/>
        <v>0.836938254993561-0.63430176496776i</v>
      </c>
      <c r="L539" s="580"/>
      <c r="M539" s="580" t="str">
        <f t="shared" si="440"/>
        <v>-0.0477653922173237-17.7968964245758i</v>
      </c>
      <c r="N539" s="270" t="str">
        <f t="shared" si="441"/>
        <v>-6.70249071082966-13.3476723184318i</v>
      </c>
      <c r="O539" s="581" t="str">
        <f t="shared" si="442"/>
        <v>-4.31256244855913-5.87701600573495i</v>
      </c>
      <c r="P539" s="582" t="str">
        <f t="shared" si="443"/>
        <v>-0.232413480730522+0.0578806737117825i</v>
      </c>
      <c r="Q539" s="583" t="str">
        <f t="shared" si="444"/>
        <v>-0.189287856244931+0.116650833769133i</v>
      </c>
      <c r="R539" s="581" t="str">
        <f t="shared" si="465"/>
        <v>-0.507237146981234-0.66556272314121i</v>
      </c>
      <c r="S539" s="253" t="str">
        <f t="shared" si="466"/>
        <v>39.5803754871133-29.4689211935861i</v>
      </c>
      <c r="T539" s="253" t="str">
        <f t="shared" si="467"/>
        <v>5.98138681812458-19.3065381214557i</v>
      </c>
      <c r="U539" s="253" t="str">
        <f t="shared" si="468"/>
        <v>-0.572247944088065-0.229357060238588i</v>
      </c>
      <c r="V539" s="582" t="str">
        <f t="shared" si="445"/>
        <v>6000</v>
      </c>
      <c r="W539" s="584" t="str">
        <f t="shared" si="446"/>
        <v>1+282788.766705242i</v>
      </c>
      <c r="X539" s="585">
        <f t="shared" si="447"/>
        <v>282788.7667070101</v>
      </c>
      <c r="Y539" s="586">
        <f t="shared" si="448"/>
        <v>1.57079279058654</v>
      </c>
      <c r="Z539" s="273" t="str">
        <f t="shared" si="449"/>
        <v>1+42.4119532128043i</v>
      </c>
      <c r="AA539" s="585">
        <f t="shared" si="450"/>
        <v>42.423740704057451</v>
      </c>
      <c r="AB539" s="586">
        <f t="shared" si="451"/>
        <v>1.5472224360724995</v>
      </c>
      <c r="AC539" s="584" t="str">
        <f t="shared" si="452"/>
        <v>1+2.05042527605691i</v>
      </c>
      <c r="AD539" s="585">
        <f t="shared" si="453"/>
        <v>2.2812811779114508</v>
      </c>
      <c r="AE539" s="586">
        <f t="shared" si="454"/>
        <v>1.1170340561338763</v>
      </c>
      <c r="AF539" s="580" t="str">
        <f t="shared" si="469"/>
        <v>0.164551712946208-0.358615059473013i</v>
      </c>
      <c r="AG539" s="270">
        <f t="shared" si="470"/>
        <v>0.3945656182618601</v>
      </c>
      <c r="AH539" s="581">
        <f t="shared" si="471"/>
        <v>-1.1406044106479176</v>
      </c>
      <c r="AI539" s="582" t="str">
        <f t="shared" si="455"/>
        <v>4000</v>
      </c>
      <c r="AJ539" s="584" t="str">
        <f t="shared" si="472"/>
        <v>1+22216.5625687064i</v>
      </c>
      <c r="AK539" s="585">
        <f t="shared" si="473"/>
        <v>22216.562591212129</v>
      </c>
      <c r="AL539" s="586">
        <f t="shared" si="474"/>
        <v>1.5707513153312089</v>
      </c>
      <c r="AM539" s="273" t="str">
        <f t="shared" si="475"/>
        <v>1+0.777552475568079i</v>
      </c>
      <c r="AN539" s="585">
        <f t="shared" si="476"/>
        <v>1.2667232737508409</v>
      </c>
      <c r="AO539" s="586">
        <f t="shared" si="477"/>
        <v>0.66090277291490906</v>
      </c>
      <c r="AP539" s="584" t="str">
        <f t="shared" si="478"/>
        <v>1+0.00562541343294344i</v>
      </c>
      <c r="AQ539" s="585">
        <f t="shared" si="479"/>
        <v>1.0000158225129698</v>
      </c>
      <c r="AR539" s="586">
        <f t="shared" si="480"/>
        <v>5.6253540948159857E-3</v>
      </c>
      <c r="AS539" s="580" t="str">
        <f t="shared" si="481"/>
        <v>0.138986008844058-0.180821406884004i</v>
      </c>
      <c r="AT539" s="270">
        <f t="shared" si="482"/>
        <v>0.22806466592155636</v>
      </c>
      <c r="AU539" s="581">
        <f t="shared" si="483"/>
        <v>-0.91547389651111721</v>
      </c>
      <c r="AV539" s="580" t="str">
        <f t="shared" si="484"/>
        <v>-0.0265970630397768-0.0376490145766751i</v>
      </c>
      <c r="AW539" s="270">
        <f t="shared" si="485"/>
        <v>-26.726713015456586</v>
      </c>
      <c r="AX539" s="581">
        <f t="shared" si="486"/>
        <v>-125.23921014803238</v>
      </c>
      <c r="AY539" s="299">
        <f t="shared" si="456"/>
        <v>54.760789851967616</v>
      </c>
      <c r="BB539" s="270">
        <f t="shared" si="489"/>
        <v>-52.838839895866549</v>
      </c>
      <c r="BC539" s="270">
        <f t="shared" si="490"/>
        <v>-52.452790524483319</v>
      </c>
      <c r="BD539" s="286"/>
      <c r="BE539" s="270">
        <f t="shared" si="487"/>
        <v>26.112126880409967</v>
      </c>
      <c r="BF539" s="581">
        <f t="shared" si="488"/>
        <v>-72.786419623549079</v>
      </c>
      <c r="BI539" s="286"/>
      <c r="BJ539" s="286"/>
      <c r="BL539" s="253">
        <f t="shared" si="457"/>
        <v>0</v>
      </c>
      <c r="BM539" s="253">
        <f t="shared" si="491"/>
        <v>0</v>
      </c>
      <c r="BN539" s="253">
        <f t="shared" si="458"/>
        <v>0</v>
      </c>
      <c r="BO539" s="253">
        <f t="shared" si="459"/>
        <v>0</v>
      </c>
    </row>
    <row r="540" spans="4:67" ht="13.6" thickBot="1" x14ac:dyDescent="0.25">
      <c r="D540" s="280">
        <v>80820.5</v>
      </c>
      <c r="E540" s="273" t="str">
        <f t="shared" si="438"/>
        <v>0.914058320614034i</v>
      </c>
      <c r="F540" s="579" t="str">
        <f t="shared" si="460"/>
        <v>0.002-0.030295996511147i</v>
      </c>
      <c r="G540" s="270" t="str">
        <f t="shared" si="461"/>
        <v>0.002-0.030295996511147i</v>
      </c>
      <c r="H540" s="271" t="str">
        <f t="shared" si="462"/>
        <v>0.00245544692161553-0.0302285728326291i</v>
      </c>
      <c r="I540" s="271" t="str">
        <f t="shared" si="463"/>
        <v>0.0124554469216155-0.0302285728326291i</v>
      </c>
      <c r="J540" s="270" t="str">
        <f t="shared" si="464"/>
        <v>0.00351735168958348-0.0155596106522536i</v>
      </c>
      <c r="K540" s="271" t="str">
        <f t="shared" si="439"/>
        <v>0.835055851613595-0.637952485074005i</v>
      </c>
      <c r="L540" s="580"/>
      <c r="M540" s="580" t="str">
        <f t="shared" si="440"/>
        <v>-0.0472680491672255-17.6931110339844i</v>
      </c>
      <c r="N540" s="270" t="str">
        <f t="shared" si="441"/>
        <v>-6.70211770354209-13.2698332754883i</v>
      </c>
      <c r="O540" s="581" t="str">
        <f t="shared" si="442"/>
        <v>-4.30977370732016-5.83444635431763i</v>
      </c>
      <c r="P540" s="582" t="str">
        <f t="shared" si="443"/>
        <v>-0.230047144215258+0.0576076715206611i</v>
      </c>
      <c r="Q540" s="583" t="str">
        <f t="shared" si="444"/>
        <v>-0.186949407142057+0.115952135063837i</v>
      </c>
      <c r="R540" s="581" t="str">
        <f t="shared" si="465"/>
        <v>-0.507159064611124-0.660188620218744i</v>
      </c>
      <c r="S540" s="253" t="str">
        <f t="shared" si="466"/>
        <v>39.4368306354552-29.604598766895i</v>
      </c>
      <c r="T540" s="253" t="str">
        <f t="shared" si="467"/>
        <v>5.8450844259827-19.3529545326165i</v>
      </c>
      <c r="U540" s="253" t="str">
        <f t="shared" si="468"/>
        <v>-0.570659901055396-0.224208712914965i</v>
      </c>
      <c r="V540" s="582" t="str">
        <f t="shared" si="445"/>
        <v>6000</v>
      </c>
      <c r="W540" s="584" t="str">
        <f t="shared" si="446"/>
        <v>1+284416.355801551i</v>
      </c>
      <c r="X540" s="585">
        <f t="shared" si="447"/>
        <v>284416.35580330901</v>
      </c>
      <c r="Y540" s="586">
        <f t="shared" si="448"/>
        <v>1.5707928108226974</v>
      </c>
      <c r="Z540" s="273" t="str">
        <f t="shared" si="449"/>
        <v>1+42.6560549619883i</v>
      </c>
      <c r="AA540" s="585">
        <f t="shared" si="450"/>
        <v>42.667775017220741</v>
      </c>
      <c r="AB540" s="586">
        <f t="shared" si="451"/>
        <v>1.5473572894837035</v>
      </c>
      <c r="AC540" s="584" t="str">
        <f t="shared" si="452"/>
        <v>1+2.0622264867662i</v>
      </c>
      <c r="AD540" s="585">
        <f t="shared" si="453"/>
        <v>2.2918939946515993</v>
      </c>
      <c r="AE540" s="586">
        <f t="shared" si="454"/>
        <v>1.1192911706276953</v>
      </c>
      <c r="AF540" s="580" t="str">
        <f t="shared" si="469"/>
        <v>0.163031298795848-0.357300131843321i</v>
      </c>
      <c r="AG540" s="270">
        <f t="shared" si="470"/>
        <v>0.39273730228018272</v>
      </c>
      <c r="AH540" s="581">
        <f t="shared" si="471"/>
        <v>-1.1427266919666892</v>
      </c>
      <c r="AI540" s="582" t="str">
        <f t="shared" si="455"/>
        <v>4000</v>
      </c>
      <c r="AJ540" s="584" t="str">
        <f t="shared" si="472"/>
        <v>1+22344.4298649063i</v>
      </c>
      <c r="AK540" s="585">
        <f t="shared" si="473"/>
        <v>22344.429887283237</v>
      </c>
      <c r="AL540" s="586">
        <f t="shared" si="474"/>
        <v>1.570751572911921</v>
      </c>
      <c r="AM540" s="273" t="str">
        <f t="shared" si="475"/>
        <v>1+0.782027674303119i</v>
      </c>
      <c r="AN540" s="585">
        <f t="shared" si="476"/>
        <v>1.2694751999846021</v>
      </c>
      <c r="AO540" s="586">
        <f t="shared" si="477"/>
        <v>0.66368573260482189</v>
      </c>
      <c r="AP540" s="584" t="str">
        <f t="shared" si="478"/>
        <v>1+0.00565779046712469i</v>
      </c>
      <c r="AQ540" s="585">
        <f t="shared" si="479"/>
        <v>1.0000160051684022</v>
      </c>
      <c r="AR540" s="586">
        <f t="shared" si="480"/>
        <v>5.6577300985415618E-3</v>
      </c>
      <c r="AS540" s="580" t="str">
        <f t="shared" si="481"/>
        <v>0.138985865590662-0.179795619244777i</v>
      </c>
      <c r="AT540" s="270">
        <f t="shared" si="482"/>
        <v>0.22725214087792084</v>
      </c>
      <c r="AU540" s="581">
        <f t="shared" si="483"/>
        <v>-0.912723570405641</v>
      </c>
      <c r="AV540" s="580" t="str">
        <f t="shared" si="484"/>
        <v>-0.0266719232601209-0.0374070771135999i</v>
      </c>
      <c r="AW540" s="270">
        <f t="shared" si="485"/>
        <v>-26.755774180988215</v>
      </c>
      <c r="AX540" s="581">
        <f t="shared" si="486"/>
        <v>-125.48955702409393</v>
      </c>
      <c r="AY540" s="299">
        <f t="shared" si="456"/>
        <v>54.510442975906074</v>
      </c>
      <c r="BB540" s="270">
        <f t="shared" si="489"/>
        <v>-52.869840334433398</v>
      </c>
      <c r="BC540" s="270">
        <f t="shared" si="490"/>
        <v>-52.295208446354884</v>
      </c>
      <c r="BD540" s="286"/>
      <c r="BE540" s="270">
        <f t="shared" si="487"/>
        <v>26.114066153445187</v>
      </c>
      <c r="BF540" s="581">
        <f t="shared" si="488"/>
        <v>-73.194348577739092</v>
      </c>
      <c r="BI540" s="286"/>
      <c r="BJ540" s="286"/>
      <c r="BL540" s="253">
        <f t="shared" si="457"/>
        <v>0</v>
      </c>
      <c r="BM540" s="253">
        <f t="shared" si="491"/>
        <v>0</v>
      </c>
      <c r="BN540" s="253">
        <f t="shared" si="458"/>
        <v>0</v>
      </c>
      <c r="BO540" s="253">
        <f t="shared" si="459"/>
        <v>0</v>
      </c>
    </row>
    <row r="541" spans="4:67" ht="13.6" thickBot="1" x14ac:dyDescent="0.25">
      <c r="D541" s="280">
        <v>81283</v>
      </c>
      <c r="E541" s="273" t="str">
        <f t="shared" si="438"/>
        <v>0.919289072382261i</v>
      </c>
      <c r="F541" s="579" t="str">
        <f t="shared" si="460"/>
        <v>0.002-0.0301236123916337i</v>
      </c>
      <c r="G541" s="270" t="str">
        <f t="shared" si="461"/>
        <v>0.002-0.0301236123916337i</v>
      </c>
      <c r="H541" s="271" t="str">
        <f t="shared" si="462"/>
        <v>0.0024502571866709-0.0300566504423159i</v>
      </c>
      <c r="I541" s="271" t="str">
        <f t="shared" si="463"/>
        <v>0.0124502571866709-0.0300566504423159i</v>
      </c>
      <c r="J541" s="270" t="str">
        <f t="shared" si="464"/>
        <v>0.00351507032675734-0.015475307014899i</v>
      </c>
      <c r="K541" s="271" t="str">
        <f t="shared" si="439"/>
        <v>0.833162645160476-0.641603205180249i</v>
      </c>
      <c r="L541" s="580"/>
      <c r="M541" s="580" t="str">
        <f t="shared" si="440"/>
        <v>-0.0467788077075622-17.5905398200333i</v>
      </c>
      <c r="N541" s="270" t="str">
        <f t="shared" si="441"/>
        <v>-6.70175077244734-13.192904865025i</v>
      </c>
      <c r="O541" s="581" t="str">
        <f t="shared" si="442"/>
        <v>-4.30699151888547-5.79233626532541i</v>
      </c>
      <c r="P541" s="582" t="str">
        <f t="shared" si="443"/>
        <v>-0.227721378482169+0.0573376623261772i</v>
      </c>
      <c r="Q541" s="583" t="str">
        <f t="shared" si="444"/>
        <v>-0.184651463293315+0.115261024979432i</v>
      </c>
      <c r="R541" s="581" t="str">
        <f t="shared" si="465"/>
        <v>-0.507082296560783-0.654868728766506i</v>
      </c>
      <c r="S541" s="253" t="str">
        <f t="shared" si="466"/>
        <v>39.2925941660295-29.7394359544516i</v>
      </c>
      <c r="T541" s="253" t="str">
        <f t="shared" si="467"/>
        <v>5.70851436581009-19.3983043847787i</v>
      </c>
      <c r="U541" s="253" t="str">
        <f t="shared" si="468"/>
        <v>-0.569060725716897-0.219109655566124i</v>
      </c>
      <c r="V541" s="582" t="str">
        <f t="shared" si="445"/>
        <v>6000</v>
      </c>
      <c r="W541" s="584" t="str">
        <f t="shared" si="446"/>
        <v>1+286043.94489786i</v>
      </c>
      <c r="X541" s="585">
        <f t="shared" si="447"/>
        <v>286043.94489960797</v>
      </c>
      <c r="Y541" s="586">
        <f t="shared" si="448"/>
        <v>1.5707928308285675</v>
      </c>
      <c r="Z541" s="273" t="str">
        <f t="shared" si="449"/>
        <v>1+42.9001567111722i</v>
      </c>
      <c r="AA541" s="585">
        <f t="shared" si="450"/>
        <v>42.911810097491035</v>
      </c>
      <c r="AB541" s="586">
        <f t="shared" si="451"/>
        <v>1.5474906091021627</v>
      </c>
      <c r="AC541" s="584" t="str">
        <f t="shared" si="452"/>
        <v>1+2.07402769747547i</v>
      </c>
      <c r="AD541" s="585">
        <f t="shared" si="453"/>
        <v>2.3025183799256412</v>
      </c>
      <c r="AE541" s="586">
        <f t="shared" si="454"/>
        <v>1.1215274666658701</v>
      </c>
      <c r="AF541" s="580" t="str">
        <f t="shared" si="469"/>
        <v>0.161530236877171-0.355990837339436i</v>
      </c>
      <c r="AG541" s="270">
        <f t="shared" si="470"/>
        <v>0.39092389757499824</v>
      </c>
      <c r="AH541" s="581">
        <f t="shared" si="471"/>
        <v>-1.1448296883922755</v>
      </c>
      <c r="AI541" s="582" t="str">
        <f t="shared" si="455"/>
        <v>4000</v>
      </c>
      <c r="AJ541" s="584" t="str">
        <f t="shared" si="472"/>
        <v>1+22472.2971611061i</v>
      </c>
      <c r="AK541" s="585">
        <f t="shared" si="473"/>
        <v>22472.297183355717</v>
      </c>
      <c r="AL541" s="586">
        <f t="shared" si="474"/>
        <v>1.5707518275613661</v>
      </c>
      <c r="AM541" s="273" t="str">
        <f t="shared" si="475"/>
        <v>1+0.786502873038157i</v>
      </c>
      <c r="AN541" s="585">
        <f t="shared" si="476"/>
        <v>1.2722369155535753</v>
      </c>
      <c r="AO541" s="586">
        <f t="shared" si="477"/>
        <v>0.66645663142615608</v>
      </c>
      <c r="AP541" s="584" t="str">
        <f t="shared" si="478"/>
        <v>1+0.00569016750130592i</v>
      </c>
      <c r="AQ541" s="585">
        <f t="shared" si="479"/>
        <v>1.0000161888720567</v>
      </c>
      <c r="AR541" s="586">
        <f t="shared" si="480"/>
        <v>5.6901060904060675E-3</v>
      </c>
      <c r="AS541" s="580" t="str">
        <f t="shared" si="481"/>
        <v>0.138985723620147-0.178781556260258i</v>
      </c>
      <c r="AT541" s="270">
        <f t="shared" si="482"/>
        <v>0.22645060439101433</v>
      </c>
      <c r="AU541" s="581">
        <f t="shared" si="483"/>
        <v>-0.90998530222561858</v>
      </c>
      <c r="AV541" s="580" t="str">
        <f t="shared" si="484"/>
        <v>-0.026746570467928-0.0371666445417591i</v>
      </c>
      <c r="AW541" s="270">
        <f t="shared" si="485"/>
        <v>-26.784557306370495</v>
      </c>
      <c r="AX541" s="581">
        <f t="shared" si="486"/>
        <v>-125.74026644788826</v>
      </c>
      <c r="AY541" s="299">
        <f t="shared" si="456"/>
        <v>54.25973355211174</v>
      </c>
      <c r="BB541" s="270">
        <f t="shared" si="489"/>
        <v>-52.900530317166769</v>
      </c>
      <c r="BC541" s="270">
        <f t="shared" si="490"/>
        <v>-52.138317236464623</v>
      </c>
      <c r="BD541" s="286"/>
      <c r="BE541" s="270">
        <f t="shared" si="487"/>
        <v>26.115973010796271</v>
      </c>
      <c r="BF541" s="581">
        <f t="shared" si="488"/>
        <v>-73.601949211423701</v>
      </c>
      <c r="BI541" s="286"/>
      <c r="BJ541" s="286"/>
      <c r="BL541" s="253">
        <f t="shared" si="457"/>
        <v>0</v>
      </c>
      <c r="BM541" s="253">
        <f t="shared" si="491"/>
        <v>0</v>
      </c>
      <c r="BN541" s="253">
        <f t="shared" si="458"/>
        <v>0</v>
      </c>
      <c r="BO541" s="253">
        <f t="shared" si="459"/>
        <v>0</v>
      </c>
    </row>
    <row r="542" spans="4:67" ht="13.6" thickBot="1" x14ac:dyDescent="0.25">
      <c r="D542" s="280">
        <v>81756.25</v>
      </c>
      <c r="E542" s="273" t="str">
        <f t="shared" si="438"/>
        <v>0.924641403786182i</v>
      </c>
      <c r="F542" s="579" t="str">
        <f t="shared" si="460"/>
        <v>0.002-0.0299492404070534i</v>
      </c>
      <c r="G542" s="270" t="str">
        <f t="shared" si="461"/>
        <v>0.002-0.0299492404070534i</v>
      </c>
      <c r="H542" s="271" t="str">
        <f t="shared" si="462"/>
        <v>0.00244503770660668-0.0298827441518618i</v>
      </c>
      <c r="I542" s="271" t="str">
        <f t="shared" si="463"/>
        <v>0.0124450377066067-0.0298827441518618i</v>
      </c>
      <c r="J542" s="270" t="str">
        <f t="shared" si="464"/>
        <v>0.00351275413221012-0.0153900507545504i</v>
      </c>
      <c r="K542" s="271" t="str">
        <f t="shared" si="439"/>
        <v>0.831214251810245-0.645338779861936i</v>
      </c>
      <c r="L542" s="580"/>
      <c r="M542" s="580" t="str">
        <f t="shared" si="440"/>
        <v>-0.0462863998091497-17.4868190727448i</v>
      </c>
      <c r="N542" s="270" t="str">
        <f t="shared" si="441"/>
        <v>-6.70138146652353-13.1151143045586i</v>
      </c>
      <c r="O542" s="581" t="str">
        <f t="shared" si="442"/>
        <v>-4.30415112276762-5.7497148302711i</v>
      </c>
      <c r="P542" s="582" t="str">
        <f t="shared" si="443"/>
        <v>-0.225382580236934+0.0570644289276542i</v>
      </c>
      <c r="Q542" s="583" t="str">
        <f t="shared" si="444"/>
        <v>-0.182341069009257+0.114561577230365i</v>
      </c>
      <c r="R542" s="581" t="str">
        <f t="shared" si="465"/>
        <v>-0.507005073776774-0.649480306913959i</v>
      </c>
      <c r="S542" s="253" t="str">
        <f t="shared" si="466"/>
        <v>39.1442942061275-29.876531932672i</v>
      </c>
      <c r="T542" s="253" t="str">
        <f t="shared" si="467"/>
        <v>5.56850244671889-19.4436020206187i</v>
      </c>
      <c r="U542" s="253" t="str">
        <f t="shared" si="468"/>
        <v>-0.567412986121213-0.213942474016984i</v>
      </c>
      <c r="V542" s="582" t="str">
        <f t="shared" si="445"/>
        <v>6000</v>
      </c>
      <c r="W542" s="584" t="str">
        <f t="shared" si="446"/>
        <v>1+287709.364443434i</v>
      </c>
      <c r="X542" s="585">
        <f t="shared" si="447"/>
        <v>287709.3644451719</v>
      </c>
      <c r="Y542" s="586">
        <f t="shared" si="448"/>
        <v>1.5707928510651374</v>
      </c>
      <c r="Z542" s="273" t="str">
        <f t="shared" si="449"/>
        <v>1+43.1499321766885i</v>
      </c>
      <c r="AA542" s="585">
        <f t="shared" si="450"/>
        <v>43.161518124978151</v>
      </c>
      <c r="AB542" s="586">
        <f t="shared" si="451"/>
        <v>1.5476254669524101</v>
      </c>
      <c r="AC542" s="584" t="str">
        <f t="shared" si="452"/>
        <v>1+2.08610320659584i</v>
      </c>
      <c r="AD542" s="585">
        <f t="shared" si="453"/>
        <v>2.3134015190989752</v>
      </c>
      <c r="AE542" s="586">
        <f t="shared" si="454"/>
        <v>1.1237944676057894</v>
      </c>
      <c r="AF542" s="580" t="str">
        <f t="shared" si="469"/>
        <v>0.160014009656689-0.354656989512467i</v>
      </c>
      <c r="AG542" s="270">
        <f t="shared" si="470"/>
        <v>0.38908362018524639</v>
      </c>
      <c r="AH542" s="581">
        <f t="shared" si="471"/>
        <v>-1.1469618517185176</v>
      </c>
      <c r="AI542" s="582" t="str">
        <f t="shared" si="455"/>
        <v>4000</v>
      </c>
      <c r="AJ542" s="584" t="str">
        <f t="shared" si="472"/>
        <v>1+22603.1365079744i</v>
      </c>
      <c r="AK542" s="585">
        <f t="shared" si="473"/>
        <v>22603.13653009522</v>
      </c>
      <c r="AL542" s="586">
        <f t="shared" si="474"/>
        <v>1.5707520851473273</v>
      </c>
      <c r="AM542" s="273" t="str">
        <f t="shared" si="475"/>
        <v>1+0.791082089905956i</v>
      </c>
      <c r="AN542" s="585">
        <f t="shared" si="476"/>
        <v>1.2750728892773051</v>
      </c>
      <c r="AO542" s="586">
        <f t="shared" si="477"/>
        <v>0.66927948781188551</v>
      </c>
      <c r="AP542" s="584" t="str">
        <f t="shared" si="478"/>
        <v>1+0.00572329708276814i</v>
      </c>
      <c r="AQ542" s="585">
        <f t="shared" si="479"/>
        <v>1.0000163779306306</v>
      </c>
      <c r="AR542" s="586">
        <f t="shared" si="480"/>
        <v>5.7232345929761575E-3</v>
      </c>
      <c r="AS542" s="580" t="str">
        <f t="shared" si="481"/>
        <v>0.138985579640678-0.177755852195082i</v>
      </c>
      <c r="AT542" s="270">
        <f t="shared" si="482"/>
        <v>0.22564160595434318</v>
      </c>
      <c r="AU542" s="581">
        <f t="shared" si="483"/>
        <v>-0.90719583192842079</v>
      </c>
      <c r="AV542" s="580" t="str">
        <f t="shared" si="484"/>
        <v>-0.0268227250662934-0.0369221419500526i</v>
      </c>
      <c r="AW542" s="270">
        <f t="shared" si="485"/>
        <v>-26.813726269179487</v>
      </c>
      <c r="AX542" s="581">
        <f t="shared" si="486"/>
        <v>-125.99717504094401</v>
      </c>
      <c r="AY542" s="299">
        <f t="shared" si="456"/>
        <v>54.002824959055985</v>
      </c>
      <c r="BB542" s="270">
        <f t="shared" si="489"/>
        <v>-52.931616358809904</v>
      </c>
      <c r="BC542" s="270">
        <f t="shared" si="490"/>
        <v>-51.978492361358086</v>
      </c>
      <c r="BD542" s="286"/>
      <c r="BE542" s="270">
        <f t="shared" si="487"/>
        <v>26.117890089630414</v>
      </c>
      <c r="BF542" s="581">
        <f t="shared" si="488"/>
        <v>-74.018682679585865</v>
      </c>
      <c r="BI542" s="286"/>
      <c r="BJ542" s="286"/>
      <c r="BL542" s="253">
        <f t="shared" si="457"/>
        <v>0</v>
      </c>
      <c r="BM542" s="253">
        <f t="shared" si="491"/>
        <v>0</v>
      </c>
      <c r="BN542" s="253">
        <f t="shared" si="458"/>
        <v>0</v>
      </c>
      <c r="BO542" s="253">
        <f t="shared" si="459"/>
        <v>0</v>
      </c>
    </row>
    <row r="543" spans="4:67" ht="13.6" thickBot="1" x14ac:dyDescent="0.25">
      <c r="D543" s="280">
        <v>82229.5</v>
      </c>
      <c r="E543" s="273" t="str">
        <f t="shared" si="438"/>
        <v>0.929993735190103i</v>
      </c>
      <c r="F543" s="579" t="str">
        <f t="shared" si="460"/>
        <v>0.002-0.0297768755255615i</v>
      </c>
      <c r="G543" s="270" t="str">
        <f t="shared" si="461"/>
        <v>0.002-0.0297768755255615i</v>
      </c>
      <c r="H543" s="271" t="str">
        <f t="shared" si="462"/>
        <v>0.00243990805837508-0.0297108382680195i</v>
      </c>
      <c r="I543" s="271" t="str">
        <f t="shared" si="463"/>
        <v>0.0124399080583751-0.0297108382680195i</v>
      </c>
      <c r="J543" s="270" t="str">
        <f t="shared" si="464"/>
        <v>0.00351045583466146-0.0153057954018045i</v>
      </c>
      <c r="K543" s="271" t="str">
        <f t="shared" si="439"/>
        <v>0.829254547353602-0.649074354543623i</v>
      </c>
      <c r="L543" s="580"/>
      <c r="M543" s="580" t="str">
        <f t="shared" si="440"/>
        <v>-0.0458021115757112-17.3843248907946i</v>
      </c>
      <c r="N543" s="270" t="str">
        <f t="shared" si="441"/>
        <v>-6.70101825034845-13.0382436680959i</v>
      </c>
      <c r="O543" s="581" t="str">
        <f t="shared" si="442"/>
        <v>-4.301316940891-5.70755795556844i</v>
      </c>
      <c r="P543" s="582" t="str">
        <f t="shared" si="443"/>
        <v>-0.223084318597858+0.0567942357651863i</v>
      </c>
      <c r="Q543" s="583" t="str">
        <f t="shared" si="444"/>
        <v>-0.180071149188947+0.113869815320871i</v>
      </c>
      <c r="R543" s="581" t="str">
        <f t="shared" si="465"/>
        <v>-0.506929165273659-0.644146649320245i</v>
      </c>
      <c r="S543" s="253" t="str">
        <f t="shared" si="466"/>
        <v>38.9952802353409-30.0127371477985i</v>
      </c>
      <c r="T543" s="253" t="str">
        <f t="shared" si="467"/>
        <v>5.42822969518399-19.4877784391042i</v>
      </c>
      <c r="U543" s="253" t="str">
        <f t="shared" si="468"/>
        <v>-0.565753852031231-0.208825642208668i</v>
      </c>
      <c r="V543" s="582" t="str">
        <f t="shared" si="445"/>
        <v>6000</v>
      </c>
      <c r="W543" s="584" t="str">
        <f t="shared" si="446"/>
        <v>1+289374.783989008i</v>
      </c>
      <c r="X543" s="585">
        <f t="shared" si="447"/>
        <v>289374.78399073583</v>
      </c>
      <c r="Y543" s="586">
        <f t="shared" si="448"/>
        <v>1.5707928710687749</v>
      </c>
      <c r="Z543" s="273" t="str">
        <f t="shared" si="449"/>
        <v>1+43.3997076422048i</v>
      </c>
      <c r="AA543" s="585">
        <f t="shared" si="450"/>
        <v>43.411226928397802</v>
      </c>
      <c r="AB543" s="586">
        <f t="shared" si="451"/>
        <v>1.5477587733542106</v>
      </c>
      <c r="AC543" s="584" t="str">
        <f t="shared" si="452"/>
        <v>1+2.0981787157162i</v>
      </c>
      <c r="AD543" s="585">
        <f t="shared" si="453"/>
        <v>2.3242964361467502</v>
      </c>
      <c r="AE543" s="586">
        <f t="shared" si="454"/>
        <v>1.1260402272975825</v>
      </c>
      <c r="AF543" s="580" t="str">
        <f t="shared" si="469"/>
        <v>0.158517424586564-0.353329133380735i</v>
      </c>
      <c r="AG543" s="270">
        <f t="shared" si="470"/>
        <v>0.38725863501429925</v>
      </c>
      <c r="AH543" s="581">
        <f t="shared" si="471"/>
        <v>-1.1490743250121456</v>
      </c>
      <c r="AI543" s="582" t="str">
        <f t="shared" si="455"/>
        <v>4000</v>
      </c>
      <c r="AJ543" s="584" t="str">
        <f t="shared" si="472"/>
        <v>1+22733.9758548426i</v>
      </c>
      <c r="AK543" s="585">
        <f t="shared" si="473"/>
        <v>22733.975876836113</v>
      </c>
      <c r="AL543" s="586">
        <f t="shared" si="474"/>
        <v>1.5707523397683536</v>
      </c>
      <c r="AM543" s="273" t="str">
        <f t="shared" si="475"/>
        <v>1+0.795661306773755i</v>
      </c>
      <c r="AN543" s="585">
        <f t="shared" si="476"/>
        <v>1.2779189782990623</v>
      </c>
      <c r="AO543" s="586">
        <f t="shared" si="477"/>
        <v>0.6720897927841859</v>
      </c>
      <c r="AP543" s="584" t="str">
        <f t="shared" si="478"/>
        <v>1+0.00575642666423035i</v>
      </c>
      <c r="AQ543" s="585">
        <f t="shared" si="479"/>
        <v>1.0000165680867197</v>
      </c>
      <c r="AR543" s="586">
        <f t="shared" si="480"/>
        <v>5.7563630829836308E-3</v>
      </c>
      <c r="AS543" s="580" t="str">
        <f t="shared" si="481"/>
        <v>0.138985436930248-0.176742007451978i</v>
      </c>
      <c r="AT543" s="270">
        <f t="shared" si="482"/>
        <v>0.22484369877060598</v>
      </c>
      <c r="AU543" s="581">
        <f t="shared" si="483"/>
        <v>-0.90441891006715303</v>
      </c>
      <c r="AV543" s="580" t="str">
        <f t="shared" si="484"/>
        <v>-0.0268986420616376-0.0366791361439602i</v>
      </c>
      <c r="AW543" s="270">
        <f t="shared" si="485"/>
        <v>-26.8426134571707</v>
      </c>
      <c r="AX543" s="581">
        <f t="shared" si="486"/>
        <v>-126.2544562448855</v>
      </c>
      <c r="AY543" s="299">
        <f t="shared" si="456"/>
        <v>53.745543755114497</v>
      </c>
      <c r="BB543" s="270">
        <f t="shared" si="489"/>
        <v>-52.962385579977358</v>
      </c>
      <c r="BC543" s="270">
        <f t="shared" si="490"/>
        <v>-51.819386458669833</v>
      </c>
      <c r="BD543" s="286"/>
      <c r="BE543" s="270">
        <f t="shared" si="487"/>
        <v>26.119772122806655</v>
      </c>
      <c r="BF543" s="581">
        <f t="shared" si="488"/>
        <v>-74.435069786215649</v>
      </c>
      <c r="BI543" s="286"/>
      <c r="BJ543" s="286"/>
      <c r="BL543" s="253">
        <f t="shared" si="457"/>
        <v>0</v>
      </c>
      <c r="BM543" s="253">
        <f t="shared" si="491"/>
        <v>0</v>
      </c>
      <c r="BN543" s="253">
        <f t="shared" si="458"/>
        <v>0</v>
      </c>
      <c r="BO543" s="253">
        <f t="shared" si="459"/>
        <v>0</v>
      </c>
    </row>
    <row r="544" spans="4:67" ht="13.6" thickBot="1" x14ac:dyDescent="0.25">
      <c r="D544" s="280">
        <v>82702.75</v>
      </c>
      <c r="E544" s="273" t="str">
        <f t="shared" si="438"/>
        <v>0.935346066594024i</v>
      </c>
      <c r="F544" s="579" t="str">
        <f t="shared" si="460"/>
        <v>0.002-0.0296064832914161i</v>
      </c>
      <c r="G544" s="270" t="str">
        <f t="shared" si="461"/>
        <v>0.002-0.0296064832914161i</v>
      </c>
      <c r="H544" s="271" t="str">
        <f t="shared" si="462"/>
        <v>0.00243486619244298-0.0295408984803141i</v>
      </c>
      <c r="I544" s="271" t="str">
        <f t="shared" si="463"/>
        <v>0.012434866192443-0.0295408984803141i</v>
      </c>
      <c r="J544" s="270" t="str">
        <f t="shared" si="464"/>
        <v>0.00350817493873649-0.0152225236981941i</v>
      </c>
      <c r="K544" s="271" t="str">
        <f t="shared" si="439"/>
        <v>0.827283531790548-0.65280992922531i</v>
      </c>
      <c r="L544" s="580"/>
      <c r="M544" s="580" t="str">
        <f t="shared" si="440"/>
        <v>-0.0453257667253947-17.2830354642022i</v>
      </c>
      <c r="N544" s="270" t="str">
        <f t="shared" si="441"/>
        <v>-6.70066099171072-12.9622765981517i</v>
      </c>
      <c r="O544" s="581" t="str">
        <f t="shared" si="442"/>
        <v>-4.29848866174308-5.6658575376449i</v>
      </c>
      <c r="P544" s="582" t="str">
        <f t="shared" si="443"/>
        <v>-0.220825653662+0.0565270368292749i</v>
      </c>
      <c r="Q544" s="583" t="str">
        <f t="shared" si="444"/>
        <v>-0.177840767044568+0.113185612205724i</v>
      </c>
      <c r="R544" s="581" t="str">
        <f t="shared" si="465"/>
        <v>-0.506854541091117-0.638866782034957i</v>
      </c>
      <c r="S544" s="253" t="str">
        <f t="shared" si="466"/>
        <v>38.8455574957654-30.1480461232732i</v>
      </c>
      <c r="T544" s="253" t="str">
        <f t="shared" si="467"/>
        <v>5.28770599404926-19.5308315022677i</v>
      </c>
      <c r="U544" s="253" t="str">
        <f t="shared" si="468"/>
        <v>-0.564083454084124-0.20375854729913i</v>
      </c>
      <c r="V544" s="582" t="str">
        <f t="shared" si="445"/>
        <v>6000</v>
      </c>
      <c r="W544" s="584" t="str">
        <f t="shared" si="446"/>
        <v>1+291040.203534583i</v>
      </c>
      <c r="X544" s="585">
        <f t="shared" si="447"/>
        <v>291040.20353630092</v>
      </c>
      <c r="Y544" s="586">
        <f t="shared" si="448"/>
        <v>1.5707928908434787</v>
      </c>
      <c r="Z544" s="273" t="str">
        <f t="shared" si="449"/>
        <v>1+43.6494831077212i</v>
      </c>
      <c r="AA544" s="585">
        <f t="shared" si="450"/>
        <v>43.660936494436754</v>
      </c>
      <c r="AB544" s="586">
        <f t="shared" si="451"/>
        <v>1.5478905549223372</v>
      </c>
      <c r="AC544" s="584" t="str">
        <f t="shared" si="452"/>
        <v>1+2.11025422483656i</v>
      </c>
      <c r="AD544" s="585">
        <f t="shared" si="453"/>
        <v>2.3352029662195428</v>
      </c>
      <c r="AE544" s="586">
        <f t="shared" si="454"/>
        <v>1.1282650205496116</v>
      </c>
      <c r="AF544" s="580" t="str">
        <f t="shared" si="469"/>
        <v>0.157040175785551-0.352007311035187i</v>
      </c>
      <c r="AG544" s="270">
        <f t="shared" si="470"/>
        <v>0.38544878237319635</v>
      </c>
      <c r="AH544" s="581">
        <f t="shared" si="471"/>
        <v>-1.1511673564707521</v>
      </c>
      <c r="AI544" s="582" t="str">
        <f t="shared" si="455"/>
        <v>4000</v>
      </c>
      <c r="AJ544" s="584" t="str">
        <f t="shared" si="472"/>
        <v>1+22864.8152017109i</v>
      </c>
      <c r="AK544" s="585">
        <f t="shared" si="473"/>
        <v>22864.815223578556</v>
      </c>
      <c r="AL544" s="586">
        <f t="shared" si="474"/>
        <v>1.5707525914753437</v>
      </c>
      <c r="AM544" s="273" t="str">
        <f t="shared" si="475"/>
        <v>1+0.800240523641555i</v>
      </c>
      <c r="AN544" s="585">
        <f t="shared" si="476"/>
        <v>1.2807751151853748</v>
      </c>
      <c r="AO544" s="586">
        <f t="shared" si="477"/>
        <v>0.67488758577406383</v>
      </c>
      <c r="AP544" s="584" t="str">
        <f t="shared" si="478"/>
        <v>1+0.00578955624569257i</v>
      </c>
      <c r="AQ544" s="585">
        <f t="shared" si="479"/>
        <v>1.0000167593403233</v>
      </c>
      <c r="AR544" s="586">
        <f t="shared" si="480"/>
        <v>5.7894915603557999E-3</v>
      </c>
      <c r="AS544" s="580" t="str">
        <f t="shared" si="481"/>
        <v>0.138985295452932-0.175739818443008i</v>
      </c>
      <c r="AT544" s="270">
        <f t="shared" si="482"/>
        <v>0.22405668063800332</v>
      </c>
      <c r="AU544" s="581">
        <f t="shared" si="483"/>
        <v>-0.90165449726163405</v>
      </c>
      <c r="AV544" s="580" t="str">
        <f t="shared" si="484"/>
        <v>-0.0269743140239833-0.0364375887815833i</v>
      </c>
      <c r="AW544" s="270">
        <f t="shared" si="485"/>
        <v>-26.871223491839942</v>
      </c>
      <c r="AX544" s="581">
        <f t="shared" si="486"/>
        <v>-126.51210645516882</v>
      </c>
      <c r="AY544" s="299">
        <f t="shared" si="456"/>
        <v>53.487893544831181</v>
      </c>
      <c r="BB544" s="270">
        <f t="shared" si="489"/>
        <v>-52.992842046313974</v>
      </c>
      <c r="BC544" s="270">
        <f t="shared" si="490"/>
        <v>-51.660997272081673</v>
      </c>
      <c r="BD544" s="286"/>
      <c r="BE544" s="270">
        <f t="shared" si="487"/>
        <v>26.121618554474026</v>
      </c>
      <c r="BF544" s="581">
        <f t="shared" si="488"/>
        <v>-74.851109183087161</v>
      </c>
      <c r="BI544" s="286"/>
      <c r="BJ544" s="286"/>
      <c r="BL544" s="253">
        <f t="shared" si="457"/>
        <v>0</v>
      </c>
      <c r="BM544" s="253">
        <f t="shared" si="491"/>
        <v>0</v>
      </c>
      <c r="BN544" s="253">
        <f t="shared" si="458"/>
        <v>0</v>
      </c>
      <c r="BO544" s="253">
        <f t="shared" si="459"/>
        <v>0</v>
      </c>
    </row>
    <row r="545" spans="4:67" ht="13.6" thickBot="1" x14ac:dyDescent="0.25">
      <c r="D545" s="280">
        <v>83176</v>
      </c>
      <c r="E545" s="273" t="str">
        <f t="shared" si="438"/>
        <v>0.940698397997945i</v>
      </c>
      <c r="F545" s="579" t="str">
        <f t="shared" si="460"/>
        <v>0.002-0.0294380300330523i</v>
      </c>
      <c r="G545" s="270" t="str">
        <f t="shared" si="461"/>
        <v>0.002-0.0294380300330523i</v>
      </c>
      <c r="H545" s="271" t="str">
        <f t="shared" si="462"/>
        <v>0.00242991011739213-0.0293728912582873i</v>
      </c>
      <c r="I545" s="271" t="str">
        <f t="shared" si="463"/>
        <v>0.0124299101173921-0.0293728912582873i</v>
      </c>
      <c r="J545" s="270" t="str">
        <f t="shared" si="464"/>
        <v>0.00350591096369644-0.015140218777717i</v>
      </c>
      <c r="K545" s="271" t="str">
        <f t="shared" si="439"/>
        <v>0.825301205121083-0.656545503906997i</v>
      </c>
      <c r="L545" s="580"/>
      <c r="M545" s="580" t="str">
        <f t="shared" si="440"/>
        <v>-0.044857193658736-17.1829295009991i</v>
      </c>
      <c r="N545" s="270" t="str">
        <f t="shared" si="441"/>
        <v>-6.70030956191072-12.8871971257493i</v>
      </c>
      <c r="O545" s="581" t="str">
        <f t="shared" si="442"/>
        <v>-4.29566598380883-5.62460566591235i</v>
      </c>
      <c r="P545" s="582" t="str">
        <f t="shared" si="443"/>
        <v>-0.218605672668673+0.0562627869512757i</v>
      </c>
      <c r="Q545" s="583" t="str">
        <f t="shared" si="444"/>
        <v>-0.175649012830584+0.112508843610399i</v>
      </c>
      <c r="R545" s="581" t="str">
        <f t="shared" si="465"/>
        <v>-0.506781172115896-0.633639754246109i</v>
      </c>
      <c r="S545" s="253" t="str">
        <f t="shared" si="466"/>
        <v>38.6951313091134-30.2824533944832i</v>
      </c>
      <c r="T545" s="253" t="str">
        <f t="shared" si="467"/>
        <v>5.14694126486069-19.5727591667817i</v>
      </c>
      <c r="U545" s="253" t="str">
        <f t="shared" si="468"/>
        <v>-0.562401921977415-0.198740591610185i</v>
      </c>
      <c r="V545" s="582" t="str">
        <f t="shared" si="445"/>
        <v>6000</v>
      </c>
      <c r="W545" s="584" t="str">
        <f t="shared" si="446"/>
        <v>1+292705.623080157i</v>
      </c>
      <c r="X545" s="585">
        <f t="shared" si="447"/>
        <v>292705.62308186514</v>
      </c>
      <c r="Y545" s="586">
        <f t="shared" si="448"/>
        <v>1.5707929103931566</v>
      </c>
      <c r="Z545" s="273" t="str">
        <f t="shared" si="449"/>
        <v>1+43.8992585732374i</v>
      </c>
      <c r="AA545" s="585">
        <f t="shared" si="450"/>
        <v>43.910646810084195</v>
      </c>
      <c r="AB545" s="586">
        <f t="shared" si="451"/>
        <v>1.5480208376663669</v>
      </c>
      <c r="AC545" s="584" t="str">
        <f t="shared" si="452"/>
        <v>1+2.12232973395692i</v>
      </c>
      <c r="AD545" s="585">
        <f t="shared" si="453"/>
        <v>2.346120947359204</v>
      </c>
      <c r="AE545" s="586">
        <f t="shared" si="454"/>
        <v>1.1304691178932198</v>
      </c>
      <c r="AF545" s="580" t="str">
        <f t="shared" si="469"/>
        <v>0.155581962489328-0.350691561197833i</v>
      </c>
      <c r="AG545" s="270">
        <f t="shared" si="470"/>
        <v>0.38365390412115469</v>
      </c>
      <c r="AH545" s="581">
        <f t="shared" si="471"/>
        <v>-1.1532411906200075</v>
      </c>
      <c r="AI545" s="582" t="str">
        <f t="shared" si="455"/>
        <v>4000</v>
      </c>
      <c r="AJ545" s="584" t="str">
        <f t="shared" si="472"/>
        <v>1+22995.6545485792i</v>
      </c>
      <c r="AK545" s="585">
        <f t="shared" si="473"/>
        <v>22995.654570322436</v>
      </c>
      <c r="AL545" s="586">
        <f t="shared" si="474"/>
        <v>1.5707528403180382</v>
      </c>
      <c r="AM545" s="273" t="str">
        <f t="shared" si="475"/>
        <v>1+0.804819740509353i</v>
      </c>
      <c r="AN545" s="585">
        <f t="shared" si="476"/>
        <v>1.2836412328659212</v>
      </c>
      <c r="AO545" s="586">
        <f t="shared" si="477"/>
        <v>0.67767290664572133</v>
      </c>
      <c r="AP545" s="584" t="str">
        <f t="shared" si="478"/>
        <v>1+0.00582268582715478i</v>
      </c>
      <c r="AQ545" s="585">
        <f t="shared" si="479"/>
        <v>1.000016951691441</v>
      </c>
      <c r="AR545" s="586">
        <f t="shared" si="480"/>
        <v>5.8226200250199329E-3</v>
      </c>
      <c r="AS545" s="580" t="str">
        <f t="shared" si="481"/>
        <v>0.138985155173822-0.174749086213685i</v>
      </c>
      <c r="AT545" s="270">
        <f t="shared" si="482"/>
        <v>0.22328035401980467</v>
      </c>
      <c r="AU545" s="581">
        <f t="shared" si="483"/>
        <v>-0.89890255369733507</v>
      </c>
      <c r="AV545" s="580" t="str">
        <f t="shared" si="484"/>
        <v>-0.0270497334870842-0.0361974625280492i</v>
      </c>
      <c r="AW545" s="270">
        <f t="shared" si="485"/>
        <v>-26.899560927468016</v>
      </c>
      <c r="AX545" s="581">
        <f t="shared" si="486"/>
        <v>-126.77012202086368</v>
      </c>
      <c r="AY545" s="299">
        <f t="shared" si="456"/>
        <v>53.229877979136319</v>
      </c>
      <c r="BB545" s="270">
        <f t="shared" si="489"/>
        <v>-53.022989758557102</v>
      </c>
      <c r="BC545" s="270">
        <f t="shared" si="490"/>
        <v>-51.503322520389155</v>
      </c>
      <c r="BD545" s="286"/>
      <c r="BE545" s="270">
        <f t="shared" si="487"/>
        <v>26.123428831089079</v>
      </c>
      <c r="BF545" s="581">
        <f t="shared" si="488"/>
        <v>-75.266799500474548</v>
      </c>
      <c r="BI545" s="286"/>
      <c r="BJ545" s="286"/>
      <c r="BL545" s="253">
        <f t="shared" si="457"/>
        <v>0</v>
      </c>
      <c r="BM545" s="253">
        <f t="shared" si="491"/>
        <v>0</v>
      </c>
      <c r="BN545" s="253">
        <f t="shared" si="458"/>
        <v>0</v>
      </c>
      <c r="BO545" s="253">
        <f t="shared" si="459"/>
        <v>0</v>
      </c>
    </row>
    <row r="546" spans="4:67" ht="13.6" thickBot="1" x14ac:dyDescent="0.25">
      <c r="D546" s="280">
        <v>83660.5</v>
      </c>
      <c r="E546" s="273" t="str">
        <f t="shared" si="438"/>
        <v>0.946177963904336i</v>
      </c>
      <c r="F546" s="579" t="str">
        <f t="shared" si="460"/>
        <v>0.002-0.0292675466442246i</v>
      </c>
      <c r="G546" s="270" t="str">
        <f t="shared" si="461"/>
        <v>0.002-0.0292675466442246i</v>
      </c>
      <c r="H546" s="271" t="str">
        <f t="shared" si="462"/>
        <v>0.00242492308141694-0.0292028580115161i</v>
      </c>
      <c r="I546" s="271" t="str">
        <f t="shared" si="463"/>
        <v>0.0124249230814169-0.0292028580115161i</v>
      </c>
      <c r="J546" s="270" t="str">
        <f t="shared" si="464"/>
        <v>0.00350361021182939-0.015056941641336i</v>
      </c>
      <c r="K546" s="271" t="str">
        <f t="shared" si="439"/>
        <v>0.823260037366481-0.660369879888565i</v>
      </c>
      <c r="L546" s="580"/>
      <c r="M546" s="580" t="str">
        <f t="shared" si="440"/>
        <v>-0.0443853584636941-17.0816481329863i</v>
      </c>
      <c r="N546" s="270" t="str">
        <f t="shared" si="441"/>
        <v>-6.69995568551444-12.8112360997397i</v>
      </c>
      <c r="O546" s="581" t="str">
        <f t="shared" si="442"/>
        <v>-4.29278170360618-5.58282976716926i</v>
      </c>
      <c r="P546" s="582" t="str">
        <f t="shared" si="443"/>
        <v>-0.21637206746573+0.0559952641311229i</v>
      </c>
      <c r="Q546" s="583" t="str">
        <f t="shared" si="444"/>
        <v>-0.173444250429668+0.111823561802815i</v>
      </c>
      <c r="R546" s="581" t="str">
        <f t="shared" si="465"/>
        <v>-0.506707329809589-0.628342239994825i</v>
      </c>
      <c r="S546" s="253" t="str">
        <f t="shared" si="466"/>
        <v>38.5404061338417-30.4191159640842i</v>
      </c>
      <c r="T546" s="253" t="str">
        <f t="shared" si="467"/>
        <v>5.00259101435458-19.6145156481558i</v>
      </c>
      <c r="U546" s="253" t="str">
        <f t="shared" si="468"/>
        <v>-0.560669017020155-0.19365364680791i</v>
      </c>
      <c r="V546" s="582" t="str">
        <f t="shared" si="445"/>
        <v>6000</v>
      </c>
      <c r="W546" s="584" t="str">
        <f t="shared" si="446"/>
        <v>1+294410.632630776i</v>
      </c>
      <c r="X546" s="585">
        <f t="shared" si="447"/>
        <v>294410.6326324743</v>
      </c>
      <c r="Y546" s="586">
        <f t="shared" si="448"/>
        <v>1.5707929301784394</v>
      </c>
      <c r="Z546" s="273" t="str">
        <f t="shared" si="449"/>
        <v>1+44.1549716488691i</v>
      </c>
      <c r="AA546" s="585">
        <f t="shared" si="450"/>
        <v>44.16629395039201</v>
      </c>
      <c r="AB546" s="586">
        <f t="shared" si="451"/>
        <v>1.5481526913125965</v>
      </c>
      <c r="AC546" s="584" t="str">
        <f t="shared" si="452"/>
        <v>1+2.13469229955399i</v>
      </c>
      <c r="AD546" s="585">
        <f t="shared" si="453"/>
        <v>2.3573101649496828</v>
      </c>
      <c r="AE546" s="586">
        <f t="shared" si="454"/>
        <v>1.1327044489117724</v>
      </c>
      <c r="AF546" s="580" t="str">
        <f t="shared" si="469"/>
        <v>0.154108495748452-0.349350861417341i</v>
      </c>
      <c r="AG546" s="270">
        <f t="shared" si="470"/>
        <v>0.38183170747711465</v>
      </c>
      <c r="AH546" s="581">
        <f t="shared" si="471"/>
        <v>-1.1553446877776141</v>
      </c>
      <c r="AI546" s="582" t="str">
        <f t="shared" si="455"/>
        <v>4000</v>
      </c>
      <c r="AJ546" s="584" t="str">
        <f t="shared" si="472"/>
        <v>1+23129.6041810307i</v>
      </c>
      <c r="AK546" s="585">
        <f t="shared" si="473"/>
        <v>23129.604202648017</v>
      </c>
      <c r="AL546" s="586">
        <f t="shared" si="474"/>
        <v>1.5707530921596842</v>
      </c>
      <c r="AM546" s="273" t="str">
        <f t="shared" si="475"/>
        <v>1+0.809507813562599i</v>
      </c>
      <c r="AN546" s="585">
        <f t="shared" si="476"/>
        <v>1.286585753154021</v>
      </c>
      <c r="AO546" s="586">
        <f t="shared" si="477"/>
        <v>0.68051156127806789</v>
      </c>
      <c r="AP546" s="584" t="str">
        <f t="shared" si="478"/>
        <v>1+0.00585660295809708i</v>
      </c>
      <c r="AQ546" s="585">
        <f t="shared" si="479"/>
        <v>1.0000171497520474</v>
      </c>
      <c r="AR546" s="586">
        <f t="shared" si="480"/>
        <v>5.8565359993751932E-3</v>
      </c>
      <c r="AS546" s="580" t="str">
        <f t="shared" si="481"/>
        <v>0.138985012765884-0.173746468034402i</v>
      </c>
      <c r="AT546" s="270">
        <f t="shared" si="482"/>
        <v>0.22249644700076093</v>
      </c>
      <c r="AU546" s="581">
        <f t="shared" si="483"/>
        <v>-0.89609806688099303</v>
      </c>
      <c r="AV546" s="580" t="str">
        <f t="shared" si="484"/>
        <v>-0.0271266764008001-0.0359530622752031i</v>
      </c>
      <c r="AW546" s="270">
        <f t="shared" si="485"/>
        <v>-26.928294284441403</v>
      </c>
      <c r="AX546" s="581">
        <f t="shared" si="486"/>
        <v>-127.03464570534355</v>
      </c>
      <c r="AY546" s="299">
        <f t="shared" si="456"/>
        <v>52.96535429465645</v>
      </c>
      <c r="BB546" s="270">
        <f t="shared" si="489"/>
        <v>-53.053538395708991</v>
      </c>
      <c r="BC546" s="270">
        <f t="shared" si="490"/>
        <v>-51.342637262112667</v>
      </c>
      <c r="BD546" s="286"/>
      <c r="BE546" s="270">
        <f t="shared" si="487"/>
        <v>26.125244111267584</v>
      </c>
      <c r="BF546" s="581">
        <f t="shared" si="488"/>
        <v>-75.692008443230904</v>
      </c>
      <c r="BI546" s="286"/>
      <c r="BJ546" s="286"/>
      <c r="BL546" s="253">
        <f t="shared" si="457"/>
        <v>0</v>
      </c>
      <c r="BM546" s="253">
        <f t="shared" si="491"/>
        <v>0</v>
      </c>
      <c r="BN546" s="253">
        <f t="shared" si="458"/>
        <v>0</v>
      </c>
      <c r="BO546" s="253">
        <f t="shared" si="459"/>
        <v>0</v>
      </c>
    </row>
    <row r="547" spans="4:67" ht="13.6" thickBot="1" x14ac:dyDescent="0.25">
      <c r="D547" s="280">
        <v>84145</v>
      </c>
      <c r="E547" s="273" t="str">
        <f t="shared" si="438"/>
        <v>0.951657529810727i</v>
      </c>
      <c r="F547" s="579" t="str">
        <f t="shared" si="460"/>
        <v>0.002-0.0290990265141026i</v>
      </c>
      <c r="G547" s="270" t="str">
        <f t="shared" si="461"/>
        <v>0.002-0.0290990265141026i</v>
      </c>
      <c r="H547" s="271" t="str">
        <f t="shared" si="462"/>
        <v>0.00242002191776388-0.0290347815915362i</v>
      </c>
      <c r="I547" s="271" t="str">
        <f t="shared" si="463"/>
        <v>0.0124200219177639-0.0290347815915362i</v>
      </c>
      <c r="J547" s="270" t="str">
        <f t="shared" si="464"/>
        <v>0.00350132622006475-0.0149746432365214i</v>
      </c>
      <c r="K547" s="271" t="str">
        <f t="shared" si="439"/>
        <v>0.821207014343072-0.664194255870133i</v>
      </c>
      <c r="L547" s="580"/>
      <c r="M547" s="580" t="str">
        <f t="shared" si="440"/>
        <v>-0.043921319370639-16.9815635977198i</v>
      </c>
      <c r="N547" s="270" t="str">
        <f t="shared" si="441"/>
        <v>-6.69960765619465-12.7361726982898i</v>
      </c>
      <c r="O547" s="581" t="str">
        <f t="shared" si="442"/>
        <v>-4.2899026851931-5.54150780931394i</v>
      </c>
      <c r="P547" s="582" t="str">
        <f t="shared" si="443"/>
        <v>-0.214177154306395+0.0557307390643873i</v>
      </c>
      <c r="Q547" s="583" t="str">
        <f t="shared" si="444"/>
        <v>-0.171278127454464+0.111145817157527i</v>
      </c>
      <c r="R547" s="581" t="str">
        <f t="shared" si="465"/>
        <v>-0.506634743942145-0.623098161839685i</v>
      </c>
      <c r="S547" s="253" t="str">
        <f t="shared" si="466"/>
        <v>38.3849552135275-30.5548219045954i</v>
      </c>
      <c r="T547" s="253" t="str">
        <f t="shared" si="467"/>
        <v>4.85800930456961-19.6550885634988i</v>
      </c>
      <c r="U547" s="253" t="str">
        <f t="shared" si="468"/>
        <v>-0.558924714609729-0.188616984247087i</v>
      </c>
      <c r="V547" s="582" t="str">
        <f t="shared" si="445"/>
        <v>6000</v>
      </c>
      <c r="W547" s="584" t="str">
        <f t="shared" si="446"/>
        <v>1+296115.642181396i</v>
      </c>
      <c r="X547" s="585">
        <f t="shared" si="447"/>
        <v>296115.64218308451</v>
      </c>
      <c r="Y547" s="586">
        <f t="shared" si="448"/>
        <v>1.5707929497358779</v>
      </c>
      <c r="Z547" s="273" t="str">
        <f t="shared" si="449"/>
        <v>1+44.4106847245006i</v>
      </c>
      <c r="AA547" s="585">
        <f t="shared" si="450"/>
        <v>44.421941849709704</v>
      </c>
      <c r="AB547" s="586">
        <f t="shared" si="451"/>
        <v>1.5482830273278343</v>
      </c>
      <c r="AC547" s="584" t="str">
        <f t="shared" si="452"/>
        <v>1+2.14705486515106i</v>
      </c>
      <c r="AD547" s="585">
        <f t="shared" si="453"/>
        <v>2.3685110499993107</v>
      </c>
      <c r="AE547" s="586">
        <f t="shared" si="454"/>
        <v>1.1349186487757448</v>
      </c>
      <c r="AF547" s="580" t="str">
        <f t="shared" si="469"/>
        <v>0.152654358427063-0.348016598161887i</v>
      </c>
      <c r="AG547" s="270">
        <f t="shared" si="470"/>
        <v>0.38002487516339051</v>
      </c>
      <c r="AH547" s="581">
        <f t="shared" si="471"/>
        <v>-1.1574285711837875</v>
      </c>
      <c r="AI547" s="582" t="str">
        <f t="shared" si="455"/>
        <v>4000</v>
      </c>
      <c r="AJ547" s="584" t="str">
        <f t="shared" si="472"/>
        <v>1+23263.5538134822i</v>
      </c>
      <c r="AK547" s="585">
        <f t="shared" si="473"/>
        <v>23263.55383497505</v>
      </c>
      <c r="AL547" s="586">
        <f t="shared" si="474"/>
        <v>1.5707533411011629</v>
      </c>
      <c r="AM547" s="273" t="str">
        <f t="shared" si="475"/>
        <v>1+0.814195886615845i</v>
      </c>
      <c r="AN547" s="585">
        <f t="shared" si="476"/>
        <v>1.289540593305291</v>
      </c>
      <c r="AO547" s="586">
        <f t="shared" si="477"/>
        <v>0.68333722966430621</v>
      </c>
      <c r="AP547" s="584" t="str">
        <f t="shared" si="478"/>
        <v>1+0.00589052008903937i</v>
      </c>
      <c r="AQ547" s="585">
        <f t="shared" si="479"/>
        <v>1.0000173489629665</v>
      </c>
      <c r="AR547" s="586">
        <f t="shared" si="480"/>
        <v>5.890451960256826E-3</v>
      </c>
      <c r="AS547" s="580" t="str">
        <f t="shared" si="481"/>
        <v>0.138984871542884-0.172755450114444i</v>
      </c>
      <c r="AT547" s="270">
        <f t="shared" si="482"/>
        <v>0.22172334126572266</v>
      </c>
      <c r="AU547" s="581">
        <f t="shared" si="483"/>
        <v>-0.89330656339711045</v>
      </c>
      <c r="AV547" s="580" t="str">
        <f t="shared" si="484"/>
        <v>-0.0272033387267675-0.0357100754323297i</v>
      </c>
      <c r="AW547" s="270">
        <f t="shared" si="485"/>
        <v>-26.956751377753019</v>
      </c>
      <c r="AX547" s="581">
        <f t="shared" si="486"/>
        <v>-127.29954443383147</v>
      </c>
      <c r="AY547" s="299">
        <f t="shared" si="456"/>
        <v>52.700455566168529</v>
      </c>
      <c r="BB547" s="270">
        <f t="shared" si="489"/>
        <v>-53.083771708362931</v>
      </c>
      <c r="BC547" s="270">
        <f t="shared" si="490"/>
        <v>-51.182695893990136</v>
      </c>
      <c r="BD547" s="286"/>
      <c r="BE547" s="270">
        <f t="shared" si="487"/>
        <v>26.127020330609913</v>
      </c>
      <c r="BF547" s="581">
        <f t="shared" si="488"/>
        <v>-76.116848539841385</v>
      </c>
      <c r="BI547" s="286"/>
      <c r="BJ547" s="286"/>
      <c r="BL547" s="253">
        <f t="shared" si="457"/>
        <v>0</v>
      </c>
      <c r="BM547" s="253">
        <f t="shared" si="491"/>
        <v>0</v>
      </c>
      <c r="BN547" s="253">
        <f t="shared" si="458"/>
        <v>0</v>
      </c>
      <c r="BO547" s="253">
        <f t="shared" si="459"/>
        <v>0</v>
      </c>
    </row>
    <row r="548" spans="4:67" ht="13.6" thickBot="1" x14ac:dyDescent="0.25">
      <c r="D548" s="280">
        <v>84629.5</v>
      </c>
      <c r="E548" s="273" t="str">
        <f t="shared" si="438"/>
        <v>0.957137095717119i</v>
      </c>
      <c r="F548" s="579" t="str">
        <f t="shared" si="460"/>
        <v>0.002-0.0289324359239882i</v>
      </c>
      <c r="G548" s="270" t="str">
        <f t="shared" si="461"/>
        <v>0.002-0.0289324359239882i</v>
      </c>
      <c r="H548" s="271" t="str">
        <f t="shared" si="462"/>
        <v>0.00241520466629874-0.0288686284184443i</v>
      </c>
      <c r="I548" s="271" t="str">
        <f t="shared" si="463"/>
        <v>0.0124152046662987-0.0288686284184443i</v>
      </c>
      <c r="J548" s="270" t="str">
        <f t="shared" si="464"/>
        <v>0.00349905851706569-0.0148933066727002i</v>
      </c>
      <c r="K548" s="271" t="str">
        <f t="shared" si="439"/>
        <v>0.819142136050857-0.668018631851702i</v>
      </c>
      <c r="L548" s="580"/>
      <c r="M548" s="580" t="str">
        <f t="shared" si="440"/>
        <v>-0.0434649065661994-16.8826546368813i</v>
      </c>
      <c r="N548" s="270" t="str">
        <f t="shared" si="441"/>
        <v>-6.69926534659132-12.661990977661i</v>
      </c>
      <c r="O548" s="581" t="str">
        <f t="shared" si="442"/>
        <v>-4.28702863544036-5.50063189581985i</v>
      </c>
      <c r="P548" s="582" t="str">
        <f t="shared" si="443"/>
        <v>-0.212020036186342+0.0554691659151841i</v>
      </c>
      <c r="Q548" s="583" t="str">
        <f t="shared" si="444"/>
        <v>-0.169149749831938+0.110475484873382i</v>
      </c>
      <c r="R548" s="581" t="str">
        <f t="shared" si="465"/>
        <v>-0.50656338585078-0.617906570488908i</v>
      </c>
      <c r="S548" s="253" t="str">
        <f t="shared" si="466"/>
        <v>38.2287845180976-30.6895654031167i</v>
      </c>
      <c r="T548" s="253" t="str">
        <f t="shared" si="467"/>
        <v>4.71320690012797-19.6944760350957i</v>
      </c>
      <c r="U548" s="253" t="str">
        <f t="shared" si="468"/>
        <v>-0.557169151254713-0.183630009079314i</v>
      </c>
      <c r="V548" s="582" t="str">
        <f t="shared" si="445"/>
        <v>6000</v>
      </c>
      <c r="W548" s="584" t="str">
        <f t="shared" si="446"/>
        <v>1+297820.651732016i</v>
      </c>
      <c r="X548" s="585">
        <f t="shared" si="447"/>
        <v>297820.65173369489</v>
      </c>
      <c r="Y548" s="586">
        <f t="shared" si="448"/>
        <v>1.5707929690693858</v>
      </c>
      <c r="Z548" s="273" t="str">
        <f t="shared" si="449"/>
        <v>1+44.6663978001322i</v>
      </c>
      <c r="AA548" s="585">
        <f t="shared" si="450"/>
        <v>44.677590495008289</v>
      </c>
      <c r="AB548" s="586">
        <f t="shared" si="451"/>
        <v>1.5484118717596216</v>
      </c>
      <c r="AC548" s="584" t="str">
        <f t="shared" si="452"/>
        <v>1+2.15941743074814i</v>
      </c>
      <c r="AD548" s="585">
        <f t="shared" si="453"/>
        <v>2.3797234377588707</v>
      </c>
      <c r="AE548" s="586">
        <f t="shared" si="454"/>
        <v>1.1371119943064893</v>
      </c>
      <c r="AF548" s="580" t="str">
        <f t="shared" si="469"/>
        <v>0.151219243965397-0.346688802849002i</v>
      </c>
      <c r="AG548" s="270">
        <f t="shared" si="470"/>
        <v>0.37823324254531149</v>
      </c>
      <c r="AH548" s="581">
        <f t="shared" si="471"/>
        <v>-1.1594930916162516</v>
      </c>
      <c r="AI548" s="582" t="str">
        <f t="shared" si="455"/>
        <v>4000</v>
      </c>
      <c r="AJ548" s="584" t="str">
        <f t="shared" si="472"/>
        <v>1+23397.5034459337i</v>
      </c>
      <c r="AK548" s="585">
        <f t="shared" si="473"/>
        <v>23397.503467303501</v>
      </c>
      <c r="AL548" s="586">
        <f t="shared" si="474"/>
        <v>1.5707535871922846</v>
      </c>
      <c r="AM548" s="273" t="str">
        <f t="shared" si="475"/>
        <v>1+0.818883959669091i</v>
      </c>
      <c r="AN548" s="585">
        <f t="shared" si="476"/>
        <v>1.2925056825419876</v>
      </c>
      <c r="AO548" s="586">
        <f t="shared" si="477"/>
        <v>0.68614995590122829</v>
      </c>
      <c r="AP548" s="584" t="str">
        <f t="shared" si="478"/>
        <v>1+0.00592443721998167i</v>
      </c>
      <c r="AQ548" s="585">
        <f t="shared" si="479"/>
        <v>1.0000175493241974</v>
      </c>
      <c r="AR548" s="586">
        <f t="shared" si="480"/>
        <v>5.9243679075868328E-3</v>
      </c>
      <c r="AS548" s="580" t="str">
        <f t="shared" si="481"/>
        <v>0.138984731470463-0.17177583322083i</v>
      </c>
      <c r="AT548" s="270">
        <f t="shared" si="482"/>
        <v>0.2209608392014909</v>
      </c>
      <c r="AU548" s="581">
        <f t="shared" si="483"/>
        <v>-0.89052799919864245</v>
      </c>
      <c r="AV548" s="580" t="str">
        <f t="shared" si="484"/>
        <v>-0.0272797123539721-0.0354684650560089i</v>
      </c>
      <c r="AW548" s="270">
        <f t="shared" si="485"/>
        <v>-26.984936883394415</v>
      </c>
      <c r="AX548" s="581">
        <f t="shared" si="486"/>
        <v>-127.56481414511161</v>
      </c>
      <c r="AY548" s="299">
        <f t="shared" si="456"/>
        <v>52.435185854888388</v>
      </c>
      <c r="BB548" s="270">
        <f t="shared" si="489"/>
        <v>-53.113693786543081</v>
      </c>
      <c r="BC548" s="270">
        <f t="shared" si="490"/>
        <v>-51.023495892311765</v>
      </c>
      <c r="BD548" s="286"/>
      <c r="BE548" s="270">
        <f t="shared" si="487"/>
        <v>26.12875690314867</v>
      </c>
      <c r="BF548" s="581">
        <f t="shared" si="488"/>
        <v>-76.541318252799854</v>
      </c>
      <c r="BI548" s="286"/>
      <c r="BJ548" s="286"/>
      <c r="BL548" s="253">
        <f t="shared" si="457"/>
        <v>0</v>
      </c>
      <c r="BM548" s="253">
        <f t="shared" si="491"/>
        <v>0</v>
      </c>
      <c r="BN548" s="253">
        <f t="shared" si="458"/>
        <v>0</v>
      </c>
      <c r="BO548" s="253">
        <f t="shared" si="459"/>
        <v>0</v>
      </c>
    </row>
    <row r="549" spans="4:67" ht="13.6" thickBot="1" x14ac:dyDescent="0.25">
      <c r="D549" s="280">
        <v>85114</v>
      </c>
      <c r="E549" s="273" t="str">
        <f t="shared" si="438"/>
        <v>0.96261666162351i</v>
      </c>
      <c r="F549" s="579" t="str">
        <f t="shared" si="460"/>
        <v>0.002-0.0287677419229405i</v>
      </c>
      <c r="G549" s="270" t="str">
        <f t="shared" si="461"/>
        <v>0.002-0.0287677419229405i</v>
      </c>
      <c r="H549" s="271" t="str">
        <f t="shared" si="462"/>
        <v>0.00241046942249389-0.0287043656761347i</v>
      </c>
      <c r="I549" s="271" t="str">
        <f t="shared" si="463"/>
        <v>0.0124104694224939-0.0287043656761347i</v>
      </c>
      <c r="J549" s="270" t="str">
        <f t="shared" si="464"/>
        <v>0.00349680664550267-0.0148129154435752i</v>
      </c>
      <c r="K549" s="271" t="str">
        <f t="shared" si="439"/>
        <v>0.817065402489836-0.67184300783327i</v>
      </c>
      <c r="L549" s="580"/>
      <c r="M549" s="580" t="str">
        <f t="shared" si="440"/>
        <v>-0.0430159547672783-16.7849004963691i</v>
      </c>
      <c r="N549" s="270" t="str">
        <f t="shared" si="441"/>
        <v>-6.69892863274213-12.5886753722768i</v>
      </c>
      <c r="O549" s="581" t="str">
        <f t="shared" si="442"/>
        <v>-4.28415927078796-5.46019431796661i</v>
      </c>
      <c r="P549" s="582" t="str">
        <f t="shared" si="443"/>
        <v>-0.209899841996875+0.0552104996995007i</v>
      </c>
      <c r="Q549" s="583" t="str">
        <f t="shared" si="444"/>
        <v>-0.167058249288995+0.109812442879167i</v>
      </c>
      <c r="R549" s="581" t="str">
        <f t="shared" si="465"/>
        <v>-0.506493227683706-0.61276653917213i</v>
      </c>
      <c r="S549" s="253" t="str">
        <f t="shared" si="466"/>
        <v>38.0719001050116-30.8233406678427i</v>
      </c>
      <c r="T549" s="253" t="str">
        <f t="shared" si="467"/>
        <v>4.56819460301536-19.7326762935495i</v>
      </c>
      <c r="U549" s="253" t="str">
        <f t="shared" si="468"/>
        <v>-0.555402462692272-0.178692141194271i</v>
      </c>
      <c r="V549" s="582" t="str">
        <f t="shared" si="445"/>
        <v>6000</v>
      </c>
      <c r="W549" s="584" t="str">
        <f t="shared" si="446"/>
        <v>1+299525.661282635i</v>
      </c>
      <c r="X549" s="585">
        <f t="shared" si="447"/>
        <v>299525.66128430434</v>
      </c>
      <c r="Y549" s="586">
        <f t="shared" si="448"/>
        <v>1.5707929881827867</v>
      </c>
      <c r="Z549" s="273" t="str">
        <f t="shared" si="449"/>
        <v>1+44.9221108757638i</v>
      </c>
      <c r="AA549" s="585">
        <f t="shared" si="450"/>
        <v>44.933239873554818</v>
      </c>
      <c r="AB549" s="586">
        <f t="shared" si="451"/>
        <v>1.5485392500629056</v>
      </c>
      <c r="AC549" s="584" t="str">
        <f t="shared" si="452"/>
        <v>1+2.17177999634521i</v>
      </c>
      <c r="AD549" s="585">
        <f t="shared" si="453"/>
        <v>2.3909471664018844</v>
      </c>
      <c r="AE549" s="586">
        <f t="shared" si="454"/>
        <v>1.1392847579380849</v>
      </c>
      <c r="AF549" s="580" t="str">
        <f t="shared" si="469"/>
        <v>0.149802851088019-0.345367503747683i</v>
      </c>
      <c r="AG549" s="270">
        <f t="shared" si="470"/>
        <v>0.37645664669255741</v>
      </c>
      <c r="AH549" s="581">
        <f t="shared" si="471"/>
        <v>-1.161538496057966</v>
      </c>
      <c r="AI549" s="582" t="str">
        <f t="shared" si="455"/>
        <v>4000</v>
      </c>
      <c r="AJ549" s="584" t="str">
        <f t="shared" si="472"/>
        <v>1+23531.4530783852i</v>
      </c>
      <c r="AK549" s="585">
        <f t="shared" si="473"/>
        <v>23531.453099633356</v>
      </c>
      <c r="AL549" s="586">
        <f t="shared" si="474"/>
        <v>1.5707538304817252</v>
      </c>
      <c r="AM549" s="273" t="str">
        <f t="shared" si="475"/>
        <v>1+0.823572032722336i</v>
      </c>
      <c r="AN549" s="585">
        <f t="shared" si="476"/>
        <v>1.2954809504899716</v>
      </c>
      <c r="AO549" s="586">
        <f t="shared" si="477"/>
        <v>0.68894978450174371</v>
      </c>
      <c r="AP549" s="584" t="str">
        <f t="shared" si="478"/>
        <v>1+0.00595835435092396i</v>
      </c>
      <c r="AQ549" s="585">
        <f t="shared" si="479"/>
        <v>1.0000177508357395</v>
      </c>
      <c r="AR549" s="586">
        <f t="shared" si="480"/>
        <v>5.9582838412871753E-3</v>
      </c>
      <c r="AS549" s="580" t="str">
        <f t="shared" si="481"/>
        <v>0.138984592515241-0.170807422657003i</v>
      </c>
      <c r="AT549" s="270">
        <f t="shared" si="482"/>
        <v>0.22020874776301608</v>
      </c>
      <c r="AU549" s="581">
        <f t="shared" si="483"/>
        <v>-0.88776232982126912</v>
      </c>
      <c r="AV549" s="580" t="str">
        <f t="shared" si="484"/>
        <v>-0.0273557891439572-0.0352281952023082i</v>
      </c>
      <c r="AW549" s="270">
        <f t="shared" si="485"/>
        <v>-27.012855408854925</v>
      </c>
      <c r="AX549" s="581">
        <f t="shared" si="486"/>
        <v>-127.83045073195355</v>
      </c>
      <c r="AY549" s="299">
        <f t="shared" si="456"/>
        <v>52.169549268046453</v>
      </c>
      <c r="BB549" s="270">
        <f t="shared" si="489"/>
        <v>-53.143308654628989</v>
      </c>
      <c r="BC549" s="270">
        <f t="shared" si="490"/>
        <v>-50.865034709459707</v>
      </c>
      <c r="BD549" s="286"/>
      <c r="BE549" s="270">
        <f t="shared" si="487"/>
        <v>26.130453245774063</v>
      </c>
      <c r="BF549" s="581">
        <f t="shared" si="488"/>
        <v>-76.965416022493869</v>
      </c>
      <c r="BI549" s="286"/>
      <c r="BJ549" s="286"/>
      <c r="BL549" s="253">
        <f t="shared" si="457"/>
        <v>0</v>
      </c>
      <c r="BM549" s="253">
        <f t="shared" si="491"/>
        <v>0</v>
      </c>
      <c r="BN549" s="253">
        <f t="shared" si="458"/>
        <v>0</v>
      </c>
      <c r="BO549" s="253">
        <f t="shared" si="459"/>
        <v>0</v>
      </c>
    </row>
    <row r="550" spans="4:67" ht="13.6" thickBot="1" x14ac:dyDescent="0.25">
      <c r="D550" s="280">
        <v>85609.5</v>
      </c>
      <c r="E550" s="273" t="str">
        <f t="shared" si="438"/>
        <v>0.968220634598984i</v>
      </c>
      <c r="F550" s="579" t="str">
        <f t="shared" si="460"/>
        <v>0.002-0.0286012368490548i</v>
      </c>
      <c r="G550" s="270" t="str">
        <f t="shared" si="461"/>
        <v>0.002-0.0286012368490548i</v>
      </c>
      <c r="H550" s="271" t="str">
        <f t="shared" si="462"/>
        <v>0.00240570956371164-0.0285382954191248i</v>
      </c>
      <c r="I550" s="271" t="str">
        <f t="shared" si="463"/>
        <v>0.0124057095637116-0.0285382954191248i</v>
      </c>
      <c r="J550" s="270" t="str">
        <f t="shared" si="464"/>
        <v>0.00349451956010421-0.0147316599883965i</v>
      </c>
      <c r="K550" s="271" t="str">
        <f t="shared" si="439"/>
        <v>0.814929257083154-0.675754211752501i</v>
      </c>
      <c r="L550" s="580"/>
      <c r="M550" s="580" t="str">
        <f t="shared" si="440"/>
        <v>-0.042564359417206-16.6861002938069i</v>
      </c>
      <c r="N550" s="270" t="str">
        <f t="shared" si="441"/>
        <v>-6.69858993622957-12.5145752203552i</v>
      </c>
      <c r="O550" s="581" t="str">
        <f t="shared" si="442"/>
        <v>-4.28122932064313-5.41928418652392i</v>
      </c>
      <c r="P550" s="582" t="str">
        <f t="shared" si="443"/>
        <v>-0.207768820602756+0.0549489214483019i</v>
      </c>
      <c r="Q550" s="583" t="str">
        <f t="shared" si="444"/>
        <v>-0.164956527396325+0.109141763313541i</v>
      </c>
      <c r="R550" s="581" t="str">
        <f t="shared" si="465"/>
        <v>-0.506422689551885-0.607562195829563i</v>
      </c>
      <c r="S550" s="253" t="str">
        <f t="shared" si="466"/>
        <v>37.91072201333-30.9591456729593i</v>
      </c>
      <c r="T550" s="253" t="str">
        <f t="shared" si="467"/>
        <v>4.41968417315056-19.7705141638614i</v>
      </c>
      <c r="U550" s="253" t="str">
        <f t="shared" si="468"/>
        <v>-0.553584297312336-0.1736923675961i</v>
      </c>
      <c r="V550" s="582" t="str">
        <f t="shared" si="445"/>
        <v>6000</v>
      </c>
      <c r="W550" s="584" t="str">
        <f t="shared" si="446"/>
        <v>1+301269.38106041i</v>
      </c>
      <c r="X550" s="585">
        <f t="shared" si="447"/>
        <v>301269.38106206967</v>
      </c>
      <c r="Y550" s="586">
        <f t="shared" si="448"/>
        <v>1.5707930075063699</v>
      </c>
      <c r="Z550" s="273" t="str">
        <f t="shared" si="449"/>
        <v>1+45.1836296146193i</v>
      </c>
      <c r="AA550" s="585">
        <f t="shared" si="450"/>
        <v>45.194694214598933</v>
      </c>
      <c r="AB550" s="586">
        <f t="shared" si="451"/>
        <v>1.5486680298278204</v>
      </c>
      <c r="AC550" s="584" t="str">
        <f t="shared" si="452"/>
        <v>1+2.18442323938618i</v>
      </c>
      <c r="AD550" s="585">
        <f t="shared" si="453"/>
        <v>2.4024372809233574</v>
      </c>
      <c r="AE550" s="586">
        <f t="shared" si="454"/>
        <v>1.1414858428615435</v>
      </c>
      <c r="AF550" s="580" t="str">
        <f t="shared" si="469"/>
        <v>0.148373356148759-0.344022951525418i</v>
      </c>
      <c r="AG550" s="270">
        <f t="shared" si="470"/>
        <v>0.3746551000468385</v>
      </c>
      <c r="AH550" s="581">
        <f t="shared" si="471"/>
        <v>-1.1636108205400928</v>
      </c>
      <c r="AI550" s="582" t="str">
        <f t="shared" si="455"/>
        <v>4000</v>
      </c>
      <c r="AJ550" s="584" t="str">
        <f t="shared" si="472"/>
        <v>1+23668.4438789625i</v>
      </c>
      <c r="AK550" s="585">
        <f t="shared" si="473"/>
        <v>23668.44390008767</v>
      </c>
      <c r="AL550" s="586">
        <f t="shared" si="474"/>
        <v>1.5707540764465207</v>
      </c>
      <c r="AM550" s="273" t="str">
        <f t="shared" si="475"/>
        <v>1+0.828366542934687i</v>
      </c>
      <c r="AN550" s="585">
        <f t="shared" si="476"/>
        <v>1.2985342234433273</v>
      </c>
      <c r="AO550" s="586">
        <f t="shared" si="477"/>
        <v>0.69179988651286972</v>
      </c>
      <c r="AP550" s="584" t="str">
        <f t="shared" si="478"/>
        <v>1+0.00599304153024679i</v>
      </c>
      <c r="AQ550" s="585">
        <f t="shared" si="479"/>
        <v>1.0000179581121449</v>
      </c>
      <c r="AR550" s="586">
        <f t="shared" si="480"/>
        <v>5.9929697820074552E-3</v>
      </c>
      <c r="AS550" s="580" t="str">
        <f t="shared" si="481"/>
        <v>0.13898445152694-0.16982841805136i</v>
      </c>
      <c r="AT550" s="270">
        <f t="shared" si="482"/>
        <v>0.21945015229903997</v>
      </c>
      <c r="AU550" s="581">
        <f t="shared" si="483"/>
        <v>-0.88494715971565663</v>
      </c>
      <c r="AV550" s="580" t="str">
        <f t="shared" si="484"/>
        <v>-0.0274332776378296-0.0349838203888267i</v>
      </c>
      <c r="AW550" s="270">
        <f t="shared" si="485"/>
        <v>-27.04113638143572</v>
      </c>
      <c r="AX550" s="581">
        <f t="shared" si="486"/>
        <v>-128.10249342066697</v>
      </c>
      <c r="AY550" s="299">
        <f t="shared" si="456"/>
        <v>51.897506579333026</v>
      </c>
      <c r="BB550" s="270">
        <f t="shared" si="489"/>
        <v>-53.173282268345552</v>
      </c>
      <c r="BC550" s="270">
        <f t="shared" si="490"/>
        <v>-50.70373734379671</v>
      </c>
      <c r="BD550" s="286"/>
      <c r="BE550" s="270">
        <f t="shared" si="487"/>
        <v>26.132145886909832</v>
      </c>
      <c r="BF550" s="581">
        <f t="shared" si="488"/>
        <v>-77.398756076870299</v>
      </c>
      <c r="BI550" s="286"/>
      <c r="BJ550" s="286"/>
      <c r="BL550" s="253">
        <f t="shared" si="457"/>
        <v>0</v>
      </c>
      <c r="BM550" s="253">
        <f t="shared" si="491"/>
        <v>0</v>
      </c>
      <c r="BN550" s="253">
        <f t="shared" si="458"/>
        <v>0</v>
      </c>
      <c r="BO550" s="253">
        <f t="shared" si="459"/>
        <v>0</v>
      </c>
    </row>
    <row r="551" spans="4:67" ht="13.6" thickBot="1" x14ac:dyDescent="0.25">
      <c r="D551" s="280">
        <v>86105</v>
      </c>
      <c r="E551" s="273" t="str">
        <f t="shared" si="438"/>
        <v>0.973824607574457i</v>
      </c>
      <c r="F551" s="579" t="str">
        <f t="shared" si="460"/>
        <v>0.002-0.0284366481160114i</v>
      </c>
      <c r="G551" s="270" t="str">
        <f t="shared" si="461"/>
        <v>0.002-0.0284366481160114i</v>
      </c>
      <c r="H551" s="271" t="str">
        <f t="shared" si="462"/>
        <v>0.00240103161943984-0.0283741353350377i</v>
      </c>
      <c r="I551" s="271" t="str">
        <f t="shared" si="463"/>
        <v>0.0124010316194398-0.0283741353350377i</v>
      </c>
      <c r="J551" s="270" t="str">
        <f t="shared" si="464"/>
        <v>0.00349224810847537-0.0146513595439139i</v>
      </c>
      <c r="K551" s="271" t="str">
        <f t="shared" si="439"/>
        <v>0.81278071197697-0.679665415671732i</v>
      </c>
      <c r="L551" s="580"/>
      <c r="M551" s="580" t="str">
        <f t="shared" si="440"/>
        <v>-0.0421202319330699-16.5884655877373i</v>
      </c>
      <c r="N551" s="270" t="str">
        <f t="shared" si="441"/>
        <v>-6.69825684061647-12.441349190803i</v>
      </c>
      <c r="O551" s="581" t="str">
        <f t="shared" si="442"/>
        <v>-4.27830370011452-5.37881678940237i</v>
      </c>
      <c r="P551" s="582" t="str">
        <f t="shared" si="443"/>
        <v>-0.205674654987562+0.0546902911108893i</v>
      </c>
      <c r="Q551" s="583" t="str">
        <f t="shared" si="444"/>
        <v>-0.162891617986417+0.108478459004913i</v>
      </c>
      <c r="R551" s="581" t="str">
        <f t="shared" si="465"/>
        <v>-0.506353350005513-0.60240988890141i</v>
      </c>
      <c r="S551" s="253" t="str">
        <f t="shared" si="466"/>
        <v>37.7488105229127-31.0939258029545i</v>
      </c>
      <c r="T551" s="253" t="str">
        <f t="shared" si="467"/>
        <v>4.27097717802337-19.8071069084311i</v>
      </c>
      <c r="U551" s="253" t="str">
        <f t="shared" si="468"/>
        <v>-0.551754780765044-0.168742774438859i</v>
      </c>
      <c r="V551" s="582" t="str">
        <f t="shared" si="445"/>
        <v>6000</v>
      </c>
      <c r="W551" s="584" t="str">
        <f t="shared" si="446"/>
        <v>1+303013.100838185i</v>
      </c>
      <c r="X551" s="585">
        <f t="shared" si="447"/>
        <v>303013.10083983513</v>
      </c>
      <c r="Y551" s="586">
        <f t="shared" si="448"/>
        <v>1.570793026607554</v>
      </c>
      <c r="Z551" s="273" t="str">
        <f t="shared" si="449"/>
        <v>1+45.4451483534747i</v>
      </c>
      <c r="AA551" s="585">
        <f t="shared" si="450"/>
        <v>45.456149296539891</v>
      </c>
      <c r="AB551" s="586">
        <f t="shared" si="451"/>
        <v>1.5487953281616422</v>
      </c>
      <c r="AC551" s="584" t="str">
        <f t="shared" si="452"/>
        <v>1+2.19706648242715i</v>
      </c>
      <c r="AD551" s="585">
        <f t="shared" si="453"/>
        <v>2.4139389238762461</v>
      </c>
      <c r="AE551" s="586">
        <f t="shared" si="454"/>
        <v>1.1436659633393809</v>
      </c>
      <c r="AF551" s="580" t="str">
        <f t="shared" si="469"/>
        <v>0.146962821726823-0.342685244110597i</v>
      </c>
      <c r="AG551" s="270">
        <f t="shared" si="470"/>
        <v>0.37286894145403077</v>
      </c>
      <c r="AH551" s="581">
        <f t="shared" si="471"/>
        <v>-1.1656636617852931</v>
      </c>
      <c r="AI551" s="582" t="str">
        <f t="shared" si="455"/>
        <v>4000</v>
      </c>
      <c r="AJ551" s="584" t="str">
        <f t="shared" si="472"/>
        <v>1+23805.4346795399i</v>
      </c>
      <c r="AK551" s="585">
        <f t="shared" si="473"/>
        <v>23805.434700543505</v>
      </c>
      <c r="AL551" s="586">
        <f t="shared" si="474"/>
        <v>1.570754319580457</v>
      </c>
      <c r="AM551" s="273" t="str">
        <f t="shared" si="475"/>
        <v>1+0.833161053147035i</v>
      </c>
      <c r="AN551" s="585">
        <f t="shared" si="476"/>
        <v>1.3015979949589185</v>
      </c>
      <c r="AO551" s="586">
        <f t="shared" si="477"/>
        <v>0.69463659402916145</v>
      </c>
      <c r="AP551" s="584" t="str">
        <f t="shared" si="478"/>
        <v>1+0.00602772870956961i</v>
      </c>
      <c r="AQ551" s="585">
        <f t="shared" si="479"/>
        <v>1.0000181665916856</v>
      </c>
      <c r="AR551" s="586">
        <f t="shared" si="480"/>
        <v>6.0276557083070994E-3</v>
      </c>
      <c r="AS551" s="580" t="str">
        <f t="shared" si="481"/>
        <v>0.138984311639501-0.168860736482073i</v>
      </c>
      <c r="AT551" s="270">
        <f t="shared" si="482"/>
        <v>0.21870205121848774</v>
      </c>
      <c r="AU551" s="581">
        <f t="shared" si="483"/>
        <v>-0.88214538125960451</v>
      </c>
      <c r="AV551" s="580" t="str">
        <f t="shared" si="484"/>
        <v>-0.0275104383702123-0.0347407747101745i</v>
      </c>
      <c r="AW551" s="270">
        <f t="shared" si="485"/>
        <v>-27.069147646914388</v>
      </c>
      <c r="AX551" s="581">
        <f t="shared" si="486"/>
        <v>-128.37491100159053</v>
      </c>
      <c r="AY551" s="299">
        <f t="shared" si="456"/>
        <v>51.625088998409467</v>
      </c>
      <c r="BB551" s="270">
        <f t="shared" si="489"/>
        <v>-53.202942873431731</v>
      </c>
      <c r="BC551" s="270">
        <f t="shared" si="490"/>
        <v>-50.543207263134242</v>
      </c>
      <c r="BD551" s="286"/>
      <c r="BE551" s="270">
        <f t="shared" si="487"/>
        <v>26.133795226517353</v>
      </c>
      <c r="BF551" s="581">
        <f t="shared" si="488"/>
        <v>-77.831703738456341</v>
      </c>
      <c r="BI551" s="286"/>
      <c r="BJ551" s="286"/>
      <c r="BL551" s="253">
        <f t="shared" si="457"/>
        <v>0</v>
      </c>
      <c r="BM551" s="253">
        <f t="shared" si="491"/>
        <v>0</v>
      </c>
      <c r="BN551" s="253">
        <f t="shared" si="458"/>
        <v>0</v>
      </c>
      <c r="BO551" s="253">
        <f t="shared" si="459"/>
        <v>0</v>
      </c>
    </row>
    <row r="552" spans="4:67" ht="13.6" thickBot="1" x14ac:dyDescent="0.25">
      <c r="D552" s="280">
        <v>86600.5</v>
      </c>
      <c r="E552" s="273" t="str">
        <f t="shared" si="438"/>
        <v>0.97942858054993i</v>
      </c>
      <c r="F552" s="579" t="str">
        <f t="shared" si="460"/>
        <v>0.002-0.0282739428297661i</v>
      </c>
      <c r="G552" s="270" t="str">
        <f t="shared" si="461"/>
        <v>0.002-0.0282739428297661i</v>
      </c>
      <c r="H552" s="271" t="str">
        <f t="shared" si="462"/>
        <v>0.00239643372092399-0.0282118526620937i</v>
      </c>
      <c r="I552" s="271" t="str">
        <f t="shared" si="463"/>
        <v>0.012396433720924-0.0282118526620937i</v>
      </c>
      <c r="J552" s="270" t="str">
        <f t="shared" si="464"/>
        <v>0.00348999184386412-0.014571997631393i</v>
      </c>
      <c r="K552" s="271" t="str">
        <f t="shared" si="439"/>
        <v>0.810619767171284-0.683576619590962i</v>
      </c>
      <c r="L552" s="580"/>
      <c r="M552" s="580" t="str">
        <f t="shared" si="440"/>
        <v>-0.0416834093130696-16.4919757188442i</v>
      </c>
      <c r="N552" s="270" t="str">
        <f t="shared" si="441"/>
        <v>-6.69792922365147-12.3689817891331i</v>
      </c>
      <c r="O552" s="581" t="str">
        <f t="shared" si="442"/>
        <v>-4.27538213488076-5.33878445462798i</v>
      </c>
      <c r="P552" s="582" t="str">
        <f t="shared" si="443"/>
        <v>-0.203616491695313+0.0544345632213088i</v>
      </c>
      <c r="Q552" s="583" t="str">
        <f t="shared" si="444"/>
        <v>-0.160862670346505+0.107822407767588i</v>
      </c>
      <c r="R552" s="581" t="str">
        <f t="shared" si="465"/>
        <v>-0.506285181709963-0.597308695866264i</v>
      </c>
      <c r="S552" s="253" t="str">
        <f t="shared" si="466"/>
        <v>37.5861723967798-31.2276749439546i</v>
      </c>
      <c r="T552" s="253" t="str">
        <f t="shared" si="467"/>
        <v>4.1220852844118-19.8424529928608i</v>
      </c>
      <c r="U552" s="253" t="str">
        <f t="shared" si="468"/>
        <v>-0.549914056113019-0.163842786162352i</v>
      </c>
      <c r="V552" s="582" t="str">
        <f t="shared" si="445"/>
        <v>6000</v>
      </c>
      <c r="W552" s="584" t="str">
        <f t="shared" si="446"/>
        <v>1+304756.82061596i</v>
      </c>
      <c r="X552" s="585">
        <f t="shared" si="447"/>
        <v>304756.82061760064</v>
      </c>
      <c r="Y552" s="586">
        <f t="shared" si="448"/>
        <v>1.5707930454901566</v>
      </c>
      <c r="Z552" s="273" t="str">
        <f t="shared" si="449"/>
        <v>1+45.7066670923301i</v>
      </c>
      <c r="AA552" s="585">
        <f t="shared" si="450"/>
        <v>45.717605106666412</v>
      </c>
      <c r="AB552" s="586">
        <f t="shared" si="451"/>
        <v>1.5489211704768144</v>
      </c>
      <c r="AC552" s="584" t="str">
        <f t="shared" si="452"/>
        <v>1+2.20970972546812i</v>
      </c>
      <c r="AD552" s="585">
        <f t="shared" si="453"/>
        <v>2.4254519312549556</v>
      </c>
      <c r="AE552" s="586">
        <f t="shared" si="454"/>
        <v>1.1458253970379022</v>
      </c>
      <c r="AF552" s="580" t="str">
        <f t="shared" si="469"/>
        <v>0.145570942157886-0.341354402339591i</v>
      </c>
      <c r="AG552" s="270">
        <f t="shared" si="470"/>
        <v>0.37109800214681027</v>
      </c>
      <c r="AH552" s="581">
        <f t="shared" si="471"/>
        <v>-1.1676972720512446</v>
      </c>
      <c r="AI552" s="582" t="str">
        <f t="shared" si="455"/>
        <v>4000</v>
      </c>
      <c r="AJ552" s="584" t="str">
        <f t="shared" si="472"/>
        <v>1+23942.4254801172i</v>
      </c>
      <c r="AK552" s="585">
        <f t="shared" si="473"/>
        <v>23942.425501000631</v>
      </c>
      <c r="AL552" s="586">
        <f t="shared" si="474"/>
        <v>1.5707545599321262</v>
      </c>
      <c r="AM552" s="273" t="str">
        <f t="shared" si="475"/>
        <v>1+0.837955563359386i</v>
      </c>
      <c r="AN552" s="585">
        <f t="shared" si="476"/>
        <v>1.3046721910751933</v>
      </c>
      <c r="AO552" s="586">
        <f t="shared" si="477"/>
        <v>0.69745995592085319</v>
      </c>
      <c r="AP552" s="584" t="str">
        <f t="shared" si="478"/>
        <v>1+0.00606241588889244i</v>
      </c>
      <c r="AQ552" s="585">
        <f t="shared" si="479"/>
        <v>1.0000183762743611</v>
      </c>
      <c r="AR552" s="586">
        <f t="shared" si="480"/>
        <v>6.0623416201026773E-3</v>
      </c>
      <c r="AS552" s="580" t="str">
        <f t="shared" si="481"/>
        <v>0.138984172820176-0.16790418358877i</v>
      </c>
      <c r="AT552" s="270">
        <f t="shared" si="482"/>
        <v>0.21796425202569325</v>
      </c>
      <c r="AU552" s="581">
        <f t="shared" si="483"/>
        <v>-0.87935694563137234</v>
      </c>
      <c r="AV552" s="580" t="str">
        <f t="shared" si="484"/>
        <v>-0.0275872625661664-0.0344990228029843i</v>
      </c>
      <c r="AW552" s="270">
        <f t="shared" si="485"/>
        <v>-27.096893919550531</v>
      </c>
      <c r="AX552" s="581">
        <f t="shared" si="486"/>
        <v>-128.6476989397573</v>
      </c>
      <c r="AY552" s="299">
        <f t="shared" si="456"/>
        <v>51.352301060242695</v>
      </c>
      <c r="BB552" s="270">
        <f t="shared" si="489"/>
        <v>-53.232294570205021</v>
      </c>
      <c r="BC552" s="270">
        <f t="shared" si="490"/>
        <v>-50.383441670192639</v>
      </c>
      <c r="BD552" s="286"/>
      <c r="BE552" s="270">
        <f t="shared" si="487"/>
        <v>26.1354006506545</v>
      </c>
      <c r="BF552" s="581">
        <f t="shared" si="488"/>
        <v>-78.264257269564723</v>
      </c>
      <c r="BI552" s="286"/>
      <c r="BJ552" s="286"/>
      <c r="BL552" s="253">
        <f t="shared" si="457"/>
        <v>0</v>
      </c>
      <c r="BM552" s="253">
        <f t="shared" si="491"/>
        <v>0</v>
      </c>
      <c r="BN552" s="253">
        <f t="shared" si="458"/>
        <v>0</v>
      </c>
      <c r="BO552" s="253">
        <f t="shared" si="459"/>
        <v>0</v>
      </c>
    </row>
    <row r="553" spans="4:67" ht="13.6" thickBot="1" x14ac:dyDescent="0.25">
      <c r="D553" s="280">
        <v>87096</v>
      </c>
      <c r="E553" s="273" t="str">
        <f t="shared" si="438"/>
        <v>0.985032553525404i</v>
      </c>
      <c r="F553" s="579" t="str">
        <f t="shared" si="460"/>
        <v>0.002-0.0281130888448282i</v>
      </c>
      <c r="G553" s="270" t="str">
        <f t="shared" si="461"/>
        <v>0.002-0.0281130888448282i</v>
      </c>
      <c r="H553" s="271" t="str">
        <f t="shared" si="462"/>
        <v>0.00239191405239472-0.0280514153833128i</v>
      </c>
      <c r="I553" s="271" t="str">
        <f t="shared" si="463"/>
        <v>0.0123919140523947-0.0280514153833128i</v>
      </c>
      <c r="J553" s="270" t="str">
        <f t="shared" si="464"/>
        <v>0.00348775033286785-0.014493558146792i</v>
      </c>
      <c r="K553" s="271" t="str">
        <f t="shared" si="439"/>
        <v>0.808446422666094-0.687487823510193i</v>
      </c>
      <c r="L553" s="580"/>
      <c r="M553" s="580" t="str">
        <f t="shared" si="440"/>
        <v>-0.0412537329172868-16.3966105166807i</v>
      </c>
      <c r="N553" s="270" t="str">
        <f t="shared" si="441"/>
        <v>-6.69760696635463-12.2974578875105i</v>
      </c>
      <c r="O553" s="581" t="str">
        <f t="shared" si="442"/>
        <v>-4.2724643597414-5.29917969227588i</v>
      </c>
      <c r="P553" s="582" t="str">
        <f t="shared" si="443"/>
        <v>-0.201593501876681+0.0541816931706269i</v>
      </c>
      <c r="Q553" s="583" t="str">
        <f t="shared" si="444"/>
        <v>-0.158868858279267+0.107173490093386i</v>
      </c>
      <c r="R553" s="581" t="str">
        <f t="shared" si="465"/>
        <v>-0.506218158103792-0.59225771603789i</v>
      </c>
      <c r="S553" s="253" t="str">
        <f t="shared" si="466"/>
        <v>37.4228144932243-31.3603870138897i</v>
      </c>
      <c r="T553" s="253" t="str">
        <f t="shared" si="467"/>
        <v>3.97302019377686-19.8765510057049i</v>
      </c>
      <c r="U553" s="253" t="str">
        <f t="shared" si="468"/>
        <v>-0.54806226581669-0.158991841445611i</v>
      </c>
      <c r="V553" s="582" t="str">
        <f t="shared" si="445"/>
        <v>6000</v>
      </c>
      <c r="W553" s="584" t="str">
        <f t="shared" si="446"/>
        <v>1+306500.540393735i</v>
      </c>
      <c r="X553" s="585">
        <f t="shared" si="447"/>
        <v>306500.54039536632</v>
      </c>
      <c r="Y553" s="586">
        <f t="shared" si="448"/>
        <v>1.5707930641579084</v>
      </c>
      <c r="Z553" s="273" t="str">
        <f t="shared" si="449"/>
        <v>1+45.9681858311855i</v>
      </c>
      <c r="AA553" s="585">
        <f t="shared" si="450"/>
        <v>45.979061632556217</v>
      </c>
      <c r="AB553" s="586">
        <f t="shared" si="451"/>
        <v>1.5490455816079434</v>
      </c>
      <c r="AC553" s="584" t="str">
        <f t="shared" si="452"/>
        <v>1+2.22235296850908i</v>
      </c>
      <c r="AD553" s="585">
        <f t="shared" si="453"/>
        <v>2.4369761419925964</v>
      </c>
      <c r="AE553" s="586">
        <f t="shared" si="454"/>
        <v>1.1479644171507093</v>
      </c>
      <c r="AF553" s="580" t="str">
        <f t="shared" si="469"/>
        <v>0.144197417189774-0.340030444139288i</v>
      </c>
      <c r="AG553" s="270">
        <f t="shared" si="470"/>
        <v>0.36934211520724686</v>
      </c>
      <c r="AH553" s="581">
        <f t="shared" si="471"/>
        <v>-1.169711899700675</v>
      </c>
      <c r="AI553" s="582" t="str">
        <f t="shared" si="455"/>
        <v>4000</v>
      </c>
      <c r="AJ553" s="584" t="str">
        <f t="shared" si="472"/>
        <v>1+24079.4162806946i</v>
      </c>
      <c r="AK553" s="585">
        <f t="shared" si="473"/>
        <v>24079.416301459223</v>
      </c>
      <c r="AL553" s="586">
        <f t="shared" si="474"/>
        <v>1.5707547975490141</v>
      </c>
      <c r="AM553" s="273" t="str">
        <f t="shared" si="475"/>
        <v>1+0.842750073571735i</v>
      </c>
      <c r="AN553" s="585">
        <f t="shared" si="476"/>
        <v>1.3077567382755728</v>
      </c>
      <c r="AO553" s="586">
        <f t="shared" si="477"/>
        <v>0.70027002145049932</v>
      </c>
      <c r="AP553" s="584" t="str">
        <f t="shared" si="478"/>
        <v>1+0.00609710306821526i</v>
      </c>
      <c r="AQ553" s="585">
        <f t="shared" si="479"/>
        <v>1.000018587160171</v>
      </c>
      <c r="AR553" s="586">
        <f t="shared" si="480"/>
        <v>6.0970275173107148E-3</v>
      </c>
      <c r="AS553" s="580" t="str">
        <f t="shared" si="481"/>
        <v>0.138984035037136-0.166958569434041i</v>
      </c>
      <c r="AT553" s="270">
        <f t="shared" si="482"/>
        <v>0.21723656667942748</v>
      </c>
      <c r="AU553" s="581">
        <f t="shared" si="483"/>
        <v>-0.87658180361582683</v>
      </c>
      <c r="AV553" s="580" t="str">
        <f t="shared" si="484"/>
        <v>-0.0276637414338011-0.0342585302927985i</v>
      </c>
      <c r="AW553" s="270">
        <f t="shared" si="485"/>
        <v>-27.124379844003595</v>
      </c>
      <c r="AX553" s="581">
        <f t="shared" si="486"/>
        <v>-128.92085265502052</v>
      </c>
      <c r="AY553" s="299">
        <f t="shared" si="456"/>
        <v>51.079147344979475</v>
      </c>
      <c r="BB553" s="270">
        <f t="shared" si="489"/>
        <v>-53.261341392856295</v>
      </c>
      <c r="BC553" s="270">
        <f t="shared" si="490"/>
        <v>-50.224437745152443</v>
      </c>
      <c r="BD553" s="286"/>
      <c r="BE553" s="270">
        <f t="shared" si="487"/>
        <v>26.1369615488527</v>
      </c>
      <c r="BF553" s="581">
        <f t="shared" si="488"/>
        <v>-78.696414909868068</v>
      </c>
      <c r="BI553" s="286"/>
      <c r="BJ553" s="286"/>
      <c r="BL553" s="253">
        <f t="shared" si="457"/>
        <v>0</v>
      </c>
      <c r="BM553" s="253">
        <f t="shared" si="491"/>
        <v>0</v>
      </c>
      <c r="BN553" s="253">
        <f t="shared" si="458"/>
        <v>0</v>
      </c>
      <c r="BO553" s="253">
        <f t="shared" si="459"/>
        <v>0</v>
      </c>
    </row>
    <row r="554" spans="4:67" ht="13.6" thickBot="1" x14ac:dyDescent="0.25">
      <c r="D554" s="280">
        <v>87603.25</v>
      </c>
      <c r="E554" s="273" t="str">
        <f t="shared" si="438"/>
        <v>0.990769415870124i</v>
      </c>
      <c r="F554" s="579" t="str">
        <f t="shared" si="460"/>
        <v>0.002-0.0279503053371782i</v>
      </c>
      <c r="G554" s="270" t="str">
        <f t="shared" si="461"/>
        <v>0.002-0.0279503053371782i</v>
      </c>
      <c r="H554" s="271" t="str">
        <f t="shared" si="462"/>
        <v>0.00238736639971778-0.0278890524747915i</v>
      </c>
      <c r="I554" s="271" t="str">
        <f t="shared" si="463"/>
        <v>0.0123873663997178-0.0278890524747915i</v>
      </c>
      <c r="J554" s="270" t="str">
        <f t="shared" si="464"/>
        <v>0.00348547051158448-0.0144141976609304i</v>
      </c>
      <c r="K554" s="271" t="str">
        <f t="shared" si="439"/>
        <v>0.806208696483359-0.691491775453744i</v>
      </c>
      <c r="L554" s="580"/>
      <c r="M554" s="580" t="str">
        <f t="shared" si="440"/>
        <v>-0.0408211086600442-16.300128306259i</v>
      </c>
      <c r="N554" s="270" t="str">
        <f t="shared" si="441"/>
        <v>-6.6972824981617-12.2250962296943i</v>
      </c>
      <c r="O554" s="581" t="str">
        <f t="shared" si="442"/>
        <v>-4.26948105252091-5.25907103269808i</v>
      </c>
      <c r="P554" s="582" t="str">
        <f t="shared" si="443"/>
        <v>-0.199558134133802+0.0539257413097104i</v>
      </c>
      <c r="Q554" s="583" t="str">
        <f t="shared" si="444"/>
        <v>-0.156863323608593+0.106516451636691i</v>
      </c>
      <c r="R554" s="581" t="str">
        <f t="shared" si="465"/>
        <v>-0.506150703919962-0.587138055512863i</v>
      </c>
      <c r="S554" s="253" t="str">
        <f t="shared" si="466"/>
        <v>37.2548444927469-31.4951655753529i</v>
      </c>
      <c r="T554" s="253" t="str">
        <f t="shared" si="467"/>
        <v>3.82025310504928-19.9101634391452i</v>
      </c>
      <c r="U554" s="253" t="str">
        <f t="shared" si="468"/>
        <v>-0.546155249034585-0.15407609452121i</v>
      </c>
      <c r="V554" s="582" t="str">
        <f t="shared" si="445"/>
        <v>6000</v>
      </c>
      <c r="W554" s="584" t="str">
        <f t="shared" si="446"/>
        <v>1+308285.609732335i</v>
      </c>
      <c r="X554" s="585">
        <f t="shared" si="447"/>
        <v>308285.60973395687</v>
      </c>
      <c r="Y554" s="586">
        <f t="shared" si="448"/>
        <v>1.5707930830495889</v>
      </c>
      <c r="Z554" s="273" t="str">
        <f t="shared" si="449"/>
        <v>1+46.2359060739391i</v>
      </c>
      <c r="AA554" s="585">
        <f t="shared" si="450"/>
        <v>46.24671891581194</v>
      </c>
      <c r="AB554" s="586">
        <f t="shared" si="451"/>
        <v>1.5491714857973995</v>
      </c>
      <c r="AC554" s="584" t="str">
        <f t="shared" si="452"/>
        <v>1+2.2352960260924i</v>
      </c>
      <c r="AD554" s="585">
        <f t="shared" si="453"/>
        <v>2.4487850710637051</v>
      </c>
      <c r="AE554" s="586">
        <f t="shared" si="454"/>
        <v>1.1501332959193984</v>
      </c>
      <c r="AF554" s="580" t="str">
        <f t="shared" si="469"/>
        <v>0.142810025995708-0.338682236507404i</v>
      </c>
      <c r="AG554" s="270">
        <f t="shared" si="470"/>
        <v>0.36756000986308601</v>
      </c>
      <c r="AH554" s="581">
        <f t="shared" si="471"/>
        <v>-1.1717548931715887</v>
      </c>
      <c r="AI554" s="582" t="str">
        <f t="shared" si="455"/>
        <v>4000</v>
      </c>
      <c r="AJ554" s="584" t="str">
        <f t="shared" si="472"/>
        <v>1+24219.6556017699i</v>
      </c>
      <c r="AK554" s="585">
        <f t="shared" si="473"/>
        <v>24219.655622414288</v>
      </c>
      <c r="AL554" s="586">
        <f t="shared" si="474"/>
        <v>1.5707550380162338</v>
      </c>
      <c r="AM554" s="273" t="str">
        <f t="shared" si="475"/>
        <v>1+0.847658278022218i</v>
      </c>
      <c r="AN554" s="585">
        <f t="shared" si="476"/>
        <v>1.3109250765393086</v>
      </c>
      <c r="AO554" s="586">
        <f t="shared" si="477"/>
        <v>0.70313300202062368</v>
      </c>
      <c r="AP554" s="584" t="str">
        <f t="shared" si="478"/>
        <v>1+0.00613261279921728i</v>
      </c>
      <c r="AQ554" s="585">
        <f t="shared" si="479"/>
        <v>1.0000188042930718</v>
      </c>
      <c r="AR554" s="586">
        <f t="shared" si="480"/>
        <v>6.1325359205969847E-3</v>
      </c>
      <c r="AS554" s="580" t="str">
        <f t="shared" si="481"/>
        <v>0.138983895027948-0.166001668650504i</v>
      </c>
      <c r="AT554" s="270">
        <f t="shared" si="482"/>
        <v>0.2165019100883209</v>
      </c>
      <c r="AU554" s="581">
        <f t="shared" si="483"/>
        <v>-0.87375457191620831</v>
      </c>
      <c r="AV554" s="580" t="str">
        <f t="shared" si="484"/>
        <v>-0.0277416669747-0.0340136045552089i</v>
      </c>
      <c r="AW554" s="270">
        <f t="shared" si="485"/>
        <v>-27.152252649184341</v>
      </c>
      <c r="AX554" s="581">
        <f t="shared" si="486"/>
        <v>-129.20085784196371</v>
      </c>
      <c r="AY554" s="299">
        <f t="shared" si="456"/>
        <v>50.79914215803629</v>
      </c>
      <c r="BB554" s="270">
        <f t="shared" si="489"/>
        <v>-53.290765354604154</v>
      </c>
      <c r="BC554" s="270">
        <f t="shared" si="490"/>
        <v>-50.062449301058706</v>
      </c>
      <c r="BD554" s="286"/>
      <c r="BE554" s="270">
        <f t="shared" si="487"/>
        <v>26.138512705419814</v>
      </c>
      <c r="BF554" s="581">
        <f t="shared" si="488"/>
        <v>-79.138408540904976</v>
      </c>
      <c r="BI554" s="286"/>
      <c r="BJ554" s="286"/>
      <c r="BL554" s="253">
        <f t="shared" si="457"/>
        <v>0</v>
      </c>
      <c r="BM554" s="253">
        <f t="shared" si="491"/>
        <v>0</v>
      </c>
      <c r="BN554" s="253">
        <f t="shared" si="458"/>
        <v>0</v>
      </c>
      <c r="BO554" s="253">
        <f t="shared" si="459"/>
        <v>0</v>
      </c>
    </row>
    <row r="555" spans="4:67" ht="13.6" thickBot="1" x14ac:dyDescent="0.25">
      <c r="D555" s="280">
        <v>88110.5</v>
      </c>
      <c r="E555" s="273" t="str">
        <f t="shared" si="438"/>
        <v>0.996506278214844i</v>
      </c>
      <c r="F555" s="579" t="str">
        <f t="shared" si="460"/>
        <v>0.002-0.0277893961108967i</v>
      </c>
      <c r="G555" s="270" t="str">
        <f t="shared" si="461"/>
        <v>0.002-0.0277893961108967i</v>
      </c>
      <c r="H555" s="271" t="str">
        <f t="shared" si="462"/>
        <v>0.00238289704274189-0.0277285579180725i</v>
      </c>
      <c r="I555" s="271" t="str">
        <f t="shared" si="463"/>
        <v>0.0123828970427419-0.0277285579180725i</v>
      </c>
      <c r="J555" s="270" t="str">
        <f t="shared" si="464"/>
        <v>0.00348320527369135-0.0143357708733055i</v>
      </c>
      <c r="K555" s="271" t="str">
        <f t="shared" si="439"/>
        <v>0.80395797554986-0.695495727397295i</v>
      </c>
      <c r="L555" s="580"/>
      <c r="M555" s="580" t="str">
        <f t="shared" si="440"/>
        <v>-0.0403956505386863-16.2047834640187i</v>
      </c>
      <c r="N555" s="270" t="str">
        <f t="shared" si="441"/>
        <v>-6.69696340457068-12.153587598014i</v>
      </c>
      <c r="O555" s="581" t="str">
        <f t="shared" si="442"/>
        <v>-4.26650118280168-5.21939514094232i</v>
      </c>
      <c r="P555" s="582" t="str">
        <f t="shared" si="443"/>
        <v>-0.197557945342295+0.0536726924991651i</v>
      </c>
      <c r="Q555" s="583" t="str">
        <f t="shared" si="444"/>
        <v>-0.154892933514278+0.105866643908588i</v>
      </c>
      <c r="R555" s="581" t="str">
        <f t="shared" si="465"/>
        <v>-0.506084395397004-0.582069175023296i</v>
      </c>
      <c r="S555" s="253" t="str">
        <f t="shared" si="466"/>
        <v>37.0861350235174-31.6288445100094i</v>
      </c>
      <c r="T555" s="253" t="str">
        <f t="shared" si="467"/>
        <v>3.66732942881266-19.9424653129172i</v>
      </c>
      <c r="U555" s="253" t="str">
        <f t="shared" si="468"/>
        <v>-0.544236936007696-0.149210598090618i</v>
      </c>
      <c r="V555" s="582" t="str">
        <f t="shared" si="445"/>
        <v>6000</v>
      </c>
      <c r="W555" s="584" t="str">
        <f t="shared" si="446"/>
        <v>1+310070.679070936i</v>
      </c>
      <c r="X555" s="585">
        <f t="shared" si="447"/>
        <v>310070.67907254852</v>
      </c>
      <c r="Y555" s="586">
        <f t="shared" si="448"/>
        <v>1.5707931017237515</v>
      </c>
      <c r="Z555" s="273" t="str">
        <f t="shared" si="449"/>
        <v>1+46.5036263166928i</v>
      </c>
      <c r="AA555" s="585">
        <f t="shared" si="450"/>
        <v>46.51437692372761</v>
      </c>
      <c r="AB555" s="586">
        <f t="shared" si="451"/>
        <v>1.5492959410060749</v>
      </c>
      <c r="AC555" s="584" t="str">
        <f t="shared" si="452"/>
        <v>1+2.24823908367571i</v>
      </c>
      <c r="AD555" s="585">
        <f t="shared" si="453"/>
        <v>2.460605408708799</v>
      </c>
      <c r="AE555" s="586">
        <f t="shared" si="454"/>
        <v>1.1522813468487563</v>
      </c>
      <c r="AF555" s="580" t="str">
        <f t="shared" si="469"/>
        <v>0.141441250423733-0.337341271988032i</v>
      </c>
      <c r="AG555" s="270">
        <f t="shared" si="470"/>
        <v>0.36579333114196122</v>
      </c>
      <c r="AH555" s="581">
        <f t="shared" si="471"/>
        <v>-1.1737785075664333</v>
      </c>
      <c r="AI555" s="582" t="str">
        <f t="shared" si="455"/>
        <v>4000</v>
      </c>
      <c r="AJ555" s="584" t="str">
        <f t="shared" si="472"/>
        <v>1+24359.8949228453i</v>
      </c>
      <c r="AK555" s="585">
        <f t="shared" si="473"/>
        <v>24359.894943370837</v>
      </c>
      <c r="AL555" s="586">
        <f t="shared" si="474"/>
        <v>1.5707552757147254</v>
      </c>
      <c r="AM555" s="273" t="str">
        <f t="shared" si="475"/>
        <v>1+0.852566482472701i</v>
      </c>
      <c r="AN555" s="585">
        <f t="shared" si="476"/>
        <v>1.3141041081420735</v>
      </c>
      <c r="AO555" s="586">
        <f t="shared" si="477"/>
        <v>0.70598215381890361</v>
      </c>
      <c r="AP555" s="584" t="str">
        <f t="shared" si="478"/>
        <v>1+0.00616812253021931i</v>
      </c>
      <c r="AQ555" s="585">
        <f t="shared" si="479"/>
        <v>1.0000190226868426</v>
      </c>
      <c r="AR555" s="586">
        <f t="shared" si="480"/>
        <v>6.1680443084187022E-3</v>
      </c>
      <c r="AS555" s="580" t="str">
        <f t="shared" si="481"/>
        <v>0.138983756040134-0.165055842386975i</v>
      </c>
      <c r="AT555" s="270">
        <f t="shared" si="482"/>
        <v>0.2157774676584592</v>
      </c>
      <c r="AU555" s="581">
        <f t="shared" si="483"/>
        <v>-0.87094116620424045</v>
      </c>
      <c r="AV555" s="580" t="str">
        <f t="shared" si="484"/>
        <v>-0.0278192119284367-0.0337699288207254i</v>
      </c>
      <c r="AW555" s="270">
        <f t="shared" si="485"/>
        <v>-27.179862244753046</v>
      </c>
      <c r="AX555" s="581">
        <f t="shared" si="486"/>
        <v>-129.48123650592999</v>
      </c>
      <c r="AY555" s="299">
        <f t="shared" si="456"/>
        <v>50.518763494070015</v>
      </c>
      <c r="BB555" s="270">
        <f t="shared" si="489"/>
        <v>-53.319878160857073</v>
      </c>
      <c r="BC555" s="270">
        <f t="shared" si="490"/>
        <v>-49.901253027704946</v>
      </c>
      <c r="BD555" s="286"/>
      <c r="BE555" s="270">
        <f t="shared" si="487"/>
        <v>26.14001591610403</v>
      </c>
      <c r="BF555" s="581">
        <f t="shared" si="488"/>
        <v>-79.579983478225131</v>
      </c>
      <c r="BI555" s="286"/>
      <c r="BJ555" s="286"/>
      <c r="BL555" s="253">
        <f t="shared" si="457"/>
        <v>0</v>
      </c>
      <c r="BM555" s="253">
        <f t="shared" si="491"/>
        <v>0</v>
      </c>
      <c r="BN555" s="253">
        <f t="shared" si="458"/>
        <v>0</v>
      </c>
      <c r="BO555" s="253">
        <f t="shared" si="459"/>
        <v>0</v>
      </c>
    </row>
    <row r="556" spans="4:67" ht="13.6" thickBot="1" x14ac:dyDescent="0.25">
      <c r="D556" s="280">
        <v>88617.75</v>
      </c>
      <c r="E556" s="273" t="str">
        <f t="shared" si="438"/>
        <v>1.00224314055956i</v>
      </c>
      <c r="F556" s="579" t="str">
        <f t="shared" si="460"/>
        <v>0.002-0.027630328980697i</v>
      </c>
      <c r="G556" s="270" t="str">
        <f t="shared" si="461"/>
        <v>0.002-0.027630328980697i</v>
      </c>
      <c r="H556" s="271" t="str">
        <f t="shared" si="462"/>
        <v>0.0023785041945128-0.0275698996543545i</v>
      </c>
      <c r="I556" s="271" t="str">
        <f t="shared" si="463"/>
        <v>0.0123785041945128-0.0275698996543545i</v>
      </c>
      <c r="J556" s="270" t="str">
        <f t="shared" si="464"/>
        <v>0.0034809541948037-0.0142582616590235i</v>
      </c>
      <c r="K556" s="271" t="str">
        <f t="shared" si="439"/>
        <v>0.801694259865597-0.699499679340846i</v>
      </c>
      <c r="L556" s="580"/>
      <c r="M556" s="580" t="str">
        <f t="shared" si="440"/>
        <v>-0.0399772016834582-16.1105558494759i</v>
      </c>
      <c r="N556" s="270" t="str">
        <f t="shared" si="441"/>
        <v>-6.69664956792926-12.0829168871069i</v>
      </c>
      <c r="O556" s="581" t="str">
        <f t="shared" si="442"/>
        <v>-4.26352449379754-5.18014453972739i</v>
      </c>
      <c r="P556" s="582" t="str">
        <f t="shared" si="443"/>
        <v>-0.195592120985218+0.0534225015546828i</v>
      </c>
      <c r="Q556" s="583" t="str">
        <f t="shared" si="444"/>
        <v>-0.152956876047242+0.105223946951957i</v>
      </c>
      <c r="R556" s="581" t="str">
        <f t="shared" si="465"/>
        <v>-0.506019206389823-0.577050175236168i</v>
      </c>
      <c r="S556" s="253" t="str">
        <f t="shared" si="466"/>
        <v>36.9166937520938-31.7614174105849i</v>
      </c>
      <c r="T556" s="253" t="str">
        <f t="shared" si="467"/>
        <v>3.51426182097998-19.9734555199969i</v>
      </c>
      <c r="U556" s="253" t="str">
        <f t="shared" si="468"/>
        <v>-0.542307477955211-0.144394793496773i</v>
      </c>
      <c r="V556" s="582" t="str">
        <f t="shared" si="445"/>
        <v>6000</v>
      </c>
      <c r="W556" s="584" t="str">
        <f t="shared" si="446"/>
        <v>1+311855.748409536i</v>
      </c>
      <c r="X556" s="585">
        <f t="shared" si="447"/>
        <v>311855.74841113936</v>
      </c>
      <c r="Y556" s="586">
        <f t="shared" si="448"/>
        <v>1.5707931201841316</v>
      </c>
      <c r="Z556" s="273" t="str">
        <f t="shared" si="449"/>
        <v>1+46.7713465594464i</v>
      </c>
      <c r="AA556" s="585">
        <f t="shared" si="450"/>
        <v>46.782035643864823</v>
      </c>
      <c r="AB556" s="586">
        <f t="shared" si="451"/>
        <v>1.549418972100675</v>
      </c>
      <c r="AC556" s="584" t="str">
        <f t="shared" si="452"/>
        <v>1+2.26118214125903i</v>
      </c>
      <c r="AD556" s="585">
        <f t="shared" si="453"/>
        <v>2.4724369913000355</v>
      </c>
      <c r="AE556" s="586">
        <f t="shared" si="454"/>
        <v>1.1544088489809383</v>
      </c>
      <c r="AF556" s="580" t="str">
        <f t="shared" si="469"/>
        <v>0.140090785379607-0.3360075611287i</v>
      </c>
      <c r="AG556" s="270">
        <f t="shared" si="470"/>
        <v>0.36404190594481317</v>
      </c>
      <c r="AH556" s="581">
        <f t="shared" si="471"/>
        <v>-1.1757829970643952</v>
      </c>
      <c r="AI556" s="582" t="str">
        <f t="shared" si="455"/>
        <v>4000</v>
      </c>
      <c r="AJ556" s="584" t="str">
        <f t="shared" si="472"/>
        <v>1+24500.1342439207i</v>
      </c>
      <c r="AK556" s="585">
        <f t="shared" si="473"/>
        <v>24500.13426432875</v>
      </c>
      <c r="AL556" s="586">
        <f t="shared" si="474"/>
        <v>1.5707555106920341</v>
      </c>
      <c r="AM556" s="273" t="str">
        <f t="shared" si="475"/>
        <v>1+0.857474686923184i</v>
      </c>
      <c r="AN556" s="585">
        <f t="shared" si="476"/>
        <v>1.3172937556650044</v>
      </c>
      <c r="AO556" s="586">
        <f t="shared" si="477"/>
        <v>0.70881753087464838</v>
      </c>
      <c r="AP556" s="584" t="str">
        <f t="shared" si="478"/>
        <v>1+0.00620363226122133i</v>
      </c>
      <c r="AQ556" s="585">
        <f t="shared" si="479"/>
        <v>1.0000192423414824</v>
      </c>
      <c r="AR556" s="586">
        <f t="shared" si="480"/>
        <v>6.2035526806863157E-3</v>
      </c>
      <c r="AS556" s="580" t="str">
        <f t="shared" si="481"/>
        <v>0.138983618042374-0.164120900470899i</v>
      </c>
      <c r="AT556" s="270">
        <f t="shared" si="482"/>
        <v>0.21506305134896428</v>
      </c>
      <c r="AU556" s="581">
        <f t="shared" si="483"/>
        <v>-0.86814153249807391</v>
      </c>
      <c r="AV556" s="580" t="str">
        <f t="shared" si="484"/>
        <v>-0.0278963668282936-0.0335274692752733i</v>
      </c>
      <c r="AW556" s="270">
        <f t="shared" si="485"/>
        <v>-27.207213395146916</v>
      </c>
      <c r="AX556" s="581">
        <f t="shared" si="486"/>
        <v>-129.76198359412496</v>
      </c>
      <c r="AY556" s="299">
        <f t="shared" si="456"/>
        <v>50.238016405875044</v>
      </c>
      <c r="BB556" s="270">
        <f t="shared" si="489"/>
        <v>-53.348683932986475</v>
      </c>
      <c r="BC556" s="270">
        <f t="shared" si="490"/>
        <v>-49.740845832159032</v>
      </c>
      <c r="BD556" s="286"/>
      <c r="BE556" s="270">
        <f t="shared" si="487"/>
        <v>26.141470537839563</v>
      </c>
      <c r="BF556" s="581">
        <f t="shared" si="488"/>
        <v>-80.021137761965932</v>
      </c>
      <c r="BI556" s="286"/>
      <c r="BJ556" s="286"/>
      <c r="BL556" s="253">
        <f t="shared" si="457"/>
        <v>0</v>
      </c>
      <c r="BM556" s="253">
        <f t="shared" si="491"/>
        <v>0</v>
      </c>
      <c r="BN556" s="253">
        <f t="shared" si="458"/>
        <v>0</v>
      </c>
      <c r="BO556" s="253">
        <f t="shared" si="459"/>
        <v>0</v>
      </c>
    </row>
    <row r="557" spans="4:67" ht="13.6" thickBot="1" x14ac:dyDescent="0.25">
      <c r="D557" s="280">
        <v>89125</v>
      </c>
      <c r="E557" s="273" t="str">
        <f t="shared" si="438"/>
        <v>1.00798000290429i</v>
      </c>
      <c r="F557" s="579" t="str">
        <f t="shared" si="460"/>
        <v>0.002-0.0274730724940158i</v>
      </c>
      <c r="G557" s="270" t="str">
        <f t="shared" si="461"/>
        <v>0.002-0.0274730724940158i</v>
      </c>
      <c r="H557" s="271" t="str">
        <f t="shared" si="462"/>
        <v>0.00237418611876364-0.0274130463539842i</v>
      </c>
      <c r="I557" s="271" t="str">
        <f t="shared" si="463"/>
        <v>0.0123741861187636-0.0274130463539842i</v>
      </c>
      <c r="J557" s="270" t="str">
        <f t="shared" si="464"/>
        <v>0.0034787168633099-0.0141816542599889i</v>
      </c>
      <c r="K557" s="271" t="str">
        <f t="shared" si="439"/>
        <v>0.79941754943057-0.703503631284398i</v>
      </c>
      <c r="L557" s="580"/>
      <c r="M557" s="580" t="str">
        <f t="shared" si="440"/>
        <v>-0.039565609438333-16.017425798129i</v>
      </c>
      <c r="N557" s="270" t="str">
        <f t="shared" si="441"/>
        <v>-6.69634087374542-12.0130693485968i</v>
      </c>
      <c r="O557" s="581" t="str">
        <f t="shared" si="442"/>
        <v>-4.26055073745011-5.1413119289791i</v>
      </c>
      <c r="P557" s="582" t="str">
        <f t="shared" si="443"/>
        <v>-0.193659870023039+0.0531751241554146i</v>
      </c>
      <c r="Q557" s="583" t="str">
        <f t="shared" si="444"/>
        <v>-0.151054362648538+0.104588243445205i</v>
      </c>
      <c r="R557" s="581" t="str">
        <f t="shared" si="465"/>
        <v>-0.505955111493345-0.572080178077352i</v>
      </c>
      <c r="S557" s="253" t="str">
        <f t="shared" si="466"/>
        <v>36.7465284484705-31.8928779143114i</v>
      </c>
      <c r="T557" s="253" t="str">
        <f t="shared" si="467"/>
        <v>3.36106296813625-20.0031330928916i</v>
      </c>
      <c r="U557" s="253" t="str">
        <f t="shared" si="468"/>
        <v>-0.540367025657113-0.139628135865104i</v>
      </c>
      <c r="V557" s="582" t="str">
        <f t="shared" si="445"/>
        <v>6000</v>
      </c>
      <c r="W557" s="584" t="str">
        <f t="shared" si="446"/>
        <v>1+313640.817748136i</v>
      </c>
      <c r="X557" s="585">
        <f t="shared" si="447"/>
        <v>313640.81774973019</v>
      </c>
      <c r="Y557" s="586">
        <f t="shared" si="448"/>
        <v>1.5707931384343792</v>
      </c>
      <c r="Z557" s="273" t="str">
        <f t="shared" si="449"/>
        <v>1+47.0390668022i</v>
      </c>
      <c r="AA557" s="585">
        <f t="shared" si="450"/>
        <v>47.049695064068523</v>
      </c>
      <c r="AB557" s="586">
        <f t="shared" si="451"/>
        <v>1.5495406033822263</v>
      </c>
      <c r="AC557" s="584" t="str">
        <f t="shared" si="452"/>
        <v>1+2.27412519884234i</v>
      </c>
      <c r="AD557" s="585">
        <f t="shared" si="453"/>
        <v>2.484279658172508</v>
      </c>
      <c r="AE557" s="586">
        <f t="shared" si="454"/>
        <v>1.1565160767889482</v>
      </c>
      <c r="AF557" s="580" t="str">
        <f t="shared" si="469"/>
        <v>0.138758331312923-0.334681111799032i</v>
      </c>
      <c r="AG557" s="270">
        <f t="shared" si="470"/>
        <v>0.36230556316979601</v>
      </c>
      <c r="AH557" s="581">
        <f t="shared" si="471"/>
        <v>-1.1777686118411015</v>
      </c>
      <c r="AI557" s="582" t="str">
        <f t="shared" si="455"/>
        <v>4000</v>
      </c>
      <c r="AJ557" s="584" t="str">
        <f t="shared" si="472"/>
        <v>1+24640.3735649961i</v>
      </c>
      <c r="AK557" s="585">
        <f t="shared" si="473"/>
        <v>24640.373585288002</v>
      </c>
      <c r="AL557" s="586">
        <f t="shared" si="474"/>
        <v>1.5707557429946222</v>
      </c>
      <c r="AM557" s="273" t="str">
        <f t="shared" si="475"/>
        <v>1+0.862382891373667i</v>
      </c>
      <c r="AN557" s="585">
        <f t="shared" si="476"/>
        <v>1.3204939421799728</v>
      </c>
      <c r="AO557" s="586">
        <f t="shared" si="477"/>
        <v>0.71163918758193723</v>
      </c>
      <c r="AP557" s="584" t="str">
        <f t="shared" si="478"/>
        <v>1+0.00623914199222336i</v>
      </c>
      <c r="AQ557" s="585">
        <f t="shared" si="479"/>
        <v>1.0000194632569903</v>
      </c>
      <c r="AR557" s="586">
        <f t="shared" si="480"/>
        <v>6.239061037310316E-3</v>
      </c>
      <c r="AS557" s="580" t="str">
        <f t="shared" si="481"/>
        <v>0.138983481004243-0.16319665705915i</v>
      </c>
      <c r="AT557" s="270">
        <f t="shared" si="482"/>
        <v>0.21435847747952164</v>
      </c>
      <c r="AU557" s="581">
        <f t="shared" si="483"/>
        <v>-0.8653556164499957</v>
      </c>
      <c r="AV557" s="580" t="str">
        <f t="shared" si="484"/>
        <v>-0.0279731222028314-0.0332861930880638i</v>
      </c>
      <c r="AW557" s="270">
        <f t="shared" si="485"/>
        <v>-27.234310793727495</v>
      </c>
      <c r="AX557" s="581">
        <f t="shared" si="486"/>
        <v>-130.04309400953809</v>
      </c>
      <c r="AY557" s="299">
        <f t="shared" si="456"/>
        <v>49.956905990461905</v>
      </c>
      <c r="BB557" s="270">
        <f t="shared" si="489"/>
        <v>-53.377186725476761</v>
      </c>
      <c r="BC557" s="270">
        <f t="shared" si="490"/>
        <v>-49.581224600526383</v>
      </c>
      <c r="BD557" s="286"/>
      <c r="BE557" s="270">
        <f t="shared" si="487"/>
        <v>26.142875931749266</v>
      </c>
      <c r="BF557" s="581">
        <f t="shared" si="488"/>
        <v>-80.461869409011655</v>
      </c>
      <c r="BI557" s="286"/>
      <c r="BJ557" s="286"/>
      <c r="BL557" s="253">
        <f t="shared" si="457"/>
        <v>0</v>
      </c>
      <c r="BM557" s="253">
        <f t="shared" si="491"/>
        <v>0</v>
      </c>
      <c r="BN557" s="253">
        <f t="shared" si="458"/>
        <v>0</v>
      </c>
      <c r="BO557" s="253">
        <f t="shared" si="459"/>
        <v>0</v>
      </c>
    </row>
    <row r="558" spans="4:67" ht="13.6" thickBot="1" x14ac:dyDescent="0.25">
      <c r="D558" s="280">
        <v>89644</v>
      </c>
      <c r="E558" s="273" t="str">
        <f t="shared" si="438"/>
        <v>1.01384975461825i</v>
      </c>
      <c r="F558" s="579" t="str">
        <f t="shared" si="460"/>
        <v>0.002-0.027314015282999i</v>
      </c>
      <c r="G558" s="270" t="str">
        <f t="shared" si="461"/>
        <v>0.002-0.027314015282999i</v>
      </c>
      <c r="H558" s="271" t="str">
        <f t="shared" si="462"/>
        <v>0.00236984364961579-0.0272543959142528i</v>
      </c>
      <c r="I558" s="271" t="str">
        <f t="shared" si="463"/>
        <v>0.0123698436496158-0.0272543959142528i</v>
      </c>
      <c r="J558" s="270" t="str">
        <f t="shared" si="464"/>
        <v>0.00347644151838296-0.0141041896478476i</v>
      </c>
      <c r="K558" s="271" t="str">
        <f t="shared" si="439"/>
        <v>0.797074651246181-0.70760033125227i</v>
      </c>
      <c r="L558" s="580"/>
      <c r="M558" s="580" t="str">
        <f t="shared" si="440"/>
        <v>-0.0391514247706232-15.9232544391689i</v>
      </c>
      <c r="N558" s="270" t="str">
        <f t="shared" si="441"/>
        <v>-6.69603023524464-11.9424408293767i</v>
      </c>
      <c r="O558" s="581" t="str">
        <f t="shared" si="442"/>
        <v>-4.25751088211379-5.10200498749182i</v>
      </c>
      <c r="P558" s="582" t="str">
        <f t="shared" si="443"/>
        <v>-0.191716807833879+0.052924883195535i</v>
      </c>
      <c r="Q558" s="583" t="str">
        <f t="shared" si="444"/>
        <v>-0.149141699012742+0.103944933070453i</v>
      </c>
      <c r="R558" s="581" t="str">
        <f t="shared" si="465"/>
        <v>-0.505890638567769-0.567044879538589i</v>
      </c>
      <c r="S558" s="253" t="str">
        <f t="shared" si="466"/>
        <v>36.5716802437228-32.0262256509155i</v>
      </c>
      <c r="T558" s="253" t="str">
        <f t="shared" si="467"/>
        <v>3.20419282047053-20.0321386636609i</v>
      </c>
      <c r="U558" s="253" t="str">
        <f t="shared" si="468"/>
        <v>-0.538370402140886-0.13480137631501i</v>
      </c>
      <c r="V558" s="582" t="str">
        <f t="shared" si="445"/>
        <v>6000</v>
      </c>
      <c r="W558" s="584" t="str">
        <f t="shared" si="446"/>
        <v>1+315467.236647562i</v>
      </c>
      <c r="X558" s="585">
        <f t="shared" si="447"/>
        <v>315467.23664914689</v>
      </c>
      <c r="Y558" s="586">
        <f t="shared" si="448"/>
        <v>1.570793156893608</v>
      </c>
      <c r="Z558" s="273" t="str">
        <f t="shared" si="449"/>
        <v>1+47.3129885488518i</v>
      </c>
      <c r="AA558" s="585">
        <f t="shared" si="450"/>
        <v>47.323555291459044</v>
      </c>
      <c r="AB558" s="586">
        <f t="shared" si="451"/>
        <v>1.5496636280882017</v>
      </c>
      <c r="AC558" s="584" t="str">
        <f t="shared" si="452"/>
        <v>1+2.287368070968i</v>
      </c>
      <c r="AD558" s="585">
        <f t="shared" si="453"/>
        <v>2.4964079578634317</v>
      </c>
      <c r="AE558" s="586">
        <f t="shared" si="454"/>
        <v>1.1586514140277688</v>
      </c>
      <c r="AF558" s="580" t="str">
        <f t="shared" si="469"/>
        <v>0.13741334702116-0.333331457749927i</v>
      </c>
      <c r="AG558" s="270">
        <f t="shared" si="470"/>
        <v>0.36054443369056349</v>
      </c>
      <c r="AH558" s="581">
        <f t="shared" si="471"/>
        <v>-1.1797809428331762</v>
      </c>
      <c r="AI558" s="582" t="str">
        <f t="shared" si="455"/>
        <v>4000</v>
      </c>
      <c r="AJ558" s="584" t="str">
        <f t="shared" si="472"/>
        <v>1+24783.8614065696i</v>
      </c>
      <c r="AK558" s="585">
        <f t="shared" si="473"/>
        <v>24783.861426744013</v>
      </c>
      <c r="AL558" s="586">
        <f t="shared" si="474"/>
        <v>1.5707559779572779</v>
      </c>
      <c r="AM558" s="273" t="str">
        <f t="shared" si="475"/>
        <v>1+0.867404790062283i</v>
      </c>
      <c r="AN558" s="585">
        <f t="shared" si="476"/>
        <v>1.3237790864879959</v>
      </c>
      <c r="AO558" s="586">
        <f t="shared" si="477"/>
        <v>0.71451206182450833</v>
      </c>
      <c r="AP558" s="584" t="str">
        <f t="shared" si="478"/>
        <v>1+0.00627547427490458i</v>
      </c>
      <c r="AQ558" s="585">
        <f t="shared" si="479"/>
        <v>1.0000196905948278</v>
      </c>
      <c r="AR558" s="586">
        <f t="shared" si="480"/>
        <v>6.2753918974924883E-3</v>
      </c>
      <c r="AS558" s="580" t="str">
        <f t="shared" si="481"/>
        <v>0.138983341754134-0.162261888045773i</v>
      </c>
      <c r="AT558" s="270">
        <f t="shared" si="482"/>
        <v>0.21364758270882769</v>
      </c>
      <c r="AU558" s="581">
        <f t="shared" si="483"/>
        <v>-0.86251930803026211</v>
      </c>
      <c r="AV558" s="580" t="str">
        <f t="shared" si="484"/>
        <v>-0.0280512321534675-0.0330405195067004i</v>
      </c>
      <c r="AW558" s="270">
        <f t="shared" si="485"/>
        <v>-27.261778064887391</v>
      </c>
      <c r="AX558" s="581">
        <f t="shared" si="486"/>
        <v>-130.3310867881255</v>
      </c>
      <c r="AY558" s="299">
        <f t="shared" si="456"/>
        <v>49.668913211874496</v>
      </c>
      <c r="BB558" s="270">
        <f t="shared" si="489"/>
        <v>-53.406040331885968</v>
      </c>
      <c r="BC558" s="270">
        <f t="shared" si="490"/>
        <v>-49.418716098678232</v>
      </c>
      <c r="BD558" s="286"/>
      <c r="BE558" s="270">
        <f t="shared" si="487"/>
        <v>26.144262266998574</v>
      </c>
      <c r="BF558" s="581">
        <f t="shared" si="488"/>
        <v>-80.912370689447229</v>
      </c>
      <c r="BI558" s="286"/>
      <c r="BJ558" s="286"/>
      <c r="BL558" s="253">
        <f t="shared" si="457"/>
        <v>0</v>
      </c>
      <c r="BM558" s="253">
        <f t="shared" si="491"/>
        <v>0</v>
      </c>
      <c r="BN558" s="253">
        <f t="shared" si="458"/>
        <v>0</v>
      </c>
      <c r="BO558" s="253">
        <f t="shared" si="459"/>
        <v>0</v>
      </c>
    </row>
    <row r="559" spans="4:67" ht="13.6" thickBot="1" x14ac:dyDescent="0.25">
      <c r="D559" s="280">
        <v>90163</v>
      </c>
      <c r="E559" s="273" t="str">
        <f t="shared" si="438"/>
        <v>1.01971950633222i</v>
      </c>
      <c r="F559" s="579" t="str">
        <f t="shared" si="460"/>
        <v>0.002-0.0271567892154117i</v>
      </c>
      <c r="G559" s="270" t="str">
        <f t="shared" si="461"/>
        <v>0.002-0.0271567892154117i</v>
      </c>
      <c r="H559" s="271" t="str">
        <f t="shared" si="462"/>
        <v>0.00236557593494031-0.0270975709209716i</v>
      </c>
      <c r="I559" s="271" t="str">
        <f t="shared" si="463"/>
        <v>0.0123655759349403-0.0270975709209716i</v>
      </c>
      <c r="J559" s="270" t="str">
        <f t="shared" si="464"/>
        <v>0.00347417973243897-0.0140276368705752i</v>
      </c>
      <c r="K559" s="271" t="str">
        <f t="shared" si="439"/>
        <v>0.794718149314411-0.711697031220142i</v>
      </c>
      <c r="L559" s="580"/>
      <c r="M559" s="580" t="str">
        <f t="shared" si="440"/>
        <v>-0.0387441076644051-15.8301918972836i</v>
      </c>
      <c r="N559" s="270" t="str">
        <f t="shared" si="441"/>
        <v>-6.69572474741497-11.8726439229627i</v>
      </c>
      <c r="O559" s="581" t="str">
        <f t="shared" si="442"/>
        <v>-4.25447359821091-5.06312070977419i</v>
      </c>
      <c r="P559" s="582" t="str">
        <f t="shared" si="443"/>
        <v>-0.189807288856421+0.0526774964544393i</v>
      </c>
      <c r="Q559" s="583" t="str">
        <f t="shared" si="444"/>
        <v>-0.147262552874313+0.103308703552182i</v>
      </c>
      <c r="R559" s="581" t="str">
        <f t="shared" si="465"/>
        <v>-0.505827259486623-0.562059085850626i</v>
      </c>
      <c r="S559" s="253" t="str">
        <f t="shared" si="466"/>
        <v>36.3960908616014-32.1583955350995i</v>
      </c>
      <c r="T559" s="253" t="str">
        <f t="shared" si="467"/>
        <v>3.0472122368608-20.0597684865178i</v>
      </c>
      <c r="U559" s="253" t="str">
        <f t="shared" si="468"/>
        <v>-0.536362587285515-0.130024955291768i</v>
      </c>
      <c r="V559" s="582" t="str">
        <f t="shared" si="445"/>
        <v>6000</v>
      </c>
      <c r="W559" s="584" t="str">
        <f t="shared" si="446"/>
        <v>1+317293.655546987i</v>
      </c>
      <c r="X559" s="585">
        <f t="shared" si="447"/>
        <v>317293.65554856288</v>
      </c>
      <c r="Y559" s="586">
        <f t="shared" si="448"/>
        <v>1.5707931751403252</v>
      </c>
      <c r="Z559" s="273" t="str">
        <f t="shared" si="449"/>
        <v>1+47.5869102955036i</v>
      </c>
      <c r="AA559" s="585">
        <f t="shared" si="450"/>
        <v>47.597416226853184</v>
      </c>
      <c r="AB559" s="586">
        <f t="shared" si="451"/>
        <v>1.5497852371031442</v>
      </c>
      <c r="AC559" s="584" t="str">
        <f t="shared" si="452"/>
        <v>1+2.30061094309365i</v>
      </c>
      <c r="AD559" s="585">
        <f t="shared" si="453"/>
        <v>2.5085475302418039</v>
      </c>
      <c r="AE559" s="586">
        <f t="shared" si="454"/>
        <v>1.1607660938272</v>
      </c>
      <c r="AF559" s="580" t="str">
        <f t="shared" si="469"/>
        <v>0.136086600694489-0.331989414131027i</v>
      </c>
      <c r="AG559" s="270">
        <f t="shared" si="470"/>
        <v>0.35879873743317975</v>
      </c>
      <c r="AH559" s="581">
        <f t="shared" si="471"/>
        <v>-1.1817740318643817</v>
      </c>
      <c r="AI559" s="582" t="str">
        <f t="shared" si="455"/>
        <v>4000</v>
      </c>
      <c r="AJ559" s="584" t="str">
        <f t="shared" si="472"/>
        <v>1+24927.349248143i</v>
      </c>
      <c r="AK559" s="585">
        <f t="shared" si="473"/>
        <v>24927.349268201287</v>
      </c>
      <c r="AL559" s="586">
        <f t="shared" si="474"/>
        <v>1.5707562102149302</v>
      </c>
      <c r="AM559" s="273" t="str">
        <f t="shared" si="475"/>
        <v>1+0.872426688750899i</v>
      </c>
      <c r="AN559" s="585">
        <f t="shared" si="476"/>
        <v>1.3270751023377909</v>
      </c>
      <c r="AO559" s="586">
        <f t="shared" si="477"/>
        <v>0.71737068902326129</v>
      </c>
      <c r="AP559" s="584" t="str">
        <f t="shared" si="478"/>
        <v>1+0.0063118065575858i</v>
      </c>
      <c r="AQ559" s="585">
        <f t="shared" si="479"/>
        <v>1.0000199192526218</v>
      </c>
      <c r="AR559" s="586">
        <f t="shared" si="480"/>
        <v>6.3117227411082786E-3</v>
      </c>
      <c r="AS559" s="580" t="str">
        <f t="shared" si="481"/>
        <v>0.138983203446898-0.161337938663729i</v>
      </c>
      <c r="AT559" s="270">
        <f t="shared" si="482"/>
        <v>0.21294661606285981</v>
      </c>
      <c r="AU559" s="581">
        <f t="shared" si="483"/>
        <v>-0.85969724393277847</v>
      </c>
      <c r="AV559" s="580" t="str">
        <f t="shared" si="484"/>
        <v>-0.0281289037942491-0.0327960182562539i</v>
      </c>
      <c r="AW559" s="270">
        <f t="shared" si="485"/>
        <v>-27.288989410218697</v>
      </c>
      <c r="AX559" s="581">
        <f t="shared" si="486"/>
        <v>-130.61944898970285</v>
      </c>
      <c r="AY559" s="299">
        <f t="shared" si="456"/>
        <v>49.380551010297154</v>
      </c>
      <c r="BB559" s="270">
        <f t="shared" si="489"/>
        <v>-53.434585138280717</v>
      </c>
      <c r="BC559" s="270">
        <f t="shared" si="490"/>
        <v>-49.257023736377022</v>
      </c>
      <c r="BD559" s="286"/>
      <c r="BE559" s="270">
        <f t="shared" si="487"/>
        <v>26.145595728062013</v>
      </c>
      <c r="BF559" s="581">
        <f t="shared" si="488"/>
        <v>-81.362425253325867</v>
      </c>
      <c r="BI559" s="286"/>
      <c r="BJ559" s="286"/>
      <c r="BL559" s="253">
        <f t="shared" si="457"/>
        <v>0</v>
      </c>
      <c r="BM559" s="253">
        <f t="shared" si="491"/>
        <v>0</v>
      </c>
      <c r="BN559" s="253">
        <f t="shared" si="458"/>
        <v>0</v>
      </c>
      <c r="BO559" s="253">
        <f t="shared" si="459"/>
        <v>0</v>
      </c>
    </row>
    <row r="560" spans="4:67" ht="13.6" thickBot="1" x14ac:dyDescent="0.25">
      <c r="D560" s="280">
        <v>90682</v>
      </c>
      <c r="E560" s="273" t="str">
        <f t="shared" si="438"/>
        <v>1.02558925804619i</v>
      </c>
      <c r="F560" s="579" t="str">
        <f t="shared" si="460"/>
        <v>0.002-0.0270013628507219i</v>
      </c>
      <c r="G560" s="270" t="str">
        <f t="shared" si="461"/>
        <v>0.002-0.0270013628507219i</v>
      </c>
      <c r="H560" s="271" t="str">
        <f t="shared" si="462"/>
        <v>0.00236138126879614-0.0269425400544336i</v>
      </c>
      <c r="I560" s="271" t="str">
        <f t="shared" si="463"/>
        <v>0.0123613812687961-0.0269425400544336i</v>
      </c>
      <c r="J560" s="270" t="str">
        <f t="shared" si="464"/>
        <v>0.00347193110335504-0.0139519801752168i</v>
      </c>
      <c r="K560" s="271" t="str">
        <f t="shared" si="439"/>
        <v>0.792348043635262-0.715793731188014i</v>
      </c>
      <c r="L560" s="580"/>
      <c r="M560" s="580" t="str">
        <f t="shared" si="440"/>
        <v>-0.0383435074524138-15.7382185666193i</v>
      </c>
      <c r="N560" s="270" t="str">
        <f t="shared" si="441"/>
        <v>-6.69542429725598-11.8036639249645i</v>
      </c>
      <c r="O560" s="581" t="str">
        <f t="shared" si="442"/>
        <v>-4.25143864652815-5.02465181900779i</v>
      </c>
      <c r="P560" s="582" t="str">
        <f t="shared" si="443"/>
        <v>-0.187930536943829+0.0524329191453462i</v>
      </c>
      <c r="Q560" s="583" t="str">
        <f t="shared" si="444"/>
        <v>-0.145416150478548+0.102679437335424i</v>
      </c>
      <c r="R560" s="581" t="str">
        <f t="shared" si="465"/>
        <v>-0.50576494928414-0.557121921572353i</v>
      </c>
      <c r="S560" s="253" t="str">
        <f t="shared" si="466"/>
        <v>36.2197689580185-32.289380911856i</v>
      </c>
      <c r="T560" s="253" t="str">
        <f t="shared" si="467"/>
        <v>2.89013489290206-20.0860219854561i</v>
      </c>
      <c r="U560" s="253" t="str">
        <f t="shared" si="468"/>
        <v>-0.534343741476993-0.125298331195814i</v>
      </c>
      <c r="V560" s="582" t="str">
        <f t="shared" si="445"/>
        <v>6000</v>
      </c>
      <c r="W560" s="584" t="str">
        <f t="shared" si="446"/>
        <v>1+319120.074446412i</v>
      </c>
      <c r="X560" s="585">
        <f t="shared" si="447"/>
        <v>319120.07444797881</v>
      </c>
      <c r="Y560" s="586">
        <f t="shared" si="448"/>
        <v>1.5707931931781798</v>
      </c>
      <c r="Z560" s="273" t="str">
        <f t="shared" si="449"/>
        <v>1+47.8608320421554i</v>
      </c>
      <c r="AA560" s="585">
        <f t="shared" si="450"/>
        <v>47.871277858099937</v>
      </c>
      <c r="AB560" s="586">
        <f t="shared" si="451"/>
        <v>1.5499054547200481</v>
      </c>
      <c r="AC560" s="584" t="str">
        <f t="shared" si="452"/>
        <v>1+2.31385381521931i</v>
      </c>
      <c r="AD560" s="585">
        <f t="shared" si="453"/>
        <v>2.5206982124413382</v>
      </c>
      <c r="AE560" s="586">
        <f t="shared" si="454"/>
        <v>1.1628603958654671</v>
      </c>
      <c r="AF560" s="580" t="str">
        <f t="shared" si="469"/>
        <v>0.134777788858804-0.33065498142722i</v>
      </c>
      <c r="AG560" s="270">
        <f t="shared" si="470"/>
        <v>0.35706829754586661</v>
      </c>
      <c r="AH560" s="581">
        <f t="shared" si="471"/>
        <v>-1.1837481343236</v>
      </c>
      <c r="AI560" s="582" t="str">
        <f t="shared" si="455"/>
        <v>4000</v>
      </c>
      <c r="AJ560" s="584" t="str">
        <f t="shared" si="472"/>
        <v>1+25070.8370897164i</v>
      </c>
      <c r="AK560" s="585">
        <f t="shared" si="473"/>
        <v>25070.837109659889</v>
      </c>
      <c r="AL560" s="586">
        <f t="shared" si="474"/>
        <v>1.5707564398140235</v>
      </c>
      <c r="AM560" s="273" t="str">
        <f t="shared" si="475"/>
        <v>1+0.877448587439515i</v>
      </c>
      <c r="AN560" s="585">
        <f t="shared" si="476"/>
        <v>1.3303819089267563</v>
      </c>
      <c r="AO560" s="586">
        <f t="shared" si="477"/>
        <v>0.7202151285224393</v>
      </c>
      <c r="AP560" s="584" t="str">
        <f t="shared" si="478"/>
        <v>1+0.00634813884026702i</v>
      </c>
      <c r="AQ560" s="585">
        <f t="shared" si="479"/>
        <v>1.000020149230372</v>
      </c>
      <c r="AR560" s="586">
        <f t="shared" si="480"/>
        <v>6.348053568061787E-3</v>
      </c>
      <c r="AS560" s="580" t="str">
        <f t="shared" si="481"/>
        <v>0.138983066052639-0.160424623140976i</v>
      </c>
      <c r="AT560" s="270">
        <f t="shared" si="482"/>
        <v>0.21225539418190623</v>
      </c>
      <c r="AU560" s="581">
        <f t="shared" si="483"/>
        <v>-0.85688936485964684</v>
      </c>
      <c r="AV560" s="580" t="str">
        <f t="shared" si="484"/>
        <v>-0.0282061269869691-0.032552657213598i</v>
      </c>
      <c r="AW560" s="270">
        <f t="shared" si="485"/>
        <v>-27.315949633970877</v>
      </c>
      <c r="AX560" s="581">
        <f t="shared" si="486"/>
        <v>-130.90817501955624</v>
      </c>
      <c r="AY560" s="299">
        <f t="shared" si="456"/>
        <v>49.091824980443761</v>
      </c>
      <c r="BB560" s="270">
        <f t="shared" si="489"/>
        <v>-53.462825278813931</v>
      </c>
      <c r="BC560" s="270">
        <f t="shared" si="490"/>
        <v>-49.096144116103474</v>
      </c>
      <c r="BD560" s="286"/>
      <c r="BE560" s="270">
        <f t="shared" si="487"/>
        <v>26.14687564484306</v>
      </c>
      <c r="BF560" s="581">
        <f t="shared" si="488"/>
        <v>-81.812030903452751</v>
      </c>
      <c r="BI560" s="286"/>
      <c r="BJ560" s="286"/>
      <c r="BL560" s="253">
        <f t="shared" si="457"/>
        <v>0</v>
      </c>
      <c r="BM560" s="253">
        <f t="shared" si="491"/>
        <v>0</v>
      </c>
      <c r="BN560" s="253">
        <f t="shared" si="458"/>
        <v>0</v>
      </c>
      <c r="BO560" s="253">
        <f t="shared" si="459"/>
        <v>0</v>
      </c>
    </row>
    <row r="561" spans="4:67" ht="13.6" thickBot="1" x14ac:dyDescent="0.25">
      <c r="D561" s="280">
        <v>91201</v>
      </c>
      <c r="E561" s="273" t="str">
        <f t="shared" si="438"/>
        <v>1.03145900976015i</v>
      </c>
      <c r="F561" s="579" t="str">
        <f t="shared" si="460"/>
        <v>0.002-0.0268477054640756i</v>
      </c>
      <c r="G561" s="270" t="str">
        <f t="shared" si="461"/>
        <v>0.002-0.0268477054640756i</v>
      </c>
      <c r="H561" s="271" t="str">
        <f t="shared" si="462"/>
        <v>0.00235725799362637-0.0267892727072106i</v>
      </c>
      <c r="I561" s="271" t="str">
        <f t="shared" si="463"/>
        <v>0.0123572579936264-0.0267892727072106i</v>
      </c>
      <c r="J561" s="270" t="str">
        <f t="shared" si="464"/>
        <v>0.00346969524120302-0.0138772041671135i</v>
      </c>
      <c r="K561" s="271" t="str">
        <f t="shared" si="439"/>
        <v>0.789964334208732-0.719890431155886i</v>
      </c>
      <c r="L561" s="580"/>
      <c r="M561" s="580" t="str">
        <f t="shared" si="440"/>
        <v>-0.037949477526804-15.6473153038631i</v>
      </c>
      <c r="N561" s="270" t="str">
        <f t="shared" si="441"/>
        <v>-6.69512877481177-11.7354864778973i</v>
      </c>
      <c r="O561" s="581" t="str">
        <f t="shared" si="442"/>
        <v>-4.24840579618533-4.98659121053142i</v>
      </c>
      <c r="P561" s="582" t="str">
        <f t="shared" si="443"/>
        <v>-0.186085798303386+0.0521911073476167i</v>
      </c>
      <c r="Q561" s="583" t="str">
        <f t="shared" si="444"/>
        <v>-0.143601740341532+0.102057019452931i</v>
      </c>
      <c r="R561" s="581" t="str">
        <f t="shared" si="465"/>
        <v>-0.505703683701304-0.552232531920567i</v>
      </c>
      <c r="S561" s="253" t="str">
        <f t="shared" si="466"/>
        <v>36.0427233001486-32.4191751854172i</v>
      </c>
      <c r="T561" s="253" t="str">
        <f t="shared" si="467"/>
        <v>2.73297448899436-20.1108987417984i</v>
      </c>
      <c r="U561" s="253" t="str">
        <f t="shared" si="468"/>
        <v>-0.532314024820577-0.120620975705633i</v>
      </c>
      <c r="V561" s="582" t="str">
        <f t="shared" si="445"/>
        <v>6000</v>
      </c>
      <c r="W561" s="584" t="str">
        <f t="shared" si="446"/>
        <v>1+320946.493345837i</v>
      </c>
      <c r="X561" s="585">
        <f t="shared" si="447"/>
        <v>320946.4933473948</v>
      </c>
      <c r="Y561" s="586">
        <f t="shared" si="448"/>
        <v>1.5707932110107372</v>
      </c>
      <c r="Z561" s="273" t="str">
        <f t="shared" si="449"/>
        <v>1+48.1347537888072i</v>
      </c>
      <c r="AA561" s="585">
        <f t="shared" si="450"/>
        <v>48.145140173324755</v>
      </c>
      <c r="AB561" s="586">
        <f t="shared" si="451"/>
        <v>1.5500243046793309</v>
      </c>
      <c r="AC561" s="584" t="str">
        <f t="shared" si="452"/>
        <v>1+2.32709668734496i</v>
      </c>
      <c r="AD561" s="585">
        <f t="shared" si="453"/>
        <v>2.5328598445733008</v>
      </c>
      <c r="AE561" s="586">
        <f t="shared" si="454"/>
        <v>1.1649345951716596</v>
      </c>
      <c r="AF561" s="580" t="str">
        <f t="shared" si="469"/>
        <v>0.133486613686434-0.329328157685978i</v>
      </c>
      <c r="AG561" s="270">
        <f t="shared" si="470"/>
        <v>0.35535293931289164</v>
      </c>
      <c r="AH561" s="581">
        <f t="shared" si="471"/>
        <v>-1.1857035015030664</v>
      </c>
      <c r="AI561" s="582" t="str">
        <f t="shared" si="455"/>
        <v>4000</v>
      </c>
      <c r="AJ561" s="584" t="str">
        <f t="shared" si="472"/>
        <v>1+25214.3249312899i</v>
      </c>
      <c r="AK561" s="585">
        <f t="shared" si="473"/>
        <v>25214.324951119896</v>
      </c>
      <c r="AL561" s="586">
        <f t="shared" si="474"/>
        <v>1.5707566667999453</v>
      </c>
      <c r="AM561" s="273" t="str">
        <f t="shared" si="475"/>
        <v>1+0.882470486128132i</v>
      </c>
      <c r="AN561" s="585">
        <f t="shared" si="476"/>
        <v>1.3336994259904371</v>
      </c>
      <c r="AO561" s="586">
        <f t="shared" si="477"/>
        <v>0.72304543999702309</v>
      </c>
      <c r="AP561" s="584" t="str">
        <f t="shared" si="478"/>
        <v>1+0.00638447112294824i</v>
      </c>
      <c r="AQ561" s="585">
        <f t="shared" si="479"/>
        <v>1.000020380528077</v>
      </c>
      <c r="AR561" s="586">
        <f t="shared" si="480"/>
        <v>6.3843843782571191E-3</v>
      </c>
      <c r="AS561" s="580" t="str">
        <f t="shared" si="481"/>
        <v>0.138982929542307-0.159521759934182i</v>
      </c>
      <c r="AT561" s="270">
        <f t="shared" si="482"/>
        <v>0.21157373796542112</v>
      </c>
      <c r="AU561" s="581">
        <f t="shared" si="483"/>
        <v>-0.85409561118117994</v>
      </c>
      <c r="AV561" s="580" t="str">
        <f t="shared" si="484"/>
        <v>-0.0282828916030498-0.0323104052320344i</v>
      </c>
      <c r="AW561" s="270">
        <f t="shared" si="485"/>
        <v>-27.342663467886062</v>
      </c>
      <c r="AX561" s="581">
        <f t="shared" si="486"/>
        <v>-131.19725924017433</v>
      </c>
      <c r="AY561" s="299">
        <f t="shared" si="456"/>
        <v>48.802740759825667</v>
      </c>
      <c r="BB561" s="270">
        <f t="shared" si="489"/>
        <v>-53.490764820122195</v>
      </c>
      <c r="BC561" s="270">
        <f t="shared" si="490"/>
        <v>-48.936073821328179</v>
      </c>
      <c r="BD561" s="286"/>
      <c r="BE561" s="270">
        <f t="shared" si="487"/>
        <v>26.148101352236139</v>
      </c>
      <c r="BF561" s="581">
        <f t="shared" si="488"/>
        <v>-82.261185418846182</v>
      </c>
      <c r="BI561" s="286"/>
      <c r="BJ561" s="286"/>
      <c r="BL561" s="253">
        <f t="shared" si="457"/>
        <v>0</v>
      </c>
      <c r="BM561" s="253">
        <f t="shared" si="491"/>
        <v>0</v>
      </c>
      <c r="BN561" s="253">
        <f t="shared" si="458"/>
        <v>0</v>
      </c>
      <c r="BO561" s="253">
        <f t="shared" si="459"/>
        <v>0</v>
      </c>
    </row>
    <row r="562" spans="4:67" ht="13.6" thickBot="1" x14ac:dyDescent="0.25">
      <c r="D562" s="280">
        <v>91732</v>
      </c>
      <c r="E562" s="273" t="str">
        <f t="shared" si="438"/>
        <v>1.03746447827676i</v>
      </c>
      <c r="F562" s="579" t="str">
        <f t="shared" si="460"/>
        <v>0.002-0.0266922947938468i</v>
      </c>
      <c r="G562" s="270" t="str">
        <f t="shared" si="461"/>
        <v>0.002-0.0266922947938468i</v>
      </c>
      <c r="H562" s="271" t="str">
        <f t="shared" si="462"/>
        <v>0.00235311158897783-0.0266342555641747i</v>
      </c>
      <c r="I562" s="271" t="str">
        <f t="shared" si="463"/>
        <v>0.0123531115889778-0.0266342555641747i</v>
      </c>
      <c r="J562" s="270" t="str">
        <f t="shared" si="464"/>
        <v>0.00346742050163557-0.0138015950103704i</v>
      </c>
      <c r="K562" s="271" t="str">
        <f t="shared" si="439"/>
        <v>0.787511430923462-0.724081852510299i</v>
      </c>
      <c r="L562" s="580"/>
      <c r="M562" s="580" t="str">
        <f t="shared" si="440"/>
        <v>-0.0375529882179154-15.5553982034337i</v>
      </c>
      <c r="N562" s="270" t="str">
        <f t="shared" si="441"/>
        <v>-6.69483140783011-11.6665486525753i</v>
      </c>
      <c r="O562" s="581" t="str">
        <f t="shared" si="442"/>
        <v>-4.24530476456899-4.94806590507664i</v>
      </c>
      <c r="P562" s="582" t="str">
        <f t="shared" si="443"/>
        <v>-0.184230775350131+0.0519465217723107i</v>
      </c>
      <c r="Q562" s="583" t="str">
        <f t="shared" si="444"/>
        <v>-0.141777727704441+0.101427180823077i</v>
      </c>
      <c r="R562" s="581" t="str">
        <f t="shared" si="465"/>
        <v>-0.505642058117495-0.547278666668629i</v>
      </c>
      <c r="S562" s="253" t="str">
        <f t="shared" si="466"/>
        <v>35.8608443115353-32.5507309371096i</v>
      </c>
      <c r="T562" s="253" t="str">
        <f t="shared" si="467"/>
        <v>2.57210866777516-20.1349255538074i</v>
      </c>
      <c r="U562" s="253" t="str">
        <f t="shared" si="468"/>
        <v>-0.530226294251485-0.115885926260222i</v>
      </c>
      <c r="V562" s="582" t="str">
        <f t="shared" si="445"/>
        <v>6000</v>
      </c>
      <c r="W562" s="584" t="str">
        <f t="shared" si="446"/>
        <v>1+322815.141583978i</v>
      </c>
      <c r="X562" s="585">
        <f t="shared" si="447"/>
        <v>322815.14158552687</v>
      </c>
      <c r="Y562" s="586">
        <f t="shared" si="448"/>
        <v>1.5707932290467703</v>
      </c>
      <c r="Z562" s="273" t="str">
        <f t="shared" si="449"/>
        <v>1+48.4150089862487i</v>
      </c>
      <c r="AA562" s="585">
        <f t="shared" si="450"/>
        <v>48.425335260982365</v>
      </c>
      <c r="AB562" s="586">
        <f t="shared" si="451"/>
        <v>1.5501445113544698</v>
      </c>
      <c r="AC562" s="584" t="str">
        <f t="shared" si="452"/>
        <v>1+2.34064575304578i</v>
      </c>
      <c r="AD562" s="585">
        <f t="shared" si="453"/>
        <v>2.5453138394412673</v>
      </c>
      <c r="AE562" s="586">
        <f t="shared" si="454"/>
        <v>1.1670362295825953</v>
      </c>
      <c r="AF562" s="580" t="str">
        <f t="shared" si="469"/>
        <v>0.132183533006553-0.327978526357132i</v>
      </c>
      <c r="AG562" s="270">
        <f t="shared" si="470"/>
        <v>0.35361334837572289</v>
      </c>
      <c r="AH562" s="581">
        <f t="shared" si="471"/>
        <v>-1.1876849472748963</v>
      </c>
      <c r="AI562" s="582" t="str">
        <f t="shared" si="455"/>
        <v>4000</v>
      </c>
      <c r="AJ562" s="584" t="str">
        <f t="shared" si="472"/>
        <v>1+25361.1304108188i</v>
      </c>
      <c r="AK562" s="585">
        <f t="shared" si="473"/>
        <v>25361.130430534009</v>
      </c>
      <c r="AL562" s="586">
        <f t="shared" si="474"/>
        <v>1.5707568963758545</v>
      </c>
      <c r="AM562" s="273" t="str">
        <f t="shared" si="475"/>
        <v>1+0.887608498081225i</v>
      </c>
      <c r="AN562" s="585">
        <f t="shared" si="476"/>
        <v>1.3371046503045332</v>
      </c>
      <c r="AO562" s="586">
        <f t="shared" si="477"/>
        <v>0.72592663297501259</v>
      </c>
      <c r="AP562" s="584" t="str">
        <f t="shared" si="478"/>
        <v>1+0.00642164345840822i</v>
      </c>
      <c r="AQ562" s="585">
        <f t="shared" si="479"/>
        <v>1.0000206185397913</v>
      </c>
      <c r="AR562" s="586">
        <f t="shared" si="480"/>
        <v>6.421555189741416E-3</v>
      </c>
      <c r="AS562" s="580" t="str">
        <f t="shared" si="481"/>
        <v>0.138982790761052-0.158608653868871i</v>
      </c>
      <c r="AT562" s="270">
        <f t="shared" si="482"/>
        <v>0.21088603844215409</v>
      </c>
      <c r="AU562" s="581">
        <f t="shared" si="483"/>
        <v>-0.85125181859058119</v>
      </c>
      <c r="AV562" s="580" t="str">
        <f t="shared" si="484"/>
        <v>-0.0283609459705124-0.0320636683863445i</v>
      </c>
      <c r="AW562" s="270">
        <f t="shared" si="485"/>
        <v>-27.369744821830466</v>
      </c>
      <c r="AX562" s="581">
        <f t="shared" si="486"/>
        <v>-131.49339227537425</v>
      </c>
      <c r="AY562" s="299">
        <f t="shared" si="456"/>
        <v>48.506607724625752</v>
      </c>
      <c r="BB562" s="270">
        <f t="shared" si="489"/>
        <v>-53.519043429225377</v>
      </c>
      <c r="BC562" s="270">
        <f t="shared" si="490"/>
        <v>-48.773136508076291</v>
      </c>
      <c r="BD562" s="286"/>
      <c r="BE562" s="270">
        <f t="shared" si="487"/>
        <v>26.149298607394901</v>
      </c>
      <c r="BF562" s="581">
        <f t="shared" si="488"/>
        <v>-82.720255767298013</v>
      </c>
      <c r="BI562" s="286"/>
      <c r="BJ562" s="286"/>
      <c r="BL562" s="253">
        <f t="shared" si="457"/>
        <v>0</v>
      </c>
      <c r="BM562" s="253">
        <f t="shared" si="491"/>
        <v>0</v>
      </c>
      <c r="BN562" s="253">
        <f t="shared" si="458"/>
        <v>0</v>
      </c>
      <c r="BO562" s="253">
        <f t="shared" si="459"/>
        <v>0</v>
      </c>
    </row>
    <row r="563" spans="4:67" ht="13.6" thickBot="1" x14ac:dyDescent="0.25">
      <c r="D563" s="280">
        <v>92263</v>
      </c>
      <c r="E563" s="273" t="str">
        <f t="shared" si="438"/>
        <v>1.04346994679336i</v>
      </c>
      <c r="F563" s="579" t="str">
        <f t="shared" si="460"/>
        <v>0.002-0.0265386729894883i</v>
      </c>
      <c r="G563" s="270" t="str">
        <f t="shared" si="461"/>
        <v>0.002-0.0265386729894883i</v>
      </c>
      <c r="H563" s="271" t="str">
        <f t="shared" si="462"/>
        <v>0.00234903655258519-0.0264810218112224i</v>
      </c>
      <c r="I563" s="271" t="str">
        <f t="shared" si="463"/>
        <v>0.0123490365525852-0.0264810218112224i</v>
      </c>
      <c r="J563" s="270" t="str">
        <f t="shared" si="464"/>
        <v>0.0034651583377596-0.0137268762401405i</v>
      </c>
      <c r="K563" s="271" t="str">
        <f t="shared" si="439"/>
        <v>0.785044287543244-0.728273273864711i</v>
      </c>
      <c r="L563" s="580"/>
      <c r="M563" s="580" t="str">
        <f t="shared" si="440"/>
        <v>-0.0371630785185551-15.4645621093146i</v>
      </c>
      <c r="N563" s="270" t="str">
        <f t="shared" si="441"/>
        <v>-6.69453897555559-11.598421581986i</v>
      </c>
      <c r="O563" s="581" t="str">
        <f t="shared" si="442"/>
        <v>-4.24220546914826-4.90995346442067i</v>
      </c>
      <c r="P563" s="582" t="str">
        <f t="shared" si="443"/>
        <v>-0.182407735185499+0.0517047407525789i</v>
      </c>
      <c r="Q563" s="583" t="str">
        <f t="shared" si="444"/>
        <v>-0.139985680494017+0.100804275396786i</v>
      </c>
      <c r="R563" s="581" t="str">
        <f t="shared" si="465"/>
        <v>-0.505581476806781-0.542373064203756i</v>
      </c>
      <c r="S563" s="253" t="str">
        <f t="shared" si="466"/>
        <v>35.6782266338073-32.6810261017245i</v>
      </c>
      <c r="T563" s="253" t="str">
        <f t="shared" si="467"/>
        <v>2.41118498497519-20.1575108447302i</v>
      </c>
      <c r="U563" s="253" t="str">
        <f t="shared" si="468"/>
        <v>-0.528127522674504-0.111201371961425i</v>
      </c>
      <c r="V563" s="582" t="str">
        <f t="shared" si="445"/>
        <v>6000</v>
      </c>
      <c r="W563" s="584" t="str">
        <f t="shared" si="446"/>
        <v>1+324683.789822118i</v>
      </c>
      <c r="X563" s="585">
        <f t="shared" si="447"/>
        <v>324683.78982365795</v>
      </c>
      <c r="Y563" s="586">
        <f t="shared" si="448"/>
        <v>1.5707932468751984</v>
      </c>
      <c r="Z563" s="273" t="str">
        <f t="shared" si="449"/>
        <v>1+48.6952641836901i</v>
      </c>
      <c r="AA563" s="585">
        <f t="shared" si="450"/>
        <v>48.705531040317915</v>
      </c>
      <c r="AB563" s="586">
        <f t="shared" si="451"/>
        <v>1.550263334968552</v>
      </c>
      <c r="AC563" s="584" t="str">
        <f t="shared" si="452"/>
        <v>1+2.3541948187466i</v>
      </c>
      <c r="AD563" s="585">
        <f t="shared" si="453"/>
        <v>2.5577789671145035</v>
      </c>
      <c r="AE563" s="586">
        <f t="shared" si="454"/>
        <v>1.1691173888226587</v>
      </c>
      <c r="AF563" s="580" t="str">
        <f t="shared" si="469"/>
        <v>0.130898300907088-0.326636848455973i</v>
      </c>
      <c r="AG563" s="270">
        <f t="shared" si="470"/>
        <v>0.35188918134778285</v>
      </c>
      <c r="AH563" s="581">
        <f t="shared" si="471"/>
        <v>-1.189647300729304</v>
      </c>
      <c r="AI563" s="582" t="str">
        <f t="shared" si="455"/>
        <v>4000</v>
      </c>
      <c r="AJ563" s="584" t="str">
        <f t="shared" si="472"/>
        <v>1+25507.9358903477i</v>
      </c>
      <c r="AK563" s="585">
        <f t="shared" si="473"/>
        <v>25507.935909949443</v>
      </c>
      <c r="AL563" s="586">
        <f t="shared" si="474"/>
        <v>1.5707571233092132</v>
      </c>
      <c r="AM563" s="273" t="str">
        <f t="shared" si="475"/>
        <v>1+0.892746510034318i</v>
      </c>
      <c r="AN563" s="585">
        <f t="shared" si="476"/>
        <v>1.3405209178444231</v>
      </c>
      <c r="AO563" s="586">
        <f t="shared" si="477"/>
        <v>0.72879316442244502</v>
      </c>
      <c r="AP563" s="584" t="str">
        <f t="shared" si="478"/>
        <v>1+0.0064588157938682i</v>
      </c>
      <c r="AQ563" s="585">
        <f t="shared" si="479"/>
        <v>1.0000208579332028</v>
      </c>
      <c r="AR563" s="586">
        <f t="shared" si="480"/>
        <v>6.4587259834805481E-3</v>
      </c>
      <c r="AS563" s="580" t="str">
        <f t="shared" si="481"/>
        <v>0.138982652846152-0.15770611762989i</v>
      </c>
      <c r="AT563" s="270">
        <f t="shared" si="482"/>
        <v>0.21020798588551937</v>
      </c>
      <c r="AU563" s="581">
        <f t="shared" si="483"/>
        <v>-0.84842268487024652</v>
      </c>
      <c r="AV563" s="580" t="str">
        <f t="shared" si="484"/>
        <v>-0.0284384989069014-0.031818029548436i</v>
      </c>
      <c r="AW563" s="270">
        <f t="shared" si="485"/>
        <v>-27.396578054185156</v>
      </c>
      <c r="AX563" s="581">
        <f t="shared" si="486"/>
        <v>-131.78988818639422</v>
      </c>
      <c r="AY563" s="299">
        <f t="shared" si="456"/>
        <v>48.210111813605778</v>
      </c>
      <c r="BB563" s="270">
        <f t="shared" si="489"/>
        <v>-53.547015779463464</v>
      </c>
      <c r="BC563" s="270">
        <f t="shared" si="490"/>
        <v>-48.611039086222974</v>
      </c>
      <c r="BD563" s="286"/>
      <c r="BE563" s="270">
        <f t="shared" si="487"/>
        <v>26.150437725278309</v>
      </c>
      <c r="BF563" s="581">
        <f t="shared" si="488"/>
        <v>-83.178849100171291</v>
      </c>
      <c r="BI563" s="286"/>
      <c r="BJ563" s="286"/>
      <c r="BL563" s="253">
        <f t="shared" si="457"/>
        <v>0</v>
      </c>
      <c r="BM563" s="253">
        <f t="shared" si="491"/>
        <v>0</v>
      </c>
      <c r="BN563" s="253">
        <f t="shared" si="458"/>
        <v>0</v>
      </c>
      <c r="BO563" s="253">
        <f t="shared" si="459"/>
        <v>0</v>
      </c>
    </row>
    <row r="564" spans="4:67" ht="13.6" thickBot="1" x14ac:dyDescent="0.25">
      <c r="D564" s="280">
        <v>92794</v>
      </c>
      <c r="E564" s="273" t="str">
        <f t="shared" si="438"/>
        <v>1.04947541530996i</v>
      </c>
      <c r="F564" s="579" t="str">
        <f t="shared" si="460"/>
        <v>0.002-0.0263868093414354i</v>
      </c>
      <c r="G564" s="270" t="str">
        <f t="shared" si="461"/>
        <v>0.002-0.0263868093414354i</v>
      </c>
      <c r="H564" s="271" t="str">
        <f t="shared" si="462"/>
        <v>0.00234503125602835-0.0263295408542549i</v>
      </c>
      <c r="I564" s="271" t="str">
        <f t="shared" si="463"/>
        <v>0.0123450312560284-0.0263295408542549i</v>
      </c>
      <c r="J564" s="270" t="str">
        <f t="shared" si="464"/>
        <v>0.00346290836896921-0.0136530324685712i</v>
      </c>
      <c r="K564" s="271" t="str">
        <f t="shared" si="439"/>
        <v>0.782562904068079-0.732464695219124i</v>
      </c>
      <c r="L564" s="580"/>
      <c r="M564" s="580" t="str">
        <f t="shared" si="440"/>
        <v>-0.036779603783942-15.3747879352865i</v>
      </c>
      <c r="N564" s="270" t="str">
        <f t="shared" si="441"/>
        <v>-6.69425136950463-11.5310909514649i</v>
      </c>
      <c r="O564" s="581" t="str">
        <f t="shared" si="442"/>
        <v>-4.23910768793839-4.87224680653094i</v>
      </c>
      <c r="P564" s="582" t="str">
        <f t="shared" si="443"/>
        <v>-0.180615938249839+0.051465719941451i</v>
      </c>
      <c r="Q564" s="583" t="str">
        <f t="shared" si="444"/>
        <v>-0.138224861370455+0.100188188006761i</v>
      </c>
      <c r="R564" s="581" t="str">
        <f t="shared" si="465"/>
        <v>-0.505521915932827-0.537514872305348i</v>
      </c>
      <c r="S564" s="253" t="str">
        <f t="shared" si="466"/>
        <v>35.4948800135401-32.8100538248168i</v>
      </c>
      <c r="T564" s="253" t="str">
        <f t="shared" si="467"/>
        <v>2.250218178846-20.1786546839349i</v>
      </c>
      <c r="U564" s="253" t="str">
        <f t="shared" si="468"/>
        <v>-0.526017880922291-0.106566787409343i</v>
      </c>
      <c r="V564" s="582" t="str">
        <f t="shared" si="445"/>
        <v>6000</v>
      </c>
      <c r="W564" s="584" t="str">
        <f t="shared" si="446"/>
        <v>1+326552.438060259i</v>
      </c>
      <c r="X564" s="585">
        <f t="shared" si="447"/>
        <v>326552.43806179008</v>
      </c>
      <c r="Y564" s="586">
        <f t="shared" si="448"/>
        <v>1.5707932644995852</v>
      </c>
      <c r="Z564" s="273" t="str">
        <f t="shared" si="449"/>
        <v>1+48.9755193811316i</v>
      </c>
      <c r="AA564" s="585">
        <f t="shared" si="450"/>
        <v>48.985727499462499</v>
      </c>
      <c r="AB564" s="586">
        <f t="shared" si="451"/>
        <v>1.5503807992513599</v>
      </c>
      <c r="AC564" s="584" t="str">
        <f t="shared" si="452"/>
        <v>1+2.36774388444742i</v>
      </c>
      <c r="AD564" s="585">
        <f t="shared" si="453"/>
        <v>2.5702550656186163</v>
      </c>
      <c r="AE564" s="586">
        <f t="shared" si="454"/>
        <v>1.1711783528930426</v>
      </c>
      <c r="AF564" s="580" t="str">
        <f t="shared" si="469"/>
        <v>0.129630616088733-0.325303114697078i</v>
      </c>
      <c r="AG564" s="270">
        <f t="shared" si="470"/>
        <v>0.35018025795176516</v>
      </c>
      <c r="AH564" s="581">
        <f t="shared" si="471"/>
        <v>-1.191590818141268</v>
      </c>
      <c r="AI564" s="582" t="str">
        <f t="shared" si="455"/>
        <v>4000</v>
      </c>
      <c r="AJ564" s="584" t="str">
        <f t="shared" si="472"/>
        <v>1+25654.7413698766i</v>
      </c>
      <c r="AK564" s="585">
        <f t="shared" si="473"/>
        <v>25654.741389366172</v>
      </c>
      <c r="AL564" s="586">
        <f t="shared" si="474"/>
        <v>1.5707573476453867</v>
      </c>
      <c r="AM564" s="273" t="str">
        <f t="shared" si="475"/>
        <v>1+0.897884521987412i</v>
      </c>
      <c r="AN564" s="585">
        <f t="shared" si="476"/>
        <v>1.3439481443956693</v>
      </c>
      <c r="AO564" s="586">
        <f t="shared" si="477"/>
        <v>0.73164509921715293</v>
      </c>
      <c r="AP564" s="584" t="str">
        <f t="shared" si="478"/>
        <v>1+0.00649598812932818i</v>
      </c>
      <c r="AQ564" s="585">
        <f t="shared" si="479"/>
        <v>1.0000210987083105</v>
      </c>
      <c r="AR564" s="586">
        <f t="shared" si="480"/>
        <v>6.4958967593718121E-3</v>
      </c>
      <c r="AS564" s="580" t="str">
        <f t="shared" si="481"/>
        <v>0.138982515769071-0.156813969764247i</v>
      </c>
      <c r="AT564" s="270">
        <f t="shared" si="482"/>
        <v>0.20953940155188533</v>
      </c>
      <c r="AU564" s="581">
        <f t="shared" si="483"/>
        <v>-0.84560814518760608</v>
      </c>
      <c r="AV564" s="580" t="str">
        <f t="shared" si="484"/>
        <v>-0.0285155396196443-0.0315734583826914i</v>
      </c>
      <c r="AW564" s="270">
        <f t="shared" si="485"/>
        <v>-27.423168005087312</v>
      </c>
      <c r="AX564" s="581">
        <f t="shared" si="486"/>
        <v>-132.08674080538864</v>
      </c>
      <c r="AY564" s="299">
        <f t="shared" si="456"/>
        <v>47.913259194611356</v>
      </c>
      <c r="BB564" s="270">
        <f t="shared" si="489"/>
        <v>-53.574686015518161</v>
      </c>
      <c r="BC564" s="270">
        <f t="shared" si="490"/>
        <v>-48.449777841135578</v>
      </c>
      <c r="BD564" s="286"/>
      <c r="BE564" s="270">
        <f t="shared" si="487"/>
        <v>26.151518010430852</v>
      </c>
      <c r="BF564" s="581">
        <f t="shared" si="488"/>
        <v>-83.636962964253144</v>
      </c>
      <c r="BI564" s="286"/>
      <c r="BJ564" s="286"/>
      <c r="BL564" s="253">
        <f t="shared" si="457"/>
        <v>0</v>
      </c>
      <c r="BM564" s="253">
        <f t="shared" si="491"/>
        <v>0</v>
      </c>
      <c r="BN564" s="253">
        <f t="shared" si="458"/>
        <v>0</v>
      </c>
      <c r="BO564" s="253">
        <f t="shared" si="459"/>
        <v>0</v>
      </c>
    </row>
    <row r="565" spans="4:67" ht="13.6" thickBot="1" x14ac:dyDescent="0.25">
      <c r="D565" s="280">
        <v>93325</v>
      </c>
      <c r="E565" s="273" t="str">
        <f t="shared" si="438"/>
        <v>1.05548088382656i</v>
      </c>
      <c r="F565" s="579" t="str">
        <f t="shared" si="460"/>
        <v>0.002-0.026236673839048i</v>
      </c>
      <c r="G565" s="270" t="str">
        <f t="shared" si="461"/>
        <v>0.002-0.026236673839048i</v>
      </c>
      <c r="H565" s="271" t="str">
        <f t="shared" si="462"/>
        <v>0.00234109411706593-0.0261797827948651i</v>
      </c>
      <c r="I565" s="271" t="str">
        <f t="shared" si="463"/>
        <v>0.0123410941170659-0.0261797827948651i</v>
      </c>
      <c r="J565" s="270" t="str">
        <f t="shared" si="464"/>
        <v>0.00346067022629879-0.0135800486577493i</v>
      </c>
      <c r="K565" s="271" t="str">
        <f t="shared" si="439"/>
        <v>0.780067280497967-0.736656116573536i</v>
      </c>
      <c r="L565" s="580"/>
      <c r="M565" s="580" t="str">
        <f t="shared" si="440"/>
        <v>-0.0364024232773448-15.2860570446406i</v>
      </c>
      <c r="N565" s="270" t="str">
        <f t="shared" si="441"/>
        <v>-6.69396848412468-11.4645427834805i</v>
      </c>
      <c r="O565" s="581" t="str">
        <f t="shared" si="442"/>
        <v>-4.23601120690885-4.83493901663404i</v>
      </c>
      <c r="P565" s="582" t="str">
        <f t="shared" si="443"/>
        <v>-0.178854666267307+0.0512294158589339i</v>
      </c>
      <c r="Q565" s="583" t="str">
        <f t="shared" si="444"/>
        <v>-0.136494554198217+0.0995788060252736i</v>
      </c>
      <c r="R565" s="581" t="str">
        <f t="shared" si="465"/>
        <v>-0.50546335233412-0.53270325882816i</v>
      </c>
      <c r="S565" s="253" t="str">
        <f t="shared" si="466"/>
        <v>35.3108143159997-32.9378073282342i</v>
      </c>
      <c r="T565" s="253" t="str">
        <f t="shared" si="467"/>
        <v>2.08922300443154-20.1983573173587i</v>
      </c>
      <c r="U565" s="253" t="str">
        <f t="shared" si="468"/>
        <v>-0.523897539696609-0.101981659956115i</v>
      </c>
      <c r="V565" s="582" t="str">
        <f t="shared" si="445"/>
        <v>6000</v>
      </c>
      <c r="W565" s="584" t="str">
        <f t="shared" si="446"/>
        <v>1+328421.086298399i</v>
      </c>
      <c r="X565" s="585">
        <f t="shared" si="447"/>
        <v>328421.08629992144</v>
      </c>
      <c r="Y565" s="586">
        <f t="shared" si="448"/>
        <v>1.5707932819234138</v>
      </c>
      <c r="Z565" s="273" t="str">
        <f t="shared" si="449"/>
        <v>1+49.255774578573i</v>
      </c>
      <c r="AA565" s="585">
        <f t="shared" si="450"/>
        <v>49.265924626816847</v>
      </c>
      <c r="AB565" s="586">
        <f t="shared" si="451"/>
        <v>1.5504969273929805</v>
      </c>
      <c r="AC565" s="584" t="str">
        <f t="shared" si="452"/>
        <v>1+2.38129295014823i</v>
      </c>
      <c r="AD565" s="585">
        <f t="shared" si="453"/>
        <v>2.5827419759677239</v>
      </c>
      <c r="AE565" s="586">
        <f t="shared" si="454"/>
        <v>1.1732193970733993</v>
      </c>
      <c r="AF565" s="580" t="str">
        <f t="shared" si="469"/>
        <v>0.128380182983243-0.323977313599659i</v>
      </c>
      <c r="AG565" s="270">
        <f t="shared" si="470"/>
        <v>0.34848640017949445</v>
      </c>
      <c r="AH565" s="581">
        <f t="shared" si="471"/>
        <v>-1.1935157516038319</v>
      </c>
      <c r="AI565" s="582" t="str">
        <f t="shared" si="455"/>
        <v>4000</v>
      </c>
      <c r="AJ565" s="584" t="str">
        <f t="shared" si="472"/>
        <v>1+25801.5468494055i</v>
      </c>
      <c r="AK565" s="585">
        <f t="shared" si="473"/>
        <v>25801.546868784182</v>
      </c>
      <c r="AL565" s="586">
        <f t="shared" si="474"/>
        <v>1.570757569428707</v>
      </c>
      <c r="AM565" s="273" t="str">
        <f t="shared" si="475"/>
        <v>1+0.903022533940504i</v>
      </c>
      <c r="AN565" s="585">
        <f t="shared" si="476"/>
        <v>1.3473862463318855</v>
      </c>
      <c r="AO565" s="586">
        <f t="shared" si="477"/>
        <v>0.73448250252771963</v>
      </c>
      <c r="AP565" s="584" t="str">
        <f t="shared" si="478"/>
        <v>1+0.00653316046478816i</v>
      </c>
      <c r="AQ565" s="585">
        <f t="shared" si="479"/>
        <v>1.0000213408651131</v>
      </c>
      <c r="AR565" s="586">
        <f t="shared" si="480"/>
        <v>6.5330675173125036E-3</v>
      </c>
      <c r="AS565" s="580" t="str">
        <f t="shared" si="481"/>
        <v>0.138982379502081-0.155932032948666i</v>
      </c>
      <c r="AT565" s="270">
        <f t="shared" si="482"/>
        <v>0.20888011085683655</v>
      </c>
      <c r="AU565" s="581">
        <f t="shared" si="483"/>
        <v>-0.84280813441829949</v>
      </c>
      <c r="AV565" s="580" t="str">
        <f t="shared" si="484"/>
        <v>-0.0285920573425292-0.0313299255236391i</v>
      </c>
      <c r="AW565" s="270">
        <f t="shared" si="485"/>
        <v>-27.449519440634074</v>
      </c>
      <c r="AX565" s="581">
        <f t="shared" si="486"/>
        <v>-132.38394392355593</v>
      </c>
      <c r="AY565" s="299">
        <f t="shared" si="456"/>
        <v>47.616056076444067</v>
      </c>
      <c r="BB565" s="270">
        <f t="shared" si="489"/>
        <v>-53.602058213926327</v>
      </c>
      <c r="BC565" s="270">
        <f t="shared" si="490"/>
        <v>-48.28934904146314</v>
      </c>
      <c r="BD565" s="286"/>
      <c r="BE565" s="270">
        <f t="shared" si="487"/>
        <v>26.152538773292264</v>
      </c>
      <c r="BF565" s="581">
        <f t="shared" si="488"/>
        <v>-84.094594882092849</v>
      </c>
      <c r="BI565" s="286"/>
      <c r="BJ565" s="286"/>
      <c r="BL565" s="253">
        <f t="shared" si="457"/>
        <v>0</v>
      </c>
      <c r="BM565" s="253">
        <f t="shared" si="491"/>
        <v>0</v>
      </c>
      <c r="BN565" s="253">
        <f t="shared" si="458"/>
        <v>0</v>
      </c>
      <c r="BO565" s="253">
        <f t="shared" si="459"/>
        <v>0</v>
      </c>
    </row>
    <row r="566" spans="4:67" ht="13.6" thickBot="1" x14ac:dyDescent="0.25">
      <c r="D566" s="280">
        <v>93868.5</v>
      </c>
      <c r="E566" s="273" t="str">
        <f t="shared" si="438"/>
        <v>1.06162772401258i</v>
      </c>
      <c r="F566" s="579" t="str">
        <f t="shared" si="460"/>
        <v>0.002-0.0260847631104062i</v>
      </c>
      <c r="G566" s="270" t="str">
        <f t="shared" si="461"/>
        <v>0.002-0.0260847631104062i</v>
      </c>
      <c r="H566" s="271" t="str">
        <f t="shared" si="462"/>
        <v>0.00233713327452442-0.0260282530734211i</v>
      </c>
      <c r="I566" s="271" t="str">
        <f t="shared" si="463"/>
        <v>0.0123371332745244-0.0260282530734211i</v>
      </c>
      <c r="J566" s="270" t="str">
        <f t="shared" si="464"/>
        <v>0.00345839127035089-0.0135062219988285i</v>
      </c>
      <c r="K566" s="271" t="str">
        <f t="shared" si="439"/>
        <v>0.777498161858286-0.740946206038928i</v>
      </c>
      <c r="L566" s="580"/>
      <c r="M566" s="580" t="str">
        <f t="shared" si="440"/>
        <v>-0.0360227390655873-15.1962988035103i</v>
      </c>
      <c r="N566" s="270" t="str">
        <f t="shared" si="441"/>
        <v>-6.69368372096586-11.3972241026327i</v>
      </c>
      <c r="O566" s="581" t="str">
        <f t="shared" si="442"/>
        <v>-4.23284296433116-4.79715899927419i</v>
      </c>
      <c r="P566" s="582" t="str">
        <f t="shared" si="443"/>
        <v>-0.177082816247634+0.0509903179825316i</v>
      </c>
      <c r="Q566" s="583" t="str">
        <f t="shared" si="444"/>
        <v>-0.134754386604323+0.0989619079752734i</v>
      </c>
      <c r="R566" s="581" t="str">
        <f t="shared" si="465"/>
        <v>-0.505404419396173-0.527825765590294i</v>
      </c>
      <c r="S566" s="253" t="str">
        <f t="shared" si="466"/>
        <v>35.121681374269-33.0672416539277i</v>
      </c>
      <c r="T566" s="253" t="str">
        <f t="shared" si="467"/>
        <v>1.92442396175465-20.217031708318i</v>
      </c>
      <c r="U566" s="253" t="str">
        <f t="shared" si="468"/>
        <v>-0.521716382422171-0.097339291414731i</v>
      </c>
      <c r="V566" s="582" t="str">
        <f t="shared" si="445"/>
        <v>6000</v>
      </c>
      <c r="W566" s="584" t="str">
        <f t="shared" si="446"/>
        <v>1+330333.723431034i</v>
      </c>
      <c r="X566" s="585">
        <f t="shared" si="447"/>
        <v>330333.72343254765</v>
      </c>
      <c r="Y566" s="586">
        <f t="shared" si="448"/>
        <v>1.5707932995532647</v>
      </c>
      <c r="Z566" s="273" t="str">
        <f t="shared" si="449"/>
        <v>1+49.5426271205869i</v>
      </c>
      <c r="AA566" s="585">
        <f t="shared" si="450"/>
        <v>49.552718411904635</v>
      </c>
      <c r="AB566" s="586">
        <f t="shared" si="451"/>
        <v>1.5506144292096893</v>
      </c>
      <c r="AC566" s="584" t="str">
        <f t="shared" si="452"/>
        <v>1+2.39516096748984i</v>
      </c>
      <c r="AD566" s="585">
        <f t="shared" si="453"/>
        <v>2.5955338680485109</v>
      </c>
      <c r="AE566" s="586">
        <f t="shared" si="454"/>
        <v>1.1752881420887913</v>
      </c>
      <c r="AF566" s="580" t="str">
        <f t="shared" si="469"/>
        <v>0.127117877144701-0.322628503289703i</v>
      </c>
      <c r="AG566" s="270">
        <f t="shared" si="470"/>
        <v>0.3467680865142137</v>
      </c>
      <c r="AH566" s="581">
        <f t="shared" si="471"/>
        <v>-1.1954670124323679</v>
      </c>
      <c r="AI566" s="582" t="str">
        <f t="shared" si="455"/>
        <v>4000</v>
      </c>
      <c r="AJ566" s="584" t="str">
        <f t="shared" si="472"/>
        <v>1+25951.8082018046i</v>
      </c>
      <c r="AK566" s="585">
        <f t="shared" si="473"/>
        <v>25951.808221071078</v>
      </c>
      <c r="AL566" s="586">
        <f t="shared" si="474"/>
        <v>1.570757793834429</v>
      </c>
      <c r="AM566" s="273" t="str">
        <f t="shared" si="475"/>
        <v>1+0.90828149721076i</v>
      </c>
      <c r="AN566" s="585">
        <f t="shared" si="476"/>
        <v>1.3509164586218572</v>
      </c>
      <c r="AO566" s="586">
        <f t="shared" si="477"/>
        <v>0.73737171937811019</v>
      </c>
      <c r="AP566" s="584" t="str">
        <f t="shared" si="478"/>
        <v>1+0.00657120785522601i</v>
      </c>
      <c r="AQ566" s="585">
        <f t="shared" si="479"/>
        <v>1.000021590153271</v>
      </c>
      <c r="AR566" s="586">
        <f t="shared" si="480"/>
        <v>6.5711132743989055E-3</v>
      </c>
      <c r="AS566" s="580" t="str">
        <f t="shared" si="481"/>
        <v>0.138982240838103-0.155039728485246i</v>
      </c>
      <c r="AT566" s="270">
        <f t="shared" si="482"/>
        <v>0.20821474654106339</v>
      </c>
      <c r="AU566" s="581">
        <f t="shared" si="483"/>
        <v>-0.8399571877307167</v>
      </c>
      <c r="AV566" s="580" t="str">
        <f t="shared" si="484"/>
        <v>-0.0286698235230803-0.0310817053843796i</v>
      </c>
      <c r="AW566" s="270">
        <f t="shared" si="485"/>
        <v>-27.4762490963383</v>
      </c>
      <c r="AX566" s="581">
        <f t="shared" si="486"/>
        <v>-132.68849979963204</v>
      </c>
      <c r="AY566" s="299">
        <f t="shared" si="456"/>
        <v>47.311500200367959</v>
      </c>
      <c r="BB566" s="270">
        <f t="shared" si="489"/>
        <v>-53.629770307785734</v>
      </c>
      <c r="BC566" s="270">
        <f t="shared" si="490"/>
        <v>-48.126001828647844</v>
      </c>
      <c r="BD566" s="286"/>
      <c r="BE566" s="270">
        <f t="shared" si="487"/>
        <v>26.153521211447433</v>
      </c>
      <c r="BF566" s="581">
        <f t="shared" si="488"/>
        <v>-84.562497970984211</v>
      </c>
      <c r="BI566" s="286"/>
      <c r="BJ566" s="286"/>
      <c r="BL566" s="253">
        <f t="shared" si="457"/>
        <v>0</v>
      </c>
      <c r="BM566" s="253">
        <f t="shared" si="491"/>
        <v>0</v>
      </c>
      <c r="BN566" s="253">
        <f t="shared" si="458"/>
        <v>0</v>
      </c>
      <c r="BO566" s="253">
        <f t="shared" si="459"/>
        <v>0</v>
      </c>
    </row>
    <row r="567" spans="4:67" ht="13.6" thickBot="1" x14ac:dyDescent="0.25">
      <c r="D567" s="280">
        <v>94412</v>
      </c>
      <c r="E567" s="273" t="str">
        <f t="shared" si="438"/>
        <v>1.06777456419859i</v>
      </c>
      <c r="F567" s="579" t="str">
        <f t="shared" si="460"/>
        <v>0.002-0.025934601385726i</v>
      </c>
      <c r="G567" s="270" t="str">
        <f t="shared" si="461"/>
        <v>0.002-0.025934601385726i</v>
      </c>
      <c r="H567" s="271" t="str">
        <f t="shared" si="462"/>
        <v>0.00233324062354949-0.0258784670858858i</v>
      </c>
      <c r="I567" s="271" t="str">
        <f t="shared" si="463"/>
        <v>0.0123332406235495-0.0258784670858858i</v>
      </c>
      <c r="J567" s="270" t="str">
        <f t="shared" si="464"/>
        <v>0.00345612395735426-0.013433265466335i</v>
      </c>
      <c r="K567" s="271" t="str">
        <f t="shared" si="439"/>
        <v>0.774914124794828-0.74523629550432i</v>
      </c>
      <c r="L567" s="580"/>
      <c r="M567" s="580" t="str">
        <f t="shared" si="440"/>
        <v>-0.0356493625657311-15.1075954201049i</v>
      </c>
      <c r="N567" s="270" t="str">
        <f t="shared" si="441"/>
        <v>-6.69340368859097-11.3306965650787i</v>
      </c>
      <c r="O567" s="581" t="str">
        <f t="shared" si="442"/>
        <v>-4.22967565451531-4.7597827068377i</v>
      </c>
      <c r="P567" s="582" t="str">
        <f t="shared" si="443"/>
        <v>-0.175341487721575+0.0507539767701083i</v>
      </c>
      <c r="Q567" s="583" t="str">
        <f t="shared" si="444"/>
        <v>-0.133044731176421+0.0983518038384849i</v>
      </c>
      <c r="R567" s="581" t="str">
        <f t="shared" si="465"/>
        <v>-0.505346484206335-0.522995367348461i</v>
      </c>
      <c r="S567" s="253" t="str">
        <f t="shared" si="466"/>
        <v>34.9318163923227-33.1953269500419i</v>
      </c>
      <c r="T567" s="253" t="str">
        <f t="shared" si="467"/>
        <v>1.75962652136732-20.2341973333885i</v>
      </c>
      <c r="U567" s="253" t="str">
        <f t="shared" si="468"/>
        <v>-0.519524377619481-0.092747688219833i</v>
      </c>
      <c r="V567" s="582" t="str">
        <f t="shared" si="445"/>
        <v>6000</v>
      </c>
      <c r="W567" s="584" t="str">
        <f t="shared" si="446"/>
        <v>1+332246.360563669i</v>
      </c>
      <c r="X567" s="585">
        <f t="shared" si="447"/>
        <v>332246.36056517391</v>
      </c>
      <c r="Y567" s="586">
        <f t="shared" si="448"/>
        <v>1.5707933169801365</v>
      </c>
      <c r="Z567" s="273" t="str">
        <f t="shared" si="449"/>
        <v>1+49.8294796626009i</v>
      </c>
      <c r="AA567" s="585">
        <f t="shared" si="450"/>
        <v>49.839512873277137</v>
      </c>
      <c r="AB567" s="586">
        <f t="shared" si="451"/>
        <v>1.5507305787326575</v>
      </c>
      <c r="AC567" s="584" t="str">
        <f t="shared" si="452"/>
        <v>1+2.40902898483145i</v>
      </c>
      <c r="AD567" s="585">
        <f t="shared" si="453"/>
        <v>2.6083367592697928</v>
      </c>
      <c r="AE567" s="586">
        <f t="shared" si="454"/>
        <v>1.1773365871353945</v>
      </c>
      <c r="AF567" s="580" t="str">
        <f t="shared" si="469"/>
        <v>0.125873036136175-0.321287972593945i</v>
      </c>
      <c r="AG567" s="270">
        <f t="shared" si="470"/>
        <v>0.34506518595718455</v>
      </c>
      <c r="AH567" s="581">
        <f t="shared" si="471"/>
        <v>-1.1973993253828734</v>
      </c>
      <c r="AI567" s="582" t="str">
        <f t="shared" si="455"/>
        <v>4000</v>
      </c>
      <c r="AJ567" s="584" t="str">
        <f t="shared" si="472"/>
        <v>1+26102.0695542038i</v>
      </c>
      <c r="AK567" s="585">
        <f t="shared" si="473"/>
        <v>26102.069573359371</v>
      </c>
      <c r="AL567" s="586">
        <f t="shared" si="474"/>
        <v>1.5707580156564853</v>
      </c>
      <c r="AM567" s="273" t="str">
        <f t="shared" si="475"/>
        <v>1+0.913540460481017i</v>
      </c>
      <c r="AN567" s="585">
        <f t="shared" si="476"/>
        <v>1.3544578889488845</v>
      </c>
      <c r="AO567" s="586">
        <f t="shared" si="477"/>
        <v>0.74024585154732903</v>
      </c>
      <c r="AP567" s="584" t="str">
        <f t="shared" si="478"/>
        <v>1+0.00660925524566386i</v>
      </c>
      <c r="AQ567" s="585">
        <f t="shared" si="479"/>
        <v>1.000021840888939</v>
      </c>
      <c r="AR567" s="586">
        <f t="shared" si="480"/>
        <v>6.6091590124619393E-3</v>
      </c>
      <c r="AS567" s="580" t="str">
        <f t="shared" si="481"/>
        <v>0.138982102966508-0.154157758316417i</v>
      </c>
      <c r="AT567" s="270">
        <f t="shared" si="482"/>
        <v>0.20755876130420484</v>
      </c>
      <c r="AU567" s="581">
        <f t="shared" si="483"/>
        <v>-0.8371213231216178</v>
      </c>
      <c r="AV567" s="580" t="str">
        <f t="shared" si="484"/>
        <v>-0.0287470190787192-0.0308345137724174i</v>
      </c>
      <c r="AW567" s="270">
        <f t="shared" si="485"/>
        <v>-27.50273874664941</v>
      </c>
      <c r="AX567" s="581">
        <f t="shared" si="486"/>
        <v>-132.99340958348128</v>
      </c>
      <c r="AY567" s="299">
        <f t="shared" si="456"/>
        <v>47.006590416518719</v>
      </c>
      <c r="BB567" s="270">
        <f t="shared" si="489"/>
        <v>-53.657178596153685</v>
      </c>
      <c r="BC567" s="270">
        <f t="shared" si="490"/>
        <v>-47.963518755275956</v>
      </c>
      <c r="BD567" s="286"/>
      <c r="BE567" s="270">
        <f t="shared" si="487"/>
        <v>26.154439849504278</v>
      </c>
      <c r="BF567" s="581">
        <f t="shared" si="488"/>
        <v>-85.029890828205311</v>
      </c>
      <c r="BI567" s="286"/>
      <c r="BJ567" s="286"/>
      <c r="BL567" s="253">
        <f t="shared" si="457"/>
        <v>0</v>
      </c>
      <c r="BM567" s="253">
        <f t="shared" si="491"/>
        <v>0</v>
      </c>
      <c r="BN567" s="253">
        <f t="shared" si="458"/>
        <v>0</v>
      </c>
      <c r="BO567" s="253">
        <f t="shared" si="459"/>
        <v>0</v>
      </c>
    </row>
    <row r="568" spans="4:67" ht="13.6" thickBot="1" x14ac:dyDescent="0.25">
      <c r="D568" s="280">
        <v>94955.5</v>
      </c>
      <c r="E568" s="273" t="str">
        <f t="shared" si="438"/>
        <v>1.0739214043846i</v>
      </c>
      <c r="F568" s="579" t="str">
        <f t="shared" si="460"/>
        <v>0.002-0.0257861586325085i</v>
      </c>
      <c r="G568" s="270" t="str">
        <f t="shared" si="461"/>
        <v>0.002-0.0257861586325085i</v>
      </c>
      <c r="H568" s="271" t="str">
        <f t="shared" si="462"/>
        <v>0.00232941460780922-0.0257303949102992i</v>
      </c>
      <c r="I568" s="271" t="str">
        <f t="shared" si="463"/>
        <v>0.0123294146078092-0.0257303949102992i</v>
      </c>
      <c r="J568" s="270" t="str">
        <f t="shared" si="464"/>
        <v>0.00345386792703565-0.0133611640105853i</v>
      </c>
      <c r="K568" s="271" t="str">
        <f t="shared" si="439"/>
        <v>0.772315169307593-0.749526384969713i</v>
      </c>
      <c r="L568" s="580"/>
      <c r="M568" s="580" t="str">
        <f t="shared" si="440"/>
        <v>-0.0352821547883669-15.0199282884664i</v>
      </c>
      <c r="N568" s="270" t="str">
        <f t="shared" si="441"/>
        <v>-6.69312828275794-11.2649462163498i</v>
      </c>
      <c r="O568" s="581" t="str">
        <f t="shared" si="442"/>
        <v>-4.22650907212427-4.72280323734546i</v>
      </c>
      <c r="P568" s="582" t="str">
        <f t="shared" si="443"/>
        <v>-0.173629975074425+0.0505203482933838i</v>
      </c>
      <c r="Q568" s="583" t="str">
        <f t="shared" si="444"/>
        <v>-0.131364884353183+0.0977483806668385i</v>
      </c>
      <c r="R568" s="581" t="str">
        <f t="shared" si="465"/>
        <v>-0.505289523979258-0.518211233342846i</v>
      </c>
      <c r="S568" s="253" t="str">
        <f t="shared" si="466"/>
        <v>34.7412303284463-33.3220562151061i</v>
      </c>
      <c r="T568" s="253" t="str">
        <f t="shared" si="467"/>
        <v>1.59484654183168-20.2498550368345i</v>
      </c>
      <c r="U568" s="253" t="str">
        <f t="shared" si="468"/>
        <v>-0.517321708142309-0.0882063394714773i</v>
      </c>
      <c r="V568" s="582" t="str">
        <f t="shared" si="445"/>
        <v>6000</v>
      </c>
      <c r="W568" s="584" t="str">
        <f t="shared" si="446"/>
        <v>1+334158.997696304i</v>
      </c>
      <c r="X568" s="585">
        <f t="shared" si="447"/>
        <v>334158.99769780028</v>
      </c>
      <c r="Y568" s="586">
        <f t="shared" si="448"/>
        <v>1.5707933342075149</v>
      </c>
      <c r="Z568" s="273" t="str">
        <f t="shared" si="449"/>
        <v>1+50.1163322046149i</v>
      </c>
      <c r="AA568" s="585">
        <f t="shared" si="450"/>
        <v>50.126307999326265</v>
      </c>
      <c r="AB568" s="586">
        <f t="shared" si="451"/>
        <v>1.5508453991699633</v>
      </c>
      <c r="AC568" s="584" t="str">
        <f t="shared" si="452"/>
        <v>1+2.42289700217305i</v>
      </c>
      <c r="AD568" s="585">
        <f t="shared" si="453"/>
        <v>2.621150488457149</v>
      </c>
      <c r="AE568" s="586">
        <f t="shared" si="454"/>
        <v>1.1793650126097732</v>
      </c>
      <c r="AF568" s="580" t="str">
        <f t="shared" si="469"/>
        <v>0.124645360951558-0.319955702749866i</v>
      </c>
      <c r="AG568" s="270">
        <f t="shared" si="470"/>
        <v>0.34337751488544616</v>
      </c>
      <c r="AH568" s="581">
        <f t="shared" si="471"/>
        <v>-1.1993129476473239</v>
      </c>
      <c r="AI568" s="582" t="str">
        <f t="shared" si="455"/>
        <v>4000</v>
      </c>
      <c r="AJ568" s="584" t="str">
        <f t="shared" si="472"/>
        <v>1+26252.330906603i</v>
      </c>
      <c r="AK568" s="585">
        <f t="shared" si="473"/>
        <v>26252.33092564893</v>
      </c>
      <c r="AL568" s="586">
        <f t="shared" si="474"/>
        <v>1.570758234939241</v>
      </c>
      <c r="AM568" s="273" t="str">
        <f t="shared" si="475"/>
        <v>1+0.918799423751273i</v>
      </c>
      <c r="AN568" s="585">
        <f t="shared" si="476"/>
        <v>1.3580104495495133</v>
      </c>
      <c r="AO568" s="586">
        <f t="shared" si="477"/>
        <v>0.74310496975016493</v>
      </c>
      <c r="AP568" s="584" t="str">
        <f t="shared" si="478"/>
        <v>1+0.0066473026361017i</v>
      </c>
      <c r="AQ568" s="585">
        <f t="shared" si="479"/>
        <v>1.000022093072116</v>
      </c>
      <c r="AR568" s="586">
        <f t="shared" si="480"/>
        <v>6.6472047313914651E-3</v>
      </c>
      <c r="AS568" s="580" t="str">
        <f t="shared" si="481"/>
        <v>0.138981965860021-0.153285944989743i</v>
      </c>
      <c r="AT568" s="270">
        <f t="shared" si="482"/>
        <v>0.20691198072058217</v>
      </c>
      <c r="AU568" s="581">
        <f t="shared" si="483"/>
        <v>-0.83430046992046891</v>
      </c>
      <c r="AV568" s="580" t="str">
        <f t="shared" si="484"/>
        <v>-0.0288236325759766-0.03058832220678i</v>
      </c>
      <c r="AW568" s="270">
        <f t="shared" si="485"/>
        <v>-27.52899326949986</v>
      </c>
      <c r="AX568" s="581">
        <f t="shared" si="486"/>
        <v>-133.29866649350029</v>
      </c>
      <c r="AY568" s="299">
        <f t="shared" si="456"/>
        <v>46.701333506499708</v>
      </c>
      <c r="BB568" s="270">
        <f t="shared" si="489"/>
        <v>-53.684287237415404</v>
      </c>
      <c r="BC568" s="270">
        <f t="shared" si="490"/>
        <v>-47.801895772224164</v>
      </c>
      <c r="BD568" s="286"/>
      <c r="BE568" s="270">
        <f t="shared" si="487"/>
        <v>26.155293967915544</v>
      </c>
      <c r="BF568" s="581">
        <f t="shared" si="488"/>
        <v>-85.496770721276121</v>
      </c>
      <c r="BI568" s="286"/>
      <c r="BJ568" s="286"/>
      <c r="BL568" s="253">
        <f t="shared" si="457"/>
        <v>0</v>
      </c>
      <c r="BM568" s="253">
        <f t="shared" si="491"/>
        <v>0</v>
      </c>
      <c r="BN568" s="253">
        <f t="shared" si="458"/>
        <v>0</v>
      </c>
      <c r="BO568" s="253">
        <f t="shared" si="459"/>
        <v>0</v>
      </c>
    </row>
    <row r="569" spans="4:67" ht="13.6" thickBot="1" x14ac:dyDescent="0.25">
      <c r="D569" s="280">
        <v>95499</v>
      </c>
      <c r="E569" s="273" t="str">
        <f t="shared" si="438"/>
        <v>1.08006824457062i</v>
      </c>
      <c r="F569" s="579" t="str">
        <f t="shared" si="460"/>
        <v>0.002-0.0256394055019336i</v>
      </c>
      <c r="G569" s="270" t="str">
        <f t="shared" si="461"/>
        <v>0.002-0.0256394055019336i</v>
      </c>
      <c r="H569" s="271" t="str">
        <f t="shared" si="462"/>
        <v>0.00232565371511738-0.0255840073052988i</v>
      </c>
      <c r="I569" s="271" t="str">
        <f t="shared" si="463"/>
        <v>0.0123256537151174-0.0255840073052988i</v>
      </c>
      <c r="J569" s="270" t="str">
        <f t="shared" si="464"/>
        <v>0.00345162283025063-0.0132899029242347i</v>
      </c>
      <c r="K569" s="271" t="str">
        <f t="shared" si="439"/>
        <v>0.769701295396581-0.753816474435105i</v>
      </c>
      <c r="L569" s="580"/>
      <c r="M569" s="580" t="str">
        <f t="shared" si="440"/>
        <v>-0.0349209805106505-14.9332792402907i</v>
      </c>
      <c r="N569" s="270" t="str">
        <f t="shared" si="441"/>
        <v>-6.69285740204966-11.199959430218i</v>
      </c>
      <c r="O569" s="581" t="str">
        <f t="shared" si="442"/>
        <v>-4.223343019425-4.68621385161457i</v>
      </c>
      <c r="P569" s="582" t="str">
        <f t="shared" si="443"/>
        <v>-0.171947592991491+0.0502893894917644i</v>
      </c>
      <c r="Q569" s="583" t="str">
        <f t="shared" si="444"/>
        <v>-0.12971416279724+0.0971515280079099i</v>
      </c>
      <c r="R569" s="581" t="str">
        <f t="shared" si="465"/>
        <v>-0.505233516574954-0.513472552358917i</v>
      </c>
      <c r="S569" s="253" t="str">
        <f t="shared" si="466"/>
        <v>34.5499342665792-33.4474225437235i</v>
      </c>
      <c r="T569" s="253" t="str">
        <f t="shared" si="467"/>
        <v>1.43009988795522-20.2640058604667i</v>
      </c>
      <c r="U569" s="253" t="str">
        <f t="shared" si="468"/>
        <v>-0.515108556851385-0.083714746493308i</v>
      </c>
      <c r="V569" s="582" t="str">
        <f t="shared" si="445"/>
        <v>6000</v>
      </c>
      <c r="W569" s="584" t="str">
        <f t="shared" si="446"/>
        <v>1+336071.634828939i</v>
      </c>
      <c r="X569" s="585">
        <f t="shared" si="447"/>
        <v>336071.63483042683</v>
      </c>
      <c r="Y569" s="586">
        <f t="shared" si="448"/>
        <v>1.5707933512388057</v>
      </c>
      <c r="Z569" s="273" t="str">
        <f t="shared" si="449"/>
        <v>1+50.4031847466288i</v>
      </c>
      <c r="AA569" s="585">
        <f t="shared" si="450"/>
        <v>50.41310377870812</v>
      </c>
      <c r="AB569" s="586">
        <f t="shared" si="451"/>
        <v>1.5509589132017132</v>
      </c>
      <c r="AC569" s="584" t="str">
        <f t="shared" si="452"/>
        <v>1+2.43676501951466i</v>
      </c>
      <c r="AD569" s="585">
        <f t="shared" si="453"/>
        <v>2.6339748974373847</v>
      </c>
      <c r="AE569" s="586">
        <f t="shared" si="454"/>
        <v>1.1813736941135817</v>
      </c>
      <c r="AF569" s="580" t="str">
        <f t="shared" si="469"/>
        <v>0.123434558393235-0.318631673038383i</v>
      </c>
      <c r="AG569" s="270">
        <f t="shared" si="470"/>
        <v>0.34170489207644067</v>
      </c>
      <c r="AH569" s="581">
        <f t="shared" si="471"/>
        <v>-1.2012081321506749</v>
      </c>
      <c r="AI569" s="582" t="str">
        <f t="shared" si="455"/>
        <v>4000</v>
      </c>
      <c r="AJ569" s="584" t="str">
        <f t="shared" si="472"/>
        <v>1+26402.5922590021i</v>
      </c>
      <c r="AK569" s="585">
        <f t="shared" si="473"/>
        <v>26402.592277939635</v>
      </c>
      <c r="AL569" s="586">
        <f t="shared" si="474"/>
        <v>1.5707584517260507</v>
      </c>
      <c r="AM569" s="273" t="str">
        <f t="shared" si="475"/>
        <v>1+0.924058387021529i</v>
      </c>
      <c r="AN569" s="585">
        <f t="shared" si="476"/>
        <v>1.3615740533018503</v>
      </c>
      <c r="AO569" s="586">
        <f t="shared" si="477"/>
        <v>0.74594914494641773</v>
      </c>
      <c r="AP569" s="584" t="str">
        <f t="shared" si="478"/>
        <v>1+0.00668535002653955i</v>
      </c>
      <c r="AQ569" s="585">
        <f t="shared" si="479"/>
        <v>1.0000223467028011</v>
      </c>
      <c r="AR569" s="586">
        <f t="shared" si="480"/>
        <v>6.6852504310773797E-3</v>
      </c>
      <c r="AS569" s="580" t="str">
        <f t="shared" si="481"/>
        <v>0.138981829492148-0.152424115092432i</v>
      </c>
      <c r="AT569" s="270">
        <f t="shared" si="482"/>
        <v>0.20627423443245513</v>
      </c>
      <c r="AU569" s="581">
        <f t="shared" si="483"/>
        <v>-0.83149455721070809</v>
      </c>
      <c r="AV569" s="580" t="str">
        <f t="shared" si="484"/>
        <v>-0.0288996526272496-0.0303431031724263i</v>
      </c>
      <c r="AW569" s="270">
        <f t="shared" si="485"/>
        <v>-27.555017467006849</v>
      </c>
      <c r="AX569" s="581">
        <f t="shared" si="486"/>
        <v>-133.6042637093876</v>
      </c>
      <c r="AY569" s="299">
        <f t="shared" si="456"/>
        <v>46.395736290612405</v>
      </c>
      <c r="BB569" s="270">
        <f t="shared" si="489"/>
        <v>-53.711100321064009</v>
      </c>
      <c r="BC569" s="270">
        <f t="shared" si="490"/>
        <v>-47.641128816272747</v>
      </c>
      <c r="BD569" s="286"/>
      <c r="BE569" s="270">
        <f t="shared" si="487"/>
        <v>26.156082854057164</v>
      </c>
      <c r="BF569" s="581">
        <f t="shared" si="488"/>
        <v>-85.963134893114869</v>
      </c>
      <c r="BI569" s="286"/>
      <c r="BJ569" s="286"/>
      <c r="BL569" s="253">
        <f t="shared" si="457"/>
        <v>0</v>
      </c>
      <c r="BM569" s="253">
        <f t="shared" si="491"/>
        <v>0</v>
      </c>
      <c r="BN569" s="253">
        <f t="shared" si="458"/>
        <v>0</v>
      </c>
      <c r="BO569" s="253">
        <f t="shared" si="459"/>
        <v>0</v>
      </c>
    </row>
    <row r="570" spans="4:67" ht="13.6" thickBot="1" x14ac:dyDescent="0.25">
      <c r="D570" s="280">
        <v>96611.5</v>
      </c>
      <c r="E570" s="273" t="str">
        <f t="shared" si="438"/>
        <v>1.09265032314825i</v>
      </c>
      <c r="F570" s="579" t="str">
        <f t="shared" si="460"/>
        <v>0.002-0.0253441628173578i</v>
      </c>
      <c r="G570" s="270" t="str">
        <f t="shared" si="461"/>
        <v>0.002-0.0253441628173578i</v>
      </c>
      <c r="H570" s="271" t="str">
        <f t="shared" si="462"/>
        <v>0.00231815241873256-0.0252894975036862i</v>
      </c>
      <c r="I570" s="271" t="str">
        <f t="shared" si="463"/>
        <v>0.0123181524187326-0.0252894975036862i</v>
      </c>
      <c r="J570" s="270" t="str">
        <f t="shared" si="464"/>
        <v>0.00344705998398464-0.0131465978065123i</v>
      </c>
      <c r="K570" s="271" t="str">
        <f t="shared" si="439"/>
        <v>0.764304387963687-0.762597936312287i</v>
      </c>
      <c r="L570" s="580"/>
      <c r="M570" s="580" t="str">
        <f t="shared" si="440"/>
        <v>-0.0341999515682031-14.7590163340586i</v>
      </c>
      <c r="N570" s="270" t="str">
        <f t="shared" si="441"/>
        <v>-6.69231663034282-11.069262250544i</v>
      </c>
      <c r="O570" s="581" t="str">
        <f t="shared" si="442"/>
        <v>-4.21686322749214-4.6125072946634i</v>
      </c>
      <c r="P570" s="582" t="str">
        <f t="shared" si="443"/>
        <v>-0.168591955679321+0.0498247841768687i</v>
      </c>
      <c r="Q570" s="583" t="str">
        <f t="shared" si="444"/>
        <v>-0.1264233234044+0.0959498571235031i</v>
      </c>
      <c r="R570" s="581" t="str">
        <f t="shared" si="465"/>
        <v>-0.505121755434621-0.503911288484664i</v>
      </c>
      <c r="S570" s="253" t="str">
        <f t="shared" si="466"/>
        <v>34.1562001201779-33.6997584592627i</v>
      </c>
      <c r="T570" s="253" t="str">
        <f t="shared" si="467"/>
        <v>1.09304764924565-20.2882778259232i</v>
      </c>
      <c r="U570" s="253" t="str">
        <f t="shared" si="468"/>
        <v>-0.510546500380888-0.0746739461110892i</v>
      </c>
      <c r="V570" s="582" t="str">
        <f t="shared" si="445"/>
        <v>6000</v>
      </c>
      <c r="W570" s="584" t="str">
        <f t="shared" si="446"/>
        <v>1+339986.64643898i</v>
      </c>
      <c r="X570" s="585">
        <f t="shared" si="447"/>
        <v>339986.64644045068</v>
      </c>
      <c r="Y570" s="586">
        <f t="shared" si="448"/>
        <v>1.5707933855029064</v>
      </c>
      <c r="Z570" s="273" t="str">
        <f t="shared" si="449"/>
        <v>1+50.9903484135848i</v>
      </c>
      <c r="AA570" s="585">
        <f t="shared" si="450"/>
        <v>51.000153248189065</v>
      </c>
      <c r="AB570" s="586">
        <f t="shared" si="451"/>
        <v>1.5511872859405396</v>
      </c>
      <c r="AC570" s="584" t="str">
        <f t="shared" si="452"/>
        <v>1+2.4651517155451i</v>
      </c>
      <c r="AD570" s="585">
        <f t="shared" si="453"/>
        <v>2.6602580665519935</v>
      </c>
      <c r="AE570" s="586">
        <f t="shared" si="454"/>
        <v>1.1854248656699045</v>
      </c>
      <c r="AF570" s="580" t="str">
        <f t="shared" si="469"/>
        <v>0.121007556930218-0.315947091736675i</v>
      </c>
      <c r="AG570" s="270">
        <f t="shared" si="470"/>
        <v>0.33832734682712667</v>
      </c>
      <c r="AH570" s="581">
        <f t="shared" si="471"/>
        <v>-1.205030965232273</v>
      </c>
      <c r="AI570" s="582" t="str">
        <f t="shared" si="455"/>
        <v>4000</v>
      </c>
      <c r="AJ570" s="584" t="str">
        <f t="shared" si="472"/>
        <v>1+26710.1649444558i</v>
      </c>
      <c r="AK570" s="585">
        <f t="shared" si="473"/>
        <v>26710.164963175263</v>
      </c>
      <c r="AL570" s="586">
        <f t="shared" si="474"/>
        <v>1.5707588878647509</v>
      </c>
      <c r="AM570" s="273" t="str">
        <f t="shared" si="475"/>
        <v>1+0.934823054249055i</v>
      </c>
      <c r="AN570" s="585">
        <f t="shared" si="476"/>
        <v>1.3689025322335888</v>
      </c>
      <c r="AO570" s="586">
        <f t="shared" si="477"/>
        <v>0.75172464017860186</v>
      </c>
      <c r="AP570" s="584" t="str">
        <f t="shared" si="478"/>
        <v>1+0.00676322991957012i</v>
      </c>
      <c r="AQ570" s="585">
        <f t="shared" si="479"/>
        <v>1.0000228703779455</v>
      </c>
      <c r="AR570" s="586">
        <f t="shared" si="480"/>
        <v>6.7631268028046808E-3</v>
      </c>
      <c r="AS570" s="580" t="str">
        <f t="shared" si="481"/>
        <v>0.138981552554032-0.150690443370168i</v>
      </c>
      <c r="AT570" s="270">
        <f t="shared" si="482"/>
        <v>0.20499629673100672</v>
      </c>
      <c r="AU570" s="581">
        <f t="shared" si="483"/>
        <v>-0.82579737448895285</v>
      </c>
      <c r="AV570" s="580" t="str">
        <f t="shared" si="484"/>
        <v>-0.0290533612149782-0.0298440818578389i</v>
      </c>
      <c r="AW570" s="270">
        <f t="shared" si="485"/>
        <v>-27.607588429470681</v>
      </c>
      <c r="AX570" s="581">
        <f t="shared" si="486"/>
        <v>-134.23082851129453</v>
      </c>
      <c r="AY570" s="299">
        <f t="shared" si="456"/>
        <v>45.769171488705467</v>
      </c>
      <c r="BB570" s="270">
        <f t="shared" si="489"/>
        <v>-53.765079688525475</v>
      </c>
      <c r="BC570" s="270">
        <f t="shared" si="490"/>
        <v>-47.314704291201316</v>
      </c>
      <c r="BD570" s="286"/>
      <c r="BE570" s="270">
        <f t="shared" si="487"/>
        <v>26.157491259054801</v>
      </c>
      <c r="BF570" s="581">
        <f t="shared" si="488"/>
        <v>-86.916124220093167</v>
      </c>
      <c r="BI570" s="286"/>
      <c r="BJ570" s="286"/>
      <c r="BL570" s="253">
        <f t="shared" si="457"/>
        <v>0</v>
      </c>
      <c r="BM570" s="253">
        <f t="shared" si="491"/>
        <v>0</v>
      </c>
      <c r="BN570" s="253">
        <f t="shared" si="458"/>
        <v>0</v>
      </c>
      <c r="BO570" s="253">
        <f t="shared" si="459"/>
        <v>0</v>
      </c>
    </row>
    <row r="571" spans="4:67" ht="13.6" thickBot="1" x14ac:dyDescent="0.25">
      <c r="D571" s="280">
        <v>97724</v>
      </c>
      <c r="E571" s="273" t="str">
        <f t="shared" si="438"/>
        <v>1.10523240172587i</v>
      </c>
      <c r="F571" s="579" t="str">
        <f t="shared" si="460"/>
        <v>0.002-0.0250556422785514i</v>
      </c>
      <c r="G571" s="270" t="str">
        <f t="shared" si="461"/>
        <v>0.002-0.0250556422785514i</v>
      </c>
      <c r="H571" s="271" t="str">
        <f t="shared" si="462"/>
        <v>0.00231090579438096-0.0250016899741156i</v>
      </c>
      <c r="I571" s="271" t="str">
        <f t="shared" si="463"/>
        <v>0.012310905794381-0.0250016899741156i</v>
      </c>
      <c r="J571" s="270" t="str">
        <f t="shared" si="464"/>
        <v>0.00344253877282924-0.0130066347432787i</v>
      </c>
      <c r="K571" s="271" t="str">
        <f t="shared" si="439"/>
        <v>0.758844974217823-0.77137939818947i</v>
      </c>
      <c r="L571" s="580"/>
      <c r="M571" s="580" t="str">
        <f t="shared" si="440"/>
        <v>-0.0335025717921504-14.5887983176457i</v>
      </c>
      <c r="N571" s="270" t="str">
        <f t="shared" si="441"/>
        <v>-6.69179359551078-10.9415987382343i</v>
      </c>
      <c r="O571" s="581" t="str">
        <f t="shared" si="442"/>
        <v>-4.21038332343178-4.54035326702203i</v>
      </c>
      <c r="P571" s="582" t="str">
        <f t="shared" si="443"/>
        <v>-0.165350137208049+0.0493708371811093i</v>
      </c>
      <c r="Q571" s="583" t="str">
        <f t="shared" si="444"/>
        <v>-0.123246303973731+0.0947743698513301i</v>
      </c>
      <c r="R571" s="581" t="str">
        <f t="shared" si="465"/>
        <v>-0.505013720227963-0.494530610584873i</v>
      </c>
      <c r="S571" s="253" t="str">
        <f t="shared" si="466"/>
        <v>33.7596359921562-33.9462984211187i</v>
      </c>
      <c r="T571" s="253" t="str">
        <f t="shared" si="467"/>
        <v>0.756337590351181-20.306254814243i</v>
      </c>
      <c r="U571" s="253" t="str">
        <f t="shared" si="468"/>
        <v>-0.505942862481044-0.0658355598621409i</v>
      </c>
      <c r="V571" s="582" t="str">
        <f t="shared" si="445"/>
        <v>6000</v>
      </c>
      <c r="W571" s="584" t="str">
        <f t="shared" si="446"/>
        <v>1+343901.658049019i</v>
      </c>
      <c r="X571" s="585">
        <f t="shared" si="447"/>
        <v>343901.65805047291</v>
      </c>
      <c r="Y571" s="586">
        <f t="shared" si="448"/>
        <v>1.5707934189868749</v>
      </c>
      <c r="Z571" s="273" t="str">
        <f t="shared" si="449"/>
        <v>1+51.5775120805407i</v>
      </c>
      <c r="AA571" s="585">
        <f t="shared" si="450"/>
        <v>51.587205317000084</v>
      </c>
      <c r="AB571" s="586">
        <f t="shared" si="451"/>
        <v>1.5514104610186898</v>
      </c>
      <c r="AC571" s="584" t="str">
        <f t="shared" si="452"/>
        <v>1+2.49353841157553i</v>
      </c>
      <c r="AD571" s="585">
        <f t="shared" si="453"/>
        <v>2.686584041120363</v>
      </c>
      <c r="AE571" s="586">
        <f t="shared" si="454"/>
        <v>1.1893967060773889</v>
      </c>
      <c r="AF571" s="580" t="str">
        <f t="shared" si="469"/>
        <v>0.118647657591431-0.313296723143879i</v>
      </c>
      <c r="AG571" s="270">
        <f t="shared" si="470"/>
        <v>0.33501060189884413</v>
      </c>
      <c r="AH571" s="581">
        <f t="shared" si="471"/>
        <v>-1.2087796640455735</v>
      </c>
      <c r="AI571" s="582" t="str">
        <f t="shared" si="455"/>
        <v>4000</v>
      </c>
      <c r="AJ571" s="584" t="str">
        <f t="shared" si="472"/>
        <v>1+27017.7376299095i</v>
      </c>
      <c r="AK571" s="585">
        <f t="shared" si="473"/>
        <v>27017.737648415859</v>
      </c>
      <c r="AL571" s="586">
        <f t="shared" si="474"/>
        <v>1.5707593140733564</v>
      </c>
      <c r="AM571" s="273" t="str">
        <f t="shared" si="475"/>
        <v>1+0.94558772147658i</v>
      </c>
      <c r="AN571" s="585">
        <f t="shared" si="476"/>
        <v>1.3762761855845904</v>
      </c>
      <c r="AO571" s="586">
        <f t="shared" si="477"/>
        <v>0.75743843774802866</v>
      </c>
      <c r="AP571" s="584" t="str">
        <f t="shared" si="478"/>
        <v>1+0.00684110981260067i</v>
      </c>
      <c r="AQ571" s="585">
        <f t="shared" si="479"/>
        <v>1.0000234001179513</v>
      </c>
      <c r="AR571" s="586">
        <f t="shared" si="480"/>
        <v>6.8410030924977308E-3</v>
      </c>
      <c r="AS571" s="580" t="str">
        <f t="shared" si="481"/>
        <v>0.13898127839195-0.148996490613503i</v>
      </c>
      <c r="AT571" s="270">
        <f t="shared" si="482"/>
        <v>0.2037541409606205</v>
      </c>
      <c r="AU571" s="581">
        <f t="shared" si="483"/>
        <v>-0.82016187941782748</v>
      </c>
      <c r="AV571" s="580" t="str">
        <f t="shared" si="484"/>
        <v>-0.0292044393962286-0.0293488090011758i</v>
      </c>
      <c r="AW571" s="270">
        <f t="shared" si="485"/>
        <v>-27.659253680504197</v>
      </c>
      <c r="AX571" s="581">
        <f t="shared" si="486"/>
        <v>-134.85873111197293</v>
      </c>
      <c r="AY571" s="299">
        <f t="shared" si="456"/>
        <v>45.141268888027071</v>
      </c>
      <c r="BB571" s="270">
        <f t="shared" si="489"/>
        <v>-53.817871123850765</v>
      </c>
      <c r="BC571" s="270">
        <f t="shared" si="490"/>
        <v>-46.991814208159056</v>
      </c>
      <c r="BD571" s="286"/>
      <c r="BE571" s="270">
        <f t="shared" si="487"/>
        <v>26.158617443346571</v>
      </c>
      <c r="BF571" s="581">
        <f t="shared" si="488"/>
        <v>-87.866916903813916</v>
      </c>
      <c r="BI571" s="286"/>
      <c r="BJ571" s="286"/>
      <c r="BL571" s="253">
        <f t="shared" si="457"/>
        <v>0</v>
      </c>
      <c r="BM571" s="253">
        <f t="shared" si="491"/>
        <v>0</v>
      </c>
      <c r="BN571" s="253">
        <f t="shared" si="458"/>
        <v>0</v>
      </c>
      <c r="BO571" s="253">
        <f t="shared" si="459"/>
        <v>0</v>
      </c>
    </row>
    <row r="572" spans="4:67" ht="13.6" thickBot="1" x14ac:dyDescent="0.25">
      <c r="D572" s="280">
        <v>98862</v>
      </c>
      <c r="E572" s="273" t="str">
        <f t="shared" si="438"/>
        <v>1.1181028785091i</v>
      </c>
      <c r="F572" s="579" t="str">
        <f t="shared" si="460"/>
        <v>0.002-0.0247672269024414i</v>
      </c>
      <c r="G572" s="270" t="str">
        <f t="shared" si="461"/>
        <v>0.002-0.0247672269024414i</v>
      </c>
      <c r="H572" s="271" t="str">
        <f t="shared" si="462"/>
        <v>0.00230374468291748-0.0247139842345633i</v>
      </c>
      <c r="I572" s="271" t="str">
        <f t="shared" si="463"/>
        <v>0.0123037446829175-0.0247139842345633i</v>
      </c>
      <c r="J572" s="270" t="str">
        <f t="shared" si="464"/>
        <v>0.0034379542988763-0.0128668028071262i</v>
      </c>
      <c r="K572" s="271" t="str">
        <f t="shared" si="439"/>
        <v>0.753195751521426-0.780362143013051i</v>
      </c>
      <c r="L572" s="580"/>
      <c r="M572" s="580" t="str">
        <f t="shared" si="440"/>
        <v>-0.0328126073249141-14.4187177313959i</v>
      </c>
      <c r="N572" s="270" t="str">
        <f t="shared" si="441"/>
        <v>-6.69127612216035-10.8140382985469i</v>
      </c>
      <c r="O572" s="581" t="str">
        <f t="shared" si="442"/>
        <v>-4.20375328987425-4.46809756001397i</v>
      </c>
      <c r="P572" s="582" t="str">
        <f t="shared" si="443"/>
        <v>-0.162146399845263+0.048917160935167i</v>
      </c>
      <c r="Q572" s="583" t="str">
        <f t="shared" si="444"/>
        <v>-0.120108866946521+0.0935981365353071i</v>
      </c>
      <c r="R572" s="581" t="str">
        <f t="shared" si="465"/>
        <v>-0.504906889764683-0.485115239924938i</v>
      </c>
      <c r="S572" s="253" t="str">
        <f t="shared" si="466"/>
        <v>33.3511581406334-34.1924352054454i</v>
      </c>
      <c r="T572" s="253" t="str">
        <f t="shared" si="467"/>
        <v>0.412405448263309-20.3181482866019i</v>
      </c>
      <c r="U572" s="253" t="str">
        <f t="shared" si="468"/>
        <v>-0.501192319571956-0.0570000078286157i</v>
      </c>
      <c r="V572" s="582" t="str">
        <f t="shared" si="445"/>
        <v>6000</v>
      </c>
      <c r="W572" s="584" t="str">
        <f t="shared" si="446"/>
        <v>1+347906.407003828i</v>
      </c>
      <c r="X572" s="585">
        <f t="shared" si="447"/>
        <v>347906.40700526512</v>
      </c>
      <c r="Y572" s="586">
        <f t="shared" si="448"/>
        <v>1.5707934524586387</v>
      </c>
      <c r="Z572" s="273" t="str">
        <f t="shared" si="449"/>
        <v>1+52.1781343304246i</v>
      </c>
      <c r="AA572" s="585">
        <f t="shared" si="450"/>
        <v>52.187716008691488</v>
      </c>
      <c r="AB572" s="586">
        <f t="shared" si="451"/>
        <v>1.5516335566821893</v>
      </c>
      <c r="AC572" s="584" t="str">
        <f t="shared" si="452"/>
        <v>1+2.52257576895317i</v>
      </c>
      <c r="AD572" s="585">
        <f t="shared" si="453"/>
        <v>2.7135564320849634</v>
      </c>
      <c r="AE572" s="586">
        <f t="shared" si="454"/>
        <v>1.1933797853471795</v>
      </c>
      <c r="AF572" s="580" t="str">
        <f t="shared" si="469"/>
        <v>0.116300695982353-0.310620748629959i</v>
      </c>
      <c r="AG572" s="270">
        <f t="shared" si="470"/>
        <v>0.33167921455137317</v>
      </c>
      <c r="AH572" s="581">
        <f t="shared" si="471"/>
        <v>-1.21253968112363</v>
      </c>
      <c r="AI572" s="582" t="str">
        <f t="shared" si="455"/>
        <v>4000</v>
      </c>
      <c r="AJ572" s="584" t="str">
        <f t="shared" si="472"/>
        <v>1+27332.3602960185i</v>
      </c>
      <c r="AK572" s="585">
        <f t="shared" si="473"/>
        <v>27332.360314311838</v>
      </c>
      <c r="AL572" s="586">
        <f t="shared" si="474"/>
        <v>1.5707597401266131</v>
      </c>
      <c r="AM572" s="273" t="str">
        <f t="shared" si="475"/>
        <v>1+0.956599129391118i</v>
      </c>
      <c r="AN572" s="585">
        <f t="shared" si="476"/>
        <v>1.3838648396255484</v>
      </c>
      <c r="AO572" s="586">
        <f t="shared" si="477"/>
        <v>0.76322001057353961</v>
      </c>
      <c r="AP572" s="584" t="str">
        <f t="shared" si="478"/>
        <v>1+0.00692077481778609i</v>
      </c>
      <c r="AQ572" s="585">
        <f t="shared" si="479"/>
        <v>1.0000239482752793</v>
      </c>
      <c r="AR572" s="586">
        <f t="shared" si="480"/>
        <v>6.9206643258913634E-3</v>
      </c>
      <c r="AS572" s="580" t="str">
        <f t="shared" si="481"/>
        <v>0.138981000609755-0.147303407258033i</v>
      </c>
      <c r="AT572" s="270">
        <f t="shared" si="482"/>
        <v>0.20251916531606248</v>
      </c>
      <c r="AU572" s="581">
        <f t="shared" si="483"/>
        <v>-0.81446039387896652</v>
      </c>
      <c r="AV572" s="580" t="str">
        <f t="shared" si="484"/>
        <v>-0.0293561594993388-0.0288458530711027i</v>
      </c>
      <c r="AW572" s="270">
        <f t="shared" si="485"/>
        <v>-27.711206056839387</v>
      </c>
      <c r="AX572" s="581">
        <f t="shared" si="486"/>
        <v>-135.50234784166179</v>
      </c>
      <c r="AY572" s="299">
        <f t="shared" si="456"/>
        <v>44.497652158338212</v>
      </c>
      <c r="BB572" s="270">
        <f t="shared" si="489"/>
        <v>-53.870677424575675</v>
      </c>
      <c r="BC572" s="270">
        <f t="shared" si="490"/>
        <v>-46.665143149827443</v>
      </c>
      <c r="BD572" s="286"/>
      <c r="BE572" s="270">
        <f t="shared" si="487"/>
        <v>26.15947136773628</v>
      </c>
      <c r="BF572" s="581">
        <f t="shared" si="488"/>
        <v>-88.837204691834273</v>
      </c>
      <c r="BI572" s="286"/>
      <c r="BJ572" s="286"/>
      <c r="BL572" s="253">
        <f t="shared" si="457"/>
        <v>0</v>
      </c>
      <c r="BM572" s="253">
        <f t="shared" si="491"/>
        <v>0</v>
      </c>
      <c r="BN572" s="253">
        <f t="shared" si="458"/>
        <v>0</v>
      </c>
      <c r="BO572" s="253">
        <f t="shared" si="459"/>
        <v>0</v>
      </c>
    </row>
    <row r="573" spans="4:67" ht="13.6" thickBot="1" x14ac:dyDescent="0.25">
      <c r="D573" s="280">
        <v>100000</v>
      </c>
      <c r="E573" s="273" t="str">
        <f t="shared" si="438"/>
        <v>1.13097335529233i</v>
      </c>
      <c r="F573" s="579" t="str">
        <f t="shared" si="460"/>
        <v>0.002-0.0244853758602916i</v>
      </c>
      <c r="G573" s="270" t="str">
        <f t="shared" si="461"/>
        <v>0.002-0.0244853758602916i</v>
      </c>
      <c r="H573" s="271" t="str">
        <f t="shared" si="462"/>
        <v>0.00229682660926552-0.0244328237051795i</v>
      </c>
      <c r="I573" s="271" t="str">
        <f t="shared" si="463"/>
        <v>0.0122968266092655-0.0244328237051795i</v>
      </c>
      <c r="J573" s="270" t="str">
        <f t="shared" si="464"/>
        <v>0.00343340806292342-0.0127302325886307i</v>
      </c>
      <c r="K573" s="271" t="str">
        <f t="shared" si="439"/>
        <v>0.747481124214035-0.789344887836631i</v>
      </c>
      <c r="L573" s="580"/>
      <c r="M573" s="580" t="str">
        <f t="shared" si="440"/>
        <v>-0.0321452780260755-14.2525801276057i</v>
      </c>
      <c r="N573" s="270" t="str">
        <f t="shared" si="441"/>
        <v>-6.69077562518623-10.6894350957043i</v>
      </c>
      <c r="O573" s="581" t="str">
        <f t="shared" si="442"/>
        <v>-4.19712023981224-4.39735903788017i</v>
      </c>
      <c r="P573" s="582" t="str">
        <f t="shared" si="443"/>
        <v>-0.159051157988114+0.048473937261274i</v>
      </c>
      <c r="Q573" s="583" t="str">
        <f t="shared" si="444"/>
        <v>-0.117079955589992+0.0924475276400758i</v>
      </c>
      <c r="R573" s="581" t="str">
        <f t="shared" si="465"/>
        <v>-0.504803614702987-0.475875904559674i</v>
      </c>
      <c r="S573" s="253" t="str">
        <f t="shared" si="466"/>
        <v>32.9399326149664-34.4323927932331i</v>
      </c>
      <c r="T573" s="253" t="str">
        <f t="shared" si="467"/>
        <v>0.0691188582634685-20.3234942082893i</v>
      </c>
      <c r="U573" s="253" t="str">
        <f t="shared" si="468"/>
        <v>-0.496401597031509-0.0483683111695096i</v>
      </c>
      <c r="V573" s="582" t="str">
        <f t="shared" si="445"/>
        <v>6000</v>
      </c>
      <c r="W573" s="584" t="str">
        <f t="shared" si="446"/>
        <v>1+351911.155958638i</v>
      </c>
      <c r="X573" s="585">
        <f t="shared" si="447"/>
        <v>351911.15596005879</v>
      </c>
      <c r="Y573" s="586">
        <f t="shared" si="448"/>
        <v>1.5707934851685854</v>
      </c>
      <c r="Z573" s="273" t="str">
        <f t="shared" si="449"/>
        <v>1+52.7787565803086i</v>
      </c>
      <c r="AA573" s="585">
        <f t="shared" si="450"/>
        <v>52.788229238756145</v>
      </c>
      <c r="AB573" s="586">
        <f t="shared" si="451"/>
        <v>1.5518515765316889</v>
      </c>
      <c r="AC573" s="584" t="str">
        <f t="shared" si="452"/>
        <v>1+2.55161312633082i</v>
      </c>
      <c r="AD573" s="585">
        <f t="shared" si="453"/>
        <v>2.740571025619249</v>
      </c>
      <c r="AE573" s="586">
        <f t="shared" si="454"/>
        <v>1.1972844008440644</v>
      </c>
      <c r="AF573" s="580" t="str">
        <f t="shared" si="469"/>
        <v>0.114019177776913-0.307980031456358i</v>
      </c>
      <c r="AG573" s="270">
        <f t="shared" si="470"/>
        <v>0.3284083931277984</v>
      </c>
      <c r="AH573" s="581">
        <f t="shared" si="471"/>
        <v>-1.2162263094809618</v>
      </c>
      <c r="AI573" s="582" t="str">
        <f t="shared" si="455"/>
        <v>4000</v>
      </c>
      <c r="AJ573" s="584" t="str">
        <f t="shared" si="472"/>
        <v>1+27646.9829621275i</v>
      </c>
      <c r="AK573" s="585">
        <f t="shared" si="473"/>
        <v>27646.982980212651</v>
      </c>
      <c r="AL573" s="586">
        <f t="shared" si="474"/>
        <v>1.5707601564828979</v>
      </c>
      <c r="AM573" s="273" t="str">
        <f t="shared" si="475"/>
        <v>1+0.967610537305657i</v>
      </c>
      <c r="AN573" s="585">
        <f t="shared" si="476"/>
        <v>1.3914992461029012</v>
      </c>
      <c r="AO573" s="586">
        <f t="shared" si="477"/>
        <v>0.76893833205493467</v>
      </c>
      <c r="AP573" s="584" t="str">
        <f t="shared" si="478"/>
        <v>1+0.00700043982297151i</v>
      </c>
      <c r="AQ573" s="585">
        <f t="shared" si="479"/>
        <v>1.0000245027786645</v>
      </c>
      <c r="AR573" s="586">
        <f t="shared" si="480"/>
        <v>7.0003254714478356E-3</v>
      </c>
      <c r="AS573" s="580" t="str">
        <f t="shared" si="481"/>
        <v>0.138980725321548-0.145649110406475i</v>
      </c>
      <c r="AT573" s="270">
        <f t="shared" si="482"/>
        <v>0.20131891459349049</v>
      </c>
      <c r="AU573" s="581">
        <f t="shared" si="483"/>
        <v>-0.80882214989941037</v>
      </c>
      <c r="AV573" s="580" t="str">
        <f t="shared" si="484"/>
        <v>-0.0295049266273363-0.0283464106635471i</v>
      </c>
      <c r="AW573" s="270">
        <f t="shared" si="485"/>
        <v>-27.762290602092353</v>
      </c>
      <c r="AX573" s="581">
        <f t="shared" si="486"/>
        <v>-136.14723716440349</v>
      </c>
      <c r="AY573" s="299">
        <f t="shared" si="456"/>
        <v>43.852762835596508</v>
      </c>
      <c r="BB573" s="270">
        <f t="shared" si="489"/>
        <v>-53.922308395155063</v>
      </c>
      <c r="BC573" s="270">
        <f t="shared" si="490"/>
        <v>-46.342095565933839</v>
      </c>
      <c r="BD573" s="286"/>
      <c r="BE573" s="270">
        <f t="shared" si="487"/>
        <v>26.160017793062721</v>
      </c>
      <c r="BF573" s="581">
        <f t="shared" si="488"/>
        <v>-89.805141598469646</v>
      </c>
      <c r="BI573" s="286"/>
      <c r="BJ573" s="286"/>
      <c r="BL573" s="253">
        <f t="shared" si="457"/>
        <v>0</v>
      </c>
      <c r="BM573" s="253">
        <f t="shared" si="491"/>
        <v>0</v>
      </c>
      <c r="BN573" s="253">
        <f t="shared" si="458"/>
        <v>0</v>
      </c>
      <c r="BO573" s="253">
        <f t="shared" si="459"/>
        <v>0</v>
      </c>
    </row>
    <row r="574" spans="4:67" ht="13.6" thickBot="1" x14ac:dyDescent="0.25">
      <c r="D574" s="280">
        <v>101165</v>
      </c>
      <c r="E574" s="273" t="str">
        <f t="shared" si="438"/>
        <v>1.14414919488148i</v>
      </c>
      <c r="F574" s="579" t="str">
        <f t="shared" si="460"/>
        <v>0.002-0.0242034061783142i</v>
      </c>
      <c r="G574" s="270" t="str">
        <f t="shared" si="461"/>
        <v>0.002-0.0242034061783142i</v>
      </c>
      <c r="H574" s="271" t="str">
        <f t="shared" si="462"/>
        <v>0.00228998480465905-0.0241515419202093i</v>
      </c>
      <c r="I574" s="271" t="str">
        <f t="shared" si="463"/>
        <v>0.012289984804659-0.0241515419202093i</v>
      </c>
      <c r="J574" s="270" t="str">
        <f t="shared" si="464"/>
        <v>0.00342879101951818-0.0125936849243346i</v>
      </c>
      <c r="K574" s="271" t="str">
        <f t="shared" si="439"/>
        <v>0.741563161915103-0.798540755779928i</v>
      </c>
      <c r="L574" s="580"/>
      <c r="M574" s="580" t="str">
        <f t="shared" si="440"/>
        <v>-0.0314845374490973-14.0864429018951i</v>
      </c>
      <c r="N574" s="270" t="str">
        <f t="shared" si="441"/>
        <v>-6.69028006975349-10.5648321764213i</v>
      </c>
      <c r="O574" s="581" t="str">
        <f t="shared" si="442"/>
        <v>-4.19032533659149-4.32646104176199i</v>
      </c>
      <c r="P574" s="582" t="str">
        <f t="shared" si="443"/>
        <v>-0.155989739929554+0.0480306775648007i</v>
      </c>
      <c r="Q574" s="583" t="str">
        <f t="shared" si="444"/>
        <v>-0.114086486563639+0.0912952879824202i</v>
      </c>
      <c r="R574" s="581" t="str">
        <f t="shared" si="465"/>
        <v>-0.504701406072043-0.466593355119386i</v>
      </c>
      <c r="S574" s="253" t="str">
        <f t="shared" si="466"/>
        <v>32.5162203366405-34.671585818466i</v>
      </c>
      <c r="T574" s="253" t="str">
        <f t="shared" si="467"/>
        <v>-0.281492539051145-20.3222113547482i</v>
      </c>
      <c r="U574" s="253" t="str">
        <f t="shared" si="468"/>
        <v>-0.491457353082604-0.0397390763423224i</v>
      </c>
      <c r="V574" s="582" t="str">
        <f t="shared" si="445"/>
        <v>6000</v>
      </c>
      <c r="W574" s="584" t="str">
        <f t="shared" si="446"/>
        <v>1+356010.920925556i</v>
      </c>
      <c r="X574" s="585">
        <f t="shared" si="447"/>
        <v>356010.92092696042</v>
      </c>
      <c r="Y574" s="586">
        <f t="shared" si="448"/>
        <v>1.5707935178923007</v>
      </c>
      <c r="Z574" s="273" t="str">
        <f t="shared" si="449"/>
        <v>1+53.3936290944692i</v>
      </c>
      <c r="AA574" s="585">
        <f t="shared" si="450"/>
        <v>53.402992686531597</v>
      </c>
      <c r="AB574" s="586">
        <f t="shared" si="451"/>
        <v>1.552069689954845</v>
      </c>
      <c r="AC574" s="584" t="str">
        <f t="shared" si="452"/>
        <v>1+2.58133941925257i</v>
      </c>
      <c r="AD574" s="585">
        <f t="shared" si="453"/>
        <v>2.7682689893482522</v>
      </c>
      <c r="AE574" s="586">
        <f t="shared" si="454"/>
        <v>1.2012026542039915</v>
      </c>
      <c r="AF574" s="580" t="str">
        <f t="shared" si="469"/>
        <v>0.111748950385489-0.305312858632972i</v>
      </c>
      <c r="AG574" s="270">
        <f t="shared" si="470"/>
        <v>0.32512116135203445</v>
      </c>
      <c r="AH574" s="581">
        <f t="shared" si="471"/>
        <v>-1.2199264821414488</v>
      </c>
      <c r="AI574" s="582" t="str">
        <f t="shared" si="455"/>
        <v>4000</v>
      </c>
      <c r="AJ574" s="584" t="str">
        <f t="shared" si="472"/>
        <v>1+27969.0703136363i</v>
      </c>
      <c r="AK574" s="585">
        <f t="shared" si="473"/>
        <v>27969.070331513187</v>
      </c>
      <c r="AL574" s="586">
        <f t="shared" si="474"/>
        <v>1.5707605730144398</v>
      </c>
      <c r="AM574" s="273" t="str">
        <f t="shared" si="475"/>
        <v>1+0.978883200065268i</v>
      </c>
      <c r="AN574" s="585">
        <f t="shared" si="476"/>
        <v>1.3993613969843599</v>
      </c>
      <c r="AO574" s="586">
        <f t="shared" si="477"/>
        <v>0.77472749902810178</v>
      </c>
      <c r="AP574" s="584" t="str">
        <f t="shared" si="478"/>
        <v>1+0.00708199494690912i</v>
      </c>
      <c r="AQ574" s="585">
        <f t="shared" si="479"/>
        <v>1.0000250770117858</v>
      </c>
      <c r="AR574" s="586">
        <f t="shared" si="480"/>
        <v>7.0818765521402424E-3</v>
      </c>
      <c r="AS574" s="580" t="str">
        <f t="shared" si="481"/>
        <v>0.138980445886486-0.14399437516664i</v>
      </c>
      <c r="AT574" s="270">
        <f t="shared" si="482"/>
        <v>0.2001248220947055</v>
      </c>
      <c r="AU574" s="581">
        <f t="shared" si="483"/>
        <v>-0.80311495053848025</v>
      </c>
      <c r="AV574" s="580" t="str">
        <f t="shared" si="484"/>
        <v>-0.0296540608462241-0.0278385665320757i</v>
      </c>
      <c r="AW574" s="270">
        <f t="shared" si="485"/>
        <v>-27.813728375385729</v>
      </c>
      <c r="AX574" s="581">
        <f t="shared" si="486"/>
        <v>-136.80867725792376</v>
      </c>
      <c r="AY574" s="299">
        <f t="shared" si="456"/>
        <v>43.191322742076238</v>
      </c>
      <c r="BB574" s="270">
        <f t="shared" si="489"/>
        <v>-53.973980822959142</v>
      </c>
      <c r="BC574" s="270">
        <f t="shared" si="490"/>
        <v>-46.015097129712785</v>
      </c>
      <c r="BD574" s="286"/>
      <c r="BE574" s="270">
        <f t="shared" si="487"/>
        <v>26.160252447573416</v>
      </c>
      <c r="BF574" s="581">
        <f t="shared" si="488"/>
        <v>-90.793580128210948</v>
      </c>
      <c r="BI574" s="286"/>
      <c r="BJ574" s="286"/>
      <c r="BL574" s="253">
        <f t="shared" si="457"/>
        <v>0</v>
      </c>
      <c r="BM574" s="253">
        <f t="shared" si="491"/>
        <v>0</v>
      </c>
      <c r="BN574" s="253">
        <f t="shared" si="458"/>
        <v>0</v>
      </c>
      <c r="BO574" s="253">
        <f t="shared" si="459"/>
        <v>0</v>
      </c>
    </row>
    <row r="575" spans="4:67" ht="13.6" thickBot="1" x14ac:dyDescent="0.25">
      <c r="D575" s="280">
        <v>102330</v>
      </c>
      <c r="E575" s="273" t="str">
        <f t="shared" si="438"/>
        <v>1.15732503447064i</v>
      </c>
      <c r="F575" s="579" t="str">
        <f t="shared" si="460"/>
        <v>0.002-0.0239278567969233i</v>
      </c>
      <c r="G575" s="270" t="str">
        <f t="shared" si="461"/>
        <v>0.002-0.0239278567969233i</v>
      </c>
      <c r="H575" s="271" t="str">
        <f t="shared" si="462"/>
        <v>0.00228337529921926-0.0238766619963403i</v>
      </c>
      <c r="I575" s="271" t="str">
        <f t="shared" si="463"/>
        <v>0.0122833752992193-0.0238766619963403i</v>
      </c>
      <c r="J575" s="270" t="str">
        <f t="shared" si="464"/>
        <v>0.00342420902544612-0.0124603254271412i</v>
      </c>
      <c r="K575" s="271" t="str">
        <f t="shared" si="439"/>
        <v>0.735576654629934-0.807736623723225i</v>
      </c>
      <c r="L575" s="580"/>
      <c r="M575" s="580" t="str">
        <f t="shared" si="440"/>
        <v>-0.0308454920592946-13.9241556624557i</v>
      </c>
      <c r="N575" s="270" t="str">
        <f t="shared" si="441"/>
        <v>-6.68980078571114-10.4431167468418i</v>
      </c>
      <c r="O575" s="581" t="str">
        <f t="shared" si="442"/>
        <v>-4.18352463330614-4.2570484198879i</v>
      </c>
      <c r="P575" s="582" t="str">
        <f t="shared" si="443"/>
        <v>-0.153031909368146+0.0475976802143825i</v>
      </c>
      <c r="Q575" s="583" t="str">
        <f t="shared" si="444"/>
        <v>-0.111196663035084+0.0901681644132618i</v>
      </c>
      <c r="R575" s="581" t="str">
        <f t="shared" si="465"/>
        <v>-0.504602595374119-0.457482688338913i</v>
      </c>
      <c r="S575" s="253" t="str">
        <f t="shared" si="466"/>
        <v>32.0898666580999-34.9041899496146i</v>
      </c>
      <c r="T575" s="253" t="str">
        <f t="shared" si="467"/>
        <v>-0.631120718107619-20.3141252081749i</v>
      </c>
      <c r="U575" s="253" t="str">
        <f t="shared" si="468"/>
        <v>-0.48647458680548-0.0313157156604496i</v>
      </c>
      <c r="V575" s="582" t="str">
        <f t="shared" si="445"/>
        <v>6000</v>
      </c>
      <c r="W575" s="584" t="str">
        <f t="shared" si="446"/>
        <v>1+360110.685892474i</v>
      </c>
      <c r="X575" s="585">
        <f t="shared" si="447"/>
        <v>360110.68589386245</v>
      </c>
      <c r="Y575" s="586">
        <f t="shared" si="448"/>
        <v>1.5707935498709142</v>
      </c>
      <c r="Z575" s="273" t="str">
        <f t="shared" si="449"/>
        <v>1+54.0085016086297i</v>
      </c>
      <c r="AA575" s="585">
        <f t="shared" si="450"/>
        <v>54.017758617045168</v>
      </c>
      <c r="AB575" s="586">
        <f t="shared" si="451"/>
        <v>1.5522828387724239</v>
      </c>
      <c r="AC575" s="584" t="str">
        <f t="shared" si="452"/>
        <v>1+2.61106571217432i</v>
      </c>
      <c r="AD575" s="585">
        <f t="shared" si="453"/>
        <v>2.7960086110905289</v>
      </c>
      <c r="AE575" s="586">
        <f t="shared" si="454"/>
        <v>1.2050432183953403</v>
      </c>
      <c r="AF575" s="580" t="str">
        <f t="shared" si="469"/>
        <v>0.109542593339856-0.302681954530313i</v>
      </c>
      <c r="AG575" s="270">
        <f t="shared" si="470"/>
        <v>0.32189430773766647</v>
      </c>
      <c r="AH575" s="581">
        <f t="shared" si="471"/>
        <v>-1.22355392949383</v>
      </c>
      <c r="AI575" s="582" t="str">
        <f t="shared" si="455"/>
        <v>4000</v>
      </c>
      <c r="AJ575" s="584" t="str">
        <f t="shared" si="472"/>
        <v>1+28291.1576651451i</v>
      </c>
      <c r="AK575" s="585">
        <f t="shared" si="473"/>
        <v>28291.157682818462</v>
      </c>
      <c r="AL575" s="586">
        <f t="shared" si="474"/>
        <v>1.5707609800617788</v>
      </c>
      <c r="AM575" s="273" t="str">
        <f t="shared" si="475"/>
        <v>1+0.990155862824879i</v>
      </c>
      <c r="AN575" s="585">
        <f t="shared" si="476"/>
        <v>1.4072699217586087</v>
      </c>
      <c r="AO575" s="586">
        <f t="shared" si="477"/>
        <v>0.78045178855585717</v>
      </c>
      <c r="AP575" s="584" t="str">
        <f t="shared" si="478"/>
        <v>1+0.00716355007084674i</v>
      </c>
      <c r="AQ575" s="585">
        <f t="shared" si="479"/>
        <v>1.000025657895645</v>
      </c>
      <c r="AR575" s="586">
        <f t="shared" si="480"/>
        <v>7.1634275386340375E-3</v>
      </c>
      <c r="AS575" s="580" t="str">
        <f t="shared" si="481"/>
        <v>0.138980168672543-0.142377575381143i</v>
      </c>
      <c r="AT575" s="270">
        <f t="shared" si="482"/>
        <v>0.19896447234534503</v>
      </c>
      <c r="AU575" s="581">
        <f t="shared" si="483"/>
        <v>-0.79747261904455535</v>
      </c>
      <c r="AV575" s="580" t="str">
        <f t="shared" si="484"/>
        <v>-0.0297998915698423-0.0273340311025034i</v>
      </c>
      <c r="AW575" s="270">
        <f t="shared" si="485"/>
        <v>-27.864336913590147</v>
      </c>
      <c r="AX575" s="581">
        <f t="shared" si="486"/>
        <v>-137.47131239871104</v>
      </c>
      <c r="AY575" s="299">
        <f t="shared" si="456"/>
        <v>42.528687601288965</v>
      </c>
      <c r="BB575" s="270">
        <f t="shared" si="489"/>
        <v>-54.024489310183135</v>
      </c>
      <c r="BC575" s="270">
        <f t="shared" si="490"/>
        <v>-45.69181534849713</v>
      </c>
      <c r="BD575" s="286"/>
      <c r="BE575" s="270">
        <f t="shared" si="487"/>
        <v>26.160152396592991</v>
      </c>
      <c r="BF575" s="581">
        <f t="shared" si="488"/>
        <v>-91.779497050213948</v>
      </c>
      <c r="BI575" s="286"/>
      <c r="BJ575" s="286"/>
      <c r="BL575" s="253">
        <f t="shared" si="457"/>
        <v>0</v>
      </c>
      <c r="BM575" s="253">
        <f t="shared" si="491"/>
        <v>0</v>
      </c>
      <c r="BN575" s="253">
        <f t="shared" si="458"/>
        <v>0</v>
      </c>
      <c r="BO575" s="253">
        <f t="shared" si="459"/>
        <v>0</v>
      </c>
    </row>
    <row r="576" spans="4:67" ht="13.6" thickBot="1" x14ac:dyDescent="0.25">
      <c r="D576" s="280">
        <v>103520</v>
      </c>
      <c r="E576" s="273" t="str">
        <f t="shared" si="438"/>
        <v>1.17078361739862i</v>
      </c>
      <c r="F576" s="579" t="str">
        <f t="shared" si="460"/>
        <v>0.002-0.02365279739209i</v>
      </c>
      <c r="G576" s="270" t="str">
        <f t="shared" si="461"/>
        <v>0.002-0.02365279739209i</v>
      </c>
      <c r="H576" s="271" t="str">
        <f t="shared" si="462"/>
        <v>0.00227685298032588-0.0236022681528195i</v>
      </c>
      <c r="I576" s="271" t="str">
        <f t="shared" si="463"/>
        <v>0.0122768529803259-0.0236022681528195i</v>
      </c>
      <c r="J576" s="270" t="str">
        <f t="shared" si="464"/>
        <v>0.00341956249442352-0.0123272826928591i</v>
      </c>
      <c r="K576" s="271" t="str">
        <f t="shared" si="439"/>
        <v>0.729390914370849-0.817129827888481i</v>
      </c>
      <c r="L576" s="580"/>
      <c r="M576" s="580" t="str">
        <f t="shared" si="440"/>
        <v>-0.0302141508498625-13.7622223853689i</v>
      </c>
      <c r="N576" s="270" t="str">
        <f t="shared" si="441"/>
        <v>-6.68932727980407-10.3216667890267i</v>
      </c>
      <c r="O576" s="581" t="str">
        <f t="shared" si="442"/>
        <v>-4.17657078433689-4.18762853330834i</v>
      </c>
      <c r="P576" s="582" t="str">
        <f t="shared" si="443"/>
        <v>-0.15011267704877+0.0471656437715064i</v>
      </c>
      <c r="Q576" s="583" t="str">
        <f t="shared" si="444"/>
        <v>-0.108346969205401+0.0890419291045902i</v>
      </c>
      <c r="R576" s="581" t="str">
        <f t="shared" si="465"/>
        <v>-0.504505014054914-0.448347794855746i</v>
      </c>
      <c r="S576" s="253" t="str">
        <f t="shared" si="466"/>
        <v>31.6517654973547-35.1349278833845i</v>
      </c>
      <c r="T576" s="253" t="str">
        <f t="shared" si="467"/>
        <v>-0.987076302334002-20.2988791649247i</v>
      </c>
      <c r="U576" s="253" t="str">
        <f t="shared" si="468"/>
        <v>-0.481347016873011-0.0229203239489526i</v>
      </c>
      <c r="V576" s="582" t="str">
        <f t="shared" si="445"/>
        <v>6000</v>
      </c>
      <c r="W576" s="584" t="str">
        <f t="shared" si="446"/>
        <v>1+364298.428648382i</v>
      </c>
      <c r="X576" s="585">
        <f t="shared" si="447"/>
        <v>364298.42864975455</v>
      </c>
      <c r="Y576" s="586">
        <f t="shared" si="448"/>
        <v>1.5707935817926639</v>
      </c>
      <c r="Z576" s="273" t="str">
        <f t="shared" si="449"/>
        <v>1+54.6365688119354i</v>
      </c>
      <c r="AA576" s="585">
        <f t="shared" si="450"/>
        <v>54.645719425599587</v>
      </c>
      <c r="AB576" s="586">
        <f t="shared" si="451"/>
        <v>1.5524956102508729</v>
      </c>
      <c r="AC576" s="584" t="str">
        <f t="shared" si="452"/>
        <v>1+2.64142990837766i</v>
      </c>
      <c r="AD576" s="585">
        <f t="shared" si="453"/>
        <v>2.824385235918077</v>
      </c>
      <c r="AE576" s="586">
        <f t="shared" si="454"/>
        <v>1.208888254498016</v>
      </c>
      <c r="AF576" s="580" t="str">
        <f t="shared" si="469"/>
        <v>0.10735249978372-0.300031646932262i</v>
      </c>
      <c r="AG576" s="270">
        <f t="shared" si="470"/>
        <v>0.31865898444999019</v>
      </c>
      <c r="AH576" s="581">
        <f t="shared" si="471"/>
        <v>-1.227186226039805</v>
      </c>
      <c r="AI576" s="582" t="str">
        <f t="shared" si="455"/>
        <v>4000</v>
      </c>
      <c r="AJ576" s="584" t="str">
        <f t="shared" si="472"/>
        <v>1+28620.1567623944i</v>
      </c>
      <c r="AK576" s="585">
        <f t="shared" si="473"/>
        <v>28620.156779864607</v>
      </c>
      <c r="AL576" s="586">
        <f t="shared" si="474"/>
        <v>1.570761386385314</v>
      </c>
      <c r="AM576" s="273" t="str">
        <f t="shared" si="475"/>
        <v>1+1.00167042821882i</v>
      </c>
      <c r="AN576" s="585">
        <f t="shared" si="476"/>
        <v>1.4153952263477767</v>
      </c>
      <c r="AO576" s="586">
        <f t="shared" si="477"/>
        <v>0.78623268031267002</v>
      </c>
      <c r="AP576" s="584" t="str">
        <f t="shared" si="478"/>
        <v>1+0.0072468553047401i</v>
      </c>
      <c r="AQ576" s="585">
        <f t="shared" si="479"/>
        <v>1.0000262581111596</v>
      </c>
      <c r="AR576" s="586">
        <f t="shared" si="480"/>
        <v>7.2467284479170455E-3</v>
      </c>
      <c r="AS576" s="580" t="str">
        <f t="shared" si="481"/>
        <v>0.138979887613554-0.140763913865868i</v>
      </c>
      <c r="AT576" s="270">
        <f t="shared" si="482"/>
        <v>0.1978127614890243</v>
      </c>
      <c r="AU576" s="581">
        <f t="shared" si="483"/>
        <v>-0.7917754345205622</v>
      </c>
      <c r="AV576" s="580" t="str">
        <f t="shared" si="484"/>
        <v>-0.0299453343190951-0.0268219122142157i</v>
      </c>
      <c r="AW576" s="270">
        <f t="shared" si="485"/>
        <v>-27.915215521210275</v>
      </c>
      <c r="AX576" s="581">
        <f t="shared" si="486"/>
        <v>-138.14932731108928</v>
      </c>
      <c r="AY576" s="299">
        <f t="shared" si="456"/>
        <v>41.85067268891072</v>
      </c>
      <c r="BB576" s="270">
        <f t="shared" si="489"/>
        <v>-54.074913884151208</v>
      </c>
      <c r="BC576" s="270">
        <f t="shared" si="490"/>
        <v>-45.365390720165081</v>
      </c>
      <c r="BD576" s="286"/>
      <c r="BE576" s="270">
        <f t="shared" si="487"/>
        <v>26.159698362940919</v>
      </c>
      <c r="BF576" s="581">
        <f t="shared" si="488"/>
        <v>-92.783936590924213</v>
      </c>
      <c r="BI576" s="286"/>
      <c r="BJ576" s="286"/>
      <c r="BL576" s="253">
        <f t="shared" si="457"/>
        <v>0</v>
      </c>
      <c r="BM576" s="253">
        <f t="shared" si="491"/>
        <v>0</v>
      </c>
      <c r="BN576" s="253">
        <f t="shared" si="458"/>
        <v>0</v>
      </c>
      <c r="BO576" s="253">
        <f t="shared" si="459"/>
        <v>0</v>
      </c>
    </row>
    <row r="577" spans="4:67" ht="13.6" thickBot="1" x14ac:dyDescent="0.25">
      <c r="D577" s="280">
        <v>104710</v>
      </c>
      <c r="E577" s="273" t="str">
        <f t="shared" si="438"/>
        <v>1.18424220032659i</v>
      </c>
      <c r="F577" s="579" t="str">
        <f t="shared" si="460"/>
        <v>0.002-0.0233839899343822i</v>
      </c>
      <c r="G577" s="270" t="str">
        <f t="shared" si="461"/>
        <v>0.002-0.0233839899343822i</v>
      </c>
      <c r="H577" s="271" t="str">
        <f t="shared" si="462"/>
        <v>0.00227055172796114-0.0233341085464597i</v>
      </c>
      <c r="I577" s="271" t="str">
        <f t="shared" si="463"/>
        <v>0.0122705517279611-0.0233341085464597i</v>
      </c>
      <c r="J577" s="270" t="str">
        <f t="shared" si="464"/>
        <v>0.0034149478269901-0.0121973424446909i</v>
      </c>
      <c r="K577" s="271" t="str">
        <f t="shared" si="439"/>
        <v>0.723133655715765-0.826523032053737i</v>
      </c>
      <c r="L577" s="580"/>
      <c r="M577" s="580" t="str">
        <f t="shared" si="440"/>
        <v>-0.0296035100137513-13.604032126586i</v>
      </c>
      <c r="N577" s="270" t="str">
        <f t="shared" si="441"/>
        <v>-6.68886929917698-10.2030240949395i</v>
      </c>
      <c r="O577" s="581" t="str">
        <f t="shared" si="442"/>
        <v>-4.16960851524569-4.11965691222305i</v>
      </c>
      <c r="P577" s="582" t="str">
        <f t="shared" si="443"/>
        <v>-0.147291918535655+0.0467436344481i</v>
      </c>
      <c r="Q577" s="583" t="str">
        <f t="shared" si="444"/>
        <v>-0.105595833383198+0.0879402035703305i</v>
      </c>
      <c r="R577" s="581" t="str">
        <f t="shared" si="465"/>
        <v>-0.504410665948262-0.439380007821463i</v>
      </c>
      <c r="S577" s="253" t="str">
        <f t="shared" si="466"/>
        <v>31.2111718176346-35.3586822178911i</v>
      </c>
      <c r="T577" s="253" t="str">
        <f t="shared" si="467"/>
        <v>-1.34168190671259-20.2766152942498i</v>
      </c>
      <c r="U577" s="253" t="str">
        <f t="shared" si="468"/>
        <v>-0.47618310040249-0.0147321526475087i</v>
      </c>
      <c r="V577" s="582" t="str">
        <f t="shared" si="445"/>
        <v>6000</v>
      </c>
      <c r="W577" s="584" t="str">
        <f t="shared" si="446"/>
        <v>1+368486.17140429i</v>
      </c>
      <c r="X577" s="585">
        <f t="shared" si="447"/>
        <v>368486.17140564695</v>
      </c>
      <c r="Y577" s="586">
        <f t="shared" si="448"/>
        <v>1.5707936129888502</v>
      </c>
      <c r="Z577" s="273" t="str">
        <f t="shared" si="449"/>
        <v>1+55.264636015241i</v>
      </c>
      <c r="AA577" s="585">
        <f t="shared" si="450"/>
        <v>55.273682651846833</v>
      </c>
      <c r="AB577" s="586">
        <f t="shared" si="451"/>
        <v>1.5527035471533579</v>
      </c>
      <c r="AC577" s="584" t="str">
        <f t="shared" si="452"/>
        <v>1+2.67179410458099i</v>
      </c>
      <c r="AD577" s="585">
        <f t="shared" si="453"/>
        <v>2.852802786256655</v>
      </c>
      <c r="AE577" s="586">
        <f t="shared" si="454"/>
        <v>1.2126567424778247</v>
      </c>
      <c r="AF577" s="580" t="str">
        <f t="shared" si="469"/>
        <v>0.10522441658395-0.297418370106578i</v>
      </c>
      <c r="AG577" s="270">
        <f t="shared" si="470"/>
        <v>0.31548354112740346</v>
      </c>
      <c r="AH577" s="581">
        <f t="shared" si="471"/>
        <v>-1.230746808313316</v>
      </c>
      <c r="AI577" s="582" t="str">
        <f t="shared" si="455"/>
        <v>4000</v>
      </c>
      <c r="AJ577" s="584" t="str">
        <f t="shared" si="472"/>
        <v>1+28949.1558596437i</v>
      </c>
      <c r="AK577" s="585">
        <f t="shared" si="473"/>
        <v>28949.15587691536</v>
      </c>
      <c r="AL577" s="586">
        <f t="shared" si="474"/>
        <v>1.5707617834733418</v>
      </c>
      <c r="AM577" s="273" t="str">
        <f t="shared" si="475"/>
        <v>1+1.01318499361275i</v>
      </c>
      <c r="AN577" s="585">
        <f t="shared" si="476"/>
        <v>1.4235672907460568</v>
      </c>
      <c r="AO577" s="586">
        <f t="shared" si="477"/>
        <v>0.79194739019089289</v>
      </c>
      <c r="AP577" s="584" t="str">
        <f t="shared" si="478"/>
        <v>1+0.00733016053863346i</v>
      </c>
      <c r="AQ577" s="585">
        <f t="shared" si="479"/>
        <v>1.0000268652658897</v>
      </c>
      <c r="AR577" s="586">
        <f t="shared" si="480"/>
        <v>7.3300292566277157E-3</v>
      </c>
      <c r="AS577" s="580" t="str">
        <f t="shared" si="481"/>
        <v>0.13897960849868-0.139187193055772i</v>
      </c>
      <c r="AT577" s="270">
        <f t="shared" si="482"/>
        <v>0.1966936864497463</v>
      </c>
      <c r="AU577" s="581">
        <f t="shared" si="483"/>
        <v>-0.78614442253907557</v>
      </c>
      <c r="AV577" s="580" t="str">
        <f t="shared" si="484"/>
        <v>-0.0300871159360304-0.0263129111670414i</v>
      </c>
      <c r="AW577" s="270">
        <f t="shared" si="485"/>
        <v>-27.965309044202456</v>
      </c>
      <c r="AX577" s="581">
        <f t="shared" si="486"/>
        <v>-138.82843928619386</v>
      </c>
      <c r="AY577" s="299">
        <f t="shared" si="456"/>
        <v>41.171560713806144</v>
      </c>
      <c r="BB577" s="270">
        <f t="shared" si="489"/>
        <v>-54.124191600194031</v>
      </c>
      <c r="BC577" s="270">
        <f t="shared" si="490"/>
        <v>-45.042757499238292</v>
      </c>
      <c r="BD577" s="286"/>
      <c r="BE577" s="270">
        <f t="shared" si="487"/>
        <v>26.158882555991589</v>
      </c>
      <c r="BF577" s="581">
        <f t="shared" si="488"/>
        <v>-93.785681786955578</v>
      </c>
      <c r="BI577" s="286"/>
      <c r="BJ577" s="286"/>
      <c r="BL577" s="253">
        <f t="shared" si="457"/>
        <v>0</v>
      </c>
      <c r="BM577" s="253">
        <f t="shared" si="491"/>
        <v>0</v>
      </c>
      <c r="BN577" s="253">
        <f t="shared" si="458"/>
        <v>0</v>
      </c>
      <c r="BO577" s="253">
        <f t="shared" si="459"/>
        <v>0</v>
      </c>
    </row>
    <row r="578" spans="4:67" ht="13.6" thickBot="1" x14ac:dyDescent="0.25">
      <c r="D578" s="280">
        <v>105930</v>
      </c>
      <c r="E578" s="273" t="str">
        <f t="shared" si="438"/>
        <v>1.19804007526116i</v>
      </c>
      <c r="F578" s="579" t="str">
        <f t="shared" si="460"/>
        <v>0.002-0.0231146755973677i</v>
      </c>
      <c r="G578" s="270" t="str">
        <f t="shared" si="461"/>
        <v>0.002-0.0231146755973677i</v>
      </c>
      <c r="H578" s="271" t="str">
        <f t="shared" si="462"/>
        <v>0.00226431077946757-0.0230654407520561i</v>
      </c>
      <c r="I578" s="271" t="str">
        <f t="shared" si="463"/>
        <v>0.0122643107794676-0.0230654407520561i</v>
      </c>
      <c r="J578" s="270" t="str">
        <f t="shared" si="464"/>
        <v>0.00341024764811607-0.0120672366220614i</v>
      </c>
      <c r="K578" s="271" t="str">
        <f t="shared" si="439"/>
        <v>0.716644405444307-0.836153039685344i</v>
      </c>
      <c r="L578" s="580"/>
      <c r="M578" s="580" t="str">
        <f t="shared" si="440"/>
        <v>-0.0289980224927498-13.445604657988i</v>
      </c>
      <c r="N578" s="270" t="str">
        <f t="shared" si="441"/>
        <v>-6.68841518353623-10.084203493491i</v>
      </c>
      <c r="O578" s="581" t="str">
        <f t="shared" si="442"/>
        <v>-4.16246089332037-4.05142519719076i</v>
      </c>
      <c r="P578" s="582" t="str">
        <f t="shared" si="443"/>
        <v>-0.144497621850252+0.0463210573995184i</v>
      </c>
      <c r="Q578" s="583" t="str">
        <f t="shared" si="444"/>
        <v>-0.102873012917048+0.0868353093714259i</v>
      </c>
      <c r="R578" s="581" t="str">
        <f t="shared" si="465"/>
        <v>-0.504317144402713-0.430353594830443i</v>
      </c>
      <c r="S578" s="253" t="str">
        <f t="shared" si="466"/>
        <v>30.7570260219165-35.5807749558458i</v>
      </c>
      <c r="T578" s="253" t="str">
        <f t="shared" si="467"/>
        <v>-1.70365592539999-20.246554601311i</v>
      </c>
      <c r="U578" s="253" t="str">
        <f t="shared" si="468"/>
        <v>-0.470853312066195-0.00654891702162399i</v>
      </c>
      <c r="V578" s="582" t="str">
        <f t="shared" si="445"/>
        <v>6000</v>
      </c>
      <c r="W578" s="584" t="str">
        <f t="shared" si="446"/>
        <v>1+372779.487506985i</v>
      </c>
      <c r="X578" s="585">
        <f t="shared" si="447"/>
        <v>372779.4875083263</v>
      </c>
      <c r="Y578" s="586">
        <f t="shared" si="448"/>
        <v>1.5707936442438617</v>
      </c>
      <c r="Z578" s="273" t="str">
        <f t="shared" si="449"/>
        <v>1+55.9085368455209i</v>
      </c>
      <c r="AA578" s="585">
        <f t="shared" si="450"/>
        <v>55.917479308414535</v>
      </c>
      <c r="AB578" s="586">
        <f t="shared" si="451"/>
        <v>1.5529118777231976</v>
      </c>
      <c r="AC578" s="584" t="str">
        <f t="shared" si="452"/>
        <v>1+2.70292378472223i</v>
      </c>
      <c r="AD578" s="585">
        <f t="shared" si="453"/>
        <v>2.8819779641796615</v>
      </c>
      <c r="AE578" s="586">
        <f t="shared" si="454"/>
        <v>1.2164430273838034</v>
      </c>
      <c r="AF578" s="580" t="str">
        <f t="shared" si="469"/>
        <v>0.103104759671162-0.294777199508675i</v>
      </c>
      <c r="AG578" s="270">
        <f t="shared" si="470"/>
        <v>0.31228863062401946</v>
      </c>
      <c r="AH578" s="581">
        <f t="shared" si="471"/>
        <v>-1.2343247939044681</v>
      </c>
      <c r="AI578" s="582" t="str">
        <f t="shared" si="455"/>
        <v>4000</v>
      </c>
      <c r="AJ578" s="584" t="str">
        <f t="shared" si="472"/>
        <v>1+29286.4490517817i</v>
      </c>
      <c r="AK578" s="585">
        <f t="shared" si="473"/>
        <v>29286.449068854439</v>
      </c>
      <c r="AL578" s="586">
        <f t="shared" si="474"/>
        <v>1.570762181310142</v>
      </c>
      <c r="AM578" s="273" t="str">
        <f t="shared" si="475"/>
        <v>1+1.02498984216788i</v>
      </c>
      <c r="AN578" s="585">
        <f t="shared" si="476"/>
        <v>1.4319930783866714</v>
      </c>
      <c r="AO578" s="586">
        <f t="shared" si="477"/>
        <v>0.79773826168668582</v>
      </c>
      <c r="AP578" s="584" t="str">
        <f t="shared" si="478"/>
        <v>1+0.00741556590447372i</v>
      </c>
      <c r="AQ578" s="585">
        <f t="shared" si="479"/>
        <v>1.0000274949308563</v>
      </c>
      <c r="AR578" s="586">
        <f t="shared" si="480"/>
        <v>7.4154299801085771E-3</v>
      </c>
      <c r="AS578" s="580" t="str">
        <f t="shared" si="481"/>
        <v>0.138979324184434-0.137607769049174i</v>
      </c>
      <c r="AT578" s="270">
        <f t="shared" si="482"/>
        <v>0.19557901383699838</v>
      </c>
      <c r="AU578" s="581">
        <f t="shared" si="483"/>
        <v>-0.7804393496035642</v>
      </c>
      <c r="AV578" s="580" t="str">
        <f t="shared" si="484"/>
        <v>-0.0302285615877359-0.0257941618443175i</v>
      </c>
      <c r="AW578" s="270">
        <f t="shared" si="485"/>
        <v>-28.015890680872133</v>
      </c>
      <c r="AX578" s="581">
        <f t="shared" si="486"/>
        <v>-139.52573077023149</v>
      </c>
      <c r="AY578" s="299">
        <f t="shared" si="456"/>
        <v>40.47426922976851</v>
      </c>
      <c r="BB578" s="270">
        <f t="shared" si="489"/>
        <v>-54.173554960677791</v>
      </c>
      <c r="BC578" s="270">
        <f t="shared" si="490"/>
        <v>-44.71588089821919</v>
      </c>
      <c r="BD578" s="286"/>
      <c r="BE578" s="270">
        <f t="shared" si="487"/>
        <v>26.157664279805665</v>
      </c>
      <c r="BF578" s="581">
        <f t="shared" si="488"/>
        <v>-94.809849872012379</v>
      </c>
      <c r="BI578" s="286"/>
      <c r="BJ578" s="286"/>
      <c r="BL578" s="253">
        <f t="shared" si="457"/>
        <v>0</v>
      </c>
      <c r="BM578" s="253">
        <f t="shared" si="491"/>
        <v>0</v>
      </c>
      <c r="BN578" s="253">
        <f t="shared" si="458"/>
        <v>0</v>
      </c>
      <c r="BO578" s="253">
        <f t="shared" si="459"/>
        <v>0</v>
      </c>
    </row>
    <row r="579" spans="4:67" ht="13.6" thickBot="1" x14ac:dyDescent="0.25">
      <c r="D579" s="280">
        <v>107150</v>
      </c>
      <c r="E579" s="273" t="str">
        <f t="shared" si="438"/>
        <v>1.21183795019573i</v>
      </c>
      <c r="F579" s="579" t="str">
        <f t="shared" si="460"/>
        <v>0.002-0.0228514940366697i</v>
      </c>
      <c r="G579" s="270" t="str">
        <f t="shared" si="461"/>
        <v>0.002-0.0228514940366697i</v>
      </c>
      <c r="H579" s="271" t="str">
        <f t="shared" si="462"/>
        <v>0.00225828175458549-0.0228028885920536i</v>
      </c>
      <c r="I579" s="271" t="str">
        <f t="shared" si="463"/>
        <v>0.0122582817545855-0.0228028885920536i</v>
      </c>
      <c r="J579" s="270" t="str">
        <f t="shared" si="464"/>
        <v>0.00340557652523013-0.0119401719488275i</v>
      </c>
      <c r="K579" s="271" t="str">
        <f t="shared" si="439"/>
        <v>0.710079985353906-0.845783047316951i</v>
      </c>
      <c r="L579" s="580"/>
      <c r="M579" s="580" t="str">
        <f t="shared" si="440"/>
        <v>-0.0284124285072914-13.2908432346914i</v>
      </c>
      <c r="N579" s="270" t="str">
        <f t="shared" si="441"/>
        <v>-6.68797598804714-9.96813242601855i</v>
      </c>
      <c r="O579" s="581" t="str">
        <f t="shared" si="442"/>
        <v>-4.15530230172963-3.98461635440015i</v>
      </c>
      <c r="P579" s="582" t="str">
        <f t="shared" si="443"/>
        <v>-0.141797629201541+0.0459083454964783i</v>
      </c>
      <c r="Q579" s="583" t="str">
        <f t="shared" si="444"/>
        <v>-0.100244606184245+0.0857545090404798i</v>
      </c>
      <c r="R579" s="581" t="str">
        <f t="shared" si="465"/>
        <v>-0.504226721894453-0.421490851378688i</v>
      </c>
      <c r="S579" s="253" t="str">
        <f t="shared" si="466"/>
        <v>30.3005531629432-35.7954243316282i</v>
      </c>
      <c r="T579" s="253" t="str">
        <f t="shared" si="467"/>
        <v>-2.06386726662041-20.2092242188391i</v>
      </c>
      <c r="U579" s="253" t="str">
        <f t="shared" si="468"/>
        <v>-0.465489482186116+0.00142401302179904i</v>
      </c>
      <c r="V579" s="582" t="str">
        <f t="shared" si="445"/>
        <v>6000</v>
      </c>
      <c r="W579" s="584" t="str">
        <f t="shared" si="446"/>
        <v>1+377072.803609681i</v>
      </c>
      <c r="X579" s="585">
        <f t="shared" si="447"/>
        <v>377072.803611007</v>
      </c>
      <c r="Y579" s="586">
        <f t="shared" si="448"/>
        <v>1.57079367478714</v>
      </c>
      <c r="Z579" s="273" t="str">
        <f t="shared" si="449"/>
        <v>1+56.5524376758006i</v>
      </c>
      <c r="AA579" s="585">
        <f t="shared" si="450"/>
        <v>56.561278336643973</v>
      </c>
      <c r="AB579" s="586">
        <f t="shared" si="451"/>
        <v>1.5531154657279049</v>
      </c>
      <c r="AC579" s="584" t="str">
        <f t="shared" si="452"/>
        <v>1+2.73405346486347i</v>
      </c>
      <c r="AD579" s="585">
        <f t="shared" si="453"/>
        <v>2.9111936295499041</v>
      </c>
      <c r="AE579" s="586">
        <f t="shared" si="454"/>
        <v>1.220153369078282</v>
      </c>
      <c r="AF579" s="580" t="str">
        <f t="shared" si="469"/>
        <v>0.101045700968941-0.292174008934552i</v>
      </c>
      <c r="AG579" s="270">
        <f t="shared" si="470"/>
        <v>0.3091534977663884</v>
      </c>
      <c r="AH579" s="581">
        <f t="shared" si="471"/>
        <v>-1.237831578137518</v>
      </c>
      <c r="AI579" s="582" t="str">
        <f t="shared" si="455"/>
        <v>4000</v>
      </c>
      <c r="AJ579" s="584" t="str">
        <f t="shared" si="472"/>
        <v>1+29623.7422439196i</v>
      </c>
      <c r="AK579" s="585">
        <f t="shared" si="473"/>
        <v>29623.742260797953</v>
      </c>
      <c r="AL579" s="586">
        <f t="shared" si="474"/>
        <v>1.5707625700874763</v>
      </c>
      <c r="AM579" s="273" t="str">
        <f t="shared" si="475"/>
        <v>1+1.03679469072301i</v>
      </c>
      <c r="AN579" s="585">
        <f t="shared" si="476"/>
        <v>1.4404663240462867</v>
      </c>
      <c r="AO579" s="586">
        <f t="shared" si="477"/>
        <v>0.80346119601287069</v>
      </c>
      <c r="AP579" s="584" t="str">
        <f t="shared" si="478"/>
        <v>1+0.00750097127031397i</v>
      </c>
      <c r="AQ579" s="585">
        <f t="shared" si="479"/>
        <v>1.0000281318892974</v>
      </c>
      <c r="AR579" s="586">
        <f t="shared" si="480"/>
        <v>7.5008305954219166E-3</v>
      </c>
      <c r="AS579" s="580" t="str">
        <f t="shared" si="481"/>
        <v>0.138979041555641-0.136064581602576i</v>
      </c>
      <c r="AT579" s="270">
        <f t="shared" si="482"/>
        <v>0.19449612941755079</v>
      </c>
      <c r="AU579" s="581">
        <f t="shared" si="483"/>
        <v>-0.77480220467002769</v>
      </c>
      <c r="AV579" s="580" t="str">
        <f t="shared" si="484"/>
        <v>-0.0303659393246195-0.0252783937640135i</v>
      </c>
      <c r="AW579" s="270">
        <f t="shared" si="485"/>
        <v>-28.065727642315874</v>
      </c>
      <c r="AX579" s="581">
        <f t="shared" si="486"/>
        <v>-140.22401262080717</v>
      </c>
      <c r="AY579" s="299">
        <f t="shared" si="456"/>
        <v>39.775987379192827</v>
      </c>
      <c r="BB579" s="270">
        <f t="shared" si="489"/>
        <v>-54.221780739138268</v>
      </c>
      <c r="BC579" s="270">
        <f t="shared" si="490"/>
        <v>-44.39289628502398</v>
      </c>
      <c r="BD579" s="286"/>
      <c r="BE579" s="270">
        <f t="shared" si="487"/>
        <v>26.156053096822397</v>
      </c>
      <c r="BF579" s="581">
        <f t="shared" si="488"/>
        <v>-95.831116335783236</v>
      </c>
      <c r="BI579" s="286"/>
      <c r="BJ579" s="286"/>
      <c r="BL579" s="253">
        <f t="shared" si="457"/>
        <v>0</v>
      </c>
      <c r="BM579" s="253">
        <f t="shared" si="491"/>
        <v>0</v>
      </c>
      <c r="BN579" s="253">
        <f t="shared" si="458"/>
        <v>0</v>
      </c>
      <c r="BO579" s="253">
        <f t="shared" si="459"/>
        <v>0</v>
      </c>
    </row>
    <row r="580" spans="4:67" ht="13.6" thickBot="1" x14ac:dyDescent="0.25">
      <c r="D580" s="280">
        <v>108400</v>
      </c>
      <c r="E580" s="273" t="str">
        <f t="shared" si="438"/>
        <v>1.22597511713688i</v>
      </c>
      <c r="F580" s="579" t="str">
        <f t="shared" si="460"/>
        <v>0.002-0.0225879851109701i</v>
      </c>
      <c r="G580" s="270" t="str">
        <f t="shared" si="461"/>
        <v>0.002-0.0225879851109701i</v>
      </c>
      <c r="H580" s="271" t="str">
        <f t="shared" si="462"/>
        <v>0.00225231436233823-0.0225400074818474i</v>
      </c>
      <c r="I580" s="271" t="str">
        <f t="shared" si="463"/>
        <v>0.0122523143623382-0.0225400074818474i</v>
      </c>
      <c r="J580" s="270" t="str">
        <f t="shared" si="464"/>
        <v>0.00340081855374467-0.0118130284367786i</v>
      </c>
      <c r="K580" s="271" t="str">
        <f t="shared" si="439"/>
        <v>0.703276179894447-0.855649858414908i</v>
      </c>
      <c r="L580" s="580"/>
      <c r="M580" s="580" t="str">
        <f t="shared" si="440"/>
        <v>-0.0278321605811997-13.1359464156672i</v>
      </c>
      <c r="N580" s="270" t="str">
        <f t="shared" si="441"/>
        <v>-6.68754078710257-9.8519598117504i</v>
      </c>
      <c r="O580" s="581" t="str">
        <f t="shared" si="442"/>
        <v>-4.14795533345163-3.91759149000453i</v>
      </c>
      <c r="P580" s="582" t="str">
        <f t="shared" si="443"/>
        <v>-0.13912459420191+0.0454953817716118i</v>
      </c>
      <c r="Q580" s="583" t="str">
        <f t="shared" si="444"/>
        <v>-0.0976450408673944+0.0846712966716573i</v>
      </c>
      <c r="R580" s="581" t="str">
        <f t="shared" si="465"/>
        <v>-0.504137144895832-0.41257402704435i</v>
      </c>
      <c r="S580" s="253" t="str">
        <f t="shared" si="466"/>
        <v>29.8306003369028-36.0075831276125i</v>
      </c>
      <c r="T580" s="253" t="str">
        <f t="shared" si="467"/>
        <v>-2.43092851279307-20.1635001099509i</v>
      </c>
      <c r="U580" s="253" t="str">
        <f t="shared" si="468"/>
        <v>-0.459960658541707+0.00937860597354077i</v>
      </c>
      <c r="V580" s="582" t="str">
        <f t="shared" si="445"/>
        <v>6000</v>
      </c>
      <c r="W580" s="584" t="str">
        <f t="shared" si="446"/>
        <v>1+381471.693059163i</v>
      </c>
      <c r="X580" s="585">
        <f t="shared" si="447"/>
        <v>381471.69306047371</v>
      </c>
      <c r="Y580" s="586">
        <f t="shared" si="448"/>
        <v>1.5707937053684102</v>
      </c>
      <c r="Z580" s="273" t="str">
        <f t="shared" si="449"/>
        <v>1+57.2121721330545i</v>
      </c>
      <c r="AA580" s="585">
        <f t="shared" si="450"/>
        <v>57.2209108646678</v>
      </c>
      <c r="AB580" s="586">
        <f t="shared" si="451"/>
        <v>1.5533193084392385</v>
      </c>
      <c r="AC580" s="584" t="str">
        <f t="shared" si="452"/>
        <v>1+2.7659486289426i</v>
      </c>
      <c r="AD580" s="585">
        <f t="shared" si="453"/>
        <v>2.941168444334572</v>
      </c>
      <c r="AE580" s="586">
        <f t="shared" si="454"/>
        <v>1.2238784426529692</v>
      </c>
      <c r="AF580" s="580" t="str">
        <f t="shared" si="469"/>
        <v>0.0989965886483658-0.28954567863028i</v>
      </c>
      <c r="AG580" s="270">
        <f t="shared" si="470"/>
        <v>0.30600167414163465</v>
      </c>
      <c r="AH580" s="581">
        <f t="shared" si="471"/>
        <v>-1.2413528395821403</v>
      </c>
      <c r="AI580" s="582" t="str">
        <f t="shared" si="455"/>
        <v>4000</v>
      </c>
      <c r="AJ580" s="584" t="str">
        <f t="shared" si="472"/>
        <v>1+29969.3295309462i</v>
      </c>
      <c r="AK580" s="585">
        <f t="shared" si="473"/>
        <v>29969.329547629921</v>
      </c>
      <c r="AL580" s="586">
        <f t="shared" si="474"/>
        <v>1.5707629593484012</v>
      </c>
      <c r="AM580" s="273" t="str">
        <f t="shared" si="475"/>
        <v>1+1.04888982243933i</v>
      </c>
      <c r="AN580" s="585">
        <f t="shared" si="476"/>
        <v>1.4491962805696159</v>
      </c>
      <c r="AO580" s="586">
        <f t="shared" si="477"/>
        <v>0.80925525232611351</v>
      </c>
      <c r="AP580" s="584" t="str">
        <f t="shared" si="478"/>
        <v>1+0.00758847676810111i</v>
      </c>
      <c r="AQ580" s="585">
        <f t="shared" si="479"/>
        <v>1.0000287920753381</v>
      </c>
      <c r="AR580" s="586">
        <f t="shared" si="480"/>
        <v>7.5883311123735118E-3</v>
      </c>
      <c r="AS580" s="580" t="str">
        <f t="shared" si="481"/>
        <v>0.138978753551347-0.134519751646372i</v>
      </c>
      <c r="AT580" s="270">
        <f t="shared" si="482"/>
        <v>0.19341834846179318</v>
      </c>
      <c r="AU580" s="581">
        <f t="shared" si="483"/>
        <v>-0.7690960381346581</v>
      </c>
      <c r="AV580" s="580" t="str">
        <f t="shared" si="484"/>
        <v>-0.030502364417926-0.0247529021270242i</v>
      </c>
      <c r="AW580" s="270">
        <f t="shared" si="485"/>
        <v>-28.116058165008621</v>
      </c>
      <c r="AX580" s="581">
        <f t="shared" si="486"/>
        <v>-140.94040594681678</v>
      </c>
      <c r="AY580" s="299">
        <f t="shared" si="456"/>
        <v>39.059594053183218</v>
      </c>
      <c r="BB580" s="270">
        <f t="shared" si="489"/>
        <v>-54.27004658668109</v>
      </c>
      <c r="BC580" s="270">
        <f t="shared" si="490"/>
        <v>-44.065957025348524</v>
      </c>
      <c r="BD580" s="286"/>
      <c r="BE580" s="270">
        <f t="shared" si="487"/>
        <v>26.153988421672455</v>
      </c>
      <c r="BF580" s="581">
        <f t="shared" si="488"/>
        <v>-96.874448921468314</v>
      </c>
      <c r="BI580" s="286"/>
      <c r="BJ580" s="286"/>
      <c r="BL580" s="253">
        <f t="shared" si="457"/>
        <v>0</v>
      </c>
      <c r="BM580" s="253">
        <f t="shared" si="491"/>
        <v>0</v>
      </c>
      <c r="BN580" s="253">
        <f t="shared" si="458"/>
        <v>0</v>
      </c>
      <c r="BO580" s="253">
        <f t="shared" si="459"/>
        <v>0</v>
      </c>
    </row>
    <row r="581" spans="4:67" ht="13.6" thickBot="1" x14ac:dyDescent="0.25">
      <c r="D581" s="280">
        <v>109650</v>
      </c>
      <c r="E581" s="273" t="str">
        <f t="shared" si="438"/>
        <v>1.24011228407803i</v>
      </c>
      <c r="F581" s="579" t="str">
        <f t="shared" si="460"/>
        <v>0.002-0.0223304841407128i</v>
      </c>
      <c r="G581" s="270" t="str">
        <f t="shared" si="461"/>
        <v>0.002-0.0223304841407128i</v>
      </c>
      <c r="H581" s="271" t="str">
        <f t="shared" si="462"/>
        <v>0.00224654985390733-0.0222831177500208i</v>
      </c>
      <c r="I581" s="271" t="str">
        <f t="shared" si="463"/>
        <v>0.0122465498539073-0.0222831177500208i</v>
      </c>
      <c r="J581" s="270" t="str">
        <f t="shared" si="464"/>
        <v>0.00339608691551839-0.0116888618552251i</v>
      </c>
      <c r="K581" s="271" t="str">
        <f t="shared" si="439"/>
        <v>0.696393462286306-0.865516669512866i</v>
      </c>
      <c r="L581" s="580"/>
      <c r="M581" s="580" t="str">
        <f t="shared" si="440"/>
        <v>-0.0272709824115674-12.9846357622067i</v>
      </c>
      <c r="N581" s="270" t="str">
        <f t="shared" si="441"/>
        <v>-6.68711990347535-9.73847682165503i</v>
      </c>
      <c r="O581" s="581" t="str">
        <f t="shared" si="442"/>
        <v>-4.1405949786167-3.85196312238601i</v>
      </c>
      <c r="P581" s="582" t="str">
        <f t="shared" si="443"/>
        <v>-0.136541750655333+0.0450921070499478i</v>
      </c>
      <c r="Q581" s="583" t="str">
        <f t="shared" si="444"/>
        <v>-0.095135800869166+0.0836117382738081i</v>
      </c>
      <c r="R581" s="581" t="str">
        <f t="shared" si="465"/>
        <v>-0.504050534254635-0.403817305737286i</v>
      </c>
      <c r="S581" s="253" t="str">
        <f t="shared" si="466"/>
        <v>29.3585286637446-36.2118333445575i</v>
      </c>
      <c r="T581" s="253" t="str">
        <f t="shared" si="467"/>
        <v>-2.79577641863862-20.1102804386298i</v>
      </c>
      <c r="U581" s="253" t="str">
        <f t="shared" si="468"/>
        <v>-0.454400598104778+0.0171198675578177i</v>
      </c>
      <c r="V581" s="582" t="str">
        <f t="shared" si="445"/>
        <v>6000</v>
      </c>
      <c r="W581" s="584" t="str">
        <f t="shared" si="446"/>
        <v>1+385870.582508647i</v>
      </c>
      <c r="X581" s="585">
        <f t="shared" si="447"/>
        <v>385870.58250994282</v>
      </c>
      <c r="Y581" s="586">
        <f t="shared" si="448"/>
        <v>1.570793735252433</v>
      </c>
      <c r="Z581" s="273" t="str">
        <f t="shared" si="449"/>
        <v>1+57.8719065903083i</v>
      </c>
      <c r="AA581" s="585">
        <f t="shared" si="450"/>
        <v>57.880545716133057</v>
      </c>
      <c r="AB581" s="586">
        <f t="shared" si="451"/>
        <v>1.5535185049773221</v>
      </c>
      <c r="AC581" s="584" t="str">
        <f t="shared" si="452"/>
        <v>1+2.79784379302174i</v>
      </c>
      <c r="AD581" s="585">
        <f t="shared" si="453"/>
        <v>2.9711832474874851</v>
      </c>
      <c r="AE581" s="586">
        <f t="shared" si="454"/>
        <v>1.2275283048642209</v>
      </c>
      <c r="AF581" s="580" t="str">
        <f t="shared" si="469"/>
        <v>0.0970065700450032-0.286956152625433i</v>
      </c>
      <c r="AG581" s="270">
        <f t="shared" si="470"/>
        <v>0.30290940586499937</v>
      </c>
      <c r="AH581" s="581">
        <f t="shared" si="471"/>
        <v>-1.2448035351393323</v>
      </c>
      <c r="AI581" s="582" t="str">
        <f t="shared" si="455"/>
        <v>4000</v>
      </c>
      <c r="AJ581" s="584" t="str">
        <f t="shared" si="472"/>
        <v>1+30314.9168179728i</v>
      </c>
      <c r="AK581" s="585">
        <f t="shared" si="473"/>
        <v>30314.916834466327</v>
      </c>
      <c r="AL581" s="586">
        <f t="shared" si="474"/>
        <v>1.5707633397342478</v>
      </c>
      <c r="AM581" s="273" t="str">
        <f t="shared" si="475"/>
        <v>1+1.06098495415565i</v>
      </c>
      <c r="AN581" s="585">
        <f t="shared" si="476"/>
        <v>1.4579743046242848</v>
      </c>
      <c r="AO581" s="586">
        <f t="shared" si="477"/>
        <v>0.81497973036222038</v>
      </c>
      <c r="AP581" s="584" t="str">
        <f t="shared" si="478"/>
        <v>1+0.00767598226588826i</v>
      </c>
      <c r="AQ581" s="585">
        <f t="shared" si="479"/>
        <v>1.0000294599179298</v>
      </c>
      <c r="AR581" s="586">
        <f t="shared" si="480"/>
        <v>7.6758315131253496E-3</v>
      </c>
      <c r="AS581" s="580" t="str">
        <f t="shared" si="481"/>
        <v>0.13897846697321-0.133010420720383i</v>
      </c>
      <c r="AT581" s="270">
        <f t="shared" si="482"/>
        <v>0.19237147996113382</v>
      </c>
      <c r="AU581" s="581">
        <f t="shared" si="483"/>
        <v>-0.76345944088515116</v>
      </c>
      <c r="AV581" s="580" t="str">
        <f t="shared" si="484"/>
        <v>-0.0306342958260928-0.0242302854807885i</v>
      </c>
      <c r="AW581" s="270">
        <f t="shared" si="485"/>
        <v>-28.165687668120967</v>
      </c>
      <c r="AX581" s="581">
        <f t="shared" si="486"/>
        <v>-141.65766273582628</v>
      </c>
      <c r="AY581" s="299">
        <f t="shared" si="456"/>
        <v>38.342337264173722</v>
      </c>
      <c r="BB581" s="270">
        <f t="shared" si="489"/>
        <v>-54.317186277316331</v>
      </c>
      <c r="BC581" s="270">
        <f t="shared" si="490"/>
        <v>-43.743003792136726</v>
      </c>
      <c r="BD581" s="286"/>
      <c r="BE581" s="270">
        <f t="shared" si="487"/>
        <v>26.151498609195379</v>
      </c>
      <c r="BF581" s="581">
        <f t="shared" si="488"/>
        <v>-97.914658943689531</v>
      </c>
      <c r="BI581" s="286"/>
      <c r="BJ581" s="286"/>
      <c r="BL581" s="253">
        <f t="shared" si="457"/>
        <v>0</v>
      </c>
      <c r="BM581" s="253">
        <f t="shared" si="491"/>
        <v>0</v>
      </c>
      <c r="BN581" s="253">
        <f t="shared" si="458"/>
        <v>0</v>
      </c>
      <c r="BO581" s="253">
        <f t="shared" si="459"/>
        <v>0</v>
      </c>
    </row>
    <row r="582" spans="4:67" ht="13.6" thickBot="1" x14ac:dyDescent="0.25">
      <c r="D582" s="280">
        <v>110925</v>
      </c>
      <c r="E582" s="273" t="str">
        <f t="shared" si="438"/>
        <v>1.25453219435801i</v>
      </c>
      <c r="F582" s="579" t="str">
        <f t="shared" si="460"/>
        <v>0.002-0.0220738119092104i</v>
      </c>
      <c r="G582" s="270" t="str">
        <f t="shared" si="461"/>
        <v>0.002-0.0220738119092104i</v>
      </c>
      <c r="H582" s="271" t="str">
        <f t="shared" si="462"/>
        <v>0.00224086963824554-0.0220270525891674i</v>
      </c>
      <c r="I582" s="271" t="str">
        <f t="shared" si="463"/>
        <v>0.0122408696382455-0.0220270525891674i</v>
      </c>
      <c r="J582" s="270" t="str">
        <f t="shared" si="464"/>
        <v>0.00339128579967478-0.0115651731836014i</v>
      </c>
      <c r="K582" s="271" t="str">
        <f t="shared" si="439"/>
        <v>0.689291795030428-0.875580816832783i</v>
      </c>
      <c r="L582" s="580"/>
      <c r="M582" s="580" t="str">
        <f t="shared" si="440"/>
        <v>-0.0267173810422725-12.8338651018507i</v>
      </c>
      <c r="N582" s="270" t="str">
        <f t="shared" si="441"/>
        <v>-6.68670470244837-9.62539882638803i</v>
      </c>
      <c r="O582" s="581" t="str">
        <f t="shared" si="442"/>
        <v>-4.13307279007677-3.78641334450484i</v>
      </c>
      <c r="P582" s="582" t="str">
        <f t="shared" si="443"/>
        <v>-0.133995931092443+0.0446904195552813i</v>
      </c>
      <c r="Q582" s="583" t="str">
        <f t="shared" si="444"/>
        <v>-0.0926652031916751+0.0825545530003292i</v>
      </c>
      <c r="R582" s="581" t="str">
        <f t="shared" si="465"/>
        <v>-0.503965109238059-0.395044661856683i</v>
      </c>
      <c r="S582" s="253" t="str">
        <f t="shared" si="466"/>
        <v>28.875006042546-36.4119783765677i</v>
      </c>
      <c r="T582" s="253" t="str">
        <f t="shared" si="467"/>
        <v>-3.16545397774064-20.0483543508337i</v>
      </c>
      <c r="U582" s="253" t="str">
        <f t="shared" si="468"/>
        <v>-0.448699525322061+0.0247998726747112i</v>
      </c>
      <c r="V582" s="582" t="str">
        <f t="shared" si="445"/>
        <v>6000</v>
      </c>
      <c r="W582" s="584" t="str">
        <f t="shared" si="446"/>
        <v>1+390357.449747119i</v>
      </c>
      <c r="X582" s="585">
        <f t="shared" si="447"/>
        <v>390357.4497483999</v>
      </c>
      <c r="Y582" s="586">
        <f t="shared" si="448"/>
        <v>1.5707937650402775</v>
      </c>
      <c r="Z582" s="273" t="str">
        <f t="shared" si="449"/>
        <v>1+58.5448357367073i</v>
      </c>
      <c r="AA582" s="585">
        <f t="shared" si="450"/>
        <v>58.553375576802061</v>
      </c>
      <c r="AB582" s="586">
        <f t="shared" si="451"/>
        <v>1.5537170617877913</v>
      </c>
      <c r="AC582" s="584" t="str">
        <f t="shared" si="452"/>
        <v>1+2.83037686038246i</v>
      </c>
      <c r="AD582" s="585">
        <f t="shared" si="453"/>
        <v>3.0018382987410352</v>
      </c>
      <c r="AE582" s="586">
        <f t="shared" si="454"/>
        <v>1.2311759219686578</v>
      </c>
      <c r="AF582" s="580" t="str">
        <f t="shared" si="469"/>
        <v>0.0950354062618968-0.284354237282003i</v>
      </c>
      <c r="AG582" s="270">
        <f t="shared" si="470"/>
        <v>0.29981504415821669</v>
      </c>
      <c r="AH582" s="581">
        <f t="shared" si="471"/>
        <v>-1.2482526252211437</v>
      </c>
      <c r="AI582" s="582" t="str">
        <f t="shared" si="455"/>
        <v>4000</v>
      </c>
      <c r="AJ582" s="584" t="str">
        <f t="shared" si="472"/>
        <v>1+30667.4158507399i</v>
      </c>
      <c r="AK582" s="585">
        <f t="shared" si="473"/>
        <v>30667.415867043845</v>
      </c>
      <c r="AL582" s="586">
        <f t="shared" si="474"/>
        <v>1.5707637188958643</v>
      </c>
      <c r="AM582" s="273" t="str">
        <f t="shared" si="475"/>
        <v>1+1.0733219885063i</v>
      </c>
      <c r="AN582" s="585">
        <f t="shared" si="476"/>
        <v>1.4669765134490456</v>
      </c>
      <c r="AO582" s="586">
        <f t="shared" si="477"/>
        <v>0.82074792825409915</v>
      </c>
      <c r="AP582" s="584" t="str">
        <f t="shared" si="478"/>
        <v>1+0.00776523787363115i</v>
      </c>
      <c r="AQ582" s="585">
        <f t="shared" si="479"/>
        <v>1.0000301490051358</v>
      </c>
      <c r="AR582" s="586">
        <f t="shared" si="480"/>
        <v>7.7650818007939338E-3</v>
      </c>
      <c r="AS582" s="580" t="str">
        <f t="shared" si="481"/>
        <v>0.138978175967575-0.13150622968669i</v>
      </c>
      <c r="AT582" s="270">
        <f t="shared" si="482"/>
        <v>0.19133431956050828</v>
      </c>
      <c r="AU582" s="581">
        <f t="shared" si="483"/>
        <v>-0.75778087244255832</v>
      </c>
      <c r="AV582" s="580" t="str">
        <f t="shared" si="484"/>
        <v>-0.0307641251203659-0.0237000680097106i</v>
      </c>
      <c r="AW582" s="270">
        <f t="shared" si="485"/>
        <v>-28.215627707267323</v>
      </c>
      <c r="AX582" s="581">
        <f t="shared" si="486"/>
        <v>-142.39006144337174</v>
      </c>
      <c r="AY582" s="299">
        <f t="shared" si="456"/>
        <v>37.609938556628265</v>
      </c>
      <c r="BB582" s="270">
        <f t="shared" si="489"/>
        <v>-54.364142475153344</v>
      </c>
      <c r="BC582" s="270">
        <f t="shared" si="490"/>
        <v>-43.417645786699978</v>
      </c>
      <c r="BD582" s="286"/>
      <c r="BE582" s="270">
        <f t="shared" si="487"/>
        <v>26.148514767886013</v>
      </c>
      <c r="BF582" s="581">
        <f t="shared" si="488"/>
        <v>-98.972415656671743</v>
      </c>
      <c r="BI582" s="286"/>
      <c r="BJ582" s="286"/>
      <c r="BL582" s="253">
        <f t="shared" si="457"/>
        <v>0</v>
      </c>
      <c r="BM582" s="253">
        <f t="shared" si="491"/>
        <v>0</v>
      </c>
      <c r="BN582" s="253">
        <f t="shared" si="458"/>
        <v>0</v>
      </c>
      <c r="BO582" s="253">
        <f t="shared" si="459"/>
        <v>0</v>
      </c>
    </row>
    <row r="583" spans="4:67" ht="13.6" thickBot="1" x14ac:dyDescent="0.25">
      <c r="D583" s="280">
        <v>112200</v>
      </c>
      <c r="E583" s="273" t="str">
        <f t="shared" si="438"/>
        <v>1.26895210463799i</v>
      </c>
      <c r="F583" s="579" t="str">
        <f t="shared" si="460"/>
        <v>0.002-0.0218229731375148i</v>
      </c>
      <c r="G583" s="270" t="str">
        <f t="shared" si="461"/>
        <v>0.002-0.0218229731375148i</v>
      </c>
      <c r="H583" s="271" t="str">
        <f t="shared" si="462"/>
        <v>0.00223538193325375-0.0217768049925815i</v>
      </c>
      <c r="I583" s="271" t="str">
        <f t="shared" si="463"/>
        <v>0.0122353819332538-0.0217768049925815i</v>
      </c>
      <c r="J583" s="270" t="str">
        <f t="shared" si="464"/>
        <v>0.0033865082167014-0.0114443725585821i</v>
      </c>
      <c r="K583" s="271" t="str">
        <f t="shared" si="439"/>
        <v>0.682108027575061-0.8856449641527i</v>
      </c>
      <c r="L583" s="580"/>
      <c r="M583" s="580" t="str">
        <f t="shared" si="440"/>
        <v>-0.0261819336451816-12.6865715798468i</v>
      </c>
      <c r="N583" s="270" t="str">
        <f t="shared" si="441"/>
        <v>-6.68630311690056-9.5149286848851i</v>
      </c>
      <c r="O583" s="581" t="str">
        <f t="shared" si="442"/>
        <v>-4.12553507198542-3.72222242545419i</v>
      </c>
      <c r="P583" s="582" t="str">
        <f t="shared" si="443"/>
        <v>-0.131535609182905+0.0442981597367275i</v>
      </c>
      <c r="Q583" s="583" t="str">
        <f t="shared" si="444"/>
        <v>-0.0902802584630505+0.0815203839912699i</v>
      </c>
      <c r="R583" s="581" t="str">
        <f t="shared" si="465"/>
        <v>-0.503882498406378-0.386427253375702i</v>
      </c>
      <c r="S583" s="253" t="str">
        <f t="shared" si="466"/>
        <v>28.3896321889559-36.6038135685883i</v>
      </c>
      <c r="T583" s="253" t="str">
        <f t="shared" si="467"/>
        <v>-3.53245218593571-19.9787975681169i</v>
      </c>
      <c r="U583" s="253" t="str">
        <f t="shared" si="468"/>
        <v>-0.442970758423666+0.0322652792668378i</v>
      </c>
      <c r="V583" s="582" t="str">
        <f t="shared" si="445"/>
        <v>6000</v>
      </c>
      <c r="W583" s="584" t="str">
        <f t="shared" si="446"/>
        <v>1+394844.316985592i</v>
      </c>
      <c r="X583" s="585">
        <f t="shared" si="447"/>
        <v>394844.31698685838</v>
      </c>
      <c r="Y583" s="586">
        <f t="shared" si="448"/>
        <v>1.5707937941511254</v>
      </c>
      <c r="Z583" s="273" t="str">
        <f t="shared" si="449"/>
        <v>1+59.2177648831062i</v>
      </c>
      <c r="AA583" s="585">
        <f t="shared" si="450"/>
        <v>59.226207693476759</v>
      </c>
      <c r="AB583" s="586">
        <f t="shared" si="451"/>
        <v>1.5539111072448584</v>
      </c>
      <c r="AC583" s="584" t="str">
        <f t="shared" si="452"/>
        <v>1+2.86290992774318i</v>
      </c>
      <c r="AD583" s="585">
        <f t="shared" si="453"/>
        <v>3.0325324819975892</v>
      </c>
      <c r="AE583" s="586">
        <f t="shared" si="454"/>
        <v>1.234749746135664</v>
      </c>
      <c r="AF583" s="580" t="str">
        <f t="shared" si="469"/>
        <v>0.0931213151425194-0.281791521195473i</v>
      </c>
      <c r="AG583" s="270">
        <f t="shared" si="470"/>
        <v>0.29677944799384459</v>
      </c>
      <c r="AH583" s="581">
        <f t="shared" si="471"/>
        <v>-1.2516324330419304</v>
      </c>
      <c r="AI583" s="582" t="str">
        <f t="shared" si="455"/>
        <v>4000</v>
      </c>
      <c r="AJ583" s="584" t="str">
        <f t="shared" si="472"/>
        <v>1+31019.9148835071i</v>
      </c>
      <c r="AK583" s="585">
        <f t="shared" si="473"/>
        <v>31019.914899625775</v>
      </c>
      <c r="AL583" s="586">
        <f t="shared" si="474"/>
        <v>1.5707640894401711</v>
      </c>
      <c r="AM583" s="273" t="str">
        <f t="shared" si="475"/>
        <v>1+1.08565902285695i</v>
      </c>
      <c r="AN583" s="585">
        <f t="shared" si="476"/>
        <v>1.4760269353608382</v>
      </c>
      <c r="AO583" s="586">
        <f t="shared" si="477"/>
        <v>0.82644557710797351</v>
      </c>
      <c r="AP583" s="584" t="str">
        <f t="shared" si="478"/>
        <v>1+0.00785449348137403i</v>
      </c>
      <c r="AQ583" s="585">
        <f t="shared" si="479"/>
        <v>1.0000308460581848</v>
      </c>
      <c r="AR583" s="586">
        <f t="shared" si="480"/>
        <v>7.8543319647529052E-3</v>
      </c>
      <c r="AS583" s="580" t="str">
        <f t="shared" si="481"/>
        <v>0.138977886120406-0.130036506641437i</v>
      </c>
      <c r="AT583" s="270">
        <f t="shared" si="482"/>
        <v>0.19032694472933945</v>
      </c>
      <c r="AU583" s="581">
        <f t="shared" si="483"/>
        <v>-0.75217284429695142</v>
      </c>
      <c r="AV583" s="580" t="str">
        <f t="shared" si="484"/>
        <v>-0.0308890578027711-0.0231726331110741i</v>
      </c>
      <c r="AW583" s="270">
        <f t="shared" si="485"/>
        <v>-28.264918267345291</v>
      </c>
      <c r="AX583" s="581">
        <f t="shared" si="486"/>
        <v>-143.12317043549331</v>
      </c>
      <c r="AY583" s="299">
        <f t="shared" si="456"/>
        <v>36.876829564506693</v>
      </c>
      <c r="BB583" s="270">
        <f t="shared" si="489"/>
        <v>-54.409994479251431</v>
      </c>
      <c r="BC583" s="270">
        <f t="shared" si="490"/>
        <v>-43.09632944256613</v>
      </c>
      <c r="BD583" s="286"/>
      <c r="BE583" s="270">
        <f t="shared" si="487"/>
        <v>26.145076211906137</v>
      </c>
      <c r="BF583" s="581">
        <f t="shared" si="488"/>
        <v>-100.02684099292723</v>
      </c>
      <c r="BI583" s="286"/>
      <c r="BJ583" s="286"/>
      <c r="BL583" s="253">
        <f t="shared" si="457"/>
        <v>0</v>
      </c>
      <c r="BM583" s="253">
        <f t="shared" si="491"/>
        <v>0</v>
      </c>
      <c r="BN583" s="253">
        <f t="shared" si="458"/>
        <v>0</v>
      </c>
      <c r="BO583" s="253">
        <f t="shared" si="459"/>
        <v>0</v>
      </c>
    </row>
    <row r="584" spans="4:67" ht="13.6" thickBot="1" x14ac:dyDescent="0.25">
      <c r="D584" s="280">
        <v>113510</v>
      </c>
      <c r="E584" s="273" t="str">
        <f t="shared" si="438"/>
        <v>1.28376785559232i</v>
      </c>
      <c r="F584" s="579" t="str">
        <f t="shared" si="460"/>
        <v>0.002-0.0215711178400948i</v>
      </c>
      <c r="G584" s="270" t="str">
        <f t="shared" si="461"/>
        <v>0.002-0.0215711178400948i</v>
      </c>
      <c r="H584" s="271" t="str">
        <f t="shared" si="462"/>
        <v>0.00222993505787231-0.0215255412029373i</v>
      </c>
      <c r="I584" s="271" t="str">
        <f t="shared" si="463"/>
        <v>0.0122299350578723-0.0215255412029373i</v>
      </c>
      <c r="J584" s="270" t="str">
        <f t="shared" si="464"/>
        <v>0.00338162214981403-0.0113231603136449i</v>
      </c>
      <c r="K584" s="271" t="str">
        <f t="shared" si="439"/>
        <v>0.674641546930633-0.89598538218336i</v>
      </c>
      <c r="L584" s="580"/>
      <c r="M584" s="580" t="str">
        <f t="shared" si="440"/>
        <v>-0.0256498630168081-12.5387308063922i</v>
      </c>
      <c r="N584" s="270" t="str">
        <f t="shared" si="441"/>
        <v>-6.68590406392928-9.40404810479415i</v>
      </c>
      <c r="O584" s="581" t="str">
        <f t="shared" si="442"/>
        <v>-4.11777355044644-3.65763823146987i</v>
      </c>
      <c r="P584" s="582" t="str">
        <f t="shared" si="443"/>
        <v>-0.129092745561928+0.0439046261884326i</v>
      </c>
      <c r="Q584" s="583" t="str">
        <f t="shared" si="444"/>
        <v>-0.0879150100574633+0.0804810085031315i</v>
      </c>
      <c r="R584" s="581" t="str">
        <f t="shared" si="465"/>
        <v>-0.503800418566764-0.377729370505166i</v>
      </c>
      <c r="S584" s="253" t="str">
        <f t="shared" si="466"/>
        <v>27.8891966108334-36.7922242790862i</v>
      </c>
      <c r="T584" s="253" t="str">
        <f t="shared" si="467"/>
        <v>-3.90653870841178-19.8994817200182i</v>
      </c>
      <c r="U584" s="253" t="str">
        <f t="shared" si="468"/>
        <v>-0.437058441302172+0.0397158080078291i</v>
      </c>
      <c r="V584" s="582" t="str">
        <f t="shared" si="445"/>
        <v>6000</v>
      </c>
      <c r="W584" s="584" t="str">
        <f t="shared" si="446"/>
        <v>1+399454.35312865i</v>
      </c>
      <c r="X584" s="585">
        <f t="shared" si="447"/>
        <v>399454.35312990169</v>
      </c>
      <c r="Y584" s="586">
        <f t="shared" si="448"/>
        <v>1.5707938233799452</v>
      </c>
      <c r="Z584" s="273" t="str">
        <f t="shared" si="449"/>
        <v>1+59.9091665943083i</v>
      </c>
      <c r="AA584" s="585">
        <f t="shared" si="450"/>
        <v>59.917511981261256</v>
      </c>
      <c r="AB584" s="586">
        <f t="shared" si="451"/>
        <v>1.5541059403518096</v>
      </c>
      <c r="AC584" s="584" t="str">
        <f t="shared" si="452"/>
        <v>1+2.89633605969811i</v>
      </c>
      <c r="AD584" s="585">
        <f t="shared" si="453"/>
        <v>3.064108772662546</v>
      </c>
      <c r="AE584" s="586">
        <f t="shared" si="454"/>
        <v>1.2383470524528664</v>
      </c>
      <c r="AF584" s="580" t="str">
        <f t="shared" si="469"/>
        <v>0.0912119344906446-0.279198651912473i</v>
      </c>
      <c r="AG584" s="270">
        <f t="shared" si="470"/>
        <v>0.29372011205102705</v>
      </c>
      <c r="AH584" s="581">
        <f t="shared" si="471"/>
        <v>-1.2550349354810009</v>
      </c>
      <c r="AI584" s="582" t="str">
        <f t="shared" si="455"/>
        <v>4000</v>
      </c>
      <c r="AJ584" s="584" t="str">
        <f t="shared" si="472"/>
        <v>1+31382.0903603109i</v>
      </c>
      <c r="AK584" s="585">
        <f t="shared" si="473"/>
        <v>31382.090376243556</v>
      </c>
      <c r="AL584" s="586">
        <f t="shared" si="474"/>
        <v>1.5707644614861112</v>
      </c>
      <c r="AM584" s="273" t="str">
        <f t="shared" si="475"/>
        <v>1+1.09833472089565i</v>
      </c>
      <c r="AN584" s="585">
        <f t="shared" si="476"/>
        <v>1.4853750903811889</v>
      </c>
      <c r="AO584" s="586">
        <f t="shared" si="477"/>
        <v>0.83222712177100466</v>
      </c>
      <c r="AP584" s="584" t="str">
        <f t="shared" si="478"/>
        <v>1+0.00794619924305496i</v>
      </c>
      <c r="AQ584" s="585">
        <f t="shared" si="479"/>
        <v>1.0000315705428555</v>
      </c>
      <c r="AR584" s="586">
        <f t="shared" si="480"/>
        <v>7.9460320028683674E-3</v>
      </c>
      <c r="AS584" s="580" t="str">
        <f t="shared" si="481"/>
        <v>0.138977589364935-0.128561117683498i</v>
      </c>
      <c r="AT584" s="270">
        <f t="shared" si="482"/>
        <v>0.18932176664535624</v>
      </c>
      <c r="AU584" s="581">
        <f t="shared" si="483"/>
        <v>-0.74648337171797308</v>
      </c>
      <c r="AV584" s="580" t="str">
        <f t="shared" si="484"/>
        <v>-0.0310122094370375-0.0226335301643245i</v>
      </c>
      <c r="AW584" s="270">
        <f t="shared" si="485"/>
        <v>-28.314925514286081</v>
      </c>
      <c r="AX584" s="581">
        <f t="shared" si="486"/>
        <v>-143.87704390643395</v>
      </c>
      <c r="AY584" s="299">
        <f t="shared" si="456"/>
        <v>36.122956093566046</v>
      </c>
      <c r="BB584" s="270">
        <f t="shared" si="489"/>
        <v>-54.455989031814873</v>
      </c>
      <c r="BC584" s="270">
        <f t="shared" si="490"/>
        <v>-42.770346676135262</v>
      </c>
      <c r="BD584" s="286"/>
      <c r="BE584" s="270">
        <f t="shared" si="487"/>
        <v>26.141063517528806</v>
      </c>
      <c r="BF584" s="581">
        <f t="shared" si="488"/>
        <v>-101.10669723029869</v>
      </c>
      <c r="BI584" s="286"/>
      <c r="BJ584" s="286"/>
      <c r="BL584" s="253">
        <f t="shared" si="457"/>
        <v>0</v>
      </c>
      <c r="BM584" s="253">
        <f t="shared" si="491"/>
        <v>0</v>
      </c>
      <c r="BN584" s="253">
        <f t="shared" si="458"/>
        <v>0</v>
      </c>
      <c r="BO584" s="253">
        <f t="shared" si="459"/>
        <v>0</v>
      </c>
    </row>
    <row r="585" spans="4:67" ht="13.6" thickBot="1" x14ac:dyDescent="0.25">
      <c r="D585" s="280">
        <v>114820</v>
      </c>
      <c r="E585" s="273" t="str">
        <f t="shared" si="438"/>
        <v>1.29858360654665i</v>
      </c>
      <c r="F585" s="579" t="str">
        <f t="shared" si="460"/>
        <v>0.002-0.0213250094585365i</v>
      </c>
      <c r="G585" s="270" t="str">
        <f t="shared" si="461"/>
        <v>0.002-0.0213250094585365i</v>
      </c>
      <c r="H585" s="271" t="str">
        <f t="shared" si="462"/>
        <v>0.00222467352156289-0.021280008857734i</v>
      </c>
      <c r="I585" s="271" t="str">
        <f t="shared" si="463"/>
        <v>0.0122246735215629-0.021280008857734i</v>
      </c>
      <c r="J585" s="270" t="str">
        <f t="shared" si="464"/>
        <v>0.00337675729782492-0.0112047907057606i</v>
      </c>
      <c r="K585" s="271" t="str">
        <f t="shared" si="439"/>
        <v>0.667088396757657-0.90632580021402i</v>
      </c>
      <c r="L585" s="580"/>
      <c r="M585" s="580" t="str">
        <f t="shared" si="440"/>
        <v>-0.0251353068062262-12.3943110071541i</v>
      </c>
      <c r="N585" s="270" t="str">
        <f t="shared" si="441"/>
        <v>-6.68551814677134-9.29573325536557i</v>
      </c>
      <c r="O585" s="581" t="str">
        <f t="shared" si="442"/>
        <v>-4.10999427552176-3.59439604054749i</v>
      </c>
      <c r="P585" s="582" t="str">
        <f t="shared" si="443"/>
        <v>-0.126732117774801+0.0435203964854479i</v>
      </c>
      <c r="Q585" s="583" t="str">
        <f t="shared" si="444"/>
        <v>-0.0856321750195829+0.0794643568909226i</v>
      </c>
      <c r="R585" s="581" t="str">
        <f t="shared" si="465"/>
        <v>-0.503721047547624-0.36918421560969i</v>
      </c>
      <c r="S585" s="253" t="str">
        <f t="shared" si="466"/>
        <v>27.3871962622457-36.9717962629875i</v>
      </c>
      <c r="T585" s="253" t="str">
        <f t="shared" si="467"/>
        <v>-4.27740214901554-19.8123164437008i</v>
      </c>
      <c r="U585" s="253" t="str">
        <f t="shared" si="468"/>
        <v>-0.431122092716172+0.0469472198260147i</v>
      </c>
      <c r="V585" s="582" t="str">
        <f t="shared" si="445"/>
        <v>6000</v>
      </c>
      <c r="W585" s="584" t="str">
        <f t="shared" si="446"/>
        <v>1+404064.389271708i</v>
      </c>
      <c r="X585" s="585">
        <f t="shared" si="447"/>
        <v>404064.38927294541</v>
      </c>
      <c r="Y585" s="586">
        <f t="shared" si="448"/>
        <v>1.5707938519418125</v>
      </c>
      <c r="Z585" s="273" t="str">
        <f t="shared" si="449"/>
        <v>1+60.6005683055103i</v>
      </c>
      <c r="AA585" s="585">
        <f t="shared" si="450"/>
        <v>60.608818491625627</v>
      </c>
      <c r="AB585" s="586">
        <f t="shared" si="451"/>
        <v>1.5542963289180569</v>
      </c>
      <c r="AC585" s="584" t="str">
        <f t="shared" si="452"/>
        <v>1+2.92976219165304i</v>
      </c>
      <c r="AD585" s="585">
        <f t="shared" si="453"/>
        <v>3.0957239055897126</v>
      </c>
      <c r="AE585" s="586">
        <f t="shared" si="454"/>
        <v>1.2418709284949707</v>
      </c>
      <c r="AF585" s="580" t="str">
        <f t="shared" si="469"/>
        <v>0.0893584405381038-0.276645872064935i</v>
      </c>
      <c r="AG585" s="270">
        <f t="shared" si="470"/>
        <v>0.2907195717972394</v>
      </c>
      <c r="AH585" s="581">
        <f t="shared" si="471"/>
        <v>-1.2583684515187266</v>
      </c>
      <c r="AI585" s="582" t="str">
        <f t="shared" si="455"/>
        <v>4000</v>
      </c>
      <c r="AJ585" s="584" t="str">
        <f t="shared" si="472"/>
        <v>1+31744.2658371148i</v>
      </c>
      <c r="AK585" s="585">
        <f t="shared" si="473"/>
        <v>31744.265852865676</v>
      </c>
      <c r="AL585" s="586">
        <f t="shared" si="474"/>
        <v>1.5707648250425865</v>
      </c>
      <c r="AM585" s="273" t="str">
        <f t="shared" si="475"/>
        <v>1+1.11101041893436i</v>
      </c>
      <c r="AN585" s="585">
        <f t="shared" si="476"/>
        <v>1.4947722739536955</v>
      </c>
      <c r="AO585" s="586">
        <f t="shared" si="477"/>
        <v>0.83793616161231732</v>
      </c>
      <c r="AP585" s="584" t="str">
        <f t="shared" si="478"/>
        <v>1+0.00803790500473588i</v>
      </c>
      <c r="AQ585" s="585">
        <f t="shared" si="479"/>
        <v>1.0000323034366765</v>
      </c>
      <c r="AR585" s="586">
        <f t="shared" si="480"/>
        <v>8.0377319073464681E-3</v>
      </c>
      <c r="AS585" s="580" t="str">
        <f t="shared" si="481"/>
        <v>0.138977293519091-0.127119685349501i</v>
      </c>
      <c r="AT585" s="270">
        <f t="shared" si="482"/>
        <v>0.18834569949231045</v>
      </c>
      <c r="AU585" s="581">
        <f t="shared" si="483"/>
        <v>-0.74086639533761656</v>
      </c>
      <c r="AV585" s="580" t="str">
        <f t="shared" si="484"/>
        <v>-0.0311299720633091-0.0220972010239318i</v>
      </c>
      <c r="AW585" s="270">
        <f t="shared" si="485"/>
        <v>-28.36432721460822</v>
      </c>
      <c r="AX585" s="581">
        <f t="shared" si="486"/>
        <v>-144.63146386848987</v>
      </c>
      <c r="AY585" s="299">
        <f t="shared" si="456"/>
        <v>35.368536131510126</v>
      </c>
      <c r="BB585" s="270">
        <f t="shared" si="489"/>
        <v>-54.50088583234475</v>
      </c>
      <c r="BC585" s="270">
        <f t="shared" si="490"/>
        <v>-42.448517635916161</v>
      </c>
      <c r="BD585" s="286"/>
      <c r="BE585" s="270">
        <f t="shared" si="487"/>
        <v>26.136558617736544</v>
      </c>
      <c r="BF585" s="581">
        <f t="shared" si="488"/>
        <v>-102.18294623257368</v>
      </c>
      <c r="BI585" s="286"/>
      <c r="BJ585" s="286"/>
      <c r="BL585" s="253">
        <f t="shared" si="457"/>
        <v>0</v>
      </c>
      <c r="BM585" s="253">
        <f t="shared" si="491"/>
        <v>0</v>
      </c>
      <c r="BN585" s="253">
        <f t="shared" si="458"/>
        <v>0</v>
      </c>
      <c r="BO585" s="253">
        <f t="shared" si="459"/>
        <v>0</v>
      </c>
    </row>
    <row r="586" spans="4:67" ht="13.6" thickBot="1" x14ac:dyDescent="0.25">
      <c r="D586" s="280">
        <v>116155</v>
      </c>
      <c r="E586" s="273" t="str">
        <f t="shared" si="438"/>
        <v>1.3136821008398i</v>
      </c>
      <c r="F586" s="579" t="str">
        <f t="shared" si="460"/>
        <v>0.002-0.0210799155096996i</v>
      </c>
      <c r="G586" s="270" t="str">
        <f t="shared" si="461"/>
        <v>0.002-0.0210799155096996i</v>
      </c>
      <c r="H586" s="271" t="str">
        <f t="shared" si="462"/>
        <v>0.0022194936470364-0.0210354866537689i</v>
      </c>
      <c r="I586" s="271" t="str">
        <f t="shared" si="463"/>
        <v>0.0122194936470364-0.0210354866537689i</v>
      </c>
      <c r="J586" s="270" t="str">
        <f t="shared" si="464"/>
        <v>0.00337181972327311-0.0110869857396695i</v>
      </c>
      <c r="K586" s="271" t="str">
        <f t="shared" si="439"/>
        <v>0.659301936188481-0.916863554466639i</v>
      </c>
      <c r="L586" s="580"/>
      <c r="M586" s="580" t="str">
        <f t="shared" si="440"/>
        <v>-0.0246281539514031-12.2505325922216i</v>
      </c>
      <c r="N586" s="270" t="str">
        <f t="shared" si="441"/>
        <v>-6.68513778213022-9.1878994441662i</v>
      </c>
      <c r="O586" s="581" t="str">
        <f t="shared" si="442"/>
        <v>-4.10204769522912-3.53128239971438i</v>
      </c>
      <c r="P586" s="582" t="str">
        <f t="shared" si="443"/>
        <v>-0.124407189541573+0.0431380866969139i</v>
      </c>
      <c r="Q586" s="583" t="str">
        <f t="shared" si="444"/>
        <v>-0.0833867125892822+0.0784509106940581i</v>
      </c>
      <c r="R586" s="581" t="str">
        <f t="shared" si="465"/>
        <v>-0.503642822623544-0.360627664707759i</v>
      </c>
      <c r="S586" s="253" t="str">
        <f t="shared" si="466"/>
        <v>26.8742127674132-37.1456760942681i</v>
      </c>
      <c r="T586" s="253" t="str">
        <f t="shared" si="467"/>
        <v>-4.65182578192546-19.715529820778i</v>
      </c>
      <c r="U586" s="253" t="str">
        <f t="shared" si="468"/>
        <v>-0.425050462187061+0.0540949259661779i</v>
      </c>
      <c r="V586" s="582" t="str">
        <f t="shared" si="445"/>
        <v>6000</v>
      </c>
      <c r="W586" s="584" t="str">
        <f t="shared" si="446"/>
        <v>1+408762.403203756i</v>
      </c>
      <c r="X586" s="585">
        <f t="shared" si="447"/>
        <v>408762.40320497926</v>
      </c>
      <c r="Y586" s="586">
        <f t="shared" si="448"/>
        <v>1.5707938803859507</v>
      </c>
      <c r="Z586" s="273" t="str">
        <f t="shared" si="449"/>
        <v>1+61.3051647058574i</v>
      </c>
      <c r="AA586" s="585">
        <f t="shared" si="450"/>
        <v>61.31332008309699</v>
      </c>
      <c r="AB586" s="586">
        <f t="shared" si="451"/>
        <v>1.5544859339116948</v>
      </c>
      <c r="AC586" s="584" t="str">
        <f t="shared" si="452"/>
        <v>1+2.96382622688956i</v>
      </c>
      <c r="AD586" s="585">
        <f t="shared" si="453"/>
        <v>3.127981122577054</v>
      </c>
      <c r="AE586" s="586">
        <f t="shared" si="454"/>
        <v>1.2453887244466357</v>
      </c>
      <c r="AF586" s="580" t="str">
        <f t="shared" si="469"/>
        <v>0.0875249306720976-0.274084937270935i</v>
      </c>
      <c r="AG586" s="270">
        <f t="shared" si="470"/>
        <v>0.2877206393847474</v>
      </c>
      <c r="AH586" s="581">
        <f t="shared" si="471"/>
        <v>-1.2616966709208934</v>
      </c>
      <c r="AI586" s="582" t="str">
        <f t="shared" si="455"/>
        <v>4000</v>
      </c>
      <c r="AJ586" s="584" t="str">
        <f t="shared" si="472"/>
        <v>1+32113.3530596592i</v>
      </c>
      <c r="AK586" s="585">
        <f t="shared" si="473"/>
        <v>32113.353075229043</v>
      </c>
      <c r="AL586" s="586">
        <f t="shared" si="474"/>
        <v>1.5707651871005204</v>
      </c>
      <c r="AM586" s="273" t="str">
        <f t="shared" si="475"/>
        <v>1+1.12392801960739i</v>
      </c>
      <c r="AN586" s="585">
        <f t="shared" si="476"/>
        <v>1.5043982827890323</v>
      </c>
      <c r="AO586" s="586">
        <f t="shared" si="477"/>
        <v>0.84368058419325809</v>
      </c>
      <c r="AP586" s="584" t="str">
        <f t="shared" si="478"/>
        <v>1+0.00813136087637255i</v>
      </c>
      <c r="AQ586" s="585">
        <f t="shared" si="479"/>
        <v>1.0000330589684032</v>
      </c>
      <c r="AR586" s="586">
        <f t="shared" si="480"/>
        <v>8.1311816709180636E-3</v>
      </c>
      <c r="AS586" s="580" t="str">
        <f t="shared" si="481"/>
        <v>0.138976992812422-0.125684490102214i</v>
      </c>
      <c r="AT586" s="270">
        <f t="shared" si="482"/>
        <v>0.18737981637155462</v>
      </c>
      <c r="AU586" s="581">
        <f t="shared" si="483"/>
        <v>-0.73521578457818004</v>
      </c>
      <c r="AV586" s="580" t="str">
        <f t="shared" si="484"/>
        <v>-0.0312443307087877-0.0215534269474972i</v>
      </c>
      <c r="AW586" s="270">
        <f t="shared" si="485"/>
        <v>-28.414088352809603</v>
      </c>
      <c r="AX586" s="581">
        <f t="shared" si="486"/>
        <v>-145.40073688884189</v>
      </c>
      <c r="AY586" s="299">
        <f t="shared" si="456"/>
        <v>34.599263111158109</v>
      </c>
      <c r="BB586" s="270">
        <f t="shared" si="489"/>
        <v>-54.54554381971586</v>
      </c>
      <c r="BC586" s="270">
        <f t="shared" si="490"/>
        <v>-42.124761487729238</v>
      </c>
      <c r="BD586" s="286"/>
      <c r="BE586" s="270">
        <f t="shared" si="487"/>
        <v>26.13145546690626</v>
      </c>
      <c r="BF586" s="581">
        <f t="shared" si="488"/>
        <v>-103.27597540111265</v>
      </c>
      <c r="BI586" s="286"/>
      <c r="BJ586" s="286"/>
      <c r="BL586" s="253">
        <f t="shared" si="457"/>
        <v>0</v>
      </c>
      <c r="BM586" s="253">
        <f t="shared" si="491"/>
        <v>0</v>
      </c>
      <c r="BN586" s="253">
        <f t="shared" si="458"/>
        <v>0</v>
      </c>
      <c r="BO586" s="253">
        <f t="shared" si="459"/>
        <v>0</v>
      </c>
    </row>
    <row r="587" spans="4:67" ht="13.6" thickBot="1" x14ac:dyDescent="0.25">
      <c r="D587" s="280">
        <v>117490</v>
      </c>
      <c r="E587" s="273" t="str">
        <f t="shared" si="438"/>
        <v>1.32878059513295i</v>
      </c>
      <c r="F587" s="579" t="str">
        <f t="shared" si="460"/>
        <v>0.002-0.0208403914037719i</v>
      </c>
      <c r="G587" s="270" t="str">
        <f t="shared" si="461"/>
        <v>0.002-0.0208403914037719i</v>
      </c>
      <c r="H587" s="271" t="str">
        <f t="shared" si="462"/>
        <v>0.00221448931350566-0.0207965194722732i</v>
      </c>
      <c r="I587" s="271" t="str">
        <f t="shared" si="463"/>
        <v>0.0122144893135057-0.0207965194722732i</v>
      </c>
      <c r="J587" s="270" t="str">
        <f t="shared" si="464"/>
        <v>0.00336690084461076-0.0109719331591794i</v>
      </c>
      <c r="K587" s="271" t="str">
        <f t="shared" si="439"/>
        <v>0.651425466528623-0.927401308719258i</v>
      </c>
      <c r="L587" s="580"/>
      <c r="M587" s="580" t="str">
        <f t="shared" si="440"/>
        <v>-0.0241376225790279-12.1100655130592i</v>
      </c>
      <c r="N587" s="270" t="str">
        <f t="shared" si="441"/>
        <v>-6.68476988360094-9.0825491347944i</v>
      </c>
      <c r="O587" s="581" t="str">
        <f t="shared" si="442"/>
        <v>-4.09408158331165-3.46947304029738i</v>
      </c>
      <c r="P587" s="582" t="str">
        <f t="shared" si="443"/>
        <v>-0.122160079389051+0.042764805994207i</v>
      </c>
      <c r="Q587" s="583" t="str">
        <f t="shared" si="444"/>
        <v>-0.0812192635559353+0.0774595363971813i</v>
      </c>
      <c r="R587" s="581" t="str">
        <f t="shared" si="465"/>
        <v>-0.503567162783947-0.352218947161446i</v>
      </c>
      <c r="S587" s="253" t="str">
        <f t="shared" si="466"/>
        <v>26.3600245307181-37.310330882817i</v>
      </c>
      <c r="T587" s="253" t="str">
        <f t="shared" si="467"/>
        <v>-5.02249843811474-19.6108360441953i</v>
      </c>
      <c r="U587" s="253" t="str">
        <f t="shared" si="468"/>
        <v>-0.418959402778968+0.0610224997189329i</v>
      </c>
      <c r="V587" s="582" t="str">
        <f t="shared" si="445"/>
        <v>6000</v>
      </c>
      <c r="W587" s="584" t="str">
        <f t="shared" si="446"/>
        <v>1+413460.417135804i</v>
      </c>
      <c r="X587" s="585">
        <f t="shared" si="447"/>
        <v>413460.41713701328</v>
      </c>
      <c r="Y587" s="586">
        <f t="shared" si="448"/>
        <v>1.5707939081836861</v>
      </c>
      <c r="Z587" s="273" t="str">
        <f t="shared" si="449"/>
        <v>1+62.0097611062045i</v>
      </c>
      <c r="AA587" s="585">
        <f t="shared" si="450"/>
        <v>62.017823828707122</v>
      </c>
      <c r="AB587" s="586">
        <f t="shared" si="451"/>
        <v>1.5546712312009574</v>
      </c>
      <c r="AC587" s="584" t="str">
        <f t="shared" si="452"/>
        <v>1+2.99789026212608i</v>
      </c>
      <c r="AD587" s="585">
        <f t="shared" si="453"/>
        <v>3.1602762575050893</v>
      </c>
      <c r="AE587" s="586">
        <f t="shared" si="454"/>
        <v>1.2488346649996143</v>
      </c>
      <c r="AF587" s="580" t="str">
        <f t="shared" si="469"/>
        <v>0.0857452212036144-0.271564254509702i</v>
      </c>
      <c r="AG587" s="270">
        <f t="shared" si="470"/>
        <v>0.284779541552175</v>
      </c>
      <c r="AH587" s="581">
        <f t="shared" si="471"/>
        <v>-1.2649573419823419</v>
      </c>
      <c r="AI587" s="582" t="str">
        <f t="shared" si="455"/>
        <v>4000</v>
      </c>
      <c r="AJ587" s="584" t="str">
        <f t="shared" si="472"/>
        <v>1+32482.4402822036i</v>
      </c>
      <c r="AK587" s="585">
        <f t="shared" si="473"/>
        <v>32482.440297596531</v>
      </c>
      <c r="AL587" s="586">
        <f t="shared" si="474"/>
        <v>1.5707655409305652</v>
      </c>
      <c r="AM587" s="273" t="str">
        <f t="shared" si="475"/>
        <v>1+1.13684562028042i</v>
      </c>
      <c r="AN587" s="585">
        <f t="shared" si="476"/>
        <v>1.5140733021722472</v>
      </c>
      <c r="AO587" s="586">
        <f t="shared" si="477"/>
        <v>0.84935177752002988</v>
      </c>
      <c r="AP587" s="584" t="str">
        <f t="shared" si="478"/>
        <v>1+0.00822481674800923i</v>
      </c>
      <c r="AQ587" s="585">
        <f t="shared" si="479"/>
        <v>1.0000338232332635</v>
      </c>
      <c r="AR587" s="586">
        <f t="shared" si="480"/>
        <v>8.2246312924698396E-3</v>
      </c>
      <c r="AS587" s="580" t="str">
        <f t="shared" si="481"/>
        <v>0.138976692753705-0.124282205208191i</v>
      </c>
      <c r="AT587" s="270">
        <f t="shared" si="482"/>
        <v>0.18644191497667206</v>
      </c>
      <c r="AU587" s="581">
        <f t="shared" si="483"/>
        <v>-0.72963839470300584</v>
      </c>
      <c r="AV587" s="580" t="str">
        <f t="shared" si="484"/>
        <v>-0.031352881718387-0.0210124195401382i</v>
      </c>
      <c r="AW587" s="270">
        <f t="shared" si="485"/>
        <v>-28.46329934683029</v>
      </c>
      <c r="AX587" s="581">
        <f t="shared" si="486"/>
        <v>-146.17036199278212</v>
      </c>
      <c r="AY587" s="299">
        <f t="shared" si="456"/>
        <v>33.829638007217881</v>
      </c>
      <c r="BB587" s="270">
        <f t="shared" si="489"/>
        <v>-54.58912890007862</v>
      </c>
      <c r="BC587" s="270">
        <f t="shared" si="490"/>
        <v>-41.805200587182753</v>
      </c>
      <c r="BD587" s="286"/>
      <c r="BE587" s="270">
        <f t="shared" si="487"/>
        <v>26.12582955324833</v>
      </c>
      <c r="BF587" s="581">
        <f t="shared" si="488"/>
        <v>-104.36516140559941</v>
      </c>
      <c r="BI587" s="286"/>
      <c r="BJ587" s="286"/>
      <c r="BL587" s="253">
        <f t="shared" si="457"/>
        <v>0</v>
      </c>
      <c r="BM587" s="253">
        <f t="shared" si="491"/>
        <v>0</v>
      </c>
      <c r="BN587" s="253">
        <f t="shared" si="458"/>
        <v>0</v>
      </c>
      <c r="BO587" s="253">
        <f t="shared" si="459"/>
        <v>0</v>
      </c>
    </row>
    <row r="588" spans="4:67" ht="13.6" thickBot="1" x14ac:dyDescent="0.25">
      <c r="D588" s="280">
        <v>118860</v>
      </c>
      <c r="E588" s="273" t="str">
        <f t="shared" si="438"/>
        <v>1.34427493010046i</v>
      </c>
      <c r="F588" s="579" t="str">
        <f t="shared" si="460"/>
        <v>0.002-0.0206001816088605i</v>
      </c>
      <c r="G588" s="270" t="str">
        <f t="shared" si="461"/>
        <v>0.002-0.0206001816088605i</v>
      </c>
      <c r="H588" s="271" t="str">
        <f t="shared" si="462"/>
        <v>0.00220952806254063-0.0205568664027786i</v>
      </c>
      <c r="I588" s="271" t="str">
        <f t="shared" si="463"/>
        <v>0.0122095280625406-0.0205568664027786i</v>
      </c>
      <c r="J588" s="270" t="str">
        <f t="shared" si="464"/>
        <v>0.0033618708644693-0.0108566271163615i</v>
      </c>
      <c r="K588" s="271" t="str">
        <f t="shared" si="439"/>
        <v>0.643248917956617-0.93821533368262i</v>
      </c>
      <c r="L588" s="580"/>
      <c r="M588" s="580" t="str">
        <f t="shared" si="440"/>
        <v>-0.0236507488723704-11.9692394029269i</v>
      </c>
      <c r="N588" s="270" t="str">
        <f t="shared" si="441"/>
        <v>-6.68440472832095-8.97692955219518i</v>
      </c>
      <c r="O588" s="581" t="str">
        <f t="shared" si="442"/>
        <v>-4.08588586204182-3.40735513064809i</v>
      </c>
      <c r="P588" s="582" t="str">
        <f t="shared" si="443"/>
        <v>-0.119931282300492+0.0423908117163058i</v>
      </c>
      <c r="Q588" s="583" t="str">
        <f t="shared" si="444"/>
        <v>-0.0790724236800744+0.0764643630227868i</v>
      </c>
      <c r="R588" s="581" t="str">
        <f t="shared" si="465"/>
        <v>-0.503492065770169-0.343738158545432i</v>
      </c>
      <c r="S588" s="253" t="str">
        <f t="shared" si="466"/>
        <v>25.8313275474567-37.4696975497041i</v>
      </c>
      <c r="T588" s="253" t="str">
        <f t="shared" si="467"/>
        <v>-5.398782664365-19.4953162529018i</v>
      </c>
      <c r="U588" s="253" t="str">
        <f t="shared" si="468"/>
        <v>-0.412691373491292+0.067906605620097i</v>
      </c>
      <c r="V588" s="582" t="str">
        <f t="shared" si="445"/>
        <v>6000</v>
      </c>
      <c r="W588" s="584" t="str">
        <f t="shared" si="446"/>
        <v>1+418281.599972437i</v>
      </c>
      <c r="X588" s="585">
        <f t="shared" si="447"/>
        <v>418281.59997363237</v>
      </c>
      <c r="Y588" s="586">
        <f t="shared" si="448"/>
        <v>1.5707939360609986</v>
      </c>
      <c r="Z588" s="273" t="str">
        <f t="shared" si="449"/>
        <v>1+62.7328300713548i</v>
      </c>
      <c r="AA588" s="585">
        <f t="shared" si="450"/>
        <v>62.740799873459345</v>
      </c>
      <c r="AB588" s="586">
        <f t="shared" si="451"/>
        <v>1.5548570600555058</v>
      </c>
      <c r="AC588" s="584" t="str">
        <f t="shared" si="452"/>
        <v>1+3.03284736195681i</v>
      </c>
      <c r="AD588" s="585">
        <f t="shared" si="453"/>
        <v>3.1934562970124363</v>
      </c>
      <c r="AE588" s="586">
        <f t="shared" si="454"/>
        <v>1.2522984445005325</v>
      </c>
      <c r="AF588" s="580" t="str">
        <f t="shared" si="469"/>
        <v>0.0839726902859382-0.269018604260754i</v>
      </c>
      <c r="AG588" s="270">
        <f t="shared" si="470"/>
        <v>0.28181983988403353</v>
      </c>
      <c r="AH588" s="581">
        <f t="shared" si="471"/>
        <v>-1.2682353205060253</v>
      </c>
      <c r="AI588" s="582" t="str">
        <f t="shared" si="455"/>
        <v>4000</v>
      </c>
      <c r="AJ588" s="584" t="str">
        <f t="shared" si="472"/>
        <v>1+32861.2039487848i</v>
      </c>
      <c r="AK588" s="585">
        <f t="shared" si="473"/>
        <v>32861.203964000306</v>
      </c>
      <c r="AL588" s="586">
        <f t="shared" si="474"/>
        <v>1.5707658957735242</v>
      </c>
      <c r="AM588" s="273" t="str">
        <f t="shared" si="475"/>
        <v>1+1.1501018846415i</v>
      </c>
      <c r="AN588" s="585">
        <f t="shared" si="476"/>
        <v>1.5240519495922475</v>
      </c>
      <c r="AO588" s="586">
        <f t="shared" si="477"/>
        <v>0.8550966034346219</v>
      </c>
      <c r="AP588" s="584" t="str">
        <f t="shared" si="478"/>
        <v>1+0.00832072277358393i</v>
      </c>
      <c r="AQ588" s="585">
        <f t="shared" si="479"/>
        <v>1.0000346166145824</v>
      </c>
      <c r="AR588" s="586">
        <f t="shared" si="480"/>
        <v>8.3205307547346546E-3</v>
      </c>
      <c r="AS588" s="580" t="str">
        <f t="shared" si="481"/>
        <v>0.138976385357912-0.122876209195578i</v>
      </c>
      <c r="AT588" s="270">
        <f t="shared" si="482"/>
        <v>0.18550740813624211</v>
      </c>
      <c r="AU588" s="581">
        <f t="shared" si="483"/>
        <v>-0.72398982309363413</v>
      </c>
      <c r="AV588" s="580" t="str">
        <f t="shared" si="484"/>
        <v>-0.0314581385825192-0.0204600663616967i</v>
      </c>
      <c r="AW588" s="270">
        <f t="shared" si="485"/>
        <v>-28.513267785051553</v>
      </c>
      <c r="AX588" s="581">
        <f t="shared" si="486"/>
        <v>-146.96041699558106</v>
      </c>
      <c r="AY588" s="299">
        <f t="shared" si="456"/>
        <v>33.039583004418944</v>
      </c>
      <c r="BB588" s="270">
        <f t="shared" si="489"/>
        <v>-54.632774847830518</v>
      </c>
      <c r="BC588" s="270">
        <f t="shared" si="490"/>
        <v>-41.481561273688342</v>
      </c>
      <c r="BD588" s="286"/>
      <c r="BE588" s="270">
        <f t="shared" si="487"/>
        <v>26.119507062778958</v>
      </c>
      <c r="BF588" s="581">
        <f t="shared" si="488"/>
        <v>-105.47885572189267</v>
      </c>
      <c r="BI588" s="286"/>
      <c r="BJ588" s="286"/>
      <c r="BL588" s="253">
        <f t="shared" si="457"/>
        <v>0</v>
      </c>
      <c r="BM588" s="253">
        <f t="shared" si="491"/>
        <v>0</v>
      </c>
      <c r="BN588" s="253">
        <f t="shared" si="458"/>
        <v>0</v>
      </c>
      <c r="BO588" s="253">
        <f t="shared" si="459"/>
        <v>0</v>
      </c>
    </row>
    <row r="589" spans="4:67" ht="13.6" thickBot="1" x14ac:dyDescent="0.25">
      <c r="D589" s="280">
        <v>120230</v>
      </c>
      <c r="E589" s="273" t="str">
        <f t="shared" ref="E589:E613" si="492">COMPLEX(0,2*PI()*D589*Lf)</f>
        <v>1.35976926506796i</v>
      </c>
      <c r="F589" s="579" t="str">
        <f t="shared" si="460"/>
        <v>0.002-0.0203654461118619i</v>
      </c>
      <c r="G589" s="270" t="str">
        <f t="shared" si="461"/>
        <v>0.002-0.0203654461118619i</v>
      </c>
      <c r="H589" s="271" t="str">
        <f t="shared" si="462"/>
        <v>0.00220473541782379-0.0203226732284621i</v>
      </c>
      <c r="I589" s="271" t="str">
        <f t="shared" si="463"/>
        <v>0.0122047354178238-0.0203226732284621i</v>
      </c>
      <c r="J589" s="270" t="str">
        <f t="shared" si="464"/>
        <v>0.00335685747677706-0.0107440234404566i</v>
      </c>
      <c r="K589" s="271" t="str">
        <f t="shared" ref="K589:K613" si="493">IMSUM(COMPLEX(1,0),COMPLEX(0,2*PI()*D589/(Fsw*PI()*(-2)/PI())),IMPRODUCT(COMPLEX(0,2*PI()*D589/(Fsw*PI())),COMPLEX(0,2*PI()*D589/(Fsw*PI()))))</f>
        <v>0.634977578849019-0.949029358645982i</v>
      </c>
      <c r="L589" s="580"/>
      <c r="M589" s="580" t="str">
        <f t="shared" ref="M589:M613" si="494">IF(Vin&gt;=Vout,IMDIV(COMPLEX(Vin,0),IMSUM(E589,J589)),IMDIV(IMSUM(COMPLEX(Vout,0),IMPRODUCT(J589,COMPLEX($B$4,0))),IMSUM(E589,IMPRODUCT(J589,COMPLEX((1-$B$11)^2,0)))))</f>
        <v>-0.023179870021922-11.83166386108i</v>
      </c>
      <c r="N589" s="270" t="str">
        <f t="shared" ref="N589:N613" si="495">IF(Vin&gt;=Vout,0,IMSUB(IMPRODUCT(M589,COMPLEX(1-$B$11,0)),COMPLEX($B$4/(1-$B$11),0)))</f>
        <v>-6.68405156918311-8.87374789581i</v>
      </c>
      <c r="O589" s="581" t="str">
        <f t="shared" ref="O589:O613" si="496">IMDIV(IF(Vin&gt;=Vout,M589,N589),IMPRODUCT(I589,IMSUM(IMDIV(COMPLEX(1,0),F589),IMDIV(COMPLEX(1,0),I589))))</f>
        <v>-4.07766872769373-3.34652312591316i</v>
      </c>
      <c r="P589" s="582" t="str">
        <f t="shared" ref="P589:P613" si="497">IF(Vin&gt;=Vout,IMDIV(IMPRODUCT(COMPLEX(Vin,0),J589),IMSUM(J589,E589)),IMPRODUCT(N589,J589))</f>
        <v>-0.117777163882461+0.0420256997654395i</v>
      </c>
      <c r="Q589" s="583" t="str">
        <f t="shared" ref="Q589:Q613" si="498">IF(Vin&gt;=Vout,IMDIV(IMPRODUCT(P589,H589),IMSUM(COMPLEX($B$15,0),H589)),IMPRODUCT(O589,H589))</f>
        <v>-0.0770004766055235+0.0754909310245714i</v>
      </c>
      <c r="R589" s="581" t="str">
        <f t="shared" si="465"/>
        <v>-0.503419431970011-0.335402490627369i</v>
      </c>
      <c r="S589" s="253" t="str">
        <f t="shared" si="466"/>
        <v>25.3018192463873-37.6193280427527i</v>
      </c>
      <c r="T589" s="253" t="str">
        <f t="shared" si="467"/>
        <v>-5.77070141649644-19.3717599799176i</v>
      </c>
      <c r="U589" s="253" t="str">
        <f t="shared" si="468"/>
        <v>-0.406408817730701+0.0745664738531759i</v>
      </c>
      <c r="V589" s="582" t="str">
        <f t="shared" ref="V589:V613" si="499">COMPLEX(AEA,0)</f>
        <v>6000</v>
      </c>
      <c r="W589" s="584" t="str">
        <f t="shared" ref="W589:W613" si="500">IMSUM(COMPLEX(1,0),IMDIV(COMPLEX(0,2*PI()*D589),COMPLEX(2*PI()*EA_Pole1,0)))</f>
        <v>1+423102.782809071i</v>
      </c>
      <c r="X589" s="585">
        <f t="shared" ref="X589:X613" si="501">IMABS(W589)</f>
        <v>423102.7828102528</v>
      </c>
      <c r="Y589" s="586">
        <f t="shared" ref="Y589:Y613" si="502">IMARGUMENT(W589)</f>
        <v>1.5707939633029968</v>
      </c>
      <c r="Z589" s="273" t="str">
        <f t="shared" ref="Z589:Z613" si="503">IMSUM(COMPLEX(1,0),IMDIV(COMPLEX(0,2*PI()*D589),COMPLEX(2*PI()*EA_Zero1,0)))</f>
        <v>1+63.455899036505i</v>
      </c>
      <c r="AA589" s="585">
        <f t="shared" ref="AA589:AA613" si="504">IMABS(Z589)</f>
        <v>63.463778035436228</v>
      </c>
      <c r="AB589" s="586">
        <f t="shared" ref="AB589:AB613" si="505">IMARGUMENT(Z589)</f>
        <v>1.5550386549985968</v>
      </c>
      <c r="AC589" s="584" t="str">
        <f t="shared" ref="AC589:AC613" si="506">IMSUM(COMPLEX(1,0),IMDIV(COMPLEX(0,2*PI()*D589),COMPLEX(2*PI()*EA_Pole2,0)))</f>
        <v>1+3.06780446178754i</v>
      </c>
      <c r="AD589" s="585">
        <f t="shared" ref="AD589:AD613" si="507">IMABS(AC589)</f>
        <v>3.2266738626275107</v>
      </c>
      <c r="AE589" s="586">
        <f t="shared" ref="AE589:AE613" si="508">IMARGUMENT(AC589)</f>
        <v>1.2556909470255591</v>
      </c>
      <c r="AF589" s="580" t="str">
        <f t="shared" si="469"/>
        <v>0.0822526462004718-0.266513859583352i</v>
      </c>
      <c r="AG589" s="270">
        <f t="shared" si="470"/>
        <v>0.27891779282970569</v>
      </c>
      <c r="AH589" s="581">
        <f t="shared" si="471"/>
        <v>-1.2714462553299573</v>
      </c>
      <c r="AI589" s="582" t="str">
        <f t="shared" ref="AI589:AI613" si="509">COMPLEX(AIL,0)</f>
        <v>4000</v>
      </c>
      <c r="AJ589" s="584" t="str">
        <f t="shared" si="472"/>
        <v>1+33239.9676153659i</v>
      </c>
      <c r="AK589" s="585">
        <f t="shared" si="473"/>
        <v>33239.967630408028</v>
      </c>
      <c r="AL589" s="586">
        <f t="shared" si="474"/>
        <v>1.5707662425297353</v>
      </c>
      <c r="AM589" s="273" t="str">
        <f t="shared" si="475"/>
        <v>1+1.16335814900259i</v>
      </c>
      <c r="AN589" s="585">
        <f t="shared" si="476"/>
        <v>1.5340802400300748</v>
      </c>
      <c r="AO589" s="586">
        <f t="shared" si="477"/>
        <v>0.86076650653104847</v>
      </c>
      <c r="AP589" s="584" t="str">
        <f t="shared" si="478"/>
        <v>1+0.00841662879915864i</v>
      </c>
      <c r="AQ589" s="585">
        <f t="shared" si="479"/>
        <v>1.0000354191929117</v>
      </c>
      <c r="AR589" s="586">
        <f t="shared" si="480"/>
        <v>8.4164300639532254E-3</v>
      </c>
      <c r="AS589" s="580" t="str">
        <f t="shared" si="481"/>
        <v>0.138976078359688-0.121502558986952i</v>
      </c>
      <c r="AT589" s="270">
        <f t="shared" si="482"/>
        <v>0.18460016846312977</v>
      </c>
      <c r="AU589" s="581">
        <f t="shared" si="483"/>
        <v>-0.71841616606264391</v>
      </c>
      <c r="AV589" s="580" t="str">
        <f t="shared" si="484"/>
        <v>-0.0315570786189039-0.0199105624368015i</v>
      </c>
      <c r="AW589" s="270">
        <f t="shared" si="485"/>
        <v>-28.562735066615605</v>
      </c>
      <c r="AX589" s="581">
        <f t="shared" si="486"/>
        <v>-147.75061211347023</v>
      </c>
      <c r="AY589" s="299">
        <f t="shared" ref="AY589:AY613" si="510">IF(AX589&gt;0,AX589-180,AX589+180)</f>
        <v>32.249387886529775</v>
      </c>
      <c r="BB589" s="270">
        <f t="shared" si="489"/>
        <v>-54.675358139596035</v>
      </c>
      <c r="BC589" s="270">
        <f t="shared" si="490"/>
        <v>-41.162214249359181</v>
      </c>
      <c r="BD589" s="286"/>
      <c r="BE589" s="270">
        <f t="shared" si="487"/>
        <v>26.112623072980419</v>
      </c>
      <c r="BF589" s="581">
        <f t="shared" si="488"/>
        <v>-106.58839786411102</v>
      </c>
      <c r="BI589" s="286"/>
      <c r="BJ589" s="286"/>
      <c r="BL589" s="253">
        <f t="shared" ref="BL589:BL613" si="511">SUM((AW590&lt;0)*(AW589&gt;0))*D589</f>
        <v>0</v>
      </c>
      <c r="BM589" s="253">
        <f t="shared" si="491"/>
        <v>0</v>
      </c>
      <c r="BN589" s="253">
        <f t="shared" ref="BN589:BN613" si="512">SUM((BB590&lt;0)*(BB589&gt;0))*D589</f>
        <v>0</v>
      </c>
      <c r="BO589" s="253">
        <f t="shared" ref="BO589:BO613" si="513">IF(BN589&gt;0,BC589,0)</f>
        <v>0</v>
      </c>
    </row>
    <row r="590" spans="4:67" ht="13.6" thickBot="1" x14ac:dyDescent="0.25">
      <c r="D590" s="280">
        <v>126030</v>
      </c>
      <c r="E590" s="273" t="str">
        <f t="shared" si="492"/>
        <v>1.42536571967492i</v>
      </c>
      <c r="F590" s="579" t="str">
        <f t="shared" ref="F590:F613" si="514">IMSUM(COMPLEX($B$8,0),IMDIV(COMPLEX(1,0),COMPLEX(0,2*PI()*D590*$B$6)))</f>
        <v>0.002-0.0194282122195442i</v>
      </c>
      <c r="G590" s="270" t="str">
        <f t="shared" ref="G590:G613" si="515">IMSUM(COMPLEX($B$9,0),IMDIV(COMPLEX(1,0),COMPLEX(0,2*PI()*D590*$B$7)))</f>
        <v>0.002-0.0194282122195442i</v>
      </c>
      <c r="H590" s="271" t="str">
        <f t="shared" ref="H590:H613" si="516">IMDIV(COMPLEX(1,0),IMSUM(IMDIV(COMPLEX(1,0),COMPLEX($B$5,0)), IMDIV(COMPLEX(1,0),G590)))</f>
        <v>0.0021861469417349-0.0193875881680126i</v>
      </c>
      <c r="I590" s="271" t="str">
        <f t="shared" ref="I590:I613" si="517">IMSUM(H590,COMPLEX($B$15,0))</f>
        <v>0.0121861469417349-0.0193875881680126i</v>
      </c>
      <c r="J590" s="270" t="str">
        <f t="shared" ref="J590:J613" si="518">IMDIV(COMPLEX(1,0),IMSUM(IMDIV(COMPLEX(1,0),F590),IMDIV(COMPLEX(1,0),IMSUM(COMPLEX($B$15,0),H590))))</f>
        <v>0.00333578643090295-0.0102951848462448i</v>
      </c>
      <c r="K590" s="271" t="str">
        <f t="shared" si="493"/>
        <v>0.598910105805409-0.994811362140507i</v>
      </c>
      <c r="L590" s="580"/>
      <c r="M590" s="580" t="str">
        <f t="shared" si="494"/>
        <v>-0.0213480719569128-11.2827590088943i</v>
      </c>
      <c r="N590" s="270" t="str">
        <f t="shared" si="495"/>
        <v>-6.68267772063435-8.46206925667073i</v>
      </c>
      <c r="O590" s="581" t="str">
        <f t="shared" si="496"/>
        <v>-4.04263768087883-3.1023134754632i</v>
      </c>
      <c r="P590" s="582" t="str">
        <f t="shared" si="497"/>
        <v>-0.10941055284174+0.0405717465980493i</v>
      </c>
      <c r="Q590" s="583" t="str">
        <f t="shared" si="498"/>
        <v>-0.0689841760329519+0.0715948813526815i</v>
      </c>
      <c r="R590" s="581" t="str">
        <f t="shared" ref="R590:R613" si="519">IMPRODUCT(M590,COMPLEX($B$29,0),K590,COMPLEX($B$34,0))</f>
        <v>-0.503136783999172-0.301609821681677i</v>
      </c>
      <c r="S590" s="253" t="str">
        <f t="shared" ref="S590:S613" si="520">IMDIV(IMPRODUCT(COMPLEX($B$34,0),M590),IMSUM(COMPLEX(1,0),R590))</f>
        <v>23.0564756819759-38.1450877507089i</v>
      </c>
      <c r="T590" s="253" t="str">
        <f t="shared" ref="T590:T613" si="521">IMDIV(IMPRODUCT(COMPLEX($B$34,0),O590),IMSUM(COMPLEX(1,0),R590))</f>
        <v>-7.29234683318625-18.7633782224733i</v>
      </c>
      <c r="U590" s="253" t="str">
        <f t="shared" ref="U590:U613" si="522">IMDIV(IMPRODUCT(COMPLEX($B$34,0),Q590),IMSUM(COMPLEX(1,0),R590))</f>
        <v>-0.379718791345409+0.10036151526245i</v>
      </c>
      <c r="V590" s="582" t="str">
        <f t="shared" si="499"/>
        <v>6000</v>
      </c>
      <c r="W590" s="584" t="str">
        <f t="shared" si="500"/>
        <v>1+443513.629854671i</v>
      </c>
      <c r="X590" s="585">
        <f t="shared" si="501"/>
        <v>443513.62985579844</v>
      </c>
      <c r="Y590" s="586">
        <f t="shared" si="502"/>
        <v>1.570794072072758</v>
      </c>
      <c r="Z590" s="273" t="str">
        <f t="shared" si="503"/>
        <v>1+66.5170669181628i</v>
      </c>
      <c r="AA590" s="585">
        <f t="shared" si="504"/>
        <v>66.524583361305972</v>
      </c>
      <c r="AB590" s="586">
        <f t="shared" si="505"/>
        <v>1.5557637236028594</v>
      </c>
      <c r="AC590" s="584" t="str">
        <f t="shared" si="506"/>
        <v>1+3.21579802311472i</v>
      </c>
      <c r="AD590" s="585">
        <f t="shared" si="507"/>
        <v>3.3676931162842818</v>
      </c>
      <c r="AE590" s="586">
        <f t="shared" si="508"/>
        <v>1.2693106823429476</v>
      </c>
      <c r="AF590" s="580" t="str">
        <f t="shared" ref="AF590:AF613" si="523">IMPRODUCT(V590,IMDIV(Z590,IMPRODUCT(W590,AC590)))</f>
        <v>0.0755083536367362-0.256345918239554i</v>
      </c>
      <c r="AG590" s="270">
        <f t="shared" ref="AG590:AG613" si="524">IMABS(AF590)</f>
        <v>0.26723536679678184</v>
      </c>
      <c r="AH590" s="581">
        <f t="shared" ref="AH590:AH613" si="525">IMARGUMENT(AF590)</f>
        <v>-1.2843410308128447</v>
      </c>
      <c r="AI590" s="582" t="str">
        <f t="shared" si="509"/>
        <v>4000</v>
      </c>
      <c r="AJ590" s="584" t="str">
        <f t="shared" ref="AJ590:AJ613" si="526">IMSUM(COMPLEX(1,0),IMDIV(COMPLEX(0,2*PI()*D590),COMPLEX(2*PI()*IL_Pole1,0)))</f>
        <v>1+34843.4926271693i</v>
      </c>
      <c r="AK590" s="585">
        <f t="shared" ref="AK590:AK613" si="527">IMABS(AJ590)</f>
        <v>34843.492641519173</v>
      </c>
      <c r="AL590" s="586">
        <f t="shared" ref="AL590:AL613" si="528">IMARGUMENT(AJ590)</f>
        <v>1.5707676270313446</v>
      </c>
      <c r="AM590" s="273" t="str">
        <f t="shared" ref="AM590:AM613" si="529">IMSUM(COMPLEX(1,0),IMDIV(COMPLEX(0,2*PI()*D590),COMPLEX(2*PI()*IL_Zero1,0)))</f>
        <v>1+1.21947956016632i</v>
      </c>
      <c r="AN590" s="585">
        <f t="shared" ref="AN590:AN613" si="530">IMABS(AM590)</f>
        <v>1.5770638533881376</v>
      </c>
      <c r="AO590" s="586">
        <f t="shared" ref="AO590:AO613" si="531">IMARGUMENT(AM590)</f>
        <v>0.88396555571641133</v>
      </c>
      <c r="AP590" s="584" t="str">
        <f t="shared" ref="AP590:AP613" si="532">IMSUM(COMPLEX(1,0),IMDIV(COMPLEX(0,2*PI()*D590),COMPLEX(2*PI()*IL_Pole2,0)))</f>
        <v>1+0.00882265430889098i</v>
      </c>
      <c r="AQ590" s="585">
        <f t="shared" ref="AQ590:AQ613" si="533">IMABS(AP590)</f>
        <v>1.0000389188571883</v>
      </c>
      <c r="AR590" s="586">
        <f t="shared" ref="AR590:AR613" si="534">IMARGUMENT(AP590)</f>
        <v>8.8224254033783759E-3</v>
      </c>
      <c r="AS590" s="580" t="str">
        <f t="shared" ref="AS590:AS613" si="535">IMPRODUCT(AI590,IMDIV(AM590,IMPRODUCT(AJ590,AP590)))</f>
        <v>0.138974780150333-0.116021162761591i</v>
      </c>
      <c r="AT590" s="270">
        <f t="shared" ref="AT590:AT613" si="536">IMABS(AS590)</f>
        <v>0.18103839296233543</v>
      </c>
      <c r="AU590" s="581">
        <f t="shared" ref="AU590:AU613" si="537">IMARGUMENT(AS590)</f>
        <v>-0.69562449671831084</v>
      </c>
      <c r="AV590" s="580" t="str">
        <f t="shared" ref="AV590:AV613" si="538">IMPRODUCT(T590,AS590,COMPLEX($B$15,0))</f>
        <v>-0.031904012566289-0.017615698044987i</v>
      </c>
      <c r="AW590" s="270">
        <f t="shared" ref="AW590:AW613" si="539">20*LOG10(IMABS(AV590))</f>
        <v>-28.767434445338171</v>
      </c>
      <c r="AX590" s="581">
        <f t="shared" ref="AX590:AX613" si="540">(180/PI())*IMARGUMENT(AV590)</f>
        <v>-151.09485666234573</v>
      </c>
      <c r="AY590" s="299">
        <f t="shared" si="510"/>
        <v>28.905143337654266</v>
      </c>
      <c r="BB590" s="270">
        <f t="shared" si="489"/>
        <v>-54.844586283440357</v>
      </c>
      <c r="BC590" s="270">
        <f t="shared" si="490"/>
        <v>-39.856347787871186</v>
      </c>
      <c r="BD590" s="286"/>
      <c r="BE590" s="270">
        <f t="shared" ref="BE590:BE613" si="541">20*LOG10(IMABS(T590))</f>
        <v>26.077151838102182</v>
      </c>
      <c r="BF590" s="581">
        <f t="shared" ref="BF590:BF613" si="542">180/PI()*IMARGUMENT(T590)</f>
        <v>-111.23850887447459</v>
      </c>
      <c r="BI590" s="286"/>
      <c r="BJ590" s="286"/>
      <c r="BL590" s="253">
        <f t="shared" si="511"/>
        <v>0</v>
      </c>
      <c r="BM590" s="253">
        <f t="shared" si="491"/>
        <v>0</v>
      </c>
      <c r="BN590" s="253">
        <f t="shared" si="512"/>
        <v>0</v>
      </c>
      <c r="BO590" s="253">
        <f t="shared" si="513"/>
        <v>0</v>
      </c>
    </row>
    <row r="591" spans="4:67" ht="13.6" thickBot="1" x14ac:dyDescent="0.25">
      <c r="D591" s="280">
        <v>131830</v>
      </c>
      <c r="E591" s="273" t="str">
        <f t="shared" si="492"/>
        <v>1.49096217428187i</v>
      </c>
      <c r="F591" s="579" t="str">
        <f t="shared" si="514"/>
        <v>0.002-0.0185734475159612i</v>
      </c>
      <c r="G591" s="270" t="str">
        <f t="shared" si="515"/>
        <v>0.002-0.0185734475159612i</v>
      </c>
      <c r="H591" s="271" t="str">
        <f t="shared" si="516"/>
        <v>0.00216995724772169-0.0185347609614735i</v>
      </c>
      <c r="I591" s="271" t="str">
        <f t="shared" si="517"/>
        <v>0.0121699572477217-0.0185347609614735i</v>
      </c>
      <c r="J591" s="270" t="str">
        <f t="shared" si="518"/>
        <v>0.00331490286293848-0.00988693721268332i</v>
      </c>
      <c r="K591" s="271" t="str">
        <f t="shared" si="493"/>
        <v>0.561143685765511-1.04059336563503i</v>
      </c>
      <c r="L591" s="580"/>
      <c r="M591" s="580" t="str">
        <f t="shared" si="494"/>
        <v>-0.0197447951031567-10.7826868222693i</v>
      </c>
      <c r="N591" s="270" t="str">
        <f t="shared" si="495"/>
        <v>-6.68147526299404-8.08701511670198i</v>
      </c>
      <c r="O591" s="581" t="str">
        <f t="shared" si="496"/>
        <v>-4.00720757048251-2.87765822662359i</v>
      </c>
      <c r="P591" s="582" t="str">
        <f t="shared" si="497"/>
        <v>-0.102104252174805+0.0392516568503367i</v>
      </c>
      <c r="Q591" s="583" t="str">
        <f t="shared" si="498"/>
        <v>-0.0620321764699797+0.0680282391165725i</v>
      </c>
      <c r="R591" s="581" t="str">
        <f t="shared" si="519"/>
        <v>-0.5028891605047-0.269997294217395i</v>
      </c>
      <c r="S591" s="253" t="str">
        <f t="shared" si="520"/>
        <v>20.8183673227227-38.4980641160372i</v>
      </c>
      <c r="T591" s="253" t="str">
        <f t="shared" si="521"/>
        <v>-8.7182025516789-18.0270402340628i</v>
      </c>
      <c r="U591" s="253" t="str">
        <f t="shared" si="522"/>
        <v>-0.353045008395341+0.122471893698202i</v>
      </c>
      <c r="V591" s="582" t="str">
        <f t="shared" si="499"/>
        <v>6000</v>
      </c>
      <c r="W591" s="584" t="str">
        <f t="shared" si="500"/>
        <v>1+463924.476900272i</v>
      </c>
      <c r="X591" s="585">
        <f t="shared" si="501"/>
        <v>463924.47690134973</v>
      </c>
      <c r="Y591" s="586">
        <f t="shared" si="502"/>
        <v>1.5707941712716385</v>
      </c>
      <c r="Z591" s="273" t="str">
        <f t="shared" si="503"/>
        <v>1+69.5782347998208i</v>
      </c>
      <c r="AA591" s="585">
        <f t="shared" si="504"/>
        <v>69.585420584049032</v>
      </c>
      <c r="AB591" s="586">
        <f t="shared" si="505"/>
        <v>1.5564250056917939</v>
      </c>
      <c r="AC591" s="584" t="str">
        <f t="shared" si="506"/>
        <v>1+3.36379158444191i</v>
      </c>
      <c r="AD591" s="585">
        <f t="shared" si="507"/>
        <v>3.5092867969948269</v>
      </c>
      <c r="AE591" s="586">
        <f t="shared" si="508"/>
        <v>1.281833521447413</v>
      </c>
      <c r="AF591" s="580" t="str">
        <f t="shared" si="523"/>
        <v>0.0695380156329522-0.246842591653987i</v>
      </c>
      <c r="AG591" s="270">
        <f t="shared" si="524"/>
        <v>0.25645038637644058</v>
      </c>
      <c r="AH591" s="581">
        <f t="shared" si="525"/>
        <v>-1.2962026870272585</v>
      </c>
      <c r="AI591" s="582" t="str">
        <f t="shared" si="509"/>
        <v>4000</v>
      </c>
      <c r="AJ591" s="584" t="str">
        <f t="shared" si="526"/>
        <v>1+36447.0176389727i</v>
      </c>
      <c r="AK591" s="585">
        <f t="shared" si="527"/>
        <v>36447.01765269124</v>
      </c>
      <c r="AL591" s="586">
        <f t="shared" si="528"/>
        <v>1.5707688897077348</v>
      </c>
      <c r="AM591" s="273" t="str">
        <f t="shared" si="529"/>
        <v>1+1.27560097133005i</v>
      </c>
      <c r="AN591" s="585">
        <f t="shared" si="530"/>
        <v>1.6208509610874673</v>
      </c>
      <c r="AO591" s="586">
        <f t="shared" si="531"/>
        <v>0.90592246050678449</v>
      </c>
      <c r="AP591" s="584" t="str">
        <f t="shared" si="532"/>
        <v>1+0.00922867981862334i</v>
      </c>
      <c r="AQ591" s="585">
        <f t="shared" si="533"/>
        <v>1.0000425833589262</v>
      </c>
      <c r="AR591" s="586">
        <f t="shared" si="534"/>
        <v>9.2284178343092285E-3</v>
      </c>
      <c r="AS591" s="580" t="str">
        <f t="shared" si="535"/>
        <v>0.138973478152216-0.111027049267605i</v>
      </c>
      <c r="AT591" s="270">
        <f t="shared" si="536"/>
        <v>0.1778781417116663</v>
      </c>
      <c r="AU591" s="581">
        <f t="shared" si="537"/>
        <v>-0.67407484703526066</v>
      </c>
      <c r="AV591" s="580" t="str">
        <f t="shared" si="538"/>
        <v>-0.0321308801605873-0.0153732417788743i</v>
      </c>
      <c r="AW591" s="270">
        <f t="shared" si="539"/>
        <v>-28.966307830525825</v>
      </c>
      <c r="AX591" s="581">
        <f t="shared" si="540"/>
        <v>-154.43089396454911</v>
      </c>
      <c r="AY591" s="299">
        <f t="shared" si="510"/>
        <v>25.569106035450886</v>
      </c>
      <c r="BB591" s="270">
        <f t="shared" si="489"/>
        <v>-54.997548325251884</v>
      </c>
      <c r="BC591" s="270">
        <f t="shared" si="490"/>
        <v>-38.62164381104698</v>
      </c>
      <c r="BD591" s="286"/>
      <c r="BE591" s="270">
        <f t="shared" si="541"/>
        <v>26.031240494726056</v>
      </c>
      <c r="BF591" s="581">
        <f t="shared" si="542"/>
        <v>-115.80925015350208</v>
      </c>
      <c r="BI591" s="286"/>
      <c r="BJ591" s="286"/>
      <c r="BL591" s="253">
        <f t="shared" si="511"/>
        <v>0</v>
      </c>
      <c r="BM591" s="253">
        <f t="shared" si="491"/>
        <v>0</v>
      </c>
      <c r="BN591" s="253">
        <f t="shared" si="512"/>
        <v>0</v>
      </c>
      <c r="BO591" s="253">
        <f t="shared" si="513"/>
        <v>0</v>
      </c>
    </row>
    <row r="592" spans="4:67" ht="13.6" thickBot="1" x14ac:dyDescent="0.25">
      <c r="D592" s="280">
        <v>144540</v>
      </c>
      <c r="E592" s="273" t="str">
        <f t="shared" si="492"/>
        <v>1.63470888773953i</v>
      </c>
      <c r="F592" s="579" t="str">
        <f t="shared" si="514"/>
        <v>0.002-0.0169402074583448i</v>
      </c>
      <c r="G592" s="270" t="str">
        <f t="shared" si="515"/>
        <v>0.002-0.0169402074583448i</v>
      </c>
      <c r="H592" s="271" t="str">
        <f t="shared" si="516"/>
        <v>0.0021410474739356-0.0169051673967547i</v>
      </c>
      <c r="I592" s="271" t="str">
        <f t="shared" si="517"/>
        <v>0.0121410474739356-0.0169051673967547i</v>
      </c>
      <c r="J592" s="270" t="str">
        <f t="shared" si="518"/>
        <v>0.00326951880137679-0.00910994101198257i</v>
      </c>
      <c r="K592" s="271" t="str">
        <f t="shared" si="493"/>
        <v>0.472442322163582-1.14091910087907i</v>
      </c>
      <c r="L592" s="580"/>
      <c r="M592" s="580" t="str">
        <f t="shared" si="494"/>
        <v>-0.0168595489481917-9.82850422862302i</v>
      </c>
      <c r="N592" s="270" t="str">
        <f t="shared" si="495"/>
        <v>-6.67931132837781-7.37137817146727i</v>
      </c>
      <c r="O592" s="581" t="str">
        <f t="shared" si="496"/>
        <v>-3.92821464632974-2.44294024479713i</v>
      </c>
      <c r="P592" s="582" t="str">
        <f t="shared" si="497"/>
        <v>-0.088990954287463+0.0367472726785181i</v>
      </c>
      <c r="Q592" s="583" t="str">
        <f t="shared" si="498"/>
        <v>-0.0497088078241655+0.0611766751264893i</v>
      </c>
      <c r="R592" s="581" t="str">
        <f t="shared" si="519"/>
        <v>-0.502442365729619-0.207047031742771i</v>
      </c>
      <c r="S592" s="253" t="str">
        <f t="shared" si="520"/>
        <v>16.0220794776688-38.6898571389079i</v>
      </c>
      <c r="T592" s="253" t="str">
        <f t="shared" si="521"/>
        <v>-11.4534879905647-16.0399052911044i</v>
      </c>
      <c r="U592" s="253" t="str">
        <f t="shared" si="522"/>
        <v>-0.295679745504161+0.159280933051531i</v>
      </c>
      <c r="V592" s="582" t="str">
        <f t="shared" si="499"/>
        <v>6000</v>
      </c>
      <c r="W592" s="584" t="str">
        <f t="shared" si="500"/>
        <v>1+508652.384822615i</v>
      </c>
      <c r="X592" s="585">
        <f t="shared" si="501"/>
        <v>508652.38482359808</v>
      </c>
      <c r="Y592" s="586">
        <f t="shared" si="502"/>
        <v>1.5707943608157136</v>
      </c>
      <c r="Z592" s="273" t="str">
        <f t="shared" si="503"/>
        <v>1+76.286414761178i</v>
      </c>
      <c r="AA592" s="585">
        <f t="shared" si="504"/>
        <v>76.292968726577129</v>
      </c>
      <c r="AB592" s="586">
        <f t="shared" si="505"/>
        <v>1.5576885836731647</v>
      </c>
      <c r="AC592" s="584" t="str">
        <f t="shared" si="506"/>
        <v>1+3.68810161279856i</v>
      </c>
      <c r="AD592" s="585">
        <f t="shared" si="507"/>
        <v>3.8212685729123179</v>
      </c>
      <c r="AE592" s="586">
        <f t="shared" si="508"/>
        <v>1.306020203598802</v>
      </c>
      <c r="AF592" s="580" t="str">
        <f t="shared" si="523"/>
        <v>0.0586468770225651-0.228089747715232i</v>
      </c>
      <c r="AG592" s="270">
        <f t="shared" si="524"/>
        <v>0.23550878794070099</v>
      </c>
      <c r="AH592" s="581">
        <f t="shared" si="525"/>
        <v>-1.3191259807413507</v>
      </c>
      <c r="AI592" s="582" t="str">
        <f t="shared" si="509"/>
        <v>4000</v>
      </c>
      <c r="AJ592" s="584" t="str">
        <f t="shared" si="526"/>
        <v>1+39960.9491734591i</v>
      </c>
      <c r="AK592" s="585">
        <f t="shared" si="527"/>
        <v>39960.949185971316</v>
      </c>
      <c r="AL592" s="586">
        <f t="shared" si="528"/>
        <v>1.5707713023642844</v>
      </c>
      <c r="AM592" s="273" t="str">
        <f t="shared" si="529"/>
        <v>1+1.3985842706216i</v>
      </c>
      <c r="AN592" s="585">
        <f t="shared" si="530"/>
        <v>1.7193132239444193</v>
      </c>
      <c r="AO592" s="586">
        <f t="shared" si="531"/>
        <v>0.9500682334200935</v>
      </c>
      <c r="AP592" s="584" t="str">
        <f t="shared" si="532"/>
        <v>1+0.010118435720123i</v>
      </c>
      <c r="AQ592" s="585">
        <f t="shared" si="533"/>
        <v>1.0000511900605</v>
      </c>
      <c r="AR592" s="586">
        <f t="shared" si="534"/>
        <v>1.0118090423604884E-2</v>
      </c>
      <c r="AS592" s="580" t="str">
        <f t="shared" si="535"/>
        <v>0.138970579861376-0.101500383988896i</v>
      </c>
      <c r="AT592" s="270">
        <f t="shared" si="536"/>
        <v>0.17209052855081949</v>
      </c>
      <c r="AU592" s="581">
        <f t="shared" si="537"/>
        <v>-0.63082115936779581</v>
      </c>
      <c r="AV592" s="580" t="str">
        <f t="shared" si="538"/>
        <v>-0.032197544136767-0.0106654151017181i</v>
      </c>
      <c r="AW592" s="270">
        <f t="shared" si="539"/>
        <v>-29.391386963916275</v>
      </c>
      <c r="AX592" s="581">
        <f t="shared" si="540"/>
        <v>-161.67258212881941</v>
      </c>
      <c r="AY592" s="299">
        <f t="shared" si="510"/>
        <v>18.327417871180586</v>
      </c>
      <c r="BB592" s="270">
        <f t="shared" si="489"/>
        <v>-55.284860630788529</v>
      </c>
      <c r="BC592" s="270">
        <f t="shared" si="490"/>
        <v>-36.143390059324204</v>
      </c>
      <c r="BD592" s="286"/>
      <c r="BE592" s="270">
        <f t="shared" si="541"/>
        <v>25.893473666872254</v>
      </c>
      <c r="BF592" s="581">
        <f t="shared" si="542"/>
        <v>-125.52919206949531</v>
      </c>
      <c r="BI592" s="286"/>
      <c r="BJ592" s="286"/>
      <c r="BL592" s="253">
        <f t="shared" si="511"/>
        <v>0</v>
      </c>
      <c r="BM592" s="253">
        <f t="shared" si="491"/>
        <v>0</v>
      </c>
      <c r="BN592" s="253">
        <f t="shared" si="512"/>
        <v>0</v>
      </c>
      <c r="BO592" s="253">
        <f t="shared" si="513"/>
        <v>0</v>
      </c>
    </row>
    <row r="593" spans="4:67" ht="13.6" thickBot="1" x14ac:dyDescent="0.25">
      <c r="D593" s="280">
        <v>158490</v>
      </c>
      <c r="E593" s="273" t="str">
        <f t="shared" si="492"/>
        <v>1.79247967080281i</v>
      </c>
      <c r="F593" s="579" t="str">
        <f t="shared" si="514"/>
        <v>0.002-0.0154491613731413i</v>
      </c>
      <c r="G593" s="270" t="str">
        <f t="shared" si="515"/>
        <v>0.002-0.0154491613731413i</v>
      </c>
      <c r="H593" s="271" t="str">
        <f t="shared" si="516"/>
        <v>0.0021169759066314-0.0154173912307083i</v>
      </c>
      <c r="I593" s="271" t="str">
        <f t="shared" si="517"/>
        <v>0.0121169759066314-0.0154173912307083i</v>
      </c>
      <c r="J593" s="270" t="str">
        <f t="shared" si="518"/>
        <v>0.00321999475877288-0.0084041909383663i</v>
      </c>
      <c r="K593" s="271" t="str">
        <f t="shared" si="493"/>
        <v>0.36569581323704-1.25103271273228i</v>
      </c>
      <c r="L593" s="580"/>
      <c r="M593" s="580" t="str">
        <f t="shared" si="494"/>
        <v>-0.0144283654891769-8.95880597501149i</v>
      </c>
      <c r="N593" s="270" t="str">
        <f t="shared" si="495"/>
        <v>-6.67748794078355-6.71910448125862i</v>
      </c>
      <c r="O593" s="581" t="str">
        <f t="shared" si="496"/>
        <v>-3.83963743654215-2.03960049966226i</v>
      </c>
      <c r="P593" s="582" t="str">
        <f t="shared" si="497"/>
        <v>-0.0779701131664222+0.0344834024296832i</v>
      </c>
      <c r="Q593" s="583" t="str">
        <f t="shared" si="498"/>
        <v>-0.0395737388010009+0.0548794074263059i</v>
      </c>
      <c r="R593" s="581" t="str">
        <f t="shared" si="519"/>
        <v>-0.502063675017254-0.145883553392216i</v>
      </c>
      <c r="S593" s="253" t="str">
        <f t="shared" si="520"/>
        <v>11.0854158789999-38.0643387241661i</v>
      </c>
      <c r="T593" s="253" t="str">
        <f t="shared" si="521"/>
        <v>-13.7685240272029-13.4391435334692i</v>
      </c>
      <c r="U593" s="253" t="str">
        <f t="shared" si="522"/>
        <v>-0.236344167296602+0.183824378530679i</v>
      </c>
      <c r="V593" s="582" t="str">
        <f t="shared" si="499"/>
        <v>6000</v>
      </c>
      <c r="W593" s="584" t="str">
        <f t="shared" si="500"/>
        <v>1+557743.991078845i</v>
      </c>
      <c r="X593" s="585">
        <f t="shared" si="501"/>
        <v>557743.99107974139</v>
      </c>
      <c r="Y593" s="586">
        <f t="shared" si="502"/>
        <v>1.5707945338576064</v>
      </c>
      <c r="Z593" s="273" t="str">
        <f t="shared" si="503"/>
        <v>1+83.649051304131i</v>
      </c>
      <c r="AA593" s="585">
        <f t="shared" si="504"/>
        <v>83.655028444685499</v>
      </c>
      <c r="AB593" s="586">
        <f t="shared" si="505"/>
        <v>1.5588421880432271</v>
      </c>
      <c r="AC593" s="584" t="str">
        <f t="shared" si="506"/>
        <v>1+4.04405164392171i</v>
      </c>
      <c r="AD593" s="585">
        <f t="shared" si="507"/>
        <v>4.1658556982576691</v>
      </c>
      <c r="AE593" s="586">
        <f t="shared" si="508"/>
        <v>1.3283823479679548</v>
      </c>
      <c r="AF593" s="580" t="str">
        <f t="shared" si="523"/>
        <v>0.0493459562426281-0.210313605803608i</v>
      </c>
      <c r="AG593" s="270">
        <f t="shared" si="524"/>
        <v>0.21602508230206691</v>
      </c>
      <c r="AH593" s="581">
        <f t="shared" si="525"/>
        <v>-1.3403346937823337</v>
      </c>
      <c r="AI593" s="582" t="str">
        <f t="shared" si="509"/>
        <v>4000</v>
      </c>
      <c r="AJ593" s="584" t="str">
        <f t="shared" si="526"/>
        <v>1+43817.7032966759i</v>
      </c>
      <c r="AK593" s="585">
        <f t="shared" si="527"/>
        <v>43817.703308086813</v>
      </c>
      <c r="AL593" s="586">
        <f t="shared" si="528"/>
        <v>1.5707735049689087</v>
      </c>
      <c r="AM593" s="273" t="str">
        <f t="shared" si="529"/>
        <v>1+1.53356594057574i</v>
      </c>
      <c r="AN593" s="585">
        <f t="shared" si="530"/>
        <v>1.8307988677334148</v>
      </c>
      <c r="AO593" s="586">
        <f t="shared" si="531"/>
        <v>0.99296379442121074</v>
      </c>
      <c r="AP593" s="584" t="str">
        <f t="shared" si="532"/>
        <v>1+0.0110949970754275i</v>
      </c>
      <c r="AQ593" s="585">
        <f t="shared" si="533"/>
        <v>1.0000615475859993</v>
      </c>
      <c r="AR593" s="586">
        <f t="shared" si="534"/>
        <v>1.1094541848182381E-2</v>
      </c>
      <c r="AS593" s="580" t="str">
        <f t="shared" si="535"/>
        <v>0.138967279791791-0.0928259505389788i</v>
      </c>
      <c r="AT593" s="270">
        <f t="shared" si="536"/>
        <v>0.16711840696402913</v>
      </c>
      <c r="AU593" s="581">
        <f t="shared" si="537"/>
        <v>-0.5889042523958824</v>
      </c>
      <c r="AV593" s="580" t="str">
        <f t="shared" si="538"/>
        <v>-0.0316087560373235-0.00589524889233775i</v>
      </c>
      <c r="AW593" s="270">
        <f t="shared" si="539"/>
        <v>-29.855351512229706</v>
      </c>
      <c r="AX593" s="581">
        <f t="shared" si="540"/>
        <v>-169.43532643704444</v>
      </c>
      <c r="AY593" s="299">
        <f t="shared" si="510"/>
        <v>10.564673562955562</v>
      </c>
      <c r="BB593" s="270">
        <f t="shared" si="489"/>
        <v>-55.539514257351158</v>
      </c>
      <c r="BC593" s="270">
        <f t="shared" si="490"/>
        <v>-33.741728199591066</v>
      </c>
      <c r="BD593" s="286"/>
      <c r="BE593" s="270">
        <f t="shared" si="541"/>
        <v>25.684162745121458</v>
      </c>
      <c r="BF593" s="581">
        <f t="shared" si="542"/>
        <v>-135.69359823745339</v>
      </c>
      <c r="BI593" s="286"/>
      <c r="BJ593" s="286"/>
      <c r="BL593" s="253">
        <f t="shared" si="511"/>
        <v>0</v>
      </c>
      <c r="BM593" s="253">
        <f t="shared" si="491"/>
        <v>0</v>
      </c>
      <c r="BN593" s="253">
        <f t="shared" si="512"/>
        <v>0</v>
      </c>
      <c r="BO593" s="253">
        <f t="shared" si="513"/>
        <v>0</v>
      </c>
    </row>
    <row r="594" spans="4:67" ht="13.6" thickBot="1" x14ac:dyDescent="0.25">
      <c r="D594" s="280">
        <v>173780</v>
      </c>
      <c r="E594" s="273" t="str">
        <f t="shared" si="492"/>
        <v>1.965405496827i</v>
      </c>
      <c r="F594" s="579" t="str">
        <f t="shared" si="514"/>
        <v>0.002-0.0140898698701183i</v>
      </c>
      <c r="G594" s="270" t="str">
        <f t="shared" si="515"/>
        <v>0.002-0.0140898698701183i</v>
      </c>
      <c r="H594" s="271" t="str">
        <f t="shared" si="516"/>
        <v>0.00209696212072088-0.014061035872544i</v>
      </c>
      <c r="I594" s="271" t="str">
        <f t="shared" si="517"/>
        <v>0.0120969621207209-0.014061035872544i</v>
      </c>
      <c r="J594" s="270" t="str">
        <f t="shared" si="518"/>
        <v>0.00316589557340454-0.00776364900710798i</v>
      </c>
      <c r="K594" s="271" t="str">
        <f t="shared" si="493"/>
        <v>0.23740591399207-1.3717235460825i</v>
      </c>
      <c r="L594" s="580"/>
      <c r="M594" s="580" t="str">
        <f t="shared" si="494"/>
        <v>-0.012378274790663-8.16702577564181i</v>
      </c>
      <c r="N594" s="270" t="str">
        <f t="shared" si="495"/>
        <v>-6.67595037275967-6.12526933173136i</v>
      </c>
      <c r="O594" s="581" t="str">
        <f t="shared" si="496"/>
        <v>-3.74087933273787-1.6667710348708i</v>
      </c>
      <c r="P594" s="582" t="str">
        <f t="shared" si="497"/>
        <v>-0.0686898028989534+0.0324377724197389i</v>
      </c>
      <c r="Q594" s="583" t="str">
        <f t="shared" si="498"/>
        <v>-0.0312810095715745+0.0491054827684468i</v>
      </c>
      <c r="R594" s="581" t="str">
        <f t="shared" si="519"/>
        <v>-0.501741496457242-0.086053997008505i</v>
      </c>
      <c r="S594" s="253" t="str">
        <f t="shared" si="520"/>
        <v>6.25653001637829-36.5560208236396i</v>
      </c>
      <c r="T594" s="253" t="str">
        <f t="shared" si="521"/>
        <v>-15.4518120971503-10.34975394839i</v>
      </c>
      <c r="U594" s="253" t="str">
        <f t="shared" si="522"/>
        <v>-0.177930126204537+0.195565442205285i</v>
      </c>
      <c r="V594" s="582" t="str">
        <f t="shared" si="499"/>
        <v>6000</v>
      </c>
      <c r="W594" s="584" t="str">
        <f t="shared" si="500"/>
        <v>1+611551.206824922i</v>
      </c>
      <c r="X594" s="585">
        <f t="shared" si="501"/>
        <v>611551.20682573959</v>
      </c>
      <c r="Y594" s="586">
        <f t="shared" si="502"/>
        <v>1.5707946916088502</v>
      </c>
      <c r="Z594" s="273" t="str">
        <f t="shared" si="503"/>
        <v>1+91.7189231852603i</v>
      </c>
      <c r="AA594" s="585">
        <f t="shared" si="504"/>
        <v>91.724374461010527</v>
      </c>
      <c r="AB594" s="586">
        <f t="shared" si="505"/>
        <v>1.5598938832874127</v>
      </c>
      <c r="AC594" s="584" t="str">
        <f t="shared" si="506"/>
        <v>1+4.43419329093769i</v>
      </c>
      <c r="AD594" s="585">
        <f t="shared" si="507"/>
        <v>4.545554987171184</v>
      </c>
      <c r="AE594" s="586">
        <f t="shared" si="508"/>
        <v>1.3489868396600415</v>
      </c>
      <c r="AF594" s="580" t="str">
        <f t="shared" si="523"/>
        <v>0.0414463395550769-0.193590725620116i</v>
      </c>
      <c r="AG594" s="270">
        <f t="shared" si="524"/>
        <v>0.19797769598780005</v>
      </c>
      <c r="AH594" s="581">
        <f t="shared" si="525"/>
        <v>-1.3598876479814794</v>
      </c>
      <c r="AI594" s="582" t="str">
        <f t="shared" si="509"/>
        <v>4000</v>
      </c>
      <c r="AJ594" s="584" t="str">
        <f t="shared" si="526"/>
        <v>1+48044.9269915852i</v>
      </c>
      <c r="AK594" s="585">
        <f t="shared" si="527"/>
        <v>48044.927001992117</v>
      </c>
      <c r="AL594" s="586">
        <f t="shared" si="528"/>
        <v>1.5707755129428944</v>
      </c>
      <c r="AM594" s="273" t="str">
        <f t="shared" si="529"/>
        <v>1+1.68151359172977i</v>
      </c>
      <c r="AN594" s="585">
        <f t="shared" si="530"/>
        <v>1.9563966773566022</v>
      </c>
      <c r="AO594" s="586">
        <f t="shared" si="531"/>
        <v>1.0342813002044544</v>
      </c>
      <c r="AP594" s="584" t="str">
        <f t="shared" si="532"/>
        <v>1+0.0121653643243599i</v>
      </c>
      <c r="AQ594" s="585">
        <f t="shared" si="533"/>
        <v>1.0000739953069195</v>
      </c>
      <c r="AR594" s="586">
        <f t="shared" si="534"/>
        <v>1.2164764235531138E-2</v>
      </c>
      <c r="AS594" s="580" t="str">
        <f t="shared" si="535"/>
        <v>0.13896347000428-0.0849430353875256i</v>
      </c>
      <c r="AT594" s="270">
        <f t="shared" si="536"/>
        <v>0.16286855207951242</v>
      </c>
      <c r="AU594" s="581">
        <f t="shared" si="537"/>
        <v>-0.54865897697397026</v>
      </c>
      <c r="AV594" s="580" t="str">
        <f t="shared" si="538"/>
        <v>-0.0302637694276439-0.00125713900589138i</v>
      </c>
      <c r="AW594" s="270">
        <f t="shared" si="539"/>
        <v>-30.374052219798191</v>
      </c>
      <c r="AX594" s="581">
        <f t="shared" si="540"/>
        <v>-177.62133486925413</v>
      </c>
      <c r="AY594" s="299">
        <f t="shared" si="510"/>
        <v>2.3786651307458726</v>
      </c>
      <c r="BB594" s="270">
        <f t="shared" si="489"/>
        <v>-55.763255290725262</v>
      </c>
      <c r="BC594" s="270">
        <f t="shared" si="490"/>
        <v>-31.435843772573911</v>
      </c>
      <c r="BD594" s="286"/>
      <c r="BE594" s="270">
        <f t="shared" si="541"/>
        <v>25.389203070927067</v>
      </c>
      <c r="BF594" s="581">
        <f t="shared" si="542"/>
        <v>-146.18549109668021</v>
      </c>
      <c r="BI594" s="286"/>
      <c r="BJ594" s="286"/>
      <c r="BL594" s="253">
        <f t="shared" si="511"/>
        <v>0</v>
      </c>
      <c r="BM594" s="253">
        <f t="shared" si="491"/>
        <v>0</v>
      </c>
      <c r="BN594" s="253">
        <f t="shared" si="512"/>
        <v>0</v>
      </c>
      <c r="BO594" s="253">
        <f t="shared" si="513"/>
        <v>0</v>
      </c>
    </row>
    <row r="595" spans="4:67" ht="13.6" thickBot="1" x14ac:dyDescent="0.25">
      <c r="D595" s="280">
        <v>190550</v>
      </c>
      <c r="E595" s="273" t="str">
        <f t="shared" si="492"/>
        <v>2.15506972850953i</v>
      </c>
      <c r="F595" s="579" t="str">
        <f t="shared" si="514"/>
        <v>0.002-0.0128498430124857i</v>
      </c>
      <c r="G595" s="270" t="str">
        <f t="shared" si="515"/>
        <v>0.002-0.0128498430124857i</v>
      </c>
      <c r="H595" s="271" t="str">
        <f t="shared" si="516"/>
        <v>0.00208031065667294-0.0128236535262817i</v>
      </c>
      <c r="I595" s="271" t="str">
        <f t="shared" si="517"/>
        <v>0.0120803106566729-0.0128236535262817i</v>
      </c>
      <c r="J595" s="270" t="str">
        <f t="shared" si="518"/>
        <v>0.0031068516773372-0.00718120922284968i</v>
      </c>
      <c r="K595" s="271" t="str">
        <f t="shared" si="493"/>
        <v>0.083121575212747-1.5040966837727i</v>
      </c>
      <c r="L595" s="580"/>
      <c r="M595" s="580" t="str">
        <f t="shared" si="494"/>
        <v>-0.0106433711859694-7.44552639322722i</v>
      </c>
      <c r="N595" s="270" t="str">
        <f t="shared" si="495"/>
        <v>-6.67464919505615-5.58414479492042i</v>
      </c>
      <c r="O595" s="581" t="str">
        <f t="shared" si="496"/>
        <v>-3.63144438613601-1.32326413830324i</v>
      </c>
      <c r="P595" s="582" t="str">
        <f t="shared" si="497"/>
        <v>-0.0608380571503081+0.0305829427362311i</v>
      </c>
      <c r="Q595" s="583" t="str">
        <f t="shared" si="498"/>
        <v>-0.0245236132889483+0.0438155841192636i</v>
      </c>
      <c r="R595" s="581" t="str">
        <f t="shared" si="519"/>
        <v>-0.501465504128394-0.0269937381003395i</v>
      </c>
      <c r="S595" s="253" t="str">
        <f t="shared" si="520"/>
        <v>1.8025105874135-34.1950611379948i</v>
      </c>
      <c r="T595" s="253" t="str">
        <f t="shared" si="521"/>
        <v>-16.3477999273518-6.97987059915368i</v>
      </c>
      <c r="U595" s="253" t="str">
        <f t="shared" si="522"/>
        <v>-0.123515944623854+0.195118222995716i</v>
      </c>
      <c r="V595" s="582" t="str">
        <f t="shared" si="499"/>
        <v>6000</v>
      </c>
      <c r="W595" s="584" t="str">
        <f t="shared" si="500"/>
        <v>1+670566.707679185i</v>
      </c>
      <c r="X595" s="585">
        <f t="shared" si="501"/>
        <v>670566.70767993061</v>
      </c>
      <c r="Y595" s="586">
        <f t="shared" si="502"/>
        <v>1.5707948355189527</v>
      </c>
      <c r="Z595" s="273" t="str">
        <f t="shared" si="503"/>
        <v>1+100.569920663778i</v>
      </c>
      <c r="AA595" s="585">
        <f t="shared" si="504"/>
        <v>100.57489220634842</v>
      </c>
      <c r="AB595" s="586">
        <f t="shared" si="505"/>
        <v>1.5608533235714164</v>
      </c>
      <c r="AC595" s="584" t="str">
        <f t="shared" si="506"/>
        <v>1+4.86209881222337i</v>
      </c>
      <c r="AD595" s="585">
        <f t="shared" si="507"/>
        <v>4.9638699479160309</v>
      </c>
      <c r="AE595" s="586">
        <f t="shared" si="508"/>
        <v>1.3679524409288237</v>
      </c>
      <c r="AF595" s="580" t="str">
        <f t="shared" si="523"/>
        <v>0.0347551543582804-0.177929308440875i</v>
      </c>
      <c r="AG595" s="270">
        <f t="shared" si="524"/>
        <v>0.18129191806783868</v>
      </c>
      <c r="AH595" s="581">
        <f t="shared" si="525"/>
        <v>-1.3778939528763603</v>
      </c>
      <c r="AI595" s="582" t="str">
        <f t="shared" si="509"/>
        <v>4000</v>
      </c>
      <c r="AJ595" s="584" t="str">
        <f t="shared" si="526"/>
        <v>1+52681.3260343339i</v>
      </c>
      <c r="AK595" s="585">
        <f t="shared" si="527"/>
        <v>52681.326043824927</v>
      </c>
      <c r="AL595" s="586">
        <f t="shared" si="528"/>
        <v>1.5707773447366389</v>
      </c>
      <c r="AM595" s="273" t="str">
        <f t="shared" si="529"/>
        <v>1+1.84378187883593i</v>
      </c>
      <c r="AN595" s="585">
        <f t="shared" si="530"/>
        <v>2.0975060468860995</v>
      </c>
      <c r="AO595" s="586">
        <f t="shared" si="531"/>
        <v>1.0738349679739723</v>
      </c>
      <c r="AP595" s="584" t="str">
        <f t="shared" si="532"/>
        <v>1+0.0133393380826722i</v>
      </c>
      <c r="AQ595" s="585">
        <f t="shared" si="533"/>
        <v>1.000088965012855</v>
      </c>
      <c r="AR595" s="586">
        <f t="shared" si="534"/>
        <v>1.3338546975682635E-2</v>
      </c>
      <c r="AS595" s="580" t="str">
        <f t="shared" si="535"/>
        <v>0.138959018391364-0.077779196943622i</v>
      </c>
      <c r="AT595" s="270">
        <f t="shared" si="536"/>
        <v>0.15924576060129883</v>
      </c>
      <c r="AU595" s="581">
        <f t="shared" si="537"/>
        <v>-0.51028092373834888</v>
      </c>
      <c r="AV595" s="580" t="str">
        <f t="shared" si="538"/>
        <v>-0.0281456296073579+0.00301602783187288i</v>
      </c>
      <c r="AW595" s="270">
        <f t="shared" si="539"/>
        <v>-30.962195508517564</v>
      </c>
      <c r="AX595" s="581">
        <f t="shared" si="540"/>
        <v>173.8836417708205</v>
      </c>
      <c r="AY595" s="299">
        <f t="shared" si="510"/>
        <v>-6.1163582291794967</v>
      </c>
      <c r="BB595" s="270">
        <f t="shared" si="489"/>
        <v>-55.958642410240884</v>
      </c>
      <c r="BC595" s="270">
        <f t="shared" si="490"/>
        <v>-29.236943296244412</v>
      </c>
      <c r="BD595" s="286"/>
      <c r="BE595" s="270">
        <f t="shared" si="541"/>
        <v>24.996446901723317</v>
      </c>
      <c r="BF595" s="581">
        <f t="shared" si="542"/>
        <v>-156.87941493293511</v>
      </c>
      <c r="BI595" s="286"/>
      <c r="BJ595" s="286"/>
      <c r="BL595" s="253">
        <f t="shared" si="511"/>
        <v>0</v>
      </c>
      <c r="BM595" s="253">
        <f t="shared" si="491"/>
        <v>0</v>
      </c>
      <c r="BN595" s="253">
        <f t="shared" si="512"/>
        <v>0</v>
      </c>
      <c r="BO595" s="253">
        <f t="shared" si="513"/>
        <v>0</v>
      </c>
    </row>
    <row r="596" spans="4:67" ht="13.6" thickBot="1" x14ac:dyDescent="0.25">
      <c r="D596" s="280">
        <v>208930</v>
      </c>
      <c r="E596" s="273" t="str">
        <f t="shared" si="492"/>
        <v>2.36294263121226i</v>
      </c>
      <c r="F596" s="579" t="str">
        <f t="shared" si="514"/>
        <v>0.002-0.0117194160055002i</v>
      </c>
      <c r="G596" s="270" t="str">
        <f t="shared" si="515"/>
        <v>0.002-0.0117194160055002i</v>
      </c>
      <c r="H596" s="271" t="str">
        <f t="shared" si="516"/>
        <v>0.00206646640192677-0.0116956115042831i</v>
      </c>
      <c r="I596" s="271" t="str">
        <f t="shared" si="517"/>
        <v>0.0120664664019268-0.0116956115042831i</v>
      </c>
      <c r="J596" s="270" t="str">
        <f t="shared" si="518"/>
        <v>0.00304277828867902-0.00665102538763625i</v>
      </c>
      <c r="K596" s="271" t="str">
        <f t="shared" si="493"/>
        <v>-0.10228895482438-1.64917827415707i</v>
      </c>
      <c r="L596" s="580"/>
      <c r="M596" s="580" t="str">
        <f t="shared" si="494"/>
        <v>-0.00917104175214251-6.7884112769951i</v>
      </c>
      <c r="N596" s="270" t="str">
        <f t="shared" si="495"/>
        <v>-6.67354494798078-5.09130845774633i</v>
      </c>
      <c r="O596" s="581" t="str">
        <f t="shared" si="496"/>
        <v>-3.51134556836296-1.00884046588503i</v>
      </c>
      <c r="P596" s="582" t="str">
        <f t="shared" si="497"/>
        <v>-0.0541685394849975+0.0288941940383534i</v>
      </c>
      <c r="Q596" s="583" t="str">
        <f t="shared" si="498"/>
        <v>-0.0190550838013678+0.0389825986972038i</v>
      </c>
      <c r="R596" s="581" t="str">
        <f t="shared" si="519"/>
        <v>-0.501227571883445+0.0317680495364084i</v>
      </c>
      <c r="S596" s="253" t="str">
        <f t="shared" si="520"/>
        <v>-2.02447334652489-31.1222557991147i</v>
      </c>
      <c r="T596" s="253" t="str">
        <f t="shared" si="521"/>
        <v>-16.3941670871463-3.60012322763222i</v>
      </c>
      <c r="U596" s="253" t="str">
        <f t="shared" si="522"/>
        <v>-0.0759836381110938+0.18430027549487i</v>
      </c>
      <c r="V596" s="582" t="str">
        <f t="shared" si="499"/>
        <v>6000</v>
      </c>
      <c r="W596" s="584" t="str">
        <f t="shared" si="500"/>
        <v>1+735247.978144382i</v>
      </c>
      <c r="X596" s="585">
        <f t="shared" si="501"/>
        <v>735247.97814506211</v>
      </c>
      <c r="Y596" s="586">
        <f t="shared" si="502"/>
        <v>1.5707949667095515</v>
      </c>
      <c r="Z596" s="273" t="str">
        <f t="shared" si="503"/>
        <v>1+110.270656123239i</v>
      </c>
      <c r="AA596" s="585">
        <f t="shared" si="504"/>
        <v>110.2751903278776</v>
      </c>
      <c r="AB596" s="586">
        <f t="shared" si="505"/>
        <v>1.5617279796627979</v>
      </c>
      <c r="AC596" s="584" t="str">
        <f t="shared" si="506"/>
        <v>1+5.33108530484297i</v>
      </c>
      <c r="AD596" s="585">
        <f t="shared" si="507"/>
        <v>5.424064023176042</v>
      </c>
      <c r="AE596" s="586">
        <f t="shared" si="508"/>
        <v>1.3853719975610748</v>
      </c>
      <c r="AF596" s="580" t="str">
        <f t="shared" si="523"/>
        <v>0.02910786791282-0.16333581506198i</v>
      </c>
      <c r="AG596" s="270">
        <f t="shared" si="524"/>
        <v>0.16590918135049521</v>
      </c>
      <c r="AH596" s="581">
        <f t="shared" si="525"/>
        <v>-1.394438984607828</v>
      </c>
      <c r="AI596" s="582" t="str">
        <f t="shared" si="509"/>
        <v>4000</v>
      </c>
      <c r="AJ596" s="584" t="str">
        <f t="shared" si="526"/>
        <v>1+57762.8415027729i</v>
      </c>
      <c r="AK596" s="585">
        <f t="shared" si="527"/>
        <v>57762.841511428989</v>
      </c>
      <c r="AL596" s="586">
        <f t="shared" si="528"/>
        <v>1.5707790146271798</v>
      </c>
      <c r="AM596" s="273" t="str">
        <f t="shared" si="529"/>
        <v>1+2.02162869559271i</v>
      </c>
      <c r="AN596" s="585">
        <f t="shared" si="530"/>
        <v>2.2554340120792453</v>
      </c>
      <c r="AO596" s="586">
        <f t="shared" si="531"/>
        <v>1.1114373275784677</v>
      </c>
      <c r="AP596" s="584" t="str">
        <f t="shared" si="532"/>
        <v>1+0.0146260189221344i</v>
      </c>
      <c r="AQ596" s="585">
        <f t="shared" si="533"/>
        <v>1.0001069544951233</v>
      </c>
      <c r="AR596" s="586">
        <f t="shared" si="534"/>
        <v>1.4624976121227026E-2</v>
      </c>
      <c r="AS596" s="580" t="str">
        <f t="shared" si="535"/>
        <v>0.138953777000136-0.0712785878067736i</v>
      </c>
      <c r="AT596" s="270">
        <f t="shared" si="536"/>
        <v>0.15616910457043501</v>
      </c>
      <c r="AU596" s="581">
        <f t="shared" si="537"/>
        <v>-0.47396666316993818</v>
      </c>
      <c r="AV596" s="580" t="str">
        <f t="shared" si="538"/>
        <v>-0.0253464313712628+0.00668302358094658i</v>
      </c>
      <c r="AW596" s="270">
        <f t="shared" si="539"/>
        <v>-31.629772783029235</v>
      </c>
      <c r="AX596" s="581">
        <f t="shared" si="540"/>
        <v>165.22914741265518</v>
      </c>
      <c r="AY596" s="299">
        <f t="shared" si="510"/>
        <v>-14.77085258734482</v>
      </c>
      <c r="BB596" s="270">
        <f t="shared" si="489"/>
        <v>-56.128097596334818</v>
      </c>
      <c r="BC596" s="270">
        <f t="shared" si="490"/>
        <v>-27.156289429536134</v>
      </c>
      <c r="BD596" s="286"/>
      <c r="BE596" s="270">
        <f t="shared" si="541"/>
        <v>24.498324813305601</v>
      </c>
      <c r="BF596" s="581">
        <f t="shared" si="542"/>
        <v>-167.61456315780867</v>
      </c>
      <c r="BI596" s="286"/>
      <c r="BJ596" s="286"/>
      <c r="BL596" s="253">
        <f t="shared" si="511"/>
        <v>0</v>
      </c>
      <c r="BM596" s="253">
        <f t="shared" si="491"/>
        <v>0</v>
      </c>
      <c r="BN596" s="253">
        <f t="shared" si="512"/>
        <v>0</v>
      </c>
      <c r="BO596" s="253">
        <f t="shared" si="513"/>
        <v>0</v>
      </c>
    </row>
    <row r="597" spans="4:67" ht="13.6" thickBot="1" x14ac:dyDescent="0.25">
      <c r="D597" s="280">
        <v>229090</v>
      </c>
      <c r="E597" s="273" t="str">
        <f t="shared" si="492"/>
        <v>2.59094685963919i</v>
      </c>
      <c r="F597" s="579" t="str">
        <f t="shared" si="514"/>
        <v>0.002-0.0106881033045055i</v>
      </c>
      <c r="G597" s="270" t="str">
        <f t="shared" si="515"/>
        <v>0.002-0.0106881033045055i</v>
      </c>
      <c r="H597" s="271" t="str">
        <f t="shared" si="516"/>
        <v>0.00205494713989162-0.0106664551057415i</v>
      </c>
      <c r="I597" s="271" t="str">
        <f t="shared" si="517"/>
        <v>0.0120549471398916-0.0106664551057415i</v>
      </c>
      <c r="J597" s="270" t="str">
        <f t="shared" si="518"/>
        <v>0.00297373954418992-0.00616683470361322i</v>
      </c>
      <c r="K597" s="271" t="str">
        <f t="shared" si="493"/>
        <v>-0.32527532385545-1.80831020354494i</v>
      </c>
      <c r="L597" s="580"/>
      <c r="M597" s="580" t="str">
        <f t="shared" si="494"/>
        <v>-0.00791543846378335-6.18937894139652i</v>
      </c>
      <c r="N597" s="270" t="str">
        <f t="shared" si="495"/>
        <v>-6.67260324551451-4.64203420604739i</v>
      </c>
      <c r="O597" s="581" t="str">
        <f t="shared" si="496"/>
        <v>-3.38086214547126-0.723120028510775i</v>
      </c>
      <c r="P597" s="582" t="str">
        <f t="shared" si="497"/>
        <v>-0.0484692417710892+0.0273446405738757i</v>
      </c>
      <c r="Q597" s="583" t="str">
        <f t="shared" si="498"/>
        <v>-0.0146606203163767+0.0345758408589835i</v>
      </c>
      <c r="R597" s="581" t="str">
        <f t="shared" si="519"/>
        <v>-0.501020715804351+0.0907842590427428i</v>
      </c>
      <c r="S597" s="253" t="str">
        <f t="shared" si="520"/>
        <v>-5.05117410704542-27.562665622797i</v>
      </c>
      <c r="T597" s="253" t="str">
        <f t="shared" si="521"/>
        <v>-15.6452482384955-0.481087238343515i</v>
      </c>
      <c r="U597" s="253" t="str">
        <f t="shared" si="522"/>
        <v>-0.0372816535503269+0.165890729109621i</v>
      </c>
      <c r="V597" s="582" t="str">
        <f t="shared" si="499"/>
        <v>6000</v>
      </c>
      <c r="W597" s="584" t="str">
        <f t="shared" si="500"/>
        <v>1+806193.267185643i</v>
      </c>
      <c r="X597" s="585">
        <f t="shared" si="501"/>
        <v>806193.26718626311</v>
      </c>
      <c r="Y597" s="586">
        <f t="shared" si="502"/>
        <v>1.5707950863975368</v>
      </c>
      <c r="Z597" s="273" t="str">
        <f t="shared" si="503"/>
        <v>1+120.910853449829i</v>
      </c>
      <c r="AA597" s="585">
        <f t="shared" si="504"/>
        <v>120.91498865718025</v>
      </c>
      <c r="AB597" s="586">
        <f t="shared" si="505"/>
        <v>1.5625259592331369</v>
      </c>
      <c r="AC597" s="584" t="str">
        <f t="shared" si="506"/>
        <v>1+5.84549051111126i</v>
      </c>
      <c r="AD597" s="585">
        <f t="shared" si="507"/>
        <v>5.9304097089064403</v>
      </c>
      <c r="AE597" s="586">
        <f t="shared" si="508"/>
        <v>1.4013644240353345</v>
      </c>
      <c r="AF597" s="580" t="str">
        <f t="shared" si="523"/>
        <v>0.0243495316672076-0.149776224278473i</v>
      </c>
      <c r="AG597" s="270">
        <f t="shared" si="524"/>
        <v>0.15174260130737113</v>
      </c>
      <c r="AH597" s="581">
        <f t="shared" si="525"/>
        <v>-1.4096335511997351</v>
      </c>
      <c r="AI597" s="582" t="str">
        <f t="shared" si="509"/>
        <v>4000</v>
      </c>
      <c r="AJ597" s="584" t="str">
        <f t="shared" si="526"/>
        <v>1+63336.4732679378i</v>
      </c>
      <c r="AK597" s="585">
        <f t="shared" si="527"/>
        <v>63336.473275832148</v>
      </c>
      <c r="AL597" s="586">
        <f t="shared" si="528"/>
        <v>1.5707805381039841</v>
      </c>
      <c r="AM597" s="273" t="str">
        <f t="shared" si="529"/>
        <v>1+2.21669897991353i</v>
      </c>
      <c r="AN597" s="585">
        <f t="shared" si="530"/>
        <v>2.4318212038613538</v>
      </c>
      <c r="AO597" s="586">
        <f t="shared" si="531"/>
        <v>1.1470103650861618</v>
      </c>
      <c r="AP597" s="584" t="str">
        <f t="shared" si="532"/>
        <v>1+0.0160373075904454i</v>
      </c>
      <c r="AQ597" s="585">
        <f t="shared" si="533"/>
        <v>1.0001285893497649</v>
      </c>
      <c r="AR597" s="586">
        <f t="shared" si="534"/>
        <v>1.6035932896214553E-2</v>
      </c>
      <c r="AS597" s="580" t="str">
        <f t="shared" si="535"/>
        <v>0.138947563693978-0.0653808981181444i</v>
      </c>
      <c r="AT597" s="270">
        <f t="shared" si="536"/>
        <v>0.15356134700902846</v>
      </c>
      <c r="AU597" s="581">
        <f t="shared" si="537"/>
        <v>-0.43980610591403846</v>
      </c>
      <c r="AV597" s="580" t="str">
        <f t="shared" si="538"/>
        <v>-0.0220532304184253+0.00956054481422057i</v>
      </c>
      <c r="AW597" s="270">
        <f t="shared" si="539"/>
        <v>-32.382608057931648</v>
      </c>
      <c r="AX597" s="581">
        <f t="shared" si="540"/>
        <v>156.56224138493775</v>
      </c>
      <c r="AY597" s="299">
        <f t="shared" si="510"/>
        <v>-23.437758615062251</v>
      </c>
      <c r="BB597" s="270">
        <f t="shared" si="489"/>
        <v>-56.274361739894118</v>
      </c>
      <c r="BC597" s="270">
        <f t="shared" si="490"/>
        <v>-25.19903367295808</v>
      </c>
      <c r="BD597" s="286"/>
      <c r="BE597" s="270">
        <f t="shared" si="541"/>
        <v>23.891753681962452</v>
      </c>
      <c r="BF597" s="581">
        <f t="shared" si="542"/>
        <v>-178.2387249421042</v>
      </c>
      <c r="BI597" s="286"/>
      <c r="BJ597" s="286"/>
      <c r="BL597" s="253">
        <f t="shared" si="511"/>
        <v>0</v>
      </c>
      <c r="BM597" s="253">
        <f t="shared" si="491"/>
        <v>0</v>
      </c>
      <c r="BN597" s="253">
        <f t="shared" si="512"/>
        <v>0</v>
      </c>
      <c r="BO597" s="253">
        <f t="shared" si="513"/>
        <v>0</v>
      </c>
    </row>
    <row r="598" spans="4:67" ht="13.6" thickBot="1" x14ac:dyDescent="0.25">
      <c r="D598" s="280">
        <v>251190</v>
      </c>
      <c r="E598" s="273" t="str">
        <f t="shared" si="492"/>
        <v>2.84089197115879i</v>
      </c>
      <c r="F598" s="579" t="str">
        <f t="shared" si="514"/>
        <v>0.002-0.00974775104912278i</v>
      </c>
      <c r="G598" s="270" t="str">
        <f t="shared" si="515"/>
        <v>0.002-0.00974775104912278i</v>
      </c>
      <c r="H598" s="271" t="str">
        <f t="shared" si="516"/>
        <v>0.00204536795695021-0.00972805412617251i</v>
      </c>
      <c r="I598" s="271" t="str">
        <f t="shared" si="517"/>
        <v>0.0120453679569502-0.00972805412617251i</v>
      </c>
      <c r="J598" s="270" t="str">
        <f t="shared" si="518"/>
        <v>0.00290015231671586-0.00572349226728217i</v>
      </c>
      <c r="K598" s="271" t="str">
        <f t="shared" si="493"/>
        <v>-0.59330360596954-1.98275542375683i</v>
      </c>
      <c r="L598" s="580"/>
      <c r="M598" s="580" t="str">
        <f t="shared" si="494"/>
        <v>-0.00684044998279216-5.64353775233478i</v>
      </c>
      <c r="N598" s="270" t="str">
        <f t="shared" si="495"/>
        <v>-6.67179700415376-4.23265331425108i</v>
      </c>
      <c r="O598" s="581" t="str">
        <f t="shared" si="496"/>
        <v>-3.24092785739407-0.466343775371227i</v>
      </c>
      <c r="P598" s="582" t="str">
        <f t="shared" si="497"/>
        <v>-0.0435747860524568+0.0259106392469701i</v>
      </c>
      <c r="Q598" s="583" t="str">
        <f t="shared" si="498"/>
        <v>-0.0111655074785161+0.0305740770006823i</v>
      </c>
      <c r="R598" s="581" t="str">
        <f t="shared" si="519"/>
        <v>-0.50083956633857+0.150528814514947i</v>
      </c>
      <c r="S598" s="253" t="str">
        <f t="shared" si="520"/>
        <v>-7.20497744513474-23.7876910944603i</v>
      </c>
      <c r="T598" s="253" t="str">
        <f t="shared" si="521"/>
        <v>-14.2585962294308+2.15468306597489i</v>
      </c>
      <c r="U598" s="253" t="str">
        <f t="shared" si="522"/>
        <v>-0.00820320234821801+0.14311551558367i</v>
      </c>
      <c r="V598" s="582" t="str">
        <f t="shared" si="499"/>
        <v>6000</v>
      </c>
      <c r="W598" s="584" t="str">
        <f t="shared" si="500"/>
        <v>1+883965.632652503i</v>
      </c>
      <c r="X598" s="585">
        <f t="shared" si="501"/>
        <v>883965.63265306863</v>
      </c>
      <c r="Y598" s="586">
        <f t="shared" si="502"/>
        <v>1.5707951955291968</v>
      </c>
      <c r="Z598" s="273" t="str">
        <f t="shared" si="503"/>
        <v>1+132.574958654077i</v>
      </c>
      <c r="AA598" s="585">
        <f t="shared" si="504"/>
        <v>132.57873005173275</v>
      </c>
      <c r="AB598" s="586">
        <f t="shared" si="505"/>
        <v>1.56325356724458</v>
      </c>
      <c r="AC598" s="584" t="str">
        <f t="shared" si="506"/>
        <v>1+6.40939701203037i</v>
      </c>
      <c r="AD598" s="585">
        <f t="shared" si="507"/>
        <v>6.4869384194567346</v>
      </c>
      <c r="AE598" s="586">
        <f t="shared" si="508"/>
        <v>1.416023216007777</v>
      </c>
      <c r="AF598" s="580" t="str">
        <f t="shared" si="523"/>
        <v>0.0203507517983125-0.137222623980888i</v>
      </c>
      <c r="AG598" s="270">
        <f t="shared" si="524"/>
        <v>0.13872347180977232</v>
      </c>
      <c r="AH598" s="581">
        <f t="shared" si="525"/>
        <v>-1.4235648442923945</v>
      </c>
      <c r="AI598" s="582" t="str">
        <f t="shared" si="509"/>
        <v>4000</v>
      </c>
      <c r="AJ598" s="584" t="str">
        <f t="shared" si="526"/>
        <v>1+69446.456502568i</v>
      </c>
      <c r="AK598" s="585">
        <f t="shared" si="527"/>
        <v>69446.456509767799</v>
      </c>
      <c r="AL598" s="586">
        <f t="shared" si="528"/>
        <v>1.570781927212106</v>
      </c>
      <c r="AM598" s="273" t="str">
        <f t="shared" si="529"/>
        <v>1+2.43054090865808i</v>
      </c>
      <c r="AN598" s="585">
        <f t="shared" si="530"/>
        <v>2.6282178579144544</v>
      </c>
      <c r="AO598" s="586">
        <f t="shared" si="531"/>
        <v>1.1804746015944421</v>
      </c>
      <c r="AP598" s="584" t="str">
        <f t="shared" si="532"/>
        <v>1+0.0175844047913221i</v>
      </c>
      <c r="AQ598" s="585">
        <f t="shared" si="533"/>
        <v>1.000154593696327</v>
      </c>
      <c r="AR598" s="586">
        <f t="shared" si="534"/>
        <v>1.758259269532848E-2</v>
      </c>
      <c r="AS598" s="580" t="str">
        <f t="shared" si="535"/>
        <v>0.138940170742277-0.060039495487992i</v>
      </c>
      <c r="AT598" s="270">
        <f t="shared" si="536"/>
        <v>0.15135756361789687</v>
      </c>
      <c r="AU598" s="581">
        <f t="shared" si="537"/>
        <v>-0.40788991831299276</v>
      </c>
      <c r="AV598" s="580" t="str">
        <f t="shared" si="538"/>
        <v>-0.0185172571044465+0.0115545095706405i</v>
      </c>
      <c r="AW598" s="270">
        <f t="shared" si="539"/>
        <v>-33.22032347581009</v>
      </c>
      <c r="AX598" s="581">
        <f t="shared" si="540"/>
        <v>148.03641326846886</v>
      </c>
      <c r="AY598" s="299">
        <f t="shared" si="510"/>
        <v>-31.963586731531137</v>
      </c>
      <c r="BB598" s="270">
        <f t="shared" ref="BB598:BB613" si="543">20*LOG10(IMABS(IMPRODUCT(COMPLEX($B$15,0),AS598)))</f>
        <v>-56.399917433303798</v>
      </c>
      <c r="BC598" s="270">
        <f t="shared" ref="BC598:BC613" si="544">180/PI()*IMARGUMENT(IMPRODUCT(COMPLEX($B$15,0),AS598))</f>
        <v>-23.370370825270392</v>
      </c>
      <c r="BD598" s="286"/>
      <c r="BE598" s="270">
        <f t="shared" si="541"/>
        <v>23.179593957493722</v>
      </c>
      <c r="BF598" s="581">
        <f t="shared" si="542"/>
        <v>171.40678409373916</v>
      </c>
      <c r="BI598" s="286"/>
      <c r="BJ598" s="286"/>
      <c r="BL598" s="253">
        <f t="shared" si="511"/>
        <v>0</v>
      </c>
      <c r="BM598" s="253">
        <f t="shared" si="491"/>
        <v>0</v>
      </c>
      <c r="BN598" s="253">
        <f t="shared" si="512"/>
        <v>0</v>
      </c>
      <c r="BO598" s="253">
        <f t="shared" si="513"/>
        <v>0</v>
      </c>
    </row>
    <row r="599" spans="4:67" ht="13.6" thickBot="1" x14ac:dyDescent="0.25">
      <c r="D599" s="280">
        <v>275420</v>
      </c>
      <c r="E599" s="273" t="str">
        <f t="shared" si="492"/>
        <v>3.11492681514612i</v>
      </c>
      <c r="F599" s="579" t="str">
        <f t="shared" si="514"/>
        <v>0.002-0.00889019528730361i</v>
      </c>
      <c r="G599" s="270" t="str">
        <f t="shared" si="515"/>
        <v>0.002-0.00889019528730361i</v>
      </c>
      <c r="H599" s="271" t="str">
        <f t="shared" si="516"/>
        <v>0.00203740069055901-0.00887226657571909i</v>
      </c>
      <c r="I599" s="271" t="str">
        <f t="shared" si="517"/>
        <v>0.012037400690559-0.00887226657571909i</v>
      </c>
      <c r="J599" s="270" t="str">
        <f t="shared" si="518"/>
        <v>0.00282265994706302-0.00531594046682943i</v>
      </c>
      <c r="K599" s="271" t="str">
        <f t="shared" si="493"/>
        <v>-0.91551163859498-2.17401369007965i</v>
      </c>
      <c r="L599" s="580"/>
      <c r="M599" s="580" t="str">
        <f t="shared" si="494"/>
        <v>-0.0059156445619855-5.14603115606838i</v>
      </c>
      <c r="N599" s="270" t="str">
        <f t="shared" si="495"/>
        <v>-6.67110340008816-3.85952336705129i</v>
      </c>
      <c r="O599" s="581" t="str">
        <f t="shared" si="496"/>
        <v>-3.09289833913461-0.23858573210502i</v>
      </c>
      <c r="P599" s="582" t="str">
        <f t="shared" si="497"/>
        <v>-0.0393472528197265+0.0245690665000026i</v>
      </c>
      <c r="Q599" s="583" t="str">
        <f t="shared" si="498"/>
        <v>-0.00841826942838051+0.0269549238210528i</v>
      </c>
      <c r="R599" s="581" t="str">
        <f t="shared" si="519"/>
        <v>-0.500679706937206+0.211522119645389i</v>
      </c>
      <c r="S599" s="253" t="str">
        <f t="shared" si="520"/>
        <v>-8.522493286399-20.0540284982409i</v>
      </c>
      <c r="T599" s="253" t="str">
        <f t="shared" si="521"/>
        <v>-12.4529236787817+4.17815837828452i</v>
      </c>
      <c r="U599" s="253" t="str">
        <f t="shared" si="522"/>
        <v>0.0116981396250858+0.118998241290418i</v>
      </c>
      <c r="V599" s="582" t="str">
        <f t="shared" si="499"/>
        <v>6000</v>
      </c>
      <c r="W599" s="584" t="str">
        <f t="shared" si="500"/>
        <v>1+969233.70574128i</v>
      </c>
      <c r="X599" s="585">
        <f t="shared" si="501"/>
        <v>969233.70574179583</v>
      </c>
      <c r="Y599" s="586">
        <f t="shared" si="502"/>
        <v>1.5707952950519908</v>
      </c>
      <c r="Z599" s="273" t="str">
        <f t="shared" si="503"/>
        <v>1+145.363251373486i</v>
      </c>
      <c r="AA599" s="585">
        <f t="shared" si="504"/>
        <v>145.36669099168245</v>
      </c>
      <c r="AB599" s="586">
        <f t="shared" si="505"/>
        <v>1.5639171175312414</v>
      </c>
      <c r="AC599" s="584" t="str">
        <f t="shared" si="506"/>
        <v>1+7.02765287254032i</v>
      </c>
      <c r="AD599" s="585">
        <f t="shared" si="507"/>
        <v>7.0984438362872329</v>
      </c>
      <c r="AE599" s="586">
        <f t="shared" si="508"/>
        <v>1.4294501967351161</v>
      </c>
      <c r="AF599" s="580" t="str">
        <f t="shared" si="523"/>
        <v>0.0169954906259411-0.125627937523313i</v>
      </c>
      <c r="AG599" s="270">
        <f t="shared" si="524"/>
        <v>0.12677233684040806</v>
      </c>
      <c r="AH599" s="581">
        <f t="shared" si="525"/>
        <v>-1.4363283742558663</v>
      </c>
      <c r="AI599" s="582" t="str">
        <f t="shared" si="509"/>
        <v>4000</v>
      </c>
      <c r="AJ599" s="584" t="str">
        <f t="shared" si="526"/>
        <v>1+76145.3204742915i</v>
      </c>
      <c r="AK599" s="585">
        <f t="shared" si="527"/>
        <v>76145.320480857888</v>
      </c>
      <c r="AL599" s="586">
        <f t="shared" si="528"/>
        <v>1.5707831940115067</v>
      </c>
      <c r="AM599" s="273" t="str">
        <f t="shared" si="529"/>
        <v>1+2.66499294184724i</v>
      </c>
      <c r="AN599" s="585">
        <f t="shared" si="530"/>
        <v>2.8464341517231007</v>
      </c>
      <c r="AO599" s="586">
        <f t="shared" si="531"/>
        <v>1.2118191932823454</v>
      </c>
      <c r="AP599" s="584" t="str">
        <f t="shared" si="532"/>
        <v>1+0.0192806113604281i</v>
      </c>
      <c r="AQ599" s="585">
        <f t="shared" si="533"/>
        <v>1.0001858537164139</v>
      </c>
      <c r="AR599" s="586">
        <f t="shared" si="534"/>
        <v>1.9278222755660469E-2</v>
      </c>
      <c r="AS599" s="580" t="str">
        <f t="shared" si="535"/>
        <v>0.138931346491816-0.0552079763256776i</v>
      </c>
      <c r="AT599" s="270">
        <f t="shared" si="536"/>
        <v>0.14949862771278408</v>
      </c>
      <c r="AU599" s="581">
        <f t="shared" si="537"/>
        <v>-0.37824222348482267</v>
      </c>
      <c r="AV599" s="580" t="str">
        <f t="shared" si="538"/>
        <v>-0.014994337856197+0.0126797788499478i</v>
      </c>
      <c r="AW599" s="270">
        <f t="shared" si="539"/>
        <v>-34.138551365573392</v>
      </c>
      <c r="AX599" s="581">
        <f t="shared" si="540"/>
        <v>139.78087671606926</v>
      </c>
      <c r="AY599" s="299">
        <f t="shared" si="510"/>
        <v>-40.219123283930742</v>
      </c>
      <c r="BB599" s="270">
        <f t="shared" si="543"/>
        <v>-56.507255876490127</v>
      </c>
      <c r="BC599" s="270">
        <f t="shared" si="544"/>
        <v>-21.671683039324407</v>
      </c>
      <c r="BD599" s="286"/>
      <c r="BE599" s="270">
        <f t="shared" si="541"/>
        <v>22.368704510916729</v>
      </c>
      <c r="BF599" s="581">
        <f t="shared" si="542"/>
        <v>161.45255975539357</v>
      </c>
      <c r="BI599" s="286"/>
      <c r="BJ599" s="286"/>
      <c r="BL599" s="253">
        <f t="shared" si="511"/>
        <v>0</v>
      </c>
      <c r="BM599" s="253">
        <f t="shared" si="491"/>
        <v>0</v>
      </c>
      <c r="BN599" s="253">
        <f t="shared" si="512"/>
        <v>0</v>
      </c>
      <c r="BO599" s="253">
        <f t="shared" si="513"/>
        <v>0</v>
      </c>
    </row>
    <row r="600" spans="4:67" ht="13.6" thickBot="1" x14ac:dyDescent="0.25">
      <c r="D600" s="280">
        <v>302000</v>
      </c>
      <c r="E600" s="273" t="str">
        <f t="shared" si="492"/>
        <v>3.41553953298282i</v>
      </c>
      <c r="F600" s="579" t="str">
        <f t="shared" si="514"/>
        <v>0.002-0.00810774035108995i</v>
      </c>
      <c r="G600" s="270" t="str">
        <f t="shared" si="515"/>
        <v>0.002-0.00810774035108995i</v>
      </c>
      <c r="H600" s="271" t="str">
        <f t="shared" si="516"/>
        <v>0.00203077078105784-0.00809141645353373i</v>
      </c>
      <c r="I600" s="271" t="str">
        <f t="shared" si="517"/>
        <v>0.0120307707810578-0.00809141645353373i</v>
      </c>
      <c r="J600" s="270" t="str">
        <f t="shared" si="518"/>
        <v>0.00274212969061109-0.00493950124822123i</v>
      </c>
      <c r="K600" s="271" t="str">
        <f t="shared" si="493"/>
        <v>-1.30307315471831-2.38382156126663i</v>
      </c>
      <c r="L600" s="580"/>
      <c r="M600" s="580" t="str">
        <f t="shared" si="494"/>
        <v>-0.00511605367216176-4.69230580213327i</v>
      </c>
      <c r="N600" s="270" t="str">
        <f t="shared" si="495"/>
        <v>-6.67050370692079-3.51922935159995i</v>
      </c>
      <c r="O600" s="581" t="str">
        <f t="shared" si="496"/>
        <v>-2.93854703460622-0.0397505480314817i</v>
      </c>
      <c r="P600" s="582" t="str">
        <f t="shared" si="497"/>
        <v>-0.0356746240410836+0.0232987780935073i</v>
      </c>
      <c r="Q600" s="583" t="str">
        <f t="shared" si="498"/>
        <v>-0.00628915369502139+0.0236962835738221i</v>
      </c>
      <c r="R600" s="581" t="str">
        <f t="shared" si="519"/>
        <v>-0.500537627335287+0.274319118725554i</v>
      </c>
      <c r="S600" s="253" t="str">
        <f t="shared" si="520"/>
        <v>-9.1201950029539-16.5626333670505i</v>
      </c>
      <c r="T600" s="253" t="str">
        <f t="shared" si="521"/>
        <v>-10.4556386970743+5.55979463383747i</v>
      </c>
      <c r="U600" s="253" t="str">
        <f t="shared" si="522"/>
        <v>0.0237536082151848+0.0958915954767899i</v>
      </c>
      <c r="V600" s="582" t="str">
        <f t="shared" si="499"/>
        <v>6000</v>
      </c>
      <c r="W600" s="584" t="str">
        <f t="shared" si="500"/>
        <v>1+1062771.69099509i</v>
      </c>
      <c r="X600" s="585">
        <f t="shared" si="501"/>
        <v>1062771.6909955605</v>
      </c>
      <c r="Y600" s="586">
        <f t="shared" si="502"/>
        <v>1.570795385859032</v>
      </c>
      <c r="Z600" s="273" t="str">
        <f t="shared" si="503"/>
        <v>1+159.391844872532i</v>
      </c>
      <c r="AA600" s="585">
        <f t="shared" si="504"/>
        <v>159.39498176501453</v>
      </c>
      <c r="AB600" s="586">
        <f t="shared" si="505"/>
        <v>1.5645225624079833</v>
      </c>
      <c r="AC600" s="584" t="str">
        <f t="shared" si="506"/>
        <v>1+7.70587164151908i</v>
      </c>
      <c r="AD600" s="585">
        <f t="shared" si="507"/>
        <v>7.770486326837462</v>
      </c>
      <c r="AE600" s="586">
        <f t="shared" si="508"/>
        <v>1.4417463536620603</v>
      </c>
      <c r="AF600" s="580" t="str">
        <f t="shared" si="523"/>
        <v>0.014182853129875-0.114936014202003i</v>
      </c>
      <c r="AG600" s="270">
        <f t="shared" si="524"/>
        <v>0.11580777471114211</v>
      </c>
      <c r="AH600" s="581">
        <f t="shared" si="525"/>
        <v>-1.4480191771131088</v>
      </c>
      <c r="AI600" s="582" t="str">
        <f t="shared" si="509"/>
        <v>4000</v>
      </c>
      <c r="AJ600" s="584" t="str">
        <f t="shared" si="526"/>
        <v>1+83493.8885456252i</v>
      </c>
      <c r="AK600" s="585">
        <f t="shared" si="527"/>
        <v>83493.88855161368</v>
      </c>
      <c r="AL600" s="586">
        <f t="shared" si="528"/>
        <v>1.5707843498703891</v>
      </c>
      <c r="AM600" s="273" t="str">
        <f t="shared" si="529"/>
        <v>1+2.92218382266309i</v>
      </c>
      <c r="AN600" s="585">
        <f t="shared" si="530"/>
        <v>3.0885527830091992</v>
      </c>
      <c r="AO600" s="586">
        <f t="shared" si="531"/>
        <v>1.2410783203260378</v>
      </c>
      <c r="AP600" s="584" t="str">
        <f t="shared" si="532"/>
        <v>1+0.021141328265374i</v>
      </c>
      <c r="AQ600" s="585">
        <f t="shared" si="533"/>
        <v>1.0002234529148095</v>
      </c>
      <c r="AR600" s="586">
        <f t="shared" si="534"/>
        <v>2.1138179363629512E-2</v>
      </c>
      <c r="AS600" s="580" t="str">
        <f t="shared" si="535"/>
        <v>0.138920785570381-0.0508429912454724i</v>
      </c>
      <c r="AT600" s="270">
        <f t="shared" si="536"/>
        <v>0.14793239814955669</v>
      </c>
      <c r="AU600" s="581">
        <f t="shared" si="537"/>
        <v>-0.35084420890797879</v>
      </c>
      <c r="AV600" s="580" t="str">
        <f t="shared" si="538"/>
        <v>-0.0116982895154281+0.0130396698488386i</v>
      </c>
      <c r="AW600" s="270">
        <f t="shared" si="539"/>
        <v>-35.130272151513289</v>
      </c>
      <c r="AX600" s="581">
        <f t="shared" si="540"/>
        <v>131.89625809553817</v>
      </c>
      <c r="AY600" s="299">
        <f t="shared" si="510"/>
        <v>-48.103741904461828</v>
      </c>
      <c r="BB600" s="270">
        <f t="shared" si="543"/>
        <v>-56.598734045861136</v>
      </c>
      <c r="BC600" s="270">
        <f t="shared" si="544"/>
        <v>-20.101892437033342</v>
      </c>
      <c r="BD600" s="286"/>
      <c r="BE600" s="270">
        <f t="shared" si="541"/>
        <v>21.468461894347861</v>
      </c>
      <c r="BF600" s="581">
        <f t="shared" si="542"/>
        <v>151.99815053257157</v>
      </c>
      <c r="BI600" s="286"/>
      <c r="BJ600" s="286"/>
      <c r="BL600" s="253">
        <f t="shared" si="511"/>
        <v>0</v>
      </c>
      <c r="BM600" s="253">
        <f t="shared" si="491"/>
        <v>0</v>
      </c>
      <c r="BN600" s="253">
        <f t="shared" si="512"/>
        <v>0</v>
      </c>
      <c r="BO600" s="253">
        <f t="shared" si="513"/>
        <v>0</v>
      </c>
    </row>
    <row r="601" spans="4:67" ht="13.6" thickBot="1" x14ac:dyDescent="0.25">
      <c r="D601" s="280">
        <v>331130</v>
      </c>
      <c r="E601" s="273" t="str">
        <f t="shared" si="492"/>
        <v>3.74499207137948i</v>
      </c>
      <c r="F601" s="579" t="str">
        <f t="shared" si="514"/>
        <v>0.002-0.00739449033922981i</v>
      </c>
      <c r="G601" s="270" t="str">
        <f t="shared" si="515"/>
        <v>0.002-0.00739449033922981i</v>
      </c>
      <c r="H601" s="271" t="str">
        <f t="shared" si="516"/>
        <v>0.00202525901587285-0.00737962283727889i</v>
      </c>
      <c r="I601" s="271" t="str">
        <f t="shared" si="517"/>
        <v>0.0120252590158728-0.00737962283727889i</v>
      </c>
      <c r="J601" s="270" t="str">
        <f t="shared" si="518"/>
        <v>0.00265976490171719-0.00459059184150714i</v>
      </c>
      <c r="K601" s="271" t="str">
        <f t="shared" si="493"/>
        <v>-1.76879565920052-2.61375772709344i</v>
      </c>
      <c r="L601" s="580"/>
      <c r="M601" s="580" t="str">
        <f t="shared" si="494"/>
        <v>-0.00442262028174136-4.27887538390237i</v>
      </c>
      <c r="N601" s="270" t="str">
        <f t="shared" si="495"/>
        <v>-6.66998363187798-3.20915653792678i</v>
      </c>
      <c r="O601" s="581" t="str">
        <f t="shared" si="496"/>
        <v>-2.78028245811613+0.130237078114031i</v>
      </c>
      <c r="P601" s="582" t="str">
        <f t="shared" si="497"/>
        <v>-0.0324725161802232+0.0220835705197913i</v>
      </c>
      <c r="Q601" s="583" t="str">
        <f t="shared" si="498"/>
        <v>-0.00466969159906204+0.0207811997386511i</v>
      </c>
      <c r="R601" s="581" t="str">
        <f t="shared" si="519"/>
        <v>-0.500410812688028+0.339395210276655i</v>
      </c>
      <c r="S601" s="253" t="str">
        <f t="shared" si="520"/>
        <v>-9.15519068052229-13.4465045970396i</v>
      </c>
      <c r="T601" s="253" t="str">
        <f t="shared" si="521"/>
        <v>-8.46503176891559+6.34928794616254i</v>
      </c>
      <c r="U601" s="253" t="str">
        <f t="shared" si="522"/>
        <v>0.0297114684183144+0.0753276944175194i</v>
      </c>
      <c r="V601" s="582" t="str">
        <f t="shared" si="499"/>
        <v>6000</v>
      </c>
      <c r="W601" s="584" t="str">
        <f t="shared" si="500"/>
        <v>1+1165283.41072584i</v>
      </c>
      <c r="X601" s="585">
        <f t="shared" si="501"/>
        <v>1165283.410726269</v>
      </c>
      <c r="Y601" s="586">
        <f t="shared" si="502"/>
        <v>1.5707954686345635</v>
      </c>
      <c r="Z601" s="273" t="str">
        <f t="shared" si="503"/>
        <v>1+174.766296664376i</v>
      </c>
      <c r="AA601" s="585">
        <f t="shared" si="504"/>
        <v>174.76915760448318</v>
      </c>
      <c r="AB601" s="586">
        <f t="shared" si="505"/>
        <v>1.5650744621916102</v>
      </c>
      <c r="AC601" s="584" t="str">
        <f t="shared" si="506"/>
        <v>1+8.44915654521924i</v>
      </c>
      <c r="AD601" s="585">
        <f t="shared" si="507"/>
        <v>8.5081282504215423</v>
      </c>
      <c r="AE601" s="586">
        <f t="shared" si="508"/>
        <v>1.4529893542517882</v>
      </c>
      <c r="AF601" s="580" t="str">
        <f t="shared" si="523"/>
        <v>0.0118301962934188-0.10510337021439i</v>
      </c>
      <c r="AG601" s="270">
        <f t="shared" si="524"/>
        <v>0.10576706469768338</v>
      </c>
      <c r="AH601" s="581">
        <f t="shared" si="525"/>
        <v>-1.4587103606947405</v>
      </c>
      <c r="AI601" s="582" t="str">
        <f t="shared" si="509"/>
        <v>4000</v>
      </c>
      <c r="AJ601" s="584" t="str">
        <f t="shared" si="526"/>
        <v>1+91547.4546824929i</v>
      </c>
      <c r="AK601" s="585">
        <f t="shared" si="527"/>
        <v>91547.454687954538</v>
      </c>
      <c r="AL601" s="586">
        <f t="shared" si="528"/>
        <v>1.5707854034983022</v>
      </c>
      <c r="AM601" s="273" t="str">
        <f t="shared" si="529"/>
        <v>1+3.20404877218023i</v>
      </c>
      <c r="AN601" s="585">
        <f t="shared" si="530"/>
        <v>3.3564756120832522</v>
      </c>
      <c r="AO601" s="586">
        <f t="shared" si="531"/>
        <v>1.2682712547241126</v>
      </c>
      <c r="AP601" s="584" t="str">
        <f t="shared" si="532"/>
        <v>1+0.0231805563858056i</v>
      </c>
      <c r="AQ601" s="585">
        <f t="shared" si="533"/>
        <v>1.0002686330153292</v>
      </c>
      <c r="AR601" s="586">
        <f t="shared" si="534"/>
        <v>2.3176405791116444E-2</v>
      </c>
      <c r="AS601" s="580" t="str">
        <f t="shared" si="535"/>
        <v>0.138908139856843-0.0469116251345648i</v>
      </c>
      <c r="AT601" s="270">
        <f t="shared" si="536"/>
        <v>0.14661572866256262</v>
      </c>
      <c r="AU601" s="581">
        <f t="shared" si="537"/>
        <v>-0.32569055456530632</v>
      </c>
      <c r="AV601" s="580" t="str">
        <f t="shared" si="538"/>
        <v>-0.00878006400847358+0.0127907617511246i</v>
      </c>
      <c r="AW601" s="270">
        <f t="shared" si="539"/>
        <v>-36.185363412135921</v>
      </c>
      <c r="AX601" s="581">
        <f t="shared" si="540"/>
        <v>124.46718112366327</v>
      </c>
      <c r="AY601" s="299">
        <f t="shared" si="510"/>
        <v>-55.532818876336734</v>
      </c>
      <c r="BB601" s="270">
        <f t="shared" si="543"/>
        <v>-56.676388737834522</v>
      </c>
      <c r="BC601" s="270">
        <f t="shared" si="544"/>
        <v>-18.660694203867298</v>
      </c>
      <c r="BD601" s="286"/>
      <c r="BE601" s="270">
        <f t="shared" si="541"/>
        <v>20.491025325698615</v>
      </c>
      <c r="BF601" s="581">
        <f t="shared" si="542"/>
        <v>143.12787532753049</v>
      </c>
      <c r="BI601" s="286"/>
      <c r="BJ601" s="286"/>
      <c r="BL601" s="253">
        <f t="shared" si="511"/>
        <v>0</v>
      </c>
      <c r="BM601" s="253">
        <f t="shared" si="491"/>
        <v>0</v>
      </c>
      <c r="BN601" s="253">
        <f t="shared" si="512"/>
        <v>0</v>
      </c>
      <c r="BO601" s="253">
        <f t="shared" si="513"/>
        <v>0</v>
      </c>
    </row>
    <row r="602" spans="4:67" ht="13.6" thickBot="1" x14ac:dyDescent="0.25">
      <c r="D602" s="280">
        <v>363080</v>
      </c>
      <c r="E602" s="273" t="str">
        <f t="shared" si="492"/>
        <v>4.10633805839538i</v>
      </c>
      <c r="F602" s="579" t="str">
        <f t="shared" si="514"/>
        <v>0.002-0.00674379637002631i</v>
      </c>
      <c r="G602" s="270" t="str">
        <f t="shared" si="515"/>
        <v>0.002-0.00674379637002631i</v>
      </c>
      <c r="H602" s="271" t="str">
        <f t="shared" si="516"/>
        <v>0.00202067305351899-0.00673025261361102i</v>
      </c>
      <c r="I602" s="271" t="str">
        <f t="shared" si="517"/>
        <v>0.012020673053519-0.00673025261361102i</v>
      </c>
      <c r="J602" s="270" t="str">
        <f t="shared" si="518"/>
        <v>0.0025767751755911-0.00426554997515406i</v>
      </c>
      <c r="K602" s="271" t="str">
        <f t="shared" si="493"/>
        <v>-2.32888276558674-2.86595341875724i</v>
      </c>
      <c r="L602" s="580"/>
      <c r="M602" s="580" t="str">
        <f t="shared" si="494"/>
        <v>-0.00381884126229023-3.90183446540876i</v>
      </c>
      <c r="N602" s="270" t="str">
        <f t="shared" si="495"/>
        <v>-6.66953079761339-2.92637584905657i</v>
      </c>
      <c r="O602" s="581" t="str">
        <f t="shared" si="496"/>
        <v>-2.6205162717278+0.27218673899351i</v>
      </c>
      <c r="P602" s="582" t="str">
        <f t="shared" si="497"/>
        <v>-0.0296684838223652+0.0209086042857507i</v>
      </c>
      <c r="Q602" s="583" t="str">
        <f t="shared" si="498"/>
        <v>-0.00346332110508708+0.0181867368958156i</v>
      </c>
      <c r="R602" s="581" t="str">
        <f t="shared" si="519"/>
        <v>-0.500297142645135+0.407356666358625i</v>
      </c>
      <c r="S602" s="253" t="str">
        <f t="shared" si="520"/>
        <v>-8.79115447648985-10.7625496926028i</v>
      </c>
      <c r="T602" s="253" t="str">
        <f t="shared" si="521"/>
        <v>-6.62149839299203+6.64853940773229i</v>
      </c>
      <c r="U602" s="253" t="str">
        <f t="shared" si="522"/>
        <v>0.0313664663489477+0.0579988812919194i</v>
      </c>
      <c r="V602" s="582" t="str">
        <f t="shared" si="499"/>
        <v>6000</v>
      </c>
      <c r="W602" s="584" t="str">
        <f t="shared" si="500"/>
        <v>1+1277719.02505462i</v>
      </c>
      <c r="X602" s="585">
        <f t="shared" si="501"/>
        <v>1277719.0250550117</v>
      </c>
      <c r="Y602" s="586">
        <f t="shared" si="502"/>
        <v>1.5707955441502146</v>
      </c>
      <c r="Z602" s="273" t="str">
        <f t="shared" si="503"/>
        <v>1+191.629109391784i</v>
      </c>
      <c r="AA602" s="585">
        <f t="shared" si="504"/>
        <v>191.63171858094975</v>
      </c>
      <c r="AB602" s="586">
        <f t="shared" si="505"/>
        <v>1.5655779603053734</v>
      </c>
      <c r="AC602" s="584" t="str">
        <f t="shared" si="506"/>
        <v>1+9.2643969390819i</v>
      </c>
      <c r="AD602" s="585">
        <f t="shared" si="507"/>
        <v>9.318210699746496</v>
      </c>
      <c r="AE602" s="586">
        <f t="shared" si="508"/>
        <v>1.4632725189115807</v>
      </c>
      <c r="AF602" s="580" t="str">
        <f t="shared" si="523"/>
        <v>0.00986268024658764-0.0960669485048232i</v>
      </c>
      <c r="AG602" s="270">
        <f t="shared" si="524"/>
        <v>9.6571895791036325E-2</v>
      </c>
      <c r="AH602" s="581">
        <f t="shared" si="525"/>
        <v>-1.4684901027564217</v>
      </c>
      <c r="AI602" s="582" t="str">
        <f t="shared" si="509"/>
        <v>4000</v>
      </c>
      <c r="AJ602" s="584" t="str">
        <f t="shared" si="526"/>
        <v>1+100380.665738892i</v>
      </c>
      <c r="AK602" s="585">
        <f t="shared" si="527"/>
        <v>100380.66574387305</v>
      </c>
      <c r="AL602" s="586">
        <f t="shared" si="528"/>
        <v>1.5707863647171139</v>
      </c>
      <c r="AM602" s="273" t="str">
        <f t="shared" si="529"/>
        <v>1+3.51320033884937i</v>
      </c>
      <c r="AN602" s="585">
        <f t="shared" si="530"/>
        <v>3.6527491866936783</v>
      </c>
      <c r="AO602" s="586">
        <f t="shared" si="531"/>
        <v>1.2934894577098419</v>
      </c>
      <c r="AP602" s="584" t="str">
        <f t="shared" si="532"/>
        <v>1+0.0254171969092449i</v>
      </c>
      <c r="AQ602" s="585">
        <f t="shared" si="533"/>
        <v>1.000322964796232</v>
      </c>
      <c r="AR602" s="586">
        <f t="shared" si="534"/>
        <v>2.5411725572951634E-2</v>
      </c>
      <c r="AS602" s="580" t="str">
        <f t="shared" si="535"/>
        <v>0.138892970639698-0.0433771864700208i</v>
      </c>
      <c r="AT602" s="270">
        <f t="shared" si="536"/>
        <v>0.14550889182168547</v>
      </c>
      <c r="AU602" s="581">
        <f t="shared" si="537"/>
        <v>-0.30270863258022351</v>
      </c>
      <c r="AV602" s="580" t="str">
        <f t="shared" si="538"/>
        <v>-0.00631284648246164+0.0121065735925879i</v>
      </c>
      <c r="AW602" s="270">
        <f t="shared" si="539"/>
        <v>-37.295048059340957</v>
      </c>
      <c r="AX602" s="581">
        <f t="shared" si="540"/>
        <v>117.53931863855217</v>
      </c>
      <c r="AY602" s="299">
        <f t="shared" si="510"/>
        <v>-62.460681361447826</v>
      </c>
      <c r="BB602" s="270">
        <f t="shared" si="543"/>
        <v>-56.742209336159497</v>
      </c>
      <c r="BC602" s="270">
        <f t="shared" si="544"/>
        <v>-17.343927069023131</v>
      </c>
      <c r="BD602" s="286"/>
      <c r="BE602" s="270">
        <f t="shared" si="541"/>
        <v>19.447161276818573</v>
      </c>
      <c r="BF602" s="581">
        <f t="shared" si="542"/>
        <v>134.88324570757524</v>
      </c>
      <c r="BI602" s="286"/>
      <c r="BJ602" s="286"/>
      <c r="BL602" s="253">
        <f t="shared" si="511"/>
        <v>0</v>
      </c>
      <c r="BM602" s="253">
        <f t="shared" ref="BM602:BM613" si="545">IF(BL602&gt;0,AY602,0)</f>
        <v>0</v>
      </c>
      <c r="BN602" s="253">
        <f t="shared" si="512"/>
        <v>0</v>
      </c>
      <c r="BO602" s="253">
        <f t="shared" si="513"/>
        <v>0</v>
      </c>
    </row>
    <row r="603" spans="4:67" ht="13.6" thickBot="1" x14ac:dyDescent="0.25">
      <c r="D603" s="280">
        <v>398110</v>
      </c>
      <c r="E603" s="273" t="str">
        <f t="shared" si="492"/>
        <v>4.50251802475428i</v>
      </c>
      <c r="F603" s="579" t="str">
        <f t="shared" si="514"/>
        <v>0.002-0.00615040462693517i</v>
      </c>
      <c r="G603" s="270" t="str">
        <f t="shared" si="515"/>
        <v>0.002-0.00615040462693517i</v>
      </c>
      <c r="H603" s="271" t="str">
        <f t="shared" si="516"/>
        <v>0.00201685893064604-0.00613806431337233i</v>
      </c>
      <c r="I603" s="271" t="str">
        <f t="shared" si="517"/>
        <v>0.012016858930646-0.00613806431337233i</v>
      </c>
      <c r="J603" s="270" t="str">
        <f t="shared" si="518"/>
        <v>0.00249453016314879-0.00396170905616324i</v>
      </c>
      <c r="K603" s="271" t="str">
        <f t="shared" si="493"/>
        <v>-3.00221136082424-3.14246093296641i</v>
      </c>
      <c r="L603" s="580"/>
      <c r="M603" s="580" t="str">
        <f t="shared" si="494"/>
        <v>-0.00329221384373406-3.55809932777485i</v>
      </c>
      <c r="N603" s="270" t="str">
        <f t="shared" si="495"/>
        <v>-6.66913582704947-2.66857449583114i</v>
      </c>
      <c r="O603" s="581" t="str">
        <f t="shared" si="496"/>
        <v>-2.46195839811802+0.38717915161534i</v>
      </c>
      <c r="P603" s="582" t="str">
        <f t="shared" si="497"/>
        <v>-0.0272084762298916+0.0197643362303442i</v>
      </c>
      <c r="Q603" s="583" t="str">
        <f t="shared" si="498"/>
        <v>-0.00258889224871145+0.0158925447141909i</v>
      </c>
      <c r="R603" s="581" t="str">
        <f t="shared" si="519"/>
        <v>-0.500195146062865+0.478757219345226i</v>
      </c>
      <c r="S603" s="253" t="str">
        <f t="shared" si="520"/>
        <v>-8.1734622036182-8.51700295806954i</v>
      </c>
      <c r="T603" s="253" t="str">
        <f t="shared" si="521"/>
        <v>-5.00985669522469+6.57762311221868i</v>
      </c>
      <c r="U603" s="253" t="str">
        <f t="shared" si="522"/>
        <v>0.0302696994749019+0.0440169605123702i</v>
      </c>
      <c r="V603" s="582" t="str">
        <f t="shared" si="499"/>
        <v>6000</v>
      </c>
      <c r="W603" s="584" t="str">
        <f t="shared" si="500"/>
        <v>1+1400993.50298694i</v>
      </c>
      <c r="X603" s="585">
        <f t="shared" si="501"/>
        <v>1400993.5029872968</v>
      </c>
      <c r="Y603" s="586">
        <f t="shared" si="502"/>
        <v>1.5707956130157121</v>
      </c>
      <c r="Z603" s="273" t="str">
        <f t="shared" si="503"/>
        <v>1+210.117507821867i</v>
      </c>
      <c r="AA603" s="585">
        <f t="shared" si="504"/>
        <v>210.11988742923012</v>
      </c>
      <c r="AB603" s="586">
        <f t="shared" si="505"/>
        <v>1.5660371210516832</v>
      </c>
      <c r="AC603" s="584" t="str">
        <f t="shared" si="506"/>
        <v>1+10.1582270172356i</v>
      </c>
      <c r="AD603" s="585">
        <f t="shared" si="507"/>
        <v>10.20732952998458</v>
      </c>
      <c r="AE603" s="586">
        <f t="shared" si="508"/>
        <v>1.4726701132796851</v>
      </c>
      <c r="AF603" s="580" t="str">
        <f t="shared" si="523"/>
        <v>0.00821931707360058-0.0877757215621308i</v>
      </c>
      <c r="AG603" s="270">
        <f t="shared" si="524"/>
        <v>8.8159710009216213E-2</v>
      </c>
      <c r="AH603" s="581">
        <f t="shared" si="525"/>
        <v>-1.4774286052437138</v>
      </c>
      <c r="AI603" s="582" t="str">
        <f t="shared" si="509"/>
        <v>4000</v>
      </c>
      <c r="AJ603" s="584" t="str">
        <f t="shared" si="526"/>
        <v>1+110065.403870526i</v>
      </c>
      <c r="AK603" s="585">
        <f t="shared" si="527"/>
        <v>110065.40387506876</v>
      </c>
      <c r="AL603" s="586">
        <f t="shared" si="528"/>
        <v>1.5707872412878725</v>
      </c>
      <c r="AM603" s="273" t="str">
        <f t="shared" si="529"/>
        <v>1+3.85215431006756i</v>
      </c>
      <c r="AN603" s="585">
        <f t="shared" si="530"/>
        <v>3.9798357790959265</v>
      </c>
      <c r="AO603" s="586">
        <f t="shared" si="531"/>
        <v>1.3168076607510246</v>
      </c>
      <c r="AP603" s="584" t="str">
        <f t="shared" si="532"/>
        <v>1+0.0278694509792319i</v>
      </c>
      <c r="AQ603" s="585">
        <f t="shared" si="533"/>
        <v>1.0003882777691289</v>
      </c>
      <c r="AR603" s="586">
        <f t="shared" si="534"/>
        <v>2.7862238880578431E-2</v>
      </c>
      <c r="AS603" s="580" t="str">
        <f t="shared" si="535"/>
        <v>0.138874768515799-0.0402111197212072i</v>
      </c>
      <c r="AT603" s="270">
        <f t="shared" si="536"/>
        <v>0.1445791668240968</v>
      </c>
      <c r="AU603" s="581">
        <f t="shared" si="537"/>
        <v>-0.28184181941742675</v>
      </c>
      <c r="AV603" s="580" t="str">
        <f t="shared" si="538"/>
        <v>-0.0043124909840025+0.0111491783445131i</v>
      </c>
      <c r="AW603" s="270">
        <f t="shared" si="539"/>
        <v>-38.449624337509064</v>
      </c>
      <c r="AX603" s="581">
        <f t="shared" si="540"/>
        <v>111.14642025998533</v>
      </c>
      <c r="AY603" s="299">
        <f t="shared" si="510"/>
        <v>-68.853579740014666</v>
      </c>
      <c r="BB603" s="270">
        <f t="shared" si="543"/>
        <v>-56.797885646386028</v>
      </c>
      <c r="BC603" s="270">
        <f t="shared" si="544"/>
        <v>-16.148346742906845</v>
      </c>
      <c r="BD603" s="286"/>
      <c r="BE603" s="270">
        <f t="shared" si="541"/>
        <v>18.34826130887696</v>
      </c>
      <c r="BF603" s="581">
        <f t="shared" si="542"/>
        <v>127.29476700289219</v>
      </c>
      <c r="BI603" s="286"/>
      <c r="BJ603" s="286"/>
      <c r="BL603" s="253">
        <f t="shared" si="511"/>
        <v>0</v>
      </c>
      <c r="BM603" s="253">
        <f t="shared" si="545"/>
        <v>0</v>
      </c>
      <c r="BN603" s="253">
        <f t="shared" si="512"/>
        <v>0</v>
      </c>
      <c r="BO603" s="253">
        <f t="shared" si="513"/>
        <v>0</v>
      </c>
    </row>
    <row r="604" spans="4:67" ht="13.6" thickBot="1" x14ac:dyDescent="0.25">
      <c r="D604" s="280">
        <v>436520</v>
      </c>
      <c r="E604" s="273" t="str">
        <f t="shared" si="492"/>
        <v>4.93692489052206i</v>
      </c>
      <c r="F604" s="579" t="str">
        <f t="shared" si="514"/>
        <v>0.002-0.00560922199676799i</v>
      </c>
      <c r="G604" s="270" t="str">
        <f t="shared" si="515"/>
        <v>0.002-0.00560922199676799i</v>
      </c>
      <c r="H604" s="271" t="str">
        <f t="shared" si="516"/>
        <v>0.00201368645975728-0.00559797641316248i</v>
      </c>
      <c r="I604" s="271" t="str">
        <f t="shared" si="517"/>
        <v>0.0120136864597573-0.00559797641316248i</v>
      </c>
      <c r="J604" s="270" t="str">
        <f t="shared" si="518"/>
        <v>0.00241433154700125-0.0036767980111469i</v>
      </c>
      <c r="K604" s="271" t="str">
        <f t="shared" si="493"/>
        <v>-3.81173986515492-3.44564830438446i</v>
      </c>
      <c r="L604" s="580"/>
      <c r="M604" s="580" t="str">
        <f t="shared" si="494"/>
        <v>-0.00283240297686729-3.24468905681404i</v>
      </c>
      <c r="N604" s="270" t="str">
        <f t="shared" si="495"/>
        <v>-6.66879096889932-2.43351679261053i</v>
      </c>
      <c r="O604" s="581" t="str">
        <f t="shared" si="496"/>
        <v>-2.30717866059737+0.476868553616837i</v>
      </c>
      <c r="P604" s="582" t="str">
        <f t="shared" si="497"/>
        <v>-0.0250482221197336+0.0186444810086465i</v>
      </c>
      <c r="Q604" s="583" t="str">
        <f t="shared" si="498"/>
        <v>-0.0019764355137599+0.0138757954724781i</v>
      </c>
      <c r="R604" s="581" t="str">
        <f t="shared" si="519"/>
        <v>-0.500103659641833+0.554210178387415i</v>
      </c>
      <c r="S604" s="253" t="str">
        <f t="shared" si="520"/>
        <v>-7.41822316580099-6.6794857328787i</v>
      </c>
      <c r="T604" s="253" t="str">
        <f t="shared" si="521"/>
        <v>-3.66474606970435+6.25330270330209i</v>
      </c>
      <c r="U604" s="253" t="str">
        <f t="shared" si="522"/>
        <v>0.0276261914984379+0.0331073530408378i</v>
      </c>
      <c r="V604" s="582" t="str">
        <f t="shared" si="499"/>
        <v>6000</v>
      </c>
      <c r="W604" s="584" t="str">
        <f t="shared" si="500"/>
        <v>1+1536162.57799064i</v>
      </c>
      <c r="X604" s="585">
        <f t="shared" si="501"/>
        <v>1536162.5779909655</v>
      </c>
      <c r="Y604" s="586">
        <f t="shared" si="502"/>
        <v>1.5707956758221322</v>
      </c>
      <c r="Z604" s="273" t="str">
        <f t="shared" si="503"/>
        <v>1+230.389828224363i</v>
      </c>
      <c r="AA604" s="585">
        <f t="shared" si="504"/>
        <v>230.39199844884257</v>
      </c>
      <c r="AB604" s="586">
        <f t="shared" si="505"/>
        <v>1.5664558846500047</v>
      </c>
      <c r="AC604" s="584" t="str">
        <f t="shared" si="506"/>
        <v>1+11.1383016190593i</v>
      </c>
      <c r="AD604" s="585">
        <f t="shared" si="507"/>
        <v>11.183101669802479</v>
      </c>
      <c r="AE604" s="586">
        <f t="shared" si="508"/>
        <v>1.4812560970242905</v>
      </c>
      <c r="AF604" s="580" t="str">
        <f t="shared" si="523"/>
        <v>0.00684755389052178-0.0801753713843202i</v>
      </c>
      <c r="AG604" s="270">
        <f t="shared" si="524"/>
        <v>8.0467255271304439E-2</v>
      </c>
      <c r="AH604" s="581">
        <f t="shared" si="525"/>
        <v>-1.4855958881964184</v>
      </c>
      <c r="AI604" s="582" t="str">
        <f t="shared" si="509"/>
        <v>4000</v>
      </c>
      <c r="AJ604" s="584" t="str">
        <f t="shared" si="526"/>
        <v>1+120684.610026279i</v>
      </c>
      <c r="AK604" s="585">
        <f t="shared" si="527"/>
        <v>120684.61003042203</v>
      </c>
      <c r="AL604" s="586">
        <f t="shared" si="528"/>
        <v>1.5707880407342318</v>
      </c>
      <c r="AM604" s="273" t="str">
        <f t="shared" si="529"/>
        <v>1+4.22381351744665i</v>
      </c>
      <c r="AN604" s="585">
        <f t="shared" si="530"/>
        <v>4.3405760712335226</v>
      </c>
      <c r="AO604" s="586">
        <f t="shared" si="531"/>
        <v>1.3383238760921998</v>
      </c>
      <c r="AP604" s="584" t="str">
        <f t="shared" si="532"/>
        <v>1+0.0305583199152352i</v>
      </c>
      <c r="AQ604" s="585">
        <f t="shared" si="533"/>
        <v>1.0004667965085308</v>
      </c>
      <c r="AR604" s="586">
        <f t="shared" si="534"/>
        <v>3.0548813343500392E-2</v>
      </c>
      <c r="AS604" s="580" t="str">
        <f t="shared" si="535"/>
        <v>0.138852915506282-0.037386194462717i</v>
      </c>
      <c r="AT604" s="270">
        <f t="shared" si="536"/>
        <v>0.14379798218681228</v>
      </c>
      <c r="AU604" s="581">
        <f t="shared" si="537"/>
        <v>-0.26301297798553291</v>
      </c>
      <c r="AV604" s="580" t="str">
        <f t="shared" si="538"/>
        <v>-0.00275073485468751+0.0100530022111525i</v>
      </c>
      <c r="AW604" s="270">
        <f t="shared" si="539"/>
        <v>-39.640526364225842</v>
      </c>
      <c r="AX604" s="581">
        <f t="shared" si="540"/>
        <v>105.30288803373601</v>
      </c>
      <c r="AY604" s="299">
        <f t="shared" si="510"/>
        <v>-74.697111966263989</v>
      </c>
      <c r="BB604" s="270">
        <f t="shared" si="543"/>
        <v>-56.844944161021189</v>
      </c>
      <c r="BC604" s="270">
        <f t="shared" si="544"/>
        <v>-15.069533595738273</v>
      </c>
      <c r="BD604" s="286"/>
      <c r="BE604" s="270">
        <f t="shared" si="541"/>
        <v>17.204417796795383</v>
      </c>
      <c r="BF604" s="581">
        <f t="shared" si="542"/>
        <v>120.37242162947423</v>
      </c>
      <c r="BI604" s="286"/>
      <c r="BJ604" s="286"/>
      <c r="BL604" s="253">
        <f t="shared" si="511"/>
        <v>0</v>
      </c>
      <c r="BM604" s="253">
        <f t="shared" si="545"/>
        <v>0</v>
      </c>
      <c r="BN604" s="253">
        <f t="shared" si="512"/>
        <v>0</v>
      </c>
      <c r="BO604" s="253">
        <f t="shared" si="513"/>
        <v>0</v>
      </c>
    </row>
    <row r="605" spans="4:67" ht="13.6" thickBot="1" x14ac:dyDescent="0.25">
      <c r="D605" s="280">
        <v>478630</v>
      </c>
      <c r="E605" s="273" t="str">
        <f t="shared" si="492"/>
        <v>5.41317777043566i</v>
      </c>
      <c r="F605" s="579" t="str">
        <f t="shared" si="514"/>
        <v>0.002-0.00511572109150943i</v>
      </c>
      <c r="G605" s="270" t="str">
        <f t="shared" si="515"/>
        <v>0.002-0.00511572109150943i</v>
      </c>
      <c r="H605" s="271" t="str">
        <f t="shared" si="516"/>
        <v>0.00201104803643757-0.00510547163944198i</v>
      </c>
      <c r="I605" s="271" t="str">
        <f t="shared" si="517"/>
        <v>0.0120110480364376-0.00510547163944198i</v>
      </c>
      <c r="J605" s="270" t="str">
        <f t="shared" si="518"/>
        <v>0.00233738124304852-0.00340911620279161i</v>
      </c>
      <c r="K605" s="271" t="str">
        <f t="shared" si="493"/>
        <v>-4.78487101083309-3.77804143665247i</v>
      </c>
      <c r="L605" s="580"/>
      <c r="M605" s="580" t="str">
        <f t="shared" si="494"/>
        <v>-0.00243108097413809-2.9589577437937i</v>
      </c>
      <c r="N605" s="270" t="str">
        <f t="shared" si="495"/>
        <v>-6.66848997739727-2.21921830784527i</v>
      </c>
      <c r="O605" s="581" t="str">
        <f t="shared" si="496"/>
        <v>-2.15854544626613+0.543341880321736i</v>
      </c>
      <c r="P605" s="582" t="str">
        <f t="shared" si="497"/>
        <v>-0.0231523764834325+0.0175464979831111i</v>
      </c>
      <c r="Q605" s="583" t="str">
        <f t="shared" si="498"/>
        <v>-0.00156692202077106+0.0121130791798937i</v>
      </c>
      <c r="R605" s="581" t="str">
        <f t="shared" si="519"/>
        <v>-0.50002179271631+0.63434604491724i</v>
      </c>
      <c r="S605" s="253" t="str">
        <f t="shared" si="520"/>
        <v>-6.61075517575406-5.20165832525416i</v>
      </c>
      <c r="T605" s="253" t="str">
        <f t="shared" si="521"/>
        <v>-2.58542271841089+5.77555017813382i</v>
      </c>
      <c r="U605" s="253" t="str">
        <f t="shared" si="522"/>
        <v>0.024287498355415+0.0248147112098985i</v>
      </c>
      <c r="V605" s="582" t="str">
        <f t="shared" si="499"/>
        <v>6000</v>
      </c>
      <c r="W605" s="584" t="str">
        <f t="shared" si="500"/>
        <v>1+1684352.36576483i</v>
      </c>
      <c r="X605" s="585">
        <f t="shared" si="501"/>
        <v>1684352.3657651269</v>
      </c>
      <c r="Y605" s="586">
        <f t="shared" si="502"/>
        <v>1.5707957330948963</v>
      </c>
      <c r="Z605" s="273" t="str">
        <f t="shared" si="503"/>
        <v>1+252.614962620331i</v>
      </c>
      <c r="AA605" s="585">
        <f t="shared" si="504"/>
        <v>252.61694190942782</v>
      </c>
      <c r="AB605" s="586">
        <f t="shared" si="505"/>
        <v>1.5668377537706057</v>
      </c>
      <c r="AC605" s="584" t="str">
        <f t="shared" si="506"/>
        <v>1+12.2127859065572i</v>
      </c>
      <c r="AD605" s="585">
        <f t="shared" si="507"/>
        <v>12.253658212933889</v>
      </c>
      <c r="AE605" s="586">
        <f t="shared" si="508"/>
        <v>1.4890971878336383</v>
      </c>
      <c r="AF605" s="580" t="str">
        <f t="shared" si="523"/>
        <v>0.00570332972510255-0.0732152106389034i</v>
      </c>
      <c r="AG605" s="270">
        <f t="shared" si="524"/>
        <v>7.3437014092705546E-2</v>
      </c>
      <c r="AH605" s="581">
        <f t="shared" si="525"/>
        <v>-1.4930551671579284</v>
      </c>
      <c r="AI605" s="582" t="str">
        <f t="shared" si="509"/>
        <v>4000</v>
      </c>
      <c r="AJ605" s="584" t="str">
        <f t="shared" si="526"/>
        <v>1+132326.754551631i</v>
      </c>
      <c r="AK605" s="585">
        <f t="shared" si="527"/>
        <v>132326.75455540951</v>
      </c>
      <c r="AL605" s="586">
        <f t="shared" si="528"/>
        <v>1.5707887697441447</v>
      </c>
      <c r="AM605" s="273" t="str">
        <f t="shared" si="529"/>
        <v>1+4.63127431470607i</v>
      </c>
      <c r="AN605" s="585">
        <f t="shared" si="530"/>
        <v>4.7380060973004436</v>
      </c>
      <c r="AO605" s="586">
        <f t="shared" si="531"/>
        <v>1.3581378351215698</v>
      </c>
      <c r="AP605" s="584" t="str">
        <f t="shared" si="532"/>
        <v>1+0.0335062051246886i</v>
      </c>
      <c r="AQ605" s="585">
        <f t="shared" si="533"/>
        <v>1.0005611754319961</v>
      </c>
      <c r="AR605" s="586">
        <f t="shared" si="534"/>
        <v>3.3493674807363573E-2</v>
      </c>
      <c r="AS605" s="580" t="str">
        <f t="shared" si="535"/>
        <v>0.138826675718532-0.0348787001297782i</v>
      </c>
      <c r="AT605" s="270">
        <f t="shared" si="536"/>
        <v>0.14314108290005853</v>
      </c>
      <c r="AU605" s="581">
        <f t="shared" si="537"/>
        <v>-0.24614460942993949</v>
      </c>
      <c r="AV605" s="580" t="str">
        <f t="shared" si="538"/>
        <v>-0.00157481958576538+0.00891976615380063i</v>
      </c>
      <c r="AW605" s="270">
        <f t="shared" si="539"/>
        <v>-40.859622525651069</v>
      </c>
      <c r="AX605" s="581">
        <f t="shared" si="540"/>
        <v>100.01260950911947</v>
      </c>
      <c r="AY605" s="299">
        <f t="shared" si="510"/>
        <v>-79.987390490880529</v>
      </c>
      <c r="BB605" s="270">
        <f t="shared" si="543"/>
        <v>-56.884714031146174</v>
      </c>
      <c r="BC605" s="270">
        <f t="shared" si="544"/>
        <v>-14.103047270231578</v>
      </c>
      <c r="BD605" s="286"/>
      <c r="BE605" s="270">
        <f t="shared" si="541"/>
        <v>16.025091505495094</v>
      </c>
      <c r="BF605" s="581">
        <f t="shared" si="542"/>
        <v>114.11565677935103</v>
      </c>
      <c r="BI605" s="286"/>
      <c r="BJ605" s="286"/>
      <c r="BL605" s="253">
        <f t="shared" si="511"/>
        <v>0</v>
      </c>
      <c r="BM605" s="253">
        <f t="shared" si="545"/>
        <v>0</v>
      </c>
      <c r="BN605" s="253">
        <f t="shared" si="512"/>
        <v>0</v>
      </c>
      <c r="BO605" s="253">
        <f t="shared" si="513"/>
        <v>0</v>
      </c>
    </row>
    <row r="606" spans="4:67" ht="13.6" thickBot="1" x14ac:dyDescent="0.25">
      <c r="D606" s="280">
        <v>524810</v>
      </c>
      <c r="E606" s="273" t="str">
        <f t="shared" si="492"/>
        <v>5.93546126590965i</v>
      </c>
      <c r="F606" s="579" t="str">
        <f t="shared" si="514"/>
        <v>0.002-0.00466556960810418i</v>
      </c>
      <c r="G606" s="270" t="str">
        <f t="shared" si="515"/>
        <v>0.002-0.00466556960810418i</v>
      </c>
      <c r="H606" s="271" t="str">
        <f t="shared" si="516"/>
        <v>0.00200885312283767-0.00465622715890674i</v>
      </c>
      <c r="I606" s="271" t="str">
        <f t="shared" si="517"/>
        <v>0.0120088531228377-0.00465622715890674i</v>
      </c>
      <c r="J606" s="270" t="str">
        <f t="shared" si="518"/>
        <v>0.00226466012012938-0.00315728152061259i</v>
      </c>
      <c r="K606" s="271" t="str">
        <f t="shared" si="493"/>
        <v>-5.95501467387186-4.14256090585542i</v>
      </c>
      <c r="L606" s="580"/>
      <c r="M606" s="580" t="str">
        <f t="shared" si="494"/>
        <v>-0.00208117226157851-2.69837801561394i</v>
      </c>
      <c r="N606" s="270" t="str">
        <f t="shared" si="495"/>
        <v>-6.66822754586285-2.02378351171045i</v>
      </c>
      <c r="O606" s="581" t="str">
        <f t="shared" si="496"/>
        <v>-2.01799197275019+0.58907047098597i</v>
      </c>
      <c r="P606" s="582" t="str">
        <f t="shared" si="497"/>
        <v>-0.0214909232783077+0.0164702897950466i</v>
      </c>
      <c r="Q606" s="583" t="str">
        <f t="shared" si="498"/>
        <v>-0.00131100355080571+0.0105795850851868i</v>
      </c>
      <c r="R606" s="581" t="str">
        <f t="shared" si="519"/>
        <v>-0.499948778520845+0.719870154802921i</v>
      </c>
      <c r="S606" s="253" t="str">
        <f t="shared" si="520"/>
        <v>-5.80871303816819-4.02833113571553i</v>
      </c>
      <c r="T606" s="253" t="str">
        <f t="shared" si="521"/>
        <v>-1.74855660893157+5.22212531876034i</v>
      </c>
      <c r="U606" s="253" t="str">
        <f t="shared" si="522"/>
        <v>0.0208028083321157+0.0186321595258344i</v>
      </c>
      <c r="V606" s="582" t="str">
        <f t="shared" si="499"/>
        <v>6000</v>
      </c>
      <c r="W606" s="584" t="str">
        <f t="shared" si="500"/>
        <v>1+1846864.93758653i</v>
      </c>
      <c r="X606" s="585">
        <f t="shared" si="501"/>
        <v>1846864.9375868007</v>
      </c>
      <c r="Y606" s="586">
        <f t="shared" si="502"/>
        <v>1.5707957853367858</v>
      </c>
      <c r="Z606" s="273" t="str">
        <f t="shared" si="503"/>
        <v>1+276.988192409117i</v>
      </c>
      <c r="AA606" s="585">
        <f t="shared" si="504"/>
        <v>276.98999753433338</v>
      </c>
      <c r="AB606" s="586">
        <f t="shared" si="505"/>
        <v>1.5671860802834041</v>
      </c>
      <c r="AC606" s="584" t="str">
        <f t="shared" si="506"/>
        <v>1+13.3911208482967i</v>
      </c>
      <c r="AD606" s="585">
        <f t="shared" si="507"/>
        <v>13.428407112300643</v>
      </c>
      <c r="AE606" s="586">
        <f t="shared" si="508"/>
        <v>1.4962583285255113</v>
      </c>
      <c r="AF606" s="580" t="str">
        <f t="shared" si="523"/>
        <v>0.00474909662903278-0.0668439883051746i</v>
      </c>
      <c r="AG606" s="270">
        <f t="shared" si="524"/>
        <v>6.7012481608534763E-2</v>
      </c>
      <c r="AH606" s="581">
        <f t="shared" si="525"/>
        <v>-1.4998680335788932</v>
      </c>
      <c r="AI606" s="582" t="str">
        <f t="shared" si="509"/>
        <v>4000</v>
      </c>
      <c r="AJ606" s="584" t="str">
        <f t="shared" si="526"/>
        <v>1+145094.131283541i</v>
      </c>
      <c r="AK606" s="585">
        <f t="shared" si="527"/>
        <v>145094.13128698705</v>
      </c>
      <c r="AL606" s="586">
        <f t="shared" si="528"/>
        <v>1.5707894347173803</v>
      </c>
      <c r="AM606" s="273" t="str">
        <f t="shared" si="529"/>
        <v>1+5.07811686083382i</v>
      </c>
      <c r="AN606" s="585">
        <f t="shared" si="530"/>
        <v>5.1756420715003788</v>
      </c>
      <c r="AO606" s="586">
        <f t="shared" si="531"/>
        <v>1.3763607860104334</v>
      </c>
      <c r="AP606" s="584" t="str">
        <f t="shared" si="532"/>
        <v>1+0.0367390082349368i</v>
      </c>
      <c r="AQ606" s="585">
        <f t="shared" si="533"/>
        <v>1.0006746497868759</v>
      </c>
      <c r="AR606" s="586">
        <f t="shared" si="534"/>
        <v>3.6722492058548259E-2</v>
      </c>
      <c r="AS606" s="580" t="str">
        <f t="shared" si="535"/>
        <v>0.138795153830332-0.0326665415072772i</v>
      </c>
      <c r="AT606" s="270">
        <f t="shared" si="536"/>
        <v>0.14258750878261459</v>
      </c>
      <c r="AU606" s="581">
        <f t="shared" si="537"/>
        <v>-0.23115114076549506</v>
      </c>
      <c r="AV606" s="580" t="str">
        <f t="shared" si="538"/>
        <v>-0.000721024100362131+0.007819249839821i</v>
      </c>
      <c r="AW606" s="270">
        <f t="shared" si="539"/>
        <v>-42.099926493628814</v>
      </c>
      <c r="AX606" s="581">
        <f t="shared" si="540"/>
        <v>95.268426292300958</v>
      </c>
      <c r="AY606" s="299">
        <f t="shared" si="510"/>
        <v>-84.731573707699042</v>
      </c>
      <c r="BB606" s="270">
        <f t="shared" si="543"/>
        <v>-56.918370373889999</v>
      </c>
      <c r="BC606" s="270">
        <f t="shared" si="544"/>
        <v>-13.24398479549726</v>
      </c>
      <c r="BD606" s="286"/>
      <c r="BE606" s="270">
        <f t="shared" si="541"/>
        <v>14.818443880261192</v>
      </c>
      <c r="BF606" s="581">
        <f t="shared" si="542"/>
        <v>108.5124110877982</v>
      </c>
      <c r="BI606" s="286"/>
      <c r="BJ606" s="286"/>
      <c r="BL606" s="253">
        <f t="shared" si="511"/>
        <v>0</v>
      </c>
      <c r="BM606" s="253">
        <f t="shared" si="545"/>
        <v>0</v>
      </c>
      <c r="BN606" s="253">
        <f t="shared" si="512"/>
        <v>0</v>
      </c>
      <c r="BO606" s="253">
        <f t="shared" si="513"/>
        <v>0</v>
      </c>
    </row>
    <row r="607" spans="4:67" ht="13.6" thickBot="1" x14ac:dyDescent="0.25">
      <c r="D607" s="280">
        <v>575440</v>
      </c>
      <c r="E607" s="273" t="str">
        <f t="shared" si="492"/>
        <v>6.50807307569416i</v>
      </c>
      <c r="F607" s="579" t="str">
        <f t="shared" si="514"/>
        <v>0.002-0.00425507018286731i</v>
      </c>
      <c r="G607" s="270" t="str">
        <f t="shared" si="515"/>
        <v>0.002-0.00425507018286731i</v>
      </c>
      <c r="H607" s="271" t="str">
        <f t="shared" si="516"/>
        <v>0.0020070276641534-0.00424655360747487i</v>
      </c>
      <c r="I607" s="271" t="str">
        <f t="shared" si="517"/>
        <v>0.0120070276641534-0.00424655360747487i</v>
      </c>
      <c r="J607" s="270" t="str">
        <f t="shared" si="518"/>
        <v>0.00219695662428104-0.00292040216461489i</v>
      </c>
      <c r="K607" s="271" t="str">
        <f t="shared" si="493"/>
        <v>-7.36168767455369-4.54220622256711i</v>
      </c>
      <c r="L607" s="580"/>
      <c r="M607" s="580" t="str">
        <f t="shared" si="494"/>
        <v>-0.00177685610036237-2.46079434020639i</v>
      </c>
      <c r="N607" s="270" t="str">
        <f t="shared" si="495"/>
        <v>-6.66799930874194-1.84559575515479i</v>
      </c>
      <c r="O607" s="581" t="str">
        <f t="shared" si="496"/>
        <v>-1.88707220308113+0.616721534290782i</v>
      </c>
      <c r="P607" s="582" t="str">
        <f t="shared" si="497"/>
        <v>-0.0200391870904001+0.0154185457948683i</v>
      </c>
      <c r="Q607" s="583" t="str">
        <f t="shared" si="498"/>
        <v>-0.00116846505958877+0.00925133045196045i</v>
      </c>
      <c r="R607" s="581" t="str">
        <f t="shared" si="519"/>
        <v>-0.499883981911446+0.811487333686088i</v>
      </c>
      <c r="S607" s="253" t="str">
        <f t="shared" si="520"/>
        <v>-5.04853398981635-3.10636121669631i</v>
      </c>
      <c r="T607" s="253" t="str">
        <f t="shared" si="521"/>
        <v>-1.12022739387571+4.64919694600601i</v>
      </c>
      <c r="U607" s="253" t="str">
        <f t="shared" si="522"/>
        <v>0.017494736693272+0.0140881725673866i</v>
      </c>
      <c r="V607" s="582" t="str">
        <f t="shared" si="499"/>
        <v>6000</v>
      </c>
      <c r="W607" s="584" t="str">
        <f t="shared" si="500"/>
        <v>1+2025037.55584839i</v>
      </c>
      <c r="X607" s="585">
        <f t="shared" si="501"/>
        <v>2025037.5558486369</v>
      </c>
      <c r="Y607" s="586">
        <f t="shared" si="502"/>
        <v>1.5707958329768945</v>
      </c>
      <c r="Z607" s="273" t="str">
        <f t="shared" si="503"/>
        <v>1+303.710076865727i</v>
      </c>
      <c r="AA607" s="585">
        <f t="shared" si="504"/>
        <v>303.71172316818098</v>
      </c>
      <c r="AB607" s="586">
        <f t="shared" si="505"/>
        <v>1.5675037248615831</v>
      </c>
      <c r="AC607" s="584" t="str">
        <f t="shared" si="506"/>
        <v>1+14.683002574158i</v>
      </c>
      <c r="AD607" s="585">
        <f t="shared" si="507"/>
        <v>14.717016157928564</v>
      </c>
      <c r="AE607" s="586">
        <f t="shared" si="508"/>
        <v>1.5027953751431917</v>
      </c>
      <c r="AF607" s="580" t="str">
        <f t="shared" si="523"/>
        <v>0.00395385256981831-0.0610168911035172i</v>
      </c>
      <c r="AG607" s="270">
        <f t="shared" si="524"/>
        <v>6.1144860373397975E-2</v>
      </c>
      <c r="AH607" s="581">
        <f t="shared" si="525"/>
        <v>-1.5060874832585034</v>
      </c>
      <c r="AI607" s="582" t="str">
        <f t="shared" si="509"/>
        <v>4000</v>
      </c>
      <c r="AJ607" s="584" t="str">
        <f t="shared" si="526"/>
        <v>1+159091.798757266i</v>
      </c>
      <c r="AK607" s="585">
        <f t="shared" si="527"/>
        <v>159091.79876040883</v>
      </c>
      <c r="AL607" s="586">
        <f t="shared" si="528"/>
        <v>1.5707900411157616</v>
      </c>
      <c r="AM607" s="273" t="str">
        <f t="shared" si="529"/>
        <v>1+5.56801807587167i</v>
      </c>
      <c r="AN607" s="585">
        <f t="shared" si="530"/>
        <v>5.6571039669811318</v>
      </c>
      <c r="AO607" s="586">
        <f t="shared" si="531"/>
        <v>1.3930936541323529</v>
      </c>
      <c r="AP607" s="584" t="str">
        <f t="shared" si="532"/>
        <v>1+0.0402833309173072i</v>
      </c>
      <c r="AQ607" s="585">
        <f t="shared" si="533"/>
        <v>1.0008110444783238</v>
      </c>
      <c r="AR607" s="586">
        <f t="shared" si="534"/>
        <v>4.0261562226983606E-2</v>
      </c>
      <c r="AS607" s="580" t="str">
        <f t="shared" si="535"/>
        <v>0.138757293335631-0.0307314425394017i</v>
      </c>
      <c r="AT607" s="270">
        <f t="shared" si="536"/>
        <v>0.14211969608179892</v>
      </c>
      <c r="AU607" s="581">
        <f t="shared" si="537"/>
        <v>-0.21795794921039238</v>
      </c>
      <c r="AV607" s="580" t="str">
        <f t="shared" si="538"/>
        <v>-0.000125631922940757+0.00679536188198031i</v>
      </c>
      <c r="AW607" s="270">
        <f t="shared" si="539"/>
        <v>-43.35426403127542</v>
      </c>
      <c r="AX607" s="581">
        <f t="shared" si="540"/>
        <v>91.059157574240132</v>
      </c>
      <c r="AY607" s="299">
        <f t="shared" si="510"/>
        <v>-88.940842425759868</v>
      </c>
      <c r="BB607" s="270">
        <f t="shared" si="543"/>
        <v>-56.946914598117857</v>
      </c>
      <c r="BC607" s="270">
        <f t="shared" si="544"/>
        <v>-12.488070601082235</v>
      </c>
      <c r="BD607" s="286"/>
      <c r="BE607" s="270">
        <f t="shared" si="541"/>
        <v>13.592650566842439</v>
      </c>
      <c r="BF607" s="581">
        <f t="shared" si="542"/>
        <v>103.54722817532237</v>
      </c>
      <c r="BI607" s="286"/>
      <c r="BJ607" s="286"/>
      <c r="BL607" s="253">
        <f t="shared" si="511"/>
        <v>0</v>
      </c>
      <c r="BM607" s="253">
        <f t="shared" si="545"/>
        <v>0</v>
      </c>
      <c r="BN607" s="253">
        <f t="shared" si="512"/>
        <v>0</v>
      </c>
      <c r="BO607" s="253">
        <f t="shared" si="513"/>
        <v>0</v>
      </c>
    </row>
    <row r="608" spans="4:67" ht="13.6" thickBot="1" x14ac:dyDescent="0.25">
      <c r="D608" s="280">
        <v>630960</v>
      </c>
      <c r="E608" s="273" t="str">
        <f t="shared" si="492"/>
        <v>7.13598948255246i</v>
      </c>
      <c r="F608" s="579" t="str">
        <f t="shared" si="514"/>
        <v>0.002-0.00388065421901414i</v>
      </c>
      <c r="G608" s="270" t="str">
        <f t="shared" si="515"/>
        <v>0.002-0.00388065421901414i</v>
      </c>
      <c r="H608" s="271" t="str">
        <f t="shared" si="516"/>
        <v>0.00200550916426622-0.00387288998522912i</v>
      </c>
      <c r="I608" s="271" t="str">
        <f t="shared" si="517"/>
        <v>0.0120055091642662-0.00387288998522912i</v>
      </c>
      <c r="J608" s="270" t="str">
        <f t="shared" si="518"/>
        <v>0.00213477222820369-0.0026977211952574i</v>
      </c>
      <c r="K608" s="271" t="str">
        <f t="shared" si="493"/>
        <v>-9.0530421352996-4.98045050429401i</v>
      </c>
      <c r="L608" s="580"/>
      <c r="M608" s="580" t="str">
        <f t="shared" si="494"/>
        <v>-0.00151291290835154-2.24412901831981i</v>
      </c>
      <c r="N608" s="270" t="str">
        <f t="shared" si="495"/>
        <v>-6.66780135134793-1.68309676373986i</v>
      </c>
      <c r="O608" s="581" t="str">
        <f t="shared" si="496"/>
        <v>-1.76677889442029+0.62906957239685i</v>
      </c>
      <c r="P608" s="582" t="str">
        <f t="shared" si="497"/>
        <v>-0.0187747629612468+0.0143948408026859i</v>
      </c>
      <c r="Q608" s="583" t="str">
        <f t="shared" si="498"/>
        <v>-0.00110697401704391+0.00810414507871743i</v>
      </c>
      <c r="R608" s="581" t="str">
        <f t="shared" si="519"/>
        <v>-0.499826774317589+0.909994990500737i</v>
      </c>
      <c r="S608" s="253" t="str">
        <f t="shared" si="520"/>
        <v>-4.35034343209543-2.38732240192733i</v>
      </c>
      <c r="T608" s="253" t="str">
        <f t="shared" si="521"/>
        <v>-0.662794168031198+4.0937414992681i</v>
      </c>
      <c r="U608" s="253" t="str">
        <f t="shared" si="522"/>
        <v>0.0145253706766235+0.0107769649885554i</v>
      </c>
      <c r="V608" s="582" t="str">
        <f t="shared" si="499"/>
        <v>6000</v>
      </c>
      <c r="W608" s="584" t="str">
        <f t="shared" si="500"/>
        <v>1+2220418.62963662i</v>
      </c>
      <c r="X608" s="585">
        <f t="shared" si="501"/>
        <v>2220418.6296368451</v>
      </c>
      <c r="Y608" s="586">
        <f t="shared" si="502"/>
        <v>1.5707958764293724</v>
      </c>
      <c r="Z608" s="273" t="str">
        <f t="shared" si="503"/>
        <v>1+333.012842519115i</v>
      </c>
      <c r="AA608" s="585">
        <f t="shared" si="504"/>
        <v>333.01434395932688</v>
      </c>
      <c r="AB608" s="586">
        <f t="shared" si="505"/>
        <v>1.5677934486275729</v>
      </c>
      <c r="AC608" s="584" t="str">
        <f t="shared" si="506"/>
        <v>1+16.0996581818969i</v>
      </c>
      <c r="AD608" s="585">
        <f t="shared" si="507"/>
        <v>16.130684845161404</v>
      </c>
      <c r="AE608" s="586">
        <f t="shared" si="508"/>
        <v>1.5087629007303485</v>
      </c>
      <c r="AF608" s="580" t="str">
        <f t="shared" si="523"/>
        <v>0.00329120089361129-0.0556889972718978i</v>
      </c>
      <c r="AG608" s="270">
        <f t="shared" si="524"/>
        <v>5.5786166927577562E-2</v>
      </c>
      <c r="AH608" s="581">
        <f t="shared" si="525"/>
        <v>-1.511765328532148</v>
      </c>
      <c r="AI608" s="582" t="str">
        <f t="shared" si="509"/>
        <v>4000</v>
      </c>
      <c r="AJ608" s="584" t="str">
        <f t="shared" si="526"/>
        <v>1+174441.40369784i</v>
      </c>
      <c r="AK608" s="585">
        <f t="shared" si="527"/>
        <v>174441.40370070629</v>
      </c>
      <c r="AL608" s="586">
        <f t="shared" si="528"/>
        <v>1.5707905942108953</v>
      </c>
      <c r="AM608" s="273" t="str">
        <f t="shared" si="529"/>
        <v>1+6.10523544618377i</v>
      </c>
      <c r="AN608" s="585">
        <f t="shared" si="530"/>
        <v>6.1865903253196537</v>
      </c>
      <c r="AO608" s="586">
        <f t="shared" si="531"/>
        <v>1.4084441208485086</v>
      </c>
      <c r="AP608" s="584" t="str">
        <f t="shared" si="532"/>
        <v>1+0.044169975107021i</v>
      </c>
      <c r="AQ608" s="585">
        <f t="shared" si="533"/>
        <v>1.0009750180204073</v>
      </c>
      <c r="AR608" s="586">
        <f t="shared" si="534"/>
        <v>4.4141283674163728E-2</v>
      </c>
      <c r="AS608" s="580" t="str">
        <f t="shared" si="535"/>
        <v>0.138711809798172-0.0290564306565516i</v>
      </c>
      <c r="AT608" s="270">
        <f t="shared" si="536"/>
        <v>0.1417224129768585</v>
      </c>
      <c r="AU608" s="581">
        <f t="shared" si="537"/>
        <v>-0.20648775703655065</v>
      </c>
      <c r="AV608" s="580" t="str">
        <f t="shared" si="538"/>
        <v>0.0002701213742805+0.00587108724992325i</v>
      </c>
      <c r="AW608" s="270">
        <f t="shared" si="539"/>
        <v>-44.616445860417173</v>
      </c>
      <c r="AX608" s="581">
        <f t="shared" si="540"/>
        <v>87.365750596540195</v>
      </c>
      <c r="AY608" s="299">
        <f t="shared" si="510"/>
        <v>-92.634249403459805</v>
      </c>
      <c r="BB608" s="270">
        <f t="shared" si="543"/>
        <v>-56.971229238883694</v>
      </c>
      <c r="BC608" s="270">
        <f t="shared" si="544"/>
        <v>-11.830876999317118</v>
      </c>
      <c r="BD608" s="286"/>
      <c r="BE608" s="270">
        <f t="shared" si="541"/>
        <v>12.354783378466539</v>
      </c>
      <c r="BF608" s="581">
        <f t="shared" si="542"/>
        <v>99.196627595857308</v>
      </c>
      <c r="BI608" s="286"/>
      <c r="BJ608" s="286"/>
      <c r="BL608" s="253">
        <f t="shared" si="511"/>
        <v>0</v>
      </c>
      <c r="BM608" s="253">
        <f t="shared" si="545"/>
        <v>0</v>
      </c>
      <c r="BN608" s="253">
        <f t="shared" si="512"/>
        <v>0</v>
      </c>
      <c r="BO608" s="253">
        <f t="shared" si="513"/>
        <v>0</v>
      </c>
    </row>
    <row r="609" spans="4:67" ht="13.6" thickBot="1" x14ac:dyDescent="0.25">
      <c r="D609" s="280">
        <v>691830</v>
      </c>
      <c r="E609" s="273" t="str">
        <f t="shared" si="492"/>
        <v>7.8244129639189i</v>
      </c>
      <c r="F609" s="579" t="str">
        <f t="shared" si="514"/>
        <v>0.002-0.00353921857396927i</v>
      </c>
      <c r="G609" s="270" t="str">
        <f t="shared" si="515"/>
        <v>0.002-0.00353921857396927i</v>
      </c>
      <c r="H609" s="271" t="str">
        <f t="shared" si="516"/>
        <v>0.00200424626095769-0.003532139701471i</v>
      </c>
      <c r="I609" s="271" t="str">
        <f t="shared" si="517"/>
        <v>0.0120042462609577-0.003532139701471i</v>
      </c>
      <c r="J609" s="270" t="str">
        <f t="shared" si="518"/>
        <v>0.00207838692703511-0.00248873887895945i</v>
      </c>
      <c r="K609" s="271" t="str">
        <f t="shared" si="493"/>
        <v>-11.0862793591071-5.46092473752017i</v>
      </c>
      <c r="L609" s="580"/>
      <c r="M609" s="580" t="str">
        <f t="shared" si="494"/>
        <v>-0.00128480637569798-2.04657634313586i</v>
      </c>
      <c r="N609" s="270" t="str">
        <f t="shared" si="495"/>
        <v>-6.66763027144844-1.5349322573519i</v>
      </c>
      <c r="O609" s="581" t="str">
        <f t="shared" si="496"/>
        <v>-1.65767107121895+0.62883429603029i</v>
      </c>
      <c r="P609" s="582" t="str">
        <f t="shared" si="497"/>
        <v>-0.0176779611759227+0.013403807549516i</v>
      </c>
      <c r="Q609" s="583" t="str">
        <f t="shared" si="498"/>
        <v>-0.00110125046373315+0.00711546458921308i</v>
      </c>
      <c r="R609" s="581" t="str">
        <f t="shared" si="519"/>
        <v>-0.499776564544452+1.01621041353723i</v>
      </c>
      <c r="S609" s="253" t="str">
        <f t="shared" si="520"/>
        <v>-3.72350168440544-1.82996815091047i</v>
      </c>
      <c r="T609" s="253" t="str">
        <f t="shared" si="521"/>
        <v>-0.340381508004773+3.57800013668573i</v>
      </c>
      <c r="U609" s="253" t="str">
        <f t="shared" si="522"/>
        <v>0.0119557879699386+0.0083734684337287i</v>
      </c>
      <c r="V609" s="582" t="str">
        <f t="shared" si="499"/>
        <v>6000</v>
      </c>
      <c r="W609" s="584" t="str">
        <f t="shared" si="500"/>
        <v>1+2434626.95026864i</v>
      </c>
      <c r="X609" s="585">
        <f t="shared" si="501"/>
        <v>2434626.9502688455</v>
      </c>
      <c r="Y609" s="586">
        <f t="shared" si="502"/>
        <v>1.5707959160543519</v>
      </c>
      <c r="Z609" s="273" t="str">
        <f t="shared" si="503"/>
        <v>1+365.139271649548i</v>
      </c>
      <c r="AA609" s="585">
        <f t="shared" si="504"/>
        <v>365.14064098750009</v>
      </c>
      <c r="AB609" s="586">
        <f t="shared" si="505"/>
        <v>1.5680576526025287</v>
      </c>
      <c r="AC609" s="584" t="str">
        <f t="shared" si="506"/>
        <v>1+17.6528250918945i</v>
      </c>
      <c r="AD609" s="585">
        <f t="shared" si="507"/>
        <v>17.68112648348572</v>
      </c>
      <c r="AE609" s="586">
        <f t="shared" si="508"/>
        <v>1.5142086487076967</v>
      </c>
      <c r="AF609" s="580" t="str">
        <f t="shared" si="523"/>
        <v>0.00273930343903753-0.0508205181408581i</v>
      </c>
      <c r="AG609" s="270">
        <f t="shared" si="524"/>
        <v>5.0894290912011038E-2</v>
      </c>
      <c r="AH609" s="581">
        <f t="shared" si="525"/>
        <v>-1.5169469121595198</v>
      </c>
      <c r="AI609" s="582" t="str">
        <f t="shared" si="509"/>
        <v>4000</v>
      </c>
      <c r="AJ609" s="584" t="str">
        <f t="shared" si="526"/>
        <v>1+191270.122226887i</v>
      </c>
      <c r="AK609" s="585">
        <f t="shared" si="527"/>
        <v>191270.12222950111</v>
      </c>
      <c r="AL609" s="586">
        <f t="shared" si="528"/>
        <v>1.5707910985868088</v>
      </c>
      <c r="AM609" s="273" t="str">
        <f t="shared" si="529"/>
        <v>1+6.69421998024172i</v>
      </c>
      <c r="AN609" s="585">
        <f t="shared" si="530"/>
        <v>6.7684991795720464</v>
      </c>
      <c r="AO609" s="586">
        <f t="shared" si="531"/>
        <v>1.4225102458854495</v>
      </c>
      <c r="AP609" s="584" t="str">
        <f t="shared" si="532"/>
        <v>1+0.0484311428272637i</v>
      </c>
      <c r="AQ609" s="585">
        <f t="shared" si="533"/>
        <v>1.0011721008875321</v>
      </c>
      <c r="AR609" s="586">
        <f t="shared" si="534"/>
        <v>4.8393329726879812E-2</v>
      </c>
      <c r="AS609" s="580" t="str">
        <f t="shared" si="535"/>
        <v>0.138657181680186-0.0276274261974874i</v>
      </c>
      <c r="AT609" s="270">
        <f t="shared" si="536"/>
        <v>0.14138277373778507</v>
      </c>
      <c r="AU609" s="581">
        <f t="shared" si="537"/>
        <v>-0.19667418242823859</v>
      </c>
      <c r="AV609" s="580" t="str">
        <f t="shared" si="538"/>
        <v>0.000516545941148913+0.00505519279995555i</v>
      </c>
      <c r="AW609" s="270">
        <f t="shared" si="539"/>
        <v>-45.880135886661996</v>
      </c>
      <c r="AX609" s="581">
        <f t="shared" si="540"/>
        <v>84.165694498364701</v>
      </c>
      <c r="AY609" s="299">
        <f t="shared" si="510"/>
        <v>-95.834305501635299</v>
      </c>
      <c r="BB609" s="270">
        <f t="shared" si="543"/>
        <v>-56.992070046478169</v>
      </c>
      <c r="BC609" s="270">
        <f t="shared" si="544"/>
        <v>-11.268600592324088</v>
      </c>
      <c r="BD609" s="286"/>
      <c r="BE609" s="270">
        <f t="shared" si="541"/>
        <v>11.111934159816171</v>
      </c>
      <c r="BF609" s="581">
        <f t="shared" si="542"/>
        <v>95.434295090688792</v>
      </c>
      <c r="BI609" s="286"/>
      <c r="BJ609" s="286"/>
      <c r="BL609" s="253">
        <f t="shared" si="511"/>
        <v>0</v>
      </c>
      <c r="BM609" s="253">
        <f t="shared" si="545"/>
        <v>0</v>
      </c>
      <c r="BN609" s="253">
        <f t="shared" si="512"/>
        <v>0</v>
      </c>
      <c r="BO609" s="253">
        <f t="shared" si="513"/>
        <v>0</v>
      </c>
    </row>
    <row r="610" spans="4:67" ht="13.6" thickBot="1" x14ac:dyDescent="0.25">
      <c r="D610" s="280">
        <v>758580</v>
      </c>
      <c r="E610" s="273" t="str">
        <f t="shared" si="492"/>
        <v>8.57933767857652i</v>
      </c>
      <c r="F610" s="579" t="str">
        <f t="shared" si="514"/>
        <v>0.002-0.00322779085400242i</v>
      </c>
      <c r="G610" s="270" t="str">
        <f t="shared" si="515"/>
        <v>0.002-0.00322779085400242i</v>
      </c>
      <c r="H610" s="271" t="str">
        <f t="shared" si="516"/>
        <v>0.00200319570465297-0.00322133656904624i</v>
      </c>
      <c r="I610" s="271" t="str">
        <f t="shared" si="517"/>
        <v>0.012003195704653-0.00322133656904624i</v>
      </c>
      <c r="J610" s="270" t="str">
        <f t="shared" si="518"/>
        <v>0.00202783417504903-0.00229295641808387i</v>
      </c>
      <c r="K610" s="271" t="str">
        <f t="shared" si="493"/>
        <v>-13.5310375091538-5.98781245015112i</v>
      </c>
      <c r="L610" s="580"/>
      <c r="M610" s="580" t="str">
        <f t="shared" si="494"/>
        <v>-0.0010883421204211-1.86640837361847i</v>
      </c>
      <c r="N610" s="270" t="str">
        <f t="shared" si="495"/>
        <v>-6.66748292325699-1.39980628021385i</v>
      </c>
      <c r="O610" s="581" t="str">
        <f t="shared" si="496"/>
        <v>-1.55982640585646+0.618580841971373i</v>
      </c>
      <c r="P610" s="582" t="str">
        <f t="shared" si="497"/>
        <v>-0.0167302445276268+0.0124496727478808i</v>
      </c>
      <c r="Q610" s="583" t="str">
        <f t="shared" si="498"/>
        <v>-0.00113198046906214+0.00626386432816705i</v>
      </c>
      <c r="R610" s="581" t="str">
        <f t="shared" si="519"/>
        <v>-0.499732740633238+1.13105941680746i</v>
      </c>
      <c r="S610" s="253" t="str">
        <f t="shared" si="520"/>
        <v>-3.16984319581232-1.39981131293228i</v>
      </c>
      <c r="T610" s="253" t="str">
        <f t="shared" si="521"/>
        <v>-0.121113048986582+3.11302169959208i</v>
      </c>
      <c r="U610" s="253" t="str">
        <f t="shared" si="522"/>
        <v>0.00978547750162312+0.00662613759080348i</v>
      </c>
      <c r="V610" s="582" t="str">
        <f t="shared" si="499"/>
        <v>6000</v>
      </c>
      <c r="W610" s="584" t="str">
        <f t="shared" si="500"/>
        <v>1+2669527.64687104i</v>
      </c>
      <c r="X610" s="585">
        <f t="shared" si="501"/>
        <v>2669527.6468712273</v>
      </c>
      <c r="Y610" s="586">
        <f t="shared" si="502"/>
        <v>1.5707959521967907</v>
      </c>
      <c r="Z610" s="273" t="str">
        <f t="shared" si="503"/>
        <v>1+400.369091666905i</v>
      </c>
      <c r="AA610" s="585">
        <f t="shared" si="504"/>
        <v>400.37034051260906</v>
      </c>
      <c r="AB610" s="586">
        <f t="shared" si="505"/>
        <v>1.568298636685127</v>
      </c>
      <c r="AC610" s="584" t="str">
        <f t="shared" si="506"/>
        <v>1+19.3560268537203i</v>
      </c>
      <c r="AD610" s="585">
        <f t="shared" si="507"/>
        <v>19.381841387286745</v>
      </c>
      <c r="AE610" s="586">
        <f t="shared" si="508"/>
        <v>1.5191787234458916</v>
      </c>
      <c r="AF610" s="580" t="str">
        <f t="shared" si="523"/>
        <v>0.00227965923992843-0.0463723970126818i</v>
      </c>
      <c r="AG610" s="270">
        <f t="shared" si="524"/>
        <v>4.6428397031902477E-2</v>
      </c>
      <c r="AH610" s="581">
        <f t="shared" si="525"/>
        <v>-1.5216760389575554</v>
      </c>
      <c r="AI610" s="582" t="str">
        <f t="shared" si="509"/>
        <v>4000</v>
      </c>
      <c r="AJ610" s="584" t="str">
        <f t="shared" si="526"/>
        <v>1+209724.483354107i</v>
      </c>
      <c r="AK610" s="585">
        <f t="shared" si="527"/>
        <v>209724.48335649111</v>
      </c>
      <c r="AL610" s="586">
        <f t="shared" si="528"/>
        <v>1.5707915586343844</v>
      </c>
      <c r="AM610" s="273" t="str">
        <f t="shared" si="529"/>
        <v>1+7.34010001389325i</v>
      </c>
      <c r="AN610" s="585">
        <f t="shared" si="530"/>
        <v>7.4079057913796174</v>
      </c>
      <c r="AO610" s="586">
        <f t="shared" si="531"/>
        <v>1.4353920306718695</v>
      </c>
      <c r="AP610" s="584" t="str">
        <f t="shared" si="532"/>
        <v>1+0.0531039364090972i</v>
      </c>
      <c r="AQ610" s="585">
        <f t="shared" si="533"/>
        <v>1.0014090213604736</v>
      </c>
      <c r="AR610" s="586">
        <f t="shared" si="534"/>
        <v>5.3054102504804815E-2</v>
      </c>
      <c r="AS610" s="580" t="str">
        <f t="shared" si="535"/>
        <v>0.138591562092825-0.0264317320300335i</v>
      </c>
      <c r="AT610" s="270">
        <f t="shared" si="536"/>
        <v>0.14108953732093979</v>
      </c>
      <c r="AU610" s="581">
        <f t="shared" si="537"/>
        <v>-0.18845363046731978</v>
      </c>
      <c r="AV610" s="580" t="str">
        <f t="shared" si="538"/>
        <v>0.000654973087184221+0.00434639767831481i</v>
      </c>
      <c r="AW610" s="270">
        <f t="shared" si="539"/>
        <v>-47.139892245797661</v>
      </c>
      <c r="AX610" s="581">
        <f t="shared" si="540"/>
        <v>81.430388282275757</v>
      </c>
      <c r="AY610" s="299">
        <f t="shared" si="510"/>
        <v>-98.569611717724243</v>
      </c>
      <c r="BB610" s="270">
        <f t="shared" si="543"/>
        <v>-57.010103814531242</v>
      </c>
      <c r="BC610" s="270">
        <f t="shared" si="544"/>
        <v>-10.797597659695446</v>
      </c>
      <c r="BD610" s="286"/>
      <c r="BE610" s="270">
        <f t="shared" si="541"/>
        <v>9.8702115687335858</v>
      </c>
      <c r="BF610" s="581">
        <f t="shared" si="542"/>
        <v>92.227985941971212</v>
      </c>
      <c r="BI610" s="286"/>
      <c r="BJ610" s="286"/>
      <c r="BL610" s="253">
        <f t="shared" si="511"/>
        <v>0</v>
      </c>
      <c r="BM610" s="253">
        <f t="shared" si="545"/>
        <v>0</v>
      </c>
      <c r="BN610" s="253">
        <f t="shared" si="512"/>
        <v>0</v>
      </c>
      <c r="BO610" s="253">
        <f t="shared" si="513"/>
        <v>0</v>
      </c>
    </row>
    <row r="611" spans="4:67" ht="13.6" thickBot="1" x14ac:dyDescent="0.25">
      <c r="D611" s="280">
        <v>831760</v>
      </c>
      <c r="E611" s="273" t="str">
        <f t="shared" si="492"/>
        <v>9.40698397997945i</v>
      </c>
      <c r="F611" s="579" t="str">
        <f t="shared" si="514"/>
        <v>0.002-0.00294380300330523i</v>
      </c>
      <c r="G611" s="270" t="str">
        <f t="shared" si="515"/>
        <v>0.002-0.00294380300330523i</v>
      </c>
      <c r="H611" s="271" t="str">
        <f t="shared" si="516"/>
        <v>0.00200232200371304-0.00293791786467649i</v>
      </c>
      <c r="I611" s="271" t="str">
        <f t="shared" si="517"/>
        <v>0.012002322003713-0.00293791786467649i</v>
      </c>
      <c r="J611" s="270" t="str">
        <f t="shared" si="518"/>
        <v>0.00198298787891344-0.00211000190499299i</v>
      </c>
      <c r="K611" s="271" t="str">
        <f t="shared" si="493"/>
        <v>-16.4698794878917-6.56545503906997i</v>
      </c>
      <c r="L611" s="580"/>
      <c r="M611" s="580" t="str">
        <f t="shared" si="494"/>
        <v>-0.000919794277438888-1.70213282175836i</v>
      </c>
      <c r="N611" s="270" t="str">
        <f t="shared" si="495"/>
        <v>-6.66735651237475-1.27659961631877i</v>
      </c>
      <c r="O611" s="581" t="str">
        <f t="shared" si="496"/>
        <v>-1.47301035494209+0.600639604413587i</v>
      </c>
      <c r="P611" s="582" t="str">
        <f t="shared" si="497"/>
        <v>-0.0159149147707796+0.0115366533769925i</v>
      </c>
      <c r="Q611" s="583" t="str">
        <f t="shared" si="498"/>
        <v>-0.0011848112213588+0.00553025733285665i</v>
      </c>
      <c r="R611" s="581" t="str">
        <f t="shared" si="519"/>
        <v>-0.499694713777007+1.25548926786654i</v>
      </c>
      <c r="S611" s="253" t="str">
        <f t="shared" si="520"/>
        <v>-2.68699782283776-1.06907104665929i</v>
      </c>
      <c r="T611" s="253" t="str">
        <f t="shared" si="521"/>
        <v>0.0215487209122702+2.70256338923095i</v>
      </c>
      <c r="U611" s="253" t="str">
        <f t="shared" si="522"/>
        <v>0.00798305673967676+0.00534809376855731i</v>
      </c>
      <c r="V611" s="582" t="str">
        <f t="shared" si="499"/>
        <v>6000</v>
      </c>
      <c r="W611" s="584" t="str">
        <f t="shared" si="500"/>
        <v>1+2927056.23080157i</v>
      </c>
      <c r="X611" s="585">
        <f t="shared" si="501"/>
        <v>2927056.2308017411</v>
      </c>
      <c r="Y611" s="586">
        <f t="shared" si="502"/>
        <v>1.5707959851547226</v>
      </c>
      <c r="Z611" s="273" t="str">
        <f t="shared" si="503"/>
        <v>1+438.992585732374i</v>
      </c>
      <c r="AA611" s="585">
        <f t="shared" si="504"/>
        <v>438.99372470229662</v>
      </c>
      <c r="AB611" s="586">
        <f t="shared" si="505"/>
        <v>1.5685183879348072</v>
      </c>
      <c r="AC611" s="584" t="str">
        <f t="shared" si="506"/>
        <v>1+21.2232973395692i</v>
      </c>
      <c r="AD611" s="585">
        <f t="shared" si="507"/>
        <v>21.246843294093477</v>
      </c>
      <c r="AE611" s="586">
        <f t="shared" si="508"/>
        <v>1.5237131176252885</v>
      </c>
      <c r="AF611" s="580" t="str">
        <f t="shared" si="523"/>
        <v>0.00189701679063662-0.0423104850197963i</v>
      </c>
      <c r="AG611" s="270">
        <f t="shared" si="524"/>
        <v>4.2352990630112108E-2</v>
      </c>
      <c r="AH611" s="581">
        <f t="shared" si="525"/>
        <v>-1.5259907148452039</v>
      </c>
      <c r="AI611" s="582" t="str">
        <f t="shared" si="509"/>
        <v>4000</v>
      </c>
      <c r="AJ611" s="584" t="str">
        <f t="shared" si="526"/>
        <v>1+229956.545485792i</v>
      </c>
      <c r="AK611" s="585">
        <f t="shared" si="527"/>
        <v>229956.54548796633</v>
      </c>
      <c r="AL611" s="586">
        <f t="shared" si="528"/>
        <v>1.5707919781472082</v>
      </c>
      <c r="AM611" s="273" t="str">
        <f t="shared" si="529"/>
        <v>1+8.04819740509353i</v>
      </c>
      <c r="AN611" s="585">
        <f t="shared" si="530"/>
        <v>8.1100851704130843</v>
      </c>
      <c r="AO611" s="586">
        <f t="shared" si="531"/>
        <v>1.447178458032196</v>
      </c>
      <c r="AP611" s="584" t="str">
        <f t="shared" si="532"/>
        <v>1+0.0582268582715477i</v>
      </c>
      <c r="AQ611" s="585">
        <f t="shared" si="533"/>
        <v>1.0016937491190483</v>
      </c>
      <c r="AR611" s="586">
        <f t="shared" si="534"/>
        <v>5.8161188333589693E-2</v>
      </c>
      <c r="AS611" s="580" t="str">
        <f t="shared" si="535"/>
        <v>0.138512769762134-0.0254591453783506i</v>
      </c>
      <c r="AT611" s="270">
        <f t="shared" si="536"/>
        <v>0.14083307662113306</v>
      </c>
      <c r="AU611" s="581">
        <f t="shared" si="537"/>
        <v>-0.18177470844860111</v>
      </c>
      <c r="AV611" s="580" t="str">
        <f t="shared" si="538"/>
        <v>0.000717897272390284+0.00373790928481696i</v>
      </c>
      <c r="AW611" s="270">
        <f t="shared" si="539"/>
        <v>-48.390112779998617</v>
      </c>
      <c r="AX611" s="581">
        <f t="shared" si="540"/>
        <v>79.128241734208842</v>
      </c>
      <c r="AY611" s="299">
        <f t="shared" si="510"/>
        <v>-100.87175826579116</v>
      </c>
      <c r="BB611" s="270">
        <f t="shared" si="543"/>
        <v>-57.025906661407113</v>
      </c>
      <c r="BC611" s="270">
        <f t="shared" si="544"/>
        <v>-10.414923616325874</v>
      </c>
      <c r="BD611" s="286"/>
      <c r="BE611" s="270">
        <f t="shared" si="541"/>
        <v>8.6357938814085049</v>
      </c>
      <c r="BF611" s="581">
        <f t="shared" si="542"/>
        <v>89.543165350534707</v>
      </c>
      <c r="BI611" s="286"/>
      <c r="BJ611" s="286"/>
      <c r="BL611" s="253">
        <f t="shared" si="511"/>
        <v>0</v>
      </c>
      <c r="BM611" s="253">
        <f t="shared" si="545"/>
        <v>0</v>
      </c>
      <c r="BN611" s="253">
        <f t="shared" si="512"/>
        <v>0</v>
      </c>
      <c r="BO611" s="253">
        <f t="shared" si="513"/>
        <v>0</v>
      </c>
    </row>
    <row r="612" spans="4:67" ht="13.6" thickBot="1" x14ac:dyDescent="0.25">
      <c r="D612" s="280">
        <v>912010</v>
      </c>
      <c r="E612" s="273" t="str">
        <f t="shared" si="492"/>
        <v>10.3145900976015i</v>
      </c>
      <c r="F612" s="579" t="str">
        <f t="shared" si="514"/>
        <v>0.002-0.00268477054640756i</v>
      </c>
      <c r="G612" s="270" t="str">
        <f t="shared" si="515"/>
        <v>0.002-0.00268477054640756i</v>
      </c>
      <c r="H612" s="271" t="str">
        <f t="shared" si="516"/>
        <v>0.00200159519758208-0.00267940423026115i</v>
      </c>
      <c r="I612" s="271" t="str">
        <f t="shared" si="517"/>
        <v>0.0120015951975821-0.00267940423026115i</v>
      </c>
      <c r="J612" s="270" t="str">
        <f t="shared" si="518"/>
        <v>0.00194355773409418-0.00193940433211203i</v>
      </c>
      <c r="K612" s="271" t="str">
        <f t="shared" si="493"/>
        <v>-20.0035665791268-7.19890431155886i</v>
      </c>
      <c r="L612" s="580"/>
      <c r="M612" s="580" t="str">
        <f t="shared" si="494"/>
        <v>-0.000775678536723376-1.55230716104498i</v>
      </c>
      <c r="N612" s="270" t="str">
        <f t="shared" si="495"/>
        <v>-6.66724842556921-1.16423037078373i</v>
      </c>
      <c r="O612" s="581" t="str">
        <f t="shared" si="496"/>
        <v>-1.39666784883467+0.577048607452609i</v>
      </c>
      <c r="P612" s="582" t="str">
        <f t="shared" si="497"/>
        <v>-0.0152160956673166+0.010667741538412i</v>
      </c>
      <c r="Q612" s="583" t="str">
        <f t="shared" si="498"/>
        <v>-0.00124941717896994+0.00489725546388592i</v>
      </c>
      <c r="R612" s="581" t="str">
        <f t="shared" si="519"/>
        <v>-0.499661883241685+1.39058898139652i</v>
      </c>
      <c r="S612" s="253" t="str">
        <f t="shared" si="520"/>
        <v>-2.26980091874251-0.81540042026345i</v>
      </c>
      <c r="T612" s="253" t="str">
        <f t="shared" si="521"/>
        <v>0.108949209781479+2.34539158513261i</v>
      </c>
      <c r="U612" s="253" t="str">
        <f t="shared" si="522"/>
        <v>0.00650232434990217+0.00440260555967874i</v>
      </c>
      <c r="V612" s="582" t="str">
        <f t="shared" si="499"/>
        <v>6000</v>
      </c>
      <c r="W612" s="584" t="str">
        <f t="shared" si="500"/>
        <v>1+3209464.93345837i</v>
      </c>
      <c r="X612" s="585">
        <f t="shared" si="501"/>
        <v>3209464.9334585257</v>
      </c>
      <c r="Y612" s="586">
        <f t="shared" si="502"/>
        <v>1.5707960152164806</v>
      </c>
      <c r="Z612" s="273" t="str">
        <f t="shared" si="503"/>
        <v>1+481.347537888072i</v>
      </c>
      <c r="AA612" s="585">
        <f t="shared" si="504"/>
        <v>481.34857663746021</v>
      </c>
      <c r="AB612" s="586">
        <f t="shared" si="505"/>
        <v>1.5687188287656741</v>
      </c>
      <c r="AC612" s="584" t="str">
        <f t="shared" si="506"/>
        <v>1+23.2709668734496i</v>
      </c>
      <c r="AD612" s="585">
        <f t="shared" si="507"/>
        <v>23.292442963871107</v>
      </c>
      <c r="AE612" s="586">
        <f t="shared" si="508"/>
        <v>1.5278507476285741</v>
      </c>
      <c r="AF612" s="580" t="str">
        <f t="shared" si="523"/>
        <v>0.00157844670530085-0.0386011711077178i</v>
      </c>
      <c r="AG612" s="270">
        <f t="shared" si="524"/>
        <v>3.8633429887712303E-2</v>
      </c>
      <c r="AH612" s="581">
        <f t="shared" si="525"/>
        <v>-1.5299279340793808</v>
      </c>
      <c r="AI612" s="582" t="str">
        <f t="shared" si="509"/>
        <v>4000</v>
      </c>
      <c r="AJ612" s="584" t="str">
        <f t="shared" si="526"/>
        <v>1+252143.249312899i</v>
      </c>
      <c r="AK612" s="585">
        <f t="shared" si="527"/>
        <v>252143.24931488201</v>
      </c>
      <c r="AL612" s="586">
        <f t="shared" si="528"/>
        <v>1.5707923607953995</v>
      </c>
      <c r="AM612" s="273" t="str">
        <f t="shared" si="529"/>
        <v>1+8.82470486128131i</v>
      </c>
      <c r="AN612" s="585">
        <f t="shared" si="530"/>
        <v>8.8811832482345494</v>
      </c>
      <c r="AO612" s="586">
        <f t="shared" si="531"/>
        <v>1.4579594270275595</v>
      </c>
      <c r="AP612" s="584" t="str">
        <f t="shared" si="532"/>
        <v>1+0.0638447112294824i</v>
      </c>
      <c r="AQ612" s="585">
        <f t="shared" si="533"/>
        <v>1.0020360009261025</v>
      </c>
      <c r="AR612" s="586">
        <f t="shared" si="534"/>
        <v>6.3758175956784166E-2</v>
      </c>
      <c r="AS612" s="580" t="str">
        <f t="shared" si="535"/>
        <v>0.138418153401496-0.0247007098009326i</v>
      </c>
      <c r="AT612" s="270">
        <f t="shared" si="536"/>
        <v>0.14060480168098799</v>
      </c>
      <c r="AU612" s="581">
        <f t="shared" si="537"/>
        <v>-0.176591109724624</v>
      </c>
      <c r="AV612" s="580" t="str">
        <f t="shared" si="538"/>
        <v>0.000730133853464144+0.0032195364940361i</v>
      </c>
      <c r="AW612" s="270">
        <f t="shared" si="539"/>
        <v>-49.6263284586433</v>
      </c>
      <c r="AX612" s="581">
        <f t="shared" si="540"/>
        <v>77.222456685698305</v>
      </c>
      <c r="AY612" s="299">
        <f t="shared" si="510"/>
        <v>-102.7775433143017</v>
      </c>
      <c r="BB612" s="270">
        <f t="shared" si="543"/>
        <v>-57.039996956459156</v>
      </c>
      <c r="BC612" s="270">
        <f t="shared" si="544"/>
        <v>-10.117925286752584</v>
      </c>
      <c r="BD612" s="286"/>
      <c r="BE612" s="270">
        <f t="shared" si="541"/>
        <v>7.4136684978158653</v>
      </c>
      <c r="BF612" s="581">
        <f t="shared" si="542"/>
        <v>87.340381972450885</v>
      </c>
      <c r="BI612" s="286"/>
      <c r="BJ612" s="286"/>
      <c r="BL612" s="253">
        <f t="shared" si="511"/>
        <v>0</v>
      </c>
      <c r="BM612" s="253">
        <f t="shared" si="545"/>
        <v>0</v>
      </c>
      <c r="BN612" s="253">
        <f t="shared" si="512"/>
        <v>0</v>
      </c>
      <c r="BO612" s="253">
        <f t="shared" si="513"/>
        <v>0</v>
      </c>
    </row>
    <row r="613" spans="4:67" x14ac:dyDescent="0.2">
      <c r="D613" s="280">
        <v>1000000</v>
      </c>
      <c r="E613" s="273" t="str">
        <f t="shared" si="492"/>
        <v>11.3097335529233i</v>
      </c>
      <c r="F613" s="579" t="str">
        <f t="shared" si="514"/>
        <v>0.002-0.00244853758602916i</v>
      </c>
      <c r="G613" s="270" t="str">
        <f t="shared" si="515"/>
        <v>0.002-0.00244853758602916i</v>
      </c>
      <c r="H613" s="271" t="str">
        <f t="shared" si="516"/>
        <v>0.00200099068663811-0.00244364419138501i</v>
      </c>
      <c r="I613" s="271" t="str">
        <f t="shared" si="517"/>
        <v>0.0120009906866381-0.00244364419138501i</v>
      </c>
      <c r="J613" s="270" t="str">
        <f t="shared" si="518"/>
        <v>0.00190917452573616-0.00178074086912103i</v>
      </c>
      <c r="K613" s="271" t="str">
        <f t="shared" si="493"/>
        <v>-24.2518875785965-7.89344887836631i</v>
      </c>
      <c r="L613" s="580"/>
      <c r="M613" s="580" t="str">
        <f t="shared" si="494"/>
        <v>-0.000652892867652124-1.41568008994322i</v>
      </c>
      <c r="N613" s="270" t="str">
        <f t="shared" si="495"/>
        <v>-6.66715633631741-1.06176006745742i</v>
      </c>
      <c r="O613" s="581" t="str">
        <f t="shared" si="496"/>
        <v>-1.33008901984676+0.549548646482622i</v>
      </c>
      <c r="P613" s="582" t="str">
        <f t="shared" si="497"/>
        <v>-0.0146194845817198+0.00984539249566603i</v>
      </c>
      <c r="Q613" s="583" t="str">
        <f t="shared" si="498"/>
        <v>-0.00131859438325223+0.00434990603083982i</v>
      </c>
      <c r="R613" s="581" t="str">
        <f t="shared" si="519"/>
        <v>-0.499633681994657+1.53748699313441i</v>
      </c>
      <c r="S613" s="253" t="str">
        <f t="shared" si="520"/>
        <v>-1.91204668825957-0.62128956085813i</v>
      </c>
      <c r="T613" s="253" t="str">
        <f t="shared" si="521"/>
        <v>0.157565153072515+2.03769484107961i</v>
      </c>
      <c r="U613" s="253" t="str">
        <f t="shared" si="522"/>
        <v>0.0052946875660562+0.00369237522814048i</v>
      </c>
      <c r="V613" s="582" t="str">
        <f t="shared" si="499"/>
        <v>6000</v>
      </c>
      <c r="W613" s="584" t="str">
        <f t="shared" si="500"/>
        <v>1+3519111.55958638i</v>
      </c>
      <c r="X613" s="585">
        <f t="shared" si="501"/>
        <v>3519111.5595865222</v>
      </c>
      <c r="Y613" s="586">
        <f t="shared" si="502"/>
        <v>1.5707960426322656</v>
      </c>
      <c r="Z613" s="273" t="str">
        <f t="shared" si="503"/>
        <v>1+527.787565803086i</v>
      </c>
      <c r="AA613" s="585">
        <f t="shared" si="504"/>
        <v>527.78851315308748</v>
      </c>
      <c r="AB613" s="586">
        <f t="shared" si="505"/>
        <v>1.5689016273586767</v>
      </c>
      <c r="AC613" s="584" t="str">
        <f t="shared" si="506"/>
        <v>1+25.5161312633082i</v>
      </c>
      <c r="AD613" s="585">
        <f t="shared" si="507"/>
        <v>25.535719191876584</v>
      </c>
      <c r="AE613" s="586">
        <f t="shared" si="508"/>
        <v>1.5316254789266392</v>
      </c>
      <c r="AF613" s="580" t="str">
        <f t="shared" si="523"/>
        <v>0.00131329961369012-0.0352150454097167i</v>
      </c>
      <c r="AG613" s="270">
        <f t="shared" si="524"/>
        <v>3.5239525806737636E-2</v>
      </c>
      <c r="AH613" s="581">
        <f t="shared" si="525"/>
        <v>-1.5335198942002284</v>
      </c>
      <c r="AI613" s="582" t="str">
        <f t="shared" si="509"/>
        <v>4000</v>
      </c>
      <c r="AJ613" s="584" t="str">
        <f t="shared" si="526"/>
        <v>1+276469.829621275i</v>
      </c>
      <c r="AK613" s="585">
        <f t="shared" si="527"/>
        <v>276469.82962308353</v>
      </c>
      <c r="AL613" s="586">
        <f t="shared" si="528"/>
        <v>1.5707927097636951</v>
      </c>
      <c r="AM613" s="273" t="str">
        <f t="shared" si="529"/>
        <v>1+9.67610537305657i</v>
      </c>
      <c r="AN613" s="585">
        <f t="shared" si="530"/>
        <v>9.7276418103512761</v>
      </c>
      <c r="AO613" s="586">
        <f t="shared" si="531"/>
        <v>1.4678145610599362</v>
      </c>
      <c r="AP613" s="584" t="str">
        <f t="shared" si="532"/>
        <v>1+0.0700043982297151i</v>
      </c>
      <c r="AQ613" s="585">
        <f t="shared" si="533"/>
        <v>1.0024473132147667</v>
      </c>
      <c r="AR613" s="586">
        <f t="shared" si="534"/>
        <v>6.9890378416777602E-2</v>
      </c>
      <c r="AS613" s="580" t="str">
        <f t="shared" si="535"/>
        <v>0.138304577982552-0.0241495471930527i</v>
      </c>
      <c r="AT613" s="270">
        <f t="shared" si="536"/>
        <v>0.14039714000135931</v>
      </c>
      <c r="AU613" s="581">
        <f t="shared" si="537"/>
        <v>-0.17286852712053624</v>
      </c>
      <c r="AV613" s="580" t="str">
        <f t="shared" si="538"/>
        <v>0.000710013897301425+0.00278017397952634i</v>
      </c>
      <c r="AW613" s="270">
        <f t="shared" si="539"/>
        <v>-50.844161910882207</v>
      </c>
      <c r="AX613" s="581">
        <f t="shared" si="540"/>
        <v>75.673754134959367</v>
      </c>
      <c r="AY613" s="299">
        <f t="shared" si="510"/>
        <v>-104.32624586504063</v>
      </c>
      <c r="BB613" s="270">
        <f t="shared" si="543"/>
        <v>-57.052834780631237</v>
      </c>
      <c r="BC613" s="270">
        <f t="shared" si="544"/>
        <v>-9.9046370146495359</v>
      </c>
      <c r="BD613" s="286"/>
      <c r="BE613" s="270">
        <f t="shared" si="541"/>
        <v>6.2086728697490106</v>
      </c>
      <c r="BF613" s="581">
        <f t="shared" si="542"/>
        <v>85.57839114960889</v>
      </c>
      <c r="BI613" s="286"/>
      <c r="BJ613" s="286"/>
      <c r="BL613" s="253">
        <f t="shared" si="511"/>
        <v>0</v>
      </c>
      <c r="BM613" s="253">
        <f t="shared" si="545"/>
        <v>0</v>
      </c>
      <c r="BN613" s="253">
        <f t="shared" si="512"/>
        <v>0</v>
      </c>
      <c r="BO613" s="253">
        <f t="shared" si="513"/>
        <v>0</v>
      </c>
    </row>
    <row r="614" spans="4:67" x14ac:dyDescent="0.2">
      <c r="D614" s="283"/>
      <c r="E614" s="283"/>
      <c r="F614" s="283"/>
      <c r="G614" s="284"/>
      <c r="H614" s="284"/>
      <c r="I614" s="284"/>
      <c r="J614" s="284"/>
      <c r="K614" s="284"/>
      <c r="L614" s="284"/>
      <c r="M614" s="284"/>
      <c r="N614" s="271"/>
      <c r="O614" s="272"/>
      <c r="P614" s="284"/>
      <c r="Q614" s="284"/>
      <c r="R614" s="284"/>
      <c r="S614" s="284"/>
      <c r="T614" s="284"/>
      <c r="U614" s="284"/>
      <c r="V614" s="284"/>
      <c r="W614" s="284"/>
      <c r="X614" s="284"/>
      <c r="Y614" s="284"/>
      <c r="Z614" s="284"/>
      <c r="AA614" s="284"/>
      <c r="AB614" s="284"/>
      <c r="AC614" s="284"/>
      <c r="AD614" s="284"/>
      <c r="AE614" s="284"/>
      <c r="AF614" s="284"/>
      <c r="AG614" s="284"/>
      <c r="AH614" s="582"/>
      <c r="AI614" s="284"/>
      <c r="AJ614" s="284"/>
      <c r="AK614" s="284"/>
      <c r="AL614" s="284"/>
      <c r="AM614" s="284"/>
      <c r="AN614" s="284"/>
      <c r="AO614" s="284"/>
      <c r="AP614" s="284"/>
      <c r="AQ614" s="284"/>
      <c r="AR614" s="284"/>
      <c r="AS614" s="284"/>
      <c r="AT614" s="284"/>
      <c r="AU614" s="284"/>
      <c r="AV614" s="285"/>
      <c r="AW614" s="363"/>
      <c r="AX614" s="277"/>
      <c r="AY614" s="286"/>
      <c r="BE614" s="278"/>
      <c r="BF614" s="279"/>
      <c r="BI614" s="286"/>
      <c r="BJ614" s="286"/>
    </row>
    <row r="615" spans="4:67" x14ac:dyDescent="0.2">
      <c r="D615" s="283"/>
      <c r="E615" s="283"/>
      <c r="F615" s="283"/>
      <c r="G615" s="284"/>
      <c r="H615" s="284"/>
      <c r="I615" s="284"/>
      <c r="J615" s="284"/>
      <c r="K615" s="284"/>
      <c r="L615" s="284"/>
      <c r="M615" s="284"/>
      <c r="N615" s="271"/>
      <c r="O615" s="272"/>
      <c r="P615" s="284"/>
      <c r="Q615" s="284"/>
      <c r="R615" s="284"/>
      <c r="S615" s="284"/>
      <c r="T615" s="284"/>
      <c r="U615" s="284"/>
      <c r="V615" s="284"/>
      <c r="W615" s="284"/>
      <c r="X615" s="284"/>
      <c r="Y615" s="284"/>
      <c r="Z615" s="284"/>
      <c r="AA615" s="284"/>
      <c r="AB615" s="284"/>
      <c r="AC615" s="284"/>
      <c r="AD615" s="284"/>
      <c r="AE615" s="284"/>
      <c r="AF615" s="284"/>
      <c r="AG615" s="284"/>
      <c r="AH615" s="582"/>
      <c r="AI615" s="284"/>
      <c r="AJ615" s="284"/>
      <c r="AK615" s="284"/>
      <c r="AL615" s="284"/>
      <c r="AM615" s="284"/>
      <c r="AN615" s="284"/>
      <c r="AO615" s="284"/>
      <c r="AP615" s="284"/>
      <c r="AQ615" s="284"/>
      <c r="AR615" s="284"/>
      <c r="AS615" s="284"/>
      <c r="AT615" s="284"/>
      <c r="AU615" s="284"/>
      <c r="AV615" s="285"/>
      <c r="AW615" s="286"/>
      <c r="AX615" s="277"/>
      <c r="AY615" s="286"/>
      <c r="BE615" s="278"/>
      <c r="BF615" s="279"/>
      <c r="BI615" s="286"/>
      <c r="BJ615" s="286"/>
    </row>
    <row r="616" spans="4:67" ht="13.6" thickBot="1" x14ac:dyDescent="0.25">
      <c r="D616" s="253" t="s">
        <v>449</v>
      </c>
      <c r="N616" s="271"/>
      <c r="O616" s="272"/>
      <c r="P616" s="284"/>
      <c r="Q616" s="284"/>
      <c r="R616" s="284"/>
      <c r="S616" s="284"/>
      <c r="T616" s="284"/>
      <c r="U616" s="284"/>
      <c r="V616" s="284"/>
      <c r="W616" s="284"/>
      <c r="X616" s="284"/>
      <c r="Y616" s="284"/>
      <c r="Z616" s="284"/>
      <c r="AA616" s="284"/>
      <c r="AB616" s="284"/>
      <c r="AC616" s="284"/>
      <c r="AD616" s="284"/>
      <c r="AE616" s="284"/>
      <c r="AF616" s="284"/>
      <c r="AG616" s="284"/>
      <c r="AH616" s="582"/>
      <c r="AI616" s="284"/>
      <c r="AJ616" s="284"/>
      <c r="AW616" s="276"/>
      <c r="AX616" s="277"/>
      <c r="AY616" s="286"/>
      <c r="BE616" s="278"/>
      <c r="BF616" s="279"/>
      <c r="BI616" s="286"/>
      <c r="BJ616" s="286"/>
    </row>
    <row r="617" spans="4:67" x14ac:dyDescent="0.2">
      <c r="D617" s="287">
        <f>U4*1000</f>
        <v>2290.9</v>
      </c>
      <c r="E617" s="273" t="str">
        <f>COMPLEX(0,2*PI()*D617*Lf)</f>
        <v>0.0259094685963919i</v>
      </c>
      <c r="F617" s="579" t="str">
        <f t="shared" ref="F617" si="546">IMSUM(COMPLEX($B$8,0),IMDIV(COMPLEX(1,0),COMPLEX(0,2*PI()*D617*$B$6)))</f>
        <v>0.002-1.06881033045055i</v>
      </c>
      <c r="G617" s="270" t="str">
        <f t="shared" ref="G617" si="547">IMSUM(COMPLEX($B$9,0),IMDIV(COMPLEX(1,0),COMPLEX(0,2*PI()*D617*$B$7)))</f>
        <v>0.002-1.06881033045055i</v>
      </c>
      <c r="H617" s="271" t="str">
        <f t="shared" ref="H617" si="548">IMDIV(COMPLEX(1,0),IMSUM(IMDIV(COMPLEX(1,0),COMPLEX($B$5,0)), IMDIV(COMPLEX(1,0),G617)))</f>
        <v>0.445157087568251-0.830085997519917i</v>
      </c>
      <c r="I617" s="271" t="str">
        <f t="shared" ref="I617" si="549">IMSUM(H617,COMPLEX($B$15,0))</f>
        <v>0.455157087568251-0.830085997519917i</v>
      </c>
      <c r="J617" s="270" t="str">
        <f t="shared" ref="J617" si="550">IMDIV(COMPLEX(1,0),IMSUM(IMDIV(COMPLEX(1,0),F617),IMDIV(COMPLEX(1,0),IMSUM(COMPLEX($B$15,0),H617))))</f>
        <v>0.136768761890424-0.499668660166791i</v>
      </c>
      <c r="K617" s="271" t="str">
        <f>IMSUM(COMPLEX(1,0),COMPLEX(0,2*PI()*D617/(Fsw*PI()*(-2)/PI())),IMPRODUCT(COMPLEX(0,2*PI()*D617/(Fsw*PI())),COMPLEX(0,2*PI()*D617/(Fsw*PI()))))</f>
        <v>0.999867472467614-0.0180831020354494i</v>
      </c>
      <c r="L617" s="580"/>
      <c r="M617" s="580" t="str">
        <f>IF(Vin&gt;=Vout,IMDIV(COMPLEX(Vin,0),IMSUM(E617,J617)),IMDIV(IMSUM(COMPLEX(Vout,0),IMPRODUCT(J617,COMPLEX($B$4,0))),IMSUM(E617,IMPRODUCT(J617,COMPLEX((1-$B$11)^2,0)))))</f>
        <v>27.0477428484072+57.2320501458661i</v>
      </c>
      <c r="N617" s="270" t="str">
        <f>IF(Vin&gt;=Vout,0,IMSUB(IMPRODUCT(M617,COMPLEX(1-$B$11,0)),COMPLEX($B$4/(1-$B$11),0)))</f>
        <v>13.6191404696387+42.9240376093996i</v>
      </c>
      <c r="O617" s="581" t="str">
        <f>IMDIV(IF(Vin&gt;=Vout,M617,N617),IMPRODUCT(I617,IMSUM(IMDIV(COMPLEX(1,0),F617),IMDIV(COMPLEX(1,0),I617))))</f>
        <v>12.7040985691671+21.1160155558934i</v>
      </c>
      <c r="P617" s="582" t="str">
        <f>IF(Vin&gt;=Vout,IMDIV(IMPRODUCT(COMPLEX(Vin,0),J617),IMSUM(J617,E617)),IMPRODUCT(N617,J617))</f>
        <v>23.3104693412819-0.934390191912112i</v>
      </c>
      <c r="Q617" s="583" t="str">
        <f>IF(Vin&gt;=Vout,IMDIV(IMPRODUCT(P617,H617),IMSUM(COMPLEX($B$15,0),H617)),IMPRODUCT(O617,H617))</f>
        <v>23.1834283555903-1.14555034747103i</v>
      </c>
      <c r="R617" s="581" t="str">
        <f>IMPRODUCT(M617,COMPLEX($B$29,0),K617,COMPLEX($B$34,0))</f>
        <v>1.25724131207438+2.54032566473619i</v>
      </c>
      <c r="S617" s="253" t="str">
        <f>IMDIV(IMPRODUCT(COMPLEX($B$34,0),M617),IMSUM(COMPLEX(1,0),R617))</f>
        <v>41.0464951626339+12.024468456874i</v>
      </c>
      <c r="T617" s="253" t="str">
        <f>IMDIV(IMPRODUCT(COMPLEX($B$34,0),O617),IMSUM(COMPLEX(1,0),R617))</f>
        <v>16.3671493109356+3.06025361312487i</v>
      </c>
      <c r="U617" s="253" t="str">
        <f>IMDIV(IMPRODUCT(COMPLEX($B$34,0),Q617),IMSUM(COMPLEX(1,0),R617))</f>
        <v>9.82622619216548-12.2238478766865i</v>
      </c>
      <c r="V617" s="582" t="str">
        <f t="shared" ref="V617" si="551">COMPLEX(AEA,0)</f>
        <v>6000</v>
      </c>
      <c r="W617" s="584" t="str">
        <f>IMSUM(COMPLEX(1,0),IMDIV(COMPLEX(0,2*PI()*D617),COMPLEX(2*PI()*EA_Pole1,0)))</f>
        <v>1+8061.93267185643i</v>
      </c>
      <c r="X617" s="585">
        <f t="shared" ref="X617" si="552">IMABS(W617)</f>
        <v>8061.9327338762978</v>
      </c>
      <c r="Y617" s="586">
        <f t="shared" ref="Y617" si="553">IMARGUMENT(W617)</f>
        <v>1.570672287059566</v>
      </c>
      <c r="Z617" s="273" t="str">
        <f>IMSUM(COMPLEX(1,0),IMDIV(COMPLEX(0,2*PI()*D617),COMPLEX(2*PI()*EA_Zero1,0)))</f>
        <v>1+1.20910853449829i</v>
      </c>
      <c r="AA617" s="585">
        <f t="shared" ref="AA617" si="554">IMABS(Z617)</f>
        <v>1.5690581404768285</v>
      </c>
      <c r="AB617" s="586">
        <f t="shared" ref="AB617" si="555">IMARGUMENT(Z617)</f>
        <v>0.87977439160666748</v>
      </c>
      <c r="AC617" s="584" t="str">
        <f>IMSUM(COMPLEX(1,0),IMDIV(COMPLEX(0,2*PI()*D617),COMPLEX(2*PI()*EA_Pole2,0)))</f>
        <v>1+0.0584549051111126i</v>
      </c>
      <c r="AD617" s="585">
        <f t="shared" ref="AD617" si="556">IMABS(AC617)</f>
        <v>1.0017070309883769</v>
      </c>
      <c r="AE617" s="586">
        <f t="shared" ref="AE617" si="557">IMARGUMENT(AC617)</f>
        <v>5.8388461611563941E-2</v>
      </c>
      <c r="AF617" s="580" t="str">
        <f t="shared" ref="AF617" si="558">IMPRODUCT(V617,IMDIV(Z617,IMPRODUCT(W617,AC617)))</f>
        <v>0.853542925277454-0.794020556038212i</v>
      </c>
      <c r="AG617" s="270">
        <f t="shared" ref="AG617" si="559">IMABS(AF617)</f>
        <v>1.1657633416360391</v>
      </c>
      <c r="AH617" s="581">
        <f t="shared" ref="AH617" si="560">IMARGUMENT(AF617)</f>
        <v>-0.74928635706446234</v>
      </c>
      <c r="AI617" s="582" t="str">
        <f t="shared" ref="AI617" si="561">COMPLEX(AIL,0)</f>
        <v>4000</v>
      </c>
      <c r="AJ617" s="584" t="str">
        <f t="shared" ref="AJ617" si="562">IMSUM(COMPLEX(1,0),IMDIV(COMPLEX(0,2*PI()*D617),COMPLEX(2*PI()*IL_Pole1,0)))</f>
        <v>1+633.364732679378i</v>
      </c>
      <c r="AK617" s="585">
        <f t="shared" ref="AK617" si="563">IMABS(AJ617)</f>
        <v>633.36552211343167</v>
      </c>
      <c r="AL617" s="586">
        <f t="shared" ref="AL617" si="564">IMARGUMENT(AJ617)</f>
        <v>1.5692174590154604</v>
      </c>
      <c r="AM617" s="273" t="str">
        <f t="shared" ref="AM617" si="565">IMSUM(COMPLEX(1,0),IMDIV(COMPLEX(0,2*PI()*D617),COMPLEX(2*PI()*IL_Zero1,0)))</f>
        <v>1+0.0221669897991353i</v>
      </c>
      <c r="AN617" s="585">
        <f t="shared" ref="AN617" si="566">IMABS(AM617)</f>
        <v>1.0002456575445628</v>
      </c>
      <c r="AO617" s="586">
        <f t="shared" ref="AO617" si="567">IMARGUMENT(AM617)</f>
        <v>2.2163360097771513E-2</v>
      </c>
      <c r="AP617" s="584" t="str">
        <f t="shared" ref="AP617" si="568">IMSUM(COMPLEX(1,0),IMDIV(COMPLEX(0,2*PI()*D617),COMPLEX(2*PI()*IL_Pole2,0)))</f>
        <v>1+0.000160373075904454i</v>
      </c>
      <c r="AQ617" s="585">
        <f t="shared" ref="AQ617" si="569">IMABS(AP617)</f>
        <v>1.0000000128597617</v>
      </c>
      <c r="AR617" s="586">
        <f t="shared" ref="AR617" si="570">IMARGUMENT(AP617)</f>
        <v>1.6037307452954766E-4</v>
      </c>
      <c r="AS617" s="580" t="str">
        <f>IMPRODUCT(AI617,IMDIV(AM617,IMPRODUCT(AJ617,AP617)))</f>
        <v>0.14895323853399-6.3152634768838i</v>
      </c>
      <c r="AT617" s="270">
        <f t="shared" ref="AT617" si="571">IMABS(AS617)</f>
        <v>6.3170198551003631</v>
      </c>
      <c r="AU617" s="581">
        <f t="shared" ref="AU617" si="572">IMARGUMENT(AS617)</f>
        <v>-1.5472144719922185</v>
      </c>
      <c r="AV617" s="580" t="str">
        <f>IMPRODUCT(T617,AS617,COMPLEX($B$15,0))</f>
        <v>0.217642477684024-1.02907025577645i</v>
      </c>
      <c r="AW617" s="270">
        <f t="shared" ref="AW617" si="573">20*LOG10(IMABS(AV617))</f>
        <v>0.43894047338946834</v>
      </c>
      <c r="AX617" s="581">
        <f t="shared" ref="AX617" si="574">(180/PI())*IMARGUMENT(AV617)</f>
        <v>-78.058245564181348</v>
      </c>
      <c r="AY617" s="299">
        <f>IF(AX617&gt;0,AX617-180,AX617+180)</f>
        <v>101.94175443581865</v>
      </c>
      <c r="AZ617" s="253" t="s">
        <v>450</v>
      </c>
      <c r="BB617" s="270">
        <f>20*LOG10(IMABS(IMPRODUCT(COMPLEX($B$15,0),AS617)))</f>
        <v>-23.989755161346533</v>
      </c>
      <c r="BC617" s="270">
        <f>180/PI()*IMARGUMENT(IMPRODUCT(COMPLEX($B$15,0),AS617))</f>
        <v>-88.648859246716242</v>
      </c>
      <c r="BD617" s="286"/>
      <c r="BE617" s="270">
        <f t="shared" ref="BE617" si="575">20*LOG10(IMABS(T617))</f>
        <v>24.428695634736016</v>
      </c>
      <c r="BF617" s="581">
        <f t="shared" ref="BF617" si="576">180/PI()*IMARGUMENT(T617)</f>
        <v>10.590613682534867</v>
      </c>
      <c r="BI617" s="286"/>
      <c r="BJ617" s="286"/>
    </row>
    <row r="618" spans="4:67" x14ac:dyDescent="0.2">
      <c r="D618" s="287">
        <f>D617</f>
        <v>2290.9</v>
      </c>
      <c r="E618" s="579"/>
      <c r="F618" s="579"/>
      <c r="G618" s="270"/>
      <c r="H618" s="271"/>
      <c r="I618" s="271"/>
      <c r="J618" s="270"/>
      <c r="K618" s="271"/>
      <c r="L618" s="273"/>
      <c r="M618" s="273"/>
      <c r="N618" s="271"/>
      <c r="O618" s="272"/>
      <c r="P618" s="582"/>
      <c r="Q618" s="271"/>
      <c r="R618" s="272"/>
      <c r="S618" s="580"/>
      <c r="T618" s="270"/>
      <c r="U618" s="272"/>
      <c r="V618" s="587"/>
      <c r="W618" s="587"/>
      <c r="X618" s="587"/>
      <c r="Y618" s="587"/>
      <c r="Z618" s="587"/>
      <c r="AA618" s="587"/>
      <c r="AB618" s="587"/>
      <c r="AC618" s="587"/>
      <c r="AD618" s="587"/>
      <c r="AE618" s="587"/>
      <c r="AF618" s="587"/>
      <c r="AG618" s="587"/>
      <c r="AH618" s="588"/>
      <c r="AI618" s="582"/>
      <c r="AJ618" s="270"/>
      <c r="AK618" s="281"/>
      <c r="AL618" s="282"/>
      <c r="AM618" s="273"/>
      <c r="AN618" s="270"/>
      <c r="AO618" s="272"/>
      <c r="AP618" s="270"/>
      <c r="AQ618" s="281"/>
      <c r="AR618" s="282"/>
      <c r="AS618" s="580"/>
      <c r="AT618" s="270"/>
      <c r="AU618" s="272"/>
      <c r="AV618" s="589"/>
      <c r="AW618" s="270"/>
      <c r="AX618" s="277">
        <v>0</v>
      </c>
      <c r="AY618" s="299">
        <f>IF(AY617&lt;0,0,-180)</f>
        <v>-180</v>
      </c>
      <c r="BB618" s="278"/>
      <c r="BC618" s="279"/>
      <c r="BD618" s="286"/>
      <c r="BE618" s="278"/>
      <c r="BF618" s="279"/>
      <c r="BI618" s="286"/>
      <c r="BJ618" s="286"/>
    </row>
    <row r="619" spans="4:67" x14ac:dyDescent="0.2">
      <c r="D619" s="253">
        <f>D618</f>
        <v>2290.9</v>
      </c>
      <c r="E619" s="579"/>
      <c r="F619" s="579"/>
      <c r="G619" s="270"/>
      <c r="H619" s="271"/>
      <c r="I619" s="271"/>
      <c r="J619" s="270"/>
      <c r="K619" s="271"/>
      <c r="L619" s="273"/>
      <c r="M619" s="273"/>
      <c r="N619" s="271"/>
      <c r="O619" s="272"/>
      <c r="P619" s="582"/>
      <c r="Q619" s="271"/>
      <c r="R619" s="272"/>
      <c r="S619" s="580"/>
      <c r="T619" s="270"/>
      <c r="U619" s="272"/>
      <c r="V619" s="587"/>
      <c r="W619" s="587"/>
      <c r="X619" s="587"/>
      <c r="Y619" s="587"/>
      <c r="Z619" s="587"/>
      <c r="AA619" s="587"/>
      <c r="AB619" s="587"/>
      <c r="AC619" s="587"/>
      <c r="AD619" s="587"/>
      <c r="AE619" s="587"/>
      <c r="AF619" s="587"/>
      <c r="AG619" s="587"/>
      <c r="AH619" s="588"/>
      <c r="AI619" s="582"/>
      <c r="AJ619" s="270"/>
      <c r="AK619" s="281"/>
      <c r="AL619" s="282"/>
      <c r="AM619" s="273"/>
      <c r="AN619" s="270"/>
      <c r="AO619" s="272"/>
      <c r="AP619" s="270"/>
      <c r="AQ619" s="281"/>
      <c r="AR619" s="282"/>
      <c r="AS619" s="580"/>
      <c r="AT619" s="270"/>
      <c r="AU619" s="272"/>
      <c r="AV619" s="589"/>
      <c r="AW619" s="270"/>
      <c r="AX619" s="277">
        <f>AX617</f>
        <v>-78.058245564181348</v>
      </c>
      <c r="AY619" s="299">
        <f t="shared" ref="AY619:AY620" si="577">IF(AX619&gt;0,AX619-180,AX619+180)</f>
        <v>101.94175443581865</v>
      </c>
      <c r="BB619" s="278"/>
      <c r="BC619" s="279"/>
      <c r="BD619" s="286"/>
      <c r="BE619" s="278"/>
      <c r="BF619" s="279"/>
      <c r="BI619" s="286"/>
      <c r="BJ619" s="286"/>
    </row>
    <row r="620" spans="4:67" ht="13.6" thickBot="1" x14ac:dyDescent="0.25">
      <c r="D620" s="287">
        <v>1000000</v>
      </c>
      <c r="E620" s="579"/>
      <c r="F620" s="579"/>
      <c r="G620" s="270"/>
      <c r="H620" s="271"/>
      <c r="I620" s="271"/>
      <c r="J620" s="270"/>
      <c r="K620" s="271"/>
      <c r="L620" s="273"/>
      <c r="M620" s="273"/>
      <c r="N620" s="271"/>
      <c r="O620" s="272"/>
      <c r="P620" s="582"/>
      <c r="Q620" s="271"/>
      <c r="R620" s="272"/>
      <c r="S620" s="580"/>
      <c r="T620" s="270"/>
      <c r="U620" s="272"/>
      <c r="V620" s="587"/>
      <c r="W620" s="587"/>
      <c r="X620" s="587"/>
      <c r="Y620" s="587"/>
      <c r="Z620" s="587"/>
      <c r="AA620" s="587"/>
      <c r="AB620" s="587"/>
      <c r="AC620" s="587"/>
      <c r="AD620" s="587"/>
      <c r="AE620" s="587"/>
      <c r="AF620" s="587"/>
      <c r="AG620" s="587"/>
      <c r="AH620" s="588"/>
      <c r="AI620" s="582"/>
      <c r="AJ620" s="270"/>
      <c r="AK620" s="281"/>
      <c r="AL620" s="282"/>
      <c r="AM620" s="273"/>
      <c r="AN620" s="270"/>
      <c r="AO620" s="272"/>
      <c r="AP620" s="270"/>
      <c r="AQ620" s="281"/>
      <c r="AR620" s="282"/>
      <c r="AS620" s="580"/>
      <c r="AT620" s="270"/>
      <c r="AU620" s="272"/>
      <c r="AV620" s="589"/>
      <c r="AW620" s="270"/>
      <c r="AX620" s="277">
        <f>AX617</f>
        <v>-78.058245564181348</v>
      </c>
      <c r="AY620" s="299">
        <f t="shared" si="577"/>
        <v>101.94175443581865</v>
      </c>
      <c r="BB620" s="278"/>
      <c r="BC620" s="279"/>
      <c r="BD620" s="286"/>
      <c r="BE620" s="278"/>
      <c r="BF620" s="279"/>
      <c r="BI620" s="286"/>
      <c r="BJ620" s="286"/>
    </row>
    <row r="621" spans="4:67" ht="13.6" thickBot="1" x14ac:dyDescent="0.25">
      <c r="D621" s="287"/>
      <c r="E621" s="579"/>
      <c r="F621" s="579"/>
      <c r="G621" s="270"/>
      <c r="H621" s="271"/>
      <c r="I621" s="271"/>
      <c r="J621" s="270"/>
      <c r="K621" s="271"/>
      <c r="L621" s="273"/>
      <c r="M621" s="273"/>
      <c r="N621" s="271"/>
      <c r="O621" s="272"/>
      <c r="P621" s="582"/>
      <c r="Q621" s="271"/>
      <c r="R621" s="272"/>
      <c r="S621" s="580"/>
      <c r="T621" s="270"/>
      <c r="U621" s="272"/>
      <c r="V621" s="587"/>
      <c r="W621" s="587"/>
      <c r="X621" s="587"/>
      <c r="Y621" s="587"/>
      <c r="Z621" s="587"/>
      <c r="AA621" s="587"/>
      <c r="AB621" s="587"/>
      <c r="AC621" s="587"/>
      <c r="AD621" s="587"/>
      <c r="AE621" s="587"/>
      <c r="AF621" s="587"/>
      <c r="AG621" s="587"/>
      <c r="AH621" s="588"/>
      <c r="AI621" s="582"/>
      <c r="AJ621" s="270"/>
      <c r="AK621" s="281"/>
      <c r="AL621" s="282"/>
      <c r="AM621" s="273"/>
      <c r="AN621" s="270"/>
      <c r="AO621" s="272"/>
      <c r="AP621" s="270"/>
      <c r="AQ621" s="281"/>
      <c r="AR621" s="282"/>
      <c r="AS621" s="580"/>
      <c r="AT621" s="270"/>
      <c r="AU621" s="272"/>
      <c r="AV621" s="589"/>
      <c r="AW621" s="270"/>
      <c r="AX621" s="581"/>
      <c r="AY621" s="299"/>
      <c r="BB621" s="278"/>
      <c r="BC621" s="279"/>
      <c r="BD621" s="286"/>
      <c r="BE621" s="278"/>
      <c r="BF621" s="279"/>
      <c r="BI621" s="286"/>
      <c r="BJ621" s="286"/>
    </row>
    <row r="622" spans="4:67" ht="13.6" thickBot="1" x14ac:dyDescent="0.25">
      <c r="D622" s="364">
        <f>PS_Pole1</f>
        <v>1224.2687930145796</v>
      </c>
      <c r="E622" s="273" t="str">
        <f t="shared" ref="E622:E629" si="578">COMPLEX(0,2*PI()*D622*Lf)</f>
        <v>0.0138461538461538i</v>
      </c>
      <c r="F622" s="579" t="str">
        <f t="shared" ref="F622:F629" si="579">IMSUM(COMPLEX($B$8,0),IMDIV(COMPLEX(1,0),COMPLEX(0,2*PI()*D622*$B$6)))</f>
        <v>0.002-2i</v>
      </c>
      <c r="G622" s="270" t="str">
        <f t="shared" ref="G622:G629" si="580">IMSUM(COMPLEX($B$9,0),IMDIV(COMPLEX(1,0),COMPLEX(0,2*PI()*D622*$B$7)))</f>
        <v>0.002-2i</v>
      </c>
      <c r="H622" s="271" t="str">
        <f t="shared" ref="H622:H629" si="581">IMDIV(COMPLEX(1,0),IMSUM(IMDIV(COMPLEX(1,0),COMPLEX($B$5,0)), IMDIV(COMPLEX(1,0),G622)))</f>
        <v>1.00000049950025-0.999000499999751i</v>
      </c>
      <c r="I622" s="271" t="str">
        <f t="shared" ref="I622:I629" si="582">IMSUM(H622,COMPLEX($B$15,0))</f>
        <v>1.01000049950025-0.999000499999751i</v>
      </c>
      <c r="J622" s="270" t="str">
        <f t="shared" ref="J622:J629" si="583">IMDIV(COMPLEX(1,0),IMSUM(IMDIV(COMPLEX(1,0),F622),IMDIV(COMPLEX(1,0),IMSUM(COMPLEX($B$15,0),H622))))</f>
        <v>0.403671600411144-0.801766075147652i</v>
      </c>
      <c r="K622" s="271" t="str">
        <f t="shared" ref="K622:K629" si="584">IMSUM(COMPLEX(1,0),COMPLEX(0,2*PI()*D622/(Fsw*PI()*(-2)/PI())),IMPRODUCT(COMPLEX(0,2*PI()*D622/(Fsw*PI())),COMPLEX(0,2*PI()*D622/(Fsw*PI()))))</f>
        <v>0.999962151610375-0.00966370313103982i</v>
      </c>
      <c r="L622" s="580"/>
      <c r="M622" s="580" t="str">
        <f t="shared" ref="M622:M629" si="585">IF(Vin&gt;=Vout,IMDIV(COMPLEX(Vin,0),IMSUM(E622,J622)),IMDIV(IMSUM(COMPLEX(Vout,0),IMPRODUCT(J622,COMPLEX($B$4,0))),IMSUM(E622,IMPRODUCT(J622,COMPLEX((1-$B$11)^2,0)))))</f>
        <v>24.0825850484093+28.7089506210042i</v>
      </c>
      <c r="N622" s="270" t="str">
        <f t="shared" ref="N622:N629" si="586">IF(Vin&gt;=Vout,0,IMSUB(IMPRODUCT(M622,COMPLEX(1-$B$11,0)),COMPLEX($B$4/(1-$B$11),0)))</f>
        <v>11.3952721196403+21.5317129657532i</v>
      </c>
      <c r="O622" s="581" t="str">
        <f t="shared" ref="O622:O629" si="587">IMDIV(IF(Vin&gt;=Vout,M622,N622),IMPRODUCT(I622,IMSUM(IMDIV(COMPLEX(1,0),F622),IMDIV(COMPLEX(1,0),I622))))</f>
        <v>11.1620398954456+10.6002738332707i</v>
      </c>
      <c r="P622" s="582" t="str">
        <f t="shared" ref="P622:P629" si="588">IF(Vin&gt;=Vout,IMDIV(IMPRODUCT(COMPLEX(Vin,0),J622),IMSUM(J622,E622)),IMPRODUCT(N622,J622))</f>
        <v>21.8633447294134-0.444601570124494i</v>
      </c>
      <c r="Q622" s="583" t="str">
        <f t="shared" ref="Q622:Q629" si="589">IF(Vin&gt;=Vout,IMDIV(IMPRODUCT(P622,H622),IMSUM(COMPLEX($B$15,0),H622)),IMPRODUCT(O622,H622))</f>
        <v>21.751724330459-0.550604308457192i</v>
      </c>
      <c r="R622" s="581" t="str">
        <f t="shared" ref="R622:R629" si="590">IMPRODUCT(M622,COMPLEX($B$29,0),K622,COMPLEX($B$34,0))</f>
        <v>1.09067907580495+1.27497426279817i</v>
      </c>
      <c r="S622" s="253" t="str">
        <f t="shared" ref="S622:S629" si="591">IMDIV(IMPRODUCT(COMPLEX($B$34,0),M622),IMSUM(COMPLEX(1,0),R622))</f>
        <v>33.2953425491266+11.2257604899204i</v>
      </c>
      <c r="T622" s="253" t="str">
        <f t="shared" ref="T622:T629" si="592">IMDIV(IMPRODUCT(COMPLEX($B$34,0),O622),IMSUM(COMPLEX(1,0),R622))</f>
        <v>14.1109517520727+3.03669716626624i</v>
      </c>
      <c r="U622" s="253" t="str">
        <f t="shared" ref="U622:U629" si="593">IMDIV(IMPRODUCT(COMPLEX($B$34,0),Q622),IMSUM(COMPLEX(1,0),R622))</f>
        <v>17.1446207879445-11.0601491726958i</v>
      </c>
      <c r="V622" s="582" t="str">
        <f t="shared" ref="V622:V629" si="594">COMPLEX(AEA,0)</f>
        <v>6000</v>
      </c>
      <c r="W622" s="584" t="str">
        <f t="shared" ref="W622:W629" si="595">IMSUM(COMPLEX(1,0),IMDIV(COMPLEX(0,2*PI()*D622),COMPLEX(2*PI()*EA_Pole1,0)))</f>
        <v>1+4308.33846153847i</v>
      </c>
      <c r="X622" s="585">
        <f t="shared" ref="X622:X629" si="596">IMABS(W622)</f>
        <v>4308.3385775924889</v>
      </c>
      <c r="Y622" s="586">
        <f t="shared" ref="Y622:Y629" si="597">IMARGUMENT(W622)</f>
        <v>1.5705642187581281</v>
      </c>
      <c r="Z622" s="273" t="str">
        <f t="shared" ref="Z622:Z629" si="598">IMSUM(COMPLEX(1,0),IMDIV(COMPLEX(0,2*PI()*D622),COMPLEX(2*PI()*EA_Zero1,0)))</f>
        <v>1+0.646153846153846i</v>
      </c>
      <c r="AA622" s="585">
        <f t="shared" ref="AA622:AA629" si="599">IMABS(Z622)</f>
        <v>1.1905943023966679</v>
      </c>
      <c r="AB622" s="586">
        <f t="shared" ref="AB622:AB629" si="600">IMARGUMENT(Z622)</f>
        <v>0.57366666816816059</v>
      </c>
      <c r="AC622" s="584" t="str">
        <f t="shared" ref="AC622:AC629" si="601">IMSUM(COMPLEX(1,0),IMDIV(COMPLEX(0,2*PI()*D622),COMPLEX(2*PI()*EA_Pole2,0)))</f>
        <v>1+0.0312386032241318i</v>
      </c>
      <c r="AD622" s="585">
        <f t="shared" ref="AD622:AD629" si="602">IMABS(AC622)</f>
        <v>1.0004878061882587</v>
      </c>
      <c r="AE622" s="586">
        <f t="shared" ref="AE622:AE629" si="603">IMARGUMENT(AC622)</f>
        <v>3.1228447769155256E-2</v>
      </c>
      <c r="AF622" s="580" t="str">
        <f t="shared" ref="AF622:AF629" si="604">IMPRODUCT(V622,IMDIV(Z622,IMPRODUCT(W622,AC622)))</f>
        <v>0.855855171100644-1.4191750248042i</v>
      </c>
      <c r="AG622" s="270">
        <f t="shared" ref="AG622:AG629" si="605">IMABS(AF622)</f>
        <v>1.6572705949626072</v>
      </c>
      <c r="AH622" s="581">
        <f t="shared" ref="AH622:AH629" si="606">IMARGUMENT(AF622)</f>
        <v>-1.0281259983591213</v>
      </c>
      <c r="AI622" s="582" t="str">
        <f t="shared" ref="AI622:AI629" si="607">COMPLEX(AIL,0)</f>
        <v>4000</v>
      </c>
      <c r="AJ622" s="584" t="str">
        <f t="shared" ref="AJ622:AJ629" si="608">IMSUM(COMPLEX(1,0),IMDIV(COMPLEX(0,2*PI()*D622),COMPLEX(2*PI()*IL_Pole1,0)))</f>
        <v>1+338.473384615385i</v>
      </c>
      <c r="AK622" s="585">
        <f t="shared" ref="AK622:AK629" si="609">IMABS(AJ622)</f>
        <v>338.47486183318603</v>
      </c>
      <c r="AL622" s="586">
        <f t="shared" ref="AL622:AL629" si="610">IMARGUMENT(AJ622)</f>
        <v>1.5678418933419513</v>
      </c>
      <c r="AM622" s="273" t="str">
        <f t="shared" ref="AM622:AM629" si="611">IMSUM(COMPLEX(1,0),IMDIV(COMPLEX(0,2*PI()*D622),COMPLEX(2*PI()*IL_Zero1,0)))</f>
        <v>1+0.0118461538461538i</v>
      </c>
      <c r="AN622" s="585">
        <f t="shared" ref="AN622:AN629" si="612">IMABS(AM622)</f>
        <v>1.0000701632190347</v>
      </c>
      <c r="AO622" s="586">
        <f t="shared" ref="AO622:AO629" si="613">IMARGUMENT(AM622)</f>
        <v>1.1845599763842389E-2</v>
      </c>
      <c r="AP622" s="584" t="str">
        <f t="shared" ref="AP622:AP629" si="614">IMSUM(COMPLEX(1,0),IMDIV(COMPLEX(0,2*PI()*D622),COMPLEX(2*PI()*IL_Pole2,0)))</f>
        <v>1+0.0000857042001264052i</v>
      </c>
      <c r="AQ622" s="585">
        <f t="shared" ref="AQ622:AQ629" si="615">IMABS(AP622)</f>
        <v>1.0000000036726049</v>
      </c>
      <c r="AR622" s="586">
        <f t="shared" ref="AR622:AR629" si="616">IMARGUMENT(AP622)</f>
        <v>8.5704199916566758E-5</v>
      </c>
      <c r="AS622" s="580" t="str">
        <f t="shared" ref="AS622:AS629" si="617">IMPRODUCT(AI622,IMDIV(AM622,IMPRODUCT(AJ622,AP622)))</f>
        <v>0.173895695368677-11.8172663429044i</v>
      </c>
      <c r="AT622" s="270">
        <f t="shared" ref="AT622:AT629" si="618">IMABS(AS622)</f>
        <v>11.818545745226395</v>
      </c>
      <c r="AU622" s="581">
        <f t="shared" ref="AU622:AU629" si="619">IMARGUMENT(AS622)</f>
        <v>-1.5560819977780256</v>
      </c>
      <c r="AV622" s="580" t="str">
        <f t="shared" ref="AV622:AV629" si="620">IMPRODUCT(T622,AS622,COMPLEX($B$15,0))</f>
        <v>0.383392929837517-1.66224806640765i</v>
      </c>
      <c r="AW622" s="270">
        <f t="shared" ref="AW622:AW629" si="621">20*LOG10(IMABS(AV622))</f>
        <v>4.6390176029154837</v>
      </c>
      <c r="AX622" s="581">
        <f t="shared" ref="AX622:AX629" si="622">(180/PI())*IMARGUMENT(AV622)</f>
        <v>-77.012019500293249</v>
      </c>
      <c r="AY622" s="299">
        <f t="shared" ref="AY622:AY629" si="623">IF(AX622&gt;0,AX622-180,AX622+180)</f>
        <v>102.98798049970675</v>
      </c>
      <c r="AZ622" s="253" t="s">
        <v>427</v>
      </c>
      <c r="BB622" s="270">
        <f t="shared" ref="BB622:BB629" si="624">20*LOG10(IMABS(IMPRODUCT(COMPLEX($B$15,0),AS622)))</f>
        <v>-18.54871918936438</v>
      </c>
      <c r="BC622" s="270">
        <f t="shared" ref="BC622:BC629" si="625">180/PI()*IMARGUMENT(IMPRODUCT(COMPLEX($B$15,0),AS622))</f>
        <v>-89.156931048966413</v>
      </c>
      <c r="BD622" s="286"/>
      <c r="BE622" s="270">
        <f t="shared" ref="BE622:BE629" si="626">20*LOG10(IMABS(T622))</f>
        <v>23.187736792279843</v>
      </c>
      <c r="BF622" s="581">
        <f t="shared" ref="BF622:BF629" si="627">180/PI()*IMARGUMENT(T622)</f>
        <v>12.1449115486732</v>
      </c>
      <c r="BI622" s="286"/>
      <c r="BJ622" s="286"/>
    </row>
    <row r="623" spans="4:67" ht="13.6" thickBot="1" x14ac:dyDescent="0.25">
      <c r="D623" s="364">
        <f>PS_Zero1</f>
        <v>612134.39650728984</v>
      </c>
      <c r="E623" s="273" t="str">
        <f t="shared" si="578"/>
        <v>6.92307692307692i</v>
      </c>
      <c r="F623" s="579" t="str">
        <f t="shared" si="579"/>
        <v>0.002-0.004i</v>
      </c>
      <c r="G623" s="270" t="str">
        <f t="shared" si="580"/>
        <v>0.002-0.004i</v>
      </c>
      <c r="H623" s="271" t="str">
        <f t="shared" si="581"/>
        <v>0.00200597801408177-0.00399199604792391i</v>
      </c>
      <c r="I623" s="271" t="str">
        <f t="shared" si="582"/>
        <v>0.0120059780140818-0.00399199604792391i</v>
      </c>
      <c r="J623" s="270" t="str">
        <f t="shared" si="583"/>
        <v>0.00215459117411369-0.00276941888419133i</v>
      </c>
      <c r="K623" s="271" t="str">
        <f t="shared" si="584"/>
        <v>-8.46209740631159-4.83185156551991i</v>
      </c>
      <c r="L623" s="580"/>
      <c r="M623" s="580" t="str">
        <f t="shared" si="585"/>
        <v>-0.00159554696161489-2.31318798670673i</v>
      </c>
      <c r="N623" s="270" t="str">
        <f t="shared" si="586"/>
        <v>-6.66786332688788-1.73489099003005i</v>
      </c>
      <c r="O623" s="581" t="str">
        <f t="shared" si="587"/>
        <v>-1.80512223257232+0.626528298840047i</v>
      </c>
      <c r="P623" s="582" t="str">
        <f t="shared" si="588"/>
        <v>-0.0191711593441116+0.014728125799522i</v>
      </c>
      <c r="Q623" s="583" t="str">
        <f t="shared" si="589"/>
        <v>-0.00111993701838831+0.00846284281112147i</v>
      </c>
      <c r="R623" s="581" t="str">
        <f t="shared" si="590"/>
        <v>-0.499844786602488+0.876789938302335i</v>
      </c>
      <c r="S623" s="253" t="str">
        <f t="shared" si="591"/>
        <v>-4.57235565922097-2.60407173877382i</v>
      </c>
      <c r="T623" s="253" t="str">
        <f t="shared" si="592"/>
        <v>-0.796638720126529+4.2728539463934i</v>
      </c>
      <c r="U623" s="253" t="str">
        <f t="shared" si="593"/>
        <v>0.0154591763096184+0.0117514296962159i</v>
      </c>
      <c r="V623" s="582" t="str">
        <f t="shared" si="594"/>
        <v>6000</v>
      </c>
      <c r="W623" s="584" t="str">
        <f t="shared" si="595"/>
        <v>1+2154169.23076924i</v>
      </c>
      <c r="X623" s="585">
        <f t="shared" si="596"/>
        <v>2154169.2307694722</v>
      </c>
      <c r="Y623" s="586">
        <f t="shared" si="597"/>
        <v>1.5707958625788148</v>
      </c>
      <c r="Z623" s="273" t="str">
        <f t="shared" si="598"/>
        <v>1+323.076923076924i</v>
      </c>
      <c r="AA623" s="585">
        <f t="shared" si="599"/>
        <v>323.07847069226489</v>
      </c>
      <c r="AB623" s="586">
        <f t="shared" si="600"/>
        <v>1.5677010985842434</v>
      </c>
      <c r="AC623" s="584" t="str">
        <f t="shared" si="601"/>
        <v>1+15.6193016120659i</v>
      </c>
      <c r="AD623" s="585">
        <f t="shared" si="602"/>
        <v>15.651280549804365</v>
      </c>
      <c r="AE623" s="586">
        <f t="shared" si="603"/>
        <v>1.5068602401762778</v>
      </c>
      <c r="AF623" s="580" t="str">
        <f t="shared" si="604"/>
        <v>0.00349591007036459-0.0573885525571092i</v>
      </c>
      <c r="AG623" s="270">
        <f t="shared" si="605"/>
        <v>5.7494933270855794E-2</v>
      </c>
      <c r="AH623" s="581">
        <f t="shared" si="606"/>
        <v>-1.5099550041708494</v>
      </c>
      <c r="AI623" s="582" t="str">
        <f t="shared" si="607"/>
        <v>4000</v>
      </c>
      <c r="AJ623" s="584" t="str">
        <f t="shared" si="608"/>
        <v>1+169236.692307693i</v>
      </c>
      <c r="AK623" s="585">
        <f t="shared" si="609"/>
        <v>169236.69231064749</v>
      </c>
      <c r="AL623" s="586">
        <f t="shared" si="610"/>
        <v>1.5707904179107985</v>
      </c>
      <c r="AM623" s="273" t="str">
        <f t="shared" si="611"/>
        <v>1+5.92307692307693i</v>
      </c>
      <c r="AN623" s="585">
        <f t="shared" si="612"/>
        <v>6.0068993862629725</v>
      </c>
      <c r="AO623" s="586">
        <f t="shared" si="613"/>
        <v>1.4035423893326358</v>
      </c>
      <c r="AP623" s="584" t="str">
        <f t="shared" si="614"/>
        <v>1+0.0428521000632026i</v>
      </c>
      <c r="AQ623" s="585">
        <f t="shared" si="615"/>
        <v>1.0009177301256216</v>
      </c>
      <c r="AR623" s="586">
        <f t="shared" si="616"/>
        <v>4.282589911899469E-2</v>
      </c>
      <c r="AS623" s="580" t="str">
        <f t="shared" si="617"/>
        <v>0.138727696889816-0.0295794823256034i</v>
      </c>
      <c r="AT623" s="270">
        <f t="shared" si="618"/>
        <v>0.14184611259743196</v>
      </c>
      <c r="AU623" s="581">
        <f t="shared" si="619"/>
        <v>-0.21007392769715783</v>
      </c>
      <c r="AV623" s="580" t="str">
        <f t="shared" si="620"/>
        <v>0.000158729528908242+0.00616327348071592i</v>
      </c>
      <c r="AW623" s="270">
        <f t="shared" si="621"/>
        <v>-44.200891616107505</v>
      </c>
      <c r="AX623" s="581">
        <f t="shared" si="622"/>
        <v>88.524725180795897</v>
      </c>
      <c r="AY623" s="299">
        <f t="shared" si="623"/>
        <v>-91.475274819204103</v>
      </c>
      <c r="AZ623" s="253" t="s">
        <v>422</v>
      </c>
      <c r="BB623" s="270">
        <f t="shared" si="624"/>
        <v>-56.963651237633044</v>
      </c>
      <c r="BC623" s="270">
        <f t="shared" si="625"/>
        <v>-12.036349442783553</v>
      </c>
      <c r="BD623" s="286"/>
      <c r="BE623" s="270">
        <f t="shared" si="626"/>
        <v>12.762759621525539</v>
      </c>
      <c r="BF623" s="581">
        <f t="shared" si="627"/>
        <v>100.56107462357944</v>
      </c>
      <c r="BI623" s="286"/>
      <c r="BJ623" s="286"/>
    </row>
    <row r="624" spans="4:67" ht="13.6" thickBot="1" x14ac:dyDescent="0.25">
      <c r="D624" s="364">
        <f>IL_Pole1</f>
        <v>3.6170312014510251</v>
      </c>
      <c r="E624" s="273" t="str">
        <f t="shared" si="578"/>
        <v>0.000040907659141021i</v>
      </c>
      <c r="F624" s="579" t="str">
        <f t="shared" si="579"/>
        <v>0.002-676.946769230768i</v>
      </c>
      <c r="G624" s="270" t="str">
        <f t="shared" si="580"/>
        <v>0.002-676.946769230768i</v>
      </c>
      <c r="H624" s="271" t="str">
        <f t="shared" si="581"/>
        <v>1.99998252523974-0.00590883241835282i</v>
      </c>
      <c r="I624" s="271" t="str">
        <f t="shared" si="582"/>
        <v>2.00998252523974-0.00590883241835282i</v>
      </c>
      <c r="J624" s="270" t="str">
        <f t="shared" si="583"/>
        <v>2.00992969980276-0.0118765886360709i</v>
      </c>
      <c r="K624" s="271" t="str">
        <f t="shared" si="584"/>
        <v>0.999999999669632-0.0000285508508801096i</v>
      </c>
      <c r="L624" s="580"/>
      <c r="M624" s="580" t="str">
        <f t="shared" si="585"/>
        <v>23.0403625664193+0.0827867897034327i</v>
      </c>
      <c r="N624" s="270" t="str">
        <f t="shared" si="586"/>
        <v>10.6136052581478+0.0620900922775745i</v>
      </c>
      <c r="O624" s="581" t="str">
        <f t="shared" si="587"/>
        <v>10.6136033086132+0.0305760370895116i</v>
      </c>
      <c r="P624" s="582" t="str">
        <f t="shared" si="588"/>
        <v>21.3333378488184-0.00125670306446952i</v>
      </c>
      <c r="Q624" s="583" t="str">
        <f t="shared" si="589"/>
        <v>21.2272018157323-0.00156246343536507i</v>
      </c>
      <c r="R624" s="581" t="str">
        <f t="shared" si="590"/>
        <v>1.03163233940229+0.00367732452967308i</v>
      </c>
      <c r="S624" s="253" t="str">
        <f t="shared" si="591"/>
        <v>26.0403355678988+0.04643184645863i</v>
      </c>
      <c r="T624" s="253" t="str">
        <f t="shared" si="592"/>
        <v>11.9955332568294+0.0128447534355819i</v>
      </c>
      <c r="U624" s="253" t="str">
        <f t="shared" si="593"/>
        <v>23.9909327920865-0.0451903133712062i</v>
      </c>
      <c r="V624" s="582" t="str">
        <f t="shared" si="594"/>
        <v>6000</v>
      </c>
      <c r="W624" s="584" t="str">
        <f t="shared" si="595"/>
        <v>1+12.7287363124109i</v>
      </c>
      <c r="X624" s="585">
        <f t="shared" si="596"/>
        <v>12.76795708447079</v>
      </c>
      <c r="Y624" s="586">
        <f t="shared" si="597"/>
        <v>1.492394966990584</v>
      </c>
      <c r="Z624" s="273" t="str">
        <f t="shared" si="598"/>
        <v>1+0.00190902409324765i</v>
      </c>
      <c r="AA624" s="585">
        <f t="shared" si="599"/>
        <v>1.0000018221848341</v>
      </c>
      <c r="AB624" s="586">
        <f t="shared" si="600"/>
        <v>1.909021774187441E-3</v>
      </c>
      <c r="AC624" s="584" t="str">
        <f t="shared" si="601"/>
        <v>1+0.0000922926429197055i</v>
      </c>
      <c r="AD624" s="585">
        <f t="shared" si="602"/>
        <v>1.0000000042589658</v>
      </c>
      <c r="AE624" s="586">
        <f t="shared" si="603"/>
        <v>9.2292642657658023E-5</v>
      </c>
      <c r="AF624" s="580" t="str">
        <f t="shared" si="604"/>
        <v>37.6562492970731-468.416079207733i</v>
      </c>
      <c r="AG624" s="270">
        <f t="shared" si="605"/>
        <v>469.92724582797757</v>
      </c>
      <c r="AH624" s="581">
        <f t="shared" si="606"/>
        <v>-1.4905782378590542</v>
      </c>
      <c r="AI624" s="582" t="str">
        <f t="shared" si="607"/>
        <v>4000</v>
      </c>
      <c r="AJ624" s="584" t="str">
        <f t="shared" si="608"/>
        <v>1+i</v>
      </c>
      <c r="AK624" s="585">
        <f t="shared" si="609"/>
        <v>1.4142135623730951</v>
      </c>
      <c r="AL624" s="586">
        <f t="shared" si="610"/>
        <v>0.78539816339744828</v>
      </c>
      <c r="AM624" s="273" t="str">
        <f t="shared" si="611"/>
        <v>1+0.0000349987750428735i</v>
      </c>
      <c r="AN624" s="585">
        <f t="shared" si="612"/>
        <v>1.000000000612457</v>
      </c>
      <c r="AO624" s="586">
        <f t="shared" si="613"/>
        <v>3.4998775028583336E-5</v>
      </c>
      <c r="AP624" s="584" t="str">
        <f t="shared" si="614"/>
        <v>1+2.53208092635682E-07i</v>
      </c>
      <c r="AQ624" s="585">
        <f t="shared" si="615"/>
        <v>1.000000000000032</v>
      </c>
      <c r="AR624" s="586">
        <f t="shared" si="616"/>
        <v>2.5320809263567662E-7</v>
      </c>
      <c r="AS624" s="580" t="str">
        <f t="shared" si="617"/>
        <v>2000.0694911515-1999.9305088837i</v>
      </c>
      <c r="AT624" s="270">
        <f t="shared" si="618"/>
        <v>2828.4271264783961</v>
      </c>
      <c r="AU624" s="581">
        <f t="shared" si="619"/>
        <v>-0.78536341783051256</v>
      </c>
      <c r="AV624" s="580" t="str">
        <f t="shared" si="620"/>
        <v>240.175887113526-239.645425311943i</v>
      </c>
      <c r="AW624" s="270">
        <f t="shared" si="621"/>
        <v>50.611296037413936</v>
      </c>
      <c r="AX624" s="581">
        <f t="shared" si="622"/>
        <v>-44.936657232069187</v>
      </c>
      <c r="AY624" s="299">
        <f t="shared" si="623"/>
        <v>135.06334276793081</v>
      </c>
      <c r="AZ624" s="253" t="s">
        <v>430</v>
      </c>
      <c r="BA624" s="253">
        <f>IL_Pole1</f>
        <v>3.6170312014510251</v>
      </c>
      <c r="BB624" s="270">
        <f t="shared" si="624"/>
        <v>29.030899875238912</v>
      </c>
      <c r="BC624" s="270">
        <f t="shared" si="625"/>
        <v>-44.998009225657796</v>
      </c>
      <c r="BD624" s="286"/>
      <c r="BE624" s="270">
        <f t="shared" si="626"/>
        <v>21.580396162175024</v>
      </c>
      <c r="BF624" s="581">
        <f t="shared" si="627"/>
        <v>6.1351993588591447E-2</v>
      </c>
      <c r="BI624" s="286"/>
      <c r="BJ624" s="286"/>
    </row>
    <row r="625" spans="3:62" ht="13.6" thickBot="1" x14ac:dyDescent="0.25">
      <c r="D625" s="364">
        <f>IL_Zero1</f>
        <v>103347.36564408788</v>
      </c>
      <c r="E625" s="273" t="str">
        <f t="shared" si="578"/>
        <v>1.16883116883117i</v>
      </c>
      <c r="F625" s="579" t="str">
        <f t="shared" si="579"/>
        <v>0.002-0.0236923076923077i</v>
      </c>
      <c r="G625" s="270" t="str">
        <f t="shared" si="580"/>
        <v>0.002-0.0236923076923077i</v>
      </c>
      <c r="H625" s="271" t="str">
        <f t="shared" si="581"/>
        <v>0.00227778522894924-0.023641683015042i</v>
      </c>
      <c r="I625" s="271" t="str">
        <f t="shared" si="582"/>
        <v>0.0122777852289492-0.023641683015042i</v>
      </c>
      <c r="J625" s="270" t="str">
        <f t="shared" si="583"/>
        <v>0.00342023454205285-0.0123463883646684i</v>
      </c>
      <c r="K625" s="271" t="str">
        <f t="shared" si="584"/>
        <v>0.730292720245125-0.815767147425439i</v>
      </c>
      <c r="L625" s="580"/>
      <c r="M625" s="580" t="str">
        <f t="shared" si="585"/>
        <v>-0.0303044344503571-13.785478944922i</v>
      </c>
      <c r="N625" s="270" t="str">
        <f t="shared" si="586"/>
        <v>-6.68939499250444-10.3391092086915i</v>
      </c>
      <c r="O625" s="581" t="str">
        <f t="shared" si="587"/>
        <v>-4.17758008158035-4.1976083670737i</v>
      </c>
      <c r="P625" s="582" t="str">
        <f t="shared" si="588"/>
        <v>-0.150529957454024+0.0472276900525045i</v>
      </c>
      <c r="Q625" s="583" t="str">
        <f t="shared" si="589"/>
        <v>-0.108754156638221+0.0892037737232417i</v>
      </c>
      <c r="R625" s="581" t="str">
        <f t="shared" si="590"/>
        <v>-0.504518966232724-0.449662499493321i</v>
      </c>
      <c r="S625" s="253" t="str">
        <f t="shared" si="591"/>
        <v>31.7154789915579-35.1018863673656i</v>
      </c>
      <c r="T625" s="253" t="str">
        <f t="shared" si="592"/>
        <v>-0.935517371954019-20.3015271846324i</v>
      </c>
      <c r="U625" s="253" t="str">
        <f t="shared" si="593"/>
        <v>-0.4820931780716-0.0241253135834656i</v>
      </c>
      <c r="V625" s="582" t="str">
        <f t="shared" si="594"/>
        <v>6000</v>
      </c>
      <c r="W625" s="584" t="str">
        <f t="shared" si="595"/>
        <v>1+363690.90909091i</v>
      </c>
      <c r="X625" s="585">
        <f t="shared" si="596"/>
        <v>363690.9090922848</v>
      </c>
      <c r="Y625" s="586">
        <f t="shared" si="597"/>
        <v>1.5707935772073347</v>
      </c>
      <c r="Z625" s="273" t="str">
        <f t="shared" si="598"/>
        <v>1+54.5454545454545i</v>
      </c>
      <c r="AA625" s="585">
        <f t="shared" si="599"/>
        <v>54.554620441995958</v>
      </c>
      <c r="AB625" s="586">
        <f t="shared" si="600"/>
        <v>1.5524650470597825</v>
      </c>
      <c r="AC625" s="584" t="str">
        <f t="shared" si="601"/>
        <v>1+2.63702494749165i</v>
      </c>
      <c r="AD625" s="585">
        <f t="shared" si="602"/>
        <v>2.8202660466156977</v>
      </c>
      <c r="AE625" s="586">
        <f t="shared" si="603"/>
        <v>1.208335250759867</v>
      </c>
      <c r="AF625" s="580" t="str">
        <f t="shared" si="604"/>
        <v>0.107666319986158-0.300413822921521i</v>
      </c>
      <c r="AG625" s="270">
        <f t="shared" si="605"/>
        <v>0.31912458611282951</v>
      </c>
      <c r="AH625" s="581">
        <f t="shared" si="606"/>
        <v>-1.2266637809074203</v>
      </c>
      <c r="AI625" s="582" t="str">
        <f t="shared" si="607"/>
        <v>4000</v>
      </c>
      <c r="AJ625" s="584" t="str">
        <f t="shared" si="608"/>
        <v>1+28572.4285714286i</v>
      </c>
      <c r="AK625" s="585">
        <f t="shared" si="609"/>
        <v>28572.428588927985</v>
      </c>
      <c r="AL625" s="586">
        <f t="shared" si="610"/>
        <v>1.570761328019868</v>
      </c>
      <c r="AM625" s="273" t="str">
        <f t="shared" si="611"/>
        <v>1+i</v>
      </c>
      <c r="AN625" s="585">
        <f t="shared" si="612"/>
        <v>1.4142135623730951</v>
      </c>
      <c r="AO625" s="586">
        <f t="shared" si="613"/>
        <v>0.78539816339744828</v>
      </c>
      <c r="AP625" s="584" t="str">
        <f t="shared" si="614"/>
        <v>1+0.0072347701405407i</v>
      </c>
      <c r="AQ625" s="585">
        <f t="shared" si="615"/>
        <v>1.0000261706070428</v>
      </c>
      <c r="AR625" s="586">
        <f t="shared" si="616"/>
        <v>7.2346439173021065E-3</v>
      </c>
      <c r="AS625" s="580" t="str">
        <f t="shared" si="617"/>
        <v>0.138979928262248-0.140995688178126i</v>
      </c>
      <c r="AT625" s="270">
        <f t="shared" si="618"/>
        <v>0.19797778800815743</v>
      </c>
      <c r="AU625" s="581">
        <f t="shared" si="619"/>
        <v>-0.79259780853972084</v>
      </c>
      <c r="AV625" s="580" t="str">
        <f t="shared" si="620"/>
        <v>-0.0299244593370643-0.0268960087607304i</v>
      </c>
      <c r="AW625" s="270">
        <f t="shared" si="621"/>
        <v>-27.907884129175358</v>
      </c>
      <c r="AX625" s="581">
        <f t="shared" si="622"/>
        <v>-138.05089725315079</v>
      </c>
      <c r="AY625" s="299">
        <f t="shared" si="623"/>
        <v>41.949102746849206</v>
      </c>
      <c r="AZ625" s="253" t="s">
        <v>425</v>
      </c>
      <c r="BA625" s="253">
        <f>IL_Zero1</f>
        <v>103347.36564408788</v>
      </c>
      <c r="BB625" s="270">
        <f t="shared" si="624"/>
        <v>-54.067670647962622</v>
      </c>
      <c r="BC625" s="270">
        <f t="shared" si="625"/>
        <v>-45.41250928064408</v>
      </c>
      <c r="BD625" s="286"/>
      <c r="BE625" s="270">
        <f t="shared" si="626"/>
        <v>26.159786518787264</v>
      </c>
      <c r="BF625" s="581">
        <f t="shared" si="627"/>
        <v>-92.638387972506777</v>
      </c>
      <c r="BI625" s="286"/>
      <c r="BJ625" s="286"/>
    </row>
    <row r="626" spans="3:62" ht="13.6" thickBot="1" x14ac:dyDescent="0.25">
      <c r="D626" s="364">
        <f>PS_Pole2</f>
        <v>199000</v>
      </c>
      <c r="E626" s="273" t="str">
        <f t="shared" si="578"/>
        <v>2.25063697703173i</v>
      </c>
      <c r="F626" s="579" t="str">
        <f t="shared" si="579"/>
        <v>0.002-0.0123042089750209i</v>
      </c>
      <c r="G626" s="270" t="str">
        <f t="shared" si="580"/>
        <v>0.002-0.0123042089750209i</v>
      </c>
      <c r="H626" s="271" t="str">
        <f t="shared" si="581"/>
        <v>0.00207346928972819-0.0122791736016972i</v>
      </c>
      <c r="I626" s="271" t="str">
        <f t="shared" si="582"/>
        <v>0.0120734692897282-0.0122791736016972i</v>
      </c>
      <c r="J626" s="270" t="str">
        <f t="shared" si="583"/>
        <v>0.0030772890969756-0.00692527615054574i</v>
      </c>
      <c r="K626" s="271" t="str">
        <f t="shared" si="584"/>
        <v>-1.5707963267949i</v>
      </c>
      <c r="L626" s="580"/>
      <c r="M626" s="580" t="str">
        <f t="shared" si="585"/>
        <v>-0.00991992382927161-7.12828046798755i</v>
      </c>
      <c r="N626" s="270" t="str">
        <f t="shared" si="586"/>
        <v>-6.67410660953862-5.34621035099066i</v>
      </c>
      <c r="O626" s="581" t="str">
        <f t="shared" si="587"/>
        <v>-3.57617647430452-1.17151871702099i</v>
      </c>
      <c r="P626" s="582" t="str">
        <f t="shared" si="588"/>
        <v>-0.0575621385411024+0.0297681965059958i</v>
      </c>
      <c r="Q626" s="583" t="str">
        <f t="shared" si="589"/>
        <v>-0.0218003737980572+0.0414833836762058i</v>
      </c>
      <c r="R626" s="581" t="str">
        <f t="shared" si="590"/>
        <v>-0.501349112622059+0.00069769210560928i</v>
      </c>
      <c r="S626" s="253" t="str">
        <f t="shared" si="591"/>
        <v>-0.0916041771439518-32.8236951258373i</v>
      </c>
      <c r="T626" s="253" t="str">
        <f t="shared" si="592"/>
        <v>-16.4748508676711-5.37147912966091i</v>
      </c>
      <c r="U626" s="253" t="str">
        <f t="shared" si="593"/>
        <v>-0.100117422057968+0.191159956850438i</v>
      </c>
      <c r="V626" s="582" t="str">
        <f t="shared" si="594"/>
        <v>6000</v>
      </c>
      <c r="W626" s="584" t="str">
        <f t="shared" si="595"/>
        <v>1+700303.200357691i</v>
      </c>
      <c r="X626" s="585">
        <f t="shared" si="596"/>
        <v>700303.20035840513</v>
      </c>
      <c r="Y626" s="586">
        <f t="shared" si="597"/>
        <v>1.5707948988419764</v>
      </c>
      <c r="Z626" s="273" t="str">
        <f t="shared" si="598"/>
        <v>1+105.029725594814i</v>
      </c>
      <c r="AA626" s="585">
        <f t="shared" si="599"/>
        <v>105.03448604397474</v>
      </c>
      <c r="AB626" s="586">
        <f t="shared" si="600"/>
        <v>1.5612755003928869</v>
      </c>
      <c r="AC626" s="584" t="str">
        <f t="shared" si="601"/>
        <v>1+5.07771012139833i</v>
      </c>
      <c r="AD626" s="585">
        <f t="shared" si="602"/>
        <v>5.175242996898894</v>
      </c>
      <c r="AE626" s="586">
        <f t="shared" si="603"/>
        <v>1.3763456007830044</v>
      </c>
      <c r="AF626" s="580" t="str">
        <f t="shared" si="604"/>
        <v>0.0319741138911475-0.170921714284326i</v>
      </c>
      <c r="AG626" s="270">
        <f t="shared" si="605"/>
        <v>0.17388667681285086</v>
      </c>
      <c r="AH626" s="581">
        <f t="shared" si="606"/>
        <v>-1.3858649992320942</v>
      </c>
      <c r="AI626" s="582" t="str">
        <f t="shared" si="607"/>
        <v>4000</v>
      </c>
      <c r="AJ626" s="584" t="str">
        <f t="shared" si="608"/>
        <v>1+55017.4960946338i</v>
      </c>
      <c r="AK626" s="585">
        <f t="shared" si="609"/>
        <v>55017.496103721831</v>
      </c>
      <c r="AL626" s="586">
        <f t="shared" si="610"/>
        <v>1.5707781507587104</v>
      </c>
      <c r="AM626" s="273" t="str">
        <f t="shared" si="611"/>
        <v>1+1.92554496923826i</v>
      </c>
      <c r="AN626" s="585">
        <f t="shared" si="612"/>
        <v>2.1697288836531561</v>
      </c>
      <c r="AO626" s="586">
        <f t="shared" si="613"/>
        <v>1.0918018192173182</v>
      </c>
      <c r="AP626" s="584" t="str">
        <f t="shared" si="614"/>
        <v>1+0.0139308752477133i</v>
      </c>
      <c r="AQ626" s="585">
        <f t="shared" si="615"/>
        <v>1.0000970299351795</v>
      </c>
      <c r="AR626" s="586">
        <f t="shared" si="616"/>
        <v>1.3929974167633793E-2</v>
      </c>
      <c r="AS626" s="580" t="str">
        <f t="shared" si="617"/>
        <v>0.138956657456912-0.0746373880326304i</v>
      </c>
      <c r="AT626" s="270">
        <f t="shared" si="618"/>
        <v>0.15773297798472902</v>
      </c>
      <c r="AU626" s="581">
        <f t="shared" si="619"/>
        <v>-0.49290630570902505</v>
      </c>
      <c r="AV626" s="580" t="str">
        <f t="shared" si="620"/>
        <v>-0.0269020338078236+0.00483237051532843i</v>
      </c>
      <c r="AW626" s="270">
        <f t="shared" si="621"/>
        <v>-31.266379893981338</v>
      </c>
      <c r="AX626" s="581">
        <f t="shared" si="622"/>
        <v>169.81664801351934</v>
      </c>
      <c r="AY626" s="299">
        <f t="shared" si="623"/>
        <v>-10.183351986480659</v>
      </c>
      <c r="AZ626" s="253" t="s">
        <v>423</v>
      </c>
      <c r="BB626" s="270">
        <f t="shared" si="624"/>
        <v>-56.041549943252384</v>
      </c>
      <c r="BC626" s="270">
        <f t="shared" si="625"/>
        <v>-28.241451012512247</v>
      </c>
      <c r="BD626" s="286"/>
      <c r="BE626" s="270">
        <f t="shared" si="626"/>
        <v>24.775170049271043</v>
      </c>
      <c r="BF626" s="581">
        <f t="shared" si="627"/>
        <v>-161.94190097396839</v>
      </c>
      <c r="BI626" s="286"/>
      <c r="BJ626" s="286"/>
    </row>
    <row r="627" spans="3:62" ht="13.6" thickBot="1" x14ac:dyDescent="0.25">
      <c r="D627" s="344">
        <f>IL_Pole2</f>
        <v>14284816.744207459</v>
      </c>
      <c r="E627" s="273" t="str">
        <f t="shared" si="578"/>
        <v>161.557471229323i</v>
      </c>
      <c r="F627" s="579" t="str">
        <f t="shared" si="579"/>
        <v>0.002-0.00017140840025281i</v>
      </c>
      <c r="G627" s="270" t="str">
        <f t="shared" si="580"/>
        <v>0.002-0.00017140840025281i</v>
      </c>
      <c r="H627" s="271" t="str">
        <f t="shared" si="581"/>
        <v>0.00199801664443847-0.000171066095738721i</v>
      </c>
      <c r="I627" s="271" t="str">
        <f t="shared" si="582"/>
        <v>0.0119980166444385-0.000171066095738721i</v>
      </c>
      <c r="J627" s="270" t="str">
        <f t="shared" si="583"/>
        <v>0.00171531620714649-0.000129392686350195i</v>
      </c>
      <c r="K627" s="271" t="str">
        <f t="shared" si="584"/>
        <v>-5151.79890446174-112.756470707233i</v>
      </c>
      <c r="L627" s="580"/>
      <c r="M627" s="580" t="str">
        <f t="shared" si="585"/>
        <v>-3.41275484752634E-06-0.0990890961250877i</v>
      </c>
      <c r="N627" s="270" t="str">
        <f t="shared" si="586"/>
        <v>-6.66666922623281-0.0743168220938158i</v>
      </c>
      <c r="O627" s="581" t="str">
        <f t="shared" si="587"/>
        <v>-0.954592365067765+0.0476614609582348i</v>
      </c>
      <c r="P627" s="582" t="str">
        <f t="shared" si="588"/>
        <v>-0.0114450618246936+0.000735141390789295i</v>
      </c>
      <c r="Q627" s="583" t="str">
        <f t="shared" si="589"/>
        <v>-0.00189913817401595+0.000258526781206942i</v>
      </c>
      <c r="R627" s="581" t="str">
        <f t="shared" si="590"/>
        <v>-0.499481017346711+22.8570769918425i</v>
      </c>
      <c r="S627" s="253" t="str">
        <f t="shared" si="591"/>
        <v>-0.00994943196830637-0.000217527523679435i</v>
      </c>
      <c r="T627" s="253" t="str">
        <f t="shared" si="592"/>
        <v>0.00268674245497824+0.0959543382096676i</v>
      </c>
      <c r="U627" s="253" t="str">
        <f t="shared" si="593"/>
        <v>0.0000217826901510867+0.000191258754306965i</v>
      </c>
      <c r="V627" s="582" t="str">
        <f t="shared" si="594"/>
        <v>6000</v>
      </c>
      <c r="W627" s="584" t="str">
        <f t="shared" si="595"/>
        <v>1+50269863.7311135i</v>
      </c>
      <c r="X627" s="585">
        <f t="shared" si="596"/>
        <v>50269863.731113508</v>
      </c>
      <c r="Y627" s="586">
        <f t="shared" si="597"/>
        <v>1.5707963069022626</v>
      </c>
      <c r="Z627" s="273" t="str">
        <f t="shared" si="598"/>
        <v>1+7539.34865736841i</v>
      </c>
      <c r="AA627" s="585">
        <f t="shared" si="599"/>
        <v>7539.3487236871351</v>
      </c>
      <c r="AB627" s="586">
        <f t="shared" si="600"/>
        <v>1.5706636893430979</v>
      </c>
      <c r="AC627" s="584" t="str">
        <f t="shared" si="601"/>
        <v>1+364.493259117499i</v>
      </c>
      <c r="AD627" s="585">
        <f t="shared" si="602"/>
        <v>364.49463088239895</v>
      </c>
      <c r="AE627" s="586">
        <f t="shared" si="603"/>
        <v>1.5680527987158375</v>
      </c>
      <c r="AF627" s="580" t="str">
        <f t="shared" si="604"/>
        <v>0.0000064458134636955-0.00246879346030867i</v>
      </c>
      <c r="AG627" s="270">
        <f t="shared" si="605"/>
        <v>2.468801875034541E-3</v>
      </c>
      <c r="AH627" s="581">
        <f t="shared" si="606"/>
        <v>-1.5681854162750022</v>
      </c>
      <c r="AI627" s="582" t="str">
        <f t="shared" si="607"/>
        <v>4000</v>
      </c>
      <c r="AJ627" s="584" t="str">
        <f t="shared" si="608"/>
        <v>1+3949320.85144217i</v>
      </c>
      <c r="AK627" s="585">
        <f t="shared" si="609"/>
        <v>3949320.8514422961</v>
      </c>
      <c r="AL627" s="586">
        <f t="shared" si="610"/>
        <v>1.5707960735868041</v>
      </c>
      <c r="AM627" s="273" t="str">
        <f t="shared" si="611"/>
        <v>1+138.221392051754i</v>
      </c>
      <c r="AN627" s="585">
        <f t="shared" si="612"/>
        <v>138.22500938949031</v>
      </c>
      <c r="AO627" s="586">
        <f t="shared" si="613"/>
        <v>1.5635616828775944</v>
      </c>
      <c r="AP627" s="584" t="str">
        <f t="shared" si="614"/>
        <v>1+i</v>
      </c>
      <c r="AQ627" s="585">
        <f t="shared" si="615"/>
        <v>1.4142135623730951</v>
      </c>
      <c r="AR627" s="586">
        <f t="shared" si="616"/>
        <v>0.78539816339744828</v>
      </c>
      <c r="AS627" s="580" t="str">
        <f t="shared" si="617"/>
        <v>0.069491151752646-0.0705039486752964i</v>
      </c>
      <c r="AT627" s="270">
        <f t="shared" si="618"/>
        <v>9.8994075331395995E-2</v>
      </c>
      <c r="AU627" s="581">
        <f t="shared" si="619"/>
        <v>-0.79263255410665789</v>
      </c>
      <c r="AV627" s="580" t="str">
        <f t="shared" si="620"/>
        <v>0.0000695186456396561+0.000064785515257032i</v>
      </c>
      <c r="AW627" s="270">
        <f t="shared" si="621"/>
        <v>-80.443120054288045</v>
      </c>
      <c r="AX627" s="581">
        <f t="shared" si="622"/>
        <v>42.981624653151428</v>
      </c>
      <c r="AY627" s="299">
        <f t="shared" si="623"/>
        <v>-137.01837534684859</v>
      </c>
      <c r="AZ627" s="253" t="s">
        <v>435</v>
      </c>
      <c r="BB627" s="270">
        <f t="shared" si="624"/>
        <v>-60.087815931862572</v>
      </c>
      <c r="BC627" s="270">
        <f t="shared" si="625"/>
        <v>-45.414500054986362</v>
      </c>
      <c r="BD627" s="286"/>
      <c r="BE627" s="270">
        <f t="shared" si="626"/>
        <v>-20.355304122425459</v>
      </c>
      <c r="BF627" s="581">
        <f t="shared" si="627"/>
        <v>88.396124708137833</v>
      </c>
      <c r="BI627" s="286"/>
      <c r="BJ627" s="286"/>
    </row>
    <row r="628" spans="3:62" ht="13.6" thickBot="1" x14ac:dyDescent="0.25">
      <c r="D628" s="344">
        <f>PS_RHPZ</f>
        <v>98816.159236725332</v>
      </c>
      <c r="E628" s="273" t="str">
        <f t="shared" si="578"/>
        <v>1.1175844316906i</v>
      </c>
      <c r="F628" s="579" t="str">
        <f t="shared" si="579"/>
        <v>0.002-0.0247787164057187i</v>
      </c>
      <c r="G628" s="270" t="str">
        <f t="shared" si="580"/>
        <v>0.002-0.0247787164057187i</v>
      </c>
      <c r="H628" s="271" t="str">
        <f t="shared" si="581"/>
        <v>0.00230402837299086-0.0247254455273688i</v>
      </c>
      <c r="I628" s="271" t="str">
        <f t="shared" si="582"/>
        <v>0.0123040283729909-0.0247254455273688i</v>
      </c>
      <c r="J628" s="270" t="str">
        <f t="shared" si="583"/>
        <v>0.0034381382139735-0.0128723716887885i</v>
      </c>
      <c r="K628" s="271" t="str">
        <f t="shared" si="584"/>
        <v>0.75342457699811-0.780000301291597i</v>
      </c>
      <c r="L628" s="580"/>
      <c r="M628" s="580" t="str">
        <f t="shared" si="585"/>
        <v>-0.0328399560807669-14.4254917425578i</v>
      </c>
      <c r="N628" s="270" t="str">
        <f t="shared" si="586"/>
        <v>-6.69129663372725-10.8191188069184i</v>
      </c>
      <c r="O628" s="581" t="str">
        <f t="shared" si="587"/>
        <v>-4.20402040923994-4.47097848113511i</v>
      </c>
      <c r="P628" s="582" t="str">
        <f t="shared" si="588"/>
        <v>-0.162273321285266+0.0489352315376909i</v>
      </c>
      <c r="Q628" s="583" t="str">
        <f t="shared" si="589"/>
        <v>-0.120233117192866+0.0936450163490419i</v>
      </c>
      <c r="R628" s="581" t="str">
        <f t="shared" si="590"/>
        <v>-0.504911123271714-0.485491064143343i</v>
      </c>
      <c r="S628" s="253" t="str">
        <f t="shared" si="591"/>
        <v>33.3676662403807-34.1826394245579i</v>
      </c>
      <c r="T628" s="253" t="str">
        <f t="shared" si="592"/>
        <v>0.426248170888771-20.3177959156133i</v>
      </c>
      <c r="U628" s="253" t="str">
        <f t="shared" si="593"/>
        <v>-0.501384468268031-0.0573519541966619i</v>
      </c>
      <c r="V628" s="582" t="str">
        <f t="shared" si="594"/>
        <v>6000</v>
      </c>
      <c r="W628" s="584" t="str">
        <f t="shared" si="595"/>
        <v>1+347745.088243889i</v>
      </c>
      <c r="X628" s="585">
        <f t="shared" si="596"/>
        <v>347745.08824532683</v>
      </c>
      <c r="Y628" s="586">
        <f t="shared" si="597"/>
        <v>1.5707934511252357</v>
      </c>
      <c r="Z628" s="273" t="str">
        <f t="shared" si="598"/>
        <v>1+52.1539401455614i</v>
      </c>
      <c r="AA628" s="585">
        <f t="shared" si="599"/>
        <v>52.163526267947042</v>
      </c>
      <c r="AB628" s="586">
        <f t="shared" si="600"/>
        <v>1.5516246692610087</v>
      </c>
      <c r="AC628" s="584" t="str">
        <f t="shared" si="601"/>
        <v>1+2.52140609002024i</v>
      </c>
      <c r="AD628" s="585">
        <f t="shared" si="602"/>
        <v>2.7124691096473623</v>
      </c>
      <c r="AE628" s="586">
        <f t="shared" si="603"/>
        <v>1.1932208710355634</v>
      </c>
      <c r="AF628" s="580" t="str">
        <f t="shared" si="604"/>
        <v>0.116393955448406-0.310727858360048i</v>
      </c>
      <c r="AG628" s="270">
        <f t="shared" si="605"/>
        <v>0.33181222826464307</v>
      </c>
      <c r="AH628" s="581">
        <f t="shared" si="606"/>
        <v>-1.2123896528997897</v>
      </c>
      <c r="AI628" s="582" t="str">
        <f t="shared" si="607"/>
        <v>4000</v>
      </c>
      <c r="AJ628" s="584" t="str">
        <f t="shared" si="608"/>
        <v>1+27319.6867080062i</v>
      </c>
      <c r="AK628" s="585">
        <f t="shared" si="609"/>
        <v>27319.68672630802</v>
      </c>
      <c r="AL628" s="586">
        <f t="shared" si="610"/>
        <v>1.5707597231540773</v>
      </c>
      <c r="AM628" s="273" t="str">
        <f t="shared" si="611"/>
        <v>1+0.956155569335292i</v>
      </c>
      <c r="AN628" s="585">
        <f t="shared" si="612"/>
        <v>1.383558265043759</v>
      </c>
      <c r="AO628" s="586">
        <f t="shared" si="613"/>
        <v>0.7629883451043078</v>
      </c>
      <c r="AP628" s="584" t="str">
        <f t="shared" si="614"/>
        <v>1+0.00691756576273865i</v>
      </c>
      <c r="AQ628" s="585">
        <f t="shared" si="615"/>
        <v>1.0000239260718125</v>
      </c>
      <c r="AR628" s="586">
        <f t="shared" si="616"/>
        <v>6.9174554244698164E-3</v>
      </c>
      <c r="AS628" s="580" t="str">
        <f t="shared" si="617"/>
        <v>0.138981011749818-0.14737084910428i</v>
      </c>
      <c r="AT628" s="270">
        <f t="shared" si="618"/>
        <v>0.20256823243717045</v>
      </c>
      <c r="AU628" s="581">
        <f t="shared" si="619"/>
        <v>-0.8146888334742397</v>
      </c>
      <c r="AV628" s="580" t="str">
        <f t="shared" si="620"/>
        <v>-0.0293501043396477-0.0288660438775128i</v>
      </c>
      <c r="AW628" s="270">
        <f t="shared" si="621"/>
        <v>-27.709130355229629</v>
      </c>
      <c r="AX628" s="581">
        <f t="shared" si="622"/>
        <v>-135.4763967253057</v>
      </c>
      <c r="AY628" s="299">
        <f t="shared" si="623"/>
        <v>44.523603274694295</v>
      </c>
      <c r="AZ628" s="253" t="s">
        <v>552</v>
      </c>
      <c r="BB628" s="270">
        <f t="shared" si="624"/>
        <v>-53.868573228773727</v>
      </c>
      <c r="BC628" s="270">
        <f t="shared" si="625"/>
        <v>-46.67823177451028</v>
      </c>
      <c r="BD628" s="286"/>
      <c r="BE628" s="270">
        <f t="shared" si="626"/>
        <v>26.159442873544101</v>
      </c>
      <c r="BF628" s="581">
        <f t="shared" si="627"/>
        <v>-88.798164950795467</v>
      </c>
      <c r="BI628" s="286"/>
      <c r="BJ628" s="286"/>
    </row>
    <row r="629" spans="3:62" x14ac:dyDescent="0.2">
      <c r="D629" s="344">
        <f>IL_Pole2</f>
        <v>14284816.744207459</v>
      </c>
      <c r="E629" s="273" t="str">
        <f t="shared" si="578"/>
        <v>161.557471229323i</v>
      </c>
      <c r="F629" s="579" t="str">
        <f t="shared" si="579"/>
        <v>0.002-0.00017140840025281i</v>
      </c>
      <c r="G629" s="270" t="str">
        <f t="shared" si="580"/>
        <v>0.002-0.00017140840025281i</v>
      </c>
      <c r="H629" s="271" t="str">
        <f t="shared" si="581"/>
        <v>0.00199801664443847-0.000171066095738721i</v>
      </c>
      <c r="I629" s="271" t="str">
        <f t="shared" si="582"/>
        <v>0.0119980166444385-0.000171066095738721i</v>
      </c>
      <c r="J629" s="270" t="str">
        <f t="shared" si="583"/>
        <v>0.00171531620714649-0.000129392686350195i</v>
      </c>
      <c r="K629" s="271" t="str">
        <f t="shared" si="584"/>
        <v>-5151.79890446174-112.756470707233i</v>
      </c>
      <c r="L629" s="580"/>
      <c r="M629" s="580" t="str">
        <f t="shared" si="585"/>
        <v>-3.41275484752634E-06-0.0990890961250877i</v>
      </c>
      <c r="N629" s="270" t="str">
        <f t="shared" si="586"/>
        <v>-6.66666922623281-0.0743168220938158i</v>
      </c>
      <c r="O629" s="581" t="str">
        <f t="shared" si="587"/>
        <v>-0.954592365067765+0.0476614609582348i</v>
      </c>
      <c r="P629" s="582" t="str">
        <f t="shared" si="588"/>
        <v>-0.0114450618246936+0.000735141390789295i</v>
      </c>
      <c r="Q629" s="583" t="str">
        <f t="shared" si="589"/>
        <v>-0.00189913817401595+0.000258526781206942i</v>
      </c>
      <c r="R629" s="581" t="str">
        <f t="shared" si="590"/>
        <v>-0.499481017346711+22.8570769918425i</v>
      </c>
      <c r="S629" s="253" t="str">
        <f t="shared" si="591"/>
        <v>-0.00994943196830637-0.000217527523679435i</v>
      </c>
      <c r="T629" s="253" t="str">
        <f t="shared" si="592"/>
        <v>0.00268674245497824+0.0959543382096676i</v>
      </c>
      <c r="U629" s="253" t="str">
        <f t="shared" si="593"/>
        <v>0.0000217826901510867+0.000191258754306965i</v>
      </c>
      <c r="V629" s="582" t="str">
        <f t="shared" si="594"/>
        <v>6000</v>
      </c>
      <c r="W629" s="584" t="str">
        <f t="shared" si="595"/>
        <v>1+50269863.7311135i</v>
      </c>
      <c r="X629" s="585">
        <f t="shared" si="596"/>
        <v>50269863.731113508</v>
      </c>
      <c r="Y629" s="586">
        <f t="shared" si="597"/>
        <v>1.5707963069022626</v>
      </c>
      <c r="Z629" s="273" t="str">
        <f t="shared" si="598"/>
        <v>1+7539.34865736841i</v>
      </c>
      <c r="AA629" s="585">
        <f t="shared" si="599"/>
        <v>7539.3487236871351</v>
      </c>
      <c r="AB629" s="586">
        <f t="shared" si="600"/>
        <v>1.5706636893430979</v>
      </c>
      <c r="AC629" s="584" t="str">
        <f t="shared" si="601"/>
        <v>1+364.493259117499i</v>
      </c>
      <c r="AD629" s="585">
        <f t="shared" si="602"/>
        <v>364.49463088239895</v>
      </c>
      <c r="AE629" s="586">
        <f t="shared" si="603"/>
        <v>1.5680527987158375</v>
      </c>
      <c r="AF629" s="580" t="str">
        <f t="shared" si="604"/>
        <v>0.0000064458134636955-0.00246879346030867i</v>
      </c>
      <c r="AG629" s="270">
        <f t="shared" si="605"/>
        <v>2.468801875034541E-3</v>
      </c>
      <c r="AH629" s="581">
        <f t="shared" si="606"/>
        <v>-1.5681854162750022</v>
      </c>
      <c r="AI629" s="582" t="str">
        <f t="shared" si="607"/>
        <v>4000</v>
      </c>
      <c r="AJ629" s="584" t="str">
        <f t="shared" si="608"/>
        <v>1+3949320.85144217i</v>
      </c>
      <c r="AK629" s="585">
        <f t="shared" si="609"/>
        <v>3949320.8514422961</v>
      </c>
      <c r="AL629" s="586">
        <f t="shared" si="610"/>
        <v>1.5707960735868041</v>
      </c>
      <c r="AM629" s="273" t="str">
        <f t="shared" si="611"/>
        <v>1+138.221392051754i</v>
      </c>
      <c r="AN629" s="585">
        <f t="shared" si="612"/>
        <v>138.22500938949031</v>
      </c>
      <c r="AO629" s="586">
        <f t="shared" si="613"/>
        <v>1.5635616828775944</v>
      </c>
      <c r="AP629" s="584" t="str">
        <f t="shared" si="614"/>
        <v>1+i</v>
      </c>
      <c r="AQ629" s="585">
        <f t="shared" si="615"/>
        <v>1.4142135623730951</v>
      </c>
      <c r="AR629" s="586">
        <f t="shared" si="616"/>
        <v>0.78539816339744828</v>
      </c>
      <c r="AS629" s="580" t="str">
        <f t="shared" si="617"/>
        <v>0.069491151752646-0.0705039486752964i</v>
      </c>
      <c r="AT629" s="270">
        <f t="shared" si="618"/>
        <v>9.8994075331395995E-2</v>
      </c>
      <c r="AU629" s="581">
        <f t="shared" si="619"/>
        <v>-0.79263255410665789</v>
      </c>
      <c r="AV629" s="580" t="str">
        <f t="shared" si="620"/>
        <v>0.0000695186456396561+0.000064785515257032i</v>
      </c>
      <c r="AW629" s="270">
        <f t="shared" si="621"/>
        <v>-80.443120054288045</v>
      </c>
      <c r="AX629" s="581">
        <f t="shared" si="622"/>
        <v>42.981624653151428</v>
      </c>
      <c r="AY629" s="299">
        <f t="shared" si="623"/>
        <v>-137.01837534684859</v>
      </c>
      <c r="BB629" s="270">
        <f t="shared" si="624"/>
        <v>-60.087815931862572</v>
      </c>
      <c r="BC629" s="270">
        <f t="shared" si="625"/>
        <v>-45.414500054986362</v>
      </c>
      <c r="BD629" s="286"/>
      <c r="BE629" s="270">
        <f t="shared" si="626"/>
        <v>-20.355304122425459</v>
      </c>
      <c r="BF629" s="581">
        <f t="shared" si="627"/>
        <v>88.396124708137833</v>
      </c>
    </row>
    <row r="631" spans="3:62" x14ac:dyDescent="0.2">
      <c r="H631" s="253" t="s">
        <v>451</v>
      </c>
      <c r="J631" s="253" t="s">
        <v>452</v>
      </c>
    </row>
    <row r="632" spans="3:62" x14ac:dyDescent="0.2">
      <c r="C632" s="253" t="s">
        <v>427</v>
      </c>
      <c r="D632" s="253" t="s">
        <v>549</v>
      </c>
      <c r="G632" s="292">
        <f>PS_Pole1</f>
        <v>1224.2687930145796</v>
      </c>
      <c r="H632" s="292">
        <f>AW622</f>
        <v>4.6390176029154837</v>
      </c>
      <c r="I632" s="292"/>
      <c r="J632" s="292">
        <f>BE622</f>
        <v>23.187736792279843</v>
      </c>
    </row>
    <row r="633" spans="3:62" x14ac:dyDescent="0.2">
      <c r="C633" s="253" t="s">
        <v>422</v>
      </c>
      <c r="D633" s="253" t="s">
        <v>560</v>
      </c>
      <c r="G633" s="292">
        <f>PS_Zero1</f>
        <v>612134.39650728984</v>
      </c>
      <c r="H633" s="292">
        <f>AW623</f>
        <v>-44.200891616107505</v>
      </c>
      <c r="I633" s="292"/>
      <c r="J633" s="292">
        <f>BE623</f>
        <v>12.762759621525539</v>
      </c>
    </row>
    <row r="634" spans="3:62" x14ac:dyDescent="0.2">
      <c r="C634" s="253" t="s">
        <v>430</v>
      </c>
      <c r="D634" s="253" t="s">
        <v>561</v>
      </c>
      <c r="G634" s="292">
        <f>IL_Pole1</f>
        <v>3.6170312014510251</v>
      </c>
      <c r="H634" s="292">
        <f>AW624</f>
        <v>50.611296037413936</v>
      </c>
      <c r="I634" s="292"/>
      <c r="J634" s="292">
        <f>BE624</f>
        <v>21.580396162175024</v>
      </c>
    </row>
    <row r="635" spans="3:62" x14ac:dyDescent="0.2">
      <c r="C635" s="253" t="s">
        <v>425</v>
      </c>
      <c r="D635" s="253" t="s">
        <v>562</v>
      </c>
      <c r="G635" s="292">
        <f>IL_Zero1</f>
        <v>103347.36564408788</v>
      </c>
      <c r="H635" s="292">
        <f>AW625</f>
        <v>-27.907884129175358</v>
      </c>
      <c r="I635" s="292"/>
      <c r="J635" s="292">
        <f>BE625</f>
        <v>26.159786518787264</v>
      </c>
    </row>
    <row r="636" spans="3:62" x14ac:dyDescent="0.2">
      <c r="C636" s="253" t="s">
        <v>423</v>
      </c>
      <c r="D636" s="253" t="s">
        <v>559</v>
      </c>
      <c r="G636" s="253">
        <f>PS_Pole2</f>
        <v>199000</v>
      </c>
      <c r="H636" s="292">
        <f>AW626</f>
        <v>-31.266379893981338</v>
      </c>
      <c r="I636" s="292"/>
      <c r="J636" s="292">
        <f>BE626</f>
        <v>24.775170049271043</v>
      </c>
    </row>
    <row r="637" spans="3:62" x14ac:dyDescent="0.2">
      <c r="C637" s="253" t="s">
        <v>548</v>
      </c>
      <c r="D637" s="253" t="s">
        <v>563</v>
      </c>
      <c r="G637" s="344">
        <f>PS_RHPZ</f>
        <v>98816.159236725332</v>
      </c>
      <c r="H637" s="292">
        <f>AW628</f>
        <v>-27.709130355229629</v>
      </c>
      <c r="I637" s="292"/>
      <c r="J637" s="292">
        <f>BE628</f>
        <v>26.159442873544101</v>
      </c>
    </row>
    <row r="639" spans="3:62" x14ac:dyDescent="0.2">
      <c r="C639" s="292">
        <f>U4*1000</f>
        <v>2290.9</v>
      </c>
    </row>
    <row r="640" spans="3:62" x14ac:dyDescent="0.2">
      <c r="C640" s="292">
        <f>U4*1000</f>
        <v>2290.9</v>
      </c>
    </row>
    <row r="687" spans="64:65" x14ac:dyDescent="0.2">
      <c r="BL687" s="253" t="s">
        <v>48</v>
      </c>
      <c r="BM687" s="292">
        <f>SUM(BM689:BM1306)</f>
        <v>0</v>
      </c>
    </row>
  </sheetData>
  <mergeCells count="21">
    <mergeCell ref="D2:F2"/>
    <mergeCell ref="G2:I2"/>
    <mergeCell ref="T2:V2"/>
    <mergeCell ref="D10:D12"/>
    <mergeCell ref="E10:U10"/>
    <mergeCell ref="V10:AH10"/>
    <mergeCell ref="AF11:AH11"/>
    <mergeCell ref="AW10:AY10"/>
    <mergeCell ref="BB10:BC10"/>
    <mergeCell ref="BE10:BF10"/>
    <mergeCell ref="F11:H11"/>
    <mergeCell ref="I11:K11"/>
    <mergeCell ref="P11:R11"/>
    <mergeCell ref="W11:Y11"/>
    <mergeCell ref="Z11:AB11"/>
    <mergeCell ref="AC11:AE11"/>
    <mergeCell ref="AJ11:AL11"/>
    <mergeCell ref="AM11:AO11"/>
    <mergeCell ref="AP11:AR11"/>
    <mergeCell ref="AS11:AU11"/>
    <mergeCell ref="AI10:AU10"/>
  </mergeCells>
  <phoneticPr fontId="107" type="noConversion"/>
  <pageMargins left="0.75" right="0.75" top="1" bottom="1" header="0.5" footer="0.5"/>
  <pageSetup scale="48" orientation="portrait" horizontalDpi="300" verticalDpi="300" r:id="rId1"/>
  <headerFooter alignWithMargins="0"/>
  <colBreaks count="1" manualBreakCount="1">
    <brk id="51" max="1048575" man="1"/>
  </colBreak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2:B11"/>
  <sheetViews>
    <sheetView showGridLines="0" zoomScale="70" zoomScaleNormal="70" workbookViewId="0">
      <selection activeCell="B11" sqref="B11"/>
    </sheetView>
  </sheetViews>
  <sheetFormatPr defaultRowHeight="12.9" x14ac:dyDescent="0.2"/>
  <cols>
    <col min="1" max="1" width="10.625" customWidth="1"/>
    <col min="2" max="2" width="131.75" customWidth="1"/>
    <col min="4" max="4" width="131.75" customWidth="1"/>
    <col min="6" max="6" width="131.75" customWidth="1"/>
    <col min="8" max="8" width="131.75" customWidth="1"/>
  </cols>
  <sheetData>
    <row r="2" spans="1:2" x14ac:dyDescent="0.2">
      <c r="A2" t="str">
        <f>CHOOSE(With_RCS,  "SCH_NO_RCS", "SCH_RCS_MON","SCH_RCS_LIM","SCH_RCS_LIM_NEG")</f>
        <v>SCH_RCS_LIM</v>
      </c>
    </row>
    <row r="5" spans="1:2" ht="408.9" customHeight="1" x14ac:dyDescent="0.2">
      <c r="B5" s="444"/>
    </row>
    <row r="6" spans="1:2" ht="12.1" customHeight="1" x14ac:dyDescent="0.2">
      <c r="B6" s="444"/>
    </row>
    <row r="7" spans="1:2" ht="34.5" customHeight="1" x14ac:dyDescent="0.2"/>
    <row r="8" spans="1:2" ht="21.1" customHeight="1" x14ac:dyDescent="0.2">
      <c r="B8" s="444"/>
    </row>
    <row r="9" spans="1:2" x14ac:dyDescent="0.2">
      <c r="B9" s="444"/>
    </row>
    <row r="11" spans="1:2" ht="408.9" customHeight="1" x14ac:dyDescent="0.2"/>
  </sheetData>
  <phoneticPr fontId="107" type="noConversion"/>
  <pageMargins left="0.7" right="0.7" top="0.75" bottom="0.75" header="0.3" footer="0.3"/>
  <pageSetup orientation="portrait" r:id="rId1"/>
  <drawing r:id="rId2"/>
  <legacyDrawing r:id="rId3"/>
  <oleObjects>
    <mc:AlternateContent xmlns:mc="http://schemas.openxmlformats.org/markup-compatibility/2006">
      <mc:Choice Requires="x14">
        <oleObject progId="Visio.Drawing.15" shapeId="676913" r:id="rId4">
          <objectPr defaultSize="0" r:id="rId5">
            <anchor moveWithCells="1">
              <from>
                <xdr:col>3</xdr:col>
                <xdr:colOff>0</xdr:colOff>
                <xdr:row>4</xdr:row>
                <xdr:rowOff>0</xdr:rowOff>
              </from>
              <to>
                <xdr:col>3</xdr:col>
                <xdr:colOff>7090913</xdr:colOff>
                <xdr:row>4</xdr:row>
                <xdr:rowOff>4658264</xdr:rowOff>
              </to>
            </anchor>
          </objectPr>
        </oleObject>
      </mc:Choice>
      <mc:Fallback>
        <oleObject progId="Visio.Drawing.15" shapeId="676913" r:id="rId4"/>
      </mc:Fallback>
    </mc:AlternateContent>
    <mc:AlternateContent xmlns:mc="http://schemas.openxmlformats.org/markup-compatibility/2006">
      <mc:Choice Requires="x14">
        <oleObject progId="Visio.Drawing.15" shapeId="676914" r:id="rId6">
          <objectPr defaultSize="0" r:id="rId7">
            <anchor moveWithCells="1">
              <from>
                <xdr:col>5</xdr:col>
                <xdr:colOff>0</xdr:colOff>
                <xdr:row>4</xdr:row>
                <xdr:rowOff>0</xdr:rowOff>
              </from>
              <to>
                <xdr:col>5</xdr:col>
                <xdr:colOff>7090913</xdr:colOff>
                <xdr:row>4</xdr:row>
                <xdr:rowOff>4658264</xdr:rowOff>
              </to>
            </anchor>
          </objectPr>
        </oleObject>
      </mc:Choice>
      <mc:Fallback>
        <oleObject progId="Visio.Drawing.15" shapeId="676914" r:id="rId6"/>
      </mc:Fallback>
    </mc:AlternateContent>
    <mc:AlternateContent xmlns:mc="http://schemas.openxmlformats.org/markup-compatibility/2006">
      <mc:Choice Requires="x14">
        <oleObject progId="Visio.Drawing.15" shapeId="676915" r:id="rId8">
          <objectPr defaultSize="0" r:id="rId9">
            <anchor moveWithCells="1">
              <from>
                <xdr:col>7</xdr:col>
                <xdr:colOff>0</xdr:colOff>
                <xdr:row>4</xdr:row>
                <xdr:rowOff>0</xdr:rowOff>
              </from>
              <to>
                <xdr:col>7</xdr:col>
                <xdr:colOff>7090913</xdr:colOff>
                <xdr:row>4</xdr:row>
                <xdr:rowOff>4658264</xdr:rowOff>
              </to>
            </anchor>
          </objectPr>
        </oleObject>
      </mc:Choice>
      <mc:Fallback>
        <oleObject progId="Visio.Drawing.15" shapeId="676915" r:id="rId8"/>
      </mc:Fallback>
    </mc:AlternateContent>
    <mc:AlternateContent xmlns:mc="http://schemas.openxmlformats.org/markup-compatibility/2006">
      <mc:Choice Requires="x14">
        <oleObject progId="Visio.Drawing.15" shapeId="676916" r:id="rId10">
          <objectPr defaultSize="0" r:id="rId11">
            <anchor moveWithCells="1">
              <from>
                <xdr:col>1</xdr:col>
                <xdr:colOff>0</xdr:colOff>
                <xdr:row>4</xdr:row>
                <xdr:rowOff>0</xdr:rowOff>
              </from>
              <to>
                <xdr:col>1</xdr:col>
                <xdr:colOff>7090913</xdr:colOff>
                <xdr:row>4</xdr:row>
                <xdr:rowOff>4658264</xdr:rowOff>
              </to>
            </anchor>
          </objectPr>
        </oleObject>
      </mc:Choice>
      <mc:Fallback>
        <oleObject progId="Visio.Drawing.15" shapeId="676916" r:id="rId10"/>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710A6-A081-4BED-B3A9-3D45E950A152}">
  <sheetPr codeName="Sheet17"/>
  <dimension ref="B5:C12"/>
  <sheetViews>
    <sheetView showGridLines="0" zoomScale="70" zoomScaleNormal="70" workbookViewId="0">
      <selection activeCell="B5" sqref="B5"/>
    </sheetView>
  </sheetViews>
  <sheetFormatPr defaultRowHeight="12.9" x14ac:dyDescent="0.2"/>
  <cols>
    <col min="1" max="1" width="10.625" customWidth="1"/>
    <col min="2" max="2" width="132.75" customWidth="1"/>
  </cols>
  <sheetData>
    <row r="5" spans="2:3" ht="409.6" customHeight="1" x14ac:dyDescent="0.25">
      <c r="B5" s="444"/>
      <c r="C5" s="2"/>
    </row>
    <row r="7" spans="2:3" ht="409.6" customHeight="1" x14ac:dyDescent="0.2">
      <c r="B7" s="444"/>
    </row>
    <row r="10" spans="2:3" ht="409.6" customHeight="1" x14ac:dyDescent="0.2"/>
    <row r="12" spans="2:3" ht="408.1" customHeight="1" x14ac:dyDescent="0.2"/>
  </sheetData>
  <phoneticPr fontId="107" type="noConversion"/>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45EEE-87F3-43BA-9AF7-7C5D8ED3FF4C}">
  <sheetPr codeName="Sheet21"/>
  <dimension ref="A2:A12"/>
  <sheetViews>
    <sheetView showGridLines="0" topLeftCell="A10" zoomScale="85" zoomScaleNormal="85" workbookViewId="0">
      <selection activeCell="C10" sqref="C10"/>
    </sheetView>
  </sheetViews>
  <sheetFormatPr defaultColWidth="9.125" defaultRowHeight="12.9" x14ac:dyDescent="0.2"/>
  <cols>
    <col min="1" max="1" width="10.625" style="253" customWidth="1"/>
    <col min="2" max="2" width="130.875" style="253" customWidth="1"/>
    <col min="3" max="16384" width="9.125" style="253"/>
  </cols>
  <sheetData>
    <row r="2" spans="1:1" x14ac:dyDescent="0.2">
      <c r="A2" s="253" t="str">
        <f>IF(PLOT_TYPE=1, "EFF_IOUT", "EFF_VIN")</f>
        <v>EFF_IOUT</v>
      </c>
    </row>
    <row r="5" spans="1:1" ht="409.6" customHeight="1" x14ac:dyDescent="0.2"/>
    <row r="7" spans="1:1" ht="409.6" customHeight="1" x14ac:dyDescent="0.2"/>
    <row r="9" spans="1:1" x14ac:dyDescent="0.2">
      <c r="A9" s="253" t="str">
        <f>IF(OR(BODEPLOT_TYPE=FALSE,IMONLIM_select = 0), "BodePlot", "BodePlot_ILim")</f>
        <v>BodePlot</v>
      </c>
    </row>
    <row r="10" spans="1:1" ht="409.6" customHeight="1" x14ac:dyDescent="0.2"/>
    <row r="12" spans="1:1" ht="409.6" customHeight="1" x14ac:dyDescent="0.2"/>
  </sheetData>
  <phoneticPr fontId="107"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1617" r:id="rId4" name="Check Box 1">
              <controlPr defaultSize="0" autoFill="0" autoLine="0" autoPict="0">
                <anchor moveWithCells="1">
                  <from>
                    <xdr:col>2</xdr:col>
                    <xdr:colOff>276045</xdr:colOff>
                    <xdr:row>9</xdr:row>
                    <xdr:rowOff>163902</xdr:rowOff>
                  </from>
                  <to>
                    <xdr:col>4</xdr:col>
                    <xdr:colOff>276045</xdr:colOff>
                    <xdr:row>9</xdr:row>
                    <xdr:rowOff>379562</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23CF16-CD41-4EC2-B0DF-4100C979BE67}">
  <sheetPr codeName="Sheet18"/>
  <dimension ref="A1:AG96"/>
  <sheetViews>
    <sheetView zoomScale="85" zoomScaleNormal="85" workbookViewId="0">
      <selection activeCell="B3" sqref="B3"/>
    </sheetView>
  </sheetViews>
  <sheetFormatPr defaultColWidth="9.125" defaultRowHeight="14.95" x14ac:dyDescent="0.25"/>
  <cols>
    <col min="1" max="3" width="9.25" style="632" bestFit="1" customWidth="1"/>
    <col min="4" max="4" width="9.125" style="632"/>
    <col min="5" max="5" width="19.125" style="632" bestFit="1" customWidth="1"/>
    <col min="6" max="8" width="11" style="632" bestFit="1" customWidth="1"/>
    <col min="9" max="9" width="9.125" style="632"/>
    <col min="10" max="10" width="9.25" style="632" bestFit="1" customWidth="1"/>
    <col min="11" max="11" width="12" style="632" bestFit="1" customWidth="1"/>
    <col min="12" max="12" width="11" style="632" bestFit="1" customWidth="1"/>
    <col min="13" max="13" width="12" style="632" bestFit="1" customWidth="1"/>
    <col min="14" max="14" width="13.625" style="632" customWidth="1"/>
    <col min="15" max="15" width="9.125" style="632"/>
    <col min="16" max="16" width="11" style="632" bestFit="1" customWidth="1"/>
    <col min="17" max="17" width="9.125" style="632"/>
    <col min="18" max="18" width="11" style="632" bestFit="1" customWidth="1"/>
    <col min="19" max="19" width="9.125" style="632"/>
    <col min="20" max="20" width="11" style="632" bestFit="1" customWidth="1"/>
    <col min="21" max="23" width="9.125" style="632"/>
    <col min="24" max="24" width="16.375" style="632" bestFit="1" customWidth="1"/>
    <col min="25" max="25" width="16.75" style="632" bestFit="1" customWidth="1"/>
    <col min="26" max="16384" width="9.125" style="632"/>
  </cols>
  <sheetData>
    <row r="1" spans="1:29" s="619" customFormat="1" x14ac:dyDescent="0.25">
      <c r="A1" s="619" t="s">
        <v>932</v>
      </c>
      <c r="B1" s="619">
        <v>1</v>
      </c>
      <c r="C1" s="619" t="s">
        <v>1050</v>
      </c>
      <c r="E1" s="619" t="s">
        <v>1051</v>
      </c>
      <c r="F1" s="619" t="s">
        <v>4</v>
      </c>
      <c r="G1" s="620">
        <v>1.15E-7</v>
      </c>
      <c r="H1" s="620">
        <v>8.0000000000000002E-8</v>
      </c>
      <c r="I1" s="620">
        <f>IF($B$1=2,H1,G1)</f>
        <v>1.15E-7</v>
      </c>
      <c r="L1" s="621">
        <f>I1</f>
        <v>1.15E-7</v>
      </c>
      <c r="N1" s="619">
        <f>0.75/$L$1*$J$3/2000000*0.2</f>
        <v>6.5217391304347831E-7</v>
      </c>
      <c r="V1" s="622" t="s">
        <v>1052</v>
      </c>
      <c r="W1" s="622"/>
      <c r="X1" s="623" t="s">
        <v>1053</v>
      </c>
      <c r="Y1" s="624">
        <f>1/2*Fsw/L*((W16)^2*(Vin-Vout)+(W15)^2*Vin+(W17)^2*Vout)</f>
        <v>2.8247884906487033</v>
      </c>
      <c r="Z1" s="623"/>
      <c r="AA1" s="619" t="s">
        <v>1054</v>
      </c>
      <c r="AC1" s="619" t="s">
        <v>1055</v>
      </c>
    </row>
    <row r="2" spans="1:29" s="619" customFormat="1" x14ac:dyDescent="0.25">
      <c r="E2" s="619" t="s">
        <v>1056</v>
      </c>
      <c r="F2" s="619">
        <f>$P$9</f>
        <v>18.024587605875187</v>
      </c>
      <c r="G2" s="619">
        <v>2</v>
      </c>
      <c r="H2" s="619">
        <v>4</v>
      </c>
      <c r="I2" s="619">
        <f t="shared" ref="I2:I5" si="0">IF($B$1=2,H2,G2)</f>
        <v>2</v>
      </c>
      <c r="L2" s="625"/>
      <c r="N2" s="619">
        <f>MIN($J$3/2000000*$B$3*1000*$L$5+$J$4*(1-$L$5),$N$1)</f>
        <v>2.6574989319999998E-7</v>
      </c>
      <c r="P2" s="619">
        <f>$N$5-$J$7*$J$1</f>
        <v>2.8222024512181444E-7</v>
      </c>
      <c r="R2" s="619">
        <f>$N$5-$J$7*$J$1</f>
        <v>2.8222024512181444E-7</v>
      </c>
      <c r="T2" s="619">
        <f>MAX(MAX(0.5*$N$5/$L$4*$L$6,J6*$J$2)-$J$7*$J$1,0)</f>
        <v>1.4111012256090722E-7</v>
      </c>
      <c r="V2" s="622"/>
      <c r="W2" s="622"/>
      <c r="X2" s="623" t="s">
        <v>1057</v>
      </c>
      <c r="Y2" s="626">
        <f>1/2*Fsw/L*((W16)^2*(Vin-Vout)+(W17)^2*Vout)</f>
        <v>-0.19383249968856442</v>
      </c>
      <c r="Z2" s="623"/>
    </row>
    <row r="3" spans="1:29" s="619" customFormat="1" x14ac:dyDescent="0.25">
      <c r="A3" s="619" t="s">
        <v>1058</v>
      </c>
      <c r="B3" s="619">
        <f>Fsw/1000</f>
        <v>398</v>
      </c>
      <c r="E3" s="619" t="s">
        <v>1059</v>
      </c>
      <c r="F3" s="619">
        <f>$T$9</f>
        <v>23.002401965633599</v>
      </c>
      <c r="G3" s="619">
        <v>1</v>
      </c>
      <c r="H3" s="619">
        <v>1</v>
      </c>
      <c r="I3" s="619">
        <f t="shared" si="0"/>
        <v>1</v>
      </c>
      <c r="J3" s="627">
        <v>9.9999999999999995E-7</v>
      </c>
      <c r="L3" s="627">
        <f>0.225-I2*0.025</f>
        <v>0.17499999999999999</v>
      </c>
      <c r="P3" s="619">
        <f>$N$5+$J$7*$J$1</f>
        <v>2.8222024512181444E-7</v>
      </c>
      <c r="R3" s="619">
        <f>$N$5+J7*$J$1</f>
        <v>2.8222024512181444E-7</v>
      </c>
      <c r="T3" s="619">
        <f>MAX(0.5*$N$5/$L$4*$L$6,J5*$J$2)</f>
        <v>1.4111012256090722E-7</v>
      </c>
      <c r="V3" s="622"/>
      <c r="W3" s="622"/>
      <c r="X3" s="623" t="s">
        <v>1060</v>
      </c>
      <c r="Y3" s="626">
        <f>1/2*Fsw/L*((W16)^2*(Vin-Vout)+(W15)^2*Vin)</f>
        <v>2.7431309734145835</v>
      </c>
      <c r="Z3" s="623"/>
    </row>
    <row r="4" spans="1:29" s="619" customFormat="1" x14ac:dyDescent="0.25">
      <c r="A4" s="619" t="s">
        <v>1061</v>
      </c>
      <c r="B4" s="619">
        <v>0</v>
      </c>
      <c r="E4" s="619" t="s">
        <v>1062</v>
      </c>
      <c r="F4" s="619">
        <f>$R$8</f>
        <v>14.202821479064285</v>
      </c>
      <c r="G4" s="619">
        <v>2</v>
      </c>
      <c r="H4" s="619">
        <v>2</v>
      </c>
      <c r="I4" s="619">
        <f t="shared" si="0"/>
        <v>2</v>
      </c>
      <c r="J4" s="627">
        <v>9.9999999999999995E-7</v>
      </c>
      <c r="L4" s="627">
        <f>0.75+I3*0.25</f>
        <v>1</v>
      </c>
      <c r="N4" s="619">
        <f>$L$3/$B$3*0.001</f>
        <v>4.3969849246231152E-7</v>
      </c>
      <c r="P4" s="619">
        <f>0.001/$B$3-$P$3</f>
        <v>2.2303425689485375E-6</v>
      </c>
      <c r="R4" s="619">
        <f>0.001/$B$3-R3</f>
        <v>2.2303425689485375E-6</v>
      </c>
      <c r="T4" s="619">
        <f>MAX($T$5-$T$3-J7*$J$1,0)</f>
        <v>8.6302886014503312E-7</v>
      </c>
      <c r="V4" s="622"/>
      <c r="W4" s="622"/>
      <c r="X4" s="623"/>
      <c r="Y4" s="623"/>
      <c r="Z4" s="623"/>
    </row>
    <row r="5" spans="1:29" s="619" customFormat="1" x14ac:dyDescent="0.25">
      <c r="A5" s="619" t="s">
        <v>4</v>
      </c>
      <c r="B5" s="619">
        <f>VIN_nom</f>
        <v>12</v>
      </c>
      <c r="E5" s="619" t="s">
        <v>1063</v>
      </c>
      <c r="F5" s="619">
        <f>$T$8</f>
        <v>11.129272516082148</v>
      </c>
      <c r="G5" s="619">
        <v>1</v>
      </c>
      <c r="H5" s="619">
        <v>1</v>
      </c>
      <c r="I5" s="619">
        <f t="shared" si="0"/>
        <v>1</v>
      </c>
      <c r="J5" s="619">
        <f>IF(B4&gt;0,1,0)</f>
        <v>0</v>
      </c>
      <c r="L5" s="627">
        <f>1-I4*0.0416666</f>
        <v>0.9166668</v>
      </c>
      <c r="N5" s="619">
        <f>$L$4*0.000000075/$N$2*0.000001</f>
        <v>2.8222024512181444E-7</v>
      </c>
      <c r="T5" s="619">
        <f>$N$4+2*$N$5</f>
        <v>1.0041389827059403E-6</v>
      </c>
      <c r="V5" s="622"/>
      <c r="W5" s="622"/>
      <c r="X5" s="623" t="s">
        <v>1064</v>
      </c>
      <c r="Y5" s="623">
        <f>IF(B5&gt;B6,Iin+Y1,Iout+Y1)</f>
        <v>10.824788490648704</v>
      </c>
      <c r="Z5" s="623"/>
    </row>
    <row r="6" spans="1:29" s="619" customFormat="1" x14ac:dyDescent="0.25">
      <c r="A6" s="619" t="s">
        <v>1065</v>
      </c>
      <c r="B6" s="619">
        <f>Vout</f>
        <v>16</v>
      </c>
      <c r="G6" s="619" t="s">
        <v>827</v>
      </c>
      <c r="H6" s="619" t="s">
        <v>1066</v>
      </c>
      <c r="J6" s="619">
        <f>IF(B4&lt;0,1,0)</f>
        <v>0</v>
      </c>
      <c r="L6" s="619">
        <f>0.75+I5*0.25</f>
        <v>1</v>
      </c>
      <c r="N6" s="619">
        <f>N4+2*N5</f>
        <v>1.0041389827059403E-6</v>
      </c>
      <c r="T6" s="619">
        <f>0.001/$B$3-$T$5</f>
        <v>1.5084238313644116E-6</v>
      </c>
      <c r="V6" s="622"/>
      <c r="W6" s="622"/>
      <c r="X6" s="623" t="s">
        <v>1067</v>
      </c>
      <c r="Y6" s="624">
        <f>Vin/L*W16</f>
        <v>5.261885487798259</v>
      </c>
      <c r="Z6" s="623"/>
    </row>
    <row r="7" spans="1:29" s="619" customFormat="1" x14ac:dyDescent="0.25">
      <c r="A7" s="619" t="s">
        <v>6</v>
      </c>
      <c r="B7" s="619">
        <f>Iout</f>
        <v>8</v>
      </c>
      <c r="J7" s="619">
        <f>J5-J6</f>
        <v>0</v>
      </c>
      <c r="V7" s="622"/>
      <c r="W7" s="622"/>
      <c r="X7" s="623" t="s">
        <v>1068</v>
      </c>
      <c r="Y7" s="624">
        <f>(Vin-Vout)/L*W15</f>
        <v>-3.3520529585875813</v>
      </c>
      <c r="Z7" s="623"/>
    </row>
    <row r="8" spans="1:29" s="619" customFormat="1" x14ac:dyDescent="0.25">
      <c r="A8" s="619" t="s">
        <v>376</v>
      </c>
      <c r="B8" s="619">
        <f>Iin_Vinnom</f>
        <v>11.228070175438596</v>
      </c>
      <c r="E8" s="619" t="s">
        <v>1069</v>
      </c>
      <c r="F8" s="619" t="s">
        <v>1070</v>
      </c>
      <c r="G8" s="619" t="s">
        <v>1071</v>
      </c>
      <c r="H8" s="619" t="s">
        <v>1072</v>
      </c>
      <c r="P8" s="619">
        <f>B6*1/($P$2*1000*$B$3)</f>
        <v>142.44550389279729</v>
      </c>
      <c r="R8" s="619">
        <f>$B$6*(1-$R$2*1000*$B$3)</f>
        <v>14.202821479064285</v>
      </c>
      <c r="T8" s="619">
        <f>$B$6*((0.001/$B$3-$T$4)/($T$6+$T$4))</f>
        <v>11.129272516082148</v>
      </c>
      <c r="V8" s="622"/>
      <c r="W8" s="622"/>
      <c r="X8" s="623" t="s">
        <v>1073</v>
      </c>
      <c r="Y8" s="624">
        <f>Vout/L*W17</f>
        <v>1.9098325292106775</v>
      </c>
      <c r="Z8" s="623"/>
    </row>
    <row r="9" spans="1:29" s="619" customFormat="1" x14ac:dyDescent="0.25">
      <c r="A9" s="619" t="s">
        <v>1074</v>
      </c>
      <c r="B9" s="619">
        <f>Efficiency</f>
        <v>0.95</v>
      </c>
      <c r="E9" s="619" t="s">
        <v>1059</v>
      </c>
      <c r="F9" s="619">
        <f>Timings!$T$6*1000000000</f>
        <v>1508.4238313644116</v>
      </c>
      <c r="G9" s="619">
        <f>Timings!$T$2*1000000000</f>
        <v>141.11012256090723</v>
      </c>
      <c r="H9" s="619">
        <f>(Timings!$T$5-Timings!$T$2)*1000000000</f>
        <v>863.02886014503315</v>
      </c>
      <c r="P9" s="619">
        <f>$B$6/($P$4*1000*$B$3)</f>
        <v>18.024587605875187</v>
      </c>
      <c r="R9" s="619">
        <f>B6*(1-$R$4*1000*$B$3)</f>
        <v>1.7971785209357147</v>
      </c>
      <c r="T9" s="619">
        <f>$B$6*((0.001/$B$3-$T$2)/($T$6+$T$2))</f>
        <v>23.002401965633599</v>
      </c>
      <c r="V9" s="622"/>
      <c r="W9" s="622"/>
      <c r="X9" s="623"/>
      <c r="Y9" s="623"/>
      <c r="Z9" s="623"/>
    </row>
    <row r="10" spans="1:29" s="619" customFormat="1" x14ac:dyDescent="0.25">
      <c r="A10" s="619" t="s">
        <v>60</v>
      </c>
      <c r="B10" s="628">
        <f>Lf</f>
        <v>1.8000000000000001E-6</v>
      </c>
      <c r="E10" s="619" t="s">
        <v>1063</v>
      </c>
      <c r="F10" s="619">
        <f>Timings!$T$6*1000000000</f>
        <v>1508.4238313644116</v>
      </c>
      <c r="G10" s="619">
        <f>Timings!$T$4*1000000000</f>
        <v>863.02886014503315</v>
      </c>
      <c r="H10" s="619">
        <f>(Timings!$T$5-Timings!$T$4)*1000000000</f>
        <v>141.11012256090723</v>
      </c>
      <c r="V10" s="622"/>
      <c r="W10" s="622"/>
      <c r="X10" s="623" t="s">
        <v>1075</v>
      </c>
      <c r="Y10" s="623"/>
      <c r="Z10" s="623"/>
    </row>
    <row r="11" spans="1:29" s="619" customFormat="1" x14ac:dyDescent="0.25">
      <c r="E11" s="619" t="s">
        <v>1076</v>
      </c>
      <c r="F11" s="619">
        <f>Timings!$T$6*1000000000</f>
        <v>1508.4238313644116</v>
      </c>
      <c r="G11" s="619">
        <f>Timings!$N$6*1000000000*L11</f>
        <v>659.71931163780278</v>
      </c>
      <c r="H11" s="619">
        <f>Timings!$N$6*1000000000*(1-L11)</f>
        <v>344.41967106813752</v>
      </c>
      <c r="K11" s="619" t="s">
        <v>1077</v>
      </c>
      <c r="L11" s="619">
        <v>0.65700000000000003</v>
      </c>
      <c r="V11" s="622"/>
      <c r="W11" s="622"/>
      <c r="X11" s="623" t="s">
        <v>1078</v>
      </c>
      <c r="Y11" s="629">
        <f>IF(Vin&gt;B6,0,Y6)+Iout-Y2</f>
        <v>13.455717987486825</v>
      </c>
      <c r="Z11" s="623"/>
      <c r="AA11" s="620">
        <f>1/(W15+W16)*(Iin/Fsw-1/2*dI1_*W15-dI1_*W16-1/2*dI2_*W16)</f>
        <v>9.319030302998744</v>
      </c>
    </row>
    <row r="12" spans="1:29" s="619" customFormat="1" x14ac:dyDescent="0.25">
      <c r="K12" s="619" t="s">
        <v>1079</v>
      </c>
      <c r="V12" s="622"/>
      <c r="W12" s="622"/>
      <c r="X12" s="623" t="s">
        <v>1080</v>
      </c>
      <c r="Y12" s="623">
        <f>IF(Vin&gt;B6,Y7,0)+Iout-Y2</f>
        <v>8.1938324996885648</v>
      </c>
      <c r="Z12" s="623"/>
    </row>
    <row r="13" spans="1:29" s="619" customFormat="1" x14ac:dyDescent="0.25">
      <c r="V13" s="623"/>
      <c r="W13" s="623"/>
      <c r="X13" s="623" t="s">
        <v>1081</v>
      </c>
      <c r="Y13" s="630">
        <f>Y11+Y8</f>
        <v>15.365550516697501</v>
      </c>
      <c r="Z13" s="623"/>
    </row>
    <row r="14" spans="1:29" s="619" customFormat="1" x14ac:dyDescent="0.25">
      <c r="E14" s="619" t="s">
        <v>1082</v>
      </c>
      <c r="F14" s="619" t="s">
        <v>1070</v>
      </c>
      <c r="G14" s="619" t="s">
        <v>1071</v>
      </c>
      <c r="H14" s="619" t="s">
        <v>1072</v>
      </c>
      <c r="V14" s="623" t="s">
        <v>1083</v>
      </c>
      <c r="W14" s="623"/>
      <c r="X14" s="623" t="s">
        <v>1084</v>
      </c>
      <c r="Y14" s="631">
        <f>ABS(MAX(Y11:Y13))-ABS(MIN(Y11:Y13))</f>
        <v>7.1717180170089367</v>
      </c>
      <c r="Z14" s="623"/>
    </row>
    <row r="15" spans="1:29" s="619" customFormat="1" x14ac:dyDescent="0.25">
      <c r="E15" s="619" t="s">
        <v>1059</v>
      </c>
      <c r="F15" s="619">
        <f t="shared" ref="F15:H17" si="1">F9*$B$3*0.000001*100</f>
        <v>60.035268488303586</v>
      </c>
      <c r="G15" s="619">
        <f t="shared" si="1"/>
        <v>5.616182877924107</v>
      </c>
      <c r="H15" s="619">
        <f t="shared" si="1"/>
        <v>34.348548633772317</v>
      </c>
      <c r="V15" s="623" t="s">
        <v>1085</v>
      </c>
      <c r="W15" s="626">
        <f>$F$11*0.000000001</f>
        <v>1.5084238313644118E-6</v>
      </c>
      <c r="X15" s="623"/>
      <c r="Y15" s="623"/>
      <c r="Z15" s="623"/>
    </row>
    <row r="16" spans="1:29" s="619" customFormat="1" x14ac:dyDescent="0.25">
      <c r="E16" s="619" t="s">
        <v>1063</v>
      </c>
      <c r="F16" s="619">
        <f t="shared" si="1"/>
        <v>60.035268488303586</v>
      </c>
      <c r="G16" s="619">
        <f t="shared" si="1"/>
        <v>34.348548633772317</v>
      </c>
      <c r="H16" s="619">
        <f t="shared" si="1"/>
        <v>5.616182877924107</v>
      </c>
      <c r="V16" s="623" t="s">
        <v>1086</v>
      </c>
      <c r="W16" s="626">
        <f>(Vout/Fsw-Vin*W15)/(Vin+Vout)</f>
        <v>7.892828231697389E-7</v>
      </c>
      <c r="X16" s="623" t="s">
        <v>1087</v>
      </c>
      <c r="Y16" s="623">
        <f>SQRT(Fsw*(M75*(I_0*I_1+((I_1-I_0)^2)/3)+M76*(I_1*I_2+((I_2-I_1)^2)/3)+M77*(I_2*I_0+((I_0-I_2)^2)/3)))</f>
        <v>11.595351287670583</v>
      </c>
      <c r="Z16" s="623"/>
    </row>
    <row r="17" spans="1:33" s="619" customFormat="1" x14ac:dyDescent="0.25">
      <c r="E17" s="619" t="s">
        <v>1076</v>
      </c>
      <c r="F17" s="619">
        <f t="shared" si="1"/>
        <v>60.035268488303586</v>
      </c>
      <c r="G17" s="619">
        <f t="shared" si="1"/>
        <v>26.256828603184545</v>
      </c>
      <c r="H17" s="619">
        <f t="shared" si="1"/>
        <v>13.707902908511874</v>
      </c>
      <c r="J17" s="620"/>
      <c r="K17" s="620"/>
      <c r="L17" s="620"/>
      <c r="M17" s="620"/>
      <c r="V17" s="623" t="s">
        <v>1088</v>
      </c>
      <c r="W17" s="626">
        <f>1/Fsw-(W15+W16)</f>
        <v>2.1485615953620123E-7</v>
      </c>
      <c r="X17" s="623"/>
      <c r="Y17" s="623"/>
      <c r="Z17" s="623"/>
    </row>
    <row r="18" spans="1:33" s="619" customFormat="1" x14ac:dyDescent="0.25">
      <c r="V18" s="623" t="s">
        <v>1089</v>
      </c>
      <c r="W18" s="626">
        <f>1/Fsw</f>
        <v>2.5125628140703519E-6</v>
      </c>
      <c r="X18" s="623"/>
      <c r="Y18" s="623"/>
      <c r="Z18" s="623"/>
    </row>
    <row r="20" spans="1:33" x14ac:dyDescent="0.25">
      <c r="A20" s="625"/>
      <c r="B20" s="625"/>
      <c r="C20" s="625"/>
      <c r="D20" s="625"/>
      <c r="E20" s="625"/>
    </row>
    <row r="21" spans="1:33" x14ac:dyDescent="0.25">
      <c r="A21" s="625"/>
      <c r="B21" s="625"/>
      <c r="C21" s="625"/>
      <c r="D21" s="625"/>
      <c r="E21" s="625"/>
    </row>
    <row r="22" spans="1:33" x14ac:dyDescent="0.25">
      <c r="A22" s="625"/>
      <c r="B22" s="625"/>
      <c r="C22" s="625"/>
      <c r="D22" s="625"/>
      <c r="E22" s="625"/>
    </row>
    <row r="23" spans="1:33" x14ac:dyDescent="0.25">
      <c r="A23" s="625"/>
      <c r="B23" s="625"/>
      <c r="C23" s="625"/>
      <c r="D23" s="625"/>
      <c r="E23" s="625"/>
    </row>
    <row r="24" spans="1:33" x14ac:dyDescent="0.25">
      <c r="A24" s="625"/>
      <c r="B24" s="625"/>
      <c r="C24" s="625"/>
      <c r="D24" s="625"/>
      <c r="E24" s="625"/>
      <c r="AC24" s="632" t="s">
        <v>1090</v>
      </c>
      <c r="AE24" s="632" t="s">
        <v>1052</v>
      </c>
      <c r="AG24" s="632" t="s">
        <v>1090</v>
      </c>
    </row>
    <row r="25" spans="1:33" x14ac:dyDescent="0.25">
      <c r="A25" s="625"/>
      <c r="B25" s="625"/>
      <c r="C25" s="625"/>
      <c r="D25" s="625"/>
      <c r="E25" s="625"/>
      <c r="AA25" s="632">
        <f>VIN_min</f>
        <v>6</v>
      </c>
      <c r="AB25" s="632">
        <f>VIN_min</f>
        <v>6</v>
      </c>
      <c r="AC25" s="632">
        <f>$F$5</f>
        <v>11.129272516082148</v>
      </c>
      <c r="AD25" s="632">
        <f>$F$4</f>
        <v>14.202821479064285</v>
      </c>
      <c r="AE25" s="632">
        <f>$F$2</f>
        <v>18.024587605875187</v>
      </c>
      <c r="AF25" s="632">
        <f>$F$3</f>
        <v>23.002401965633599</v>
      </c>
      <c r="AG25" s="632">
        <f>VIN_max</f>
        <v>36</v>
      </c>
    </row>
    <row r="26" spans="1:33" x14ac:dyDescent="0.25">
      <c r="A26" s="625"/>
      <c r="B26" s="625"/>
      <c r="C26" s="625"/>
      <c r="D26" s="625"/>
      <c r="E26" s="625"/>
      <c r="AA26" s="632">
        <f>$F$5</f>
        <v>11.129272516082148</v>
      </c>
      <c r="AB26" s="632">
        <f>AB25</f>
        <v>6</v>
      </c>
      <c r="AC26" s="632">
        <f>AC25-AB25</f>
        <v>5.129272516082148</v>
      </c>
      <c r="AD26" s="632">
        <f t="shared" ref="AD26:AG26" si="2">AD25-AC25</f>
        <v>3.0735489629821373</v>
      </c>
      <c r="AE26" s="632">
        <f t="shared" si="2"/>
        <v>3.8217661268109016</v>
      </c>
      <c r="AF26" s="632">
        <f t="shared" si="2"/>
        <v>4.9778143597584119</v>
      </c>
      <c r="AG26" s="632">
        <f t="shared" si="2"/>
        <v>12.997598034366401</v>
      </c>
    </row>
    <row r="27" spans="1:33" x14ac:dyDescent="0.25">
      <c r="A27" s="625"/>
      <c r="B27" s="625"/>
      <c r="C27" s="625"/>
      <c r="D27" s="625"/>
      <c r="E27" s="625"/>
      <c r="P27" s="633" t="s">
        <v>1091</v>
      </c>
      <c r="AA27" s="632">
        <f>$F$4</f>
        <v>14.202821479064285</v>
      </c>
    </row>
    <row r="28" spans="1:33" x14ac:dyDescent="0.25">
      <c r="A28" s="625"/>
      <c r="B28" s="625"/>
      <c r="C28" s="625"/>
      <c r="D28" s="625"/>
      <c r="E28" s="625"/>
      <c r="P28" s="634" t="s">
        <v>1090</v>
      </c>
      <c r="AA28" s="632">
        <f>$F$2</f>
        <v>18.024587605875187</v>
      </c>
    </row>
    <row r="29" spans="1:33" x14ac:dyDescent="0.25">
      <c r="A29" s="625"/>
      <c r="B29" s="625"/>
      <c r="C29" s="625"/>
      <c r="D29" s="625"/>
      <c r="E29" s="625"/>
      <c r="J29" s="635"/>
      <c r="K29" s="633" t="s">
        <v>1091</v>
      </c>
      <c r="L29" s="635"/>
      <c r="M29" s="623" t="s">
        <v>1092</v>
      </c>
      <c r="P29" s="636" t="s">
        <v>1093</v>
      </c>
      <c r="Q29" s="636">
        <v>16</v>
      </c>
      <c r="R29" s="636">
        <v>18</v>
      </c>
      <c r="AA29" s="632">
        <f>$F$3</f>
        <v>23.002401965633599</v>
      </c>
    </row>
    <row r="30" spans="1:33" x14ac:dyDescent="0.25">
      <c r="A30" s="625"/>
      <c r="B30" s="625"/>
      <c r="C30" s="625"/>
      <c r="D30" s="625"/>
      <c r="E30" s="625"/>
      <c r="J30" s="635"/>
      <c r="K30" s="635" t="s">
        <v>1094</v>
      </c>
      <c r="L30" s="635" t="s">
        <v>1095</v>
      </c>
      <c r="M30" s="623"/>
      <c r="AA30" s="632">
        <f>VIN_max</f>
        <v>36</v>
      </c>
    </row>
    <row r="31" spans="1:33" x14ac:dyDescent="0.25">
      <c r="A31" s="625"/>
      <c r="B31" s="625"/>
      <c r="C31" s="625"/>
      <c r="D31" s="625"/>
      <c r="E31" s="625"/>
      <c r="J31" s="635" t="s">
        <v>1096</v>
      </c>
      <c r="K31" s="635">
        <v>806.55840000000001</v>
      </c>
      <c r="L31" s="635"/>
      <c r="M31" s="623"/>
      <c r="P31" s="632" t="s">
        <v>1097</v>
      </c>
      <c r="Q31" s="632" t="s">
        <v>1098</v>
      </c>
    </row>
    <row r="32" spans="1:33" x14ac:dyDescent="0.25">
      <c r="A32" s="625"/>
      <c r="B32" s="625"/>
      <c r="C32" s="625"/>
      <c r="D32" s="625"/>
      <c r="E32" s="625"/>
      <c r="J32" s="635" t="s">
        <v>1085</v>
      </c>
      <c r="K32" s="635">
        <v>807.84619999999995</v>
      </c>
      <c r="L32" s="637">
        <f>(K32-K31)*1000*0.000000001</f>
        <v>1.2877999999999475E-6</v>
      </c>
      <c r="M32" s="626">
        <f>$F$11*0.000000001</f>
        <v>1.5084238313644118E-6</v>
      </c>
      <c r="O32" s="632" t="s">
        <v>1099</v>
      </c>
      <c r="P32" s="635">
        <v>14.09</v>
      </c>
      <c r="Q32" s="635">
        <f>P33-P32</f>
        <v>-1.8100000000000005</v>
      </c>
    </row>
    <row r="33" spans="1:18" x14ac:dyDescent="0.25">
      <c r="A33" s="625"/>
      <c r="B33" s="625"/>
      <c r="C33" s="625"/>
      <c r="D33" s="625"/>
      <c r="E33" s="625"/>
      <c r="J33" s="635" t="s">
        <v>1086</v>
      </c>
      <c r="K33" s="635">
        <v>808.32010000000002</v>
      </c>
      <c r="L33" s="637">
        <f>(K33-K32)*1000*0.000000001</f>
        <v>4.739000000000715E-7</v>
      </c>
      <c r="M33" s="626">
        <f>(Vout/Fsw-Vin*M32)/(Vin+Vout)</f>
        <v>7.892828231697389E-7</v>
      </c>
      <c r="O33" s="632" t="s">
        <v>1100</v>
      </c>
      <c r="P33" s="635">
        <v>12.28</v>
      </c>
      <c r="Q33" s="635">
        <f>P34-P33</f>
        <v>4.1100000000000012</v>
      </c>
    </row>
    <row r="34" spans="1:18" x14ac:dyDescent="0.25">
      <c r="A34" s="625"/>
      <c r="B34" s="625"/>
      <c r="C34" s="625"/>
      <c r="D34" s="625"/>
      <c r="E34" s="625"/>
      <c r="J34" s="635" t="s">
        <v>1088</v>
      </c>
      <c r="K34" s="635">
        <v>808.5702</v>
      </c>
      <c r="L34" s="637">
        <f>(K34-K33)*1000*0.000000001</f>
        <v>2.500999999999749E-7</v>
      </c>
      <c r="M34" s="626">
        <f>1/Fsw-(M32+M33)</f>
        <v>2.1485615953620123E-7</v>
      </c>
      <c r="O34" s="632" t="s">
        <v>1101</v>
      </c>
      <c r="P34" s="635">
        <v>16.39</v>
      </c>
      <c r="Q34" s="635">
        <f>P32-P34</f>
        <v>-2.3000000000000007</v>
      </c>
    </row>
    <row r="35" spans="1:18" x14ac:dyDescent="0.25">
      <c r="A35" s="625"/>
      <c r="B35" s="625"/>
      <c r="C35" s="625"/>
      <c r="D35" s="625"/>
      <c r="E35" s="625"/>
      <c r="J35" s="635" t="s">
        <v>1089</v>
      </c>
      <c r="K35" s="635"/>
      <c r="L35" s="637">
        <f>(K34-K31)*1000*0.000000001</f>
        <v>2.011799999999994E-6</v>
      </c>
      <c r="M35" s="626">
        <f>1/Fsw</f>
        <v>2.5125628140703519E-6</v>
      </c>
    </row>
    <row r="36" spans="1:18" x14ac:dyDescent="0.25">
      <c r="A36" s="625"/>
      <c r="B36" s="625"/>
      <c r="C36" s="625"/>
      <c r="D36" s="625"/>
      <c r="E36" s="625"/>
      <c r="J36" s="635"/>
      <c r="K36" s="635"/>
      <c r="L36" s="635"/>
      <c r="M36" s="623"/>
    </row>
    <row r="37" spans="1:18" x14ac:dyDescent="0.25">
      <c r="J37" s="635"/>
      <c r="K37" s="635"/>
      <c r="L37" s="635"/>
      <c r="M37" s="623"/>
      <c r="P37" s="634" t="s">
        <v>1102</v>
      </c>
    </row>
    <row r="38" spans="1:18" x14ac:dyDescent="0.25">
      <c r="J38" s="635"/>
      <c r="K38" s="635"/>
      <c r="L38" s="635"/>
      <c r="M38" s="623"/>
      <c r="P38" s="636" t="s">
        <v>1093</v>
      </c>
      <c r="Q38" s="636">
        <v>20</v>
      </c>
      <c r="R38" s="636">
        <v>18</v>
      </c>
    </row>
    <row r="39" spans="1:18" x14ac:dyDescent="0.25">
      <c r="J39" s="635" t="s">
        <v>1096</v>
      </c>
      <c r="K39" s="635">
        <v>1082.558</v>
      </c>
      <c r="L39" s="635"/>
      <c r="M39" s="623"/>
      <c r="P39" s="632" t="s">
        <v>1097</v>
      </c>
      <c r="Q39" s="632" t="s">
        <v>1098</v>
      </c>
    </row>
    <row r="40" spans="1:18" x14ac:dyDescent="0.25">
      <c r="J40" s="635" t="s">
        <v>1085</v>
      </c>
      <c r="K40" s="635">
        <v>1083.8409999999999</v>
      </c>
      <c r="L40" s="637">
        <f>(K40-K39)*1000*0.000000001</f>
        <v>1.2829999999999018E-6</v>
      </c>
      <c r="M40" s="626">
        <f>$F$11*0.000000001</f>
        <v>1.5084238313644118E-6</v>
      </c>
      <c r="O40" s="632" t="s">
        <v>1099</v>
      </c>
      <c r="P40" s="635">
        <v>10.997199999999999</v>
      </c>
      <c r="Q40" s="635">
        <f>P41-P40</f>
        <v>1.0903000000000009</v>
      </c>
    </row>
    <row r="41" spans="1:18" x14ac:dyDescent="0.25">
      <c r="J41" s="635" t="s">
        <v>1086</v>
      </c>
      <c r="K41" s="635">
        <v>1084.136</v>
      </c>
      <c r="L41" s="637">
        <f>(K41-K40)*1000*0.000000001</f>
        <v>2.9500000000007277E-7</v>
      </c>
      <c r="M41" s="626">
        <f>(Vout/Fsw-Vin*M40)/(Vin+Vout)</f>
        <v>7.892828231697389E-7</v>
      </c>
      <c r="O41" s="632" t="s">
        <v>1100</v>
      </c>
      <c r="P41" s="635">
        <v>12.0875</v>
      </c>
      <c r="Q41" s="635">
        <f>P42-P41</f>
        <v>3.2568000000000001</v>
      </c>
    </row>
    <row r="42" spans="1:18" x14ac:dyDescent="0.25">
      <c r="J42" s="635" t="s">
        <v>1088</v>
      </c>
      <c r="K42" s="635">
        <v>1084.558</v>
      </c>
      <c r="L42" s="637">
        <f>(K42-K41)*1000*0.000000001</f>
        <v>4.2200000000002551E-7</v>
      </c>
      <c r="M42" s="626">
        <f>1/Fsw-(M40+M41)</f>
        <v>2.1485615953620123E-7</v>
      </c>
      <c r="O42" s="632" t="s">
        <v>1101</v>
      </c>
      <c r="P42" s="635">
        <v>15.3443</v>
      </c>
      <c r="Q42" s="635">
        <f>P40-P42</f>
        <v>-4.3471000000000011</v>
      </c>
    </row>
    <row r="43" spans="1:18" x14ac:dyDescent="0.25">
      <c r="J43" s="635" t="s">
        <v>1089</v>
      </c>
      <c r="K43" s="635"/>
      <c r="L43" s="637">
        <f>(K42-K39)*1000*0.000000001</f>
        <v>2.0000000000000003E-6</v>
      </c>
      <c r="M43" s="626">
        <f>1/Fsw</f>
        <v>2.5125628140703519E-6</v>
      </c>
    </row>
    <row r="45" spans="1:18" x14ac:dyDescent="0.25">
      <c r="D45" s="632" t="s">
        <v>1103</v>
      </c>
    </row>
    <row r="46" spans="1:18" x14ac:dyDescent="0.25">
      <c r="D46" s="632" t="s">
        <v>1104</v>
      </c>
    </row>
    <row r="54" spans="10:18" x14ac:dyDescent="0.25">
      <c r="P54" s="634" t="s">
        <v>1102</v>
      </c>
    </row>
    <row r="55" spans="10:18" x14ac:dyDescent="0.25">
      <c r="J55" s="635" t="s">
        <v>1096</v>
      </c>
      <c r="K55" s="635">
        <v>806.55840000000001</v>
      </c>
      <c r="L55" s="635"/>
      <c r="M55" s="623"/>
      <c r="P55" s="636" t="s">
        <v>1093</v>
      </c>
      <c r="Q55" s="636">
        <v>16</v>
      </c>
      <c r="R55" s="636">
        <v>14</v>
      </c>
    </row>
    <row r="56" spans="10:18" x14ac:dyDescent="0.25">
      <c r="J56" s="635" t="s">
        <v>1085</v>
      </c>
      <c r="K56" s="635">
        <v>807.84619999999995</v>
      </c>
      <c r="L56" s="637">
        <f>(K56-K55)*1000*0.000000001</f>
        <v>1.2877999999999475E-6</v>
      </c>
      <c r="M56" s="626">
        <f>$F$11*0.000000001</f>
        <v>1.5084238313644118E-6</v>
      </c>
      <c r="P56" s="632" t="s">
        <v>1097</v>
      </c>
      <c r="Q56" s="632" t="s">
        <v>1098</v>
      </c>
    </row>
    <row r="57" spans="10:18" x14ac:dyDescent="0.25">
      <c r="J57" s="635" t="s">
        <v>1086</v>
      </c>
      <c r="K57" s="635">
        <v>808.11800000000005</v>
      </c>
      <c r="L57" s="637">
        <f>(K57-K56)*1000*0.000000001</f>
        <v>2.718000000000984E-7</v>
      </c>
      <c r="M57" s="638">
        <f>(Vout/Fsw-Vin*M56)/(Vin+Vout)</f>
        <v>7.892828231697389E-7</v>
      </c>
      <c r="O57" s="632" t="s">
        <v>1099</v>
      </c>
      <c r="P57" s="635">
        <v>10.92</v>
      </c>
      <c r="Q57" s="635">
        <f>P58-P57</f>
        <v>1.1500000000000004</v>
      </c>
    </row>
    <row r="58" spans="10:18" x14ac:dyDescent="0.25">
      <c r="J58" s="635" t="s">
        <v>1088</v>
      </c>
      <c r="K58" s="635">
        <v>808.5702</v>
      </c>
      <c r="L58" s="637">
        <f>(K58-K57)*1000*0.000000001</f>
        <v>4.52199999999948E-7</v>
      </c>
      <c r="M58" s="638">
        <f>1/Fsw-(M56+M57)</f>
        <v>2.1485615953620123E-7</v>
      </c>
      <c r="O58" s="632" t="s">
        <v>1100</v>
      </c>
      <c r="P58" s="635">
        <v>12.07</v>
      </c>
      <c r="Q58" s="635">
        <f>P59-P58</f>
        <v>2.33</v>
      </c>
    </row>
    <row r="59" spans="10:18" x14ac:dyDescent="0.25">
      <c r="J59" s="635" t="s">
        <v>1105</v>
      </c>
      <c r="K59" s="635"/>
      <c r="L59" s="637">
        <f>(K58-K55)*1000*0.000000001</f>
        <v>2.011799999999994E-6</v>
      </c>
      <c r="M59" s="638">
        <f>1/Fsw</f>
        <v>2.5125628140703519E-6</v>
      </c>
      <c r="O59" s="632" t="s">
        <v>1101</v>
      </c>
      <c r="P59" s="635">
        <v>14.4</v>
      </c>
      <c r="Q59" s="635">
        <f>P57-P59</f>
        <v>-3.4800000000000004</v>
      </c>
    </row>
    <row r="69" spans="6:13" x14ac:dyDescent="0.25">
      <c r="F69" s="632" t="s">
        <v>1106</v>
      </c>
    </row>
    <row r="71" spans="6:13" x14ac:dyDescent="0.25">
      <c r="F71" s="632" t="s">
        <v>1107</v>
      </c>
    </row>
    <row r="72" spans="6:13" x14ac:dyDescent="0.25">
      <c r="F72" s="632" t="s">
        <v>1108</v>
      </c>
    </row>
    <row r="74" spans="6:13" x14ac:dyDescent="0.25">
      <c r="F74" s="632" t="s">
        <v>1109</v>
      </c>
      <c r="L74" s="632" t="s">
        <v>1110</v>
      </c>
    </row>
    <row r="75" spans="6:13" x14ac:dyDescent="0.25">
      <c r="F75" s="632" t="s">
        <v>1111</v>
      </c>
      <c r="K75" s="638"/>
      <c r="L75" s="635" t="s">
        <v>1085</v>
      </c>
      <c r="M75" s="626">
        <f>$F$11*0.000000001</f>
        <v>1.5084238313644118E-6</v>
      </c>
    </row>
    <row r="76" spans="6:13" x14ac:dyDescent="0.25">
      <c r="F76" s="632" t="s">
        <v>1112</v>
      </c>
      <c r="L76" s="635" t="s">
        <v>1086</v>
      </c>
      <c r="M76" s="638">
        <f>(Vout/Fsw-Vin*M75)/(Vin+Vout)</f>
        <v>7.892828231697389E-7</v>
      </c>
    </row>
    <row r="77" spans="6:13" x14ac:dyDescent="0.25">
      <c r="F77" s="632" t="s">
        <v>1113</v>
      </c>
      <c r="L77" s="635" t="s">
        <v>1088</v>
      </c>
      <c r="M77" s="638">
        <f>1/Fsw-(M75+M76)</f>
        <v>2.1485615953620123E-7</v>
      </c>
    </row>
    <row r="78" spans="6:13" x14ac:dyDescent="0.25">
      <c r="F78" s="632" t="s">
        <v>1114</v>
      </c>
      <c r="L78" s="635" t="s">
        <v>1105</v>
      </c>
      <c r="M78" s="638">
        <f>1/Fsw</f>
        <v>2.5125628140703519E-6</v>
      </c>
    </row>
    <row r="79" spans="6:13" x14ac:dyDescent="0.25">
      <c r="F79" s="632" t="s">
        <v>1115</v>
      </c>
    </row>
    <row r="80" spans="6:13" x14ac:dyDescent="0.25">
      <c r="F80" s="632" t="s">
        <v>1116</v>
      </c>
      <c r="K80" s="638"/>
    </row>
    <row r="94" spans="6:6" x14ac:dyDescent="0.25">
      <c r="F94" s="632" t="s">
        <v>1117</v>
      </c>
    </row>
    <row r="96" spans="6:6" x14ac:dyDescent="0.25">
      <c r="F96" s="632" t="s">
        <v>1118</v>
      </c>
    </row>
  </sheetData>
  <phoneticPr fontId="107"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29DB0-7412-4C3B-8D79-FD63F08FD064}">
  <sheetPr codeName="Sheet22">
    <tabColor rgb="FF92D050"/>
  </sheetPr>
  <dimension ref="A1:CN235"/>
  <sheetViews>
    <sheetView topLeftCell="BD1" zoomScale="91" zoomScaleNormal="91" workbookViewId="0">
      <pane ySplit="8" topLeftCell="A9" activePane="bottomLeft" state="frozen"/>
      <selection activeCell="B31" sqref="A31:B31"/>
      <selection pane="bottomLeft" activeCell="BH20" sqref="BH20"/>
    </sheetView>
  </sheetViews>
  <sheetFormatPr defaultColWidth="9.125" defaultRowHeight="12.9" x14ac:dyDescent="0.2"/>
  <cols>
    <col min="1" max="1" width="19.875" style="253" customWidth="1"/>
    <col min="2" max="2" width="13.125" style="253" bestFit="1" customWidth="1"/>
    <col min="3" max="3" width="9.125" style="253"/>
    <col min="4" max="4" width="71.625" style="253" customWidth="1"/>
    <col min="5" max="5" width="9.125" style="253"/>
    <col min="6" max="6" width="9.125" style="253" customWidth="1"/>
    <col min="7" max="7" width="6.875" style="253" customWidth="1"/>
    <col min="8" max="8" width="9.125" style="283"/>
    <col min="9" max="9" width="11" style="253" customWidth="1"/>
    <col min="10" max="10" width="12.125" style="253" customWidth="1"/>
    <col min="11" max="11" width="6.25" style="253" customWidth="1"/>
    <col min="12" max="12" width="7.125" style="253" customWidth="1"/>
    <col min="13" max="15" width="11.625" style="253" bestFit="1" customWidth="1"/>
    <col min="16" max="18" width="7.125" style="253" customWidth="1"/>
    <col min="19" max="19" width="8.25" style="253" customWidth="1"/>
    <col min="20" max="20" width="28" style="345" customWidth="1"/>
    <col min="21" max="21" width="29.25" style="345" customWidth="1"/>
    <col min="22" max="22" width="21.125" style="292" customWidth="1"/>
    <col min="23" max="23" width="8.875" style="292" customWidth="1"/>
    <col min="24" max="24" width="13.25" style="639" customWidth="1"/>
    <col min="25" max="25" width="11.875" style="253" customWidth="1"/>
    <col min="26" max="26" width="19.875" style="253" customWidth="1"/>
    <col min="27" max="27" width="11.375" style="292" customWidth="1"/>
    <col min="28" max="28" width="16.25" style="253" customWidth="1"/>
    <col min="29" max="29" width="16.75" style="253" customWidth="1"/>
    <col min="30" max="30" width="10.125" style="639" customWidth="1"/>
    <col min="31" max="31" width="14.875" style="253" customWidth="1"/>
    <col min="32" max="32" width="15.375" style="253" customWidth="1"/>
    <col min="33" max="33" width="8.625" style="253" customWidth="1"/>
    <col min="34" max="34" width="15.125" style="253" customWidth="1"/>
    <col min="35" max="35" width="16.375" style="253" customWidth="1"/>
    <col min="36" max="36" width="17.25" style="253" customWidth="1"/>
    <col min="37" max="37" width="27.25" style="253" customWidth="1"/>
    <col min="38" max="38" width="8.875" style="253" customWidth="1"/>
    <col min="39" max="39" width="16.125" style="253" customWidth="1"/>
    <col min="40" max="40" width="15.75" style="253" customWidth="1"/>
    <col min="41" max="41" width="25" style="253" customWidth="1"/>
    <col min="42" max="42" width="8.625" style="253" customWidth="1"/>
    <col min="43" max="43" width="16.125" style="253" customWidth="1"/>
    <col min="44" max="44" width="17.375" style="253" customWidth="1"/>
    <col min="45" max="45" width="18.25" style="253" customWidth="1"/>
    <col min="46" max="46" width="28.25" style="253" customWidth="1"/>
    <col min="47" max="47" width="8.875" style="253" customWidth="1"/>
    <col min="48" max="48" width="17.125" style="253" customWidth="1"/>
    <col min="49" max="49" width="17.75" style="253" customWidth="1"/>
    <col min="50" max="50" width="27" style="253" customWidth="1"/>
    <col min="51" max="51" width="32.375" style="639" customWidth="1"/>
    <col min="52" max="52" width="17.75" style="253" customWidth="1"/>
    <col min="53" max="54" width="23.625" style="639" customWidth="1"/>
    <col min="55" max="55" width="19" style="253" customWidth="1"/>
    <col min="56" max="56" width="16.75" style="253" customWidth="1"/>
    <col min="57" max="57" width="9.625" style="253" customWidth="1"/>
    <col min="58" max="58" width="23.625" style="253" customWidth="1"/>
    <col min="59" max="59" width="23.125" style="253" customWidth="1"/>
    <col min="60" max="60" width="14.25" style="253" customWidth="1"/>
    <col min="61" max="61" width="12" style="292" customWidth="1"/>
    <col min="62" max="62" width="7.25" style="253" customWidth="1"/>
    <col min="63" max="63" width="10.125" style="640" customWidth="1"/>
    <col min="64" max="64" width="23.125" style="641" customWidth="1"/>
    <col min="65" max="65" width="20.875" style="641" customWidth="1"/>
    <col min="66" max="66" width="11.625" style="253" customWidth="1"/>
    <col min="67" max="67" width="9.25" style="345" customWidth="1"/>
    <col min="68" max="68" width="24.75" style="639" customWidth="1"/>
    <col min="69" max="69" width="20.125" style="639" customWidth="1"/>
    <col min="70" max="73" width="27" style="639" customWidth="1"/>
    <col min="74" max="74" width="20.25" style="253" customWidth="1"/>
    <col min="75" max="77" width="9.125" style="253"/>
    <col min="78" max="78" width="28.375" style="253" customWidth="1"/>
    <col min="79" max="80" width="9.125" style="253"/>
    <col min="81" max="81" width="12.375" style="253" bestFit="1" customWidth="1"/>
    <col min="82" max="16384" width="9.125" style="253"/>
  </cols>
  <sheetData>
    <row r="1" spans="1:92" ht="12.75" customHeight="1" x14ac:dyDescent="0.2">
      <c r="A1" s="763" t="s">
        <v>783</v>
      </c>
      <c r="B1" s="763"/>
      <c r="C1" s="763"/>
      <c r="D1" s="763"/>
    </row>
    <row r="2" spans="1:92" ht="12.75" customHeight="1" x14ac:dyDescent="0.2">
      <c r="A2" s="763"/>
      <c r="B2" s="763"/>
      <c r="C2" s="763"/>
      <c r="D2" s="763"/>
      <c r="H2" s="642">
        <f>BK9</f>
        <v>0.90269434259229264</v>
      </c>
      <c r="I2" s="253" t="s">
        <v>809</v>
      </c>
    </row>
    <row r="3" spans="1:92" ht="12.75" customHeight="1" x14ac:dyDescent="0.2">
      <c r="A3" s="763"/>
      <c r="B3" s="763"/>
      <c r="C3" s="763"/>
      <c r="D3" s="763"/>
      <c r="H3" s="642">
        <f>BK109</f>
        <v>0.93770152033392795</v>
      </c>
      <c r="I3" s="253" t="s">
        <v>811</v>
      </c>
    </row>
    <row r="4" spans="1:92" ht="12.75" customHeight="1" x14ac:dyDescent="0.2">
      <c r="A4" s="763"/>
      <c r="B4" s="763"/>
      <c r="C4" s="763"/>
      <c r="D4" s="763"/>
      <c r="H4" s="642">
        <f>BK209</f>
        <v>0.91582568815150267</v>
      </c>
      <c r="I4" s="253" t="s">
        <v>810</v>
      </c>
    </row>
    <row r="5" spans="1:92" ht="13.6" x14ac:dyDescent="0.25">
      <c r="A5" s="643"/>
      <c r="B5" s="644"/>
      <c r="C5" s="645"/>
      <c r="D5" s="645"/>
    </row>
    <row r="6" spans="1:92" ht="13.6" customHeight="1" thickBot="1" x14ac:dyDescent="0.25">
      <c r="A6" s="764" t="s">
        <v>609</v>
      </c>
      <c r="B6" s="764"/>
      <c r="C6" s="764"/>
      <c r="D6" s="764"/>
      <c r="CE6" s="253">
        <v>80</v>
      </c>
      <c r="CF6" s="253">
        <v>100</v>
      </c>
      <c r="CG6" s="253">
        <v>120</v>
      </c>
      <c r="CH6" s="253">
        <v>140</v>
      </c>
      <c r="CI6" s="253">
        <v>160</v>
      </c>
      <c r="CJ6" s="253">
        <v>180</v>
      </c>
      <c r="CK6" s="253">
        <v>20</v>
      </c>
      <c r="CL6" s="253">
        <v>30</v>
      </c>
      <c r="CM6" s="253">
        <v>40</v>
      </c>
      <c r="CN6" s="253">
        <v>50</v>
      </c>
    </row>
    <row r="7" spans="1:92" ht="14.3" thickBot="1" x14ac:dyDescent="0.3">
      <c r="A7" s="764"/>
      <c r="B7" s="764"/>
      <c r="C7" s="764"/>
      <c r="D7" s="764"/>
      <c r="G7" s="760" t="s">
        <v>795</v>
      </c>
      <c r="H7" s="761"/>
      <c r="I7" s="761"/>
      <c r="J7" s="761"/>
      <c r="K7" s="761"/>
      <c r="L7" s="761"/>
      <c r="M7" s="761"/>
      <c r="N7" s="761"/>
      <c r="O7" s="761"/>
      <c r="P7" s="761"/>
      <c r="Q7" s="761"/>
      <c r="R7" s="761"/>
      <c r="S7" s="761"/>
      <c r="T7" s="761"/>
      <c r="U7" s="761"/>
      <c r="V7" s="762"/>
      <c r="W7" s="760" t="s">
        <v>621</v>
      </c>
      <c r="X7" s="761"/>
      <c r="Y7" s="761"/>
      <c r="Z7" s="762"/>
      <c r="AA7" s="765" t="s">
        <v>27</v>
      </c>
      <c r="AB7" s="766"/>
      <c r="AC7" s="767"/>
      <c r="AD7" s="760" t="s">
        <v>61</v>
      </c>
      <c r="AE7" s="761"/>
      <c r="AF7" s="762"/>
      <c r="AG7" s="760" t="s">
        <v>790</v>
      </c>
      <c r="AH7" s="761"/>
      <c r="AI7" s="761"/>
      <c r="AJ7" s="761"/>
      <c r="AK7" s="762"/>
      <c r="AL7" s="760" t="s">
        <v>791</v>
      </c>
      <c r="AM7" s="761"/>
      <c r="AN7" s="761"/>
      <c r="AO7" s="762"/>
      <c r="AP7" s="760" t="s">
        <v>792</v>
      </c>
      <c r="AQ7" s="761"/>
      <c r="AR7" s="761"/>
      <c r="AS7" s="761"/>
      <c r="AT7" s="762"/>
      <c r="AU7" s="760" t="s">
        <v>793</v>
      </c>
      <c r="AV7" s="761"/>
      <c r="AW7" s="761"/>
      <c r="AX7" s="762"/>
      <c r="AY7" s="646" t="s">
        <v>785</v>
      </c>
      <c r="AZ7" s="647" t="s">
        <v>233</v>
      </c>
      <c r="BA7" s="648" t="s">
        <v>595</v>
      </c>
      <c r="BB7" s="648" t="s">
        <v>595</v>
      </c>
      <c r="BC7" s="649" t="s">
        <v>639</v>
      </c>
      <c r="BD7" s="649" t="s">
        <v>636</v>
      </c>
      <c r="BE7" s="769" t="s">
        <v>627</v>
      </c>
      <c r="BF7" s="770"/>
      <c r="BG7" s="770"/>
      <c r="BH7" s="771"/>
      <c r="BI7" s="760" t="s">
        <v>634</v>
      </c>
      <c r="BJ7" s="761"/>
      <c r="BK7" s="761"/>
      <c r="BL7" s="761"/>
      <c r="BM7" s="761"/>
      <c r="BN7" s="650"/>
      <c r="BO7" s="768" t="s">
        <v>635</v>
      </c>
      <c r="BP7" s="768"/>
      <c r="BQ7" s="768"/>
      <c r="BR7" s="768"/>
      <c r="BS7" s="768"/>
      <c r="BT7" s="768"/>
      <c r="BU7" s="768"/>
      <c r="BV7" s="768"/>
    </row>
    <row r="8" spans="1:92" ht="31.25" thickBot="1" x14ac:dyDescent="0.55000000000000004">
      <c r="A8" s="651" t="s">
        <v>110</v>
      </c>
      <c r="B8" s="651"/>
      <c r="C8" s="651"/>
      <c r="D8" s="645"/>
      <c r="G8" s="652" t="s">
        <v>57</v>
      </c>
      <c r="H8" s="653" t="s">
        <v>4</v>
      </c>
      <c r="I8" s="654" t="s">
        <v>794</v>
      </c>
      <c r="J8" s="654" t="s">
        <v>796</v>
      </c>
      <c r="K8" s="655" t="s">
        <v>6</v>
      </c>
      <c r="L8" s="655" t="s">
        <v>376</v>
      </c>
      <c r="M8" s="655" t="s">
        <v>1119</v>
      </c>
      <c r="N8" s="655" t="s">
        <v>1120</v>
      </c>
      <c r="O8" s="655" t="s">
        <v>1121</v>
      </c>
      <c r="P8" s="655" t="s">
        <v>1078</v>
      </c>
      <c r="Q8" s="655" t="s">
        <v>1080</v>
      </c>
      <c r="R8" s="655" t="s">
        <v>1081</v>
      </c>
      <c r="S8" s="655" t="s">
        <v>799</v>
      </c>
      <c r="T8" s="656" t="s">
        <v>798</v>
      </c>
      <c r="U8" s="657" t="s">
        <v>797</v>
      </c>
      <c r="V8" s="658" t="s">
        <v>622</v>
      </c>
      <c r="W8" s="659" t="s">
        <v>789</v>
      </c>
      <c r="X8" s="660" t="s">
        <v>90</v>
      </c>
      <c r="Y8" s="655" t="s">
        <v>788</v>
      </c>
      <c r="Z8" s="661" t="s">
        <v>669</v>
      </c>
      <c r="AA8" s="659" t="s">
        <v>624</v>
      </c>
      <c r="AB8" s="662" t="s">
        <v>623</v>
      </c>
      <c r="AC8" s="661" t="s">
        <v>668</v>
      </c>
      <c r="AD8" s="663" t="s">
        <v>625</v>
      </c>
      <c r="AE8" s="655" t="s">
        <v>626</v>
      </c>
      <c r="AF8" s="661" t="s">
        <v>666</v>
      </c>
      <c r="AG8" s="652" t="s">
        <v>1122</v>
      </c>
      <c r="AH8" s="655" t="s">
        <v>1123</v>
      </c>
      <c r="AI8" s="655" t="s">
        <v>1124</v>
      </c>
      <c r="AJ8" s="664" t="s">
        <v>1125</v>
      </c>
      <c r="AK8" s="661" t="s">
        <v>1126</v>
      </c>
      <c r="AL8" s="652" t="s">
        <v>1127</v>
      </c>
      <c r="AM8" s="655" t="s">
        <v>1128</v>
      </c>
      <c r="AN8" s="655" t="s">
        <v>1129</v>
      </c>
      <c r="AO8" s="665" t="s">
        <v>1130</v>
      </c>
      <c r="AP8" s="652" t="s">
        <v>1131</v>
      </c>
      <c r="AQ8" s="655" t="s">
        <v>1132</v>
      </c>
      <c r="AR8" s="655" t="s">
        <v>1133</v>
      </c>
      <c r="AS8" s="664" t="s">
        <v>1134</v>
      </c>
      <c r="AT8" s="661" t="s">
        <v>1135</v>
      </c>
      <c r="AU8" s="652" t="s">
        <v>1136</v>
      </c>
      <c r="AV8" s="655" t="s">
        <v>1137</v>
      </c>
      <c r="AW8" s="655" t="s">
        <v>1138</v>
      </c>
      <c r="AX8" s="665" t="s">
        <v>1139</v>
      </c>
      <c r="AY8" s="660" t="s">
        <v>784</v>
      </c>
      <c r="AZ8" s="661" t="s">
        <v>1043</v>
      </c>
      <c r="BA8" s="666" t="s">
        <v>1044</v>
      </c>
      <c r="BB8" s="666" t="s">
        <v>1045</v>
      </c>
      <c r="BC8" s="667" t="s">
        <v>638</v>
      </c>
      <c r="BD8" s="667" t="s">
        <v>637</v>
      </c>
      <c r="BE8" s="668" t="s">
        <v>629</v>
      </c>
      <c r="BF8" s="669" t="s">
        <v>164</v>
      </c>
      <c r="BG8" s="670" t="s">
        <v>235</v>
      </c>
      <c r="BH8" s="671" t="s">
        <v>628</v>
      </c>
      <c r="BI8" s="672" t="s">
        <v>58</v>
      </c>
      <c r="BJ8" s="655" t="s">
        <v>358</v>
      </c>
      <c r="BK8" s="673" t="s">
        <v>631</v>
      </c>
      <c r="BL8" s="674" t="s">
        <v>786</v>
      </c>
      <c r="BM8" s="674" t="s">
        <v>787</v>
      </c>
      <c r="BN8" s="253" t="s">
        <v>927</v>
      </c>
      <c r="BO8" s="675" t="s">
        <v>630</v>
      </c>
      <c r="BP8" s="676" t="s">
        <v>667</v>
      </c>
      <c r="BQ8" s="676" t="s">
        <v>800</v>
      </c>
      <c r="BR8" s="676" t="s">
        <v>928</v>
      </c>
      <c r="BS8" s="676" t="s">
        <v>929</v>
      </c>
      <c r="BT8" s="676" t="s">
        <v>1037</v>
      </c>
      <c r="BU8" s="676" t="s">
        <v>1038</v>
      </c>
      <c r="BV8" s="676" t="s">
        <v>765</v>
      </c>
      <c r="BW8" s="677"/>
      <c r="CC8" s="253" t="s">
        <v>130</v>
      </c>
      <c r="CE8" s="253" t="s">
        <v>122</v>
      </c>
      <c r="CF8" s="253" t="s">
        <v>123</v>
      </c>
      <c r="CG8" s="253" t="s">
        <v>124</v>
      </c>
      <c r="CH8" s="253" t="s">
        <v>125</v>
      </c>
      <c r="CI8" s="253" t="s">
        <v>126</v>
      </c>
      <c r="CJ8" s="253" t="s">
        <v>127</v>
      </c>
      <c r="CK8" s="253" t="s">
        <v>131</v>
      </c>
      <c r="CL8" s="253" t="s">
        <v>132</v>
      </c>
      <c r="CM8" s="253" t="s">
        <v>133</v>
      </c>
      <c r="CN8" s="253" t="s">
        <v>134</v>
      </c>
    </row>
    <row r="9" spans="1:92" ht="13.6" x14ac:dyDescent="0.25">
      <c r="A9" s="678" t="s">
        <v>59</v>
      </c>
      <c r="B9" s="679" t="s">
        <v>113</v>
      </c>
      <c r="C9" s="680" t="s">
        <v>80</v>
      </c>
      <c r="D9" s="681" t="s">
        <v>109</v>
      </c>
      <c r="G9" s="253">
        <v>0</v>
      </c>
      <c r="H9" s="286">
        <f>VIN_min+(VIN_max-VIN_min)*(Table16[[#This Row],[Step]]/200)</f>
        <v>6</v>
      </c>
      <c r="I9" s="292" t="str">
        <f>IF(Mode = 2,IF(Table16[[#This Row],[Vin]]&gt;Vout, "BUCK","BOOST"),IF(Table16[[#This Row],[Vin]]&gt;VIN_BB_to_buck, "BUCK", IF(Table16[[#This Row],[Vin]]&lt;=VIN_boost_to_BB,"BOOST","BUCK-BST")))</f>
        <v>BOOST</v>
      </c>
      <c r="J9" s="253">
        <f>IF(Table16[[#This Row],[Mode]]="BOOST",2, IF(Table16[[#This Row],[Mode]]="BUCK", 1,3))</f>
        <v>2</v>
      </c>
      <c r="K9" s="253">
        <f t="shared" ref="K9:K72" si="0">Iout</f>
        <v>8</v>
      </c>
      <c r="L9" s="292">
        <f>Vout*Table16[[#This Row],[Iout]]/(Table16[[#This Row],[Vin]]*Efficiency)</f>
        <v>22.456140350877195</v>
      </c>
      <c r="M9" s="682">
        <f>MIN(1/Fsw,CHOOSE(Table16[[#This Row],[Mode Digit]],(Vout+(Rdson2+Rs+Rdcr)*Table16[[#This Row],[Iout]])/(Table16[[#This Row],[Vin]]+(Rs+Rdson2-Rdson1)*Table16[[#This Row],[Iout]])/Fsw,(Vout+(Rdson3+Rdcr)*Table16[[#This Row],[Iin]]-Table16[[#This Row],[Vin]])/(Vout+(Rdson3-Rdson4-Rs)*Table16[[#This Row],[Iin]])/Fsw,t1_Ph_II))</f>
        <v>1.5968922933000208E-6</v>
      </c>
      <c r="N9" s="518">
        <f>CHOOSE(Table16[[#This Row],[Mode Digit]],1/Fsw-Table16[[#This Row],[t1_Ph_II]],1/Fsw-Table16[[#This Row],[t1_Ph_II]],(Vout/Fsw-Table16[[#This Row],[Vin]]*t1_Ph_II)/(Table16[[#This Row],[Vin]]+Vout))</f>
        <v>9.1567052077033112E-7</v>
      </c>
      <c r="O9" s="518">
        <f>1/Fsw-(Table16[[#This Row],[t1_Ph_II]]+Table16[[#This Row],[t2_Ph_I]])</f>
        <v>0</v>
      </c>
      <c r="P9"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19.794653195377162</v>
      </c>
      <c r="Q9" s="292">
        <f>CHOOSE(Table16[[#This Row],[Mode Digit]],Table16[[#This Row],[I_0]]+1/Lf*(Table16[[#This Row],[Vin]]-Vout)*Table16[[#This Row],[t1_Ph_II]],Table16[[#This Row],[I_0]]+1/Lf*Table16[[#This Row],[Vin]]*Table16[[#This Row],[t1_Ph_II]],Table16[[#This Row],[I_0]]+(Table16[[#This Row],[Vin]]-Vout)/L*Table16[[#This Row],[t1_Ph_II]])</f>
        <v>25.117627506377232</v>
      </c>
      <c r="R9" s="292">
        <f>CHOOSE(Table16[[#This Row],[Mode Digit]],0,0,Table16[[#This Row],[I_1]]+Table16[[#This Row],[Vin]]/L*Table16[[#This Row],[t2_Ph_I]])</f>
        <v>0</v>
      </c>
      <c r="S9" s="292">
        <f>Fsw*(Table16[[#This Row],[I_0]]*Table16[[#This Row],[t1_Ph_II]]+Table16[[#This Row],[I_1]]*Table16[[#This Row],[t2_Ph_I]]+Table16[[#This Row],[I_2]]*Table16[[#This Row],[t3_Ph_III]])</f>
        <v>21.734541277818572</v>
      </c>
      <c r="T9" s="345">
        <f>MIN(1,CHOOSE(Table16[[#This Row],[Mode Digit]],(Vout+(Rdson2+Rs+Rdcr)*Table16[[#This Row],[Iout]])/(Table16[[#This Row],[Vin]]+(Rs+Rdson2-Rdson1)*Table16[[#This Row],[Iout]]),1,Fsw*Table16[[#This Row],[t2_Ph_I]]+Table16[[#This Row],[t1_Ph_II]]))</f>
        <v>1</v>
      </c>
      <c r="U9" s="345">
        <f>MIN(1,CHOOSE(Table16[[#This Row],[Mode Digit]],0,(Vout+(Rdson3+Rdcr)*Table16[[#This Row],[Iin]]-Table16[[#This Row],[Vin]])/(Vout+(Rdson3-Rdson4-Rs)*Table16[[#This Row],[Iin]]),Fsw*Table16[[#This Row],[t1_Ph_II]]+Table16[[#This Row],[t3_Ph_III]]))</f>
        <v>0.63556313273340825</v>
      </c>
      <c r="V9" s="292">
        <f>MAX(Table16[[#This Row],[I_0]:[I_2]])-MIN(Table16[[#This Row],[I_0]:[I_1]])</f>
        <v>5.3229743110000705</v>
      </c>
      <c r="W9"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22.508651908794072</v>
      </c>
      <c r="X9" s="345">
        <f>(Table16[[#This Row],[Irms Lf]]^2*Rdcr*(1+Ltc*Ta-Ltc*25))/(1-Table16[[#This Row],[Irms Lf]]^2*Rdcr*Ltc*ThetaCa)</f>
        <v>1.8628582504180948</v>
      </c>
      <c r="Y9" s="345">
        <f>ABS(7.759*10^-3*Fsw^0.9458*(0.00787*Table16[[#This Row],[Ripple Current pk-pk]])^2.304)</f>
        <v>1.0269767552907154</v>
      </c>
      <c r="Z9" s="345">
        <f>Table16[[#This Row],[DCR    Loss]]+Table16[[#This Row],[Core Loss]]</f>
        <v>2.88983500570881</v>
      </c>
      <c r="AA9" s="292">
        <f>IF(Table16[[#This Row],[Vin]]&gt;Vout, Table16[[#This Row],[Ripple Current pk-pk]]/SQRT(12), SQRT(Table16[[#This Row],[Duty Cycle BOOST Leg]]/(1-Table16[[#This Row],[Duty Cycle BOOST Leg]]))*SQRT(Table16[[#This Row],[Iout]]^2+(Table16[[#This Row],[Ripple Current pk-pk]]^2)/12))</f>
        <v>10.757843388123327</v>
      </c>
      <c r="AB9" s="345">
        <f>RCoutEsr*Table16[[#This Row],[Irms Cout]]^2</f>
        <v>0.23146238872677757</v>
      </c>
      <c r="AC9" s="345">
        <f>Table16[[#This Row],[Cout ESR Loss]]</f>
        <v>0.23146238872677757</v>
      </c>
      <c r="AD9" s="345">
        <f>IF(Table16[[#This Row],[Vin]]&gt;Vout, SQRT(Table16[[#This Row],[Duty Cycle BUCK Leg]]*(1-Table16[[#This Row],[Duty Cycle BUCK Leg]]))*SQRT(Table16[[#This Row],[Iout]]^2+(Table16[[#This Row],[Ripple Current pk-pk]]^2)/12), Table16[[#This Row],[Ripple Current pk-pk]]/SQRT(12))</f>
        <v>1.5366103256726769</v>
      </c>
      <c r="AE9" s="345">
        <f>RCinEsr*Table16[[#This Row],[Irms Cin]]^2</f>
        <v>4.7223425859277803E-3</v>
      </c>
      <c r="AF9" s="683">
        <f>Table16[[#This Row],[Cin ESR Loss]]</f>
        <v>4.7223425859277803E-3</v>
      </c>
      <c r="AG9"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22.508651908794072</v>
      </c>
      <c r="AH9" s="345">
        <f>Rdson1*Table16[[#This Row],[Irms BuCtrl]]^2</f>
        <v>1.7732379376294065</v>
      </c>
      <c r="AI9" s="345">
        <f>CHOOSE(Table16[[#This Row],[Mode Digit]], (Table16[[#This Row],[Vin]]*Table16[[#This Row],[Iout]]/2)*(Fsw)*(Tr_buck+Tf_buck), 0, (Table16[[#This Row],[Vin]]*Table16[[#This Row],[Avg IL]]/2)*(Fsw/1)*(Tr_buck+Tf_buck))</f>
        <v>0</v>
      </c>
      <c r="AJ9" s="253">
        <f>IF(Table16[[#This Row],[Vin]]&gt;Vout, IF(Table16[[#This Row],[Iout]]&gt;Table16[[#This Row],[Ripple Current pk-pk]]/2,0,ABS(Table16[[#This Row],[Iout]]-Table16[[#This Row],[Ripple Current pk-pk]]/2)*Vsd_Q1*Deadtime*Fsw),0)</f>
        <v>0</v>
      </c>
      <c r="AK9" s="345">
        <f>(Table16[[#This Row],[Dead Time Loss BuCtrl]]+Table16[[#This Row],[Transition Loss BuCtrl]]+Table16[[#This Row],[RDS(on) Loss BuCtrl]]*(1+RdsonTopTc*Ta-RdsonTopTc*25))/(1-Table16[[#This Row],[RDS(on) Loss BuCtrl]]*RdsonTopTc*ThetaJA_Q1)</f>
        <v>3.2901218452291343</v>
      </c>
      <c r="AL9" s="345">
        <f>CHOOSE(Table16[[#This Row],[Mode Digit]],SQRT((Fsw*(Table16[[#This Row],[t2_Ph_I]]+0))*((Table16[[#This Row],[I_0]]*Table16[[#This Row],[I_1]]+((Table16[[#This Row],[I_0]]-Table16[[#This Row],[I_1]])^2)/3))),0,SQRT((Fsw*(Table16[[#This Row],[t3_Ph_III]]+0))*((Table16[[#This Row],[I_0]]*Table16[[#This Row],[I_2]]+((Table16[[#This Row],[I_0]]-Table16[[#This Row],[I_2]])^2)/3))))</f>
        <v>0</v>
      </c>
      <c r="AM9" s="345">
        <f>Rdson2*Table16[[#This Row],[Irms BuSync]]^2</f>
        <v>0</v>
      </c>
      <c r="AN9"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9" s="345">
        <f>(Table16[[#This Row],[Deadtime Loss BuSync]]+Table16[[#This Row],[RDS(on) Loss BuSync]]*(1+RdsonBotTc*Ta-RdsonBotTc*25))/(1-Table16[[#This Row],[RDS(on) Loss BuSync]]*RdsonBotTc*ThetaJA_Q2)</f>
        <v>0</v>
      </c>
      <c r="AP9" s="345">
        <f>CHOOSE(Table16[[#This Row],[Mode Digit]],0,SQRT((Fsw*(Table16[[#This Row],[t1_Ph_II]]+0))*((Table16[[#This Row],[I_0]]*Table16[[#This Row],[I_1]]+((Table16[[#This Row],[I_0]]-Table16[[#This Row],[I_1]])^2)/3))),SQRT((Fsw*(Table16[[#This Row],[t2_Ph_I]]+0))*((Table16[[#This Row],[I_1]]*Table16[[#This Row],[I_2]]+((Table16[[#This Row],[I_1]]-Table16[[#This Row],[I_2]])^2)/3))))</f>
        <v>17.944395533516257</v>
      </c>
      <c r="AQ9" s="345">
        <f>Rdson4*Table16[[#This Row],[Irms BoCtlr]]^2</f>
        <v>1.1270046587214737</v>
      </c>
      <c r="AR9" s="345">
        <f>CHOOSE(Table16[[#This Row],[Mode Digit]], 0, (Vout*Table16[[#This Row],[Iin]]/2)*(Fsw)*(Tr_boost+Tf_boost), (Vout*Iout/2)*(Fsw/1)*(Tr_boost+Tf_boost))</f>
        <v>1.33513883190631</v>
      </c>
      <c r="AS9" s="253">
        <f>IF(Table16[[#This Row],[Vin]]&gt;Vout, 0, IF(Table16[[#This Row],[Iin]]&gt;Table16[[#This Row],[Ripple Current pk-pk]]/2,0,ABS(Table16[[#This Row],[Iin]]-Table16[[#This Row],[Ripple Current pk-pk]]/2)*Vsd_Q4*Deadtime*Fsw))</f>
        <v>0</v>
      </c>
      <c r="AT9" s="345">
        <f>(Table16[[#This Row],[Dead Time Loss BoCtlr]]+Table16[[#This Row],[Transition Loss BoCtlr]]+Table16[[#This Row],[RDS(on) Loss BoCtlr]]*(1+RdsonTopTc*Ta-RdsonTopTc*25))/(1-Table16[[#This Row],[RDS(on) Loss BoCtlr]]*RdsonTopTc*ThetaJA_Q4)</f>
        <v>3.4826271026352904</v>
      </c>
      <c r="AU9"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13.588159540128341</v>
      </c>
      <c r="AV9" s="345">
        <f>Rdson3*Table16[[#This Row],[Irms BoSync]]^2</f>
        <v>0.64623327890793303</v>
      </c>
      <c r="AW9"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0.6703157894736842</v>
      </c>
      <c r="AX9" s="345">
        <f>(Table16[[#This Row],[Deadtime Loss BoSync]]+Table16[[#This Row],[RDS(on) Loss BoSync]]*(1+RdsonBotTc*Ta-RdsonBotTc*25))/(1-Table16[[#This Row],[RDS(on) Loss BoSync]]*RdsonBotTc*ThetaJA_Q3)</f>
        <v>1.5824299874307097</v>
      </c>
      <c r="AY9" s="345">
        <f>CHOOSE(Table16[[#This Row],[Mode Digit]], Rdson3*Table16[[#This Row],[Irms Lf]]^2, Rdson1*Table16[[#This Row],[Irms Lf]]^2, 0)</f>
        <v>1.7732379376294065</v>
      </c>
      <c r="AZ9" s="345">
        <f>CHOOSE(Table16[[#This Row],[Mode Digit]], 2*Deadtime*Fsw*IF(VfdSky_Q2&gt;0,VfdSky_Q2,0)*Table16[[#This Row],[Iout]], 2*Deadtime*Fsw*IF(VfdSky_Q3&gt;0,VfdSky_Q3,0)*Table16[[#This Row],[Iin]], 2*Deadtime*Fsw*IF(VfdSky_Q2&gt;0,VfdSky_Q2,0)*Table16[[#This Row],[Iout]]+2*Deadtime*Fsw*IF(VfdSky_Q3&gt;0,VfdSky_Q3,0)*Table16[[#This Row],[Iin]])</f>
        <v>0</v>
      </c>
      <c r="BA9" s="345">
        <f>CHOOSE(Table16[[#This Row],[Mode Digit]], IF(QrrSky_Q2&gt;0,QrrSky_Q2,Qrr_Q2)*Fsw*(Table16[[#This Row],[Vin]]-Table16[[#This Row],[Iout]]*Rdson1),0,  IF(QrrSky_Q2&gt;0,QrrSky_Q2,Qrr_Q2)*Fsw*(Table16[[#This Row],[Vin]]-Table16[[#This Row],[Iout]]*Rdson1)+IF(QrrSky_Q3&gt;0,QrrSky_Q3,Qrr_Q3)*Fsw*Vout)</f>
        <v>0</v>
      </c>
      <c r="BB9" s="345">
        <f>CHOOSE(Table16[[#This Row],[Mode Digit]],0, IF(QrrSky_Q3&gt;0,QrrSky_Q3,Qrr_Q3)*Fsw*Vout,  IF(QrrSky_Q2&gt;0,QrrSky_Q2,Qrr_Q2)*Fsw*(Table16[[#This Row],[Vin]]-Table16[[#This Row],[Iout]]*Rdson1)+IF(QrrSky_Q3&gt;0,QrrSky_Q3,Qrr_Q3)*Fsw*Vout)</f>
        <v>0.35660799999999998</v>
      </c>
      <c r="BC9" s="345">
        <f>CHOOSE(Table16[[#This Row],[Mode Digit]], Rs*Table16[[#This Row],[Irms BuSync]]^2, Rs*Table16[[#This Row],[Irms BoCtlr]]^2, Rs*(Table16[[#This Row],[Irms BuSync]]^2+Table16[[#This Row],[Irms BoCtlr]]^2))</f>
        <v>0.41860173038226162</v>
      </c>
      <c r="BD9" s="345">
        <f t="shared" ref="BD9:BD72" si="1">Rshunt/1000*Iout^2</f>
        <v>0.64</v>
      </c>
      <c r="BE9" s="345">
        <f>IF(Vout&gt;8, Iq*Vout, Iq*Table16[[#This Row],[Vin]])</f>
        <v>4.8000000000000001E-2</v>
      </c>
      <c r="BF9" s="345">
        <f>CHOOSE(Table16[[#This Row],[Mode Digit]], (Qg_Q1+Qg_Q2)*Fsw, (Qg_Q3+Qg_Q4)*Fsw, (Qg_Q1+Qg_Q2+Qg_Q3+Qg_Q4)*Fsw)*IF(Vout&gt;8, Vout, Table16[[#This Row],[Vin]])</f>
        <v>0.85331200000000007</v>
      </c>
      <c r="BG9" s="345">
        <f t="shared" ref="BG9:BG72" si="2">(Vin-Vdd)*Fsw*(Qg_Q1+Qg_Q2)+(RdsonDRT+RdsonDRT2)*Fsw*Qg_Q1*Vdd/(RdsonDRT+2*Rgate1+RdsonDRT2)+(RdsonDRB+RdsonDRB2)*Fsw*Qg_Q2*Vdd/(RdsonDRB+2*Rgate2+RdsonDRB2)</f>
        <v>0.50594479787234037</v>
      </c>
      <c r="BH9" s="345">
        <f>Table16[[#This Row],[IQ Loss]]+Table16[[#This Row],[Switching Current Loss]]</f>
        <v>0.90131200000000011</v>
      </c>
      <c r="BI9"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13.797720402698912</v>
      </c>
      <c r="BJ9" s="253">
        <f>Vout*Table16[[#This Row],[Iout]]</f>
        <v>128</v>
      </c>
      <c r="BK9" s="684">
        <f>Table16[[#This Row],[Pout]]/(Table16[[#This Row],[Pout]]+Table16[[#This Row],[Total Loss]])</f>
        <v>0.90269434259229264</v>
      </c>
      <c r="BL9"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249.55028167129387</v>
      </c>
      <c r="BM9" s="685">
        <f>IF(Table16[[#This Row],[Vin]]&gt;Vout, Table16[[#This Row],[Total Sync Bu MOSFET Loss]]*ThetaJA_Q2, ThetaJA_Q3*Table16[[#This Row],[Total Sync Bo MOSFET Loss]])</f>
        <v>102.85794918299614</v>
      </c>
      <c r="BO9" s="292">
        <f>Table16[[#This Row],[EFF, h]]*100</f>
        <v>90.269434259229257</v>
      </c>
      <c r="BP9" s="345">
        <f>Table16[[#This Row],[Total Inductor Loss]]</f>
        <v>2.88983500570881</v>
      </c>
      <c r="BQ9" s="345">
        <f>Table16[[#This Row],[Total Control Bu MOSFET Loss]]+Table16[[#This Row],[Total Sync Bu MOSFET Loss]]+Table16[[#This Row],[Total Control Bo MOSFET Loss]]+Table16[[#This Row],[Total Sync Bo MOSFET Loss]]+Table16[[#This Row],[Reverse Recovery Loss MOSFET D BUCK]]+Table16[[#This Row],[Reverse Recovery Loss MOSFET D BOOST]]</f>
        <v>8.7117869352951338</v>
      </c>
      <c r="BR9" s="345">
        <f>Table16[[#This Row],[Total Control Bu MOSFET Loss]]+Table16[[#This Row],[Reverse Recovery Loss MOSFET D BUCK]]*0.66</f>
        <v>3.2901218452291343</v>
      </c>
      <c r="BS9" s="345">
        <f>Table16[[#This Row],[Total Sync Bu MOSFET Loss]]+Table16[[#This Row],[Reverse Recovery Loss MOSFET D BUCK]]*0.33</f>
        <v>0</v>
      </c>
      <c r="BT9" s="345">
        <f xml:space="preserve"> Table16[[#This Row],[Total Control Bo MOSFET Loss]]+Table16[[#This Row],[Reverse Recovery Loss MOSFET D BOOST]]*0.66</f>
        <v>3.7179883826352906</v>
      </c>
      <c r="BU9" s="345">
        <f xml:space="preserve"> Table16[[#This Row],[Total Sync Bo MOSFET Loss]]+Table16[[#This Row],[Reverse Recovery Loss MOSFET D BOOST]]*0.33</f>
        <v>1.7001106274307096</v>
      </c>
      <c r="BV9" s="345">
        <f>Table16[[#This Row],[Isense Shunt Loss]]</f>
        <v>0.41860173038226162</v>
      </c>
      <c r="BZ9" s="253" t="s">
        <v>135</v>
      </c>
      <c r="CA9" s="686">
        <v>70</v>
      </c>
      <c r="CB9" s="686">
        <v>70</v>
      </c>
      <c r="CC9" s="686">
        <v>70</v>
      </c>
      <c r="CD9" s="686">
        <f>250000*(5-Vdd)*CC9/1000000000+((250000*CC9/1000000000*Vdd)*2.5/(2*4))</f>
        <v>-2.7343749999999972E-3</v>
      </c>
      <c r="CE9" s="253">
        <f t="shared" ref="CE9:CN17" si="3">CE$6*$CD9</f>
        <v>-0.21874999999999978</v>
      </c>
      <c r="CF9" s="253">
        <f t="shared" si="3"/>
        <v>-0.27343749999999972</v>
      </c>
      <c r="CG9" s="253">
        <f t="shared" si="3"/>
        <v>-0.32812499999999967</v>
      </c>
      <c r="CH9" s="253">
        <f t="shared" si="3"/>
        <v>-0.38281249999999961</v>
      </c>
      <c r="CI9" s="253">
        <f t="shared" si="3"/>
        <v>-0.43749999999999956</v>
      </c>
      <c r="CJ9" s="253">
        <f t="shared" si="3"/>
        <v>-0.4921874999999995</v>
      </c>
      <c r="CK9" s="253">
        <f t="shared" si="3"/>
        <v>-5.4687499999999944E-2</v>
      </c>
      <c r="CL9" s="253">
        <f t="shared" si="3"/>
        <v>-8.2031249999999917E-2</v>
      </c>
      <c r="CM9" s="253">
        <f t="shared" si="3"/>
        <v>-0.10937499999999989</v>
      </c>
      <c r="CN9" s="253">
        <f t="shared" si="3"/>
        <v>-0.13671874999999986</v>
      </c>
    </row>
    <row r="10" spans="1:92" ht="13.6" x14ac:dyDescent="0.25">
      <c r="A10" s="687"/>
      <c r="B10" s="688"/>
      <c r="C10" s="680"/>
      <c r="D10" s="681"/>
      <c r="G10" s="253">
        <v>1</v>
      </c>
      <c r="H10" s="286">
        <f>VIN_min+(VIN_max-VIN_min)*(Table16[[#This Row],[Step]]/200)</f>
        <v>6.15</v>
      </c>
      <c r="I10" s="292" t="str">
        <f>IF(Mode = 2,IF(Table16[[#This Row],[Vin]]&gt;Vout, "BUCK","BOOST"),IF(Table16[[#This Row],[Vin]]&gt;VIN_BB_to_buck, "BUCK", IF(Table16[[#This Row],[Vin]]&lt;=VIN_boost_to_BB,"BOOST","BUCK-BST")))</f>
        <v>BOOST</v>
      </c>
      <c r="J10" s="253">
        <f>IF(Table16[[#This Row],[Mode]]="BOOST",2, IF(Table16[[#This Row],[Mode]]="BUCK", 1,3))</f>
        <v>2</v>
      </c>
      <c r="K10" s="253">
        <f t="shared" si="0"/>
        <v>8</v>
      </c>
      <c r="L10" s="292">
        <f>Vout*Table16[[#This Row],[Iout]]/(Table16[[#This Row],[Vin]]*Efficiency)</f>
        <v>21.908429610611893</v>
      </c>
      <c r="M10" s="682">
        <f>MIN(1/Fsw,CHOOSE(Table16[[#This Row],[Mode Digit]],(Vout+(Rdson2+Rs+Rdcr)*Table16[[#This Row],[Iout]])/(Table16[[#This Row],[Vin]]+(Rs+Rdson2-Rdson1)*Table16[[#This Row],[Iout]])/Fsw,(Vout+(Rdson3+Rdcr)*Table16[[#This Row],[Iin]]-Table16[[#This Row],[Vin]])/(Vout+(Rdson3-Rdson4-Rs)*Table16[[#This Row],[Iin]])/Fsw,t1_Ph_II))</f>
        <v>1.57264652789332E-6</v>
      </c>
      <c r="N10" s="518">
        <f>CHOOSE(Table16[[#This Row],[Mode Digit]],1/Fsw-Table16[[#This Row],[t1_Ph_II]],1/Fsw-Table16[[#This Row],[t1_Ph_II]],(Vout/Fsw-Table16[[#This Row],[Vin]]*t1_Ph_II)/(Table16[[#This Row],[Vin]]+Vout))</f>
        <v>9.3991628617703189E-7</v>
      </c>
      <c r="O10" s="518">
        <f>1/Fsw-(Table16[[#This Row],[t1_Ph_II]]+Table16[[#This Row],[t2_Ph_I]])</f>
        <v>0</v>
      </c>
      <c r="P10"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19.221825125460803</v>
      </c>
      <c r="Q10" s="292">
        <f>CHOOSE(Table16[[#This Row],[Mode Digit]],Table16[[#This Row],[I_0]]+1/Lf*(Table16[[#This Row],[Vin]]-Vout)*Table16[[#This Row],[t1_Ph_II]],Table16[[#This Row],[I_0]]+1/Lf*Table16[[#This Row],[Vin]]*Table16[[#This Row],[t1_Ph_II]],Table16[[#This Row],[I_0]]+(Table16[[#This Row],[Vin]]-Vout)/L*Table16[[#This Row],[t1_Ph_II]])</f>
        <v>24.59503409576298</v>
      </c>
      <c r="R10" s="292">
        <f>CHOOSE(Table16[[#This Row],[Mode Digit]],0,0,Table16[[#This Row],[I_1]]+Table16[[#This Row],[Vin]]/L*Table16[[#This Row],[t2_Ph_I]])</f>
        <v>0</v>
      </c>
      <c r="S10" s="292">
        <f>Fsw*(Table16[[#This Row],[I_0]]*Table16[[#This Row],[t1_Ph_II]]+Table16[[#This Row],[I_1]]*Table16[[#This Row],[t2_Ph_I]]+Table16[[#This Row],[I_2]]*Table16[[#This Row],[t3_Ph_III]])</f>
        <v>21.231871040308182</v>
      </c>
      <c r="T10" s="345">
        <f>MIN(1,CHOOSE(Table16[[#This Row],[Mode Digit]],(Vout+(Rdson2+Rs+Rdcr)*Table16[[#This Row],[Iout]])/(Table16[[#This Row],[Vin]]+(Rs+Rdson2-Rdson1)*Table16[[#This Row],[Iout]]),1,Fsw*Table16[[#This Row],[t2_Ph_I]]+Table16[[#This Row],[t1_Ph_II]]))</f>
        <v>1</v>
      </c>
      <c r="U10" s="345">
        <f>MIN(1,CHOOSE(Table16[[#This Row],[Mode Digit]],0,(Vout+(Rdson3+Rdcr)*Table16[[#This Row],[Iin]]-Table16[[#This Row],[Vin]])/(Vout+(Rdson3-Rdson4-Rs)*Table16[[#This Row],[Iin]]),Fsw*Table16[[#This Row],[t1_Ph_II]]+Table16[[#This Row],[t3_Ph_III]]))</f>
        <v>0.62591331810154138</v>
      </c>
      <c r="V10" s="292">
        <f>MAX(Table16[[#This Row],[I_0]:[I_2]])-MIN(Table16[[#This Row],[I_0]:[I_1]])</f>
        <v>5.3732089703021764</v>
      </c>
      <c r="W10"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21.963270154730616</v>
      </c>
      <c r="X10" s="345">
        <f>(Table16[[#This Row],[Irms Lf]]^2*Rdcr*(1+Ltc*Ta-Ltc*25))/(1-Table16[[#This Row],[Irms Lf]]^2*Rdcr*Ltc*ThetaCa)</f>
        <v>1.7611137892555859</v>
      </c>
      <c r="Y10" s="345">
        <f>ABS(7.759*10^-3*Fsw^0.9458*(0.00787*Table16[[#This Row],[Ripple Current pk-pk]])^2.304)</f>
        <v>1.0494444648683905</v>
      </c>
      <c r="Z10" s="345">
        <f>Table16[[#This Row],[DCR    Loss]]+Table16[[#This Row],[Core Loss]]</f>
        <v>2.8105582541239764</v>
      </c>
      <c r="AA10" s="292">
        <f>IF(Table16[[#This Row],[Vin]]&gt;Vout, Table16[[#This Row],[Ripple Current pk-pk]]/SQRT(12), SQRT(Table16[[#This Row],[Duty Cycle BOOST Leg]]/(1-Table16[[#This Row],[Duty Cycle BOOST Leg]]))*SQRT(Table16[[#This Row],[Iout]]^2+(Table16[[#This Row],[Ripple Current pk-pk]]^2)/12))</f>
        <v>10.540821596207595</v>
      </c>
      <c r="AB10" s="345">
        <f>RCoutEsr*Table16[[#This Row],[Irms Cout]]^2</f>
        <v>0.22221783984615287</v>
      </c>
      <c r="AC10" s="345">
        <f>Table16[[#This Row],[Cout ESR Loss]]</f>
        <v>0.22221783984615287</v>
      </c>
      <c r="AD10" s="345">
        <f>IF(Table16[[#This Row],[Vin]]&gt;Vout, SQRT(Table16[[#This Row],[Duty Cycle BUCK Leg]]*(1-Table16[[#This Row],[Duty Cycle BUCK Leg]]))*SQRT(Table16[[#This Row],[Iout]]^2+(Table16[[#This Row],[Ripple Current pk-pk]]^2)/12), Table16[[#This Row],[Ripple Current pk-pk]]/SQRT(12))</f>
        <v>1.5511118227080367</v>
      </c>
      <c r="AE10" s="345">
        <f>RCinEsr*Table16[[#This Row],[Irms Cin]]^2</f>
        <v>4.8118957730892958E-3</v>
      </c>
      <c r="AF10" s="683">
        <f>Table16[[#This Row],[Cin ESR Loss]]</f>
        <v>4.8118957730892958E-3</v>
      </c>
      <c r="AG10"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21.963270154730616</v>
      </c>
      <c r="AH10" s="345">
        <f>Rdson1*Table16[[#This Row],[Irms BuCtrl]]^2</f>
        <v>1.688348325613882</v>
      </c>
      <c r="AI10" s="345">
        <f>CHOOSE(Table16[[#This Row],[Mode Digit]], (Table16[[#This Row],[Vin]]*Table16[[#This Row],[Iout]]/2)*(Fsw)*(Tr_buck+Tf_buck), 0, (Table16[[#This Row],[Vin]]*Table16[[#This Row],[Avg IL]]/2)*(Fsw/1)*(Tr_buck+Tf_buck))</f>
        <v>0</v>
      </c>
      <c r="AJ10" s="253">
        <f>IF(Table16[[#This Row],[Vin]]&gt;Vout, IF(Table16[[#This Row],[Iout]]&gt;Table16[[#This Row],[Ripple Current pk-pk]]/2,0,ABS(Table16[[#This Row],[Iout]]-Table16[[#This Row],[Ripple Current pk-pk]]/2)*Vsd_Q1*Deadtime*Fsw),0)</f>
        <v>0</v>
      </c>
      <c r="AK10" s="345">
        <f>(Table16[[#This Row],[Dead Time Loss BuCtrl]]+Table16[[#This Row],[Transition Loss BuCtrl]]+Table16[[#This Row],[RDS(on) Loss BuCtrl]]*(1+RdsonTopTc*Ta-RdsonTopTc*25))/(1-Table16[[#This Row],[RDS(on) Loss BuCtrl]]*RdsonTopTc*ThetaJA_Q1)</f>
        <v>3.0093756570713954</v>
      </c>
      <c r="AL10" s="345">
        <f>CHOOSE(Table16[[#This Row],[Mode Digit]],SQRT((Fsw*(Table16[[#This Row],[t2_Ph_I]]+0))*((Table16[[#This Row],[I_0]]*Table16[[#This Row],[I_1]]+((Table16[[#This Row],[I_0]]-Table16[[#This Row],[I_1]])^2)/3))),0,SQRT((Fsw*(Table16[[#This Row],[t3_Ph_III]]+0))*((Table16[[#This Row],[I_0]]*Table16[[#This Row],[I_2]]+((Table16[[#This Row],[I_0]]-Table16[[#This Row],[I_2]])^2)/3))))</f>
        <v>0</v>
      </c>
      <c r="AM10" s="345">
        <f>Rdson2*Table16[[#This Row],[Irms BuSync]]^2</f>
        <v>0</v>
      </c>
      <c r="AN10"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10" s="345">
        <f>(Table16[[#This Row],[Deadtime Loss BuSync]]+Table16[[#This Row],[RDS(on) Loss BuSync]]*(1+RdsonBotTc*Ta-RdsonBotTc*25))/(1-Table16[[#This Row],[RDS(on) Loss BuSync]]*RdsonBotTc*ThetaJA_Q2)</f>
        <v>0</v>
      </c>
      <c r="AP10" s="345">
        <f>CHOOSE(Table16[[#This Row],[Mode Digit]],0,SQRT((Fsw*(Table16[[#This Row],[t1_Ph_II]]+0))*((Table16[[#This Row],[I_0]]*Table16[[#This Row],[I_1]]+((Table16[[#This Row],[I_0]]-Table16[[#This Row],[I_1]])^2)/3))),SQRT((Fsw*(Table16[[#This Row],[t2_Ph_I]]+0))*((Table16[[#This Row],[I_1]]*Table16[[#This Row],[I_2]]+((Table16[[#This Row],[I_1]]-Table16[[#This Row],[I_2]])^2)/3))))</f>
        <v>17.376171718733236</v>
      </c>
      <c r="AQ10" s="345">
        <f>Rdson4*Table16[[#This Row],[Irms BoCtlr]]^2</f>
        <v>1.0567597025961666</v>
      </c>
      <c r="AR10" s="345">
        <f>CHOOSE(Table16[[#This Row],[Mode Digit]], 0, (Vout*Table16[[#This Row],[Iin]]/2)*(Fsw)*(Tr_boost+Tf_boost), (Vout*Iout/2)*(Fsw/1)*(Tr_boost+Tf_boost))</f>
        <v>1.3025744701524975</v>
      </c>
      <c r="AS10" s="253">
        <f>IF(Table16[[#This Row],[Vin]]&gt;Vout, 0, IF(Table16[[#This Row],[Iin]]&gt;Table16[[#This Row],[Ripple Current pk-pk]]/2,0,ABS(Table16[[#This Row],[Iin]]-Table16[[#This Row],[Ripple Current pk-pk]]/2)*Vsd_Q4*Deadtime*Fsw))</f>
        <v>0</v>
      </c>
      <c r="AT10" s="345">
        <f>(Table16[[#This Row],[Dead Time Loss BoCtlr]]+Table16[[#This Row],[Transition Loss BoCtlr]]+Table16[[#This Row],[RDS(on) Loss BoCtlr]]*(1+RdsonTopTc*Ta-RdsonTopTc*25))/(1-Table16[[#This Row],[RDS(on) Loss BoCtlr]]*RdsonTopTc*ThetaJA_Q4)</f>
        <v>3.2531660051833886</v>
      </c>
      <c r="AU10"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13.433312781692232</v>
      </c>
      <c r="AV10" s="345">
        <f>Rdson3*Table16[[#This Row],[Irms BoSync]]^2</f>
        <v>0.63158862301771557</v>
      </c>
      <c r="AW10"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0.65396662387676485</v>
      </c>
      <c r="AX10" s="345">
        <f>(Table16[[#This Row],[Deadtime Loss BoSync]]+Table16[[#This Row],[RDS(on) Loss BoSync]]*(1+RdsonBotTc*Ta-RdsonBotTc*25))/(1-Table16[[#This Row],[RDS(on) Loss BoSync]]*RdsonBotTc*ThetaJA_Q3)</f>
        <v>1.5381374817657809</v>
      </c>
      <c r="AY10" s="345">
        <f>CHOOSE(Table16[[#This Row],[Mode Digit]], Rdson3*Table16[[#This Row],[Irms Lf]]^2, Rdson1*Table16[[#This Row],[Irms Lf]]^2, 0)</f>
        <v>1.688348325613882</v>
      </c>
      <c r="AZ10" s="345">
        <f>CHOOSE(Table16[[#This Row],[Mode Digit]], 2*Deadtime*Fsw*IF(VfdSky_Q2&gt;0,VfdSky_Q2,0)*Table16[[#This Row],[Iout]], 2*Deadtime*Fsw*IF(VfdSky_Q3&gt;0,VfdSky_Q3,0)*Table16[[#This Row],[Iin]], 2*Deadtime*Fsw*IF(VfdSky_Q2&gt;0,VfdSky_Q2,0)*Table16[[#This Row],[Iout]]+2*Deadtime*Fsw*IF(VfdSky_Q3&gt;0,VfdSky_Q3,0)*Table16[[#This Row],[Iin]])</f>
        <v>0</v>
      </c>
      <c r="BA10" s="345">
        <f>CHOOSE(Table16[[#This Row],[Mode Digit]], IF(QrrSky_Q2&gt;0,QrrSky_Q2,Qrr_Q2)*Fsw*(Table16[[#This Row],[Vin]]-Table16[[#This Row],[Iout]]*Rdson1),0,  IF(QrrSky_Q2&gt;0,QrrSky_Q2,Qrr_Q2)*Fsw*(Table16[[#This Row],[Vin]]-Table16[[#This Row],[Iout]]*Rdson1)+IF(QrrSky_Q3&gt;0,QrrSky_Q3,Qrr_Q3)*Fsw*Vout)</f>
        <v>0</v>
      </c>
      <c r="BB10" s="345">
        <f>CHOOSE(Table16[[#This Row],[Mode Digit]],0, IF(QrrSky_Q3&gt;0,QrrSky_Q3,Qrr_Q3)*Fsw*Vout,  IF(QrrSky_Q2&gt;0,QrrSky_Q2,Qrr_Q2)*Fsw*(Table16[[#This Row],[Vin]]-Table16[[#This Row],[Iout]]*Rdson1)+IF(QrrSky_Q3&gt;0,QrrSky_Q3,Qrr_Q3)*Fsw*Vout)</f>
        <v>0.35660799999999998</v>
      </c>
      <c r="BC10" s="345">
        <f>CHOOSE(Table16[[#This Row],[Mode Digit]], Rs*Table16[[#This Row],[Irms BuSync]]^2, Rs*Table16[[#This Row],[Irms BoCtlr]]^2, Rs*(Table16[[#This Row],[Irms BuSync]]^2+Table16[[#This Row],[Irms BoCtlr]]^2))</f>
        <v>0.39251074667857616</v>
      </c>
      <c r="BD10" s="345">
        <f t="shared" si="1"/>
        <v>0.64</v>
      </c>
      <c r="BE10" s="345">
        <f>IF(Vout&gt;8, Iq*Vout, Iq*Table16[[#This Row],[Vin]])</f>
        <v>4.8000000000000001E-2</v>
      </c>
      <c r="BF10" s="345">
        <f>CHOOSE(Table16[[#This Row],[Mode Digit]], (Qg_Q1+Qg_Q2)*Fsw, (Qg_Q3+Qg_Q4)*Fsw, (Qg_Q1+Qg_Q2+Qg_Q3+Qg_Q4)*Fsw)*IF(Vout&gt;8, Vout, Table16[[#This Row],[Vin]])</f>
        <v>0.85331200000000007</v>
      </c>
      <c r="BG10" s="345">
        <f t="shared" si="2"/>
        <v>0.50594479787234037</v>
      </c>
      <c r="BH10" s="345">
        <f>Table16[[#This Row],[IQ Loss]]+Table16[[#This Row],[Switching Current Loss]]</f>
        <v>0.90131200000000011</v>
      </c>
      <c r="BI10"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13.12869788044236</v>
      </c>
      <c r="BJ10" s="253">
        <f>Vout*Table16[[#This Row],[Iout]]</f>
        <v>128</v>
      </c>
      <c r="BK10" s="684">
        <f>Table16[[#This Row],[Pout]]/(Table16[[#This Row],[Pout]]+Table16[[#This Row],[Total Loss]])</f>
        <v>0.90697357746782037</v>
      </c>
      <c r="BL10"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234.63531033692027</v>
      </c>
      <c r="BM10" s="685">
        <f>IF(Table16[[#This Row],[Vin]]&gt;Vout, Table16[[#This Row],[Total Sync Bu MOSFET Loss]]*ThetaJA_Q2, ThetaJA_Q3*Table16[[#This Row],[Total Sync Bo MOSFET Loss]])</f>
        <v>99.978936314775765</v>
      </c>
      <c r="BN10" s="640"/>
      <c r="BO10" s="292">
        <f>Table16[[#This Row],[EFF, h]]*100</f>
        <v>90.697357746782032</v>
      </c>
      <c r="BP10" s="345">
        <f>Table16[[#This Row],[Total Inductor Loss]]</f>
        <v>2.8105582541239764</v>
      </c>
      <c r="BQ10" s="345">
        <f>Table16[[#This Row],[Total Control Bu MOSFET Loss]]+Table16[[#This Row],[Total Sync Bu MOSFET Loss]]+Table16[[#This Row],[Total Control Bo MOSFET Loss]]+Table16[[#This Row],[Total Sync Bo MOSFET Loss]]+Table16[[#This Row],[Reverse Recovery Loss MOSFET D BUCK]]+Table16[[#This Row],[Reverse Recovery Loss MOSFET D BOOST]]</f>
        <v>8.1572871440205645</v>
      </c>
      <c r="BR10" s="345">
        <f>Table16[[#This Row],[Total Control Bu MOSFET Loss]]+Table16[[#This Row],[Reverse Recovery Loss MOSFET D BUCK]]*0.66</f>
        <v>3.0093756570713954</v>
      </c>
      <c r="BS10" s="345">
        <f>Table16[[#This Row],[Total Sync Bu MOSFET Loss]]+Table16[[#This Row],[Reverse Recovery Loss MOSFET D BUCK]]*0.33</f>
        <v>0</v>
      </c>
      <c r="BT10" s="345">
        <f xml:space="preserve"> Table16[[#This Row],[Total Control Bo MOSFET Loss]]+Table16[[#This Row],[Reverse Recovery Loss MOSFET D BOOST]]*0.66</f>
        <v>3.4885272851833884</v>
      </c>
      <c r="BU10" s="345">
        <f xml:space="preserve"> Table16[[#This Row],[Total Sync Bo MOSFET Loss]]+Table16[[#This Row],[Reverse Recovery Loss MOSFET D BOOST]]*0.33</f>
        <v>1.655818121765781</v>
      </c>
      <c r="BV10" s="345">
        <f>Table16[[#This Row],[Isense Shunt Loss]]</f>
        <v>0.39251074667857616</v>
      </c>
      <c r="CA10" s="686"/>
      <c r="CB10" s="686"/>
      <c r="CC10" s="686"/>
      <c r="CD10" s="686"/>
    </row>
    <row r="11" spans="1:92" x14ac:dyDescent="0.2">
      <c r="A11" s="689" t="s">
        <v>4</v>
      </c>
      <c r="B11" s="569">
        <f>Vin</f>
        <v>12</v>
      </c>
      <c r="C11" s="255" t="s">
        <v>0</v>
      </c>
      <c r="D11" s="255" t="s">
        <v>4</v>
      </c>
      <c r="G11" s="253">
        <v>2</v>
      </c>
      <c r="H11" s="286">
        <f>VIN_min+(VIN_max-VIN_min)*(Table16[[#This Row],[Step]]/200)</f>
        <v>6.3</v>
      </c>
      <c r="I11" s="292" t="str">
        <f>IF(Mode = 2,IF(Table16[[#This Row],[Vin]]&gt;Vout, "BUCK","BOOST"),IF(Table16[[#This Row],[Vin]]&gt;VIN_BB_to_buck, "BUCK", IF(Table16[[#This Row],[Vin]]&lt;=VIN_boost_to_BB,"BOOST","BUCK-BST")))</f>
        <v>BOOST</v>
      </c>
      <c r="J11" s="253">
        <f>IF(Table16[[#This Row],[Mode]]="BOOST",2, IF(Table16[[#This Row],[Mode]]="BUCK", 1,3))</f>
        <v>2</v>
      </c>
      <c r="K11" s="253">
        <f t="shared" si="0"/>
        <v>8</v>
      </c>
      <c r="L11" s="292">
        <f>Vout*Table16[[#This Row],[Iout]]/(Table16[[#This Row],[Vin]]*Efficiency)</f>
        <v>21.386800334168758</v>
      </c>
      <c r="M11" s="682">
        <f>MIN(1/Fsw,CHOOSE(Table16[[#This Row],[Mode Digit]],(Vout+(Rdson2+Rs+Rdcr)*Table16[[#This Row],[Iout]])/(Table16[[#This Row],[Vin]]+(Rs+Rdson2-Rdson1)*Table16[[#This Row],[Iout]])/Fsw,(Vout+(Rdson3+Rdcr)*Table16[[#This Row],[Iin]]-Table16[[#This Row],[Vin]])/(Vout+(Rdson3-Rdson4-Rs)*Table16[[#This Row],[Iin]])/Fsw,t1_Ph_II))</f>
        <v>1.5484337001514117E-6</v>
      </c>
      <c r="N11" s="518">
        <f>CHOOSE(Table16[[#This Row],[Mode Digit]],1/Fsw-Table16[[#This Row],[t1_Ph_II]],1/Fsw-Table16[[#This Row],[t1_Ph_II]],(Vout/Fsw-Table16[[#This Row],[Vin]]*t1_Ph_II)/(Table16[[#This Row],[Vin]]+Vout))</f>
        <v>9.6412911391894017E-7</v>
      </c>
      <c r="O11" s="518">
        <f>1/Fsw-(Table16[[#This Row],[t1_Ph_II]]+Table16[[#This Row],[t2_Ph_I]])</f>
        <v>0</v>
      </c>
      <c r="P11"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18.677041358903786</v>
      </c>
      <c r="Q11" s="292">
        <f>CHOOSE(Table16[[#This Row],[Mode Digit]],Table16[[#This Row],[I_0]]+1/Lf*(Table16[[#This Row],[Vin]]-Vout)*Table16[[#This Row],[t1_Ph_II]],Table16[[#This Row],[I_0]]+1/Lf*Table16[[#This Row],[Vin]]*Table16[[#This Row],[t1_Ph_II]],Table16[[#This Row],[I_0]]+(Table16[[#This Row],[Vin]]-Vout)/L*Table16[[#This Row],[t1_Ph_II]])</f>
        <v>24.096559309433726</v>
      </c>
      <c r="R11" s="292">
        <f>CHOOSE(Table16[[#This Row],[Mode Digit]],0,0,Table16[[#This Row],[I_1]]+Table16[[#This Row],[Vin]]/L*Table16[[#This Row],[t2_Ph_I]])</f>
        <v>0</v>
      </c>
      <c r="S11" s="292">
        <f>Fsw*(Table16[[#This Row],[I_0]]*Table16[[#This Row],[t1_Ph_II]]+Table16[[#This Row],[I_1]]*Table16[[#This Row],[t2_Ph_I]]+Table16[[#This Row],[I_2]]*Table16[[#This Row],[t3_Ph_III]])</f>
        <v>20.75663714462965</v>
      </c>
      <c r="T11" s="345">
        <f>MIN(1,CHOOSE(Table16[[#This Row],[Mode Digit]],(Vout+(Rdson2+Rs+Rdcr)*Table16[[#This Row],[Iout]])/(Table16[[#This Row],[Vin]]+(Rs+Rdson2-Rdson1)*Table16[[#This Row],[Iout]]),1,Fsw*Table16[[#This Row],[t2_Ph_I]]+Table16[[#This Row],[t1_Ph_II]]))</f>
        <v>1</v>
      </c>
      <c r="U11" s="345">
        <f>MIN(1,CHOOSE(Table16[[#This Row],[Mode Digit]],0,(Vout+(Rdson3+Rdcr)*Table16[[#This Row],[Iin]]-Table16[[#This Row],[Vin]])/(Vout+(Rdson3-Rdson4-Rs)*Table16[[#This Row],[Iin]]),Fsw*Table16[[#This Row],[t1_Ph_II]]+Table16[[#This Row],[t3_Ph_III]]))</f>
        <v>0.6162766126602619</v>
      </c>
      <c r="V11" s="292">
        <f>MAX(Table16[[#This Row],[I_0]:[I_2]])-MIN(Table16[[#This Row],[I_0]:[I_1]])</f>
        <v>5.41951795052994</v>
      </c>
      <c r="W11"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21.443946148853847</v>
      </c>
      <c r="X11" s="345">
        <f>(Table16[[#This Row],[Irms Lf]]^2*Rdcr*(1+Ltc*Ta-Ltc*25))/(1-Table16[[#This Row],[Irms Lf]]^2*Rdcr*Ltc*ThetaCa)</f>
        <v>1.6678340779133403</v>
      </c>
      <c r="Y11" s="345">
        <f>ABS(7.759*10^-3*Fsw^0.9458*(0.00787*Table16[[#This Row],[Ripple Current pk-pk]])^2.304)</f>
        <v>1.0704005001472268</v>
      </c>
      <c r="Z11" s="345">
        <f>Table16[[#This Row],[DCR    Loss]]+Table16[[#This Row],[Core Loss]]</f>
        <v>2.7382345780605668</v>
      </c>
      <c r="AA11" s="292">
        <f>IF(Table16[[#This Row],[Vin]]&gt;Vout, Table16[[#This Row],[Ripple Current pk-pk]]/SQRT(12), SQRT(Table16[[#This Row],[Duty Cycle BOOST Leg]]/(1-Table16[[#This Row],[Duty Cycle BOOST Leg]]))*SQRT(Table16[[#This Row],[Iout]]^2+(Table16[[#This Row],[Ripple Current pk-pk]]^2)/12))</f>
        <v>10.330428864030868</v>
      </c>
      <c r="AB11" s="345">
        <f>RCoutEsr*Table16[[#This Row],[Irms Cout]]^2</f>
        <v>0.21343552102960417</v>
      </c>
      <c r="AC11" s="345">
        <f>Table16[[#This Row],[Cout ESR Loss]]</f>
        <v>0.21343552102960417</v>
      </c>
      <c r="AD11" s="345">
        <f>IF(Table16[[#This Row],[Vin]]&gt;Vout, SQRT(Table16[[#This Row],[Duty Cycle BUCK Leg]]*(1-Table16[[#This Row],[Duty Cycle BUCK Leg]]))*SQRT(Table16[[#This Row],[Iout]]^2+(Table16[[#This Row],[Ripple Current pk-pk]]^2)/12), Table16[[#This Row],[Ripple Current pk-pk]]/SQRT(12))</f>
        <v>1.564480073808235</v>
      </c>
      <c r="AE11" s="345">
        <f>RCinEsr*Table16[[#This Row],[Irms Cin]]^2</f>
        <v>4.8951958026860407E-3</v>
      </c>
      <c r="AF11" s="683">
        <f>Table16[[#This Row],[Cin ESR Loss]]</f>
        <v>4.8951958026860407E-3</v>
      </c>
      <c r="AG11"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21.443946148853847</v>
      </c>
      <c r="AH11" s="345">
        <f>Rdson1*Table16[[#This Row],[Irms BuCtrl]]^2</f>
        <v>1.6094498925223031</v>
      </c>
      <c r="AI11" s="345">
        <f>CHOOSE(Table16[[#This Row],[Mode Digit]], (Table16[[#This Row],[Vin]]*Table16[[#This Row],[Iout]]/2)*(Fsw)*(Tr_buck+Tf_buck), 0, (Table16[[#This Row],[Vin]]*Table16[[#This Row],[Avg IL]]/2)*(Fsw/1)*(Tr_buck+Tf_buck))</f>
        <v>0</v>
      </c>
      <c r="AJ11" s="253">
        <f>IF(Table16[[#This Row],[Vin]]&gt;Vout, IF(Table16[[#This Row],[Iout]]&gt;Table16[[#This Row],[Ripple Current pk-pk]]/2,0,ABS(Table16[[#This Row],[Iout]]-Table16[[#This Row],[Ripple Current pk-pk]]/2)*Vsd_Q1*Deadtime*Fsw),0)</f>
        <v>0</v>
      </c>
      <c r="AK11" s="345">
        <f>(Table16[[#This Row],[Dead Time Loss BuCtrl]]+Table16[[#This Row],[Transition Loss BuCtrl]]+Table16[[#This Row],[RDS(on) Loss BuCtrl]]*(1+RdsonTopTc*Ta-RdsonTopTc*25))/(1-Table16[[#This Row],[RDS(on) Loss BuCtrl]]*RdsonTopTc*ThetaJA_Q1)</f>
        <v>2.7675508349086924</v>
      </c>
      <c r="AL11" s="345">
        <f>CHOOSE(Table16[[#This Row],[Mode Digit]],SQRT((Fsw*(Table16[[#This Row],[t2_Ph_I]]+0))*((Table16[[#This Row],[I_0]]*Table16[[#This Row],[I_1]]+((Table16[[#This Row],[I_0]]-Table16[[#This Row],[I_1]])^2)/3))),0,SQRT((Fsw*(Table16[[#This Row],[t3_Ph_III]]+0))*((Table16[[#This Row],[I_0]]*Table16[[#This Row],[I_2]]+((Table16[[#This Row],[I_0]]-Table16[[#This Row],[I_2]])^2)/3))))</f>
        <v>0</v>
      </c>
      <c r="AM11" s="345">
        <f>Rdson2*Table16[[#This Row],[Irms BuSync]]^2</f>
        <v>0</v>
      </c>
      <c r="AN11"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11" s="345">
        <f>(Table16[[#This Row],[Deadtime Loss BuSync]]+Table16[[#This Row],[RDS(on) Loss BuSync]]*(1+RdsonBotTc*Ta-RdsonBotTc*25))/(1-Table16[[#This Row],[RDS(on) Loss BuSync]]*RdsonBotTc*ThetaJA_Q2)</f>
        <v>0</v>
      </c>
      <c r="AP11" s="345">
        <f>CHOOSE(Table16[[#This Row],[Mode Digit]],0,SQRT((Fsw*(Table16[[#This Row],[t1_Ph_II]]+0))*((Table16[[#This Row],[I_0]]*Table16[[#This Row],[I_1]]+((Table16[[#This Row],[I_0]]-Table16[[#This Row],[I_1]])^2)/3))),SQRT((Fsw*(Table16[[#This Row],[t2_Ph_I]]+0))*((Table16[[#This Row],[I_1]]*Table16[[#This Row],[I_2]]+((Table16[[#This Row],[I_1]]-Table16[[#This Row],[I_2]])^2)/3))))</f>
        <v>16.834202666935191</v>
      </c>
      <c r="AQ11" s="345">
        <f>Rdson4*Table16[[#This Row],[Irms BoCtlr]]^2</f>
        <v>0.99186632801006769</v>
      </c>
      <c r="AR11" s="345">
        <f>CHOOSE(Table16[[#This Row],[Mode Digit]], 0, (Vout*Table16[[#This Row],[Iin]]/2)*(Fsw)*(Tr_boost+Tf_boost), (Vout*Iout/2)*(Fsw/1)*(Tr_boost+Tf_boost))</f>
        <v>1.2715607922917238</v>
      </c>
      <c r="AS11" s="253">
        <f>IF(Table16[[#This Row],[Vin]]&gt;Vout, 0, IF(Table16[[#This Row],[Iin]]&gt;Table16[[#This Row],[Ripple Current pk-pk]]/2,0,ABS(Table16[[#This Row],[Iin]]-Table16[[#This Row],[Ripple Current pk-pk]]/2)*Vsd_Q4*Deadtime*Fsw))</f>
        <v>0</v>
      </c>
      <c r="AT11" s="345">
        <f>(Table16[[#This Row],[Dead Time Loss BoCtlr]]+Table16[[#This Row],[Transition Loss BoCtlr]]+Table16[[#This Row],[RDS(on) Loss BoCtlr]]*(1+RdsonTopTc*Ta-RdsonTopTc*25))/(1-Table16[[#This Row],[RDS(on) Loss BoCtlr]]*RdsonTopTc*ThetaJA_Q4)</f>
        <v>3.0499691670512155</v>
      </c>
      <c r="AU11"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13.283540454393021</v>
      </c>
      <c r="AV11" s="345">
        <f>Rdson3*Table16[[#This Row],[Irms BoSync]]^2</f>
        <v>0.61758356451223584</v>
      </c>
      <c r="AW11"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0.63839598997493729</v>
      </c>
      <c r="AX11" s="345">
        <f>(Table16[[#This Row],[Deadtime Loss BoSync]]+Table16[[#This Row],[RDS(on) Loss BoSync]]*(1+RdsonBotTc*Ta-RdsonBotTc*25))/(1-Table16[[#This Row],[RDS(on) Loss BoSync]]*RdsonBotTc*ThetaJA_Q3)</f>
        <v>1.4962321314948128</v>
      </c>
      <c r="AY11" s="345">
        <f>CHOOSE(Table16[[#This Row],[Mode Digit]], Rdson3*Table16[[#This Row],[Irms Lf]]^2, Rdson1*Table16[[#This Row],[Irms Lf]]^2, 0)</f>
        <v>1.6094498925223031</v>
      </c>
      <c r="AZ11" s="345">
        <f>CHOOSE(Table16[[#This Row],[Mode Digit]], 2*Deadtime*Fsw*IF(VfdSky_Q2&gt;0,VfdSky_Q2,0)*Table16[[#This Row],[Iout]], 2*Deadtime*Fsw*IF(VfdSky_Q3&gt;0,VfdSky_Q3,0)*Table16[[#This Row],[Iin]], 2*Deadtime*Fsw*IF(VfdSky_Q2&gt;0,VfdSky_Q2,0)*Table16[[#This Row],[Iout]]+2*Deadtime*Fsw*IF(VfdSky_Q3&gt;0,VfdSky_Q3,0)*Table16[[#This Row],[Iin]])</f>
        <v>0</v>
      </c>
      <c r="BA11" s="345">
        <f>CHOOSE(Table16[[#This Row],[Mode Digit]], IF(QrrSky_Q2&gt;0,QrrSky_Q2,Qrr_Q2)*Fsw*(Table16[[#This Row],[Vin]]-Table16[[#This Row],[Iout]]*Rdson1),0,  IF(QrrSky_Q2&gt;0,QrrSky_Q2,Qrr_Q2)*Fsw*(Table16[[#This Row],[Vin]]-Table16[[#This Row],[Iout]]*Rdson1)+IF(QrrSky_Q3&gt;0,QrrSky_Q3,Qrr_Q3)*Fsw*Vout)</f>
        <v>0</v>
      </c>
      <c r="BB11" s="345">
        <f>CHOOSE(Table16[[#This Row],[Mode Digit]],0, IF(QrrSky_Q3&gt;0,QrrSky_Q3,Qrr_Q3)*Fsw*Vout,  IF(QrrSky_Q2&gt;0,QrrSky_Q2,Qrr_Q2)*Fsw*(Table16[[#This Row],[Vin]]-Table16[[#This Row],[Iout]]*Rdson1)+IF(QrrSky_Q3&gt;0,QrrSky_Q3,Qrr_Q3)*Fsw*Vout)</f>
        <v>0.35660799999999998</v>
      </c>
      <c r="BC11" s="345">
        <f>CHOOSE(Table16[[#This Row],[Mode Digit]], Rs*Table16[[#This Row],[Irms BuSync]]^2, Rs*Table16[[#This Row],[Irms BoCtlr]]^2, Rs*(Table16[[#This Row],[Irms BuSync]]^2+Table16[[#This Row],[Irms BoCtlr]]^2))</f>
        <v>0.36840749326088229</v>
      </c>
      <c r="BD11" s="345">
        <f t="shared" si="1"/>
        <v>0.64</v>
      </c>
      <c r="BE11" s="345">
        <f>IF(Vout&gt;8, Iq*Vout, Iq*Table16[[#This Row],[Vin]])</f>
        <v>4.8000000000000001E-2</v>
      </c>
      <c r="BF11" s="345">
        <f>CHOOSE(Table16[[#This Row],[Mode Digit]], (Qg_Q1+Qg_Q2)*Fsw, (Qg_Q3+Qg_Q4)*Fsw, (Qg_Q1+Qg_Q2+Qg_Q3+Qg_Q4)*Fsw)*IF(Vout&gt;8, Vout, Table16[[#This Row],[Vin]])</f>
        <v>0.85331200000000007</v>
      </c>
      <c r="BG11" s="345">
        <f t="shared" si="2"/>
        <v>0.50594479787234037</v>
      </c>
      <c r="BH11" s="345">
        <f>Table16[[#This Row],[IQ Loss]]+Table16[[#This Row],[Switching Current Loss]]</f>
        <v>0.90131200000000011</v>
      </c>
      <c r="BI11"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12.53664492160846</v>
      </c>
      <c r="BJ11" s="253">
        <f>Vout*Table16[[#This Row],[Iout]]</f>
        <v>128</v>
      </c>
      <c r="BK11" s="684">
        <f>Table16[[#This Row],[Pout]]/(Table16[[#This Row],[Pout]]+Table16[[#This Row],[Total Loss]])</f>
        <v>0.91079447692378446</v>
      </c>
      <c r="BL11"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221.427515858329</v>
      </c>
      <c r="BM11" s="685">
        <f>IF(Table16[[#This Row],[Vin]]&gt;Vout, Table16[[#This Row],[Total Sync Bu MOSFET Loss]]*ThetaJA_Q2, ThetaJA_Q3*Table16[[#This Row],[Total Sync Bo MOSFET Loss]])</f>
        <v>97.255088547162828</v>
      </c>
      <c r="BN11" s="640"/>
      <c r="BO11" s="292">
        <f>Table16[[#This Row],[EFF, h]]*100</f>
        <v>91.079447692378452</v>
      </c>
      <c r="BP11" s="345">
        <f>Table16[[#This Row],[Total Inductor Loss]]</f>
        <v>2.7382345780605668</v>
      </c>
      <c r="BQ11" s="345">
        <f>Table16[[#This Row],[Total Control Bu MOSFET Loss]]+Table16[[#This Row],[Total Sync Bu MOSFET Loss]]+Table16[[#This Row],[Total Control Bo MOSFET Loss]]+Table16[[#This Row],[Total Sync Bo MOSFET Loss]]+Table16[[#This Row],[Reverse Recovery Loss MOSFET D BUCK]]+Table16[[#This Row],[Reverse Recovery Loss MOSFET D BOOST]]</f>
        <v>7.6703601334547198</v>
      </c>
      <c r="BR11" s="345">
        <f>Table16[[#This Row],[Total Control Bu MOSFET Loss]]+Table16[[#This Row],[Reverse Recovery Loss MOSFET D BUCK]]*0.66</f>
        <v>2.7675508349086924</v>
      </c>
      <c r="BS11" s="345">
        <f>Table16[[#This Row],[Total Sync Bu MOSFET Loss]]+Table16[[#This Row],[Reverse Recovery Loss MOSFET D BUCK]]*0.33</f>
        <v>0</v>
      </c>
      <c r="BT11" s="345">
        <f xml:space="preserve"> Table16[[#This Row],[Total Control Bo MOSFET Loss]]+Table16[[#This Row],[Reverse Recovery Loss MOSFET D BOOST]]*0.66</f>
        <v>3.2853304470512157</v>
      </c>
      <c r="BU11" s="345">
        <f xml:space="preserve"> Table16[[#This Row],[Total Sync Bo MOSFET Loss]]+Table16[[#This Row],[Reverse Recovery Loss MOSFET D BOOST]]*0.33</f>
        <v>1.6139127714948129</v>
      </c>
      <c r="BV11" s="345">
        <f>Table16[[#This Row],[Isense Shunt Loss]]</f>
        <v>0.36840749326088229</v>
      </c>
      <c r="BZ11" s="253" t="s">
        <v>136</v>
      </c>
      <c r="CA11" s="686">
        <v>90</v>
      </c>
      <c r="CB11" s="686">
        <v>90</v>
      </c>
      <c r="CC11" s="686">
        <v>90</v>
      </c>
      <c r="CD11" s="686">
        <f>250000*(12-Vdd)*CC11/1000000000+((250000*CC9/1000000000*Vdd)*2.5/(2*4))</f>
        <v>0.14226562500000001</v>
      </c>
      <c r="CE11" s="253">
        <f t="shared" si="3"/>
        <v>11.381250000000001</v>
      </c>
      <c r="CF11" s="253">
        <f t="shared" si="3"/>
        <v>14.2265625</v>
      </c>
      <c r="CG11" s="253">
        <f t="shared" si="3"/>
        <v>17.071875000000002</v>
      </c>
      <c r="CH11" s="253">
        <f t="shared" si="3"/>
        <v>19.917187500000001</v>
      </c>
      <c r="CI11" s="253">
        <f t="shared" si="3"/>
        <v>22.762500000000003</v>
      </c>
      <c r="CJ11" s="253">
        <f t="shared" si="3"/>
        <v>25.607812500000001</v>
      </c>
      <c r="CK11" s="253">
        <f t="shared" si="3"/>
        <v>2.8453125000000004</v>
      </c>
      <c r="CL11" s="253">
        <f t="shared" si="3"/>
        <v>4.2679687500000005</v>
      </c>
      <c r="CM11" s="253">
        <f t="shared" si="3"/>
        <v>5.6906250000000007</v>
      </c>
      <c r="CN11" s="253">
        <f t="shared" si="3"/>
        <v>7.11328125</v>
      </c>
    </row>
    <row r="12" spans="1:92" x14ac:dyDescent="0.2">
      <c r="A12" s="690" t="s">
        <v>5</v>
      </c>
      <c r="B12" s="569">
        <f>Vout</f>
        <v>16</v>
      </c>
      <c r="C12" s="255" t="s">
        <v>0</v>
      </c>
      <c r="D12" s="255" t="s">
        <v>5</v>
      </c>
      <c r="G12" s="253">
        <v>3</v>
      </c>
      <c r="H12" s="286">
        <f>VIN_min+(VIN_max-VIN_min)*(Table16[[#This Row],[Step]]/200)</f>
        <v>6.45</v>
      </c>
      <c r="I12" s="292" t="str">
        <f>IF(Mode = 2,IF(Table16[[#This Row],[Vin]]&gt;Vout, "BUCK","BOOST"),IF(Table16[[#This Row],[Vin]]&gt;VIN_BB_to_buck, "BUCK", IF(Table16[[#This Row],[Vin]]&lt;=VIN_boost_to_BB,"BOOST","BUCK-BST")))</f>
        <v>BOOST</v>
      </c>
      <c r="J12" s="253">
        <f>IF(Table16[[#This Row],[Mode]]="BOOST",2, IF(Table16[[#This Row],[Mode]]="BUCK", 1,3))</f>
        <v>2</v>
      </c>
      <c r="K12" s="253">
        <f t="shared" si="0"/>
        <v>8</v>
      </c>
      <c r="L12" s="292">
        <f>Vout*Table16[[#This Row],[Iout]]/(Table16[[#This Row],[Vin]]*Efficiency)</f>
        <v>20.889432884536927</v>
      </c>
      <c r="M12" s="682">
        <f>MIN(1/Fsw,CHOOSE(Table16[[#This Row],[Mode Digit]],(Vout+(Rdson2+Rs+Rdcr)*Table16[[#This Row],[Iout]])/(Table16[[#This Row],[Vin]]+(Rs+Rdson2-Rdson1)*Table16[[#This Row],[Iout]])/Fsw,(Vout+(Rdson3+Rdcr)*Table16[[#This Row],[Iin]]-Table16[[#This Row],[Vin]])/(Vout+(Rdson3-Rdson4-Rs)*Table16[[#This Row],[Iin]])/Fsw,t1_Ph_II))</f>
        <v>1.524251508190772E-6</v>
      </c>
      <c r="N12" s="518">
        <f>CHOOSE(Table16[[#This Row],[Mode Digit]],1/Fsw-Table16[[#This Row],[t1_Ph_II]],1/Fsw-Table16[[#This Row],[t1_Ph_II]],(Vout/Fsw-Table16[[#This Row],[Vin]]*t1_Ph_II)/(Table16[[#This Row],[Vin]]+Vout))</f>
        <v>9.8831130587957993E-7</v>
      </c>
      <c r="O12" s="518">
        <f>1/Fsw-(Table16[[#This Row],[t1_Ph_II]]+Table16[[#This Row],[t2_Ph_I]])</f>
        <v>0</v>
      </c>
      <c r="P12"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18.158482265695127</v>
      </c>
      <c r="Q12" s="292">
        <f>CHOOSE(Table16[[#This Row],[Mode Digit]],Table16[[#This Row],[I_0]]+1/Lf*(Table16[[#This Row],[Vin]]-Vout)*Table16[[#This Row],[t1_Ph_II]],Table16[[#This Row],[I_0]]+1/Lf*Table16[[#This Row],[Vin]]*Table16[[#This Row],[t1_Ph_II]],Table16[[#This Row],[I_0]]+(Table16[[#This Row],[Vin]]-Vout)/L*Table16[[#This Row],[t1_Ph_II]])</f>
        <v>23.620383503378726</v>
      </c>
      <c r="R12" s="292">
        <f>CHOOSE(Table16[[#This Row],[Mode Digit]],0,0,Table16[[#This Row],[I_1]]+Table16[[#This Row],[Vin]]/L*Table16[[#This Row],[t2_Ph_I]])</f>
        <v>0</v>
      </c>
      <c r="S12" s="292">
        <f>Fsw*(Table16[[#This Row],[I_0]]*Table16[[#This Row],[t1_Ph_II]]+Table16[[#This Row],[I_1]]*Table16[[#This Row],[t2_Ph_I]]+Table16[[#This Row],[I_2]]*Table16[[#This Row],[t3_Ph_III]])</f>
        <v>20.306909646125678</v>
      </c>
      <c r="T12" s="345">
        <f>MIN(1,CHOOSE(Table16[[#This Row],[Mode Digit]],(Vout+(Rdson2+Rs+Rdcr)*Table16[[#This Row],[Iout]])/(Table16[[#This Row],[Vin]]+(Rs+Rdson2-Rdson1)*Table16[[#This Row],[Iout]]),1,Fsw*Table16[[#This Row],[t2_Ph_I]]+Table16[[#This Row],[t1_Ph_II]]))</f>
        <v>1</v>
      </c>
      <c r="U12" s="345">
        <f>MIN(1,CHOOSE(Table16[[#This Row],[Mode Digit]],0,(Vout+(Rdson3+Rdcr)*Table16[[#This Row],[Iin]]-Table16[[#This Row],[Vin]])/(Vout+(Rdson3-Rdson4-Rs)*Table16[[#This Row],[Iin]]),Fsw*Table16[[#This Row],[t1_Ph_II]]+Table16[[#This Row],[t3_Ph_III]]))</f>
        <v>0.60665210025992722</v>
      </c>
      <c r="V12" s="292">
        <f>MAX(Table16[[#This Row],[I_0]:[I_2]])-MIN(Table16[[#This Row],[I_0]:[I_1]])</f>
        <v>5.4619012376835983</v>
      </c>
      <c r="W12"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20.94885287229566</v>
      </c>
      <c r="X12" s="345">
        <f>(Table16[[#This Row],[Irms Lf]]^2*Rdcr*(1+Ltc*Ta-Ltc*25))/(1-Table16[[#This Row],[Irms Lf]]^2*Rdcr*Ltc*ThetaCa)</f>
        <v>1.5820751795152985</v>
      </c>
      <c r="Y12" s="345">
        <f>ABS(7.759*10^-3*Fsw^0.9458*(0.00787*Table16[[#This Row],[Ripple Current pk-pk]])^2.304)</f>
        <v>1.0897858356908714</v>
      </c>
      <c r="Z12" s="345">
        <f>Table16[[#This Row],[DCR    Loss]]+Table16[[#This Row],[Core Loss]]</f>
        <v>2.6718610152061699</v>
      </c>
      <c r="AA12" s="292">
        <f>IF(Table16[[#This Row],[Vin]]&gt;Vout, Table16[[#This Row],[Ripple Current pk-pk]]/SQRT(12), SQRT(Table16[[#This Row],[Duty Cycle BOOST Leg]]/(1-Table16[[#This Row],[Duty Cycle BOOST Leg]]))*SQRT(Table16[[#This Row],[Iout]]^2+(Table16[[#This Row],[Ripple Current pk-pk]]^2)/12))</f>
        <v>10.126203174913449</v>
      </c>
      <c r="AB12" s="345">
        <f>RCoutEsr*Table16[[#This Row],[Irms Cout]]^2</f>
        <v>0.20507998147925446</v>
      </c>
      <c r="AC12" s="345">
        <f>Table16[[#This Row],[Cout ESR Loss]]</f>
        <v>0.20507998147925446</v>
      </c>
      <c r="AD12" s="345">
        <f>IF(Table16[[#This Row],[Vin]]&gt;Vout, SQRT(Table16[[#This Row],[Duty Cycle BUCK Leg]]*(1-Table16[[#This Row],[Duty Cycle BUCK Leg]]))*SQRT(Table16[[#This Row],[Iout]]^2+(Table16[[#This Row],[Ripple Current pk-pk]]^2)/12), Table16[[#This Row],[Ripple Current pk-pk]]/SQRT(12))</f>
        <v>1.5767150749318879</v>
      </c>
      <c r="AE12" s="345">
        <f>RCinEsr*Table16[[#This Row],[Irms Cin]]^2</f>
        <v>4.9720608550349382E-3</v>
      </c>
      <c r="AF12" s="683">
        <f>Table16[[#This Row],[Cin ESR Loss]]</f>
        <v>4.9720608550349382E-3</v>
      </c>
      <c r="AG12"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20.94885287229566</v>
      </c>
      <c r="AH12" s="345">
        <f>Rdson1*Table16[[#This Row],[Irms BuCtrl]]^2</f>
        <v>1.5359905283278155</v>
      </c>
      <c r="AI12" s="345">
        <f>CHOOSE(Table16[[#This Row],[Mode Digit]], (Table16[[#This Row],[Vin]]*Table16[[#This Row],[Iout]]/2)*(Fsw)*(Tr_buck+Tf_buck), 0, (Table16[[#This Row],[Vin]]*Table16[[#This Row],[Avg IL]]/2)*(Fsw/1)*(Tr_buck+Tf_buck))</f>
        <v>0</v>
      </c>
      <c r="AJ12" s="253">
        <f>IF(Table16[[#This Row],[Vin]]&gt;Vout, IF(Table16[[#This Row],[Iout]]&gt;Table16[[#This Row],[Ripple Current pk-pk]]/2,0,ABS(Table16[[#This Row],[Iout]]-Table16[[#This Row],[Ripple Current pk-pk]]/2)*Vsd_Q1*Deadtime*Fsw),0)</f>
        <v>0</v>
      </c>
      <c r="AK12" s="345">
        <f>(Table16[[#This Row],[Dead Time Loss BuCtrl]]+Table16[[#This Row],[Transition Loss BuCtrl]]+Table16[[#This Row],[RDS(on) Loss BuCtrl]]*(1+RdsonTopTc*Ta-RdsonTopTc*25))/(1-Table16[[#This Row],[RDS(on) Loss BuCtrl]]*RdsonTopTc*ThetaJA_Q1)</f>
        <v>2.5572459888867427</v>
      </c>
      <c r="AL12" s="345">
        <f>CHOOSE(Table16[[#This Row],[Mode Digit]],SQRT((Fsw*(Table16[[#This Row],[t2_Ph_I]]+0))*((Table16[[#This Row],[I_0]]*Table16[[#This Row],[I_1]]+((Table16[[#This Row],[I_0]]-Table16[[#This Row],[I_1]])^2)/3))),0,SQRT((Fsw*(Table16[[#This Row],[t3_Ph_III]]+0))*((Table16[[#This Row],[I_0]]*Table16[[#This Row],[I_2]]+((Table16[[#This Row],[I_0]]-Table16[[#This Row],[I_2]])^2)/3))))</f>
        <v>0</v>
      </c>
      <c r="AM12" s="345">
        <f>Rdson2*Table16[[#This Row],[Irms BuSync]]^2</f>
        <v>0</v>
      </c>
      <c r="AN12"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12" s="345">
        <f>(Table16[[#This Row],[Deadtime Loss BuSync]]+Table16[[#This Row],[RDS(on) Loss BuSync]]*(1+RdsonBotTc*Ta-RdsonBotTc*25))/(1-Table16[[#This Row],[RDS(on) Loss BuSync]]*RdsonBotTc*ThetaJA_Q2)</f>
        <v>0</v>
      </c>
      <c r="AP12" s="345">
        <f>CHOOSE(Table16[[#This Row],[Mode Digit]],0,SQRT((Fsw*(Table16[[#This Row],[t1_Ph_II]]+0))*((Table16[[#This Row],[I_0]]*Table16[[#This Row],[I_1]]+((Table16[[#This Row],[I_0]]-Table16[[#This Row],[I_1]])^2)/3))),SQRT((Fsw*(Table16[[#This Row],[t2_Ph_I]]+0))*((Table16[[#This Row],[I_1]]*Table16[[#This Row],[I_2]]+((Table16[[#This Row],[I_1]]-Table16[[#This Row],[I_2]])^2)/3))))</f>
        <v>16.316616245755863</v>
      </c>
      <c r="AQ12" s="345">
        <f>Rdson4*Table16[[#This Row],[Irms BoCtlr]]^2</f>
        <v>0.93181187998942472</v>
      </c>
      <c r="AR12" s="345">
        <f>CHOOSE(Table16[[#This Row],[Mode Digit]], 0, (Vout*Table16[[#This Row],[Iin]]/2)*(Fsw)*(Tr_boost+Tf_boost), (Vout*Iout/2)*(Fsw/1)*(Tr_boost+Tf_boost))</f>
        <v>1.2419896110756372</v>
      </c>
      <c r="AS12" s="253">
        <f>IF(Table16[[#This Row],[Vin]]&gt;Vout, 0, IF(Table16[[#This Row],[Iin]]&gt;Table16[[#This Row],[Ripple Current pk-pk]]/2,0,ABS(Table16[[#This Row],[Iin]]-Table16[[#This Row],[Ripple Current pk-pk]]/2)*Vsd_Q4*Deadtime*Fsw))</f>
        <v>0</v>
      </c>
      <c r="AT12" s="345">
        <f>(Table16[[#This Row],[Dead Time Loss BoCtlr]]+Table16[[#This Row],[Transition Loss BoCtlr]]+Table16[[#This Row],[RDS(on) Loss BoCtlr]]*(1+RdsonTopTc*Ta-RdsonTopTc*25))/(1-Table16[[#This Row],[RDS(on) Loss BoCtlr]]*RdsonTopTc*ThetaJA_Q4)</f>
        <v>2.8688379959193697</v>
      </c>
      <c r="AU12"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13.138587098840805</v>
      </c>
      <c r="AV12" s="345">
        <f>Rdson3*Table16[[#This Row],[Irms BoSync]]^2</f>
        <v>0.60417864833839119</v>
      </c>
      <c r="AW12"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0.62354957160342717</v>
      </c>
      <c r="AX12" s="345">
        <f>(Table16[[#This Row],[Deadtime Loss BoSync]]+Table16[[#This Row],[RDS(on) Loss BoSync]]*(1+RdsonBotTc*Ta-RdsonBotTc*25))/(1-Table16[[#This Row],[RDS(on) Loss BoSync]]*RdsonBotTc*ThetaJA_Q3)</f>
        <v>1.4565292227845217</v>
      </c>
      <c r="AY12" s="345">
        <f>CHOOSE(Table16[[#This Row],[Mode Digit]], Rdson3*Table16[[#This Row],[Irms Lf]]^2, Rdson1*Table16[[#This Row],[Irms Lf]]^2, 0)</f>
        <v>1.5359905283278155</v>
      </c>
      <c r="AZ12" s="345">
        <f>CHOOSE(Table16[[#This Row],[Mode Digit]], 2*Deadtime*Fsw*IF(VfdSky_Q2&gt;0,VfdSky_Q2,0)*Table16[[#This Row],[Iout]], 2*Deadtime*Fsw*IF(VfdSky_Q3&gt;0,VfdSky_Q3,0)*Table16[[#This Row],[Iin]], 2*Deadtime*Fsw*IF(VfdSky_Q2&gt;0,VfdSky_Q2,0)*Table16[[#This Row],[Iout]]+2*Deadtime*Fsw*IF(VfdSky_Q3&gt;0,VfdSky_Q3,0)*Table16[[#This Row],[Iin]])</f>
        <v>0</v>
      </c>
      <c r="BA12" s="345">
        <f>CHOOSE(Table16[[#This Row],[Mode Digit]], IF(QrrSky_Q2&gt;0,QrrSky_Q2,Qrr_Q2)*Fsw*(Table16[[#This Row],[Vin]]-Table16[[#This Row],[Iout]]*Rdson1),0,  IF(QrrSky_Q2&gt;0,QrrSky_Q2,Qrr_Q2)*Fsw*(Table16[[#This Row],[Vin]]-Table16[[#This Row],[Iout]]*Rdson1)+IF(QrrSky_Q3&gt;0,QrrSky_Q3,Qrr_Q3)*Fsw*Vout)</f>
        <v>0</v>
      </c>
      <c r="BB12" s="345">
        <f>CHOOSE(Table16[[#This Row],[Mode Digit]],0, IF(QrrSky_Q3&gt;0,QrrSky_Q3,Qrr_Q3)*Fsw*Vout,  IF(QrrSky_Q2&gt;0,QrrSky_Q2,Qrr_Q2)*Fsw*(Table16[[#This Row],[Vin]]-Table16[[#This Row],[Iout]]*Rdson1)+IF(QrrSky_Q3&gt;0,QrrSky_Q3,Qrr_Q3)*Fsw*Vout)</f>
        <v>0.35660799999999998</v>
      </c>
      <c r="BC12" s="345">
        <f>CHOOSE(Table16[[#This Row],[Mode Digit]], Rs*Table16[[#This Row],[Irms BuSync]]^2, Rs*Table16[[#This Row],[Irms BoCtlr]]^2, Rs*(Table16[[#This Row],[Irms BuSync]]^2+Table16[[#This Row],[Irms BoCtlr]]^2))</f>
        <v>0.34610155542464344</v>
      </c>
      <c r="BD12" s="345">
        <f t="shared" si="1"/>
        <v>0.64</v>
      </c>
      <c r="BE12" s="345">
        <f>IF(Vout&gt;8, Iq*Vout, Iq*Table16[[#This Row],[Vin]])</f>
        <v>4.8000000000000001E-2</v>
      </c>
      <c r="BF12" s="345">
        <f>CHOOSE(Table16[[#This Row],[Mode Digit]], (Qg_Q1+Qg_Q2)*Fsw, (Qg_Q3+Qg_Q4)*Fsw, (Qg_Q1+Qg_Q2+Qg_Q3+Qg_Q4)*Fsw)*IF(Vout&gt;8, Vout, Table16[[#This Row],[Vin]])</f>
        <v>0.85331200000000007</v>
      </c>
      <c r="BG12" s="345">
        <f t="shared" si="2"/>
        <v>0.50594479787234037</v>
      </c>
      <c r="BH12" s="345">
        <f>Table16[[#This Row],[IQ Loss]]+Table16[[#This Row],[Switching Current Loss]]</f>
        <v>0.90131200000000011</v>
      </c>
      <c r="BI12"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12.008547820555737</v>
      </c>
      <c r="BJ12" s="253">
        <f>Vout*Table16[[#This Row],[Iout]]</f>
        <v>128</v>
      </c>
      <c r="BK12" s="684">
        <f>Table16[[#This Row],[Pout]]/(Table16[[#This Row],[Pout]]+Table16[[#This Row],[Total Loss]])</f>
        <v>0.91422989519220854</v>
      </c>
      <c r="BL12"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209.65398973475902</v>
      </c>
      <c r="BM12" s="685">
        <f>IF(Table16[[#This Row],[Vin]]&gt;Vout, Table16[[#This Row],[Total Sync Bu MOSFET Loss]]*ThetaJA_Q2, ThetaJA_Q3*Table16[[#This Row],[Total Sync Bo MOSFET Loss]])</f>
        <v>94.674399480993912</v>
      </c>
      <c r="BN12" s="640"/>
      <c r="BO12" s="292">
        <f>Table16[[#This Row],[EFF, h]]*100</f>
        <v>91.422989519220849</v>
      </c>
      <c r="BP12" s="345">
        <f>Table16[[#This Row],[Total Inductor Loss]]</f>
        <v>2.6718610152061699</v>
      </c>
      <c r="BQ12" s="345">
        <f>Table16[[#This Row],[Total Control Bu MOSFET Loss]]+Table16[[#This Row],[Total Sync Bu MOSFET Loss]]+Table16[[#This Row],[Total Control Bo MOSFET Loss]]+Table16[[#This Row],[Total Sync Bo MOSFET Loss]]+Table16[[#This Row],[Reverse Recovery Loss MOSFET D BUCK]]+Table16[[#This Row],[Reverse Recovery Loss MOSFET D BOOST]]</f>
        <v>7.2392212075906333</v>
      </c>
      <c r="BR12" s="345">
        <f>Table16[[#This Row],[Total Control Bu MOSFET Loss]]+Table16[[#This Row],[Reverse Recovery Loss MOSFET D BUCK]]*0.66</f>
        <v>2.5572459888867427</v>
      </c>
      <c r="BS12" s="345">
        <f>Table16[[#This Row],[Total Sync Bu MOSFET Loss]]+Table16[[#This Row],[Reverse Recovery Loss MOSFET D BUCK]]*0.33</f>
        <v>0</v>
      </c>
      <c r="BT12" s="345">
        <f xml:space="preserve"> Table16[[#This Row],[Total Control Bo MOSFET Loss]]+Table16[[#This Row],[Reverse Recovery Loss MOSFET D BOOST]]*0.66</f>
        <v>3.1041992759193695</v>
      </c>
      <c r="BU12" s="345">
        <f xml:space="preserve"> Table16[[#This Row],[Total Sync Bo MOSFET Loss]]+Table16[[#This Row],[Reverse Recovery Loss MOSFET D BOOST]]*0.33</f>
        <v>1.5742098627845218</v>
      </c>
      <c r="BV12" s="345">
        <f>Table16[[#This Row],[Isense Shunt Loss]]</f>
        <v>0.34610155542464344</v>
      </c>
      <c r="BZ12" s="253" t="s">
        <v>141</v>
      </c>
      <c r="CA12" s="686">
        <v>60</v>
      </c>
      <c r="CB12" s="686">
        <v>60</v>
      </c>
      <c r="CC12" s="686">
        <v>60</v>
      </c>
      <c r="CD12" s="686">
        <f>250000*(18-Vdd)*CC12/1000000000+((250000*CC9/1000000000*Vdd)*2.5/(2*4))</f>
        <v>0.198515625</v>
      </c>
      <c r="CE12" s="253">
        <f t="shared" si="3"/>
        <v>15.88125</v>
      </c>
      <c r="CF12" s="253">
        <f t="shared" si="3"/>
        <v>19.8515625</v>
      </c>
      <c r="CG12" s="253">
        <f t="shared" si="3"/>
        <v>23.821874999999999</v>
      </c>
      <c r="CH12" s="253">
        <f t="shared" si="3"/>
        <v>27.792187500000001</v>
      </c>
      <c r="CI12" s="253">
        <f t="shared" si="3"/>
        <v>31.762499999999999</v>
      </c>
      <c r="CJ12" s="253">
        <f t="shared" si="3"/>
        <v>35.732812500000001</v>
      </c>
      <c r="CK12" s="253">
        <f t="shared" si="3"/>
        <v>3.9703124999999999</v>
      </c>
      <c r="CL12" s="253">
        <f t="shared" si="3"/>
        <v>5.9554687499999996</v>
      </c>
      <c r="CM12" s="253">
        <f t="shared" si="3"/>
        <v>7.9406249999999998</v>
      </c>
      <c r="CN12" s="253">
        <f t="shared" si="3"/>
        <v>9.92578125</v>
      </c>
    </row>
    <row r="13" spans="1:92" x14ac:dyDescent="0.2">
      <c r="A13" s="690" t="s">
        <v>7</v>
      </c>
      <c r="B13" s="569">
        <f>Fsw/1000</f>
        <v>398</v>
      </c>
      <c r="C13" s="255" t="s">
        <v>3</v>
      </c>
      <c r="D13" s="255" t="s">
        <v>96</v>
      </c>
      <c r="G13" s="253">
        <v>4</v>
      </c>
      <c r="H13" s="286">
        <f>VIN_min+(VIN_max-VIN_min)*(Table16[[#This Row],[Step]]/200)</f>
        <v>6.6</v>
      </c>
      <c r="I13" s="292" t="str">
        <f>IF(Mode = 2,IF(Table16[[#This Row],[Vin]]&gt;Vout, "BUCK","BOOST"),IF(Table16[[#This Row],[Vin]]&gt;VIN_BB_to_buck, "BUCK", IF(Table16[[#This Row],[Vin]]&lt;=VIN_boost_to_BB,"BOOST","BUCK-BST")))</f>
        <v>BOOST</v>
      </c>
      <c r="J13" s="253">
        <f>IF(Table16[[#This Row],[Mode]]="BOOST",2, IF(Table16[[#This Row],[Mode]]="BUCK", 1,3))</f>
        <v>2</v>
      </c>
      <c r="K13" s="253">
        <f t="shared" si="0"/>
        <v>8</v>
      </c>
      <c r="L13" s="292">
        <f>Vout*Table16[[#This Row],[Iout]]/(Table16[[#This Row],[Vin]]*Efficiency)</f>
        <v>20.414673046251995</v>
      </c>
      <c r="M13" s="682">
        <f>MIN(1/Fsw,CHOOSE(Table16[[#This Row],[Mode Digit]],(Vout+(Rdson2+Rs+Rdcr)*Table16[[#This Row],[Iout]])/(Table16[[#This Row],[Vin]]+(Rs+Rdson2-Rdson1)*Table16[[#This Row],[Iout]])/Fsw,(Vout+(Rdson3+Rdcr)*Table16[[#This Row],[Iin]]-Table16[[#This Row],[Vin]])/(Vout+(Rdson3-Rdson4-Rs)*Table16[[#This Row],[Iin]])/Fsw,t1_Ph_II))</f>
        <v>1.5000978597376943E-6</v>
      </c>
      <c r="N13" s="518">
        <f>CHOOSE(Table16[[#This Row],[Mode Digit]],1/Fsw-Table16[[#This Row],[t1_Ph_II]],1/Fsw-Table16[[#This Row],[t1_Ph_II]],(Vout/Fsw-Table16[[#This Row],[Vin]]*t1_Ph_II)/(Table16[[#This Row],[Vin]]+Vout))</f>
        <v>1.0124649543326576E-6</v>
      </c>
      <c r="O13" s="518">
        <f>1/Fsw-(Table16[[#This Row],[t1_Ph_II]]+Table16[[#This Row],[t2_Ph_I]])</f>
        <v>0</v>
      </c>
      <c r="P13"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17.664493636732889</v>
      </c>
      <c r="Q13" s="292">
        <f>CHOOSE(Table16[[#This Row],[Mode Digit]],Table16[[#This Row],[I_0]]+1/Lf*(Table16[[#This Row],[Vin]]-Vout)*Table16[[#This Row],[t1_Ph_II]],Table16[[#This Row],[I_0]]+1/Lf*Table16[[#This Row],[Vin]]*Table16[[#This Row],[t1_Ph_II]],Table16[[#This Row],[I_0]]+(Table16[[#This Row],[Vin]]-Vout)/L*Table16[[#This Row],[t1_Ph_II]])</f>
        <v>23.164852455771101</v>
      </c>
      <c r="R13" s="292">
        <f>CHOOSE(Table16[[#This Row],[Mode Digit]],0,0,Table16[[#This Row],[I_1]]+Table16[[#This Row],[Vin]]/L*Table16[[#This Row],[t2_Ph_I]])</f>
        <v>0</v>
      </c>
      <c r="S13" s="292">
        <f>Fsw*(Table16[[#This Row],[I_0]]*Table16[[#This Row],[t1_Ph_II]]+Table16[[#This Row],[I_1]]*Table16[[#This Row],[t2_Ph_I]]+Table16[[#This Row],[I_2]]*Table16[[#This Row],[t3_Ph_III]])</f>
        <v>19.880924011864131</v>
      </c>
      <c r="T13" s="345">
        <f>MIN(1,CHOOSE(Table16[[#This Row],[Mode Digit]],(Vout+(Rdson2+Rs+Rdcr)*Table16[[#This Row],[Iout]])/(Table16[[#This Row],[Vin]]+(Rs+Rdson2-Rdson1)*Table16[[#This Row],[Iout]]),1,Fsw*Table16[[#This Row],[t2_Ph_I]]+Table16[[#This Row],[t1_Ph_II]]))</f>
        <v>1</v>
      </c>
      <c r="U13" s="345">
        <f>MIN(1,CHOOSE(Table16[[#This Row],[Mode Digit]],0,(Vout+(Rdson3+Rdcr)*Table16[[#This Row],[Iin]]-Table16[[#This Row],[Vin]])/(Vout+(Rdson3-Rdson4-Rs)*Table16[[#This Row],[Iin]]),Fsw*Table16[[#This Row],[t1_Ph_II]]+Table16[[#This Row],[t3_Ph_III]]))</f>
        <v>0.59703894817560232</v>
      </c>
      <c r="V13" s="292">
        <f>MAX(Table16[[#This Row],[I_0]:[I_2]])-MIN(Table16[[#This Row],[I_0]:[I_1]])</f>
        <v>5.5003588190382118</v>
      </c>
      <c r="W13"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20.476328719936149</v>
      </c>
      <c r="X13" s="345">
        <f>(Table16[[#This Row],[Irms Lf]]^2*Rdcr*(1+Ltc*Ta-Ltc*25))/(1-Table16[[#This Row],[Irms Lf]]^2*Rdcr*Ltc*ThetaCa)</f>
        <v>1.5030242674788732</v>
      </c>
      <c r="Y13" s="345">
        <f>ABS(7.759*10^-3*Fsw^0.9458*(0.00787*Table16[[#This Row],[Ripple Current pk-pk]])^2.304)</f>
        <v>1.1075462199137349</v>
      </c>
      <c r="Z13" s="345">
        <f>Table16[[#This Row],[DCR    Loss]]+Table16[[#This Row],[Core Loss]]</f>
        <v>2.6105704873926081</v>
      </c>
      <c r="AA13" s="292">
        <f>IF(Table16[[#This Row],[Vin]]&gt;Vout, Table16[[#This Row],[Ripple Current pk-pk]]/SQRT(12), SQRT(Table16[[#This Row],[Duty Cycle BOOST Leg]]/(1-Table16[[#This Row],[Duty Cycle BOOST Leg]]))*SQRT(Table16[[#This Row],[Iout]]^2+(Table16[[#This Row],[Ripple Current pk-pk]]^2)/12))</f>
        <v>9.9277243536012509</v>
      </c>
      <c r="AB13" s="345">
        <f>RCoutEsr*Table16[[#This Row],[Irms Cout]]^2</f>
        <v>0.19711942168217478</v>
      </c>
      <c r="AC13" s="345">
        <f>Table16[[#This Row],[Cout ESR Loss]]</f>
        <v>0.19711942168217478</v>
      </c>
      <c r="AD13" s="345">
        <f>IF(Table16[[#This Row],[Vin]]&gt;Vout, SQRT(Table16[[#This Row],[Duty Cycle BUCK Leg]]*(1-Table16[[#This Row],[Duty Cycle BUCK Leg]]))*SQRT(Table16[[#This Row],[Iout]]^2+(Table16[[#This Row],[Ripple Current pk-pk]]^2)/12), Table16[[#This Row],[Ripple Current pk-pk]]/SQRT(12))</f>
        <v>1.5878168224056219</v>
      </c>
      <c r="AE13" s="345">
        <f>RCinEsr*Table16[[#This Row],[Irms Cin]]^2</f>
        <v>5.0423245230285735E-3</v>
      </c>
      <c r="AF13" s="683">
        <f>Table16[[#This Row],[Cin ESR Loss]]</f>
        <v>5.0423245230285735E-3</v>
      </c>
      <c r="AG13"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20.476328719936149</v>
      </c>
      <c r="AH13" s="345">
        <f>Rdson1*Table16[[#This Row],[Irms BuCtrl]]^2</f>
        <v>1.4674801324640869</v>
      </c>
      <c r="AI13" s="345">
        <f>CHOOSE(Table16[[#This Row],[Mode Digit]], (Table16[[#This Row],[Vin]]*Table16[[#This Row],[Iout]]/2)*(Fsw)*(Tr_buck+Tf_buck), 0, (Table16[[#This Row],[Vin]]*Table16[[#This Row],[Avg IL]]/2)*(Fsw/1)*(Tr_buck+Tf_buck))</f>
        <v>0</v>
      </c>
      <c r="AJ13" s="253">
        <f>IF(Table16[[#This Row],[Vin]]&gt;Vout, IF(Table16[[#This Row],[Iout]]&gt;Table16[[#This Row],[Ripple Current pk-pk]]/2,0,ABS(Table16[[#This Row],[Iout]]-Table16[[#This Row],[Ripple Current pk-pk]]/2)*Vsd_Q1*Deadtime*Fsw),0)</f>
        <v>0</v>
      </c>
      <c r="AK13" s="345">
        <f>(Table16[[#This Row],[Dead Time Loss BuCtrl]]+Table16[[#This Row],[Transition Loss BuCtrl]]+Table16[[#This Row],[RDS(on) Loss BuCtrl]]*(1+RdsonTopTc*Ta-RdsonTopTc*25))/(1-Table16[[#This Row],[RDS(on) Loss BuCtrl]]*RdsonTopTc*ThetaJA_Q1)</f>
        <v>2.3728157095056073</v>
      </c>
      <c r="AL13" s="345">
        <f>CHOOSE(Table16[[#This Row],[Mode Digit]],SQRT((Fsw*(Table16[[#This Row],[t2_Ph_I]]+0))*((Table16[[#This Row],[I_0]]*Table16[[#This Row],[I_1]]+((Table16[[#This Row],[I_0]]-Table16[[#This Row],[I_1]])^2)/3))),0,SQRT((Fsw*(Table16[[#This Row],[t3_Ph_III]]+0))*((Table16[[#This Row],[I_0]]*Table16[[#This Row],[I_2]]+((Table16[[#This Row],[I_0]]-Table16[[#This Row],[I_2]])^2)/3))))</f>
        <v>0</v>
      </c>
      <c r="AM13" s="345">
        <f>Rdson2*Table16[[#This Row],[Irms BuSync]]^2</f>
        <v>0</v>
      </c>
      <c r="AN13"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13" s="345">
        <f>(Table16[[#This Row],[Deadtime Loss BuSync]]+Table16[[#This Row],[RDS(on) Loss BuSync]]*(1+RdsonBotTc*Ta-RdsonBotTc*25))/(1-Table16[[#This Row],[RDS(on) Loss BuSync]]*RdsonBotTc*ThetaJA_Q2)</f>
        <v>0</v>
      </c>
      <c r="AP13" s="345">
        <f>CHOOSE(Table16[[#This Row],[Mode Digit]],0,SQRT((Fsw*(Table16[[#This Row],[t1_Ph_II]]+0))*((Table16[[#This Row],[I_0]]*Table16[[#This Row],[I_1]]+((Table16[[#This Row],[I_0]]-Table16[[#This Row],[I_1]])^2)/3))),SQRT((Fsw*(Table16[[#This Row],[t2_Ph_I]]+0))*((Table16[[#This Row],[I_1]]*Table16[[#This Row],[I_2]]+((Table16[[#This Row],[I_1]]-Table16[[#This Row],[I_2]])^2)/3))))</f>
        <v>15.821710172643447</v>
      </c>
      <c r="AQ13" s="345">
        <f>Rdson4*Table16[[#This Row],[Irms BoCtlr]]^2</f>
        <v>0.87614279475495205</v>
      </c>
      <c r="AR13" s="345">
        <f>CHOOSE(Table16[[#This Row],[Mode Digit]], 0, (Vout*Table16[[#This Row],[Iin]]/2)*(Fsw)*(Tr_boost+Tf_boost), (Vout*Iout/2)*(Fsw/1)*(Tr_boost+Tf_boost))</f>
        <v>1.2137625744602818</v>
      </c>
      <c r="AS13" s="253">
        <f>IF(Table16[[#This Row],[Vin]]&gt;Vout, 0, IF(Table16[[#This Row],[Iin]]&gt;Table16[[#This Row],[Ripple Current pk-pk]]/2,0,ABS(Table16[[#This Row],[Iin]]-Table16[[#This Row],[Ripple Current pk-pk]]/2)*Vsd_Q4*Deadtime*Fsw))</f>
        <v>0</v>
      </c>
      <c r="AT13" s="345">
        <f>(Table16[[#This Row],[Dead Time Loss BoCtlr]]+Table16[[#This Row],[Transition Loss BoCtlr]]+Table16[[#This Row],[RDS(on) Loss BoCtlr]]*(1+RdsonTopTc*Ta-RdsonTopTc*25))/(1-Table16[[#This Row],[RDS(on) Loss BoCtlr]]*RdsonTopTc*ThetaJA_Q4)</f>
        <v>2.7064200889484065</v>
      </c>
      <c r="AU13"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12.998212379390978</v>
      </c>
      <c r="AV13" s="345">
        <f>Rdson3*Table16[[#This Row],[Irms BoSync]]^2</f>
        <v>0.5913373377091351</v>
      </c>
      <c r="AW13"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0.60937799043062191</v>
      </c>
      <c r="AX13" s="345">
        <f>(Table16[[#This Row],[Deadtime Loss BoSync]]+Table16[[#This Row],[RDS(on) Loss BoSync]]*(1+RdsonBotTc*Ta-RdsonBotTc*25))/(1-Table16[[#This Row],[RDS(on) Loss BoSync]]*RdsonBotTc*ThetaJA_Q3)</f>
        <v>1.418862128012047</v>
      </c>
      <c r="AY13" s="345">
        <f>CHOOSE(Table16[[#This Row],[Mode Digit]], Rdson3*Table16[[#This Row],[Irms Lf]]^2, Rdson1*Table16[[#This Row],[Irms Lf]]^2, 0)</f>
        <v>1.4674801324640869</v>
      </c>
      <c r="AZ13" s="345">
        <f>CHOOSE(Table16[[#This Row],[Mode Digit]], 2*Deadtime*Fsw*IF(VfdSky_Q2&gt;0,VfdSky_Q2,0)*Table16[[#This Row],[Iout]], 2*Deadtime*Fsw*IF(VfdSky_Q3&gt;0,VfdSky_Q3,0)*Table16[[#This Row],[Iin]], 2*Deadtime*Fsw*IF(VfdSky_Q2&gt;0,VfdSky_Q2,0)*Table16[[#This Row],[Iout]]+2*Deadtime*Fsw*IF(VfdSky_Q3&gt;0,VfdSky_Q3,0)*Table16[[#This Row],[Iin]])</f>
        <v>0</v>
      </c>
      <c r="BA13" s="345">
        <f>CHOOSE(Table16[[#This Row],[Mode Digit]], IF(QrrSky_Q2&gt;0,QrrSky_Q2,Qrr_Q2)*Fsw*(Table16[[#This Row],[Vin]]-Table16[[#This Row],[Iout]]*Rdson1),0,  IF(QrrSky_Q2&gt;0,QrrSky_Q2,Qrr_Q2)*Fsw*(Table16[[#This Row],[Vin]]-Table16[[#This Row],[Iout]]*Rdson1)+IF(QrrSky_Q3&gt;0,QrrSky_Q3,Qrr_Q3)*Fsw*Vout)</f>
        <v>0</v>
      </c>
      <c r="BB13" s="345">
        <f>CHOOSE(Table16[[#This Row],[Mode Digit]],0, IF(QrrSky_Q3&gt;0,QrrSky_Q3,Qrr_Q3)*Fsw*Vout,  IF(QrrSky_Q2&gt;0,QrrSky_Q2,Qrr_Q2)*Fsw*(Table16[[#This Row],[Vin]]-Table16[[#This Row],[Iout]]*Rdson1)+IF(QrrSky_Q3&gt;0,QrrSky_Q3,Qrr_Q3)*Fsw*Vout)</f>
        <v>0.35660799999999998</v>
      </c>
      <c r="BC13" s="345">
        <f>CHOOSE(Table16[[#This Row],[Mode Digit]], Rs*Table16[[#This Row],[Irms BuSync]]^2, Rs*Table16[[#This Row],[Irms BoCtlr]]^2, Rs*(Table16[[#This Row],[Irms BuSync]]^2+Table16[[#This Row],[Irms BoCtlr]]^2))</f>
        <v>0.32542446662326791</v>
      </c>
      <c r="BD13" s="345">
        <f t="shared" si="1"/>
        <v>0.64</v>
      </c>
      <c r="BE13" s="345">
        <f>IF(Vout&gt;8, Iq*Vout, Iq*Table16[[#This Row],[Vin]])</f>
        <v>4.8000000000000001E-2</v>
      </c>
      <c r="BF13" s="345">
        <f>CHOOSE(Table16[[#This Row],[Mode Digit]], (Qg_Q1+Qg_Q2)*Fsw, (Qg_Q3+Qg_Q4)*Fsw, (Qg_Q1+Qg_Q2+Qg_Q3+Qg_Q4)*Fsw)*IF(Vout&gt;8, Vout, Table16[[#This Row],[Vin]])</f>
        <v>0.85331200000000007</v>
      </c>
      <c r="BG13" s="345">
        <f t="shared" si="2"/>
        <v>0.50594479787234037</v>
      </c>
      <c r="BH13" s="345">
        <f>Table16[[#This Row],[IQ Loss]]+Table16[[#This Row],[Switching Current Loss]]</f>
        <v>0.90131200000000011</v>
      </c>
      <c r="BI13"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11.534174626687141</v>
      </c>
      <c r="BJ13" s="253">
        <f>Vout*Table16[[#This Row],[Iout]]</f>
        <v>128</v>
      </c>
      <c r="BK13" s="684">
        <f>Table16[[#This Row],[Pout]]/(Table16[[#This Row],[Pout]]+Table16[[#This Row],[Total Loss]])</f>
        <v>0.91733799510015435</v>
      </c>
      <c r="BL13"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199.09682578164643</v>
      </c>
      <c r="BM13" s="685">
        <f>IF(Table16[[#This Row],[Vin]]&gt;Vout, Table16[[#This Row],[Total Sync Bu MOSFET Loss]]*ThetaJA_Q2, ThetaJA_Q3*Table16[[#This Row],[Total Sync Bo MOSFET Loss]])</f>
        <v>92.226038320783061</v>
      </c>
      <c r="BN13" s="640"/>
      <c r="BO13" s="292">
        <f>Table16[[#This Row],[EFF, h]]*100</f>
        <v>91.73379951001543</v>
      </c>
      <c r="BP13" s="345">
        <f>Table16[[#This Row],[Total Inductor Loss]]</f>
        <v>2.6105704873926081</v>
      </c>
      <c r="BQ13" s="345">
        <f>Table16[[#This Row],[Total Control Bu MOSFET Loss]]+Table16[[#This Row],[Total Sync Bu MOSFET Loss]]+Table16[[#This Row],[Total Control Bo MOSFET Loss]]+Table16[[#This Row],[Total Sync Bo MOSFET Loss]]+Table16[[#This Row],[Reverse Recovery Loss MOSFET D BUCK]]+Table16[[#This Row],[Reverse Recovery Loss MOSFET D BOOST]]</f>
        <v>6.8547059264660604</v>
      </c>
      <c r="BR13" s="345">
        <f>Table16[[#This Row],[Total Control Bu MOSFET Loss]]+Table16[[#This Row],[Reverse Recovery Loss MOSFET D BUCK]]*0.66</f>
        <v>2.3728157095056073</v>
      </c>
      <c r="BS13" s="345">
        <f>Table16[[#This Row],[Total Sync Bu MOSFET Loss]]+Table16[[#This Row],[Reverse Recovery Loss MOSFET D BUCK]]*0.33</f>
        <v>0</v>
      </c>
      <c r="BT13" s="345">
        <f xml:space="preserve"> Table16[[#This Row],[Total Control Bo MOSFET Loss]]+Table16[[#This Row],[Reverse Recovery Loss MOSFET D BOOST]]*0.66</f>
        <v>2.9417813689484067</v>
      </c>
      <c r="BU13" s="345">
        <f xml:space="preserve"> Table16[[#This Row],[Total Sync Bo MOSFET Loss]]+Table16[[#This Row],[Reverse Recovery Loss MOSFET D BOOST]]*0.33</f>
        <v>1.5365427680120471</v>
      </c>
      <c r="BV13" s="345">
        <f>Table16[[#This Row],[Isense Shunt Loss]]</f>
        <v>0.32542446662326791</v>
      </c>
      <c r="BZ13" s="253" t="s">
        <v>137</v>
      </c>
      <c r="CA13" s="686">
        <v>30</v>
      </c>
      <c r="CB13" s="686">
        <v>30</v>
      </c>
      <c r="CC13" s="686">
        <v>30</v>
      </c>
      <c r="CD13" s="686">
        <f>500000*(5-Vdd)*CC13/1000000000+((500000*CC9/1000000000*Vdd)*2.5/(2*4))</f>
        <v>4.4531250000000001E-2</v>
      </c>
      <c r="CE13" s="253">
        <f t="shared" si="3"/>
        <v>3.5625</v>
      </c>
      <c r="CF13" s="253">
        <f t="shared" si="3"/>
        <v>4.453125</v>
      </c>
      <c r="CG13" s="253">
        <f t="shared" si="3"/>
        <v>5.34375</v>
      </c>
      <c r="CH13" s="253">
        <f t="shared" si="3"/>
        <v>6.234375</v>
      </c>
      <c r="CI13" s="253">
        <f t="shared" si="3"/>
        <v>7.125</v>
      </c>
      <c r="CJ13" s="253">
        <f t="shared" si="3"/>
        <v>8.015625</v>
      </c>
      <c r="CK13" s="253">
        <f t="shared" si="3"/>
        <v>0.890625</v>
      </c>
      <c r="CL13" s="253">
        <f t="shared" si="3"/>
        <v>1.3359375</v>
      </c>
      <c r="CM13" s="253">
        <f t="shared" si="3"/>
        <v>1.78125</v>
      </c>
      <c r="CN13" s="253">
        <f t="shared" si="3"/>
        <v>2.2265625</v>
      </c>
    </row>
    <row r="14" spans="1:92" x14ac:dyDescent="0.2">
      <c r="A14" s="690" t="s">
        <v>6</v>
      </c>
      <c r="B14" s="569">
        <f>Iout</f>
        <v>8</v>
      </c>
      <c r="C14" s="255" t="s">
        <v>2</v>
      </c>
      <c r="D14" s="255" t="s">
        <v>97</v>
      </c>
      <c r="G14" s="253">
        <v>5</v>
      </c>
      <c r="H14" s="286">
        <f>VIN_min+(VIN_max-VIN_min)*(Table16[[#This Row],[Step]]/200)</f>
        <v>6.75</v>
      </c>
      <c r="I14" s="292" t="str">
        <f>IF(Mode = 2,IF(Table16[[#This Row],[Vin]]&gt;Vout, "BUCK","BOOST"),IF(Table16[[#This Row],[Vin]]&gt;VIN_BB_to_buck, "BUCK", IF(Table16[[#This Row],[Vin]]&lt;=VIN_boost_to_BB,"BOOST","BUCK-BST")))</f>
        <v>BOOST</v>
      </c>
      <c r="J14" s="253">
        <f>IF(Table16[[#This Row],[Mode]]="BOOST",2, IF(Table16[[#This Row],[Mode]]="BUCK", 1,3))</f>
        <v>2</v>
      </c>
      <c r="K14" s="253">
        <f t="shared" si="0"/>
        <v>8</v>
      </c>
      <c r="L14" s="292">
        <f>Vout*Table16[[#This Row],[Iout]]/(Table16[[#This Row],[Vin]]*Efficiency)</f>
        <v>19.961013645224174</v>
      </c>
      <c r="M14" s="682">
        <f>MIN(1/Fsw,CHOOSE(Table16[[#This Row],[Mode Digit]],(Vout+(Rdson2+Rs+Rdcr)*Table16[[#This Row],[Iout]])/(Table16[[#This Row],[Vin]]+(Rs+Rdson2-Rdson1)*Table16[[#This Row],[Iout]])/Fsw,(Vout+(Rdson3+Rdcr)*Table16[[#This Row],[Iin]]-Table16[[#This Row],[Vin]])/(Vout+(Rdson3-Rdson4-Rs)*Table16[[#This Row],[Iin]])/Fsw,t1_Ph_II))</f>
        <v>1.4759708488004761E-6</v>
      </c>
      <c r="N14" s="518">
        <f>CHOOSE(Table16[[#This Row],[Mode Digit]],1/Fsw-Table16[[#This Row],[t1_Ph_II]],1/Fsw-Table16[[#This Row],[t1_Ph_II]],(Vout/Fsw-Table16[[#This Row],[Vin]]*t1_Ph_II)/(Table16[[#This Row],[Vin]]+Vout))</f>
        <v>1.0365919652698758E-6</v>
      </c>
      <c r="O14" s="518">
        <f>1/Fsw-(Table16[[#This Row],[t1_Ph_II]]+Table16[[#This Row],[t2_Ph_I]])</f>
        <v>0</v>
      </c>
      <c r="P14"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17.193568303723282</v>
      </c>
      <c r="Q14" s="292">
        <f>CHOOSE(Table16[[#This Row],[Mode Digit]],Table16[[#This Row],[I_0]]+1/Lf*(Table16[[#This Row],[Vin]]-Vout)*Table16[[#This Row],[t1_Ph_II]],Table16[[#This Row],[I_0]]+1/Lf*Table16[[#This Row],[Vin]]*Table16[[#This Row],[t1_Ph_II]],Table16[[#This Row],[I_0]]+(Table16[[#This Row],[Vin]]-Vout)/L*Table16[[#This Row],[t1_Ph_II]])</f>
        <v>22.728458986725066</v>
      </c>
      <c r="R14" s="292">
        <f>CHOOSE(Table16[[#This Row],[Mode Digit]],0,0,Table16[[#This Row],[I_1]]+Table16[[#This Row],[Vin]]/L*Table16[[#This Row],[t2_Ph_I]])</f>
        <v>0</v>
      </c>
      <c r="S14" s="292">
        <f>Fsw*(Table16[[#This Row],[I_0]]*Table16[[#This Row],[t1_Ph_II]]+Table16[[#This Row],[I_1]]*Table16[[#This Row],[t2_Ph_I]]+Table16[[#This Row],[I_2]]*Table16[[#This Row],[t3_Ph_III]])</f>
        <v>19.477062741560683</v>
      </c>
      <c r="T14" s="345">
        <f>MIN(1,CHOOSE(Table16[[#This Row],[Mode Digit]],(Vout+(Rdson2+Rs+Rdcr)*Table16[[#This Row],[Iout]])/(Table16[[#This Row],[Vin]]+(Rs+Rdson2-Rdson1)*Table16[[#This Row],[Iout]]),1,Fsw*Table16[[#This Row],[t2_Ph_I]]+Table16[[#This Row],[t1_Ph_II]]))</f>
        <v>1</v>
      </c>
      <c r="U14" s="345">
        <f>MIN(1,CHOOSE(Table16[[#This Row],[Mode Digit]],0,(Vout+(Rdson3+Rdcr)*Table16[[#This Row],[Iin]]-Table16[[#This Row],[Vin]])/(Vout+(Rdson3-Rdson4-Rs)*Table16[[#This Row],[Iin]]),Fsw*Table16[[#This Row],[t1_Ph_II]]+Table16[[#This Row],[t3_Ph_III]]))</f>
        <v>0.5874363978225895</v>
      </c>
      <c r="V14" s="292">
        <f>MAX(Table16[[#This Row],[I_0]:[I_2]])-MIN(Table16[[#This Row],[I_0]:[I_1]])</f>
        <v>5.5348906830017839</v>
      </c>
      <c r="W14"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20.024859141848928</v>
      </c>
      <c r="X14" s="345">
        <f>(Table16[[#This Row],[Irms Lf]]^2*Rdcr*(1+Ltc*Ta-Ltc*25))/(1-Table16[[#This Row],[Irms Lf]]^2*Rdcr*Ltc*ThetaCa)</f>
        <v>1.4299779252172145</v>
      </c>
      <c r="Y14" s="345">
        <f>ABS(7.759*10^-3*Fsw^0.9458*(0.00787*Table16[[#This Row],[Ripple Current pk-pk]])^2.304)</f>
        <v>1.1236322375313474</v>
      </c>
      <c r="Z14" s="345">
        <f>Table16[[#This Row],[DCR    Loss]]+Table16[[#This Row],[Core Loss]]</f>
        <v>2.5536101627485621</v>
      </c>
      <c r="AA14" s="292">
        <f>IF(Table16[[#This Row],[Vin]]&gt;Vout, Table16[[#This Row],[Ripple Current pk-pk]]/SQRT(12), SQRT(Table16[[#This Row],[Duty Cycle BOOST Leg]]/(1-Table16[[#This Row],[Duty Cycle BOOST Leg]]))*SQRT(Table16[[#This Row],[Iout]]^2+(Table16[[#This Row],[Ripple Current pk-pk]]^2)/12))</f>
        <v>9.7346092045367012</v>
      </c>
      <c r="AB14" s="345">
        <f>RCoutEsr*Table16[[#This Row],[Irms Cout]]^2</f>
        <v>0.18952523273010133</v>
      </c>
      <c r="AC14" s="345">
        <f>Table16[[#This Row],[Cout ESR Loss]]</f>
        <v>0.18952523273010133</v>
      </c>
      <c r="AD14" s="345">
        <f>IF(Table16[[#This Row],[Vin]]&gt;Vout, SQRT(Table16[[#This Row],[Duty Cycle BUCK Leg]]*(1-Table16[[#This Row],[Duty Cycle BUCK Leg]]))*SQRT(Table16[[#This Row],[Iout]]^2+(Table16[[#This Row],[Ripple Current pk-pk]]^2)/12), Table16[[#This Row],[Ripple Current pk-pk]]/SQRT(12))</f>
        <v>1.5977853128831159</v>
      </c>
      <c r="AE14" s="345">
        <f>RCinEsr*Table16[[#This Row],[Irms Cin]]^2</f>
        <v>5.1058358121299939E-3</v>
      </c>
      <c r="AF14" s="683">
        <f>Table16[[#This Row],[Cin ESR Loss]]</f>
        <v>5.1058358121299939E-3</v>
      </c>
      <c r="AG14"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20.024859141848928</v>
      </c>
      <c r="AH14" s="345">
        <f>Rdson1*Table16[[#This Row],[Irms BuCtrl]]^2</f>
        <v>1.4034824427781172</v>
      </c>
      <c r="AI14" s="345">
        <f>CHOOSE(Table16[[#This Row],[Mode Digit]], (Table16[[#This Row],[Vin]]*Table16[[#This Row],[Iout]]/2)*(Fsw)*(Tr_buck+Tf_buck), 0, (Table16[[#This Row],[Vin]]*Table16[[#This Row],[Avg IL]]/2)*(Fsw/1)*(Tr_buck+Tf_buck))</f>
        <v>0</v>
      </c>
      <c r="AJ14" s="253">
        <f>IF(Table16[[#This Row],[Vin]]&gt;Vout, IF(Table16[[#This Row],[Iout]]&gt;Table16[[#This Row],[Ripple Current pk-pk]]/2,0,ABS(Table16[[#This Row],[Iout]]-Table16[[#This Row],[Ripple Current pk-pk]]/2)*Vsd_Q1*Deadtime*Fsw),0)</f>
        <v>0</v>
      </c>
      <c r="AK14" s="345">
        <f>(Table16[[#This Row],[Dead Time Loss BuCtrl]]+Table16[[#This Row],[Transition Loss BuCtrl]]+Table16[[#This Row],[RDS(on) Loss BuCtrl]]*(1+RdsonTopTc*Ta-RdsonTopTc*25))/(1-Table16[[#This Row],[RDS(on) Loss BuCtrl]]*RdsonTopTc*ThetaJA_Q1)</f>
        <v>2.2098794736944543</v>
      </c>
      <c r="AL14" s="345">
        <f>CHOOSE(Table16[[#This Row],[Mode Digit]],SQRT((Fsw*(Table16[[#This Row],[t2_Ph_I]]+0))*((Table16[[#This Row],[I_0]]*Table16[[#This Row],[I_1]]+((Table16[[#This Row],[I_0]]-Table16[[#This Row],[I_1]])^2)/3))),0,SQRT((Fsw*(Table16[[#This Row],[t3_Ph_III]]+0))*((Table16[[#This Row],[I_0]]*Table16[[#This Row],[I_2]]+((Table16[[#This Row],[I_0]]-Table16[[#This Row],[I_2]])^2)/3))))</f>
        <v>0</v>
      </c>
      <c r="AM14" s="345">
        <f>Rdson2*Table16[[#This Row],[Irms BuSync]]^2</f>
        <v>0</v>
      </c>
      <c r="AN14"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14" s="345">
        <f>(Table16[[#This Row],[Deadtime Loss BuSync]]+Table16[[#This Row],[RDS(on) Loss BuSync]]*(1+RdsonBotTc*Ta-RdsonBotTc*25))/(1-Table16[[#This Row],[RDS(on) Loss BuSync]]*RdsonBotTc*ThetaJA_Q2)</f>
        <v>0</v>
      </c>
      <c r="AP14" s="345">
        <f>CHOOSE(Table16[[#This Row],[Mode Digit]],0,SQRT((Fsw*(Table16[[#This Row],[t1_Ph_II]]+0))*((Table16[[#This Row],[I_0]]*Table16[[#This Row],[I_1]]+((Table16[[#This Row],[I_0]]-Table16[[#This Row],[I_1]])^2)/3))),SQRT((Fsw*(Table16[[#This Row],[t2_Ph_I]]+0))*((Table16[[#This Row],[I_1]]*Table16[[#This Row],[I_2]]+((Table16[[#This Row],[I_1]]-Table16[[#This Row],[I_2]])^2)/3))))</f>
        <v>15.347933044576633</v>
      </c>
      <c r="AQ14" s="345">
        <f>Rdson4*Table16[[#This Row],[Irms BoCtlr]]^2</f>
        <v>0.82445667059282579</v>
      </c>
      <c r="AR14" s="345">
        <f>CHOOSE(Table16[[#This Row],[Mode Digit]], 0, (Vout*Table16[[#This Row],[Iin]]/2)*(Fsw)*(Tr_boost+Tf_boost), (Vout*Iout/2)*(Fsw/1)*(Tr_boost+Tf_boost))</f>
        <v>1.1867900728056091</v>
      </c>
      <c r="AS14" s="253">
        <f>IF(Table16[[#This Row],[Vin]]&gt;Vout, 0, IF(Table16[[#This Row],[Iin]]&gt;Table16[[#This Row],[Ripple Current pk-pk]]/2,0,ABS(Table16[[#This Row],[Iin]]-Table16[[#This Row],[Ripple Current pk-pk]]/2)*Vsd_Q4*Deadtime*Fsw))</f>
        <v>0</v>
      </c>
      <c r="AT14" s="345">
        <f>(Table16[[#This Row],[Dead Time Loss BoCtlr]]+Table16[[#This Row],[Transition Loss BoCtlr]]+Table16[[#This Row],[RDS(on) Loss BoCtlr]]*(1+RdsonTopTc*Ta-RdsonTopTc*25))/(1-Table16[[#This Row],[RDS(on) Loss BoCtlr]]*RdsonTopTc*ThetaJA_Q4)</f>
        <v>2.5600064957700708</v>
      </c>
      <c r="AU14"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12.862190128826557</v>
      </c>
      <c r="AV14" s="345">
        <f>Rdson3*Table16[[#This Row],[Irms BoSync]]^2</f>
        <v>0.57902577218529161</v>
      </c>
      <c r="AW14"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0.5958362573099415</v>
      </c>
      <c r="AX14" s="345">
        <f>(Table16[[#This Row],[Deadtime Loss BoSync]]+Table16[[#This Row],[RDS(on) Loss BoSync]]*(1+RdsonBotTc*Ta-RdsonBotTc*25))/(1-Table16[[#This Row],[RDS(on) Loss BoSync]]*RdsonBotTc*ThetaJA_Q3)</f>
        <v>1.3830801888198936</v>
      </c>
      <c r="AY14" s="345">
        <f>CHOOSE(Table16[[#This Row],[Mode Digit]], Rdson3*Table16[[#This Row],[Irms Lf]]^2, Rdson1*Table16[[#This Row],[Irms Lf]]^2, 0)</f>
        <v>1.4034824427781172</v>
      </c>
      <c r="AZ14" s="345">
        <f>CHOOSE(Table16[[#This Row],[Mode Digit]], 2*Deadtime*Fsw*IF(VfdSky_Q2&gt;0,VfdSky_Q2,0)*Table16[[#This Row],[Iout]], 2*Deadtime*Fsw*IF(VfdSky_Q3&gt;0,VfdSky_Q3,0)*Table16[[#This Row],[Iin]], 2*Deadtime*Fsw*IF(VfdSky_Q2&gt;0,VfdSky_Q2,0)*Table16[[#This Row],[Iout]]+2*Deadtime*Fsw*IF(VfdSky_Q3&gt;0,VfdSky_Q3,0)*Table16[[#This Row],[Iin]])</f>
        <v>0</v>
      </c>
      <c r="BA14" s="345">
        <f>CHOOSE(Table16[[#This Row],[Mode Digit]], IF(QrrSky_Q2&gt;0,QrrSky_Q2,Qrr_Q2)*Fsw*(Table16[[#This Row],[Vin]]-Table16[[#This Row],[Iout]]*Rdson1),0,  IF(QrrSky_Q2&gt;0,QrrSky_Q2,Qrr_Q2)*Fsw*(Table16[[#This Row],[Vin]]-Table16[[#This Row],[Iout]]*Rdson1)+IF(QrrSky_Q3&gt;0,QrrSky_Q3,Qrr_Q3)*Fsw*Vout)</f>
        <v>0</v>
      </c>
      <c r="BB14" s="345">
        <f>CHOOSE(Table16[[#This Row],[Mode Digit]],0, IF(QrrSky_Q3&gt;0,QrrSky_Q3,Qrr_Q3)*Fsw*Vout,  IF(QrrSky_Q2&gt;0,QrrSky_Q2,Qrr_Q2)*Fsw*(Table16[[#This Row],[Vin]]-Table16[[#This Row],[Iout]]*Rdson1)+IF(QrrSky_Q3&gt;0,QrrSky_Q3,Qrr_Q3)*Fsw*Vout)</f>
        <v>0.35660799999999998</v>
      </c>
      <c r="BC14" s="345">
        <f>CHOOSE(Table16[[#This Row],[Mode Digit]], Rs*Table16[[#This Row],[Irms BuSync]]^2, Rs*Table16[[#This Row],[Irms BoCtlr]]^2, Rs*(Table16[[#This Row],[Irms BuSync]]^2+Table16[[#This Row],[Irms BoCtlr]]^2))</f>
        <v>0.30622676336304955</v>
      </c>
      <c r="BD14" s="345">
        <f t="shared" si="1"/>
        <v>0.64</v>
      </c>
      <c r="BE14" s="345">
        <f>IF(Vout&gt;8, Iq*Vout, Iq*Table16[[#This Row],[Vin]])</f>
        <v>4.8000000000000001E-2</v>
      </c>
      <c r="BF14" s="345">
        <f>CHOOSE(Table16[[#This Row],[Mode Digit]], (Qg_Q1+Qg_Q2)*Fsw, (Qg_Q3+Qg_Q4)*Fsw, (Qg_Q1+Qg_Q2+Qg_Q3+Qg_Q4)*Fsw)*IF(Vout&gt;8, Vout, Table16[[#This Row],[Vin]])</f>
        <v>0.85331200000000007</v>
      </c>
      <c r="BG14" s="345">
        <f t="shared" si="2"/>
        <v>0.50594479787234037</v>
      </c>
      <c r="BH14" s="345">
        <f>Table16[[#This Row],[IQ Loss]]+Table16[[#This Row],[Switching Current Loss]]</f>
        <v>0.90131200000000011</v>
      </c>
      <c r="BI14"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11.105354152938263</v>
      </c>
      <c r="BJ14" s="253">
        <f>Vout*Table16[[#This Row],[Iout]]</f>
        <v>128</v>
      </c>
      <c r="BK14" s="684">
        <f>Table16[[#This Row],[Pout]]/(Table16[[#This Row],[Pout]]+Table16[[#This Row],[Total Loss]])</f>
        <v>0.92016587556559049</v>
      </c>
      <c r="BL14"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189.57994222505459</v>
      </c>
      <c r="BM14" s="685">
        <f>IF(Table16[[#This Row],[Vin]]&gt;Vout, Table16[[#This Row],[Total Sync Bu MOSFET Loss]]*ThetaJA_Q2, ThetaJA_Q3*Table16[[#This Row],[Total Sync Bo MOSFET Loss]])</f>
        <v>89.900212273293079</v>
      </c>
      <c r="BN14" s="640"/>
      <c r="BO14" s="292">
        <f>Table16[[#This Row],[EFF, h]]*100</f>
        <v>92.016587556559045</v>
      </c>
      <c r="BP14" s="345">
        <f>Table16[[#This Row],[Total Inductor Loss]]</f>
        <v>2.5536101627485621</v>
      </c>
      <c r="BQ14" s="345">
        <f>Table16[[#This Row],[Total Control Bu MOSFET Loss]]+Table16[[#This Row],[Total Sync Bu MOSFET Loss]]+Table16[[#This Row],[Total Control Bo MOSFET Loss]]+Table16[[#This Row],[Total Sync Bo MOSFET Loss]]+Table16[[#This Row],[Reverse Recovery Loss MOSFET D BUCK]]+Table16[[#This Row],[Reverse Recovery Loss MOSFET D BOOST]]</f>
        <v>6.5095741582844182</v>
      </c>
      <c r="BR14" s="345">
        <f>Table16[[#This Row],[Total Control Bu MOSFET Loss]]+Table16[[#This Row],[Reverse Recovery Loss MOSFET D BUCK]]*0.66</f>
        <v>2.2098794736944543</v>
      </c>
      <c r="BS14" s="345">
        <f>Table16[[#This Row],[Total Sync Bu MOSFET Loss]]+Table16[[#This Row],[Reverse Recovery Loss MOSFET D BUCK]]*0.33</f>
        <v>0</v>
      </c>
      <c r="BT14" s="345">
        <f xml:space="preserve"> Table16[[#This Row],[Total Control Bo MOSFET Loss]]+Table16[[#This Row],[Reverse Recovery Loss MOSFET D BOOST]]*0.66</f>
        <v>2.795367775770071</v>
      </c>
      <c r="BU14" s="345">
        <f xml:space="preserve"> Table16[[#This Row],[Total Sync Bo MOSFET Loss]]+Table16[[#This Row],[Reverse Recovery Loss MOSFET D BOOST]]*0.33</f>
        <v>1.5007608288198937</v>
      </c>
      <c r="BV14" s="345">
        <f>Table16[[#This Row],[Isense Shunt Loss]]</f>
        <v>0.30622676336304955</v>
      </c>
      <c r="BZ14" s="253" t="s">
        <v>140</v>
      </c>
      <c r="CA14" s="686">
        <v>45</v>
      </c>
      <c r="CB14" s="686">
        <v>45</v>
      </c>
      <c r="CC14" s="686">
        <v>45</v>
      </c>
      <c r="CD14" s="686">
        <f>500000*(12-Vdd)*CC14/1000000000+((500000*CC9/1000000000*Vdd)*2.5/(2*4))</f>
        <v>0.18328125000000001</v>
      </c>
      <c r="CE14" s="253">
        <f t="shared" si="3"/>
        <v>14.662500000000001</v>
      </c>
      <c r="CF14" s="253">
        <f t="shared" si="3"/>
        <v>18.328125</v>
      </c>
      <c r="CG14" s="253">
        <f t="shared" si="3"/>
        <v>21.993750000000002</v>
      </c>
      <c r="CH14" s="253">
        <f t="shared" si="3"/>
        <v>25.659375000000001</v>
      </c>
      <c r="CI14" s="253">
        <f t="shared" si="3"/>
        <v>29.325000000000003</v>
      </c>
      <c r="CJ14" s="253">
        <f t="shared" si="3"/>
        <v>32.990625000000001</v>
      </c>
      <c r="CK14" s="253">
        <f t="shared" si="3"/>
        <v>3.6656250000000004</v>
      </c>
      <c r="CL14" s="253">
        <f t="shared" si="3"/>
        <v>5.4984375000000005</v>
      </c>
      <c r="CM14" s="253">
        <f t="shared" si="3"/>
        <v>7.3312500000000007</v>
      </c>
      <c r="CN14" s="253">
        <f t="shared" si="3"/>
        <v>9.1640625</v>
      </c>
    </row>
    <row r="15" spans="1:92" ht="13.6" x14ac:dyDescent="0.25">
      <c r="A15" s="691" t="s">
        <v>87</v>
      </c>
      <c r="B15" s="569">
        <f>Ta</f>
        <v>25</v>
      </c>
      <c r="C15" s="255" t="s">
        <v>600</v>
      </c>
      <c r="D15" s="255" t="s">
        <v>98</v>
      </c>
      <c r="G15" s="253">
        <v>6</v>
      </c>
      <c r="H15" s="286">
        <f>VIN_min+(VIN_max-VIN_min)*(Table16[[#This Row],[Step]]/200)</f>
        <v>6.9</v>
      </c>
      <c r="I15" s="292" t="str">
        <f>IF(Mode = 2,IF(Table16[[#This Row],[Vin]]&gt;Vout, "BUCK","BOOST"),IF(Table16[[#This Row],[Vin]]&gt;VIN_BB_to_buck, "BUCK", IF(Table16[[#This Row],[Vin]]&lt;=VIN_boost_to_BB,"BOOST","BUCK-BST")))</f>
        <v>BOOST</v>
      </c>
      <c r="J15" s="253">
        <f>IF(Table16[[#This Row],[Mode]]="BOOST",2, IF(Table16[[#This Row],[Mode]]="BUCK", 1,3))</f>
        <v>2</v>
      </c>
      <c r="K15" s="253">
        <f t="shared" si="0"/>
        <v>8</v>
      </c>
      <c r="L15" s="292">
        <f>Vout*Table16[[#This Row],[Iout]]/(Table16[[#This Row],[Vin]]*Efficiency)</f>
        <v>19.527078565980169</v>
      </c>
      <c r="M15" s="682">
        <f>MIN(1/Fsw,CHOOSE(Table16[[#This Row],[Mode Digit]],(Vout+(Rdson2+Rs+Rdcr)*Table16[[#This Row],[Iout]])/(Table16[[#This Row],[Vin]]+(Rs+Rdson2-Rdson1)*Table16[[#This Row],[Iout]])/Fsw,(Vout+(Rdson3+Rdcr)*Table16[[#This Row],[Iin]]-Table16[[#This Row],[Vin]])/(Vout+(Rdson3-Rdson4-Rs)*Table16[[#This Row],[Iin]])/Fsw,t1_Ph_II))</f>
        <v>1.4518687353891972E-6</v>
      </c>
      <c r="N15" s="518">
        <f>CHOOSE(Table16[[#This Row],[Mode Digit]],1/Fsw-Table16[[#This Row],[t1_Ph_II]],1/Fsw-Table16[[#This Row],[t1_Ph_II]],(Vout/Fsw-Table16[[#This Row],[Vin]]*t1_Ph_II)/(Table16[[#This Row],[Vin]]+Vout))</f>
        <v>1.0606940786811546E-6</v>
      </c>
      <c r="O15" s="518">
        <f>1/Fsw-(Table16[[#This Row],[t1_Ph_II]]+Table16[[#This Row],[t2_Ph_I]])</f>
        <v>0</v>
      </c>
      <c r="P15"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16.744330156484207</v>
      </c>
      <c r="Q15" s="292">
        <f>CHOOSE(Table16[[#This Row],[Mode Digit]],Table16[[#This Row],[I_0]]+1/Lf*(Table16[[#This Row],[Vin]]-Vout)*Table16[[#This Row],[t1_Ph_II]],Table16[[#This Row],[I_0]]+1/Lf*Table16[[#This Row],[Vin]]*Table16[[#This Row],[t1_Ph_II]],Table16[[#This Row],[I_0]]+(Table16[[#This Row],[Vin]]-Vout)/L*Table16[[#This Row],[t1_Ph_II]])</f>
        <v>22.309826975476128</v>
      </c>
      <c r="R15" s="292">
        <f>CHOOSE(Table16[[#This Row],[Mode Digit]],0,0,Table16[[#This Row],[I_1]]+Table16[[#This Row],[Vin]]/L*Table16[[#This Row],[t2_Ph_I]])</f>
        <v>0</v>
      </c>
      <c r="S15" s="292">
        <f>Fsw*(Table16[[#This Row],[I_0]]*Table16[[#This Row],[t1_Ph_II]]+Table16[[#This Row],[I_1]]*Table16[[#This Row],[t2_Ph_I]]+Table16[[#This Row],[I_2]]*Table16[[#This Row],[t3_Ph_III]])</f>
        <v>19.093839385771975</v>
      </c>
      <c r="T15" s="345">
        <f>MIN(1,CHOOSE(Table16[[#This Row],[Mode Digit]],(Vout+(Rdson2+Rs+Rdcr)*Table16[[#This Row],[Iout]])/(Table16[[#This Row],[Vin]]+(Rs+Rdson2-Rdson1)*Table16[[#This Row],[Iout]]),1,Fsw*Table16[[#This Row],[t2_Ph_I]]+Table16[[#This Row],[t1_Ph_II]]))</f>
        <v>1</v>
      </c>
      <c r="U15" s="345">
        <f>MIN(1,CHOOSE(Table16[[#This Row],[Mode Digit]],0,(Vout+(Rdson3+Rdcr)*Table16[[#This Row],[Iin]]-Table16[[#This Row],[Vin]])/(Vout+(Rdson3-Rdson4-Rs)*Table16[[#This Row],[Iin]]),Fsw*Table16[[#This Row],[t1_Ph_II]]+Table16[[#This Row],[t3_Ph_III]]))</f>
        <v>0.57784375668490051</v>
      </c>
      <c r="V15" s="292">
        <f>MAX(Table16[[#This Row],[I_0]:[I_2]])-MIN(Table16[[#This Row],[I_0]:[I_1]])</f>
        <v>5.5654968189919209</v>
      </c>
      <c r="W15"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19.593060682092169</v>
      </c>
      <c r="X15" s="345">
        <f>(Table16[[#This Row],[Irms Lf]]^2*Rdcr*(1+Ltc*Ta-Ltc*25))/(1-Table16[[#This Row],[Irms Lf]]^2*Rdcr*Ltc*ThetaCa)</f>
        <v>1.3623245915063977</v>
      </c>
      <c r="Y15" s="345">
        <f>ABS(7.759*10^-3*Fsw^0.9458*(0.00787*Table16[[#This Row],[Ripple Current pk-pk]])^2.304)</f>
        <v>1.1379993655375666</v>
      </c>
      <c r="Z15" s="345">
        <f>Table16[[#This Row],[DCR    Loss]]+Table16[[#This Row],[Core Loss]]</f>
        <v>2.5003239570439644</v>
      </c>
      <c r="AA15" s="292">
        <f>IF(Table16[[#This Row],[Vin]]&gt;Vout, Table16[[#This Row],[Ripple Current pk-pk]]/SQRT(12), SQRT(Table16[[#This Row],[Duty Cycle BOOST Leg]]/(1-Table16[[#This Row],[Duty Cycle BOOST Leg]]))*SQRT(Table16[[#This Row],[Iout]]^2+(Table16[[#This Row],[Ripple Current pk-pk]]^2)/12))</f>
        <v>9.5465073213822436</v>
      </c>
      <c r="AB15" s="345">
        <f>RCoutEsr*Table16[[#This Row],[Irms Cout]]^2</f>
        <v>0.18227160407440957</v>
      </c>
      <c r="AC15" s="345">
        <f>Table16[[#This Row],[Cout ESR Loss]]</f>
        <v>0.18227160407440957</v>
      </c>
      <c r="AD15" s="345">
        <f>IF(Table16[[#This Row],[Vin]]&gt;Vout, SQRT(Table16[[#This Row],[Duty Cycle BUCK Leg]]*(1-Table16[[#This Row],[Duty Cycle BUCK Leg]]))*SQRT(Table16[[#This Row],[Iout]]^2+(Table16[[#This Row],[Ripple Current pk-pk]]^2)/12), Table16[[#This Row],[Ripple Current pk-pk]]/SQRT(12))</f>
        <v>1.6066205433094958</v>
      </c>
      <c r="AE15" s="345">
        <f>RCinEsr*Table16[[#This Row],[Irms Cin]]^2</f>
        <v>5.1624591403681992E-3</v>
      </c>
      <c r="AF15" s="683">
        <f>Table16[[#This Row],[Cin ESR Loss]]</f>
        <v>5.1624591403681992E-3</v>
      </c>
      <c r="AG15"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19.593060682092169</v>
      </c>
      <c r="AH15" s="345">
        <f>Rdson1*Table16[[#This Row],[Irms BuCtrl]]^2</f>
        <v>1.3436080941225113</v>
      </c>
      <c r="AI15" s="345">
        <f>CHOOSE(Table16[[#This Row],[Mode Digit]], (Table16[[#This Row],[Vin]]*Table16[[#This Row],[Iout]]/2)*(Fsw)*(Tr_buck+Tf_buck), 0, (Table16[[#This Row],[Vin]]*Table16[[#This Row],[Avg IL]]/2)*(Fsw/1)*(Tr_buck+Tf_buck))</f>
        <v>0</v>
      </c>
      <c r="AJ15" s="253">
        <f>IF(Table16[[#This Row],[Vin]]&gt;Vout, IF(Table16[[#This Row],[Iout]]&gt;Table16[[#This Row],[Ripple Current pk-pk]]/2,0,ABS(Table16[[#This Row],[Iout]]-Table16[[#This Row],[Ripple Current pk-pk]]/2)*Vsd_Q1*Deadtime*Fsw),0)</f>
        <v>0</v>
      </c>
      <c r="AK15" s="345">
        <f>(Table16[[#This Row],[Dead Time Loss BuCtrl]]+Table16[[#This Row],[Transition Loss BuCtrl]]+Table16[[#This Row],[RDS(on) Loss BuCtrl]]*(1+RdsonTopTc*Ta-RdsonTopTc*25))/(1-Table16[[#This Row],[RDS(on) Loss BuCtrl]]*RdsonTopTc*ThetaJA_Q1)</f>
        <v>2.0649865980424358</v>
      </c>
      <c r="AL15" s="345">
        <f>CHOOSE(Table16[[#This Row],[Mode Digit]],SQRT((Fsw*(Table16[[#This Row],[t2_Ph_I]]+0))*((Table16[[#This Row],[I_0]]*Table16[[#This Row],[I_1]]+((Table16[[#This Row],[I_0]]-Table16[[#This Row],[I_1]])^2)/3))),0,SQRT((Fsw*(Table16[[#This Row],[t3_Ph_III]]+0))*((Table16[[#This Row],[I_0]]*Table16[[#This Row],[I_2]]+((Table16[[#This Row],[I_0]]-Table16[[#This Row],[I_2]])^2)/3))))</f>
        <v>0</v>
      </c>
      <c r="AM15" s="345">
        <f>Rdson2*Table16[[#This Row],[Irms BuSync]]^2</f>
        <v>0</v>
      </c>
      <c r="AN15"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15" s="345">
        <f>(Table16[[#This Row],[Deadtime Loss BuSync]]+Table16[[#This Row],[RDS(on) Loss BuSync]]*(1+RdsonBotTc*Ta-RdsonBotTc*25))/(1-Table16[[#This Row],[RDS(on) Loss BuSync]]*RdsonBotTc*ThetaJA_Q2)</f>
        <v>0</v>
      </c>
      <c r="AP15" s="345">
        <f>CHOOSE(Table16[[#This Row],[Mode Digit]],0,SQRT((Fsw*(Table16[[#This Row],[t1_Ph_II]]+0))*((Table16[[#This Row],[I_0]]*Table16[[#This Row],[I_1]]+((Table16[[#This Row],[I_0]]-Table16[[#This Row],[I_1]])^2)/3))),SQRT((Fsw*(Table16[[#This Row],[t2_Ph_I]]+0))*((Table16[[#This Row],[I_1]]*Table16[[#This Row],[I_2]]+((Table16[[#This Row],[I_1]]-Table16[[#This Row],[I_2]])^2)/3))))</f>
        <v>14.893867852432148</v>
      </c>
      <c r="AQ15" s="345">
        <f>Rdson4*Table16[[#This Row],[Irms BoCtlr]]^2</f>
        <v>0.77639554861999127</v>
      </c>
      <c r="AR15" s="345">
        <f>CHOOSE(Table16[[#This Row],[Mode Digit]], 0, (Vout*Table16[[#This Row],[Iin]]/2)*(Fsw)*(Tr_boost+Tf_boost), (Vout*Iout/2)*(Fsw/1)*(Tr_boost+Tf_boost))</f>
        <v>1.1609902886141827</v>
      </c>
      <c r="AS15" s="253">
        <f>IF(Table16[[#This Row],[Vin]]&gt;Vout, 0, IF(Table16[[#This Row],[Iin]]&gt;Table16[[#This Row],[Ripple Current pk-pk]]/2,0,ABS(Table16[[#This Row],[Iin]]-Table16[[#This Row],[Ripple Current pk-pk]]/2)*Vsd_Q4*Deadtime*Fsw))</f>
        <v>0</v>
      </c>
      <c r="AT15" s="345">
        <f>(Table16[[#This Row],[Dead Time Loss BoCtlr]]+Table16[[#This Row],[Transition Loss BoCtlr]]+Table16[[#This Row],[RDS(on) Loss BoCtlr]]*(1+RdsonTopTc*Ta-RdsonTopTc*25))/(1-Table16[[#This Row],[RDS(on) Loss BoCtlr]]*RdsonTopTc*ThetaJA_Q4)</f>
        <v>2.4273845909459677</v>
      </c>
      <c r="AU15"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12.73030743094739</v>
      </c>
      <c r="AV15" s="345">
        <f>Rdson3*Table16[[#This Row],[Irms BoSync]]^2</f>
        <v>0.56721254550252009</v>
      </c>
      <c r="AW15"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0.58288329519450799</v>
      </c>
      <c r="AX15" s="345">
        <f>(Table16[[#This Row],[Deadtime Loss BoSync]]+Table16[[#This Row],[RDS(on) Loss BoSync]]*(1+RdsonBotTc*Ta-RdsonBotTc*25))/(1-Table16[[#This Row],[RDS(on) Loss BoSync]]*RdsonBotTc*ThetaJA_Q3)</f>
        <v>1.3490468829874283</v>
      </c>
      <c r="AY15" s="345">
        <f>CHOOSE(Table16[[#This Row],[Mode Digit]], Rdson3*Table16[[#This Row],[Irms Lf]]^2, Rdson1*Table16[[#This Row],[Irms Lf]]^2, 0)</f>
        <v>1.3436080941225113</v>
      </c>
      <c r="AZ15" s="345">
        <f>CHOOSE(Table16[[#This Row],[Mode Digit]], 2*Deadtime*Fsw*IF(VfdSky_Q2&gt;0,VfdSky_Q2,0)*Table16[[#This Row],[Iout]], 2*Deadtime*Fsw*IF(VfdSky_Q3&gt;0,VfdSky_Q3,0)*Table16[[#This Row],[Iin]], 2*Deadtime*Fsw*IF(VfdSky_Q2&gt;0,VfdSky_Q2,0)*Table16[[#This Row],[Iout]]+2*Deadtime*Fsw*IF(VfdSky_Q3&gt;0,VfdSky_Q3,0)*Table16[[#This Row],[Iin]])</f>
        <v>0</v>
      </c>
      <c r="BA15" s="345">
        <f>CHOOSE(Table16[[#This Row],[Mode Digit]], IF(QrrSky_Q2&gt;0,QrrSky_Q2,Qrr_Q2)*Fsw*(Table16[[#This Row],[Vin]]-Table16[[#This Row],[Iout]]*Rdson1),0,  IF(QrrSky_Q2&gt;0,QrrSky_Q2,Qrr_Q2)*Fsw*(Table16[[#This Row],[Vin]]-Table16[[#This Row],[Iout]]*Rdson1)+IF(QrrSky_Q3&gt;0,QrrSky_Q3,Qrr_Q3)*Fsw*Vout)</f>
        <v>0</v>
      </c>
      <c r="BB15" s="345">
        <f>CHOOSE(Table16[[#This Row],[Mode Digit]],0, IF(QrrSky_Q3&gt;0,QrrSky_Q3,Qrr_Q3)*Fsw*Vout,  IF(QrrSky_Q2&gt;0,QrrSky_Q2,Qrr_Q2)*Fsw*(Table16[[#This Row],[Vin]]-Table16[[#This Row],[Iout]]*Rdson1)+IF(QrrSky_Q3&gt;0,QrrSky_Q3,Qrr_Q3)*Fsw*Vout)</f>
        <v>0.35660799999999998</v>
      </c>
      <c r="BC15" s="345">
        <f>CHOOSE(Table16[[#This Row],[Mode Digit]], Rs*Table16[[#This Row],[Irms BuSync]]^2, Rs*Table16[[#This Row],[Irms BoCtlr]]^2, Rs*(Table16[[#This Row],[Irms BuSync]]^2+Table16[[#This Row],[Irms BoCtlr]]^2))</f>
        <v>0.28837548948742531</v>
      </c>
      <c r="BD15" s="345">
        <f t="shared" si="1"/>
        <v>0.64</v>
      </c>
      <c r="BE15" s="345">
        <f>IF(Vout&gt;8, Iq*Vout, Iq*Table16[[#This Row],[Vin]])</f>
        <v>4.8000000000000001E-2</v>
      </c>
      <c r="BF15" s="345">
        <f>CHOOSE(Table16[[#This Row],[Mode Digit]], (Qg_Q1+Qg_Q2)*Fsw, (Qg_Q3+Qg_Q4)*Fsw, (Qg_Q1+Qg_Q2+Qg_Q3+Qg_Q4)*Fsw)*IF(Vout&gt;8, Vout, Table16[[#This Row],[Vin]])</f>
        <v>0.85331200000000007</v>
      </c>
      <c r="BG15" s="345">
        <f t="shared" si="2"/>
        <v>0.50594479787234037</v>
      </c>
      <c r="BH15" s="345">
        <f>Table16[[#This Row],[IQ Loss]]+Table16[[#This Row],[Switching Current Loss]]</f>
        <v>0.90131200000000011</v>
      </c>
      <c r="BI15"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10.715471581721999</v>
      </c>
      <c r="BJ15" s="253">
        <f>Vout*Table16[[#This Row],[Iout]]</f>
        <v>128</v>
      </c>
      <c r="BK15" s="684">
        <f>Table16[[#This Row],[Pout]]/(Table16[[#This Row],[Pout]]+Table16[[#This Row],[Total Loss]])</f>
        <v>0.92275215259309307</v>
      </c>
      <c r="BL15"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180.95951841148789</v>
      </c>
      <c r="BM15" s="685">
        <f>IF(Table16[[#This Row],[Vin]]&gt;Vout, Table16[[#This Row],[Total Sync Bu MOSFET Loss]]*ThetaJA_Q2, ThetaJA_Q3*Table16[[#This Row],[Total Sync Bo MOSFET Loss]])</f>
        <v>87.688047394182831</v>
      </c>
      <c r="BN15" s="640"/>
      <c r="BO15" s="292">
        <f>Table16[[#This Row],[EFF, h]]*100</f>
        <v>92.275215259309306</v>
      </c>
      <c r="BP15" s="345">
        <f>Table16[[#This Row],[Total Inductor Loss]]</f>
        <v>2.5003239570439644</v>
      </c>
      <c r="BQ15" s="345">
        <f>Table16[[#This Row],[Total Control Bu MOSFET Loss]]+Table16[[#This Row],[Total Sync Bu MOSFET Loss]]+Table16[[#This Row],[Total Control Bo MOSFET Loss]]+Table16[[#This Row],[Total Sync Bo MOSFET Loss]]+Table16[[#This Row],[Reverse Recovery Loss MOSFET D BUCK]]+Table16[[#This Row],[Reverse Recovery Loss MOSFET D BOOST]]</f>
        <v>6.198026071975832</v>
      </c>
      <c r="BR15" s="345">
        <f>Table16[[#This Row],[Total Control Bu MOSFET Loss]]+Table16[[#This Row],[Reverse Recovery Loss MOSFET D BUCK]]*0.66</f>
        <v>2.0649865980424358</v>
      </c>
      <c r="BS15" s="345">
        <f>Table16[[#This Row],[Total Sync Bu MOSFET Loss]]+Table16[[#This Row],[Reverse Recovery Loss MOSFET D BUCK]]*0.33</f>
        <v>0</v>
      </c>
      <c r="BT15" s="345">
        <f xml:space="preserve"> Table16[[#This Row],[Total Control Bo MOSFET Loss]]+Table16[[#This Row],[Reverse Recovery Loss MOSFET D BOOST]]*0.66</f>
        <v>2.6627458709459679</v>
      </c>
      <c r="BU15" s="345">
        <f xml:space="preserve"> Table16[[#This Row],[Total Sync Bo MOSFET Loss]]+Table16[[#This Row],[Reverse Recovery Loss MOSFET D BOOST]]*0.33</f>
        <v>1.4667275229874281</v>
      </c>
      <c r="BV15" s="345">
        <f>Table16[[#This Row],[Isense Shunt Loss]]</f>
        <v>0.28837548948742531</v>
      </c>
      <c r="BZ15" s="253" t="s">
        <v>138</v>
      </c>
      <c r="CA15" s="686">
        <v>20</v>
      </c>
      <c r="CB15" s="686">
        <v>20</v>
      </c>
      <c r="CC15" s="686">
        <v>20</v>
      </c>
      <c r="CD15" s="686">
        <f>1000000*(5-Vdd)*CC15/1000000000+((1000000*CC9/1000000000*Vdd)*2.5/(2*4))</f>
        <v>0.1140625</v>
      </c>
      <c r="CE15" s="253">
        <f t="shared" si="3"/>
        <v>9.125</v>
      </c>
      <c r="CF15" s="253">
        <f t="shared" si="3"/>
        <v>11.40625</v>
      </c>
      <c r="CG15" s="253">
        <f t="shared" si="3"/>
        <v>13.6875</v>
      </c>
      <c r="CH15" s="253">
        <f t="shared" si="3"/>
        <v>15.96875</v>
      </c>
      <c r="CI15" s="253">
        <f t="shared" si="3"/>
        <v>18.25</v>
      </c>
      <c r="CJ15" s="253">
        <f t="shared" si="3"/>
        <v>20.53125</v>
      </c>
      <c r="CK15" s="253">
        <f t="shared" si="3"/>
        <v>2.28125</v>
      </c>
      <c r="CL15" s="253">
        <f t="shared" si="3"/>
        <v>3.421875</v>
      </c>
      <c r="CM15" s="253">
        <f t="shared" si="3"/>
        <v>4.5625</v>
      </c>
      <c r="CN15" s="253">
        <f t="shared" si="3"/>
        <v>5.703125</v>
      </c>
    </row>
    <row r="16" spans="1:92" x14ac:dyDescent="0.2">
      <c r="A16" s="690" t="s">
        <v>611</v>
      </c>
      <c r="B16" s="569">
        <f>Vdd</f>
        <v>7.5</v>
      </c>
      <c r="C16" s="255" t="s">
        <v>0</v>
      </c>
      <c r="D16" s="255" t="s">
        <v>610</v>
      </c>
      <c r="G16" s="253">
        <v>7</v>
      </c>
      <c r="H16" s="286">
        <f>VIN_min+(VIN_max-VIN_min)*(Table16[[#This Row],[Step]]/200)</f>
        <v>7.05</v>
      </c>
      <c r="I16" s="292" t="str">
        <f>IF(Mode = 2,IF(Table16[[#This Row],[Vin]]&gt;Vout, "BUCK","BOOST"),IF(Table16[[#This Row],[Vin]]&gt;VIN_BB_to_buck, "BUCK", IF(Table16[[#This Row],[Vin]]&lt;=VIN_boost_to_BB,"BOOST","BUCK-BST")))</f>
        <v>BOOST</v>
      </c>
      <c r="J16" s="253">
        <f>IF(Table16[[#This Row],[Mode]]="BOOST",2, IF(Table16[[#This Row],[Mode]]="BUCK", 1,3))</f>
        <v>2</v>
      </c>
      <c r="K16" s="253">
        <f t="shared" si="0"/>
        <v>8</v>
      </c>
      <c r="L16" s="292">
        <f>Vout*Table16[[#This Row],[Iout]]/(Table16[[#This Row],[Vin]]*Efficiency)</f>
        <v>19.111608809257188</v>
      </c>
      <c r="M16" s="682">
        <f>MIN(1/Fsw,CHOOSE(Table16[[#This Row],[Mode Digit]],(Vout+(Rdson2+Rs+Rdcr)*Table16[[#This Row],[Iout]])/(Table16[[#This Row],[Vin]]+(Rs+Rdson2-Rdson1)*Table16[[#This Row],[Iout]])/Fsw,(Vout+(Rdson3+Rdcr)*Table16[[#This Row],[Iin]]-Table16[[#This Row],[Vin]])/(Vout+(Rdson3-Rdson4-Rs)*Table16[[#This Row],[Iin]])/Fsw,t1_Ph_II))</f>
        <v>1.4277899278284919E-6</v>
      </c>
      <c r="N16" s="518">
        <f>CHOOSE(Table16[[#This Row],[Mode Digit]],1/Fsw-Table16[[#This Row],[t1_Ph_II]],1/Fsw-Table16[[#This Row],[t1_Ph_II]],(Vout/Fsw-Table16[[#This Row],[Vin]]*t1_Ph_II)/(Table16[[#This Row],[Vin]]+Vout))</f>
        <v>1.08477288624186E-6</v>
      </c>
      <c r="O16" s="518">
        <f>1/Fsw-(Table16[[#This Row],[t1_Ph_II]]+Table16[[#This Row],[t2_Ph_I]])</f>
        <v>0</v>
      </c>
      <c r="P16"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16.31552020059306</v>
      </c>
      <c r="Q16" s="292">
        <f>CHOOSE(Table16[[#This Row],[Mode Digit]],Table16[[#This Row],[I_0]]+1/Lf*(Table16[[#This Row],[Vin]]-Vout)*Table16[[#This Row],[t1_Ph_II]],Table16[[#This Row],[I_0]]+1/Lf*Table16[[#This Row],[Vin]]*Table16[[#This Row],[t1_Ph_II]],Table16[[#This Row],[I_0]]+(Table16[[#This Row],[Vin]]-Vout)/L*Table16[[#This Row],[t1_Ph_II]])</f>
        <v>21.90769741792132</v>
      </c>
      <c r="R16" s="292">
        <f>CHOOSE(Table16[[#This Row],[Mode Digit]],0,0,Table16[[#This Row],[I_1]]+Table16[[#This Row],[Vin]]/L*Table16[[#This Row],[t2_Ph_I]])</f>
        <v>0</v>
      </c>
      <c r="S16" s="292">
        <f>Fsw*(Table16[[#This Row],[I_0]]*Table16[[#This Row],[t1_Ph_II]]+Table16[[#This Row],[I_1]]*Table16[[#This Row],[t2_Ph_I]]+Table16[[#This Row],[I_2]]*Table16[[#This Row],[t3_Ph_III]])</f>
        <v>18.729884604319086</v>
      </c>
      <c r="T16" s="345">
        <f>MIN(1,CHOOSE(Table16[[#This Row],[Mode Digit]],(Vout+(Rdson2+Rs+Rdcr)*Table16[[#This Row],[Iout]])/(Table16[[#This Row],[Vin]]+(Rs+Rdson2-Rdson1)*Table16[[#This Row],[Iout]]),1,Fsw*Table16[[#This Row],[t2_Ph_I]]+Table16[[#This Row],[t1_Ph_II]]))</f>
        <v>1</v>
      </c>
      <c r="U16" s="345">
        <f>MIN(1,CHOOSE(Table16[[#This Row],[Mode Digit]],0,(Vout+(Rdson3+Rdcr)*Table16[[#This Row],[Iin]]-Table16[[#This Row],[Vin]])/(Vout+(Rdson3-Rdson4-Rs)*Table16[[#This Row],[Iin]]),Fsw*Table16[[#This Row],[t1_Ph_II]]+Table16[[#This Row],[t3_Ph_III]]))</f>
        <v>0.5682603912757398</v>
      </c>
      <c r="V16" s="292">
        <f>MAX(Table16[[#This Row],[I_0]:[I_2]])-MIN(Table16[[#This Row],[I_0]:[I_1]])</f>
        <v>5.5921772173282598</v>
      </c>
      <c r="W16"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19.179667057778769</v>
      </c>
      <c r="X16" s="345">
        <f>(Table16[[#This Row],[Irms Lf]]^2*Rdcr*(1+Ltc*Ta-Ltc*25))/(1-Table16[[#This Row],[Irms Lf]]^2*Rdcr*Ltc*ThetaCa)</f>
        <v>1.2995302588879412</v>
      </c>
      <c r="Y16" s="345">
        <f>ABS(7.759*10^-3*Fsw^0.9458*(0.00787*Table16[[#This Row],[Ripple Current pk-pk]])^2.304)</f>
        <v>1.1506080229213715</v>
      </c>
      <c r="Z16" s="345">
        <f>Table16[[#This Row],[DCR    Loss]]+Table16[[#This Row],[Core Loss]]</f>
        <v>2.4501382818093127</v>
      </c>
      <c r="AA16" s="292">
        <f>IF(Table16[[#This Row],[Vin]]&gt;Vout, Table16[[#This Row],[Ripple Current pk-pk]]/SQRT(12), SQRT(Table16[[#This Row],[Duty Cycle BOOST Leg]]/(1-Table16[[#This Row],[Duty Cycle BOOST Leg]]))*SQRT(Table16[[#This Row],[Iout]]^2+(Table16[[#This Row],[Ripple Current pk-pk]]^2)/12))</f>
        <v>9.3630974590221019</v>
      </c>
      <c r="AB16" s="345">
        <f>RCoutEsr*Table16[[#This Row],[Irms Cout]]^2</f>
        <v>0.17533518805429227</v>
      </c>
      <c r="AC16" s="345">
        <f>Table16[[#This Row],[Cout ESR Loss]]</f>
        <v>0.17533518805429227</v>
      </c>
      <c r="AD16" s="345">
        <f>IF(Table16[[#This Row],[Vin]]&gt;Vout, SQRT(Table16[[#This Row],[Duty Cycle BUCK Leg]]*(1-Table16[[#This Row],[Duty Cycle BUCK Leg]]))*SQRT(Table16[[#This Row],[Iout]]^2+(Table16[[#This Row],[Ripple Current pk-pk]]^2)/12), Table16[[#This Row],[Ripple Current pk-pk]]/SQRT(12))</f>
        <v>1.6143225108902817</v>
      </c>
      <c r="AE16" s="345">
        <f>RCinEsr*Table16[[#This Row],[Irms Cin]]^2</f>
        <v>5.2120743383342076E-3</v>
      </c>
      <c r="AF16" s="683">
        <f>Table16[[#This Row],[Cin ESR Loss]]</f>
        <v>5.2120743383342076E-3</v>
      </c>
      <c r="AG16"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19.179667057778769</v>
      </c>
      <c r="AH16" s="345">
        <f>Rdson1*Table16[[#This Row],[Irms BuCtrl]]^2</f>
        <v>1.2875086995653542</v>
      </c>
      <c r="AI16" s="345">
        <f>CHOOSE(Table16[[#This Row],[Mode Digit]], (Table16[[#This Row],[Vin]]*Table16[[#This Row],[Iout]]/2)*(Fsw)*(Tr_buck+Tf_buck), 0, (Table16[[#This Row],[Vin]]*Table16[[#This Row],[Avg IL]]/2)*(Fsw/1)*(Tr_buck+Tf_buck))</f>
        <v>0</v>
      </c>
      <c r="AJ16" s="253">
        <f>IF(Table16[[#This Row],[Vin]]&gt;Vout, IF(Table16[[#This Row],[Iout]]&gt;Table16[[#This Row],[Ripple Current pk-pk]]/2,0,ABS(Table16[[#This Row],[Iout]]-Table16[[#This Row],[Ripple Current pk-pk]]/2)*Vsd_Q1*Deadtime*Fsw),0)</f>
        <v>0</v>
      </c>
      <c r="AK16" s="345">
        <f>(Table16[[#This Row],[Dead Time Loss BuCtrl]]+Table16[[#This Row],[Transition Loss BuCtrl]]+Table16[[#This Row],[RDS(on) Loss BuCtrl]]*(1+RdsonTopTc*Ta-RdsonTopTc*25))/(1-Table16[[#This Row],[RDS(on) Loss BuCtrl]]*RdsonTopTc*ThetaJA_Q1)</f>
        <v>1.935382303166344</v>
      </c>
      <c r="AL16" s="345">
        <f>CHOOSE(Table16[[#This Row],[Mode Digit]],SQRT((Fsw*(Table16[[#This Row],[t2_Ph_I]]+0))*((Table16[[#This Row],[I_0]]*Table16[[#This Row],[I_1]]+((Table16[[#This Row],[I_0]]-Table16[[#This Row],[I_1]])^2)/3))),0,SQRT((Fsw*(Table16[[#This Row],[t3_Ph_III]]+0))*((Table16[[#This Row],[I_0]]*Table16[[#This Row],[I_2]]+((Table16[[#This Row],[I_0]]-Table16[[#This Row],[I_2]])^2)/3))))</f>
        <v>0</v>
      </c>
      <c r="AM16" s="345">
        <f>Rdson2*Table16[[#This Row],[Irms BuSync]]^2</f>
        <v>0</v>
      </c>
      <c r="AN16"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16" s="345">
        <f>(Table16[[#This Row],[Deadtime Loss BuSync]]+Table16[[#This Row],[RDS(on) Loss BuSync]]*(1+RdsonBotTc*Ta-RdsonBotTc*25))/(1-Table16[[#This Row],[RDS(on) Loss BuSync]]*RdsonBotTc*ThetaJA_Q2)</f>
        <v>0</v>
      </c>
      <c r="AP16" s="345">
        <f>CHOOSE(Table16[[#This Row],[Mode Digit]],0,SQRT((Fsw*(Table16[[#This Row],[t1_Ph_II]]+0))*((Table16[[#This Row],[I_0]]*Table16[[#This Row],[I_1]]+((Table16[[#This Row],[I_0]]-Table16[[#This Row],[I_1]])^2)/3))),SQRT((Fsw*(Table16[[#This Row],[t2_Ph_I]]+0))*((Table16[[#This Row],[I_1]]*Table16[[#This Row],[I_2]]+((Table16[[#This Row],[I_1]]-Table16[[#This Row],[I_2]])^2)/3))))</f>
        <v>14.458217607851225</v>
      </c>
      <c r="AQ16" s="345">
        <f>Rdson4*Table16[[#This Row],[Irms BoCtlr]]^2</f>
        <v>0.73164019738592723</v>
      </c>
      <c r="AR16" s="345">
        <f>CHOOSE(Table16[[#This Row],[Mode Digit]], 0, (Vout*Table16[[#This Row],[Iin]]/2)*(Fsw)*(Tr_boost+Tf_boost), (Vout*Iout/2)*(Fsw/1)*(Tr_boost+Tf_boost))</f>
        <v>1.1362883675798383</v>
      </c>
      <c r="AS16" s="253">
        <f>IF(Table16[[#This Row],[Vin]]&gt;Vout, 0, IF(Table16[[#This Row],[Iin]]&gt;Table16[[#This Row],[Ripple Current pk-pk]]/2,0,ABS(Table16[[#This Row],[Iin]]-Table16[[#This Row],[Ripple Current pk-pk]]/2)*Vsd_Q4*Deadtime*Fsw))</f>
        <v>0</v>
      </c>
      <c r="AT16" s="345">
        <f>(Table16[[#This Row],[Dead Time Loss BoCtlr]]+Table16[[#This Row],[Transition Loss BoCtlr]]+Table16[[#This Row],[RDS(on) Loss BoCtlr]]*(1+RdsonTopTc*Ta-RdsonTopTc*25))/(1-Table16[[#This Row],[RDS(on) Loss BoCtlr]]*RdsonTopTc*ThetaJA_Q4)</f>
        <v>2.3067295394020162</v>
      </c>
      <c r="AU16"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12.602363748569747</v>
      </c>
      <c r="AV16" s="345">
        <f>Rdson3*Table16[[#This Row],[Irms BoSync]]^2</f>
        <v>0.55586850217942718</v>
      </c>
      <c r="AW16"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0.57048152295632693</v>
      </c>
      <c r="AX16" s="345">
        <f>(Table16[[#This Row],[Deadtime Loss BoSync]]+Table16[[#This Row],[RDS(on) Loss BoSync]]*(1+RdsonBotTc*Ta-RdsonBotTc*25))/(1-Table16[[#This Row],[RDS(on) Loss BoSync]]*RdsonBotTc*ThetaJA_Q3)</f>
        <v>1.3166382329802708</v>
      </c>
      <c r="AY16" s="345">
        <f>CHOOSE(Table16[[#This Row],[Mode Digit]], Rdson3*Table16[[#This Row],[Irms Lf]]^2, Rdson1*Table16[[#This Row],[Irms Lf]]^2, 0)</f>
        <v>1.2875086995653542</v>
      </c>
      <c r="AZ16" s="345">
        <f>CHOOSE(Table16[[#This Row],[Mode Digit]], 2*Deadtime*Fsw*IF(VfdSky_Q2&gt;0,VfdSky_Q2,0)*Table16[[#This Row],[Iout]], 2*Deadtime*Fsw*IF(VfdSky_Q3&gt;0,VfdSky_Q3,0)*Table16[[#This Row],[Iin]], 2*Deadtime*Fsw*IF(VfdSky_Q2&gt;0,VfdSky_Q2,0)*Table16[[#This Row],[Iout]]+2*Deadtime*Fsw*IF(VfdSky_Q3&gt;0,VfdSky_Q3,0)*Table16[[#This Row],[Iin]])</f>
        <v>0</v>
      </c>
      <c r="BA16" s="345">
        <f>CHOOSE(Table16[[#This Row],[Mode Digit]], IF(QrrSky_Q2&gt;0,QrrSky_Q2,Qrr_Q2)*Fsw*(Table16[[#This Row],[Vin]]-Table16[[#This Row],[Iout]]*Rdson1),0,  IF(QrrSky_Q2&gt;0,QrrSky_Q2,Qrr_Q2)*Fsw*(Table16[[#This Row],[Vin]]-Table16[[#This Row],[Iout]]*Rdson1)+IF(QrrSky_Q3&gt;0,QrrSky_Q3,Qrr_Q3)*Fsw*Vout)</f>
        <v>0</v>
      </c>
      <c r="BB16" s="345">
        <f>CHOOSE(Table16[[#This Row],[Mode Digit]],0, IF(QrrSky_Q3&gt;0,QrrSky_Q3,Qrr_Q3)*Fsw*Vout,  IF(QrrSky_Q2&gt;0,QrrSky_Q2,Qrr_Q2)*Fsw*(Table16[[#This Row],[Vin]]-Table16[[#This Row],[Iout]]*Rdson1)+IF(QrrSky_Q3&gt;0,QrrSky_Q3,Qrr_Q3)*Fsw*Vout)</f>
        <v>0.35660799999999998</v>
      </c>
      <c r="BC16" s="345">
        <f>CHOOSE(Table16[[#This Row],[Mode Digit]], Rs*Table16[[#This Row],[Irms BuSync]]^2, Rs*Table16[[#This Row],[Irms BoCtlr]]^2, Rs*(Table16[[#This Row],[Irms BuSync]]^2+Table16[[#This Row],[Irms BoCtlr]]^2))</f>
        <v>0.27175207331477297</v>
      </c>
      <c r="BD16" s="345">
        <f t="shared" si="1"/>
        <v>0.64</v>
      </c>
      <c r="BE16" s="345">
        <f>IF(Vout&gt;8, Iq*Vout, Iq*Table16[[#This Row],[Vin]])</f>
        <v>4.8000000000000001E-2</v>
      </c>
      <c r="BF16" s="345">
        <f>CHOOSE(Table16[[#This Row],[Mode Digit]], (Qg_Q1+Qg_Q2)*Fsw, (Qg_Q3+Qg_Q4)*Fsw, (Qg_Q1+Qg_Q2+Qg_Q3+Qg_Q4)*Fsw)*IF(Vout&gt;8, Vout, Table16[[#This Row],[Vin]])</f>
        <v>0.85331200000000007</v>
      </c>
      <c r="BG16" s="345">
        <f t="shared" si="2"/>
        <v>0.50594479787234037</v>
      </c>
      <c r="BH16" s="345">
        <f>Table16[[#This Row],[IQ Loss]]+Table16[[#This Row],[Switching Current Loss]]</f>
        <v>0.90131200000000011</v>
      </c>
      <c r="BI16"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10.359107693065344</v>
      </c>
      <c r="BJ16" s="253">
        <f>Vout*Table16[[#This Row],[Iout]]</f>
        <v>128</v>
      </c>
      <c r="BK16" s="684">
        <f>Table16[[#This Row],[Pout]]/(Table16[[#This Row],[Pout]]+Table16[[#This Row],[Total Loss]])</f>
        <v>0.92512883419249925</v>
      </c>
      <c r="BL16"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173.11694006113106</v>
      </c>
      <c r="BM16" s="685">
        <f>IF(Table16[[#This Row],[Vin]]&gt;Vout, Table16[[#This Row],[Total Sync Bu MOSFET Loss]]*ThetaJA_Q2, ThetaJA_Q3*Table16[[#This Row],[Total Sync Bo MOSFET Loss]])</f>
        <v>85.5814851437176</v>
      </c>
      <c r="BN16" s="640"/>
      <c r="BO16" s="292">
        <f>Table16[[#This Row],[EFF, h]]*100</f>
        <v>92.512883419249931</v>
      </c>
      <c r="BP16" s="345">
        <f>Table16[[#This Row],[Total Inductor Loss]]</f>
        <v>2.4501382818093127</v>
      </c>
      <c r="BQ16" s="345">
        <f>Table16[[#This Row],[Total Control Bu MOSFET Loss]]+Table16[[#This Row],[Total Sync Bu MOSFET Loss]]+Table16[[#This Row],[Total Control Bo MOSFET Loss]]+Table16[[#This Row],[Total Sync Bo MOSFET Loss]]+Table16[[#This Row],[Reverse Recovery Loss MOSFET D BUCK]]+Table16[[#This Row],[Reverse Recovery Loss MOSFET D BOOST]]</f>
        <v>5.9153580755486308</v>
      </c>
      <c r="BR16" s="345">
        <f>Table16[[#This Row],[Total Control Bu MOSFET Loss]]+Table16[[#This Row],[Reverse Recovery Loss MOSFET D BUCK]]*0.66</f>
        <v>1.935382303166344</v>
      </c>
      <c r="BS16" s="345">
        <f>Table16[[#This Row],[Total Sync Bu MOSFET Loss]]+Table16[[#This Row],[Reverse Recovery Loss MOSFET D BUCK]]*0.33</f>
        <v>0</v>
      </c>
      <c r="BT16" s="345">
        <f xml:space="preserve"> Table16[[#This Row],[Total Control Bo MOSFET Loss]]+Table16[[#This Row],[Reverse Recovery Loss MOSFET D BOOST]]*0.66</f>
        <v>2.5420908194020164</v>
      </c>
      <c r="BU16" s="345">
        <f xml:space="preserve"> Table16[[#This Row],[Total Sync Bo MOSFET Loss]]+Table16[[#This Row],[Reverse Recovery Loss MOSFET D BOOST]]*0.33</f>
        <v>1.4343188729802709</v>
      </c>
      <c r="BV16" s="345">
        <f>Table16[[#This Row],[Isense Shunt Loss]]</f>
        <v>0.27175207331477297</v>
      </c>
      <c r="BZ16" s="253" t="s">
        <v>139</v>
      </c>
      <c r="CA16" s="686">
        <v>25</v>
      </c>
      <c r="CB16" s="686">
        <v>25</v>
      </c>
      <c r="CC16" s="686">
        <v>25</v>
      </c>
      <c r="CD16" s="686">
        <f>1000000*(12-Vdd)*CC16/1000000000+((1000000*CC9/1000000000*Vdd)*2.5/(2*4))</f>
        <v>0.27656249999999999</v>
      </c>
      <c r="CE16" s="253">
        <f t="shared" si="3"/>
        <v>22.125</v>
      </c>
      <c r="CF16" s="253">
        <f t="shared" si="3"/>
        <v>27.65625</v>
      </c>
      <c r="CG16" s="253">
        <f t="shared" si="3"/>
        <v>33.1875</v>
      </c>
      <c r="CH16" s="253">
        <f t="shared" si="3"/>
        <v>38.71875</v>
      </c>
      <c r="CI16" s="253">
        <f t="shared" si="3"/>
        <v>44.25</v>
      </c>
      <c r="CJ16" s="253">
        <f t="shared" si="3"/>
        <v>49.78125</v>
      </c>
      <c r="CK16" s="253">
        <f t="shared" si="3"/>
        <v>5.53125</v>
      </c>
      <c r="CL16" s="253">
        <f t="shared" si="3"/>
        <v>8.296875</v>
      </c>
      <c r="CM16" s="253">
        <f t="shared" si="3"/>
        <v>11.0625</v>
      </c>
      <c r="CN16" s="253">
        <f t="shared" si="3"/>
        <v>13.828125</v>
      </c>
    </row>
    <row r="17" spans="1:92" ht="13.6" x14ac:dyDescent="0.25">
      <c r="A17" s="688" t="s">
        <v>62</v>
      </c>
      <c r="B17" s="680" t="s">
        <v>113</v>
      </c>
      <c r="C17" s="688" t="s">
        <v>80</v>
      </c>
      <c r="D17" s="681" t="s">
        <v>109</v>
      </c>
      <c r="G17" s="253">
        <v>8</v>
      </c>
      <c r="H17" s="286">
        <f>VIN_min+(VIN_max-VIN_min)*(Table16[[#This Row],[Step]]/200)</f>
        <v>7.2</v>
      </c>
      <c r="I17" s="292" t="str">
        <f>IF(Mode = 2,IF(Table16[[#This Row],[Vin]]&gt;Vout, "BUCK","BOOST"),IF(Table16[[#This Row],[Vin]]&gt;VIN_BB_to_buck, "BUCK", IF(Table16[[#This Row],[Vin]]&lt;=VIN_boost_to_BB,"BOOST","BUCK-BST")))</f>
        <v>BOOST</v>
      </c>
      <c r="J17" s="253">
        <f>IF(Table16[[#This Row],[Mode]]="BOOST",2, IF(Table16[[#This Row],[Mode]]="BUCK", 1,3))</f>
        <v>2</v>
      </c>
      <c r="K17" s="253">
        <f t="shared" si="0"/>
        <v>8</v>
      </c>
      <c r="L17" s="292">
        <f>Vout*Table16[[#This Row],[Iout]]/(Table16[[#This Row],[Vin]]*Efficiency)</f>
        <v>18.71345029239766</v>
      </c>
      <c r="M17" s="682">
        <f>MIN(1/Fsw,CHOOSE(Table16[[#This Row],[Mode Digit]],(Vout+(Rdson2+Rs+Rdcr)*Table16[[#This Row],[Iout]])/(Table16[[#This Row],[Vin]]+(Rs+Rdson2-Rdson1)*Table16[[#This Row],[Iout]])/Fsw,(Vout+(Rdson3+Rdcr)*Table16[[#This Row],[Iin]]-Table16[[#This Row],[Vin]])/(Vout+(Rdson3-Rdson4-Rs)*Table16[[#This Row],[Iin]])/Fsw,t1_Ph_II))</f>
        <v>1.4037329672845898E-6</v>
      </c>
      <c r="N17" s="518">
        <f>CHOOSE(Table16[[#This Row],[Mode Digit]],1/Fsw-Table16[[#This Row],[t1_Ph_II]],1/Fsw-Table16[[#This Row],[t1_Ph_II]],(Vout/Fsw-Table16[[#This Row],[Vin]]*t1_Ph_II)/(Table16[[#This Row],[Vin]]+Vout))</f>
        <v>1.1088298467857621E-6</v>
      </c>
      <c r="O17" s="518">
        <f>1/Fsw-(Table16[[#This Row],[t1_Ph_II]]+Table16[[#This Row],[t2_Ph_I]])</f>
        <v>0</v>
      </c>
      <c r="P17"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15.90598435782848</v>
      </c>
      <c r="Q17" s="292">
        <f>CHOOSE(Table16[[#This Row],[Mode Digit]],Table16[[#This Row],[I_0]]+1/Lf*(Table16[[#This Row],[Vin]]-Vout)*Table16[[#This Row],[t1_Ph_II]],Table16[[#This Row],[I_0]]+1/Lf*Table16[[#This Row],[Vin]]*Table16[[#This Row],[t1_Ph_II]],Table16[[#This Row],[I_0]]+(Table16[[#This Row],[Vin]]-Vout)/L*Table16[[#This Row],[t1_Ph_II]])</f>
        <v>21.52091622696684</v>
      </c>
      <c r="R17" s="292">
        <f>CHOOSE(Table16[[#This Row],[Mode Digit]],0,0,Table16[[#This Row],[I_1]]+Table16[[#This Row],[Vin]]/L*Table16[[#This Row],[t2_Ph_I]])</f>
        <v>0</v>
      </c>
      <c r="S17" s="292">
        <f>Fsw*(Table16[[#This Row],[I_0]]*Table16[[#This Row],[t1_Ph_II]]+Table16[[#This Row],[I_1]]*Table16[[#This Row],[t2_Ph_I]]+Table16[[#This Row],[I_2]]*Table16[[#This Row],[t3_Ph_III]])</f>
        <v>18.383933967407813</v>
      </c>
      <c r="T17" s="345">
        <f>MIN(1,CHOOSE(Table16[[#This Row],[Mode Digit]],(Vout+(Rdson2+Rs+Rdcr)*Table16[[#This Row],[Iout]])/(Table16[[#This Row],[Vin]]+(Rs+Rdson2-Rdson1)*Table16[[#This Row],[Iout]]),1,Fsw*Table16[[#This Row],[t2_Ph_I]]+Table16[[#This Row],[t1_Ph_II]]))</f>
        <v>1</v>
      </c>
      <c r="U17" s="345">
        <f>MIN(1,CHOOSE(Table16[[#This Row],[Mode Digit]],0,(Vout+(Rdson3+Rdcr)*Table16[[#This Row],[Iin]]-Table16[[#This Row],[Vin]])/(Vout+(Rdson3-Rdson4-Rs)*Table16[[#This Row],[Iin]]),Fsw*Table16[[#This Row],[t1_Ph_II]]+Table16[[#This Row],[t3_Ph_III]]))</f>
        <v>0.55868572097926672</v>
      </c>
      <c r="V17" s="292">
        <f>MAX(Table16[[#This Row],[I_0]:[I_2]])-MIN(Table16[[#This Row],[I_0]:[I_1]])</f>
        <v>5.6149318691383598</v>
      </c>
      <c r="W17"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18.783516980869873</v>
      </c>
      <c r="X17" s="345">
        <f>(Table16[[#This Row],[Irms Lf]]^2*Rdcr*(1+Ltc*Ta-Ltc*25))/(1-Table16[[#This Row],[Irms Lf]]^2*Rdcr*Ltc*ThetaCa)</f>
        <v>1.2411267452346735</v>
      </c>
      <c r="Y17" s="345">
        <f>ABS(7.759*10^-3*Fsw^0.9458*(0.00787*Table16[[#This Row],[Ripple Current pk-pk]])^2.304)</f>
        <v>1.1614236143079004</v>
      </c>
      <c r="Z17" s="345">
        <f>Table16[[#This Row],[DCR    Loss]]+Table16[[#This Row],[Core Loss]]</f>
        <v>2.4025503595425741</v>
      </c>
      <c r="AA17" s="292">
        <f>IF(Table16[[#This Row],[Vin]]&gt;Vout, Table16[[#This Row],[Ripple Current pk-pk]]/SQRT(12), SQRT(Table16[[#This Row],[Duty Cycle BOOST Leg]]/(1-Table16[[#This Row],[Duty Cycle BOOST Leg]]))*SQRT(Table16[[#This Row],[Iout]]^2+(Table16[[#This Row],[Ripple Current pk-pk]]^2)/12))</f>
        <v>9.184084379130006</v>
      </c>
      <c r="AB17" s="345">
        <f>RCoutEsr*Table16[[#This Row],[Irms Cout]]^2</f>
        <v>0.16869481176595957</v>
      </c>
      <c r="AC17" s="345">
        <f>Table16[[#This Row],[Cout ESR Loss]]</f>
        <v>0.16869481176595957</v>
      </c>
      <c r="AD17" s="345">
        <f>IF(Table16[[#This Row],[Vin]]&gt;Vout, SQRT(Table16[[#This Row],[Duty Cycle BUCK Leg]]*(1-Table16[[#This Row],[Duty Cycle BUCK Leg]]))*SQRT(Table16[[#This Row],[Iout]]^2+(Table16[[#This Row],[Ripple Current pk-pk]]^2)/12), Table16[[#This Row],[Ripple Current pk-pk]]/SQRT(12))</f>
        <v>1.6208912130642203</v>
      </c>
      <c r="AE17" s="345">
        <f>RCinEsr*Table16[[#This Row],[Irms Cin]]^2</f>
        <v>5.2545766491776001E-3</v>
      </c>
      <c r="AF17" s="683">
        <f>Table16[[#This Row],[Cin ESR Loss]]</f>
        <v>5.2545766491776001E-3</v>
      </c>
      <c r="AG17"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18.783516980869873</v>
      </c>
      <c r="AH17" s="345">
        <f>Rdson1*Table16[[#This Row],[Irms BuCtrl]]^2</f>
        <v>1.234871785597194</v>
      </c>
      <c r="AI17" s="345">
        <f>CHOOSE(Table16[[#This Row],[Mode Digit]], (Table16[[#This Row],[Vin]]*Table16[[#This Row],[Iout]]/2)*(Fsw)*(Tr_buck+Tf_buck), 0, (Table16[[#This Row],[Vin]]*Table16[[#This Row],[Avg IL]]/2)*(Fsw/1)*(Tr_buck+Tf_buck))</f>
        <v>0</v>
      </c>
      <c r="AJ17" s="253">
        <f>IF(Table16[[#This Row],[Vin]]&gt;Vout, IF(Table16[[#This Row],[Iout]]&gt;Table16[[#This Row],[Ripple Current pk-pk]]/2,0,ABS(Table16[[#This Row],[Iout]]-Table16[[#This Row],[Ripple Current pk-pk]]/2)*Vsd_Q1*Deadtime*Fsw),0)</f>
        <v>0</v>
      </c>
      <c r="AK17" s="345">
        <f>(Table16[[#This Row],[Dead Time Loss BuCtrl]]+Table16[[#This Row],[Transition Loss BuCtrl]]+Table16[[#This Row],[RDS(on) Loss BuCtrl]]*(1+RdsonTopTc*Ta-RdsonTopTc*25))/(1-Table16[[#This Row],[RDS(on) Loss BuCtrl]]*RdsonTopTc*ThetaJA_Q1)</f>
        <v>1.8188409974635422</v>
      </c>
      <c r="AL17" s="345">
        <f>CHOOSE(Table16[[#This Row],[Mode Digit]],SQRT((Fsw*(Table16[[#This Row],[t2_Ph_I]]+0))*((Table16[[#This Row],[I_0]]*Table16[[#This Row],[I_1]]+((Table16[[#This Row],[I_0]]-Table16[[#This Row],[I_1]])^2)/3))),0,SQRT((Fsw*(Table16[[#This Row],[t3_Ph_III]]+0))*((Table16[[#This Row],[I_0]]*Table16[[#This Row],[I_2]]+((Table16[[#This Row],[I_0]]-Table16[[#This Row],[I_2]])^2)/3))))</f>
        <v>0</v>
      </c>
      <c r="AM17" s="345">
        <f>Rdson2*Table16[[#This Row],[Irms BuSync]]^2</f>
        <v>0</v>
      </c>
      <c r="AN17"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17" s="345">
        <f>(Table16[[#This Row],[Deadtime Loss BuSync]]+Table16[[#This Row],[RDS(on) Loss BuSync]]*(1+RdsonBotTc*Ta-RdsonBotTc*25))/(1-Table16[[#This Row],[RDS(on) Loss BuSync]]*RdsonBotTc*ThetaJA_Q2)</f>
        <v>0</v>
      </c>
      <c r="AP17" s="345">
        <f>CHOOSE(Table16[[#This Row],[Mode Digit]],0,SQRT((Fsw*(Table16[[#This Row],[t1_Ph_II]]+0))*((Table16[[#This Row],[I_0]]*Table16[[#This Row],[I_1]]+((Table16[[#This Row],[I_0]]-Table16[[#This Row],[I_1]])^2)/3))),SQRT((Fsw*(Table16[[#This Row],[t2_Ph_I]]+0))*((Table16[[#This Row],[I_1]]*Table16[[#This Row],[I_2]]+((Table16[[#This Row],[I_1]]-Table16[[#This Row],[I_2]])^2)/3))))</f>
        <v>14.03979277272102</v>
      </c>
      <c r="AQ17" s="345">
        <f>Rdson4*Table16[[#This Row],[Irms BoCtlr]]^2</f>
        <v>0.68990523385332292</v>
      </c>
      <c r="AR17" s="345">
        <f>CHOOSE(Table16[[#This Row],[Mode Digit]], 0, (Vout*Table16[[#This Row],[Iin]]/2)*(Fsw)*(Tr_boost+Tf_boost), (Vout*Iout/2)*(Fsw/1)*(Tr_boost+Tf_boost))</f>
        <v>1.1126156932552582</v>
      </c>
      <c r="AS17" s="253">
        <f>IF(Table16[[#This Row],[Vin]]&gt;Vout, 0, IF(Table16[[#This Row],[Iin]]&gt;Table16[[#This Row],[Ripple Current pk-pk]]/2,0,ABS(Table16[[#This Row],[Iin]]-Table16[[#This Row],[Ripple Current pk-pk]]/2)*Vsd_Q4*Deadtime*Fsw))</f>
        <v>0</v>
      </c>
      <c r="AT17" s="345">
        <f>(Table16[[#This Row],[Dead Time Loss BoCtlr]]+Table16[[#This Row],[Transition Loss BoCtlr]]+Table16[[#This Row],[RDS(on) Loss BoCtlr]]*(1+RdsonTopTc*Ta-RdsonTopTc*25))/(1-Table16[[#This Row],[RDS(on) Loss BoCtlr]]*RdsonTopTc*ThetaJA_Q4)</f>
        <v>2.1965230399003057</v>
      </c>
      <c r="AU17"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12.4781701010075</v>
      </c>
      <c r="AV17" s="345">
        <f>Rdson3*Table16[[#This Row],[Irms BoSync]]^2</f>
        <v>0.54496655174387132</v>
      </c>
      <c r="AW17"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0.55859649122807009</v>
      </c>
      <c r="AX17" s="345">
        <f>(Table16[[#This Row],[Deadtime Loss BoSync]]+Table16[[#This Row],[RDS(on) Loss BoSync]]*(1+RdsonBotTc*Ta-RdsonBotTc*25))/(1-Table16[[#This Row],[RDS(on) Loss BoSync]]*RdsonBotTc*ThetaJA_Q3)</f>
        <v>1.2857414207873334</v>
      </c>
      <c r="AY17" s="345">
        <f>CHOOSE(Table16[[#This Row],[Mode Digit]], Rdson3*Table16[[#This Row],[Irms Lf]]^2, Rdson1*Table16[[#This Row],[Irms Lf]]^2, 0)</f>
        <v>1.234871785597194</v>
      </c>
      <c r="AZ17" s="345">
        <f>CHOOSE(Table16[[#This Row],[Mode Digit]], 2*Deadtime*Fsw*IF(VfdSky_Q2&gt;0,VfdSky_Q2,0)*Table16[[#This Row],[Iout]], 2*Deadtime*Fsw*IF(VfdSky_Q3&gt;0,VfdSky_Q3,0)*Table16[[#This Row],[Iin]], 2*Deadtime*Fsw*IF(VfdSky_Q2&gt;0,VfdSky_Q2,0)*Table16[[#This Row],[Iout]]+2*Deadtime*Fsw*IF(VfdSky_Q3&gt;0,VfdSky_Q3,0)*Table16[[#This Row],[Iin]])</f>
        <v>0</v>
      </c>
      <c r="BA17" s="345">
        <f>CHOOSE(Table16[[#This Row],[Mode Digit]], IF(QrrSky_Q2&gt;0,QrrSky_Q2,Qrr_Q2)*Fsw*(Table16[[#This Row],[Vin]]-Table16[[#This Row],[Iout]]*Rdson1),0,  IF(QrrSky_Q2&gt;0,QrrSky_Q2,Qrr_Q2)*Fsw*(Table16[[#This Row],[Vin]]-Table16[[#This Row],[Iout]]*Rdson1)+IF(QrrSky_Q3&gt;0,QrrSky_Q3,Qrr_Q3)*Fsw*Vout)</f>
        <v>0</v>
      </c>
      <c r="BB17" s="345">
        <f>CHOOSE(Table16[[#This Row],[Mode Digit]],0, IF(QrrSky_Q3&gt;0,QrrSky_Q3,Qrr_Q3)*Fsw*Vout,  IF(QrrSky_Q2&gt;0,QrrSky_Q2,Qrr_Q2)*Fsw*(Table16[[#This Row],[Vin]]-Table16[[#This Row],[Iout]]*Rdson1)+IF(QrrSky_Q3&gt;0,QrrSky_Q3,Qrr_Q3)*Fsw*Vout)</f>
        <v>0.35660799999999998</v>
      </c>
      <c r="BC17" s="345">
        <f>CHOOSE(Table16[[#This Row],[Mode Digit]], Rs*Table16[[#This Row],[Irms BuSync]]^2, Rs*Table16[[#This Row],[Irms BoCtlr]]^2, Rs*(Table16[[#This Row],[Irms BuSync]]^2+Table16[[#This Row],[Irms BoCtlr]]^2))</f>
        <v>0.25625051543123417</v>
      </c>
      <c r="BD17" s="345">
        <f t="shared" si="1"/>
        <v>0.64</v>
      </c>
      <c r="BE17" s="345">
        <f>IF(Vout&gt;8, Iq*Vout, Iq*Table16[[#This Row],[Vin]])</f>
        <v>4.8000000000000001E-2</v>
      </c>
      <c r="BF17" s="345">
        <f>CHOOSE(Table16[[#This Row],[Mode Digit]], (Qg_Q1+Qg_Q2)*Fsw, (Qg_Q3+Qg_Q4)*Fsw, (Qg_Q1+Qg_Q2+Qg_Q3+Qg_Q4)*Fsw)*IF(Vout&gt;8, Vout, Table16[[#This Row],[Vin]])</f>
        <v>0.85331200000000007</v>
      </c>
      <c r="BG17" s="345">
        <f t="shared" si="2"/>
        <v>0.50594479787234037</v>
      </c>
      <c r="BH17" s="345">
        <f>Table16[[#This Row],[IQ Loss]]+Table16[[#This Row],[Switching Current Loss]]</f>
        <v>0.90131200000000011</v>
      </c>
      <c r="BI17"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10.031775721540127</v>
      </c>
      <c r="BJ17" s="253">
        <f>Vout*Table16[[#This Row],[Iout]]</f>
        <v>128</v>
      </c>
      <c r="BK17" s="684">
        <f>Table16[[#This Row],[Pout]]/(Table16[[#This Row],[Pout]]+Table16[[#This Row],[Total Loss]])</f>
        <v>0.92732270762220836</v>
      </c>
      <c r="BL17"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165.95351759351988</v>
      </c>
      <c r="BM17" s="685">
        <f>IF(Table16[[#This Row],[Vin]]&gt;Vout, Table16[[#This Row],[Total Sync Bu MOSFET Loss]]*ThetaJA_Q2, ThetaJA_Q3*Table16[[#This Row],[Total Sync Bo MOSFET Loss]])</f>
        <v>83.573192351176672</v>
      </c>
      <c r="BN17" s="640"/>
      <c r="BO17" s="292">
        <f>Table16[[#This Row],[EFF, h]]*100</f>
        <v>92.732270762220836</v>
      </c>
      <c r="BP17" s="345">
        <f>Table16[[#This Row],[Total Inductor Loss]]</f>
        <v>2.4025503595425741</v>
      </c>
      <c r="BQ17" s="345">
        <f>Table16[[#This Row],[Total Control Bu MOSFET Loss]]+Table16[[#This Row],[Total Sync Bu MOSFET Loss]]+Table16[[#This Row],[Total Control Bo MOSFET Loss]]+Table16[[#This Row],[Total Sync Bo MOSFET Loss]]+Table16[[#This Row],[Reverse Recovery Loss MOSFET D BUCK]]+Table16[[#This Row],[Reverse Recovery Loss MOSFET D BOOST]]</f>
        <v>5.6577134581511812</v>
      </c>
      <c r="BR17" s="345">
        <f>Table16[[#This Row],[Total Control Bu MOSFET Loss]]+Table16[[#This Row],[Reverse Recovery Loss MOSFET D BUCK]]*0.66</f>
        <v>1.8188409974635422</v>
      </c>
      <c r="BS17" s="345">
        <f>Table16[[#This Row],[Total Sync Bu MOSFET Loss]]+Table16[[#This Row],[Reverse Recovery Loss MOSFET D BUCK]]*0.33</f>
        <v>0</v>
      </c>
      <c r="BT17" s="345">
        <f xml:space="preserve"> Table16[[#This Row],[Total Control Bo MOSFET Loss]]+Table16[[#This Row],[Reverse Recovery Loss MOSFET D BOOST]]*0.66</f>
        <v>2.4318843199003055</v>
      </c>
      <c r="BU17" s="345">
        <f xml:space="preserve"> Table16[[#This Row],[Total Sync Bo MOSFET Loss]]+Table16[[#This Row],[Reverse Recovery Loss MOSFET D BOOST]]*0.33</f>
        <v>1.4034220607873333</v>
      </c>
      <c r="BV17" s="345">
        <f>Table16[[#This Row],[Isense Shunt Loss]]</f>
        <v>0.25625051543123417</v>
      </c>
      <c r="BZ17" s="253" t="s">
        <v>142</v>
      </c>
      <c r="CA17" s="686">
        <v>50</v>
      </c>
      <c r="CB17" s="686">
        <v>50</v>
      </c>
      <c r="CC17" s="686">
        <v>50</v>
      </c>
      <c r="CD17" s="686">
        <f>500000*(18-Vdd)*CC17/1000000000+((500000*CC15/1000000000*Vdd)*2.5/(2*4))</f>
        <v>0.28593750000000001</v>
      </c>
      <c r="CE17" s="253">
        <f t="shared" si="3"/>
        <v>22.875</v>
      </c>
      <c r="CF17" s="253">
        <f t="shared" si="3"/>
        <v>28.59375</v>
      </c>
      <c r="CG17" s="253">
        <f t="shared" si="3"/>
        <v>34.3125</v>
      </c>
      <c r="CH17" s="253">
        <f t="shared" si="3"/>
        <v>40.03125</v>
      </c>
      <c r="CI17" s="253">
        <f t="shared" si="3"/>
        <v>45.75</v>
      </c>
      <c r="CJ17" s="253">
        <f t="shared" si="3"/>
        <v>51.46875</v>
      </c>
      <c r="CK17" s="253">
        <f t="shared" si="3"/>
        <v>5.71875</v>
      </c>
      <c r="CL17" s="253">
        <f t="shared" si="3"/>
        <v>8.578125</v>
      </c>
      <c r="CM17" s="253">
        <f t="shared" si="3"/>
        <v>11.4375</v>
      </c>
      <c r="CN17" s="253">
        <f t="shared" si="3"/>
        <v>14.296875</v>
      </c>
    </row>
    <row r="18" spans="1:92" x14ac:dyDescent="0.2">
      <c r="A18" s="692" t="s">
        <v>60</v>
      </c>
      <c r="B18" s="693">
        <f>Lf*1000000</f>
        <v>1.8</v>
      </c>
      <c r="C18" s="259" t="s">
        <v>11</v>
      </c>
      <c r="D18" s="255" t="s">
        <v>603</v>
      </c>
      <c r="G18" s="253">
        <v>9</v>
      </c>
      <c r="H18" s="286">
        <f>VIN_min+(VIN_max-VIN_min)*(Table16[[#This Row],[Step]]/200)</f>
        <v>7.35</v>
      </c>
      <c r="I18" s="292" t="str">
        <f>IF(Mode = 2,IF(Table16[[#This Row],[Vin]]&gt;Vout, "BUCK","BOOST"),IF(Table16[[#This Row],[Vin]]&gt;VIN_BB_to_buck, "BUCK", IF(Table16[[#This Row],[Vin]]&lt;=VIN_boost_to_BB,"BOOST","BUCK-BST")))</f>
        <v>BOOST</v>
      </c>
      <c r="J18" s="253">
        <f>IF(Table16[[#This Row],[Mode]]="BOOST",2, IF(Table16[[#This Row],[Mode]]="BUCK", 1,3))</f>
        <v>2</v>
      </c>
      <c r="K18" s="253">
        <f t="shared" si="0"/>
        <v>8</v>
      </c>
      <c r="L18" s="292">
        <f>Vout*Table16[[#This Row],[Iout]]/(Table16[[#This Row],[Vin]]*Efficiency)</f>
        <v>18.331543143573221</v>
      </c>
      <c r="M18" s="682">
        <f>MIN(1/Fsw,CHOOSE(Table16[[#This Row],[Mode Digit]],(Vout+(Rdson2+Rs+Rdcr)*Table16[[#This Row],[Iout]])/(Table16[[#This Row],[Vin]]+(Rs+Rdson2-Rdson1)*Table16[[#This Row],[Iout]])/Fsw,(Vout+(Rdson3+Rdcr)*Table16[[#This Row],[Iin]]-Table16[[#This Row],[Vin]])/(Vout+(Rdson3-Rdson4-Rs)*Table16[[#This Row],[Iin]])/Fsw,t1_Ph_II))</f>
        <v>1.37969651418983E-6</v>
      </c>
      <c r="N18" s="518">
        <f>CHOOSE(Table16[[#This Row],[Mode Digit]],1/Fsw-Table16[[#This Row],[t1_Ph_II]],1/Fsw-Table16[[#This Row],[t1_Ph_II]],(Vout/Fsw-Table16[[#This Row],[Vin]]*t1_Ph_II)/(Table16[[#This Row],[Vin]]+Vout))</f>
        <v>1.1328662998805219E-6</v>
      </c>
      <c r="O18" s="518">
        <f>1/Fsw-(Table16[[#This Row],[t1_Ph_II]]+Table16[[#This Row],[t2_Ph_I]])</f>
        <v>0</v>
      </c>
      <c r="P18"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15.514662760435652</v>
      </c>
      <c r="Q18" s="292">
        <f>CHOOSE(Table16[[#This Row],[Mode Digit]],Table16[[#This Row],[I_0]]+1/Lf*(Table16[[#This Row],[Vin]]-Vout)*Table16[[#This Row],[t1_Ph_II]],Table16[[#This Row],[I_0]]+1/Lf*Table16[[#This Row],[Vin]]*Table16[[#This Row],[t1_Ph_II]],Table16[[#This Row],[I_0]]+(Table16[[#This Row],[Vin]]-Vout)/L*Table16[[#This Row],[t1_Ph_II]])</f>
        <v>21.14842352671079</v>
      </c>
      <c r="R18" s="292">
        <f>CHOOSE(Table16[[#This Row],[Mode Digit]],0,0,Table16[[#This Row],[I_1]]+Table16[[#This Row],[Vin]]/L*Table16[[#This Row],[t2_Ph_I]])</f>
        <v>0</v>
      </c>
      <c r="S18" s="292">
        <f>Fsw*(Table16[[#This Row],[I_0]]*Table16[[#This Row],[t1_Ph_II]]+Table16[[#This Row],[I_1]]*Table16[[#This Row],[t2_Ph_I]]+Table16[[#This Row],[I_2]]*Table16[[#This Row],[t3_Ph_III]])</f>
        <v>18.054817250489116</v>
      </c>
      <c r="T18" s="345">
        <f>MIN(1,CHOOSE(Table16[[#This Row],[Mode Digit]],(Vout+(Rdson2+Rs+Rdcr)*Table16[[#This Row],[Iout]])/(Table16[[#This Row],[Vin]]+(Rs+Rdson2-Rdson1)*Table16[[#This Row],[Iout]]),1,Fsw*Table16[[#This Row],[t2_Ph_I]]+Table16[[#This Row],[t1_Ph_II]]))</f>
        <v>1</v>
      </c>
      <c r="U18" s="345">
        <f>MIN(1,CHOOSE(Table16[[#This Row],[Mode Digit]],0,(Vout+(Rdson3+Rdcr)*Table16[[#This Row],[Iin]]-Table16[[#This Row],[Vin]])/(Vout+(Rdson3-Rdson4-Rs)*Table16[[#This Row],[Iin]]),Fsw*Table16[[#This Row],[t1_Ph_II]]+Table16[[#This Row],[t3_Ph_III]]))</f>
        <v>0.54911921264755237</v>
      </c>
      <c r="V18" s="292">
        <f>MAX(Table16[[#This Row],[I_0]:[I_2]])-MIN(Table16[[#This Row],[I_0]:[I_1]])</f>
        <v>5.6337607662751381</v>
      </c>
      <c r="W18"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18.403543473716905</v>
      </c>
      <c r="X18" s="345">
        <f>(Table16[[#This Row],[Irms Lf]]^2*Rdcr*(1+Ltc*Ta-Ltc*25))/(1-Table16[[#This Row],[Irms Lf]]^2*Rdcr*Ltc*ThetaCa)</f>
        <v>1.1867020160123993</v>
      </c>
      <c r="Y18" s="345">
        <f>ABS(7.759*10^-3*Fsw^0.9458*(0.00787*Table16[[#This Row],[Ripple Current pk-pk]])^2.304)</f>
        <v>1.1704165676826437</v>
      </c>
      <c r="Z18" s="345">
        <f>Table16[[#This Row],[DCR    Loss]]+Table16[[#This Row],[Core Loss]]</f>
        <v>2.3571185836950432</v>
      </c>
      <c r="AA18" s="292">
        <f>IF(Table16[[#This Row],[Vin]]&gt;Vout, Table16[[#This Row],[Ripple Current pk-pk]]/SQRT(12), SQRT(Table16[[#This Row],[Duty Cycle BOOST Leg]]/(1-Table16[[#This Row],[Duty Cycle BOOST Leg]]))*SQRT(Table16[[#This Row],[Iout]]^2+(Table16[[#This Row],[Ripple Current pk-pk]]^2)/12))</f>
        <v>9.0091960962144935</v>
      </c>
      <c r="AB18" s="345">
        <f>RCoutEsr*Table16[[#This Row],[Irms Cout]]^2</f>
        <v>0.16233122860009294</v>
      </c>
      <c r="AC18" s="345">
        <f>Table16[[#This Row],[Cout ESR Loss]]</f>
        <v>0.16233122860009294</v>
      </c>
      <c r="AD18" s="345">
        <f>IF(Table16[[#This Row],[Vin]]&gt;Vout, SQRT(Table16[[#This Row],[Duty Cycle BUCK Leg]]*(1-Table16[[#This Row],[Duty Cycle BUCK Leg]]))*SQRT(Table16[[#This Row],[Iout]]^2+(Table16[[#This Row],[Ripple Current pk-pk]]^2)/12), Table16[[#This Row],[Ripple Current pk-pk]]/SQRT(12))</f>
        <v>1.6263266474794518</v>
      </c>
      <c r="AE18" s="345">
        <f>RCinEsr*Table16[[#This Row],[Irms Cin]]^2</f>
        <v>5.2898767286035063E-3</v>
      </c>
      <c r="AF18" s="683">
        <f>Table16[[#This Row],[Cin ESR Loss]]</f>
        <v>5.2898767286035063E-3</v>
      </c>
      <c r="AG18"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18.403543473716905</v>
      </c>
      <c r="AH18" s="345">
        <f>Rdson1*Table16[[#This Row],[Irms BuCtrl]]^2</f>
        <v>1.1854164433614582</v>
      </c>
      <c r="AI18" s="345">
        <f>CHOOSE(Table16[[#This Row],[Mode Digit]], (Table16[[#This Row],[Vin]]*Table16[[#This Row],[Iout]]/2)*(Fsw)*(Tr_buck+Tf_buck), 0, (Table16[[#This Row],[Vin]]*Table16[[#This Row],[Avg IL]]/2)*(Fsw/1)*(Tr_buck+Tf_buck))</f>
        <v>0</v>
      </c>
      <c r="AJ18" s="253">
        <f>IF(Table16[[#This Row],[Vin]]&gt;Vout, IF(Table16[[#This Row],[Iout]]&gt;Table16[[#This Row],[Ripple Current pk-pk]]/2,0,ABS(Table16[[#This Row],[Iout]]-Table16[[#This Row],[Ripple Current pk-pk]]/2)*Vsd_Q1*Deadtime*Fsw),0)</f>
        <v>0</v>
      </c>
      <c r="AK18" s="345">
        <f>(Table16[[#This Row],[Dead Time Loss BuCtrl]]+Table16[[#This Row],[Transition Loss BuCtrl]]+Table16[[#This Row],[RDS(on) Loss BuCtrl]]*(1+RdsonTopTc*Ta-RdsonTopTc*25))/(1-Table16[[#This Row],[RDS(on) Loss BuCtrl]]*RdsonTopTc*ThetaJA_Q1)</f>
        <v>1.7135452781412412</v>
      </c>
      <c r="AL18" s="345">
        <f>CHOOSE(Table16[[#This Row],[Mode Digit]],SQRT((Fsw*(Table16[[#This Row],[t2_Ph_I]]+0))*((Table16[[#This Row],[I_0]]*Table16[[#This Row],[I_1]]+((Table16[[#This Row],[I_0]]-Table16[[#This Row],[I_1]])^2)/3))),0,SQRT((Fsw*(Table16[[#This Row],[t3_Ph_III]]+0))*((Table16[[#This Row],[I_0]]*Table16[[#This Row],[I_2]]+((Table16[[#This Row],[I_0]]-Table16[[#This Row],[I_2]])^2)/3))))</f>
        <v>0</v>
      </c>
      <c r="AM18" s="345">
        <f>Rdson2*Table16[[#This Row],[Irms BuSync]]^2</f>
        <v>0</v>
      </c>
      <c r="AN18"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18" s="345">
        <f>(Table16[[#This Row],[Deadtime Loss BuSync]]+Table16[[#This Row],[RDS(on) Loss BuSync]]*(1+RdsonBotTc*Ta-RdsonBotTc*25))/(1-Table16[[#This Row],[RDS(on) Loss BuSync]]*RdsonBotTc*ThetaJA_Q2)</f>
        <v>0</v>
      </c>
      <c r="AP18" s="345">
        <f>CHOOSE(Table16[[#This Row],[Mode Digit]],0,SQRT((Fsw*(Table16[[#This Row],[t1_Ph_II]]+0))*((Table16[[#This Row],[I_0]]*Table16[[#This Row],[I_1]]+((Table16[[#This Row],[I_0]]-Table16[[#This Row],[I_1]])^2)/3))),SQRT((Fsw*(Table16[[#This Row],[t2_Ph_I]]+0))*((Table16[[#This Row],[I_1]]*Table16[[#This Row],[I_2]]+((Table16[[#This Row],[I_1]]-Table16[[#This Row],[I_2]])^2)/3))))</f>
        <v>13.63750023216557</v>
      </c>
      <c r="AQ18" s="345">
        <f>Rdson4*Table16[[#This Row],[Irms BoCtlr]]^2</f>
        <v>0.65093494403810581</v>
      </c>
      <c r="AR18" s="345">
        <f>CHOOSE(Table16[[#This Row],[Mode Digit]], 0, (Vout*Table16[[#This Row],[Iin]]/2)*(Fsw)*(Tr_boost+Tf_boost), (Vout*Iout/2)*(Fsw/1)*(Tr_boost+Tf_boost))</f>
        <v>1.0899092505357633</v>
      </c>
      <c r="AS18" s="253">
        <f>IF(Table16[[#This Row],[Vin]]&gt;Vout, 0, IF(Table16[[#This Row],[Iin]]&gt;Table16[[#This Row],[Ripple Current pk-pk]]/2,0,ABS(Table16[[#This Row],[Iin]]-Table16[[#This Row],[Ripple Current pk-pk]]/2)*Vsd_Q4*Deadtime*Fsw))</f>
        <v>0</v>
      </c>
      <c r="AT18" s="345">
        <f>(Table16[[#This Row],[Dead Time Loss BoCtlr]]+Table16[[#This Row],[Transition Loss BoCtlr]]+Table16[[#This Row],[RDS(on) Loss BoCtlr]]*(1+RdsonTopTc*Ta-RdsonTopTc*25))/(1-Table16[[#This Row],[RDS(on) Loss BoCtlr]]*RdsonTopTc*ThetaJA_Q4)</f>
        <v>2.0954916704083608</v>
      </c>
      <c r="AU18"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12.357548292710499</v>
      </c>
      <c r="AV18" s="345">
        <f>Rdson3*Table16[[#This Row],[Irms BoSync]]^2</f>
        <v>0.53448149932335254</v>
      </c>
      <c r="AW18"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0.54719656283566054</v>
      </c>
      <c r="AX18" s="345">
        <f>(Table16[[#This Row],[Deadtime Loss BoSync]]+Table16[[#This Row],[RDS(on) Loss BoSync]]*(1+RdsonBotTc*Ta-RdsonBotTc*25))/(1-Table16[[#This Row],[RDS(on) Loss BoSync]]*RdsonBotTc*ThetaJA_Q3)</f>
        <v>1.2562535792693477</v>
      </c>
      <c r="AY18" s="345">
        <f>CHOOSE(Table16[[#This Row],[Mode Digit]], Rdson3*Table16[[#This Row],[Irms Lf]]^2, Rdson1*Table16[[#This Row],[Irms Lf]]^2, 0)</f>
        <v>1.1854164433614582</v>
      </c>
      <c r="AZ18" s="345">
        <f>CHOOSE(Table16[[#This Row],[Mode Digit]], 2*Deadtime*Fsw*IF(VfdSky_Q2&gt;0,VfdSky_Q2,0)*Table16[[#This Row],[Iout]], 2*Deadtime*Fsw*IF(VfdSky_Q3&gt;0,VfdSky_Q3,0)*Table16[[#This Row],[Iin]], 2*Deadtime*Fsw*IF(VfdSky_Q2&gt;0,VfdSky_Q2,0)*Table16[[#This Row],[Iout]]+2*Deadtime*Fsw*IF(VfdSky_Q3&gt;0,VfdSky_Q3,0)*Table16[[#This Row],[Iin]])</f>
        <v>0</v>
      </c>
      <c r="BA18" s="345">
        <f>CHOOSE(Table16[[#This Row],[Mode Digit]], IF(QrrSky_Q2&gt;0,QrrSky_Q2,Qrr_Q2)*Fsw*(Table16[[#This Row],[Vin]]-Table16[[#This Row],[Iout]]*Rdson1),0,  IF(QrrSky_Q2&gt;0,QrrSky_Q2,Qrr_Q2)*Fsw*(Table16[[#This Row],[Vin]]-Table16[[#This Row],[Iout]]*Rdson1)+IF(QrrSky_Q3&gt;0,QrrSky_Q3,Qrr_Q3)*Fsw*Vout)</f>
        <v>0</v>
      </c>
      <c r="BB18" s="345">
        <f>CHOOSE(Table16[[#This Row],[Mode Digit]],0, IF(QrrSky_Q3&gt;0,QrrSky_Q3,Qrr_Q3)*Fsw*Vout,  IF(QrrSky_Q2&gt;0,QrrSky_Q2,Qrr_Q2)*Fsw*(Table16[[#This Row],[Vin]]-Table16[[#This Row],[Iout]]*Rdson1)+IF(QrrSky_Q3&gt;0,QrrSky_Q3,Qrr_Q3)*Fsw*Vout)</f>
        <v>0.35660799999999998</v>
      </c>
      <c r="BC18" s="345">
        <f>CHOOSE(Table16[[#This Row],[Mode Digit]], Rs*Table16[[#This Row],[Irms BuSync]]^2, Rs*Table16[[#This Row],[Irms BoCtlr]]^2, Rs*(Table16[[#This Row],[Irms BuSync]]^2+Table16[[#This Row],[Irms BoCtlr]]^2))</f>
        <v>0.24177583635701072</v>
      </c>
      <c r="BD18" s="345">
        <f t="shared" si="1"/>
        <v>0.64</v>
      </c>
      <c r="BE18" s="345">
        <f>IF(Vout&gt;8, Iq*Vout, Iq*Table16[[#This Row],[Vin]])</f>
        <v>4.8000000000000001E-2</v>
      </c>
      <c r="BF18" s="345">
        <f>CHOOSE(Table16[[#This Row],[Mode Digit]], (Qg_Q1+Qg_Q2)*Fsw, (Qg_Q3+Qg_Q4)*Fsw, (Qg_Q1+Qg_Q2+Qg_Q3+Qg_Q4)*Fsw)*IF(Vout&gt;8, Vout, Table16[[#This Row],[Vin]])</f>
        <v>0.85331200000000007</v>
      </c>
      <c r="BG18" s="345">
        <f t="shared" si="2"/>
        <v>0.50594479787234037</v>
      </c>
      <c r="BH18" s="345">
        <f>Table16[[#This Row],[IQ Loss]]+Table16[[#This Row],[Switching Current Loss]]</f>
        <v>0.90131200000000011</v>
      </c>
      <c r="BI18"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9.7297260531997019</v>
      </c>
      <c r="BJ18" s="253">
        <f>Vout*Table16[[#This Row],[Iout]]</f>
        <v>128</v>
      </c>
      <c r="BK18" s="684">
        <f>Table16[[#This Row],[Pout]]/(Table16[[#This Row],[Pout]]+Table16[[#This Row],[Total Loss]])</f>
        <v>0.92935638273584109</v>
      </c>
      <c r="BL18"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159.38647857654345</v>
      </c>
      <c r="BM18" s="685">
        <f>IF(Table16[[#This Row],[Vin]]&gt;Vout, Table16[[#This Row],[Total Sync Bu MOSFET Loss]]*ThetaJA_Q2, ThetaJA_Q3*Table16[[#This Row],[Total Sync Bo MOSFET Loss]])</f>
        <v>81.656482652507592</v>
      </c>
      <c r="BN18" s="640"/>
      <c r="BO18" s="292">
        <f>Table16[[#This Row],[EFF, h]]*100</f>
        <v>92.935638273584104</v>
      </c>
      <c r="BP18" s="345">
        <f>Table16[[#This Row],[Total Inductor Loss]]</f>
        <v>2.3571185836950432</v>
      </c>
      <c r="BQ18" s="345">
        <f>Table16[[#This Row],[Total Control Bu MOSFET Loss]]+Table16[[#This Row],[Total Sync Bu MOSFET Loss]]+Table16[[#This Row],[Total Control Bo MOSFET Loss]]+Table16[[#This Row],[Total Sync Bo MOSFET Loss]]+Table16[[#This Row],[Reverse Recovery Loss MOSFET D BUCK]]+Table16[[#This Row],[Reverse Recovery Loss MOSFET D BOOST]]</f>
        <v>5.42189852781895</v>
      </c>
      <c r="BR18" s="345">
        <f>Table16[[#This Row],[Total Control Bu MOSFET Loss]]+Table16[[#This Row],[Reverse Recovery Loss MOSFET D BUCK]]*0.66</f>
        <v>1.7135452781412412</v>
      </c>
      <c r="BS18" s="345">
        <f>Table16[[#This Row],[Total Sync Bu MOSFET Loss]]+Table16[[#This Row],[Reverse Recovery Loss MOSFET D BUCK]]*0.33</f>
        <v>0</v>
      </c>
      <c r="BT18" s="345">
        <f xml:space="preserve"> Table16[[#This Row],[Total Control Bo MOSFET Loss]]+Table16[[#This Row],[Reverse Recovery Loss MOSFET D BOOST]]*0.66</f>
        <v>2.330852950408361</v>
      </c>
      <c r="BU18" s="345">
        <f xml:space="preserve"> Table16[[#This Row],[Total Sync Bo MOSFET Loss]]+Table16[[#This Row],[Reverse Recovery Loss MOSFET D BOOST]]*0.33</f>
        <v>1.3739342192693478</v>
      </c>
      <c r="BV18" s="345">
        <f>Table16[[#This Row],[Isense Shunt Loss]]</f>
        <v>0.24177583635701072</v>
      </c>
      <c r="BZ18" s="253" t="s">
        <v>143</v>
      </c>
      <c r="CB18" s="686"/>
      <c r="CC18" s="686"/>
    </row>
    <row r="19" spans="1:92" ht="13.6" x14ac:dyDescent="0.25">
      <c r="A19" s="692" t="s">
        <v>12</v>
      </c>
      <c r="B19" s="694">
        <f>Rdcr*1000</f>
        <v>3.2</v>
      </c>
      <c r="C19" s="695" t="s">
        <v>601</v>
      </c>
      <c r="D19" s="255" t="s">
        <v>604</v>
      </c>
      <c r="G19" s="253">
        <v>10</v>
      </c>
      <c r="H19" s="286">
        <f>VIN_min+(VIN_max-VIN_min)*(Table16[[#This Row],[Step]]/200)</f>
        <v>7.5</v>
      </c>
      <c r="I19" s="292" t="str">
        <f>IF(Mode = 2,IF(Table16[[#This Row],[Vin]]&gt;Vout, "BUCK","BOOST"),IF(Table16[[#This Row],[Vin]]&gt;VIN_BB_to_buck, "BUCK", IF(Table16[[#This Row],[Vin]]&lt;=VIN_boost_to_BB,"BOOST","BUCK-BST")))</f>
        <v>BOOST</v>
      </c>
      <c r="J19" s="253">
        <f>IF(Table16[[#This Row],[Mode]]="BOOST",2, IF(Table16[[#This Row],[Mode]]="BUCK", 1,3))</f>
        <v>2</v>
      </c>
      <c r="K19" s="253">
        <f t="shared" si="0"/>
        <v>8</v>
      </c>
      <c r="L19" s="292">
        <f>Vout*Table16[[#This Row],[Iout]]/(Table16[[#This Row],[Vin]]*Efficiency)</f>
        <v>17.964912280701753</v>
      </c>
      <c r="M19" s="682">
        <f>MIN(1/Fsw,CHOOSE(Table16[[#This Row],[Mode Digit]],(Vout+(Rdson2+Rs+Rdcr)*Table16[[#This Row],[Iout]])/(Table16[[#This Row],[Vin]]+(Rs+Rdson2-Rdson1)*Table16[[#This Row],[Iout]])/Fsw,(Vout+(Rdson3+Rdcr)*Table16[[#This Row],[Iin]]-Table16[[#This Row],[Vin]])/(Vout+(Rdson3-Rdson4-Rs)*Table16[[#This Row],[Iin]])/Fsw,t1_Ph_II))</f>
        <v>1.3556793362986187E-6</v>
      </c>
      <c r="N19" s="518">
        <f>CHOOSE(Table16[[#This Row],[Mode Digit]],1/Fsw-Table16[[#This Row],[t1_Ph_II]],1/Fsw-Table16[[#This Row],[t1_Ph_II]],(Vout/Fsw-Table16[[#This Row],[Vin]]*t1_Ph_II)/(Table16[[#This Row],[Vin]]+Vout))</f>
        <v>1.1568834777717332E-6</v>
      </c>
      <c r="O19" s="518">
        <f>1/Fsw-(Table16[[#This Row],[t1_Ph_II]]+Table16[[#This Row],[t2_Ph_I]])</f>
        <v>0</v>
      </c>
      <c r="P19"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15.140580330079631</v>
      </c>
      <c r="Q19" s="292">
        <f>CHOOSE(Table16[[#This Row],[Mode Digit]],Table16[[#This Row],[I_0]]+1/Lf*(Table16[[#This Row],[Vin]]-Vout)*Table16[[#This Row],[t1_Ph_II]],Table16[[#This Row],[I_0]]+1/Lf*Table16[[#This Row],[Vin]]*Table16[[#This Row],[t1_Ph_II]],Table16[[#This Row],[I_0]]+(Table16[[#This Row],[Vin]]-Vout)/L*Table16[[#This Row],[t1_Ph_II]])</f>
        <v>20.789244231323874</v>
      </c>
      <c r="R19" s="292">
        <f>CHOOSE(Table16[[#This Row],[Mode Digit]],0,0,Table16[[#This Row],[I_1]]+Table16[[#This Row],[Vin]]/L*Table16[[#This Row],[t2_Ph_I]])</f>
        <v>0</v>
      </c>
      <c r="S19" s="292">
        <f>Fsw*(Table16[[#This Row],[I_0]]*Table16[[#This Row],[t1_Ph_II]]+Table16[[#This Row],[I_1]]*Table16[[#This Row],[t2_Ph_I]]+Table16[[#This Row],[I_2]]*Table16[[#This Row],[t3_Ph_III]])</f>
        <v>17.741449013735998</v>
      </c>
      <c r="T19" s="345">
        <f>MIN(1,CHOOSE(Table16[[#This Row],[Mode Digit]],(Vout+(Rdson2+Rs+Rdcr)*Table16[[#This Row],[Iout]])/(Table16[[#This Row],[Vin]]+(Rs+Rdson2-Rdson1)*Table16[[#This Row],[Iout]]),1,Fsw*Table16[[#This Row],[t2_Ph_I]]+Table16[[#This Row],[t1_Ph_II]]))</f>
        <v>1</v>
      </c>
      <c r="U19" s="345">
        <f>MIN(1,CHOOSE(Table16[[#This Row],[Mode Digit]],0,(Vout+(Rdson3+Rdcr)*Table16[[#This Row],[Iin]]-Table16[[#This Row],[Vin]])/(Vout+(Rdson3-Rdson4-Rs)*Table16[[#This Row],[Iin]]),Fsw*Table16[[#This Row],[t1_Ph_II]]+Table16[[#This Row],[t3_Ph_III]]))</f>
        <v>0.53956037584685024</v>
      </c>
      <c r="V19" s="292">
        <f>MAX(Table16[[#This Row],[I_0]:[I_2]])-MIN(Table16[[#This Row],[I_0]:[I_1]])</f>
        <v>5.6486639012442428</v>
      </c>
      <c r="W19"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18.038764469213064</v>
      </c>
      <c r="X19" s="345">
        <f>(Table16[[#This Row],[Irms Lf]]^2*Rdcr*(1+Ltc*Ta-Ltc*25))/(1-Table16[[#This Row],[Irms Lf]]^2*Rdcr*Ltc*ThetaCa)</f>
        <v>1.1358921523660139</v>
      </c>
      <c r="Y19" s="345">
        <f>ABS(7.759*10^-3*Fsw^0.9458*(0.00787*Table16[[#This Row],[Ripple Current pk-pk]])^2.304)</f>
        <v>1.177562366333651</v>
      </c>
      <c r="Z19" s="345">
        <f>Table16[[#This Row],[DCR    Loss]]+Table16[[#This Row],[Core Loss]]</f>
        <v>2.3134545186996647</v>
      </c>
      <c r="AA19" s="292">
        <f>IF(Table16[[#This Row],[Vin]]&gt;Vout, Table16[[#This Row],[Ripple Current pk-pk]]/SQRT(12), SQRT(Table16[[#This Row],[Duty Cycle BOOST Leg]]/(1-Table16[[#This Row],[Duty Cycle BOOST Leg]]))*SQRT(Table16[[#This Row],[Iout]]^2+(Table16[[#This Row],[Ripple Current pk-pk]]^2)/12))</f>
        <v>8.8381814637360279</v>
      </c>
      <c r="AB19" s="345">
        <f>RCoutEsr*Table16[[#This Row],[Irms Cout]]^2</f>
        <v>0.15622690317185423</v>
      </c>
      <c r="AC19" s="345">
        <f>Table16[[#This Row],[Cout ESR Loss]]</f>
        <v>0.15622690317185423</v>
      </c>
      <c r="AD19" s="345">
        <f>IF(Table16[[#This Row],[Vin]]&gt;Vout, SQRT(Table16[[#This Row],[Duty Cycle BUCK Leg]]*(1-Table16[[#This Row],[Duty Cycle BUCK Leg]]))*SQRT(Table16[[#This Row],[Iout]]^2+(Table16[[#This Row],[Ripple Current pk-pk]]^2)/12), Table16[[#This Row],[Ripple Current pk-pk]]/SQRT(12))</f>
        <v>1.6306288119725427</v>
      </c>
      <c r="AE19" s="345">
        <f>RCinEsr*Table16[[#This Row],[Irms Cin]]^2</f>
        <v>5.3179006448699721E-3</v>
      </c>
      <c r="AF19" s="683">
        <f>Table16[[#This Row],[Cin ESR Loss]]</f>
        <v>5.3179006448699721E-3</v>
      </c>
      <c r="AG19"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18.038764469213064</v>
      </c>
      <c r="AH19" s="345">
        <f>Rdson1*Table16[[#This Row],[Irms BuCtrl]]^2</f>
        <v>1.1388895825151029</v>
      </c>
      <c r="AI19" s="345">
        <f>CHOOSE(Table16[[#This Row],[Mode Digit]], (Table16[[#This Row],[Vin]]*Table16[[#This Row],[Iout]]/2)*(Fsw)*(Tr_buck+Tf_buck), 0, (Table16[[#This Row],[Vin]]*Table16[[#This Row],[Avg IL]]/2)*(Fsw/1)*(Tr_buck+Tf_buck))</f>
        <v>0</v>
      </c>
      <c r="AJ19" s="253">
        <f>IF(Table16[[#This Row],[Vin]]&gt;Vout, IF(Table16[[#This Row],[Iout]]&gt;Table16[[#This Row],[Ripple Current pk-pk]]/2,0,ABS(Table16[[#This Row],[Iout]]-Table16[[#This Row],[Ripple Current pk-pk]]/2)*Vsd_Q1*Deadtime*Fsw),0)</f>
        <v>0</v>
      </c>
      <c r="AK19" s="345">
        <f>(Table16[[#This Row],[Dead Time Loss BuCtrl]]+Table16[[#This Row],[Transition Loss BuCtrl]]+Table16[[#This Row],[RDS(on) Loss BuCtrl]]*(1+RdsonTopTc*Ta-RdsonTopTc*25))/(1-Table16[[#This Row],[RDS(on) Loss BuCtrl]]*RdsonTopTc*ThetaJA_Q1)</f>
        <v>1.6179966643697858</v>
      </c>
      <c r="AL19" s="345">
        <f>CHOOSE(Table16[[#This Row],[Mode Digit]],SQRT((Fsw*(Table16[[#This Row],[t2_Ph_I]]+0))*((Table16[[#This Row],[I_0]]*Table16[[#This Row],[I_1]]+((Table16[[#This Row],[I_0]]-Table16[[#This Row],[I_1]])^2)/3))),0,SQRT((Fsw*(Table16[[#This Row],[t3_Ph_III]]+0))*((Table16[[#This Row],[I_0]]*Table16[[#This Row],[I_2]]+((Table16[[#This Row],[I_0]]-Table16[[#This Row],[I_2]])^2)/3))))</f>
        <v>0</v>
      </c>
      <c r="AM19" s="345">
        <f>Rdson2*Table16[[#This Row],[Irms BuSync]]^2</f>
        <v>0</v>
      </c>
      <c r="AN19"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19" s="345">
        <f>(Table16[[#This Row],[Deadtime Loss BuSync]]+Table16[[#This Row],[RDS(on) Loss BuSync]]*(1+RdsonBotTc*Ta-RdsonBotTc*25))/(1-Table16[[#This Row],[RDS(on) Loss BuSync]]*RdsonBotTc*ThetaJA_Q2)</f>
        <v>0</v>
      </c>
      <c r="AP19" s="345">
        <f>CHOOSE(Table16[[#This Row],[Mode Digit]],0,SQRT((Fsw*(Table16[[#This Row],[t1_Ph_II]]+0))*((Table16[[#This Row],[I_0]]*Table16[[#This Row],[I_1]]+((Table16[[#This Row],[I_0]]-Table16[[#This Row],[I_1]])^2)/3))),SQRT((Fsw*(Table16[[#This Row],[t2_Ph_I]]+0))*((Table16[[#This Row],[I_1]]*Table16[[#This Row],[I_2]]+((Table16[[#This Row],[I_1]]-Table16[[#This Row],[I_2]])^2)/3))))</f>
        <v>13.250333593535471</v>
      </c>
      <c r="AQ19" s="345">
        <f>Rdson4*Table16[[#This Row],[Irms BoCtlr]]^2</f>
        <v>0.61449969118991121</v>
      </c>
      <c r="AR19" s="345">
        <f>CHOOSE(Table16[[#This Row],[Mode Digit]], 0, (Vout*Table16[[#This Row],[Iin]]/2)*(Fsw)*(Tr_boost+Tf_boost), (Vout*Iout/2)*(Fsw/1)*(Tr_boost+Tf_boost))</f>
        <v>1.0681110655250479</v>
      </c>
      <c r="AS19" s="253">
        <f>IF(Table16[[#This Row],[Vin]]&gt;Vout, 0, IF(Table16[[#This Row],[Iin]]&gt;Table16[[#This Row],[Ripple Current pk-pk]]/2,0,ABS(Table16[[#This Row],[Iin]]-Table16[[#This Row],[Ripple Current pk-pk]]/2)*Vsd_Q4*Deadtime*Fsw))</f>
        <v>0</v>
      </c>
      <c r="AT19" s="345">
        <f>(Table16[[#This Row],[Dead Time Loss BoCtlr]]+Table16[[#This Row],[Transition Loss BoCtlr]]+Table16[[#This Row],[RDS(on) Loss BoCtlr]]*(1+RdsonTopTc*Ta-RdsonTopTc*25))/(1-Table16[[#This Row],[RDS(on) Loss BoCtlr]]*RdsonTopTc*ThetaJA_Q4)</f>
        <v>2.0025595324235108</v>
      </c>
      <c r="AU19"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12.240330193085848</v>
      </c>
      <c r="AV19" s="345">
        <f>Rdson3*Table16[[#This Row],[Irms BoSync]]^2</f>
        <v>0.52438989132519154</v>
      </c>
      <c r="AW19"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0.5362526315789472</v>
      </c>
      <c r="AX19" s="345">
        <f>(Table16[[#This Row],[Deadtime Loss BoSync]]+Table16[[#This Row],[RDS(on) Loss BoSync]]*(1+RdsonBotTc*Ta-RdsonBotTc*25))/(1-Table16[[#This Row],[RDS(on) Loss BoSync]]*RdsonBotTc*ThetaJA_Q3)</f>
        <v>1.2280807349155844</v>
      </c>
      <c r="AY19" s="345">
        <f>CHOOSE(Table16[[#This Row],[Mode Digit]], Rdson3*Table16[[#This Row],[Irms Lf]]^2, Rdson1*Table16[[#This Row],[Irms Lf]]^2, 0)</f>
        <v>1.1388895825151029</v>
      </c>
      <c r="AZ19" s="345">
        <f>CHOOSE(Table16[[#This Row],[Mode Digit]], 2*Deadtime*Fsw*IF(VfdSky_Q2&gt;0,VfdSky_Q2,0)*Table16[[#This Row],[Iout]], 2*Deadtime*Fsw*IF(VfdSky_Q3&gt;0,VfdSky_Q3,0)*Table16[[#This Row],[Iin]], 2*Deadtime*Fsw*IF(VfdSky_Q2&gt;0,VfdSky_Q2,0)*Table16[[#This Row],[Iout]]+2*Deadtime*Fsw*IF(VfdSky_Q3&gt;0,VfdSky_Q3,0)*Table16[[#This Row],[Iin]])</f>
        <v>0</v>
      </c>
      <c r="BA19" s="345">
        <f>CHOOSE(Table16[[#This Row],[Mode Digit]], IF(QrrSky_Q2&gt;0,QrrSky_Q2,Qrr_Q2)*Fsw*(Table16[[#This Row],[Vin]]-Table16[[#This Row],[Iout]]*Rdson1),0,  IF(QrrSky_Q2&gt;0,QrrSky_Q2,Qrr_Q2)*Fsw*(Table16[[#This Row],[Vin]]-Table16[[#This Row],[Iout]]*Rdson1)+IF(QrrSky_Q3&gt;0,QrrSky_Q3,Qrr_Q3)*Fsw*Vout)</f>
        <v>0</v>
      </c>
      <c r="BB19" s="345">
        <f>CHOOSE(Table16[[#This Row],[Mode Digit]],0, IF(QrrSky_Q3&gt;0,QrrSky_Q3,Qrr_Q3)*Fsw*Vout,  IF(QrrSky_Q2&gt;0,QrrSky_Q2,Qrr_Q2)*Fsw*(Table16[[#This Row],[Vin]]-Table16[[#This Row],[Iout]]*Rdson1)+IF(QrrSky_Q3&gt;0,QrrSky_Q3,Qrr_Q3)*Fsw*Vout)</f>
        <v>0.35660799999999998</v>
      </c>
      <c r="BC19" s="345">
        <f>CHOOSE(Table16[[#This Row],[Mode Digit]], Rs*Table16[[#This Row],[Irms BuSync]]^2, Rs*Table16[[#This Row],[Irms BoCtlr]]^2, Rs*(Table16[[#This Row],[Irms BuSync]]^2+Table16[[#This Row],[Irms BoCtlr]]^2))</f>
        <v>0.22824274244196699</v>
      </c>
      <c r="BD19" s="345">
        <f t="shared" si="1"/>
        <v>0.64</v>
      </c>
      <c r="BE19" s="345">
        <f>IF(Vout&gt;8, Iq*Vout, Iq*Table16[[#This Row],[Vin]])</f>
        <v>4.8000000000000001E-2</v>
      </c>
      <c r="BF19" s="345">
        <f>CHOOSE(Table16[[#This Row],[Mode Digit]], (Qg_Q1+Qg_Q2)*Fsw, (Qg_Q3+Qg_Q4)*Fsw, (Qg_Q1+Qg_Q2+Qg_Q3+Qg_Q4)*Fsw)*IF(Vout&gt;8, Vout, Table16[[#This Row],[Vin]])</f>
        <v>0.85331200000000007</v>
      </c>
      <c r="BG19" s="345">
        <f t="shared" si="2"/>
        <v>0.50594479787234037</v>
      </c>
      <c r="BH19" s="345">
        <f>Table16[[#This Row],[IQ Loss]]+Table16[[#This Row],[Switching Current Loss]]</f>
        <v>0.90131200000000011</v>
      </c>
      <c r="BI19"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9.4497989966672389</v>
      </c>
      <c r="BJ19" s="253">
        <f>Vout*Table16[[#This Row],[Iout]]</f>
        <v>128</v>
      </c>
      <c r="BK19" s="684">
        <f>Table16[[#This Row],[Pout]]/(Table16[[#This Row],[Pout]]+Table16[[#This Row],[Total Loss]])</f>
        <v>0.93124908828061392</v>
      </c>
      <c r="BL19"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153.34588960752819</v>
      </c>
      <c r="BM19" s="685">
        <f>IF(Table16[[#This Row],[Vin]]&gt;Vout, Table16[[#This Row],[Total Sync Bu MOSFET Loss]]*ThetaJA_Q2, ThetaJA_Q3*Table16[[#This Row],[Total Sync Bo MOSFET Loss]])</f>
        <v>79.825247769512984</v>
      </c>
      <c r="BN19" s="640"/>
      <c r="BO19" s="292">
        <f>Table16[[#This Row],[EFF, h]]*100</f>
        <v>93.124908828061393</v>
      </c>
      <c r="BP19" s="345">
        <f>Table16[[#This Row],[Total Inductor Loss]]</f>
        <v>2.3134545186996647</v>
      </c>
      <c r="BQ19" s="345">
        <f>Table16[[#This Row],[Total Control Bu MOSFET Loss]]+Table16[[#This Row],[Total Sync Bu MOSFET Loss]]+Table16[[#This Row],[Total Control Bo MOSFET Loss]]+Table16[[#This Row],[Total Sync Bo MOSFET Loss]]+Table16[[#This Row],[Reverse Recovery Loss MOSFET D BUCK]]+Table16[[#This Row],[Reverse Recovery Loss MOSFET D BOOST]]</f>
        <v>5.2052449317088811</v>
      </c>
      <c r="BR19" s="345">
        <f>Table16[[#This Row],[Total Control Bu MOSFET Loss]]+Table16[[#This Row],[Reverse Recovery Loss MOSFET D BUCK]]*0.66</f>
        <v>1.6179966643697858</v>
      </c>
      <c r="BS19" s="345">
        <f>Table16[[#This Row],[Total Sync Bu MOSFET Loss]]+Table16[[#This Row],[Reverse Recovery Loss MOSFET D BUCK]]*0.33</f>
        <v>0</v>
      </c>
      <c r="BT19" s="345">
        <f xml:space="preserve"> Table16[[#This Row],[Total Control Bo MOSFET Loss]]+Table16[[#This Row],[Reverse Recovery Loss MOSFET D BOOST]]*0.66</f>
        <v>2.2379208124235106</v>
      </c>
      <c r="BU19" s="345">
        <f xml:space="preserve"> Table16[[#This Row],[Total Sync Bo MOSFET Loss]]+Table16[[#This Row],[Reverse Recovery Loss MOSFET D BOOST]]*0.33</f>
        <v>1.3457613749155843</v>
      </c>
      <c r="BV19" s="345">
        <f>Table16[[#This Row],[Isense Shunt Loss]]</f>
        <v>0.22824274244196699</v>
      </c>
      <c r="BZ19" s="253" t="s">
        <v>144</v>
      </c>
      <c r="CB19" s="686"/>
      <c r="CC19" s="686"/>
    </row>
    <row r="20" spans="1:92" x14ac:dyDescent="0.2">
      <c r="A20" s="692" t="s">
        <v>86</v>
      </c>
      <c r="B20" s="694">
        <f>Ltc*1000000</f>
        <v>4000</v>
      </c>
      <c r="C20" s="259" t="s">
        <v>85</v>
      </c>
      <c r="D20" s="255" t="s">
        <v>99</v>
      </c>
      <c r="G20" s="253">
        <v>11</v>
      </c>
      <c r="H20" s="286">
        <f>VIN_min+(VIN_max-VIN_min)*(Table16[[#This Row],[Step]]/200)</f>
        <v>7.65</v>
      </c>
      <c r="I20" s="292" t="str">
        <f>IF(Mode = 2,IF(Table16[[#This Row],[Vin]]&gt;Vout, "BUCK","BOOST"),IF(Table16[[#This Row],[Vin]]&gt;VIN_BB_to_buck, "BUCK", IF(Table16[[#This Row],[Vin]]&lt;=VIN_boost_to_BB,"BOOST","BUCK-BST")))</f>
        <v>BOOST</v>
      </c>
      <c r="J20" s="253">
        <f>IF(Table16[[#This Row],[Mode]]="BOOST",2, IF(Table16[[#This Row],[Mode]]="BUCK", 1,3))</f>
        <v>2</v>
      </c>
      <c r="K20" s="253">
        <f t="shared" si="0"/>
        <v>8</v>
      </c>
      <c r="L20" s="292">
        <f>Vout*Table16[[#This Row],[Iout]]/(Table16[[#This Row],[Vin]]*Efficiency)</f>
        <v>17.61265909872721</v>
      </c>
      <c r="M20" s="682">
        <f>MIN(1/Fsw,CHOOSE(Table16[[#This Row],[Mode Digit]],(Vout+(Rdson2+Rs+Rdcr)*Table16[[#This Row],[Iout]])/(Table16[[#This Row],[Vin]]+(Rs+Rdson2-Rdson1)*Table16[[#This Row],[Iout]])/Fsw,(Vout+(Rdson3+Rdcr)*Table16[[#This Row],[Iin]]-Table16[[#This Row],[Vin]])/(Vout+(Rdson3-Rdson4-Rs)*Table16[[#This Row],[Iin]])/Fsw,t1_Ph_II))</f>
        <v>1.3316802981505758E-6</v>
      </c>
      <c r="N20" s="518">
        <f>CHOOSE(Table16[[#This Row],[Mode Digit]],1/Fsw-Table16[[#This Row],[t1_Ph_II]],1/Fsw-Table16[[#This Row],[t1_Ph_II]],(Vout/Fsw-Table16[[#This Row],[Vin]]*t1_Ph_II)/(Table16[[#This Row],[Vin]]+Vout))</f>
        <v>1.1808825159197761E-6</v>
      </c>
      <c r="O20" s="518">
        <f>1/Fsw-(Table16[[#This Row],[t1_Ph_II]]+Table16[[#This Row],[t2_Ph_I]])</f>
        <v>0</v>
      </c>
      <c r="P20"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14.782838465157237</v>
      </c>
      <c r="Q20" s="292">
        <f>CHOOSE(Table16[[#This Row],[Mode Digit]],Table16[[#This Row],[I_0]]+1/Lf*(Table16[[#This Row],[Vin]]-Vout)*Table16[[#This Row],[t1_Ph_II]],Table16[[#This Row],[I_0]]+1/Lf*Table16[[#This Row],[Vin]]*Table16[[#This Row],[t1_Ph_II]],Table16[[#This Row],[I_0]]+(Table16[[#This Row],[Vin]]-Vout)/L*Table16[[#This Row],[t1_Ph_II]])</f>
        <v>20.442479732297183</v>
      </c>
      <c r="R20" s="292">
        <f>CHOOSE(Table16[[#This Row],[Mode Digit]],0,0,Table16[[#This Row],[I_1]]+Table16[[#This Row],[Vin]]/L*Table16[[#This Row],[t2_Ph_I]])</f>
        <v>0</v>
      </c>
      <c r="S20" s="292">
        <f>Fsw*(Table16[[#This Row],[I_0]]*Table16[[#This Row],[t1_Ph_II]]+Table16[[#This Row],[I_1]]*Table16[[#This Row],[t2_Ph_I]]+Table16[[#This Row],[I_2]]*Table16[[#This Row],[t3_Ph_III]])</f>
        <v>17.442820289817195</v>
      </c>
      <c r="T20" s="345">
        <f>MIN(1,CHOOSE(Table16[[#This Row],[Mode Digit]],(Vout+(Rdson2+Rs+Rdcr)*Table16[[#This Row],[Iout]])/(Table16[[#This Row],[Vin]]+(Rs+Rdson2-Rdson1)*Table16[[#This Row],[Iout]]),1,Fsw*Table16[[#This Row],[t2_Ph_I]]+Table16[[#This Row],[t1_Ph_II]]))</f>
        <v>1</v>
      </c>
      <c r="U20" s="345">
        <f>MIN(1,CHOOSE(Table16[[#This Row],[Mode Digit]],0,(Vout+(Rdson3+Rdcr)*Table16[[#This Row],[Iin]]-Table16[[#This Row],[Vin]])/(Vout+(Rdson3-Rdson4-Rs)*Table16[[#This Row],[Iin]]),Fsw*Table16[[#This Row],[t1_Ph_II]]+Table16[[#This Row],[t3_Ph_III]]))</f>
        <v>0.53000875866392916</v>
      </c>
      <c r="V20" s="292">
        <f>MAX(Table16[[#This Row],[I_0]:[I_2]])-MIN(Table16[[#This Row],[I_0]:[I_1]])</f>
        <v>5.6596412671399463</v>
      </c>
      <c r="W20"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17.688274519222364</v>
      </c>
      <c r="X20" s="345">
        <f>(Table16[[#This Row],[Irms Lf]]^2*Rdcr*(1+Ltc*Ta-Ltc*25))/(1-Table16[[#This Row],[Irms Lf]]^2*Rdcr*Ltc*ThetaCa)</f>
        <v>1.0883746488221855</v>
      </c>
      <c r="Y20" s="345">
        <f>ABS(7.759*10^-3*Fsw^0.9458*(0.00787*Table16[[#This Row],[Ripple Current pk-pk]])^2.304)</f>
        <v>1.1828415751242707</v>
      </c>
      <c r="Z20" s="345">
        <f>Table16[[#This Row],[DCR    Loss]]+Table16[[#This Row],[Core Loss]]</f>
        <v>2.2712162239464559</v>
      </c>
      <c r="AA20" s="292">
        <f>IF(Table16[[#This Row],[Vin]]&gt;Vout, Table16[[#This Row],[Ripple Current pk-pk]]/SQRT(12), SQRT(Table16[[#This Row],[Duty Cycle BOOST Leg]]/(1-Table16[[#This Row],[Duty Cycle BOOST Leg]]))*SQRT(Table16[[#This Row],[Iout]]^2+(Table16[[#This Row],[Ripple Current pk-pk]]^2)/12))</f>
        <v>8.6708080501121927</v>
      </c>
      <c r="AB20" s="345">
        <f>RCoutEsr*Table16[[#This Row],[Irms Cout]]^2</f>
        <v>0.1503658244837808</v>
      </c>
      <c r="AC20" s="345">
        <f>Table16[[#This Row],[Cout ESR Loss]]</f>
        <v>0.1503658244837808</v>
      </c>
      <c r="AD20" s="345">
        <f>IF(Table16[[#This Row],[Vin]]&gt;Vout, SQRT(Table16[[#This Row],[Duty Cycle BUCK Leg]]*(1-Table16[[#This Row],[Duty Cycle BUCK Leg]]))*SQRT(Table16[[#This Row],[Iout]]^2+(Table16[[#This Row],[Ripple Current pk-pk]]^2)/12), Table16[[#This Row],[Ripple Current pk-pk]]/SQRT(12))</f>
        <v>1.6337977045499814</v>
      </c>
      <c r="AE20" s="345">
        <f>RCinEsr*Table16[[#This Row],[Irms Cin]]^2</f>
        <v>5.3385898787855768E-3</v>
      </c>
      <c r="AF20" s="683">
        <f>Table16[[#This Row],[Cin ESR Loss]]</f>
        <v>5.3385898787855768E-3</v>
      </c>
      <c r="AG20"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17.688274519222364</v>
      </c>
      <c r="AH20" s="345">
        <f>Rdson1*Table16[[#This Row],[Irms BuCtrl]]^2</f>
        <v>1.095062694135799</v>
      </c>
      <c r="AI20" s="345">
        <f>CHOOSE(Table16[[#This Row],[Mode Digit]], (Table16[[#This Row],[Vin]]*Table16[[#This Row],[Iout]]/2)*(Fsw)*(Tr_buck+Tf_buck), 0, (Table16[[#This Row],[Vin]]*Table16[[#This Row],[Avg IL]]/2)*(Fsw/1)*(Tr_buck+Tf_buck))</f>
        <v>0</v>
      </c>
      <c r="AJ20" s="253">
        <f>IF(Table16[[#This Row],[Vin]]&gt;Vout, IF(Table16[[#This Row],[Iout]]&gt;Table16[[#This Row],[Ripple Current pk-pk]]/2,0,ABS(Table16[[#This Row],[Iout]]-Table16[[#This Row],[Ripple Current pk-pk]]/2)*Vsd_Q1*Deadtime*Fsw),0)</f>
        <v>0</v>
      </c>
      <c r="AK20" s="345">
        <f>(Table16[[#This Row],[Dead Time Loss BuCtrl]]+Table16[[#This Row],[Transition Loss BuCtrl]]+Table16[[#This Row],[RDS(on) Loss BuCtrl]]*(1+RdsonTopTc*Ta-RdsonTopTc*25))/(1-Table16[[#This Row],[RDS(on) Loss BuCtrl]]*RdsonTopTc*ThetaJA_Q1)</f>
        <v>1.5309487618178226</v>
      </c>
      <c r="AL20" s="345">
        <f>CHOOSE(Table16[[#This Row],[Mode Digit]],SQRT((Fsw*(Table16[[#This Row],[t2_Ph_I]]+0))*((Table16[[#This Row],[I_0]]*Table16[[#This Row],[I_1]]+((Table16[[#This Row],[I_0]]-Table16[[#This Row],[I_1]])^2)/3))),0,SQRT((Fsw*(Table16[[#This Row],[t3_Ph_III]]+0))*((Table16[[#This Row],[I_0]]*Table16[[#This Row],[I_2]]+((Table16[[#This Row],[I_0]]-Table16[[#This Row],[I_2]])^2)/3))))</f>
        <v>0</v>
      </c>
      <c r="AM20" s="345">
        <f>Rdson2*Table16[[#This Row],[Irms BuSync]]^2</f>
        <v>0</v>
      </c>
      <c r="AN20"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20" s="345">
        <f>(Table16[[#This Row],[Deadtime Loss BuSync]]+Table16[[#This Row],[RDS(on) Loss BuSync]]*(1+RdsonBotTc*Ta-RdsonBotTc*25))/(1-Table16[[#This Row],[RDS(on) Loss BuSync]]*RdsonBotTc*ThetaJA_Q2)</f>
        <v>0</v>
      </c>
      <c r="AP20" s="345">
        <f>CHOOSE(Table16[[#This Row],[Mode Digit]],0,SQRT((Fsw*(Table16[[#This Row],[t1_Ph_II]]+0))*((Table16[[#This Row],[I_0]]*Table16[[#This Row],[I_1]]+((Table16[[#This Row],[I_0]]-Table16[[#This Row],[I_1]])^2)/3))),SQRT((Fsw*(Table16[[#This Row],[t2_Ph_I]]+0))*((Table16[[#This Row],[I_1]]*Table16[[#This Row],[I_2]]+((Table16[[#This Row],[I_1]]-Table16[[#This Row],[I_2]])^2)/3))))</f>
        <v>12.877364628104981</v>
      </c>
      <c r="AQ20" s="345">
        <f>Rdson4*Table16[[#This Row],[Irms BoCtlr]]^2</f>
        <v>0.58039281917809271</v>
      </c>
      <c r="AR20" s="345">
        <f>CHOOSE(Table16[[#This Row],[Mode Digit]], 0, (Vout*Table16[[#This Row],[Iin]]/2)*(Fsw)*(Tr_boost+Tf_boost), (Vout*Iout/2)*(Fsw/1)*(Tr_boost+Tf_boost))</f>
        <v>1.0471677112990665</v>
      </c>
      <c r="AS20" s="253">
        <f>IF(Table16[[#This Row],[Vin]]&gt;Vout, 0, IF(Table16[[#This Row],[Iin]]&gt;Table16[[#This Row],[Ripple Current pk-pk]]/2,0,ABS(Table16[[#This Row],[Iin]]-Table16[[#This Row],[Ripple Current pk-pk]]/2)*Vsd_Q4*Deadtime*Fsw))</f>
        <v>0</v>
      </c>
      <c r="AT20" s="345">
        <f>(Table16[[#This Row],[Dead Time Loss BoCtlr]]+Table16[[#This Row],[Transition Loss BoCtlr]]+Table16[[#This Row],[RDS(on) Loss BoCtlr]]*(1+RdsonTopTc*Ta-RdsonTopTc*25))/(1-Table16[[#This Row],[RDS(on) Loss BoCtlr]]*RdsonTopTc*ThetaJA_Q4)</f>
        <v>1.9168114698030523</v>
      </c>
      <c r="AU20"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12.126357066415363</v>
      </c>
      <c r="AV20" s="345">
        <f>Rdson3*Table16[[#This Row],[Irms BoSync]]^2</f>
        <v>0.51466987495770633</v>
      </c>
      <c r="AW20"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0.52573787409700712</v>
      </c>
      <c r="AX20" s="345">
        <f>(Table16[[#This Row],[Deadtime Loss BoSync]]+Table16[[#This Row],[RDS(on) Loss BoSync]]*(1+RdsonBotTc*Ta-RdsonBotTc*25))/(1-Table16[[#This Row],[RDS(on) Loss BoSync]]*RdsonBotTc*ThetaJA_Q3)</f>
        <v>1.2011368807991964</v>
      </c>
      <c r="AY20" s="345">
        <f>CHOOSE(Table16[[#This Row],[Mode Digit]], Rdson3*Table16[[#This Row],[Irms Lf]]^2, Rdson1*Table16[[#This Row],[Irms Lf]]^2, 0)</f>
        <v>1.095062694135799</v>
      </c>
      <c r="AZ20" s="345">
        <f>CHOOSE(Table16[[#This Row],[Mode Digit]], 2*Deadtime*Fsw*IF(VfdSky_Q2&gt;0,VfdSky_Q2,0)*Table16[[#This Row],[Iout]], 2*Deadtime*Fsw*IF(VfdSky_Q3&gt;0,VfdSky_Q3,0)*Table16[[#This Row],[Iin]], 2*Deadtime*Fsw*IF(VfdSky_Q2&gt;0,VfdSky_Q2,0)*Table16[[#This Row],[Iout]]+2*Deadtime*Fsw*IF(VfdSky_Q3&gt;0,VfdSky_Q3,0)*Table16[[#This Row],[Iin]])</f>
        <v>0</v>
      </c>
      <c r="BA20" s="345">
        <f>CHOOSE(Table16[[#This Row],[Mode Digit]], IF(QrrSky_Q2&gt;0,QrrSky_Q2,Qrr_Q2)*Fsw*(Table16[[#This Row],[Vin]]-Table16[[#This Row],[Iout]]*Rdson1),0,  IF(QrrSky_Q2&gt;0,QrrSky_Q2,Qrr_Q2)*Fsw*(Table16[[#This Row],[Vin]]-Table16[[#This Row],[Iout]]*Rdson1)+IF(QrrSky_Q3&gt;0,QrrSky_Q3,Qrr_Q3)*Fsw*Vout)</f>
        <v>0</v>
      </c>
      <c r="BB20" s="345">
        <f>CHOOSE(Table16[[#This Row],[Mode Digit]],0, IF(QrrSky_Q3&gt;0,QrrSky_Q3,Qrr_Q3)*Fsw*Vout,  IF(QrrSky_Q2&gt;0,QrrSky_Q2,Qrr_Q2)*Fsw*(Table16[[#This Row],[Vin]]-Table16[[#This Row],[Iout]]*Rdson1)+IF(QrrSky_Q3&gt;0,QrrSky_Q3,Qrr_Q3)*Fsw*Vout)</f>
        <v>0.35660799999999998</v>
      </c>
      <c r="BC20" s="345">
        <f>CHOOSE(Table16[[#This Row],[Mode Digit]], Rs*Table16[[#This Row],[Irms BuSync]]^2, Rs*Table16[[#This Row],[Irms BoCtlr]]^2, Rs*(Table16[[#This Row],[Irms BuSync]]^2+Table16[[#This Row],[Irms BoCtlr]]^2))</f>
        <v>0.21557447569472013</v>
      </c>
      <c r="BD20" s="345">
        <f t="shared" si="1"/>
        <v>0.64</v>
      </c>
      <c r="BE20" s="345">
        <f>IF(Vout&gt;8, Iq*Vout, Iq*Table16[[#This Row],[Vin]])</f>
        <v>4.8000000000000001E-2</v>
      </c>
      <c r="BF20" s="345">
        <f>CHOOSE(Table16[[#This Row],[Mode Digit]], (Qg_Q1+Qg_Q2)*Fsw, (Qg_Q3+Qg_Q4)*Fsw, (Qg_Q1+Qg_Q2+Qg_Q3+Qg_Q4)*Fsw)*IF(Vout&gt;8, Vout, Table16[[#This Row],[Vin]])</f>
        <v>0.85331200000000007</v>
      </c>
      <c r="BG20" s="345">
        <f t="shared" si="2"/>
        <v>0.50594479787234037</v>
      </c>
      <c r="BH20" s="345">
        <f>Table16[[#This Row],[IQ Loss]]+Table16[[#This Row],[Switching Current Loss]]</f>
        <v>0.90131200000000011</v>
      </c>
      <c r="BI20"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9.1893122264238123</v>
      </c>
      <c r="BJ20" s="253">
        <f>Vout*Table16[[#This Row],[Iout]]</f>
        <v>128</v>
      </c>
      <c r="BK20" s="684">
        <f>Table16[[#This Row],[Pout]]/(Table16[[#This Row],[Pout]]+Table16[[#This Row],[Total Loss]])</f>
        <v>0.93301728773698245</v>
      </c>
      <c r="BL20"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147.77226553719839</v>
      </c>
      <c r="BM20" s="685">
        <f>IF(Table16[[#This Row],[Vin]]&gt;Vout, Table16[[#This Row],[Total Sync Bu MOSFET Loss]]*ThetaJA_Q2, ThetaJA_Q3*Table16[[#This Row],[Total Sync Bo MOSFET Loss]])</f>
        <v>78.07389725194777</v>
      </c>
      <c r="BN20" s="640"/>
      <c r="BO20" s="292">
        <f>Table16[[#This Row],[EFF, h]]*100</f>
        <v>93.301728773698244</v>
      </c>
      <c r="BP20" s="345">
        <f>Table16[[#This Row],[Total Inductor Loss]]</f>
        <v>2.2712162239464559</v>
      </c>
      <c r="BQ20" s="345">
        <f>Table16[[#This Row],[Total Control Bu MOSFET Loss]]+Table16[[#This Row],[Total Sync Bu MOSFET Loss]]+Table16[[#This Row],[Total Control Bo MOSFET Loss]]+Table16[[#This Row],[Total Sync Bo MOSFET Loss]]+Table16[[#This Row],[Reverse Recovery Loss MOSFET D BUCK]]+Table16[[#This Row],[Reverse Recovery Loss MOSFET D BOOST]]</f>
        <v>5.0055051124200709</v>
      </c>
      <c r="BR20" s="345">
        <f>Table16[[#This Row],[Total Control Bu MOSFET Loss]]+Table16[[#This Row],[Reverse Recovery Loss MOSFET D BUCK]]*0.66</f>
        <v>1.5309487618178226</v>
      </c>
      <c r="BS20" s="345">
        <f>Table16[[#This Row],[Total Sync Bu MOSFET Loss]]+Table16[[#This Row],[Reverse Recovery Loss MOSFET D BUCK]]*0.33</f>
        <v>0</v>
      </c>
      <c r="BT20" s="345">
        <f xml:space="preserve"> Table16[[#This Row],[Total Control Bo MOSFET Loss]]+Table16[[#This Row],[Reverse Recovery Loss MOSFET D BOOST]]*0.66</f>
        <v>2.1521727498030523</v>
      </c>
      <c r="BU20" s="345">
        <f xml:space="preserve"> Table16[[#This Row],[Total Sync Bo MOSFET Loss]]+Table16[[#This Row],[Reverse Recovery Loss MOSFET D BOOST]]*0.33</f>
        <v>1.3188175207991963</v>
      </c>
      <c r="BV20" s="345">
        <f>Table16[[#This Row],[Isense Shunt Loss]]</f>
        <v>0.21557447569472013</v>
      </c>
      <c r="CB20" s="686"/>
      <c r="CC20" s="686"/>
    </row>
    <row r="21" spans="1:92" x14ac:dyDescent="0.2">
      <c r="A21" s="696" t="s">
        <v>157</v>
      </c>
      <c r="B21" s="694">
        <f>ThetaCa</f>
        <v>20</v>
      </c>
      <c r="C21" s="259" t="s">
        <v>236</v>
      </c>
      <c r="D21" s="697" t="s">
        <v>158</v>
      </c>
      <c r="G21" s="253">
        <v>12</v>
      </c>
      <c r="H21" s="286">
        <f>VIN_min+(VIN_max-VIN_min)*(Table16[[#This Row],[Step]]/200)</f>
        <v>7.8</v>
      </c>
      <c r="I21" s="292" t="str">
        <f>IF(Mode = 2,IF(Table16[[#This Row],[Vin]]&gt;Vout, "BUCK","BOOST"),IF(Table16[[#This Row],[Vin]]&gt;VIN_BB_to_buck, "BUCK", IF(Table16[[#This Row],[Vin]]&lt;=VIN_boost_to_BB,"BOOST","BUCK-BST")))</f>
        <v>BOOST</v>
      </c>
      <c r="J21" s="253">
        <f>IF(Table16[[#This Row],[Mode]]="BOOST",2, IF(Table16[[#This Row],[Mode]]="BUCK", 1,3))</f>
        <v>2</v>
      </c>
      <c r="K21" s="253">
        <f t="shared" si="0"/>
        <v>8</v>
      </c>
      <c r="L21" s="292">
        <f>Vout*Table16[[#This Row],[Iout]]/(Table16[[#This Row],[Vin]]*Efficiency)</f>
        <v>17.273954116059382</v>
      </c>
      <c r="M21" s="682">
        <f>MIN(1/Fsw,CHOOSE(Table16[[#This Row],[Mode Digit]],(Vout+(Rdson2+Rs+Rdcr)*Table16[[#This Row],[Iout]])/(Table16[[#This Row],[Vin]]+(Rs+Rdson2-Rdson1)*Table16[[#This Row],[Iout]])/Fsw,(Vout+(Rdson3+Rdcr)*Table16[[#This Row],[Iin]]-Table16[[#This Row],[Vin]])/(Vout+(Rdson3-Rdson4-Rs)*Table16[[#This Row],[Iin]])/Fsw,t1_Ph_II))</f>
        <v>1.307698351751188E-6</v>
      </c>
      <c r="N21" s="518">
        <f>CHOOSE(Table16[[#This Row],[Mode Digit]],1/Fsw-Table16[[#This Row],[t1_Ph_II]],1/Fsw-Table16[[#This Row],[t1_Ph_II]],(Vout/Fsw-Table16[[#This Row],[Vin]]*t1_Ph_II)/(Table16[[#This Row],[Vin]]+Vout))</f>
        <v>1.2048644623191639E-6</v>
      </c>
      <c r="O21" s="518">
        <f>1/Fsw-(Table16[[#This Row],[t1_Ph_II]]+Table16[[#This Row],[t2_Ph_I]])</f>
        <v>0</v>
      </c>
      <c r="P21"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14.440607687265143</v>
      </c>
      <c r="Q21" s="292">
        <f>CHOOSE(Table16[[#This Row],[Mode Digit]],Table16[[#This Row],[I_0]]+1/Lf*(Table16[[#This Row],[Vin]]-Vout)*Table16[[#This Row],[t1_Ph_II]],Table16[[#This Row],[I_0]]+1/Lf*Table16[[#This Row],[Vin]]*Table16[[#This Row],[t1_Ph_II]],Table16[[#This Row],[I_0]]+(Table16[[#This Row],[Vin]]-Vout)/L*Table16[[#This Row],[t1_Ph_II]])</f>
        <v>20.107300544853622</v>
      </c>
      <c r="R21" s="292">
        <f>CHOOSE(Table16[[#This Row],[Mode Digit]],0,0,Table16[[#This Row],[I_1]]+Table16[[#This Row],[Vin]]/L*Table16[[#This Row],[t2_Ph_I]])</f>
        <v>0</v>
      </c>
      <c r="S21" s="292">
        <f>Fsw*(Table16[[#This Row],[I_0]]*Table16[[#This Row],[t1_Ph_II]]+Table16[[#This Row],[I_1]]*Table16[[#This Row],[t2_Ph_I]]+Table16[[#This Row],[I_2]]*Table16[[#This Row],[t3_Ph_III]])</f>
        <v>17.157991230773646</v>
      </c>
      <c r="T21" s="345">
        <f>MIN(1,CHOOSE(Table16[[#This Row],[Mode Digit]],(Vout+(Rdson2+Rs+Rdcr)*Table16[[#This Row],[Iout]])/(Table16[[#This Row],[Vin]]+(Rs+Rdson2-Rdson1)*Table16[[#This Row],[Iout]]),1,Fsw*Table16[[#This Row],[t2_Ph_I]]+Table16[[#This Row],[t1_Ph_II]]))</f>
        <v>1</v>
      </c>
      <c r="U21" s="345">
        <f>MIN(1,CHOOSE(Table16[[#This Row],[Mode Digit]],0,(Vout+(Rdson3+Rdcr)*Table16[[#This Row],[Iin]]-Table16[[#This Row],[Vin]])/(Vout+(Rdson3-Rdson4-Rs)*Table16[[#This Row],[Iin]]),Fsw*Table16[[#This Row],[t1_Ph_II]]+Table16[[#This Row],[t3_Ph_III]]))</f>
        <v>0.52046394399697282</v>
      </c>
      <c r="V21" s="292">
        <f>MAX(Table16[[#This Row],[I_0]:[I_2]])-MIN(Table16[[#This Row],[I_0]:[I_1]])</f>
        <v>5.6666928575884796</v>
      </c>
      <c r="W21"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17.351237462082597</v>
      </c>
      <c r="X21" s="345">
        <f>(Table16[[#This Row],[Irms Lf]]^2*Rdcr*(1+Ltc*Ta-Ltc*25))/(1-Table16[[#This Row],[Irms Lf]]^2*Rdcr*Ltc*ThetaCa)</f>
        <v>1.0438627918260015</v>
      </c>
      <c r="Y21" s="345">
        <f>ABS(7.759*10^-3*Fsw^0.9458*(0.00787*Table16[[#This Row],[Ripple Current pk-pk]])^2.304)</f>
        <v>1.1862398611877809</v>
      </c>
      <c r="Z21" s="345">
        <f>Table16[[#This Row],[DCR    Loss]]+Table16[[#This Row],[Core Loss]]</f>
        <v>2.2301026530137822</v>
      </c>
      <c r="AA21" s="292">
        <f>IF(Table16[[#This Row],[Vin]]&gt;Vout, Table16[[#This Row],[Ripple Current pk-pk]]/SQRT(12), SQRT(Table16[[#This Row],[Duty Cycle BOOST Leg]]/(1-Table16[[#This Row],[Duty Cycle BOOST Leg]]))*SQRT(Table16[[#This Row],[Iout]]^2+(Table16[[#This Row],[Ripple Current pk-pk]]^2)/12))</f>
        <v>8.5068602627101377</v>
      </c>
      <c r="AB21" s="345">
        <f>RCoutEsr*Table16[[#This Row],[Irms Cout]]^2</f>
        <v>0.14473334305855359</v>
      </c>
      <c r="AC21" s="345">
        <f>Table16[[#This Row],[Cout ESR Loss]]</f>
        <v>0.14473334305855359</v>
      </c>
      <c r="AD21" s="345">
        <f>IF(Table16[[#This Row],[Vin]]&gt;Vout, SQRT(Table16[[#This Row],[Duty Cycle BUCK Leg]]*(1-Table16[[#This Row],[Duty Cycle BUCK Leg]]))*SQRT(Table16[[#This Row],[Iout]]^2+(Table16[[#This Row],[Ripple Current pk-pk]]^2)/12), Table16[[#This Row],[Ripple Current pk-pk]]/SQRT(12))</f>
        <v>1.6358333233718192</v>
      </c>
      <c r="AE21" s="345">
        <f>RCinEsr*Table16[[#This Row],[Irms Cin]]^2</f>
        <v>5.3519013237073813E-3</v>
      </c>
      <c r="AF21" s="683">
        <f>Table16[[#This Row],[Cin ESR Loss]]</f>
        <v>5.3519013237073813E-3</v>
      </c>
      <c r="AG21"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17.351237462082597</v>
      </c>
      <c r="AH21" s="345">
        <f>Rdson1*Table16[[#This Row],[Irms BuCtrl]]^2</f>
        <v>1.0537290451295249</v>
      </c>
      <c r="AI21" s="345">
        <f>CHOOSE(Table16[[#This Row],[Mode Digit]], (Table16[[#This Row],[Vin]]*Table16[[#This Row],[Iout]]/2)*(Fsw)*(Tr_buck+Tf_buck), 0, (Table16[[#This Row],[Vin]]*Table16[[#This Row],[Avg IL]]/2)*(Fsw/1)*(Tr_buck+Tf_buck))</f>
        <v>0</v>
      </c>
      <c r="AJ21" s="253">
        <f>IF(Table16[[#This Row],[Vin]]&gt;Vout, IF(Table16[[#This Row],[Iout]]&gt;Table16[[#This Row],[Ripple Current pk-pk]]/2,0,ABS(Table16[[#This Row],[Iout]]-Table16[[#This Row],[Ripple Current pk-pk]]/2)*Vsd_Q1*Deadtime*Fsw),0)</f>
        <v>0</v>
      </c>
      <c r="AK21" s="345">
        <f>(Table16[[#This Row],[Dead Time Loss BuCtrl]]+Table16[[#This Row],[Transition Loss BuCtrl]]+Table16[[#This Row],[RDS(on) Loss BuCtrl]]*(1+RdsonTopTc*Ta-RdsonTopTc*25))/(1-Table16[[#This Row],[RDS(on) Loss BuCtrl]]*RdsonTopTc*ThetaJA_Q1)</f>
        <v>1.4513565479873571</v>
      </c>
      <c r="AL21" s="345">
        <f>CHOOSE(Table16[[#This Row],[Mode Digit]],SQRT((Fsw*(Table16[[#This Row],[t2_Ph_I]]+0))*((Table16[[#This Row],[I_0]]*Table16[[#This Row],[I_1]]+((Table16[[#This Row],[I_0]]-Table16[[#This Row],[I_1]])^2)/3))),0,SQRT((Fsw*(Table16[[#This Row],[t3_Ph_III]]+0))*((Table16[[#This Row],[I_0]]*Table16[[#This Row],[I_2]]+((Table16[[#This Row],[I_0]]-Table16[[#This Row],[I_2]])^2)/3))))</f>
        <v>0</v>
      </c>
      <c r="AM21" s="345">
        <f>Rdson2*Table16[[#This Row],[Irms BuSync]]^2</f>
        <v>0</v>
      </c>
      <c r="AN21"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21" s="345">
        <f>(Table16[[#This Row],[Deadtime Loss BuSync]]+Table16[[#This Row],[RDS(on) Loss BuSync]]*(1+RdsonBotTc*Ta-RdsonBotTc*25))/(1-Table16[[#This Row],[RDS(on) Loss BuSync]]*RdsonBotTc*ThetaJA_Q2)</f>
        <v>0</v>
      </c>
      <c r="AP21" s="345">
        <f>CHOOSE(Table16[[#This Row],[Mode Digit]],0,SQRT((Fsw*(Table16[[#This Row],[t1_Ph_II]]+0))*((Table16[[#This Row],[I_0]]*Table16[[#This Row],[I_1]]+((Table16[[#This Row],[I_0]]-Table16[[#This Row],[I_1]])^2)/3))),SQRT((Fsw*(Table16[[#This Row],[t2_Ph_I]]+0))*((Table16[[#This Row],[I_1]]*Table16[[#This Row],[I_2]]+((Table16[[#This Row],[I_1]]-Table16[[#This Row],[I_2]])^2)/3))))</f>
        <v>12.51773570045177</v>
      </c>
      <c r="AQ21" s="345">
        <f>Rdson4*Table16[[#This Row],[Irms BoCtlr]]^2</f>
        <v>0.54842797473227667</v>
      </c>
      <c r="AR21" s="345">
        <f>CHOOSE(Table16[[#This Row],[Mode Digit]], 0, (Vout*Table16[[#This Row],[Iin]]/2)*(Fsw)*(Tr_boost+Tf_boost), (Vout*Iout/2)*(Fsw/1)*(Tr_boost+Tf_boost))</f>
        <v>1.0270298706971617</v>
      </c>
      <c r="AS21" s="253">
        <f>IF(Table16[[#This Row],[Vin]]&gt;Vout, 0, IF(Table16[[#This Row],[Iin]]&gt;Table16[[#This Row],[Ripple Current pk-pk]]/2,0,ABS(Table16[[#This Row],[Iin]]-Table16[[#This Row],[Ripple Current pk-pk]]/2)*Vsd_Q4*Deadtime*Fsw))</f>
        <v>0</v>
      </c>
      <c r="AT21" s="345">
        <f>(Table16[[#This Row],[Dead Time Loss BoCtlr]]+Table16[[#This Row],[Transition Loss BoCtlr]]+Table16[[#This Row],[RDS(on) Loss BoCtlr]]*(1+RdsonTopTc*Ta-RdsonTopTc*25))/(1-Table16[[#This Row],[RDS(on) Loss BoCtlr]]*RdsonTopTc*ThetaJA_Q4)</f>
        <v>1.8374642065198714</v>
      </c>
      <c r="AU21"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12.015478950054957</v>
      </c>
      <c r="AV21" s="345">
        <f>Rdson3*Table16[[#This Row],[Irms BoSync]]^2</f>
        <v>0.50530107039724825</v>
      </c>
      <c r="AW21"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0.51562753036437248</v>
      </c>
      <c r="AX21" s="345">
        <f>(Table16[[#This Row],[Deadtime Loss BoSync]]+Table16[[#This Row],[RDS(on) Loss BoSync]]*(1+RdsonBotTc*Ta-RdsonBotTc*25))/(1-Table16[[#This Row],[RDS(on) Loss BoSync]]*RdsonBotTc*ThetaJA_Q3)</f>
        <v>1.1753431617705781</v>
      </c>
      <c r="AY21" s="345">
        <f>CHOOSE(Table16[[#This Row],[Mode Digit]], Rdson3*Table16[[#This Row],[Irms Lf]]^2, Rdson1*Table16[[#This Row],[Irms Lf]]^2, 0)</f>
        <v>1.0537290451295249</v>
      </c>
      <c r="AZ21" s="345">
        <f>CHOOSE(Table16[[#This Row],[Mode Digit]], 2*Deadtime*Fsw*IF(VfdSky_Q2&gt;0,VfdSky_Q2,0)*Table16[[#This Row],[Iout]], 2*Deadtime*Fsw*IF(VfdSky_Q3&gt;0,VfdSky_Q3,0)*Table16[[#This Row],[Iin]], 2*Deadtime*Fsw*IF(VfdSky_Q2&gt;0,VfdSky_Q2,0)*Table16[[#This Row],[Iout]]+2*Deadtime*Fsw*IF(VfdSky_Q3&gt;0,VfdSky_Q3,0)*Table16[[#This Row],[Iin]])</f>
        <v>0</v>
      </c>
      <c r="BA21" s="345">
        <f>CHOOSE(Table16[[#This Row],[Mode Digit]], IF(QrrSky_Q2&gt;0,QrrSky_Q2,Qrr_Q2)*Fsw*(Table16[[#This Row],[Vin]]-Table16[[#This Row],[Iout]]*Rdson1),0,  IF(QrrSky_Q2&gt;0,QrrSky_Q2,Qrr_Q2)*Fsw*(Table16[[#This Row],[Vin]]-Table16[[#This Row],[Iout]]*Rdson1)+IF(QrrSky_Q3&gt;0,QrrSky_Q3,Qrr_Q3)*Fsw*Vout)</f>
        <v>0</v>
      </c>
      <c r="BB21" s="345">
        <f>CHOOSE(Table16[[#This Row],[Mode Digit]],0, IF(QrrSky_Q3&gt;0,QrrSky_Q3,Qrr_Q3)*Fsw*Vout,  IF(QrrSky_Q2&gt;0,QrrSky_Q2,Qrr_Q2)*Fsw*(Table16[[#This Row],[Vin]]-Table16[[#This Row],[Iout]]*Rdson1)+IF(QrrSky_Q3&gt;0,QrrSky_Q3,Qrr_Q3)*Fsw*Vout)</f>
        <v>0.35660799999999998</v>
      </c>
      <c r="BC21" s="345">
        <f>CHOOSE(Table16[[#This Row],[Mode Digit]], Rs*Table16[[#This Row],[Irms BuSync]]^2, Rs*Table16[[#This Row],[Irms BoCtlr]]^2, Rs*(Table16[[#This Row],[Irms BuSync]]^2+Table16[[#This Row],[Irms BoCtlr]]^2))</f>
        <v>0.2037018191862742</v>
      </c>
      <c r="BD21" s="345">
        <f t="shared" si="1"/>
        <v>0.64</v>
      </c>
      <c r="BE21" s="345">
        <f>IF(Vout&gt;8, Iq*Vout, Iq*Table16[[#This Row],[Vin]])</f>
        <v>4.8000000000000001E-2</v>
      </c>
      <c r="BF21" s="345">
        <f>CHOOSE(Table16[[#This Row],[Mode Digit]], (Qg_Q1+Qg_Q2)*Fsw, (Qg_Q3+Qg_Q4)*Fsw, (Qg_Q1+Qg_Q2+Qg_Q3+Qg_Q4)*Fsw)*IF(Vout&gt;8, Vout, Table16[[#This Row],[Vin]])</f>
        <v>0.85331200000000007</v>
      </c>
      <c r="BG21" s="345">
        <f t="shared" si="2"/>
        <v>0.50594479787234037</v>
      </c>
      <c r="BH21" s="345">
        <f>Table16[[#This Row],[IQ Loss]]+Table16[[#This Row],[Switching Current Loss]]</f>
        <v>0.90131200000000011</v>
      </c>
      <c r="BI21"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8.9459736328601256</v>
      </c>
      <c r="BJ21" s="253">
        <f>Vout*Table16[[#This Row],[Iout]]</f>
        <v>128</v>
      </c>
      <c r="BK21" s="684">
        <f>Table16[[#This Row],[Pout]]/(Table16[[#This Row],[Pout]]+Table16[[#This Row],[Total Loss]])</f>
        <v>0.93467516133885409</v>
      </c>
      <c r="BL21"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142.61469342379164</v>
      </c>
      <c r="BM21" s="685">
        <f>IF(Table16[[#This Row],[Vin]]&gt;Vout, Table16[[#This Row],[Total Sync Bu MOSFET Loss]]*ThetaJA_Q2, ThetaJA_Q3*Table16[[#This Row],[Total Sync Bo MOSFET Loss]])</f>
        <v>76.397305515087581</v>
      </c>
      <c r="BN21" s="640"/>
      <c r="BO21" s="292">
        <f>Table16[[#This Row],[EFF, h]]*100</f>
        <v>93.467516133885411</v>
      </c>
      <c r="BP21" s="345">
        <f>Table16[[#This Row],[Total Inductor Loss]]</f>
        <v>2.2301026530137822</v>
      </c>
      <c r="BQ21" s="345">
        <f>Table16[[#This Row],[Total Control Bu MOSFET Loss]]+Table16[[#This Row],[Total Sync Bu MOSFET Loss]]+Table16[[#This Row],[Total Control Bo MOSFET Loss]]+Table16[[#This Row],[Total Sync Bo MOSFET Loss]]+Table16[[#This Row],[Reverse Recovery Loss MOSFET D BUCK]]+Table16[[#This Row],[Reverse Recovery Loss MOSFET D BOOST]]</f>
        <v>4.8207719162778062</v>
      </c>
      <c r="BR21" s="345">
        <f>Table16[[#This Row],[Total Control Bu MOSFET Loss]]+Table16[[#This Row],[Reverse Recovery Loss MOSFET D BUCK]]*0.66</f>
        <v>1.4513565479873571</v>
      </c>
      <c r="BS21" s="345">
        <f>Table16[[#This Row],[Total Sync Bu MOSFET Loss]]+Table16[[#This Row],[Reverse Recovery Loss MOSFET D BUCK]]*0.33</f>
        <v>0</v>
      </c>
      <c r="BT21" s="345">
        <f xml:space="preserve"> Table16[[#This Row],[Total Control Bo MOSFET Loss]]+Table16[[#This Row],[Reverse Recovery Loss MOSFET D BOOST]]*0.66</f>
        <v>2.0728254865198714</v>
      </c>
      <c r="BU21" s="345">
        <f xml:space="preserve"> Table16[[#This Row],[Total Sync Bo MOSFET Loss]]+Table16[[#This Row],[Reverse Recovery Loss MOSFET D BOOST]]*0.33</f>
        <v>1.2930238017705782</v>
      </c>
      <c r="BV21" s="345">
        <f>Table16[[#This Row],[Isense Shunt Loss]]</f>
        <v>0.2037018191862742</v>
      </c>
      <c r="CB21" s="686"/>
      <c r="CC21" s="686"/>
    </row>
    <row r="22" spans="1:92" x14ac:dyDescent="0.2">
      <c r="A22" s="698" t="s">
        <v>61</v>
      </c>
      <c r="B22" s="694">
        <f>Cin*1000000</f>
        <v>100</v>
      </c>
      <c r="C22" s="699" t="s">
        <v>602</v>
      </c>
      <c r="D22" s="255" t="s">
        <v>620</v>
      </c>
      <c r="G22" s="253">
        <v>13</v>
      </c>
      <c r="H22" s="286">
        <f>VIN_min+(VIN_max-VIN_min)*(Table16[[#This Row],[Step]]/200)</f>
        <v>7.95</v>
      </c>
      <c r="I22" s="292" t="str">
        <f>IF(Mode = 2,IF(Table16[[#This Row],[Vin]]&gt;Vout, "BUCK","BOOST"),IF(Table16[[#This Row],[Vin]]&gt;VIN_BB_to_buck, "BUCK", IF(Table16[[#This Row],[Vin]]&lt;=VIN_boost_to_BB,"BOOST","BUCK-BST")))</f>
        <v>BOOST</v>
      </c>
      <c r="J22" s="253">
        <f>IF(Table16[[#This Row],[Mode]]="BOOST",2, IF(Table16[[#This Row],[Mode]]="BUCK", 1,3))</f>
        <v>2</v>
      </c>
      <c r="K22" s="253">
        <f t="shared" si="0"/>
        <v>8</v>
      </c>
      <c r="L22" s="292">
        <f>Vout*Table16[[#This Row],[Iout]]/(Table16[[#This Row],[Vin]]*Efficiency)</f>
        <v>16.948030453492219</v>
      </c>
      <c r="M22" s="682">
        <f>MIN(1/Fsw,CHOOSE(Table16[[#This Row],[Mode Digit]],(Vout+(Rdson2+Rs+Rdcr)*Table16[[#This Row],[Iout]])/(Table16[[#This Row],[Vin]]+(Rs+Rdson2-Rdson1)*Table16[[#This Row],[Iout]])/Fsw,(Vout+(Rdson3+Rdcr)*Table16[[#This Row],[Iin]]-Table16[[#This Row],[Vin]])/(Vout+(Rdson3-Rdson4-Rs)*Table16[[#This Row],[Iin]])/Fsw,t1_Ph_II))</f>
        <v>1.2837325283089319E-6</v>
      </c>
      <c r="N22" s="518">
        <f>CHOOSE(Table16[[#This Row],[Mode Digit]],1/Fsw-Table16[[#This Row],[t1_Ph_II]],1/Fsw-Table16[[#This Row],[t1_Ph_II]],(Vout/Fsw-Table16[[#This Row],[Vin]]*t1_Ph_II)/(Table16[[#This Row],[Vin]]+Vout))</f>
        <v>1.22883028576142E-6</v>
      </c>
      <c r="O22" s="518">
        <f>1/Fsw-(Table16[[#This Row],[t1_Ph_II]]+Table16[[#This Row],[t2_Ph_I]])</f>
        <v>0</v>
      </c>
      <c r="P22"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14.113121120143328</v>
      </c>
      <c r="Q22" s="292">
        <f>CHOOSE(Table16[[#This Row],[Mode Digit]],Table16[[#This Row],[I_0]]+1/Lf*(Table16[[#This Row],[Vin]]-Vout)*Table16[[#This Row],[t1_Ph_II]],Table16[[#This Row],[I_0]]+1/Lf*Table16[[#This Row],[Vin]]*Table16[[#This Row],[t1_Ph_II]],Table16[[#This Row],[I_0]]+(Table16[[#This Row],[Vin]]-Vout)/L*Table16[[#This Row],[t1_Ph_II]])</f>
        <v>19.782939786841109</v>
      </c>
      <c r="R22" s="292">
        <f>CHOOSE(Table16[[#This Row],[Mode Digit]],0,0,Table16[[#This Row],[I_1]]+Table16[[#This Row],[Vin]]/L*Table16[[#This Row],[t2_Ph_I]])</f>
        <v>0</v>
      </c>
      <c r="S22" s="292">
        <f>Fsw*(Table16[[#This Row],[I_0]]*Table16[[#This Row],[t1_Ph_II]]+Table16[[#This Row],[I_1]]*Table16[[#This Row],[t2_Ph_I]]+Table16[[#This Row],[I_2]]*Table16[[#This Row],[t3_Ph_III]])</f>
        <v>16.886084587323968</v>
      </c>
      <c r="T22" s="345">
        <f>MIN(1,CHOOSE(Table16[[#This Row],[Mode Digit]],(Vout+(Rdson2+Rs+Rdcr)*Table16[[#This Row],[Iout]])/(Table16[[#This Row],[Vin]]+(Rs+Rdson2-Rdson1)*Table16[[#This Row],[Iout]]),1,Fsw*Table16[[#This Row],[t2_Ph_I]]+Table16[[#This Row],[t1_Ph_II]]))</f>
        <v>1</v>
      </c>
      <c r="U22" s="345">
        <f>MIN(1,CHOOSE(Table16[[#This Row],[Mode Digit]],0,(Vout+(Rdson3+Rdcr)*Table16[[#This Row],[Iin]]-Table16[[#This Row],[Vin]])/(Vout+(Rdson3-Rdson4-Rs)*Table16[[#This Row],[Iin]]),Fsw*Table16[[#This Row],[t1_Ph_II]]+Table16[[#This Row],[t3_Ph_III]]))</f>
        <v>0.51092554626695486</v>
      </c>
      <c r="V22" s="292">
        <f>MAX(Table16[[#This Row],[I_0]:[I_2]])-MIN(Table16[[#This Row],[I_0]:[I_1]])</f>
        <v>5.6698186666977808</v>
      </c>
      <c r="W22"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17.026879922501045</v>
      </c>
      <c r="X22" s="345">
        <f>(Table16[[#This Row],[Irms Lf]]^2*Rdcr*(1+Ltc*Ta-Ltc*25))/(1-Table16[[#This Row],[Irms Lf]]^2*Rdcr*Ltc*ThetaCa)</f>
        <v>1.0021009220190005</v>
      </c>
      <c r="Y22" s="345">
        <f>ABS(7.759*10^-3*Fsw^0.9458*(0.00787*Table16[[#This Row],[Ripple Current pk-pk]])^2.304)</f>
        <v>1.1877480091151307</v>
      </c>
      <c r="Z22" s="345">
        <f>Table16[[#This Row],[DCR    Loss]]+Table16[[#This Row],[Core Loss]]</f>
        <v>2.1898489311341311</v>
      </c>
      <c r="AA22" s="292">
        <f>IF(Table16[[#This Row],[Vin]]&gt;Vout, Table16[[#This Row],[Ripple Current pk-pk]]/SQRT(12), SQRT(Table16[[#This Row],[Duty Cycle BOOST Leg]]/(1-Table16[[#This Row],[Duty Cycle BOOST Leg]]))*SQRT(Table16[[#This Row],[Iout]]^2+(Table16[[#This Row],[Ripple Current pk-pk]]^2)/12))</f>
        <v>8.346137684669749</v>
      </c>
      <c r="AB22" s="345">
        <f>RCoutEsr*Table16[[#This Row],[Irms Cout]]^2</f>
        <v>0.13931602850292904</v>
      </c>
      <c r="AC22" s="345">
        <f>Table16[[#This Row],[Cout ESR Loss]]</f>
        <v>0.13931602850292904</v>
      </c>
      <c r="AD22" s="345">
        <f>IF(Table16[[#This Row],[Vin]]&gt;Vout, SQRT(Table16[[#This Row],[Duty Cycle BUCK Leg]]*(1-Table16[[#This Row],[Duty Cycle BUCK Leg]]))*SQRT(Table16[[#This Row],[Iout]]^2+(Table16[[#This Row],[Ripple Current pk-pk]]^2)/12), Table16[[#This Row],[Ripple Current pk-pk]]/SQRT(12))</f>
        <v>1.6367356667371644</v>
      </c>
      <c r="AE22" s="345">
        <f>RCinEsr*Table16[[#This Row],[Irms Cin]]^2</f>
        <v>5.3578072855391002E-3</v>
      </c>
      <c r="AF22" s="683">
        <f>Table16[[#This Row],[Cin ESR Loss]]</f>
        <v>5.3578072855391002E-3</v>
      </c>
      <c r="AG22"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17.026879922501045</v>
      </c>
      <c r="AH22" s="345">
        <f>Rdson1*Table16[[#This Row],[Irms BuCtrl]]^2</f>
        <v>1.0147012396334423</v>
      </c>
      <c r="AI22" s="345">
        <f>CHOOSE(Table16[[#This Row],[Mode Digit]], (Table16[[#This Row],[Vin]]*Table16[[#This Row],[Iout]]/2)*(Fsw)*(Tr_buck+Tf_buck), 0, (Table16[[#This Row],[Vin]]*Table16[[#This Row],[Avg IL]]/2)*(Fsw/1)*(Tr_buck+Tf_buck))</f>
        <v>0</v>
      </c>
      <c r="AJ22" s="253">
        <f>IF(Table16[[#This Row],[Vin]]&gt;Vout, IF(Table16[[#This Row],[Iout]]&gt;Table16[[#This Row],[Ripple Current pk-pk]]/2,0,ABS(Table16[[#This Row],[Iout]]-Table16[[#This Row],[Ripple Current pk-pk]]/2)*Vsd_Q1*Deadtime*Fsw),0)</f>
        <v>0</v>
      </c>
      <c r="AK22" s="345">
        <f>(Table16[[#This Row],[Dead Time Loss BuCtrl]]+Table16[[#This Row],[Transition Loss BuCtrl]]+Table16[[#This Row],[RDS(on) Loss BuCtrl]]*(1+RdsonTopTc*Ta-RdsonTopTc*25))/(1-Table16[[#This Row],[RDS(on) Loss BuCtrl]]*RdsonTopTc*ThetaJA_Q1)</f>
        <v>1.3783374182304597</v>
      </c>
      <c r="AL22" s="345">
        <f>CHOOSE(Table16[[#This Row],[Mode Digit]],SQRT((Fsw*(Table16[[#This Row],[t2_Ph_I]]+0))*((Table16[[#This Row],[I_0]]*Table16[[#This Row],[I_1]]+((Table16[[#This Row],[I_0]]-Table16[[#This Row],[I_1]])^2)/3))),0,SQRT((Fsw*(Table16[[#This Row],[t3_Ph_III]]+0))*((Table16[[#This Row],[I_0]]*Table16[[#This Row],[I_2]]+((Table16[[#This Row],[I_0]]-Table16[[#This Row],[I_2]])^2)/3))))</f>
        <v>0</v>
      </c>
      <c r="AM22" s="345">
        <f>Rdson2*Table16[[#This Row],[Irms BuSync]]^2</f>
        <v>0</v>
      </c>
      <c r="AN22"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22" s="345">
        <f>(Table16[[#This Row],[Deadtime Loss BuSync]]+Table16[[#This Row],[RDS(on) Loss BuSync]]*(1+RdsonBotTc*Ta-RdsonBotTc*25))/(1-Table16[[#This Row],[RDS(on) Loss BuSync]]*RdsonBotTc*ThetaJA_Q2)</f>
        <v>0</v>
      </c>
      <c r="AP22" s="345">
        <f>CHOOSE(Table16[[#This Row],[Mode Digit]],0,SQRT((Fsw*(Table16[[#This Row],[t1_Ph_II]]+0))*((Table16[[#This Row],[I_0]]*Table16[[#This Row],[I_1]]+((Table16[[#This Row],[I_0]]-Table16[[#This Row],[I_1]])^2)/3))),SQRT((Fsw*(Table16[[#This Row],[t2_Ph_I]]+0))*((Table16[[#This Row],[I_1]]*Table16[[#This Row],[I_2]]+((Table16[[#This Row],[I_1]]-Table16[[#This Row],[I_2]])^2)/3))))</f>
        <v>12.170653053935846</v>
      </c>
      <c r="AQ22" s="345">
        <f>Rdson4*Table16[[#This Row],[Irms BoCtlr]]^2</f>
        <v>0.51843678515747271</v>
      </c>
      <c r="AR22" s="345">
        <f>CHOOSE(Table16[[#This Row],[Mode Digit]], 0, (Vout*Table16[[#This Row],[Iin]]/2)*(Fsw)*(Tr_boost+Tf_boost), (Vout*Iout/2)*(Fsw/1)*(Tr_boost+Tf_boost))</f>
        <v>1.0076519486085356</v>
      </c>
      <c r="AS22" s="253">
        <f>IF(Table16[[#This Row],[Vin]]&gt;Vout, 0, IF(Table16[[#This Row],[Iin]]&gt;Table16[[#This Row],[Ripple Current pk-pk]]/2,0,ABS(Table16[[#This Row],[Iin]]-Table16[[#This Row],[Ripple Current pk-pk]]/2)*Vsd_Q4*Deadtime*Fsw))</f>
        <v>0</v>
      </c>
      <c r="AT22" s="345">
        <f>(Table16[[#This Row],[Dead Time Loss BoCtlr]]+Table16[[#This Row],[Transition Loss BoCtlr]]+Table16[[#This Row],[RDS(on) Loss BoCtlr]]*(1+RdsonTopTc*Ta-RdsonTopTc*25))/(1-Table16[[#This Row],[RDS(on) Loss BoCtlr]]*RdsonTopTc*ThetaJA_Q4)</f>
        <v>1.7638434834927759</v>
      </c>
      <c r="AU22"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11.907554078650715</v>
      </c>
      <c r="AV22" s="345">
        <f>Rdson3*Table16[[#This Row],[Irms BoSync]]^2</f>
        <v>0.49626445447596956</v>
      </c>
      <c r="AW22"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0.50589870903674261</v>
      </c>
      <c r="AX22" s="345">
        <f>(Table16[[#This Row],[Deadtime Loss BoSync]]+Table16[[#This Row],[RDS(on) Loss BoSync]]*(1+RdsonBotTc*Ta-RdsonBotTc*25))/(1-Table16[[#This Row],[RDS(on) Loss BoSync]]*RdsonBotTc*ThetaJA_Q3)</f>
        <v>1.1506271566439732</v>
      </c>
      <c r="AY22" s="345">
        <f>CHOOSE(Table16[[#This Row],[Mode Digit]], Rdson3*Table16[[#This Row],[Irms Lf]]^2, Rdson1*Table16[[#This Row],[Irms Lf]]^2, 0)</f>
        <v>1.0147012396334423</v>
      </c>
      <c r="AZ22" s="345">
        <f>CHOOSE(Table16[[#This Row],[Mode Digit]], 2*Deadtime*Fsw*IF(VfdSky_Q2&gt;0,VfdSky_Q2,0)*Table16[[#This Row],[Iout]], 2*Deadtime*Fsw*IF(VfdSky_Q3&gt;0,VfdSky_Q3,0)*Table16[[#This Row],[Iin]], 2*Deadtime*Fsw*IF(VfdSky_Q2&gt;0,VfdSky_Q2,0)*Table16[[#This Row],[Iout]]+2*Deadtime*Fsw*IF(VfdSky_Q3&gt;0,VfdSky_Q3,0)*Table16[[#This Row],[Iin]])</f>
        <v>0</v>
      </c>
      <c r="BA22" s="345">
        <f>CHOOSE(Table16[[#This Row],[Mode Digit]], IF(QrrSky_Q2&gt;0,QrrSky_Q2,Qrr_Q2)*Fsw*(Table16[[#This Row],[Vin]]-Table16[[#This Row],[Iout]]*Rdson1),0,  IF(QrrSky_Q2&gt;0,QrrSky_Q2,Qrr_Q2)*Fsw*(Table16[[#This Row],[Vin]]-Table16[[#This Row],[Iout]]*Rdson1)+IF(QrrSky_Q3&gt;0,QrrSky_Q3,Qrr_Q3)*Fsw*Vout)</f>
        <v>0</v>
      </c>
      <c r="BB22" s="345">
        <f>CHOOSE(Table16[[#This Row],[Mode Digit]],0, IF(QrrSky_Q3&gt;0,QrrSky_Q3,Qrr_Q3)*Fsw*Vout,  IF(QrrSky_Q2&gt;0,QrrSky_Q2,Qrr_Q2)*Fsw*(Table16[[#This Row],[Vin]]-Table16[[#This Row],[Iout]]*Rdson1)+IF(QrrSky_Q3&gt;0,QrrSky_Q3,Qrr_Q3)*Fsw*Vout)</f>
        <v>0.35660799999999998</v>
      </c>
      <c r="BC22" s="345">
        <f>CHOOSE(Table16[[#This Row],[Mode Digit]], Rs*Table16[[#This Row],[Irms BuSync]]^2, Rs*Table16[[#This Row],[Irms BoCtlr]]^2, Rs*(Table16[[#This Row],[Irms BuSync]]^2+Table16[[#This Row],[Irms BoCtlr]]^2))</f>
        <v>0.19256223448706131</v>
      </c>
      <c r="BD22" s="345">
        <f t="shared" si="1"/>
        <v>0.64</v>
      </c>
      <c r="BE22" s="345">
        <f>IF(Vout&gt;8, Iq*Vout, Iq*Table16[[#This Row],[Vin]])</f>
        <v>4.8000000000000001E-2</v>
      </c>
      <c r="BF22" s="345">
        <f>CHOOSE(Table16[[#This Row],[Mode Digit]], (Qg_Q1+Qg_Q2)*Fsw, (Qg_Q3+Qg_Q4)*Fsw, (Qg_Q1+Qg_Q2+Qg_Q3+Qg_Q4)*Fsw)*IF(Vout&gt;8, Vout, Table16[[#This Row],[Vin]])</f>
        <v>0.85331200000000007</v>
      </c>
      <c r="BG22" s="345">
        <f t="shared" si="2"/>
        <v>0.50594479787234037</v>
      </c>
      <c r="BH22" s="345">
        <f>Table16[[#This Row],[IQ Loss]]+Table16[[#This Row],[Switching Current Loss]]</f>
        <v>0.90131200000000011</v>
      </c>
      <c r="BI22"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8.7178130597768693</v>
      </c>
      <c r="BJ22" s="253">
        <f>Vout*Table16[[#This Row],[Iout]]</f>
        <v>128</v>
      </c>
      <c r="BK22" s="684">
        <f>Table16[[#This Row],[Pout]]/(Table16[[#This Row],[Pout]]+Table16[[#This Row],[Total Loss]])</f>
        <v>0.93623498749233802</v>
      </c>
      <c r="BL22"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137.82934642703043</v>
      </c>
      <c r="BM22" s="685">
        <f>IF(Table16[[#This Row],[Vin]]&gt;Vout, Table16[[#This Row],[Total Sync Bu MOSFET Loss]]*ThetaJA_Q2, ThetaJA_Q3*Table16[[#This Row],[Total Sync Bo MOSFET Loss]])</f>
        <v>74.790765181858262</v>
      </c>
      <c r="BN22" s="640"/>
      <c r="BO22" s="292">
        <f>Table16[[#This Row],[EFF, h]]*100</f>
        <v>93.623498749233804</v>
      </c>
      <c r="BP22" s="345">
        <f>Table16[[#This Row],[Total Inductor Loss]]</f>
        <v>2.1898489311341311</v>
      </c>
      <c r="BQ22" s="345">
        <f>Table16[[#This Row],[Total Control Bu MOSFET Loss]]+Table16[[#This Row],[Total Sync Bu MOSFET Loss]]+Table16[[#This Row],[Total Control Bo MOSFET Loss]]+Table16[[#This Row],[Total Sync Bo MOSFET Loss]]+Table16[[#This Row],[Reverse Recovery Loss MOSFET D BUCK]]+Table16[[#This Row],[Reverse Recovery Loss MOSFET D BOOST]]</f>
        <v>4.6494160583672084</v>
      </c>
      <c r="BR22" s="345">
        <f>Table16[[#This Row],[Total Control Bu MOSFET Loss]]+Table16[[#This Row],[Reverse Recovery Loss MOSFET D BUCK]]*0.66</f>
        <v>1.3783374182304597</v>
      </c>
      <c r="BS22" s="345">
        <f>Table16[[#This Row],[Total Sync Bu MOSFET Loss]]+Table16[[#This Row],[Reverse Recovery Loss MOSFET D BUCK]]*0.33</f>
        <v>0</v>
      </c>
      <c r="BT22" s="345">
        <f xml:space="preserve"> Table16[[#This Row],[Total Control Bo MOSFET Loss]]+Table16[[#This Row],[Reverse Recovery Loss MOSFET D BOOST]]*0.66</f>
        <v>1.9992047634927759</v>
      </c>
      <c r="BU22" s="345">
        <f xml:space="preserve"> Table16[[#This Row],[Total Sync Bo MOSFET Loss]]+Table16[[#This Row],[Reverse Recovery Loss MOSFET D BOOST]]*0.33</f>
        <v>1.2683077966439731</v>
      </c>
      <c r="BV22" s="345">
        <f>Table16[[#This Row],[Isense Shunt Loss]]</f>
        <v>0.19256223448706131</v>
      </c>
      <c r="CB22" s="686"/>
      <c r="CC22" s="686"/>
    </row>
    <row r="23" spans="1:92" ht="13.6" x14ac:dyDescent="0.25">
      <c r="A23" s="698" t="s">
        <v>89</v>
      </c>
      <c r="B23" s="694">
        <f>RCinEsr*1000</f>
        <v>2</v>
      </c>
      <c r="C23" s="695" t="s">
        <v>601</v>
      </c>
      <c r="D23" s="255" t="s">
        <v>616</v>
      </c>
      <c r="G23" s="253">
        <v>14</v>
      </c>
      <c r="H23" s="286">
        <f>VIN_min+(VIN_max-VIN_min)*(Table16[[#This Row],[Step]]/200)</f>
        <v>8.1</v>
      </c>
      <c r="I23" s="292" t="str">
        <f>IF(Mode = 2,IF(Table16[[#This Row],[Vin]]&gt;Vout, "BUCK","BOOST"),IF(Table16[[#This Row],[Vin]]&gt;VIN_BB_to_buck, "BUCK", IF(Table16[[#This Row],[Vin]]&lt;=VIN_boost_to_BB,"BOOST","BUCK-BST")))</f>
        <v>BOOST</v>
      </c>
      <c r="J23" s="253">
        <f>IF(Table16[[#This Row],[Mode]]="BOOST",2, IF(Table16[[#This Row],[Mode]]="BUCK", 1,3))</f>
        <v>2</v>
      </c>
      <c r="K23" s="253">
        <f t="shared" si="0"/>
        <v>8</v>
      </c>
      <c r="L23" s="292">
        <f>Vout*Table16[[#This Row],[Iout]]/(Table16[[#This Row],[Vin]]*Efficiency)</f>
        <v>16.634178037686812</v>
      </c>
      <c r="M23" s="682">
        <f>MIN(1/Fsw,CHOOSE(Table16[[#This Row],[Mode Digit]],(Vout+(Rdson2+Rs+Rdcr)*Table16[[#This Row],[Iout]])/(Table16[[#This Row],[Vin]]+(Rs+Rdson2-Rdson1)*Table16[[#This Row],[Iout]])/Fsw,(Vout+(Rdson3+Rdcr)*Table16[[#This Row],[Iin]]-Table16[[#This Row],[Vin]])/(Vout+(Rdson3-Rdson4-Rs)*Table16[[#This Row],[Iin]])/Fsw,t1_Ph_II))</f>
        <v>1.2597819308917386E-6</v>
      </c>
      <c r="N23" s="518">
        <f>CHOOSE(Table16[[#This Row],[Mode Digit]],1/Fsw-Table16[[#This Row],[t1_Ph_II]],1/Fsw-Table16[[#This Row],[t1_Ph_II]],(Vout/Fsw-Table16[[#This Row],[Vin]]*t1_Ph_II)/(Table16[[#This Row],[Vin]]+Vout))</f>
        <v>1.2527808831786133E-6</v>
      </c>
      <c r="O23" s="518">
        <f>1/Fsw-(Table16[[#This Row],[t1_Ph_II]]+Table16[[#This Row],[t2_Ph_I]])</f>
        <v>0</v>
      </c>
      <c r="P23"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13.799668693180401</v>
      </c>
      <c r="Q23" s="292">
        <f>CHOOSE(Table16[[#This Row],[Mode Digit]],Table16[[#This Row],[I_0]]+1/Lf*(Table16[[#This Row],[Vin]]-Vout)*Table16[[#This Row],[t1_Ph_II]],Table16[[#This Row],[I_0]]+1/Lf*Table16[[#This Row],[Vin]]*Table16[[#This Row],[t1_Ph_II]],Table16[[#This Row],[I_0]]+(Table16[[#This Row],[Vin]]-Vout)/L*Table16[[#This Row],[t1_Ph_II]])</f>
        <v>19.468687382193224</v>
      </c>
      <c r="R23" s="292">
        <f>CHOOSE(Table16[[#This Row],[Mode Digit]],0,0,Table16[[#This Row],[I_1]]+Table16[[#This Row],[Vin]]/L*Table16[[#This Row],[t2_Ph_I]])</f>
        <v>0</v>
      </c>
      <c r="S23" s="292">
        <f>Fsw*(Table16[[#This Row],[I_0]]*Table16[[#This Row],[t1_Ph_II]]+Table16[[#This Row],[I_1]]*Table16[[#This Row],[t2_Ph_I]]+Table16[[#This Row],[I_2]]*Table16[[#This Row],[t3_Ph_III]])</f>
        <v>16.626279912691466</v>
      </c>
      <c r="T23" s="345">
        <f>MIN(1,CHOOSE(Table16[[#This Row],[Mode Digit]],(Vout+(Rdson2+Rs+Rdcr)*Table16[[#This Row],[Iout]])/(Table16[[#This Row],[Vin]]+(Rs+Rdson2-Rdson1)*Table16[[#This Row],[Iout]]),1,Fsw*Table16[[#This Row],[t2_Ph_I]]+Table16[[#This Row],[t1_Ph_II]]))</f>
        <v>1</v>
      </c>
      <c r="U23" s="345">
        <f>MIN(1,CHOOSE(Table16[[#This Row],[Mode Digit]],0,(Vout+(Rdson3+Rdcr)*Table16[[#This Row],[Iin]]-Table16[[#This Row],[Vin]])/(Vout+(Rdson3-Rdson4-Rs)*Table16[[#This Row],[Iin]]),Fsw*Table16[[#This Row],[t1_Ph_II]]+Table16[[#This Row],[t3_Ph_III]]))</f>
        <v>0.50139320849491198</v>
      </c>
      <c r="V23" s="292">
        <f>MAX(Table16[[#This Row],[I_0]:[I_2]])-MIN(Table16[[#This Row],[I_0]:[I_1]])</f>
        <v>5.6690186890128231</v>
      </c>
      <c r="W23"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16.714485535930415</v>
      </c>
      <c r="X23" s="345">
        <f>(Table16[[#This Row],[Irms Lf]]^2*Rdcr*(1+Ltc*Ta-Ltc*25))/(1-Table16[[#This Row],[Irms Lf]]^2*Rdcr*Ltc*ThetaCa)</f>
        <v>0.96286042309508058</v>
      </c>
      <c r="Y23" s="345">
        <f>ABS(7.759*10^-3*Fsw^0.9458*(0.00787*Table16[[#This Row],[Ripple Current pk-pk]])^2.304)</f>
        <v>1.1873619306876111</v>
      </c>
      <c r="Z23" s="345">
        <f>Table16[[#This Row],[DCR    Loss]]+Table16[[#This Row],[Core Loss]]</f>
        <v>2.1502223537826914</v>
      </c>
      <c r="AA23" s="292">
        <f>IF(Table16[[#This Row],[Vin]]&gt;Vout, Table16[[#This Row],[Ripple Current pk-pk]]/SQRT(12), SQRT(Table16[[#This Row],[Duty Cycle BOOST Leg]]/(1-Table16[[#This Row],[Duty Cycle BOOST Leg]]))*SQRT(Table16[[#This Row],[Iout]]^2+(Table16[[#This Row],[Ripple Current pk-pk]]^2)/12))</f>
        <v>8.1884535949184141</v>
      </c>
      <c r="AB23" s="345">
        <f>RCoutEsr*Table16[[#This Row],[Irms Cout]]^2</f>
        <v>0.13410154455226458</v>
      </c>
      <c r="AC23" s="345">
        <f>Table16[[#This Row],[Cout ESR Loss]]</f>
        <v>0.13410154455226458</v>
      </c>
      <c r="AD23" s="345">
        <f>IF(Table16[[#This Row],[Vin]]&gt;Vout, SQRT(Table16[[#This Row],[Duty Cycle BUCK Leg]]*(1-Table16[[#This Row],[Duty Cycle BUCK Leg]]))*SQRT(Table16[[#This Row],[Iout]]^2+(Table16[[#This Row],[Ripple Current pk-pk]]^2)/12), Table16[[#This Row],[Ripple Current pk-pk]]/SQRT(12))</f>
        <v>1.6365047330712865</v>
      </c>
      <c r="AE23" s="345">
        <f>RCinEsr*Table16[[#This Row],[Irms Cin]]^2</f>
        <v>5.3562954827294455E-3</v>
      </c>
      <c r="AF23" s="683">
        <f>Table16[[#This Row],[Cin ESR Loss]]</f>
        <v>5.3562954827294455E-3</v>
      </c>
      <c r="AG23"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16.714485535930415</v>
      </c>
      <c r="AH23" s="345">
        <f>Rdson1*Table16[[#This Row],[Irms BuCtrl]]^2</f>
        <v>0.97780909355789469</v>
      </c>
      <c r="AI23" s="345">
        <f>CHOOSE(Table16[[#This Row],[Mode Digit]], (Table16[[#This Row],[Vin]]*Table16[[#This Row],[Iout]]/2)*(Fsw)*(Tr_buck+Tf_buck), 0, (Table16[[#This Row],[Vin]]*Table16[[#This Row],[Avg IL]]/2)*(Fsw/1)*(Tr_buck+Tf_buck))</f>
        <v>0</v>
      </c>
      <c r="AJ23" s="253">
        <f>IF(Table16[[#This Row],[Vin]]&gt;Vout, IF(Table16[[#This Row],[Iout]]&gt;Table16[[#This Row],[Ripple Current pk-pk]]/2,0,ABS(Table16[[#This Row],[Iout]]-Table16[[#This Row],[Ripple Current pk-pk]]/2)*Vsd_Q1*Deadtime*Fsw),0)</f>
        <v>0</v>
      </c>
      <c r="AK23" s="345">
        <f>(Table16[[#This Row],[Dead Time Loss BuCtrl]]+Table16[[#This Row],[Transition Loss BuCtrl]]+Table16[[#This Row],[RDS(on) Loss BuCtrl]]*(1+RdsonTopTc*Ta-RdsonTopTc*25))/(1-Table16[[#This Row],[RDS(on) Loss BuCtrl]]*RdsonTopTc*ThetaJA_Q1)</f>
        <v>1.3111409298300856</v>
      </c>
      <c r="AL23" s="345">
        <f>CHOOSE(Table16[[#This Row],[Mode Digit]],SQRT((Fsw*(Table16[[#This Row],[t2_Ph_I]]+0))*((Table16[[#This Row],[I_0]]*Table16[[#This Row],[I_1]]+((Table16[[#This Row],[I_0]]-Table16[[#This Row],[I_1]])^2)/3))),0,SQRT((Fsw*(Table16[[#This Row],[t3_Ph_III]]+0))*((Table16[[#This Row],[I_0]]*Table16[[#This Row],[I_2]]+((Table16[[#This Row],[I_0]]-Table16[[#This Row],[I_2]])^2)/3))))</f>
        <v>0</v>
      </c>
      <c r="AM23" s="345">
        <f>Rdson2*Table16[[#This Row],[Irms BuSync]]^2</f>
        <v>0</v>
      </c>
      <c r="AN23"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23" s="345">
        <f>(Table16[[#This Row],[Deadtime Loss BuSync]]+Table16[[#This Row],[RDS(on) Loss BuSync]]*(1+RdsonBotTc*Ta-RdsonBotTc*25))/(1-Table16[[#This Row],[RDS(on) Loss BuSync]]*RdsonBotTc*ThetaJA_Q2)</f>
        <v>0</v>
      </c>
      <c r="AP23" s="345">
        <f>CHOOSE(Table16[[#This Row],[Mode Digit]],0,SQRT((Fsw*(Table16[[#This Row],[t1_Ph_II]]+0))*((Table16[[#This Row],[I_0]]*Table16[[#This Row],[I_1]]+((Table16[[#This Row],[I_0]]-Table16[[#This Row],[I_1]])^2)/3))),SQRT((Fsw*(Table16[[#This Row],[t2_Ph_I]]+0))*((Table16[[#This Row],[I_1]]*Table16[[#This Row],[I_2]]+((Table16[[#This Row],[I_1]]-Table16[[#This Row],[I_2]])^2)/3))))</f>
        <v>11.83538084020589</v>
      </c>
      <c r="AQ23" s="345">
        <f>Rdson4*Table16[[#This Row],[Irms BoCtlr]]^2</f>
        <v>0.49026683871449434</v>
      </c>
      <c r="AR23" s="345">
        <f>CHOOSE(Table16[[#This Row],[Mode Digit]], 0, (Vout*Table16[[#This Row],[Iin]]/2)*(Fsw)*(Tr_boost+Tf_boost), (Vout*Iout/2)*(Fsw/1)*(Tr_boost+Tf_boost))</f>
        <v>0.98899172733800744</v>
      </c>
      <c r="AS23" s="253">
        <f>IF(Table16[[#This Row],[Vin]]&gt;Vout, 0, IF(Table16[[#This Row],[Iin]]&gt;Table16[[#This Row],[Ripple Current pk-pk]]/2,0,ABS(Table16[[#This Row],[Iin]]-Table16[[#This Row],[Ripple Current pk-pk]]/2)*Vsd_Q4*Deadtime*Fsw))</f>
        <v>0</v>
      </c>
      <c r="AT23" s="345">
        <f>(Table16[[#This Row],[Dead Time Loss BoCtlr]]+Table16[[#This Row],[Transition Loss BoCtlr]]+Table16[[#This Row],[RDS(on) Loss BoCtlr]]*(1+RdsonTopTc*Ta-RdsonTopTc*25))/(1-Table16[[#This Row],[RDS(on) Loss BoCtlr]]*RdsonTopTc*ThetaJA_Q4)</f>
        <v>1.6953657887367573</v>
      </c>
      <c r="AU23"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11.802448351851169</v>
      </c>
      <c r="AV23" s="345">
        <f>Rdson3*Table16[[#This Row],[Irms BoSync]]^2</f>
        <v>0.48754225484340025</v>
      </c>
      <c r="AW23"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0.49653021442495127</v>
      </c>
      <c r="AX23" s="345">
        <f>(Table16[[#This Row],[Deadtime Loss BoSync]]+Table16[[#This Row],[RDS(on) Loss BoSync]]*(1+RdsonBotTc*Ta-RdsonBotTc*25))/(1-Table16[[#This Row],[RDS(on) Loss BoSync]]*RdsonBotTc*ThetaJA_Q3)</f>
        <v>1.1269222444068956</v>
      </c>
      <c r="AY23" s="345">
        <f>CHOOSE(Table16[[#This Row],[Mode Digit]], Rdson3*Table16[[#This Row],[Irms Lf]]^2, Rdson1*Table16[[#This Row],[Irms Lf]]^2, 0)</f>
        <v>0.97780909355789469</v>
      </c>
      <c r="AZ23" s="345">
        <f>CHOOSE(Table16[[#This Row],[Mode Digit]], 2*Deadtime*Fsw*IF(VfdSky_Q2&gt;0,VfdSky_Q2,0)*Table16[[#This Row],[Iout]], 2*Deadtime*Fsw*IF(VfdSky_Q3&gt;0,VfdSky_Q3,0)*Table16[[#This Row],[Iin]], 2*Deadtime*Fsw*IF(VfdSky_Q2&gt;0,VfdSky_Q2,0)*Table16[[#This Row],[Iout]]+2*Deadtime*Fsw*IF(VfdSky_Q3&gt;0,VfdSky_Q3,0)*Table16[[#This Row],[Iin]])</f>
        <v>0</v>
      </c>
      <c r="BA23" s="345">
        <f>CHOOSE(Table16[[#This Row],[Mode Digit]], IF(QrrSky_Q2&gt;0,QrrSky_Q2,Qrr_Q2)*Fsw*(Table16[[#This Row],[Vin]]-Table16[[#This Row],[Iout]]*Rdson1),0,  IF(QrrSky_Q2&gt;0,QrrSky_Q2,Qrr_Q2)*Fsw*(Table16[[#This Row],[Vin]]-Table16[[#This Row],[Iout]]*Rdson1)+IF(QrrSky_Q3&gt;0,QrrSky_Q3,Qrr_Q3)*Fsw*Vout)</f>
        <v>0</v>
      </c>
      <c r="BB23" s="345">
        <f>CHOOSE(Table16[[#This Row],[Mode Digit]],0, IF(QrrSky_Q3&gt;0,QrrSky_Q3,Qrr_Q3)*Fsw*Vout,  IF(QrrSky_Q2&gt;0,QrrSky_Q2,Qrr_Q2)*Fsw*(Table16[[#This Row],[Vin]]-Table16[[#This Row],[Iout]]*Rdson1)+IF(QrrSky_Q3&gt;0,QrrSky_Q3,Qrr_Q3)*Fsw*Vout)</f>
        <v>0.35660799999999998</v>
      </c>
      <c r="BC23" s="345">
        <f>CHOOSE(Table16[[#This Row],[Mode Digit]], Rs*Table16[[#This Row],[Irms BuSync]]^2, Rs*Table16[[#This Row],[Irms BoCtlr]]^2, Rs*(Table16[[#This Row],[Irms BuSync]]^2+Table16[[#This Row],[Irms BoCtlr]]^2))</f>
        <v>0.18209911152252645</v>
      </c>
      <c r="BD23" s="345">
        <f t="shared" si="1"/>
        <v>0.64</v>
      </c>
      <c r="BE23" s="345">
        <f>IF(Vout&gt;8, Iq*Vout, Iq*Table16[[#This Row],[Vin]])</f>
        <v>4.8000000000000001E-2</v>
      </c>
      <c r="BF23" s="345">
        <f>CHOOSE(Table16[[#This Row],[Mode Digit]], (Qg_Q1+Qg_Q2)*Fsw, (Qg_Q3+Qg_Q4)*Fsw, (Qg_Q1+Qg_Q2+Qg_Q3+Qg_Q4)*Fsw)*IF(Vout&gt;8, Vout, Table16[[#This Row],[Vin]])</f>
        <v>0.85331200000000007</v>
      </c>
      <c r="BG23" s="345">
        <f t="shared" si="2"/>
        <v>0.50594479787234037</v>
      </c>
      <c r="BH23" s="345">
        <f>Table16[[#This Row],[IQ Loss]]+Table16[[#This Row],[Switching Current Loss]]</f>
        <v>0.90131200000000011</v>
      </c>
      <c r="BI23"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8.5031282683139509</v>
      </c>
      <c r="BJ23" s="253">
        <f>Vout*Table16[[#This Row],[Iout]]</f>
        <v>128</v>
      </c>
      <c r="BK23" s="684">
        <f>Table16[[#This Row],[Pout]]/(Table16[[#This Row],[Pout]]+Table16[[#This Row],[Total Loss]])</f>
        <v>0.93770744761541291</v>
      </c>
      <c r="BL23"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133.3782962678892</v>
      </c>
      <c r="BM23" s="685">
        <f>IF(Table16[[#This Row],[Vin]]&gt;Vout, Table16[[#This Row],[Total Sync Bu MOSFET Loss]]*ThetaJA_Q2, ThetaJA_Q3*Table16[[#This Row],[Total Sync Bo MOSFET Loss]])</f>
        <v>73.249945886448216</v>
      </c>
      <c r="BN23" s="640"/>
      <c r="BO23" s="292">
        <f>Table16[[#This Row],[EFF, h]]*100</f>
        <v>93.770744761541295</v>
      </c>
      <c r="BP23" s="345">
        <f>Table16[[#This Row],[Total Inductor Loss]]</f>
        <v>2.1502223537826914</v>
      </c>
      <c r="BQ23" s="345">
        <f>Table16[[#This Row],[Total Control Bu MOSFET Loss]]+Table16[[#This Row],[Total Sync Bu MOSFET Loss]]+Table16[[#This Row],[Total Control Bo MOSFET Loss]]+Table16[[#This Row],[Total Sync Bo MOSFET Loss]]+Table16[[#This Row],[Reverse Recovery Loss MOSFET D BUCK]]+Table16[[#This Row],[Reverse Recovery Loss MOSFET D BOOST]]</f>
        <v>4.490036962973738</v>
      </c>
      <c r="BR23" s="345">
        <f>Table16[[#This Row],[Total Control Bu MOSFET Loss]]+Table16[[#This Row],[Reverse Recovery Loss MOSFET D BUCK]]*0.66</f>
        <v>1.3111409298300856</v>
      </c>
      <c r="BS23" s="345">
        <f>Table16[[#This Row],[Total Sync Bu MOSFET Loss]]+Table16[[#This Row],[Reverse Recovery Loss MOSFET D BUCK]]*0.33</f>
        <v>0</v>
      </c>
      <c r="BT23" s="345">
        <f xml:space="preserve"> Table16[[#This Row],[Total Control Bo MOSFET Loss]]+Table16[[#This Row],[Reverse Recovery Loss MOSFET D BOOST]]*0.66</f>
        <v>1.9307270687367573</v>
      </c>
      <c r="BU23" s="345">
        <f xml:space="preserve"> Table16[[#This Row],[Total Sync Bo MOSFET Loss]]+Table16[[#This Row],[Reverse Recovery Loss MOSFET D BOOST]]*0.33</f>
        <v>1.2446028844068957</v>
      </c>
      <c r="BV23" s="345">
        <f>Table16[[#This Row],[Isense Shunt Loss]]</f>
        <v>0.18209911152252645</v>
      </c>
      <c r="CB23" s="686"/>
      <c r="CC23" s="686"/>
    </row>
    <row r="24" spans="1:92" x14ac:dyDescent="0.2">
      <c r="A24" s="692" t="s">
        <v>27</v>
      </c>
      <c r="B24" s="694">
        <f>Cout*1000000</f>
        <v>130</v>
      </c>
      <c r="C24" s="259" t="s">
        <v>602</v>
      </c>
      <c r="D24" s="255" t="s">
        <v>619</v>
      </c>
      <c r="G24" s="253">
        <v>15</v>
      </c>
      <c r="H24" s="286">
        <f>VIN_min+(VIN_max-VIN_min)*(Table16[[#This Row],[Step]]/200)</f>
        <v>8.25</v>
      </c>
      <c r="I24" s="292" t="str">
        <f>IF(Mode = 2,IF(Table16[[#This Row],[Vin]]&gt;Vout, "BUCK","BOOST"),IF(Table16[[#This Row],[Vin]]&gt;VIN_BB_to_buck, "BUCK", IF(Table16[[#This Row],[Vin]]&lt;=VIN_boost_to_BB,"BOOST","BUCK-BST")))</f>
        <v>BOOST</v>
      </c>
      <c r="J24" s="253">
        <f>IF(Table16[[#This Row],[Mode]]="BOOST",2, IF(Table16[[#This Row],[Mode]]="BUCK", 1,3))</f>
        <v>2</v>
      </c>
      <c r="K24" s="253">
        <f t="shared" si="0"/>
        <v>8</v>
      </c>
      <c r="L24" s="292">
        <f>Vout*Table16[[#This Row],[Iout]]/(Table16[[#This Row],[Vin]]*Efficiency)</f>
        <v>16.331738437001597</v>
      </c>
      <c r="M24" s="682">
        <f>MIN(1/Fsw,CHOOSE(Table16[[#This Row],[Mode Digit]],(Vout+(Rdson2+Rs+Rdcr)*Table16[[#This Row],[Iout]])/(Table16[[#This Row],[Vin]]+(Rs+Rdson2-Rdson1)*Table16[[#This Row],[Iout]])/Fsw,(Vout+(Rdson3+Rdcr)*Table16[[#This Row],[Iin]]-Table16[[#This Row],[Vin]])/(Vout+(Rdson3-Rdson4-Rs)*Table16[[#This Row],[Iin]])/Fsw,t1_Ph_II))</f>
        <v>1.235845727885637E-6</v>
      </c>
      <c r="N24" s="518">
        <f>CHOOSE(Table16[[#This Row],[Mode Digit]],1/Fsw-Table16[[#This Row],[t1_Ph_II]],1/Fsw-Table16[[#This Row],[t1_Ph_II]],(Vout/Fsw-Table16[[#This Row],[Vin]]*t1_Ph_II)/(Table16[[#This Row],[Vin]]+Vout))</f>
        <v>1.2767170861847149E-6</v>
      </c>
      <c r="O24" s="518">
        <f>1/Fsw-(Table16[[#This Row],[t1_Ph_II]]+Table16[[#This Row],[t2_Ph_I]])</f>
        <v>0</v>
      </c>
      <c r="P24"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13.49959197726368</v>
      </c>
      <c r="Q24" s="292">
        <f>CHOOSE(Table16[[#This Row],[Mode Digit]],Table16[[#This Row],[I_0]]+1/Lf*(Table16[[#This Row],[Vin]]-Vout)*Table16[[#This Row],[t1_Ph_II]],Table16[[#This Row],[I_0]]+1/Lf*Table16[[#This Row],[Vin]]*Table16[[#This Row],[t1_Ph_II]],Table16[[#This Row],[I_0]]+(Table16[[#This Row],[Vin]]-Vout)/L*Table16[[#This Row],[t1_Ph_II]])</f>
        <v>19.163884896739518</v>
      </c>
      <c r="R24" s="292">
        <f>CHOOSE(Table16[[#This Row],[Mode Digit]],0,0,Table16[[#This Row],[I_1]]+Table16[[#This Row],[Vin]]/L*Table16[[#This Row],[t2_Ph_I]])</f>
        <v>0</v>
      </c>
      <c r="S24" s="292">
        <f>Fsw*(Table16[[#This Row],[I_0]]*Table16[[#This Row],[t1_Ph_II]]+Table16[[#This Row],[I_1]]*Table16[[#This Row],[t2_Ph_I]]+Table16[[#This Row],[I_2]]*Table16[[#This Row],[t3_Ph_III]])</f>
        <v>16.377808398740743</v>
      </c>
      <c r="T24" s="345">
        <f>MIN(1,CHOOSE(Table16[[#This Row],[Mode Digit]],(Vout+(Rdson2+Rs+Rdcr)*Table16[[#This Row],[Iout]])/(Table16[[#This Row],[Vin]]+(Rs+Rdson2-Rdson1)*Table16[[#This Row],[Iout]]),1,Fsw*Table16[[#This Row],[t2_Ph_I]]+Table16[[#This Row],[t1_Ph_II]]))</f>
        <v>1</v>
      </c>
      <c r="U24" s="345">
        <f>MIN(1,CHOOSE(Table16[[#This Row],[Mode Digit]],0,(Vout+(Rdson3+Rdcr)*Table16[[#This Row],[Iin]]-Table16[[#This Row],[Vin]])/(Vout+(Rdson3-Rdson4-Rs)*Table16[[#This Row],[Iin]]),Fsw*Table16[[#This Row],[t1_Ph_II]]+Table16[[#This Row],[t3_Ph_III]]))</f>
        <v>0.49186659969848351</v>
      </c>
      <c r="V24" s="292">
        <f>MAX(Table16[[#This Row],[I_0]:[I_2]])-MIN(Table16[[#This Row],[I_0]:[I_1]])</f>
        <v>5.6642929194758374</v>
      </c>
      <c r="W24"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16.413389805209974</v>
      </c>
      <c r="X24" s="345">
        <f>(Table16[[#This Row],[Irms Lf]]^2*Rdcr*(1+Ltc*Ta-Ltc*25))/(1-Table16[[#This Row],[Irms Lf]]^2*Rdcr*Ltc*ThetaCa)</f>
        <v>0.92593631113681307</v>
      </c>
      <c r="Y24" s="345">
        <f>ABS(7.759*10^-3*Fsw^0.9458*(0.00787*Table16[[#This Row],[Ripple Current pk-pk]])^2.304)</f>
        <v>1.1850826691875496</v>
      </c>
      <c r="Z24" s="345">
        <f>Table16[[#This Row],[DCR    Loss]]+Table16[[#This Row],[Core Loss]]</f>
        <v>2.1110189803243626</v>
      </c>
      <c r="AA24" s="292">
        <f>IF(Table16[[#This Row],[Vin]]&gt;Vout, Table16[[#This Row],[Ripple Current pk-pk]]/SQRT(12), SQRT(Table16[[#This Row],[Duty Cycle BOOST Leg]]/(1-Table16[[#This Row],[Duty Cycle BOOST Leg]]))*SQRT(Table16[[#This Row],[Iout]]^2+(Table16[[#This Row],[Ripple Current pk-pk]]^2)/12))</f>
        <v>8.0336336462705056</v>
      </c>
      <c r="AB24" s="345">
        <f>RCoutEsr*Table16[[#This Row],[Irms Cout]]^2</f>
        <v>0.12907853912497907</v>
      </c>
      <c r="AC24" s="345">
        <f>Table16[[#This Row],[Cout ESR Loss]]</f>
        <v>0.12907853912497907</v>
      </c>
      <c r="AD24" s="345">
        <f>IF(Table16[[#This Row],[Vin]]&gt;Vout, SQRT(Table16[[#This Row],[Duty Cycle BUCK Leg]]*(1-Table16[[#This Row],[Duty Cycle BUCK Leg]]))*SQRT(Table16[[#This Row],[Iout]]^2+(Table16[[#This Row],[Ripple Current pk-pk]]^2)/12), Table16[[#This Row],[Ripple Current pk-pk]]/SQRT(12))</f>
        <v>1.635140520914133</v>
      </c>
      <c r="AE24" s="345">
        <f>RCinEsr*Table16[[#This Row],[Irms Cin]]^2</f>
        <v>5.3473690462706846E-3</v>
      </c>
      <c r="AF24" s="683">
        <f>Table16[[#This Row],[Cin ESR Loss]]</f>
        <v>5.3473690462706846E-3</v>
      </c>
      <c r="AG24"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16.413389805209974</v>
      </c>
      <c r="AH24" s="345">
        <f>Rdson1*Table16[[#This Row],[Irms BuCtrl]]^2</f>
        <v>0.94289777714219736</v>
      </c>
      <c r="AI24" s="345">
        <f>CHOOSE(Table16[[#This Row],[Mode Digit]], (Table16[[#This Row],[Vin]]*Table16[[#This Row],[Iout]]/2)*(Fsw)*(Tr_buck+Tf_buck), 0, (Table16[[#This Row],[Vin]]*Table16[[#This Row],[Avg IL]]/2)*(Fsw/1)*(Tr_buck+Tf_buck))</f>
        <v>0</v>
      </c>
      <c r="AJ24" s="253">
        <f>IF(Table16[[#This Row],[Vin]]&gt;Vout, IF(Table16[[#This Row],[Iout]]&gt;Table16[[#This Row],[Ripple Current pk-pk]]/2,0,ABS(Table16[[#This Row],[Iout]]-Table16[[#This Row],[Ripple Current pk-pk]]/2)*Vsd_Q1*Deadtime*Fsw),0)</f>
        <v>0</v>
      </c>
      <c r="AK24" s="345">
        <f>(Table16[[#This Row],[Dead Time Loss BuCtrl]]+Table16[[#This Row],[Transition Loss BuCtrl]]+Table16[[#This Row],[RDS(on) Loss BuCtrl]]*(1+RdsonTopTc*Ta-RdsonTopTc*25))/(1-Table16[[#This Row],[RDS(on) Loss BuCtrl]]*RdsonTopTc*ThetaJA_Q1)</f>
        <v>1.2491250602362294</v>
      </c>
      <c r="AL24" s="345">
        <f>CHOOSE(Table16[[#This Row],[Mode Digit]],SQRT((Fsw*(Table16[[#This Row],[t2_Ph_I]]+0))*((Table16[[#This Row],[I_0]]*Table16[[#This Row],[I_1]]+((Table16[[#This Row],[I_0]]-Table16[[#This Row],[I_1]])^2)/3))),0,SQRT((Fsw*(Table16[[#This Row],[t3_Ph_III]]+0))*((Table16[[#This Row],[I_0]]*Table16[[#This Row],[I_2]]+((Table16[[#This Row],[I_0]]-Table16[[#This Row],[I_2]])^2)/3))))</f>
        <v>0</v>
      </c>
      <c r="AM24" s="345">
        <f>Rdson2*Table16[[#This Row],[Irms BuSync]]^2</f>
        <v>0</v>
      </c>
      <c r="AN24"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24" s="345">
        <f>(Table16[[#This Row],[Deadtime Loss BuSync]]+Table16[[#This Row],[RDS(on) Loss BuSync]]*(1+RdsonBotTc*Ta-RdsonBotTc*25))/(1-Table16[[#This Row],[RDS(on) Loss BuSync]]*RdsonBotTc*ThetaJA_Q2)</f>
        <v>0</v>
      </c>
      <c r="AP24" s="345">
        <f>CHOOSE(Table16[[#This Row],[Mode Digit]],0,SQRT((Fsw*(Table16[[#This Row],[t1_Ph_II]]+0))*((Table16[[#This Row],[I_0]]*Table16[[#This Row],[I_1]]+((Table16[[#This Row],[I_0]]-Table16[[#This Row],[I_1]])^2)/3))),SQRT((Fsw*(Table16[[#This Row],[t2_Ph_I]]+0))*((Table16[[#This Row],[I_1]]*Table16[[#This Row],[I_2]]+((Table16[[#This Row],[I_1]]-Table16[[#This Row],[I_2]])^2)/3))))</f>
        <v>11.511235796959312</v>
      </c>
      <c r="AQ24" s="345">
        <f>Rdson4*Table16[[#This Row],[Irms BoCtlr]]^2</f>
        <v>0.46377992350619118</v>
      </c>
      <c r="AR24" s="345">
        <f>CHOOSE(Table16[[#This Row],[Mode Digit]], 0, (Vout*Table16[[#This Row],[Iin]]/2)*(Fsw)*(Tr_boost+Tf_boost), (Vout*Iout/2)*(Fsw/1)*(Tr_boost+Tf_boost))</f>
        <v>0.97101005956822561</v>
      </c>
      <c r="AS24" s="253">
        <f>IF(Table16[[#This Row],[Vin]]&gt;Vout, 0, IF(Table16[[#This Row],[Iin]]&gt;Table16[[#This Row],[Ripple Current pk-pk]]/2,0,ABS(Table16[[#This Row],[Iin]]-Table16[[#This Row],[Ripple Current pk-pk]]/2)*Vsd_Q4*Deadtime*Fsw))</f>
        <v>0</v>
      </c>
      <c r="AT24" s="345">
        <f>(Table16[[#This Row],[Dead Time Loss BoCtlr]]+Table16[[#This Row],[Transition Loss BoCtlr]]+Table16[[#This Row],[RDS(on) Loss BoCtlr]]*(1+RdsonTopTc*Ta-RdsonTopTc*25))/(1-Table16[[#This Row],[RDS(on) Loss BoCtlr]]*RdsonTopTc*ThetaJA_Q4)</f>
        <v>1.6315236393216301</v>
      </c>
      <c r="AU24"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11.700034842878599</v>
      </c>
      <c r="AV24" s="345">
        <f>Rdson3*Table16[[#This Row],[Irms BoSync]]^2</f>
        <v>0.4791178536360064</v>
      </c>
      <c r="AW24"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0.4875023923444976</v>
      </c>
      <c r="AX24" s="345">
        <f>(Table16[[#This Row],[Deadtime Loss BoSync]]+Table16[[#This Row],[RDS(on) Loss BoSync]]*(1+RdsonBotTc*Ta-RdsonBotTc*25))/(1-Table16[[#This Row],[RDS(on) Loss BoSync]]*RdsonBotTc*ThetaJA_Q3)</f>
        <v>1.1041670433905808</v>
      </c>
      <c r="AY24" s="345">
        <f>CHOOSE(Table16[[#This Row],[Mode Digit]], Rdson3*Table16[[#This Row],[Irms Lf]]^2, Rdson1*Table16[[#This Row],[Irms Lf]]^2, 0)</f>
        <v>0.94289777714219736</v>
      </c>
      <c r="AZ24" s="345">
        <f>CHOOSE(Table16[[#This Row],[Mode Digit]], 2*Deadtime*Fsw*IF(VfdSky_Q2&gt;0,VfdSky_Q2,0)*Table16[[#This Row],[Iout]], 2*Deadtime*Fsw*IF(VfdSky_Q3&gt;0,VfdSky_Q3,0)*Table16[[#This Row],[Iin]], 2*Deadtime*Fsw*IF(VfdSky_Q2&gt;0,VfdSky_Q2,0)*Table16[[#This Row],[Iout]]+2*Deadtime*Fsw*IF(VfdSky_Q3&gt;0,VfdSky_Q3,0)*Table16[[#This Row],[Iin]])</f>
        <v>0</v>
      </c>
      <c r="BA24" s="345">
        <f>CHOOSE(Table16[[#This Row],[Mode Digit]], IF(QrrSky_Q2&gt;0,QrrSky_Q2,Qrr_Q2)*Fsw*(Table16[[#This Row],[Vin]]-Table16[[#This Row],[Iout]]*Rdson1),0,  IF(QrrSky_Q2&gt;0,QrrSky_Q2,Qrr_Q2)*Fsw*(Table16[[#This Row],[Vin]]-Table16[[#This Row],[Iout]]*Rdson1)+IF(QrrSky_Q3&gt;0,QrrSky_Q3,Qrr_Q3)*Fsw*Vout)</f>
        <v>0</v>
      </c>
      <c r="BB24" s="345">
        <f>CHOOSE(Table16[[#This Row],[Mode Digit]],0, IF(QrrSky_Q3&gt;0,QrrSky_Q3,Qrr_Q3)*Fsw*Vout,  IF(QrrSky_Q2&gt;0,QrrSky_Q2,Qrr_Q2)*Fsw*(Table16[[#This Row],[Vin]]-Table16[[#This Row],[Iout]]*Rdson1)+IF(QrrSky_Q3&gt;0,QrrSky_Q3,Qrr_Q3)*Fsw*Vout)</f>
        <v>0.35660799999999998</v>
      </c>
      <c r="BC24" s="345">
        <f>CHOOSE(Table16[[#This Row],[Mode Digit]], Rs*Table16[[#This Row],[Irms BuSync]]^2, Rs*Table16[[#This Row],[Irms BoCtlr]]^2, Rs*(Table16[[#This Row],[Irms BuSync]]^2+Table16[[#This Row],[Irms BoCtlr]]^2))</f>
        <v>0.17226111444515671</v>
      </c>
      <c r="BD24" s="345">
        <f t="shared" si="1"/>
        <v>0.64</v>
      </c>
      <c r="BE24" s="345">
        <f>IF(Vout&gt;8, Iq*Vout, Iq*Table16[[#This Row],[Vin]])</f>
        <v>4.8000000000000001E-2</v>
      </c>
      <c r="BF24" s="345">
        <f>CHOOSE(Table16[[#This Row],[Mode Digit]], (Qg_Q1+Qg_Q2)*Fsw, (Qg_Q3+Qg_Q4)*Fsw, (Qg_Q1+Qg_Q2+Qg_Q3+Qg_Q4)*Fsw)*IF(Vout&gt;8, Vout, Table16[[#This Row],[Vin]])</f>
        <v>0.85331200000000007</v>
      </c>
      <c r="BG24" s="345">
        <f t="shared" si="2"/>
        <v>0.50594479787234037</v>
      </c>
      <c r="BH24" s="345">
        <f>Table16[[#This Row],[IQ Loss]]+Table16[[#This Row],[Switching Current Loss]]</f>
        <v>0.90131200000000011</v>
      </c>
      <c r="BI24"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8.3004417458892092</v>
      </c>
      <c r="BJ24" s="253">
        <f>Vout*Table16[[#This Row],[Iout]]</f>
        <v>128</v>
      </c>
      <c r="BK24" s="684">
        <f>Table16[[#This Row],[Pout]]/(Table16[[#This Row],[Pout]]+Table16[[#This Row],[Total Loss]])</f>
        <v>0.93910187201473583</v>
      </c>
      <c r="BL24"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129.22855655590595</v>
      </c>
      <c r="BM24" s="685">
        <f>IF(Table16[[#This Row],[Vin]]&gt;Vout, Table16[[#This Row],[Total Sync Bu MOSFET Loss]]*ThetaJA_Q2, ThetaJA_Q3*Table16[[#This Row],[Total Sync Bo MOSFET Loss]])</f>
        <v>71.770857820387747</v>
      </c>
      <c r="BN24" s="640"/>
      <c r="BO24" s="292">
        <f>Table16[[#This Row],[EFF, h]]*100</f>
        <v>93.910187201473576</v>
      </c>
      <c r="BP24" s="345">
        <f>Table16[[#This Row],[Total Inductor Loss]]</f>
        <v>2.1110189803243626</v>
      </c>
      <c r="BQ24" s="345">
        <f>Table16[[#This Row],[Total Control Bu MOSFET Loss]]+Table16[[#This Row],[Total Sync Bu MOSFET Loss]]+Table16[[#This Row],[Total Control Bo MOSFET Loss]]+Table16[[#This Row],[Total Sync Bo MOSFET Loss]]+Table16[[#This Row],[Reverse Recovery Loss MOSFET D BUCK]]+Table16[[#This Row],[Reverse Recovery Loss MOSFET D BOOST]]</f>
        <v>4.3414237429484404</v>
      </c>
      <c r="BR24" s="345">
        <f>Table16[[#This Row],[Total Control Bu MOSFET Loss]]+Table16[[#This Row],[Reverse Recovery Loss MOSFET D BUCK]]*0.66</f>
        <v>1.2491250602362294</v>
      </c>
      <c r="BS24" s="345">
        <f>Table16[[#This Row],[Total Sync Bu MOSFET Loss]]+Table16[[#This Row],[Reverse Recovery Loss MOSFET D BUCK]]*0.33</f>
        <v>0</v>
      </c>
      <c r="BT24" s="345">
        <f xml:space="preserve"> Table16[[#This Row],[Total Control Bo MOSFET Loss]]+Table16[[#This Row],[Reverse Recovery Loss MOSFET D BOOST]]*0.66</f>
        <v>1.8668849193216301</v>
      </c>
      <c r="BU24" s="345">
        <f xml:space="preserve"> Table16[[#This Row],[Total Sync Bo MOSFET Loss]]+Table16[[#This Row],[Reverse Recovery Loss MOSFET D BOOST]]*0.33</f>
        <v>1.2218476833905809</v>
      </c>
      <c r="BV24" s="345">
        <f>Table16[[#This Row],[Isense Shunt Loss]]</f>
        <v>0.17226111444515671</v>
      </c>
      <c r="CB24" s="686"/>
      <c r="CC24" s="686"/>
    </row>
    <row r="25" spans="1:92" ht="13.6" x14ac:dyDescent="0.25">
      <c r="A25" s="692" t="s">
        <v>88</v>
      </c>
      <c r="B25" s="700">
        <f>CoutEsr*1000</f>
        <v>2</v>
      </c>
      <c r="C25" s="695" t="s">
        <v>601</v>
      </c>
      <c r="D25" s="255" t="s">
        <v>618</v>
      </c>
      <c r="G25" s="253">
        <v>16</v>
      </c>
      <c r="H25" s="286">
        <f>VIN_min+(VIN_max-VIN_min)*(Table16[[#This Row],[Step]]/200)</f>
        <v>8.4</v>
      </c>
      <c r="I25" s="292" t="str">
        <f>IF(Mode = 2,IF(Table16[[#This Row],[Vin]]&gt;Vout, "BUCK","BOOST"),IF(Table16[[#This Row],[Vin]]&gt;VIN_BB_to_buck, "BUCK", IF(Table16[[#This Row],[Vin]]&lt;=VIN_boost_to_BB,"BOOST","BUCK-BST")))</f>
        <v>BOOST</v>
      </c>
      <c r="J25" s="253">
        <f>IF(Table16[[#This Row],[Mode]]="BOOST",2, IF(Table16[[#This Row],[Mode]]="BUCK", 1,3))</f>
        <v>2</v>
      </c>
      <c r="K25" s="253">
        <f t="shared" si="0"/>
        <v>8</v>
      </c>
      <c r="L25" s="292">
        <f>Vout*Table16[[#This Row],[Iout]]/(Table16[[#This Row],[Vin]]*Efficiency)</f>
        <v>16.040100250626569</v>
      </c>
      <c r="M25" s="682">
        <f>MIN(1/Fsw,CHOOSE(Table16[[#This Row],[Mode Digit]],(Vout+(Rdson2+Rs+Rdcr)*Table16[[#This Row],[Iout]])/(Table16[[#This Row],[Vin]]+(Rs+Rdson2-Rdson1)*Table16[[#This Row],[Iout]])/Fsw,(Vout+(Rdson3+Rdcr)*Table16[[#This Row],[Iin]]-Table16[[#This Row],[Vin]])/(Vout+(Rdson3-Rdson4-Rs)*Table16[[#This Row],[Iin]])/Fsw,t1_Ph_II))</f>
        <v>1.2119231471551692E-6</v>
      </c>
      <c r="N25" s="518">
        <f>CHOOSE(Table16[[#This Row],[Mode Digit]],1/Fsw-Table16[[#This Row],[t1_Ph_II]],1/Fsw-Table16[[#This Row],[t1_Ph_II]],(Vout/Fsw-Table16[[#This Row],[Vin]]*t1_Ph_II)/(Table16[[#This Row],[Vin]]+Vout))</f>
        <v>1.3006396669151827E-6</v>
      </c>
      <c r="O25" s="518">
        <f>1/Fsw-(Table16[[#This Row],[t1_Ph_II]]+Table16[[#This Row],[t2_Ph_I]])</f>
        <v>0</v>
      </c>
      <c r="P25"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13.212279573931175</v>
      </c>
      <c r="Q25" s="292">
        <f>CHOOSE(Table16[[#This Row],[Mode Digit]],Table16[[#This Row],[I_0]]+1/Lf*(Table16[[#This Row],[Vin]]-Vout)*Table16[[#This Row],[t1_Ph_II]],Table16[[#This Row],[I_0]]+1/Lf*Table16[[#This Row],[Vin]]*Table16[[#This Row],[t1_Ph_II]],Table16[[#This Row],[I_0]]+(Table16[[#This Row],[Vin]]-Vout)/L*Table16[[#This Row],[t1_Ph_II]])</f>
        <v>18.867920927321965</v>
      </c>
      <c r="R25" s="292">
        <f>CHOOSE(Table16[[#This Row],[Mode Digit]],0,0,Table16[[#This Row],[I_1]]+Table16[[#This Row],[Vin]]/L*Table16[[#This Row],[t2_Ph_I]])</f>
        <v>0</v>
      </c>
      <c r="S25" s="292">
        <f>Fsw*(Table16[[#This Row],[I_0]]*Table16[[#This Row],[t1_Ph_II]]+Table16[[#This Row],[I_1]]*Table16[[#This Row],[t2_Ph_I]]+Table16[[#This Row],[I_2]]*Table16[[#This Row],[t3_Ph_III]])</f>
        <v>16.139948265385414</v>
      </c>
      <c r="T25" s="345">
        <f>MIN(1,CHOOSE(Table16[[#This Row],[Mode Digit]],(Vout+(Rdson2+Rs+Rdcr)*Table16[[#This Row],[Iout]])/(Table16[[#This Row],[Vin]]+(Rs+Rdson2-Rdson1)*Table16[[#This Row],[Iout]]),1,Fsw*Table16[[#This Row],[t2_Ph_I]]+Table16[[#This Row],[t1_Ph_II]]))</f>
        <v>1</v>
      </c>
      <c r="U25" s="345">
        <f>MIN(1,CHOOSE(Table16[[#This Row],[Mode Digit]],0,(Vout+(Rdson3+Rdcr)*Table16[[#This Row],[Iin]]-Table16[[#This Row],[Vin]])/(Vout+(Rdson3-Rdson4-Rs)*Table16[[#This Row],[Iin]]),Fsw*Table16[[#This Row],[t1_Ph_II]]+Table16[[#This Row],[t3_Ph_III]]))</f>
        <v>0.48234541256775737</v>
      </c>
      <c r="V25" s="292">
        <f>MAX(Table16[[#This Row],[I_0]:[I_2]])-MIN(Table16[[#This Row],[I_0]:[I_1]])</f>
        <v>5.6556413533907897</v>
      </c>
      <c r="W25"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16.122975510432287</v>
      </c>
      <c r="X25" s="345">
        <f>(Table16[[#This Row],[Irms Lf]]^2*Rdcr*(1+Ltc*Ta-Ltc*25))/(1-Table16[[#This Row],[Irms Lf]]^2*Rdcr*Ltc*ThetaCa)</f>
        <v>0.89114432266932797</v>
      </c>
      <c r="Y25" s="345">
        <f>ABS(7.759*10^-3*Fsw^0.9458*(0.00787*Table16[[#This Row],[Ripple Current pk-pk]])^2.304)</f>
        <v>1.1809163983015842</v>
      </c>
      <c r="Z25" s="345">
        <f>Table16[[#This Row],[DCR    Loss]]+Table16[[#This Row],[Core Loss]]</f>
        <v>2.0720607209709123</v>
      </c>
      <c r="AA25" s="292">
        <f>IF(Table16[[#This Row],[Vin]]&gt;Vout, Table16[[#This Row],[Ripple Current pk-pk]]/SQRT(12), SQRT(Table16[[#This Row],[Duty Cycle BOOST Leg]]/(1-Table16[[#This Row],[Duty Cycle BOOST Leg]]))*SQRT(Table16[[#This Row],[Iout]]^2+(Table16[[#This Row],[Ripple Current pk-pk]]^2)/12))</f>
        <v>7.8815146802422662</v>
      </c>
      <c r="AB25" s="345">
        <f>RCoutEsr*Table16[[#This Row],[Irms Cout]]^2</f>
        <v>0.1242365473097487</v>
      </c>
      <c r="AC25" s="345">
        <f>Table16[[#This Row],[Cout ESR Loss]]</f>
        <v>0.1242365473097487</v>
      </c>
      <c r="AD25" s="345">
        <f>IF(Table16[[#This Row],[Vin]]&gt;Vout, SQRT(Table16[[#This Row],[Duty Cycle BUCK Leg]]*(1-Table16[[#This Row],[Duty Cycle BUCK Leg]]))*SQRT(Table16[[#This Row],[Iout]]^2+(Table16[[#This Row],[Ripple Current pk-pk]]^2)/12), Table16[[#This Row],[Ripple Current pk-pk]]/SQRT(12))</f>
        <v>1.632643028910076</v>
      </c>
      <c r="AE25" s="345">
        <f>RCinEsr*Table16[[#This Row],[Irms Cin]]^2</f>
        <v>5.3310465196973337E-3</v>
      </c>
      <c r="AF25" s="683">
        <f>Table16[[#This Row],[Cin ESR Loss]]</f>
        <v>5.3310465196973337E-3</v>
      </c>
      <c r="AG25"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16.122975510432287</v>
      </c>
      <c r="AH25" s="345">
        <f>Rdson1*Table16[[#This Row],[Irms BuCtrl]]^2</f>
        <v>0.90982618758499745</v>
      </c>
      <c r="AI25" s="345">
        <f>CHOOSE(Table16[[#This Row],[Mode Digit]], (Table16[[#This Row],[Vin]]*Table16[[#This Row],[Iout]]/2)*(Fsw)*(Tr_buck+Tf_buck), 0, (Table16[[#This Row],[Vin]]*Table16[[#This Row],[Avg IL]]/2)*(Fsw/1)*(Tr_buck+Tf_buck))</f>
        <v>0</v>
      </c>
      <c r="AJ25" s="253">
        <f>IF(Table16[[#This Row],[Vin]]&gt;Vout, IF(Table16[[#This Row],[Iout]]&gt;Table16[[#This Row],[Ripple Current pk-pk]]/2,0,ABS(Table16[[#This Row],[Iout]]-Table16[[#This Row],[Ripple Current pk-pk]]/2)*Vsd_Q1*Deadtime*Fsw),0)</f>
        <v>0</v>
      </c>
      <c r="AK25" s="345">
        <f>(Table16[[#This Row],[Dead Time Loss BuCtrl]]+Table16[[#This Row],[Transition Loss BuCtrl]]+Table16[[#This Row],[RDS(on) Loss BuCtrl]]*(1+RdsonTopTc*Ta-RdsonTopTc*25))/(1-Table16[[#This Row],[RDS(on) Loss BuCtrl]]*RdsonTopTc*ThetaJA_Q1)</f>
        <v>1.1917374004565571</v>
      </c>
      <c r="AL25" s="345">
        <f>CHOOSE(Table16[[#This Row],[Mode Digit]],SQRT((Fsw*(Table16[[#This Row],[t2_Ph_I]]+0))*((Table16[[#This Row],[I_0]]*Table16[[#This Row],[I_1]]+((Table16[[#This Row],[I_0]]-Table16[[#This Row],[I_1]])^2)/3))),0,SQRT((Fsw*(Table16[[#This Row],[t3_Ph_III]]+0))*((Table16[[#This Row],[I_0]]*Table16[[#This Row],[I_2]]+((Table16[[#This Row],[I_0]]-Table16[[#This Row],[I_2]])^2)/3))))</f>
        <v>0</v>
      </c>
      <c r="AM25" s="345">
        <f>Rdson2*Table16[[#This Row],[Irms BuSync]]^2</f>
        <v>0</v>
      </c>
      <c r="AN25"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25" s="345">
        <f>(Table16[[#This Row],[Deadtime Loss BuSync]]+Table16[[#This Row],[RDS(on) Loss BuSync]]*(1+RdsonBotTc*Ta-RdsonBotTc*25))/(1-Table16[[#This Row],[RDS(on) Loss BuSync]]*RdsonBotTc*ThetaJA_Q2)</f>
        <v>0</v>
      </c>
      <c r="AP25" s="345">
        <f>CHOOSE(Table16[[#This Row],[Mode Digit]],0,SQRT((Fsw*(Table16[[#This Row],[t1_Ph_II]]+0))*((Table16[[#This Row],[I_0]]*Table16[[#This Row],[I_1]]+((Table16[[#This Row],[I_0]]-Table16[[#This Row],[I_1]])^2)/3))),SQRT((Fsw*(Table16[[#This Row],[t2_Ph_I]]+0))*((Table16[[#This Row],[I_1]]*Table16[[#This Row],[I_2]]+((Table16[[#This Row],[I_1]]-Table16[[#This Row],[I_2]])^2)/3))))</f>
        <v>11.19758249184216</v>
      </c>
      <c r="AQ25" s="345">
        <f>Rdson4*Table16[[#This Row],[Irms BoCtlr]]^2</f>
        <v>0.43885048781563529</v>
      </c>
      <c r="AR25" s="345">
        <f>CHOOSE(Table16[[#This Row],[Mode Digit]], 0, (Vout*Table16[[#This Row],[Iin]]/2)*(Fsw)*(Tr_boost+Tf_boost), (Vout*Iout/2)*(Fsw/1)*(Tr_boost+Tf_boost))</f>
        <v>0.95367059421879297</v>
      </c>
      <c r="AS25" s="253">
        <f>IF(Table16[[#This Row],[Vin]]&gt;Vout, 0, IF(Table16[[#This Row],[Iin]]&gt;Table16[[#This Row],[Ripple Current pk-pk]]/2,0,ABS(Table16[[#This Row],[Iin]]-Table16[[#This Row],[Ripple Current pk-pk]]/2)*Vsd_Q4*Deadtime*Fsw))</f>
        <v>0</v>
      </c>
      <c r="AT25" s="345">
        <f>(Table16[[#This Row],[Dead Time Loss BoCtlr]]+Table16[[#This Row],[Transition Loss BoCtlr]]+Table16[[#This Row],[RDS(on) Loss BoCtlr]]*(1+RdsonTopTc*Ta-RdsonTopTc*25))/(1-Table16[[#This Row],[RDS(on) Loss BoCtlr]]*RdsonTopTc*ThetaJA_Q4)</f>
        <v>1.5718736350288325</v>
      </c>
      <c r="AU25"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11.600193345302014</v>
      </c>
      <c r="AV25" s="345">
        <f>Rdson3*Table16[[#This Row],[Irms BoSync]]^2</f>
        <v>0.47097569976936188</v>
      </c>
      <c r="AW25"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0.478796992481203</v>
      </c>
      <c r="AX25" s="345">
        <f>(Table16[[#This Row],[Deadtime Loss BoSync]]+Table16[[#This Row],[RDS(on) Loss BoSync]]*(1+RdsonBotTc*Ta-RdsonBotTc*25))/(1-Table16[[#This Row],[RDS(on) Loss BoSync]]*RdsonBotTc*ThetaJA_Q3)</f>
        <v>1.082304913944911</v>
      </c>
      <c r="AY25" s="345">
        <f>CHOOSE(Table16[[#This Row],[Mode Digit]], Rdson3*Table16[[#This Row],[Irms Lf]]^2, Rdson1*Table16[[#This Row],[Irms Lf]]^2, 0)</f>
        <v>0.90982618758499745</v>
      </c>
      <c r="AZ25" s="345">
        <f>CHOOSE(Table16[[#This Row],[Mode Digit]], 2*Deadtime*Fsw*IF(VfdSky_Q2&gt;0,VfdSky_Q2,0)*Table16[[#This Row],[Iout]], 2*Deadtime*Fsw*IF(VfdSky_Q3&gt;0,VfdSky_Q3,0)*Table16[[#This Row],[Iin]], 2*Deadtime*Fsw*IF(VfdSky_Q2&gt;0,VfdSky_Q2,0)*Table16[[#This Row],[Iout]]+2*Deadtime*Fsw*IF(VfdSky_Q3&gt;0,VfdSky_Q3,0)*Table16[[#This Row],[Iin]])</f>
        <v>0</v>
      </c>
      <c r="BA25" s="345">
        <f>CHOOSE(Table16[[#This Row],[Mode Digit]], IF(QrrSky_Q2&gt;0,QrrSky_Q2,Qrr_Q2)*Fsw*(Table16[[#This Row],[Vin]]-Table16[[#This Row],[Iout]]*Rdson1),0,  IF(QrrSky_Q2&gt;0,QrrSky_Q2,Qrr_Q2)*Fsw*(Table16[[#This Row],[Vin]]-Table16[[#This Row],[Iout]]*Rdson1)+IF(QrrSky_Q3&gt;0,QrrSky_Q3,Qrr_Q3)*Fsw*Vout)</f>
        <v>0</v>
      </c>
      <c r="BB25" s="345">
        <f>CHOOSE(Table16[[#This Row],[Mode Digit]],0, IF(QrrSky_Q3&gt;0,QrrSky_Q3,Qrr_Q3)*Fsw*Vout,  IF(QrrSky_Q2&gt;0,QrrSky_Q2,Qrr_Q2)*Fsw*(Table16[[#This Row],[Vin]]-Table16[[#This Row],[Iout]]*Rdson1)+IF(QrrSky_Q3&gt;0,QrrSky_Q3,Qrr_Q3)*Fsw*Vout)</f>
        <v>0.35660799999999998</v>
      </c>
      <c r="BC25" s="345">
        <f>CHOOSE(Table16[[#This Row],[Mode Digit]], Rs*Table16[[#This Row],[Irms BuSync]]^2, Rs*Table16[[#This Row],[Irms BoCtlr]]^2, Rs*(Table16[[#This Row],[Irms BuSync]]^2+Table16[[#This Row],[Irms BoCtlr]]^2))</f>
        <v>0.16300160976009309</v>
      </c>
      <c r="BD25" s="345">
        <f t="shared" si="1"/>
        <v>0.64</v>
      </c>
      <c r="BE25" s="345">
        <f>IF(Vout&gt;8, Iq*Vout, Iq*Table16[[#This Row],[Vin]])</f>
        <v>4.8000000000000001E-2</v>
      </c>
      <c r="BF25" s="345">
        <f>CHOOSE(Table16[[#This Row],[Mode Digit]], (Qg_Q1+Qg_Q2)*Fsw, (Qg_Q3+Qg_Q4)*Fsw, (Qg_Q1+Qg_Q2+Qg_Q3+Qg_Q4)*Fsw)*IF(Vout&gt;8, Vout, Table16[[#This Row],[Vin]])</f>
        <v>0.85331200000000007</v>
      </c>
      <c r="BG25" s="345">
        <f t="shared" si="2"/>
        <v>0.50594479787234037</v>
      </c>
      <c r="BH25" s="345">
        <f>Table16[[#This Row],[IQ Loss]]+Table16[[#This Row],[Switching Current Loss]]</f>
        <v>0.90131200000000011</v>
      </c>
      <c r="BI25"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8.1084658739907525</v>
      </c>
      <c r="BJ25" s="253">
        <f>Vout*Table16[[#This Row],[Iout]]</f>
        <v>128</v>
      </c>
      <c r="BK25" s="684">
        <f>Table16[[#This Row],[Pout]]/(Table16[[#This Row],[Pout]]+Table16[[#This Row],[Total Loss]])</f>
        <v>0.94042643988436714</v>
      </c>
      <c r="BL25"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125.35130627687411</v>
      </c>
      <c r="BM25" s="685">
        <f>IF(Table16[[#This Row],[Vin]]&gt;Vout, Table16[[#This Row],[Total Sync Bu MOSFET Loss]]*ThetaJA_Q2, ThetaJA_Q3*Table16[[#This Row],[Total Sync Bo MOSFET Loss]])</f>
        <v>70.349819406419215</v>
      </c>
      <c r="BN25" s="640"/>
      <c r="BO25" s="292">
        <f>Table16[[#This Row],[EFF, h]]*100</f>
        <v>94.042643988436708</v>
      </c>
      <c r="BP25" s="345">
        <f>Table16[[#This Row],[Total Inductor Loss]]</f>
        <v>2.0720607209709123</v>
      </c>
      <c r="BQ25" s="345">
        <f>Table16[[#This Row],[Total Control Bu MOSFET Loss]]+Table16[[#This Row],[Total Sync Bu MOSFET Loss]]+Table16[[#This Row],[Total Control Bo MOSFET Loss]]+Table16[[#This Row],[Total Sync Bo MOSFET Loss]]+Table16[[#This Row],[Reverse Recovery Loss MOSFET D BUCK]]+Table16[[#This Row],[Reverse Recovery Loss MOSFET D BOOST]]</f>
        <v>4.2025239494303008</v>
      </c>
      <c r="BR25" s="345">
        <f>Table16[[#This Row],[Total Control Bu MOSFET Loss]]+Table16[[#This Row],[Reverse Recovery Loss MOSFET D BUCK]]*0.66</f>
        <v>1.1917374004565571</v>
      </c>
      <c r="BS25" s="345">
        <f>Table16[[#This Row],[Total Sync Bu MOSFET Loss]]+Table16[[#This Row],[Reverse Recovery Loss MOSFET D BUCK]]*0.33</f>
        <v>0</v>
      </c>
      <c r="BT25" s="345">
        <f xml:space="preserve"> Table16[[#This Row],[Total Control Bo MOSFET Loss]]+Table16[[#This Row],[Reverse Recovery Loss MOSFET D BOOST]]*0.66</f>
        <v>1.8072349150288325</v>
      </c>
      <c r="BU25" s="345">
        <f xml:space="preserve"> Table16[[#This Row],[Total Sync Bo MOSFET Loss]]+Table16[[#This Row],[Reverse Recovery Loss MOSFET D BOOST]]*0.33</f>
        <v>1.1999855539449111</v>
      </c>
      <c r="BV25" s="345">
        <f>Table16[[#This Row],[Isense Shunt Loss]]</f>
        <v>0.16300160976009309</v>
      </c>
      <c r="BZ25" s="253" t="s">
        <v>149</v>
      </c>
      <c r="CA25" s="253" t="s">
        <v>4</v>
      </c>
      <c r="CB25" s="253" t="s">
        <v>6</v>
      </c>
      <c r="CC25" s="253" t="s">
        <v>5</v>
      </c>
      <c r="CD25" s="253" t="s">
        <v>150</v>
      </c>
      <c r="CE25" s="253" t="s">
        <v>151</v>
      </c>
    </row>
    <row r="26" spans="1:92" ht="13.6" x14ac:dyDescent="0.25">
      <c r="A26" s="688" t="s">
        <v>114</v>
      </c>
      <c r="B26" s="701" t="s">
        <v>113</v>
      </c>
      <c r="C26" s="688" t="s">
        <v>80</v>
      </c>
      <c r="D26" s="681" t="s">
        <v>109</v>
      </c>
      <c r="G26" s="253">
        <v>17</v>
      </c>
      <c r="H26" s="286">
        <f>VIN_min+(VIN_max-VIN_min)*(Table16[[#This Row],[Step]]/200)</f>
        <v>8.5500000000000007</v>
      </c>
      <c r="I26" s="292" t="str">
        <f>IF(Mode = 2,IF(Table16[[#This Row],[Vin]]&gt;Vout, "BUCK","BOOST"),IF(Table16[[#This Row],[Vin]]&gt;VIN_BB_to_buck, "BUCK", IF(Table16[[#This Row],[Vin]]&lt;=VIN_boost_to_BB,"BOOST","BUCK-BST")))</f>
        <v>BOOST</v>
      </c>
      <c r="J26" s="253">
        <f>IF(Table16[[#This Row],[Mode]]="BOOST",2, IF(Table16[[#This Row],[Mode]]="BUCK", 1,3))</f>
        <v>2</v>
      </c>
      <c r="K26" s="253">
        <f t="shared" si="0"/>
        <v>8</v>
      </c>
      <c r="L26" s="292">
        <f>Vout*Table16[[#This Row],[Iout]]/(Table16[[#This Row],[Vin]]*Efficiency)</f>
        <v>15.758694983071713</v>
      </c>
      <c r="M26" s="682">
        <f>MIN(1/Fsw,CHOOSE(Table16[[#This Row],[Mode Digit]],(Vout+(Rdson2+Rs+Rdcr)*Table16[[#This Row],[Iout]])/(Table16[[#This Row],[Vin]]+(Rs+Rdson2-Rdson1)*Table16[[#This Row],[Iout]])/Fsw,(Vout+(Rdson3+Rdcr)*Table16[[#This Row],[Iin]]-Table16[[#This Row],[Vin]])/(Vout+(Rdson3-Rdson4-Rs)*Table16[[#This Row],[Iin]])/Fsw,t1_Ph_II))</f>
        <v>1.1880134708192903E-6</v>
      </c>
      <c r="N26" s="518">
        <f>CHOOSE(Table16[[#This Row],[Mode Digit]],1/Fsw-Table16[[#This Row],[t1_Ph_II]],1/Fsw-Table16[[#This Row],[t1_Ph_II]],(Vout/Fsw-Table16[[#This Row],[Vin]]*t1_Ph_II)/(Table16[[#This Row],[Vin]]+Vout))</f>
        <v>1.3245493432510616E-6</v>
      </c>
      <c r="O26" s="518">
        <f>1/Fsw-(Table16[[#This Row],[t1_Ph_II]]+Table16[[#This Row],[t2_Ph_I]])</f>
        <v>0</v>
      </c>
      <c r="P26"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12.937162989875898</v>
      </c>
      <c r="Q26" s="292">
        <f>CHOOSE(Table16[[#This Row],[Mode Digit]],Table16[[#This Row],[I_0]]+1/Lf*(Table16[[#This Row],[Vin]]-Vout)*Table16[[#This Row],[t1_Ph_II]],Table16[[#This Row],[I_0]]+1/Lf*Table16[[#This Row],[Vin]]*Table16[[#This Row],[t1_Ph_II]],Table16[[#This Row],[I_0]]+(Table16[[#This Row],[Vin]]-Vout)/L*Table16[[#This Row],[t1_Ph_II]])</f>
        <v>18.580226976267525</v>
      </c>
      <c r="R26" s="292">
        <f>CHOOSE(Table16[[#This Row],[Mode Digit]],0,0,Table16[[#This Row],[I_1]]+Table16[[#This Row],[Vin]]/L*Table16[[#This Row],[t2_Ph_I]])</f>
        <v>0</v>
      </c>
      <c r="S26" s="292">
        <f>Fsw*(Table16[[#This Row],[I_0]]*Table16[[#This Row],[t1_Ph_II]]+Table16[[#This Row],[I_1]]*Table16[[#This Row],[t2_Ph_I]]+Table16[[#This Row],[I_2]]*Table16[[#This Row],[t3_Ph_III]])</f>
        <v>15.912020635321198</v>
      </c>
      <c r="T26" s="345">
        <f>MIN(1,CHOOSE(Table16[[#This Row],[Mode Digit]],(Vout+(Rdson2+Rs+Rdcr)*Table16[[#This Row],[Iout]])/(Table16[[#This Row],[Vin]]+(Rs+Rdson2-Rdson1)*Table16[[#This Row],[Iout]]),1,Fsw*Table16[[#This Row],[t2_Ph_I]]+Table16[[#This Row],[t1_Ph_II]]))</f>
        <v>1</v>
      </c>
      <c r="U26" s="345">
        <f>MIN(1,CHOOSE(Table16[[#This Row],[Mode Digit]],0,(Vout+(Rdson3+Rdcr)*Table16[[#This Row],[Iin]]-Table16[[#This Row],[Vin]])/(Vout+(Rdson3-Rdson4-Rs)*Table16[[#This Row],[Iin]]),Fsw*Table16[[#This Row],[t1_Ph_II]]+Table16[[#This Row],[t3_Ph_III]]))</f>
        <v>0.47282936138607756</v>
      </c>
      <c r="V26" s="292">
        <f>MAX(Table16[[#This Row],[I_0]:[I_2]])-MIN(Table16[[#This Row],[I_0]:[I_1]])</f>
        <v>5.6430639863916277</v>
      </c>
      <c r="W26"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15.842668604090411</v>
      </c>
      <c r="X26" s="345">
        <f>(Table16[[#This Row],[Irms Lf]]^2*Rdcr*(1+Ltc*Ta-Ltc*25))/(1-Table16[[#This Row],[Irms Lf]]^2*Rdcr*Ltc*ThetaCa)</f>
        <v>0.85831841885320193</v>
      </c>
      <c r="Y26" s="345">
        <f>ABS(7.759*10^-3*Fsw^0.9458*(0.00787*Table16[[#This Row],[Ripple Current pk-pk]])^2.304)</f>
        <v>1.1748744156128461</v>
      </c>
      <c r="Z26" s="345">
        <f>Table16[[#This Row],[DCR    Loss]]+Table16[[#This Row],[Core Loss]]</f>
        <v>2.0331928344660479</v>
      </c>
      <c r="AA26" s="292">
        <f>IF(Table16[[#This Row],[Vin]]&gt;Vout, Table16[[#This Row],[Ripple Current pk-pk]]/SQRT(12), SQRT(Table16[[#This Row],[Duty Cycle BOOST Leg]]/(1-Table16[[#This Row],[Duty Cycle BOOST Leg]]))*SQRT(Table16[[#This Row],[Iout]]^2+(Table16[[#This Row],[Ripple Current pk-pk]]^2)/12))</f>
        <v>7.7319436603049869</v>
      </c>
      <c r="AB26" s="345">
        <f>RCoutEsr*Table16[[#This Row],[Irms Cout]]^2</f>
        <v>0.11956590553226096</v>
      </c>
      <c r="AC26" s="345">
        <f>Table16[[#This Row],[Cout ESR Loss]]</f>
        <v>0.11956590553226096</v>
      </c>
      <c r="AD26" s="345">
        <f>IF(Table16[[#This Row],[Vin]]&gt;Vout, SQRT(Table16[[#This Row],[Duty Cycle BUCK Leg]]*(1-Table16[[#This Row],[Duty Cycle BUCK Leg]]))*SQRT(Table16[[#This Row],[Iout]]^2+(Table16[[#This Row],[Ripple Current pk-pk]]^2)/12), Table16[[#This Row],[Ripple Current pk-pk]]/SQRT(12))</f>
        <v>1.6290122557987445</v>
      </c>
      <c r="AE26" s="345">
        <f>RCinEsr*Table16[[#This Row],[Irms Cin]]^2</f>
        <v>5.307361859085028E-3</v>
      </c>
      <c r="AF26" s="683">
        <f>Table16[[#This Row],[Cin ESR Loss]]</f>
        <v>5.307361859085028E-3</v>
      </c>
      <c r="AG26"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15.842668604090411</v>
      </c>
      <c r="AH26" s="345">
        <f>Rdson1*Table16[[#This Row],[Irms BuCtrl]]^2</f>
        <v>0.87846551974661213</v>
      </c>
      <c r="AI26" s="345">
        <f>CHOOSE(Table16[[#This Row],[Mode Digit]], (Table16[[#This Row],[Vin]]*Table16[[#This Row],[Iout]]/2)*(Fsw)*(Tr_buck+Tf_buck), 0, (Table16[[#This Row],[Vin]]*Table16[[#This Row],[Avg IL]]/2)*(Fsw/1)*(Tr_buck+Tf_buck))</f>
        <v>0</v>
      </c>
      <c r="AJ26" s="253">
        <f>IF(Table16[[#This Row],[Vin]]&gt;Vout, IF(Table16[[#This Row],[Iout]]&gt;Table16[[#This Row],[Ripple Current pk-pk]]/2,0,ABS(Table16[[#This Row],[Iout]]-Table16[[#This Row],[Ripple Current pk-pk]]/2)*Vsd_Q1*Deadtime*Fsw),0)</f>
        <v>0</v>
      </c>
      <c r="AK26" s="345">
        <f>(Table16[[#This Row],[Dead Time Loss BuCtrl]]+Table16[[#This Row],[Transition Loss BuCtrl]]+Table16[[#This Row],[RDS(on) Loss BuCtrl]]*(1+RdsonTopTc*Ta-RdsonTopTc*25))/(1-Table16[[#This Row],[RDS(on) Loss BuCtrl]]*RdsonTopTc*ThetaJA_Q1)</f>
        <v>1.1385001273288473</v>
      </c>
      <c r="AL26" s="345">
        <f>CHOOSE(Table16[[#This Row],[Mode Digit]],SQRT((Fsw*(Table16[[#This Row],[t2_Ph_I]]+0))*((Table16[[#This Row],[I_0]]*Table16[[#This Row],[I_1]]+((Table16[[#This Row],[I_0]]-Table16[[#This Row],[I_1]])^2)/3))),0,SQRT((Fsw*(Table16[[#This Row],[t3_Ph_III]]+0))*((Table16[[#This Row],[I_0]]*Table16[[#This Row],[I_2]]+((Table16[[#This Row],[I_0]]-Table16[[#This Row],[I_2]])^2)/3))))</f>
        <v>0</v>
      </c>
      <c r="AM26" s="345">
        <f>Rdson2*Table16[[#This Row],[Irms BuSync]]^2</f>
        <v>0</v>
      </c>
      <c r="AN26"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26" s="345">
        <f>(Table16[[#This Row],[Deadtime Loss BuSync]]+Table16[[#This Row],[RDS(on) Loss BuSync]]*(1+RdsonBotTc*Ta-RdsonBotTc*25))/(1-Table16[[#This Row],[RDS(on) Loss BuSync]]*RdsonBotTc*ThetaJA_Q2)</f>
        <v>0</v>
      </c>
      <c r="AP26" s="345">
        <f>CHOOSE(Table16[[#This Row],[Mode Digit]],0,SQRT((Fsw*(Table16[[#This Row],[t1_Ph_II]]+0))*((Table16[[#This Row],[I_0]]*Table16[[#This Row],[I_1]]+((Table16[[#This Row],[I_0]]-Table16[[#This Row],[I_1]])^2)/3))),SQRT((Fsw*(Table16[[#This Row],[t2_Ph_I]]+0))*((Table16[[#This Row],[I_1]]*Table16[[#This Row],[I_2]]+((Table16[[#This Row],[I_1]]-Table16[[#This Row],[I_2]])^2)/3))))</f>
        <v>10.893829061858558</v>
      </c>
      <c r="AQ26" s="345">
        <f>Rdson4*Table16[[#This Row],[Irms BoCtlr]]^2</f>
        <v>0.41536429070147934</v>
      </c>
      <c r="AR26" s="345">
        <f>CHOOSE(Table16[[#This Row],[Mode Digit]], 0, (Vout*Table16[[#This Row],[Iin]]/2)*(Fsw)*(Tr_boost+Tf_boost), (Vout*Iout/2)*(Fsw/1)*(Tr_boost+Tf_boost))</f>
        <v>0.93693953116232265</v>
      </c>
      <c r="AS26" s="253">
        <f>IF(Table16[[#This Row],[Vin]]&gt;Vout, 0, IF(Table16[[#This Row],[Iin]]&gt;Table16[[#This Row],[Ripple Current pk-pk]]/2,0,ABS(Table16[[#This Row],[Iin]]-Table16[[#This Row],[Ripple Current pk-pk]]/2)*Vsd_Q4*Deadtime*Fsw))</f>
        <v>0</v>
      </c>
      <c r="AT26" s="345">
        <f>(Table16[[#This Row],[Dead Time Loss BoCtlr]]+Table16[[#This Row],[Transition Loss BoCtlr]]+Table16[[#This Row],[RDS(on) Loss BoCtlr]]*(1+RdsonTopTc*Ta-RdsonTopTc*25))/(1-Table16[[#This Row],[RDS(on) Loss BoCtlr]]*RdsonTopTc*ThetaJA_Q4)</f>
        <v>1.5160266934368136</v>
      </c>
      <c r="AU26"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11.502809955399506</v>
      </c>
      <c r="AV26" s="345">
        <f>Rdson3*Table16[[#This Row],[Irms BoSync]]^2</f>
        <v>0.46310122904513296</v>
      </c>
      <c r="AW26"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0.47039704524469056</v>
      </c>
      <c r="AX26" s="345">
        <f>(Table16[[#This Row],[Deadtime Loss BoSync]]+Table16[[#This Row],[RDS(on) Loss BoSync]]*(1+RdsonBotTc*Ta-RdsonBotTc*25))/(1-Table16[[#This Row],[RDS(on) Loss BoSync]]*RdsonBotTc*ThetaJA_Q3)</f>
        <v>1.0612835165142236</v>
      </c>
      <c r="AY26" s="345">
        <f>CHOOSE(Table16[[#This Row],[Mode Digit]], Rdson3*Table16[[#This Row],[Irms Lf]]^2, Rdson1*Table16[[#This Row],[Irms Lf]]^2, 0)</f>
        <v>0.87846551974661213</v>
      </c>
      <c r="AZ26" s="345">
        <f>CHOOSE(Table16[[#This Row],[Mode Digit]], 2*Deadtime*Fsw*IF(VfdSky_Q2&gt;0,VfdSky_Q2,0)*Table16[[#This Row],[Iout]], 2*Deadtime*Fsw*IF(VfdSky_Q3&gt;0,VfdSky_Q3,0)*Table16[[#This Row],[Iin]], 2*Deadtime*Fsw*IF(VfdSky_Q2&gt;0,VfdSky_Q2,0)*Table16[[#This Row],[Iout]]+2*Deadtime*Fsw*IF(VfdSky_Q3&gt;0,VfdSky_Q3,0)*Table16[[#This Row],[Iin]])</f>
        <v>0</v>
      </c>
      <c r="BA26" s="345">
        <f>CHOOSE(Table16[[#This Row],[Mode Digit]], IF(QrrSky_Q2&gt;0,QrrSky_Q2,Qrr_Q2)*Fsw*(Table16[[#This Row],[Vin]]-Table16[[#This Row],[Iout]]*Rdson1),0,  IF(QrrSky_Q2&gt;0,QrrSky_Q2,Qrr_Q2)*Fsw*(Table16[[#This Row],[Vin]]-Table16[[#This Row],[Iout]]*Rdson1)+IF(QrrSky_Q3&gt;0,QrrSky_Q3,Qrr_Q3)*Fsw*Vout)</f>
        <v>0</v>
      </c>
      <c r="BB26" s="345">
        <f>CHOOSE(Table16[[#This Row],[Mode Digit]],0, IF(QrrSky_Q3&gt;0,QrrSky_Q3,Qrr_Q3)*Fsw*Vout,  IF(QrrSky_Q2&gt;0,QrrSky_Q2,Qrr_Q2)*Fsw*(Table16[[#This Row],[Vin]]-Table16[[#This Row],[Iout]]*Rdson1)+IF(QrrSky_Q3&gt;0,QrrSky_Q3,Qrr_Q3)*Fsw*Vout)</f>
        <v>0.35660799999999998</v>
      </c>
      <c r="BC26" s="345">
        <f>CHOOSE(Table16[[#This Row],[Mode Digit]], Rs*Table16[[#This Row],[Irms BuSync]]^2, Rs*Table16[[#This Row],[Irms BoCtlr]]^2, Rs*(Table16[[#This Row],[Irms BuSync]]^2+Table16[[#This Row],[Irms BoCtlr]]^2))</f>
        <v>0.15427816511769232</v>
      </c>
      <c r="BD26" s="345">
        <f t="shared" si="1"/>
        <v>0.64</v>
      </c>
      <c r="BE26" s="345">
        <f>IF(Vout&gt;8, Iq*Vout, Iq*Table16[[#This Row],[Vin]])</f>
        <v>4.8000000000000001E-2</v>
      </c>
      <c r="BF26" s="345">
        <f>CHOOSE(Table16[[#This Row],[Mode Digit]], (Qg_Q1+Qg_Q2)*Fsw, (Qg_Q3+Qg_Q4)*Fsw, (Qg_Q1+Qg_Q2+Qg_Q3+Qg_Q4)*Fsw)*IF(Vout&gt;8, Vout, Table16[[#This Row],[Vin]])</f>
        <v>0.85331200000000007</v>
      </c>
      <c r="BG26" s="345">
        <f t="shared" si="2"/>
        <v>0.50594479787234037</v>
      </c>
      <c r="BH26" s="345">
        <f>Table16[[#This Row],[IQ Loss]]+Table16[[#This Row],[Switching Current Loss]]</f>
        <v>0.90131200000000011</v>
      </c>
      <c r="BI26"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7.9260746042549703</v>
      </c>
      <c r="BJ26" s="253">
        <f>Vout*Table16[[#This Row],[Iout]]</f>
        <v>128</v>
      </c>
      <c r="BK26" s="684">
        <f>Table16[[#This Row],[Pout]]/(Table16[[#This Row],[Pout]]+Table16[[#This Row],[Total Loss]])</f>
        <v>0.94168834326061779</v>
      </c>
      <c r="BL26"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121.72125507339288</v>
      </c>
      <c r="BM26" s="685">
        <f>IF(Table16[[#This Row],[Vin]]&gt;Vout, Table16[[#This Row],[Total Sync Bu MOSFET Loss]]*ThetaJA_Q2, ThetaJA_Q3*Table16[[#This Row],[Total Sync Bo MOSFET Loss]])</f>
        <v>68.983428573424533</v>
      </c>
      <c r="BN26" s="640"/>
      <c r="BO26" s="292">
        <f>Table16[[#This Row],[EFF, h]]*100</f>
        <v>94.168834326061784</v>
      </c>
      <c r="BP26" s="345">
        <f>Table16[[#This Row],[Total Inductor Loss]]</f>
        <v>2.0331928344660479</v>
      </c>
      <c r="BQ26" s="345">
        <f>Table16[[#This Row],[Total Control Bu MOSFET Loss]]+Table16[[#This Row],[Total Sync Bu MOSFET Loss]]+Table16[[#This Row],[Total Control Bo MOSFET Loss]]+Table16[[#This Row],[Total Sync Bo MOSFET Loss]]+Table16[[#This Row],[Reverse Recovery Loss MOSFET D BUCK]]+Table16[[#This Row],[Reverse Recovery Loss MOSFET D BOOST]]</f>
        <v>4.0724183372798839</v>
      </c>
      <c r="BR26" s="345">
        <f>Table16[[#This Row],[Total Control Bu MOSFET Loss]]+Table16[[#This Row],[Reverse Recovery Loss MOSFET D BUCK]]*0.66</f>
        <v>1.1385001273288473</v>
      </c>
      <c r="BS26" s="345">
        <f>Table16[[#This Row],[Total Sync Bu MOSFET Loss]]+Table16[[#This Row],[Reverse Recovery Loss MOSFET D BUCK]]*0.33</f>
        <v>0</v>
      </c>
      <c r="BT26" s="345">
        <f xml:space="preserve"> Table16[[#This Row],[Total Control Bo MOSFET Loss]]+Table16[[#This Row],[Reverse Recovery Loss MOSFET D BOOST]]*0.66</f>
        <v>1.7513879734368136</v>
      </c>
      <c r="BU26" s="345">
        <f xml:space="preserve"> Table16[[#This Row],[Total Sync Bo MOSFET Loss]]+Table16[[#This Row],[Reverse Recovery Loss MOSFET D BOOST]]*0.33</f>
        <v>1.1789641565142235</v>
      </c>
      <c r="BV26" s="345">
        <f>Table16[[#This Row],[Isense Shunt Loss]]</f>
        <v>0.15427816511769232</v>
      </c>
      <c r="BZ26" s="253" t="s">
        <v>152</v>
      </c>
      <c r="CA26" s="253">
        <v>9.9989640000000009</v>
      </c>
      <c r="CB26" s="253">
        <v>0.1027</v>
      </c>
      <c r="CC26" s="253">
        <v>5.1211359999999999</v>
      </c>
      <c r="CD26" s="253">
        <v>61.870683235325004</v>
      </c>
      <c r="CE26" s="253">
        <v>324.12365701136014</v>
      </c>
    </row>
    <row r="27" spans="1:92" ht="13.6" x14ac:dyDescent="0.25">
      <c r="A27" s="690" t="s">
        <v>65</v>
      </c>
      <c r="B27" s="569">
        <f>RdsonDRT</f>
        <v>1.5</v>
      </c>
      <c r="C27" s="702" t="s">
        <v>118</v>
      </c>
      <c r="D27" s="255" t="s">
        <v>643</v>
      </c>
      <c r="G27" s="253">
        <v>18</v>
      </c>
      <c r="H27" s="286">
        <f>VIN_min+(VIN_max-VIN_min)*(Table16[[#This Row],[Step]]/200)</f>
        <v>8.6999999999999993</v>
      </c>
      <c r="I27" s="292" t="str">
        <f>IF(Mode = 2,IF(Table16[[#This Row],[Vin]]&gt;Vout, "BUCK","BOOST"),IF(Table16[[#This Row],[Vin]]&gt;VIN_BB_to_buck, "BUCK", IF(Table16[[#This Row],[Vin]]&lt;=VIN_boost_to_BB,"BOOST","BUCK-BST")))</f>
        <v>BOOST</v>
      </c>
      <c r="J27" s="253">
        <f>IF(Table16[[#This Row],[Mode]]="BOOST",2, IF(Table16[[#This Row],[Mode]]="BUCK", 1,3))</f>
        <v>2</v>
      </c>
      <c r="K27" s="253">
        <f t="shared" si="0"/>
        <v>8</v>
      </c>
      <c r="L27" s="292">
        <f>Vout*Table16[[#This Row],[Iout]]/(Table16[[#This Row],[Vin]]*Efficiency)</f>
        <v>15.486993345432548</v>
      </c>
      <c r="M27" s="682">
        <f>MIN(1/Fsw,CHOOSE(Table16[[#This Row],[Mode Digit]],(Vout+(Rdson2+Rs+Rdcr)*Table16[[#This Row],[Iout]])/(Table16[[#This Row],[Vin]]+(Rs+Rdson2-Rdson1)*Table16[[#This Row],[Iout]])/Fsw,(Vout+(Rdson3+Rdcr)*Table16[[#This Row],[Iin]]-Table16[[#This Row],[Vin]])/(Vout+(Rdson3-Rdson4-Rs)*Table16[[#This Row],[Iin]])/Fsw,t1_Ph_II))</f>
        <v>1.1641160305683679E-6</v>
      </c>
      <c r="N27" s="518">
        <f>CHOOSE(Table16[[#This Row],[Mode Digit]],1/Fsw-Table16[[#This Row],[t1_Ph_II]],1/Fsw-Table16[[#This Row],[t1_Ph_II]],(Vout/Fsw-Table16[[#This Row],[Vin]]*t1_Ph_II)/(Table16[[#This Row],[Vin]]+Vout))</f>
        <v>1.348446783501984E-6</v>
      </c>
      <c r="O27" s="518">
        <f>1/Fsw-(Table16[[#This Row],[t1_Ph_II]]+Table16[[#This Row],[t2_Ph_I]])</f>
        <v>0</v>
      </c>
      <c r="P27"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12.673712938225659</v>
      </c>
      <c r="Q27" s="292">
        <f>CHOOSE(Table16[[#This Row],[Mode Digit]],Table16[[#This Row],[I_0]]+1/Lf*(Table16[[#This Row],[Vin]]-Vout)*Table16[[#This Row],[t1_Ph_II]],Table16[[#This Row],[I_0]]+1/Lf*Table16[[#This Row],[Vin]]*Table16[[#This Row],[t1_Ph_II]],Table16[[#This Row],[I_0]]+(Table16[[#This Row],[Vin]]-Vout)/L*Table16[[#This Row],[t1_Ph_II]])</f>
        <v>18.300273752639434</v>
      </c>
      <c r="R27" s="292">
        <f>CHOOSE(Table16[[#This Row],[Mode Digit]],0,0,Table16[[#This Row],[I_1]]+Table16[[#This Row],[Vin]]/L*Table16[[#This Row],[t2_Ph_I]])</f>
        <v>0</v>
      </c>
      <c r="S27" s="292">
        <f>Fsw*(Table16[[#This Row],[I_0]]*Table16[[#This Row],[t1_Ph_II]]+Table16[[#This Row],[I_1]]*Table16[[#This Row],[t2_Ph_I]]+Table16[[#This Row],[I_2]]*Table16[[#This Row],[t3_Ph_III]])</f>
        <v>15.693385835510734</v>
      </c>
      <c r="T27" s="345">
        <f>MIN(1,CHOOSE(Table16[[#This Row],[Mode Digit]],(Vout+(Rdson2+Rs+Rdcr)*Table16[[#This Row],[Iout]])/(Table16[[#This Row],[Vin]]+(Rs+Rdson2-Rdson1)*Table16[[#This Row],[Iout]]),1,Fsw*Table16[[#This Row],[t2_Ph_I]]+Table16[[#This Row],[t1_Ph_II]]))</f>
        <v>1</v>
      </c>
      <c r="U27" s="345">
        <f>MIN(1,CHOOSE(Table16[[#This Row],[Mode Digit]],0,(Vout+(Rdson3+Rdcr)*Table16[[#This Row],[Iin]]-Table16[[#This Row],[Vin]])/(Vout+(Rdson3-Rdson4-Rs)*Table16[[#This Row],[Iin]]),Fsw*Table16[[#This Row],[t1_Ph_II]]+Table16[[#This Row],[t3_Ph_III]]))</f>
        <v>0.46331818016621046</v>
      </c>
      <c r="V27" s="292">
        <f>MAX(Table16[[#This Row],[I_0]:[I_2]])-MIN(Table16[[#This Row],[I_0]:[I_1]])</f>
        <v>5.6265608144137751</v>
      </c>
      <c r="W27"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15.571934532934458</v>
      </c>
      <c r="X27" s="345">
        <f>(Table16[[#This Row],[Irms Lf]]^2*Rdcr*(1+Ltc*Ta-Ltc*25))/(1-Table16[[#This Row],[Irms Lf]]^2*Rdcr*Ltc*ThetaCa)</f>
        <v>0.82730863845409985</v>
      </c>
      <c r="Y27" s="345">
        <f>ABS(7.759*10^-3*Fsw^0.9458*(0.00787*Table16[[#This Row],[Ripple Current pk-pk]])^2.304)</f>
        <v>1.166973130659974</v>
      </c>
      <c r="Z27" s="345">
        <f>Table16[[#This Row],[DCR    Loss]]+Table16[[#This Row],[Core Loss]]</f>
        <v>1.9942817691140737</v>
      </c>
      <c r="AA27" s="292">
        <f>IF(Table16[[#This Row],[Vin]]&gt;Vout, Table16[[#This Row],[Ripple Current pk-pk]]/SQRT(12), SQRT(Table16[[#This Row],[Duty Cycle BOOST Leg]]/(1-Table16[[#This Row],[Duty Cycle BOOST Leg]]))*SQRT(Table16[[#This Row],[Iout]]^2+(Table16[[#This Row],[Ripple Current pk-pk]]^2)/12))</f>
        <v>7.5847767078650472</v>
      </c>
      <c r="AB27" s="345">
        <f>RCoutEsr*Table16[[#This Row],[Irms Cout]]^2</f>
        <v>0.11505767541634429</v>
      </c>
      <c r="AC27" s="345">
        <f>Table16[[#This Row],[Cout ESR Loss]]</f>
        <v>0.11505767541634429</v>
      </c>
      <c r="AD27" s="345">
        <f>IF(Table16[[#This Row],[Vin]]&gt;Vout, SQRT(Table16[[#This Row],[Duty Cycle BUCK Leg]]*(1-Table16[[#This Row],[Duty Cycle BUCK Leg]]))*SQRT(Table16[[#This Row],[Iout]]^2+(Table16[[#This Row],[Ripple Current pk-pk]]^2)/12), Table16[[#This Row],[Ripple Current pk-pk]]/SQRT(12))</f>
        <v>1.6242482004067966</v>
      </c>
      <c r="AE27" s="345">
        <f>RCinEsr*Table16[[#This Row],[Irms Cin]]^2</f>
        <v>5.2763644330494344E-3</v>
      </c>
      <c r="AF27" s="683">
        <f>Table16[[#This Row],[Cin ESR Loss]]</f>
        <v>5.2763644330494344E-3</v>
      </c>
      <c r="AG27"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15.571934532934458</v>
      </c>
      <c r="AH27" s="345">
        <f>Rdson1*Table16[[#This Row],[Irms BuCtrl]]^2</f>
        <v>0.84869800784298854</v>
      </c>
      <c r="AI27" s="345">
        <f>CHOOSE(Table16[[#This Row],[Mode Digit]], (Table16[[#This Row],[Vin]]*Table16[[#This Row],[Iout]]/2)*(Fsw)*(Tr_buck+Tf_buck), 0, (Table16[[#This Row],[Vin]]*Table16[[#This Row],[Avg IL]]/2)*(Fsw/1)*(Tr_buck+Tf_buck))</f>
        <v>0</v>
      </c>
      <c r="AJ27" s="253">
        <f>IF(Table16[[#This Row],[Vin]]&gt;Vout, IF(Table16[[#This Row],[Iout]]&gt;Table16[[#This Row],[Ripple Current pk-pk]]/2,0,ABS(Table16[[#This Row],[Iout]]-Table16[[#This Row],[Ripple Current pk-pk]]/2)*Vsd_Q1*Deadtime*Fsw),0)</f>
        <v>0</v>
      </c>
      <c r="AK27" s="345">
        <f>(Table16[[#This Row],[Dead Time Loss BuCtrl]]+Table16[[#This Row],[Transition Loss BuCtrl]]+Table16[[#This Row],[RDS(on) Loss BuCtrl]]*(1+RdsonTopTc*Ta-RdsonTopTc*25))/(1-Table16[[#This Row],[RDS(on) Loss BuCtrl]]*RdsonTopTc*ThetaJA_Q1)</f>
        <v>1.088997897939971</v>
      </c>
      <c r="AL27" s="345">
        <f>CHOOSE(Table16[[#This Row],[Mode Digit]],SQRT((Fsw*(Table16[[#This Row],[t2_Ph_I]]+0))*((Table16[[#This Row],[I_0]]*Table16[[#This Row],[I_1]]+((Table16[[#This Row],[I_0]]-Table16[[#This Row],[I_1]])^2)/3))),0,SQRT((Fsw*(Table16[[#This Row],[t3_Ph_III]]+0))*((Table16[[#This Row],[I_0]]*Table16[[#This Row],[I_2]]+((Table16[[#This Row],[I_0]]-Table16[[#This Row],[I_2]])^2)/3))))</f>
        <v>0</v>
      </c>
      <c r="AM27" s="345">
        <f>Rdson2*Table16[[#This Row],[Irms BuSync]]^2</f>
        <v>0</v>
      </c>
      <c r="AN27"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27" s="345">
        <f>(Table16[[#This Row],[Deadtime Loss BuSync]]+Table16[[#This Row],[RDS(on) Loss BuSync]]*(1+RdsonBotTc*Ta-RdsonBotTc*25))/(1-Table16[[#This Row],[RDS(on) Loss BuSync]]*RdsonBotTc*ThetaJA_Q2)</f>
        <v>0</v>
      </c>
      <c r="AP27" s="345">
        <f>CHOOSE(Table16[[#This Row],[Mode Digit]],0,SQRT((Fsw*(Table16[[#This Row],[t1_Ph_II]]+0))*((Table16[[#This Row],[I_0]]*Table16[[#This Row],[I_1]]+((Table16[[#This Row],[I_0]]-Table16[[#This Row],[I_1]])^2)/3))),SQRT((Fsw*(Table16[[#This Row],[t2_Ph_I]]+0))*((Table16[[#This Row],[I_1]]*Table16[[#This Row],[I_2]]+((Table16[[#This Row],[I_1]]-Table16[[#This Row],[I_2]])^2)/3))))</f>
        <v>10.599423387342508</v>
      </c>
      <c r="AQ27" s="345">
        <f>Rdson4*Table16[[#This Row],[Irms BoCtlr]]^2</f>
        <v>0.39321721650450164</v>
      </c>
      <c r="AR27" s="345">
        <f>CHOOSE(Table16[[#This Row],[Mode Digit]], 0, (Vout*Table16[[#This Row],[Iin]]/2)*(Fsw)*(Tr_boost+Tf_boost), (Vout*Iout/2)*(Fsw/1)*(Tr_boost+Tf_boost))</f>
        <v>0.92078540131469655</v>
      </c>
      <c r="AS27" s="253">
        <f>IF(Table16[[#This Row],[Vin]]&gt;Vout, 0, IF(Table16[[#This Row],[Iin]]&gt;Table16[[#This Row],[Ripple Current pk-pk]]/2,0,ABS(Table16[[#This Row],[Iin]]-Table16[[#This Row],[Ripple Current pk-pk]]/2)*Vsd_Q4*Deadtime*Fsw))</f>
        <v>0</v>
      </c>
      <c r="AT27" s="345">
        <f>(Table16[[#This Row],[Dead Time Loss BoCtlr]]+Table16[[#This Row],[Transition Loss BoCtlr]]+Table16[[#This Row],[RDS(on) Loss BoCtlr]]*(1+RdsonTopTc*Ta-RdsonTopTc*25))/(1-Table16[[#This Row],[RDS(on) Loss BoCtlr]]*RdsonTopTc*ThetaJA_Q4)</f>
        <v>1.4636400155698093</v>
      </c>
      <c r="AU27"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11.407776687586999</v>
      </c>
      <c r="AV27" s="345">
        <f>Rdson3*Table16[[#This Row],[Irms BoSync]]^2</f>
        <v>0.45548079133848696</v>
      </c>
      <c r="AW27"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0.46228675136116149</v>
      </c>
      <c r="AX27" s="345">
        <f>(Table16[[#This Row],[Deadtime Loss BoSync]]+Table16[[#This Row],[RDS(on) Loss BoSync]]*(1+RdsonBotTc*Ta-RdsonBotTc*25))/(1-Table16[[#This Row],[RDS(on) Loss BoSync]]*RdsonBotTc*ThetaJA_Q3)</f>
        <v>1.0410544181534596</v>
      </c>
      <c r="AY27" s="345">
        <f>CHOOSE(Table16[[#This Row],[Mode Digit]], Rdson3*Table16[[#This Row],[Irms Lf]]^2, Rdson1*Table16[[#This Row],[Irms Lf]]^2, 0)</f>
        <v>0.84869800784298854</v>
      </c>
      <c r="AZ27" s="345">
        <f>CHOOSE(Table16[[#This Row],[Mode Digit]], 2*Deadtime*Fsw*IF(VfdSky_Q2&gt;0,VfdSky_Q2,0)*Table16[[#This Row],[Iout]], 2*Deadtime*Fsw*IF(VfdSky_Q3&gt;0,VfdSky_Q3,0)*Table16[[#This Row],[Iin]], 2*Deadtime*Fsw*IF(VfdSky_Q2&gt;0,VfdSky_Q2,0)*Table16[[#This Row],[Iout]]+2*Deadtime*Fsw*IF(VfdSky_Q3&gt;0,VfdSky_Q3,0)*Table16[[#This Row],[Iin]])</f>
        <v>0</v>
      </c>
      <c r="BA27" s="345">
        <f>CHOOSE(Table16[[#This Row],[Mode Digit]], IF(QrrSky_Q2&gt;0,QrrSky_Q2,Qrr_Q2)*Fsw*(Table16[[#This Row],[Vin]]-Table16[[#This Row],[Iout]]*Rdson1),0,  IF(QrrSky_Q2&gt;0,QrrSky_Q2,Qrr_Q2)*Fsw*(Table16[[#This Row],[Vin]]-Table16[[#This Row],[Iout]]*Rdson1)+IF(QrrSky_Q3&gt;0,QrrSky_Q3,Qrr_Q3)*Fsw*Vout)</f>
        <v>0</v>
      </c>
      <c r="BB27" s="345">
        <f>CHOOSE(Table16[[#This Row],[Mode Digit]],0, IF(QrrSky_Q3&gt;0,QrrSky_Q3,Qrr_Q3)*Fsw*Vout,  IF(QrrSky_Q2&gt;0,QrrSky_Q2,Qrr_Q2)*Fsw*(Table16[[#This Row],[Vin]]-Table16[[#This Row],[Iout]]*Rdson1)+IF(QrrSky_Q3&gt;0,QrrSky_Q3,Qrr_Q3)*Fsw*Vout)</f>
        <v>0.35660799999999998</v>
      </c>
      <c r="BC27" s="345">
        <f>CHOOSE(Table16[[#This Row],[Mode Digit]], Rs*Table16[[#This Row],[Irms BuSync]]^2, Rs*Table16[[#This Row],[Irms BoCtlr]]^2, Rs*(Table16[[#This Row],[Irms BuSync]]^2+Table16[[#This Row],[Irms BoCtlr]]^2))</f>
        <v>0.14605210898738633</v>
      </c>
      <c r="BD27" s="345">
        <f t="shared" si="1"/>
        <v>0.64</v>
      </c>
      <c r="BE27" s="345">
        <f>IF(Vout&gt;8, Iq*Vout, Iq*Table16[[#This Row],[Vin]])</f>
        <v>4.8000000000000001E-2</v>
      </c>
      <c r="BF27" s="345">
        <f>CHOOSE(Table16[[#This Row],[Mode Digit]], (Qg_Q1+Qg_Q2)*Fsw, (Qg_Q3+Qg_Q4)*Fsw, (Qg_Q1+Qg_Q2+Qg_Q3+Qg_Q4)*Fsw)*IF(Vout&gt;8, Vout, Table16[[#This Row],[Vin]])</f>
        <v>0.85331200000000007</v>
      </c>
      <c r="BG27" s="345">
        <f t="shared" si="2"/>
        <v>0.50594479787234037</v>
      </c>
      <c r="BH27" s="345">
        <f>Table16[[#This Row],[IQ Loss]]+Table16[[#This Row],[Switching Current Loss]]</f>
        <v>0.90131200000000011</v>
      </c>
      <c r="BI27"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7.7522802496140928</v>
      </c>
      <c r="BJ27" s="253">
        <f>Vout*Table16[[#This Row],[Iout]]</f>
        <v>128</v>
      </c>
      <c r="BK27" s="684">
        <f>Table16[[#This Row],[Pout]]/(Table16[[#This Row],[Pout]]+Table16[[#This Row],[Total Loss]])</f>
        <v>0.94289392240513659</v>
      </c>
      <c r="BL27"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118.3161210120376</v>
      </c>
      <c r="BM27" s="685">
        <f>IF(Table16[[#This Row],[Vin]]&gt;Vout, Table16[[#This Row],[Total Sync Bu MOSFET Loss]]*ThetaJA_Q2, ThetaJA_Q3*Table16[[#This Row],[Total Sync Bo MOSFET Loss]])</f>
        <v>67.668537179974876</v>
      </c>
      <c r="BN27" s="640"/>
      <c r="BO27" s="292">
        <f>Table16[[#This Row],[EFF, h]]*100</f>
        <v>94.289392240513664</v>
      </c>
      <c r="BP27" s="345">
        <f>Table16[[#This Row],[Total Inductor Loss]]</f>
        <v>1.9942817691140737</v>
      </c>
      <c r="BQ27" s="345">
        <f>Table16[[#This Row],[Total Control Bu MOSFET Loss]]+Table16[[#This Row],[Total Sync Bu MOSFET Loss]]+Table16[[#This Row],[Total Control Bo MOSFET Loss]]+Table16[[#This Row],[Total Sync Bo MOSFET Loss]]+Table16[[#This Row],[Reverse Recovery Loss MOSFET D BUCK]]+Table16[[#This Row],[Reverse Recovery Loss MOSFET D BOOST]]</f>
        <v>3.9503003316632399</v>
      </c>
      <c r="BR27" s="345">
        <f>Table16[[#This Row],[Total Control Bu MOSFET Loss]]+Table16[[#This Row],[Reverse Recovery Loss MOSFET D BUCK]]*0.66</f>
        <v>1.088997897939971</v>
      </c>
      <c r="BS27" s="345">
        <f>Table16[[#This Row],[Total Sync Bu MOSFET Loss]]+Table16[[#This Row],[Reverse Recovery Loss MOSFET D BUCK]]*0.33</f>
        <v>0</v>
      </c>
      <c r="BT27" s="345">
        <f xml:space="preserve"> Table16[[#This Row],[Total Control Bo MOSFET Loss]]+Table16[[#This Row],[Reverse Recovery Loss MOSFET D BOOST]]*0.66</f>
        <v>1.6990012955698093</v>
      </c>
      <c r="BU27" s="345">
        <f xml:space="preserve"> Table16[[#This Row],[Total Sync Bo MOSFET Loss]]+Table16[[#This Row],[Reverse Recovery Loss MOSFET D BOOST]]*0.33</f>
        <v>1.1587350581534595</v>
      </c>
      <c r="BV27" s="345">
        <f>Table16[[#This Row],[Isense Shunt Loss]]</f>
        <v>0.14605210898738633</v>
      </c>
      <c r="BZ27" s="253" t="s">
        <v>153</v>
      </c>
      <c r="CA27" s="253">
        <v>9.9986669999999993</v>
      </c>
      <c r="CB27" s="253">
        <v>0.1166</v>
      </c>
      <c r="CC27" s="253">
        <v>5.1212980000000003</v>
      </c>
      <c r="CD27" s="253">
        <v>64.729420570558148</v>
      </c>
      <c r="CE27" s="253">
        <v>325.37886459483997</v>
      </c>
    </row>
    <row r="28" spans="1:92" ht="13.6" x14ac:dyDescent="0.25">
      <c r="A28" s="690" t="s">
        <v>148</v>
      </c>
      <c r="B28" s="569">
        <f>RdsonDRT2</f>
        <v>1</v>
      </c>
      <c r="C28" s="702" t="s">
        <v>118</v>
      </c>
      <c r="D28" s="255" t="s">
        <v>642</v>
      </c>
      <c r="G28" s="253">
        <v>19</v>
      </c>
      <c r="H28" s="286">
        <f>VIN_min+(VIN_max-VIN_min)*(Table16[[#This Row],[Step]]/200)</f>
        <v>8.85</v>
      </c>
      <c r="I28" s="292" t="str">
        <f>IF(Mode = 2,IF(Table16[[#This Row],[Vin]]&gt;Vout, "BUCK","BOOST"),IF(Table16[[#This Row],[Vin]]&gt;VIN_BB_to_buck, "BUCK", IF(Table16[[#This Row],[Vin]]&lt;=VIN_boost_to_BB,"BOOST","BUCK-BST")))</f>
        <v>BOOST</v>
      </c>
      <c r="J28" s="253">
        <f>IF(Table16[[#This Row],[Mode]]="BOOST",2, IF(Table16[[#This Row],[Mode]]="BUCK", 1,3))</f>
        <v>2</v>
      </c>
      <c r="K28" s="253">
        <f t="shared" si="0"/>
        <v>8</v>
      </c>
      <c r="L28" s="292">
        <f>Vout*Table16[[#This Row],[Iout]]/(Table16[[#This Row],[Vin]]*Efficiency)</f>
        <v>15.224501932798098</v>
      </c>
      <c r="M28" s="682">
        <f>MIN(1/Fsw,CHOOSE(Table16[[#This Row],[Mode Digit]],(Vout+(Rdson2+Rs+Rdcr)*Table16[[#This Row],[Iout]])/(Table16[[#This Row],[Vin]]+(Rs+Rdson2-Rdson1)*Table16[[#This Row],[Iout]])/Fsw,(Vout+(Rdson3+Rdcr)*Table16[[#This Row],[Iin]]-Table16[[#This Row],[Vin]])/(Vout+(Rdson3-Rdson4-Rs)*Table16[[#This Row],[Iin]])/Fsw,t1_Ph_II))</f>
        <v>1.1402302034580137E-6</v>
      </c>
      <c r="N28" s="518">
        <f>CHOOSE(Table16[[#This Row],[Mode Digit]],1/Fsw-Table16[[#This Row],[t1_Ph_II]],1/Fsw-Table16[[#This Row],[t1_Ph_II]],(Vout/Fsw-Table16[[#This Row],[Vin]]*t1_Ph_II)/(Table16[[#This Row],[Vin]]+Vout))</f>
        <v>1.3723326106123382E-6</v>
      </c>
      <c r="O28" s="518">
        <f>1/Fsw-(Table16[[#This Row],[t1_Ph_II]]+Table16[[#This Row],[t2_Ph_I]])</f>
        <v>0</v>
      </c>
      <c r="P28"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12.421436015963815</v>
      </c>
      <c r="Q28" s="292">
        <f>CHOOSE(Table16[[#This Row],[Mode Digit]],Table16[[#This Row],[I_0]]+1/Lf*(Table16[[#This Row],[Vin]]-Vout)*Table16[[#This Row],[t1_Ph_II]],Table16[[#This Row],[I_0]]+1/Lf*Table16[[#This Row],[Vin]]*Table16[[#This Row],[t1_Ph_II]],Table16[[#This Row],[I_0]]+(Table16[[#This Row],[Vin]]-Vout)/L*Table16[[#This Row],[t1_Ph_II]])</f>
        <v>18.027567849632383</v>
      </c>
      <c r="R28" s="292">
        <f>CHOOSE(Table16[[#This Row],[Mode Digit]],0,0,Table16[[#This Row],[I_1]]+Table16[[#This Row],[Vin]]/L*Table16[[#This Row],[t2_Ph_I]])</f>
        <v>0</v>
      </c>
      <c r="S28" s="292">
        <f>Fsw*(Table16[[#This Row],[I_0]]*Table16[[#This Row],[t1_Ph_II]]+Table16[[#This Row],[I_1]]*Table16[[#This Row],[t2_Ph_I]]+Table16[[#This Row],[I_2]]*Table16[[#This Row],[t3_Ph_III]])</f>
        <v>15.483440074788472</v>
      </c>
      <c r="T28" s="345">
        <f>MIN(1,CHOOSE(Table16[[#This Row],[Mode Digit]],(Vout+(Rdson2+Rs+Rdcr)*Table16[[#This Row],[Iout]])/(Table16[[#This Row],[Vin]]+(Rs+Rdson2-Rdson1)*Table16[[#This Row],[Iout]]),1,Fsw*Table16[[#This Row],[t2_Ph_I]]+Table16[[#This Row],[t1_Ph_II]]))</f>
        <v>1</v>
      </c>
      <c r="U28" s="345">
        <f>MIN(1,CHOOSE(Table16[[#This Row],[Mode Digit]],0,(Vout+(Rdson3+Rdcr)*Table16[[#This Row],[Iin]]-Table16[[#This Row],[Vin]])/(Vout+(Rdson3-Rdson4-Rs)*Table16[[#This Row],[Iin]]),Fsw*Table16[[#This Row],[t1_Ph_II]]+Table16[[#This Row],[t3_Ph_III]]))</f>
        <v>0.45381162097628946</v>
      </c>
      <c r="V28" s="292">
        <f>MAX(Table16[[#This Row],[I_0]:[I_2]])-MIN(Table16[[#This Row],[I_0]:[I_1]])</f>
        <v>5.6061318336685684</v>
      </c>
      <c r="W28"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15.310274935909732</v>
      </c>
      <c r="X28" s="345">
        <f>(Table16[[#This Row],[Irms Lf]]^2*Rdcr*(1+Ltc*Ta-Ltc*25))/(1-Table16[[#This Row],[Irms Lf]]^2*Rdcr*Ltc*ThetaCa)</f>
        <v>0.79797924436559919</v>
      </c>
      <c r="Y28" s="345">
        <f>ABS(7.759*10^-3*Fsw^0.9458*(0.00787*Table16[[#This Row],[Ripple Current pk-pk]])^2.304)</f>
        <v>1.1572340475223972</v>
      </c>
      <c r="Z28" s="345">
        <f>Table16[[#This Row],[DCR    Loss]]+Table16[[#This Row],[Core Loss]]</f>
        <v>1.9552132918879965</v>
      </c>
      <c r="AA28" s="292">
        <f>IF(Table16[[#This Row],[Vin]]&gt;Vout, Table16[[#This Row],[Ripple Current pk-pk]]/SQRT(12), SQRT(Table16[[#This Row],[Duty Cycle BOOST Leg]]/(1-Table16[[#This Row],[Duty Cycle BOOST Leg]]))*SQRT(Table16[[#This Row],[Iout]]^2+(Table16[[#This Row],[Ripple Current pk-pk]]^2)/12))</f>
        <v>7.4398782273923034</v>
      </c>
      <c r="AB28" s="345">
        <f>RCoutEsr*Table16[[#This Row],[Irms Cout]]^2</f>
        <v>0.11070357607685209</v>
      </c>
      <c r="AC28" s="345">
        <f>Table16[[#This Row],[Cout ESR Loss]]</f>
        <v>0.11070357607685209</v>
      </c>
      <c r="AD28" s="345">
        <f>IF(Table16[[#This Row],[Vin]]&gt;Vout, SQRT(Table16[[#This Row],[Duty Cycle BUCK Leg]]*(1-Table16[[#This Row],[Duty Cycle BUCK Leg]]))*SQRT(Table16[[#This Row],[Iout]]^2+(Table16[[#This Row],[Ripple Current pk-pk]]^2)/12), Table16[[#This Row],[Ripple Current pk-pk]]/SQRT(12))</f>
        <v>1.6183508616405393</v>
      </c>
      <c r="AE28" s="345">
        <f>RCinEsr*Table16[[#This Row],[Irms Cin]]^2</f>
        <v>5.2381190227453528E-3</v>
      </c>
      <c r="AF28" s="683">
        <f>Table16[[#This Row],[Cin ESR Loss]]</f>
        <v>5.2381190227453528E-3</v>
      </c>
      <c r="AG28"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15.310274935909732</v>
      </c>
      <c r="AH28" s="345">
        <f>Rdson1*Table16[[#This Row],[Irms BuCtrl]]^2</f>
        <v>0.82041581514601014</v>
      </c>
      <c r="AI28" s="345">
        <f>CHOOSE(Table16[[#This Row],[Mode Digit]], (Table16[[#This Row],[Vin]]*Table16[[#This Row],[Iout]]/2)*(Fsw)*(Tr_buck+Tf_buck), 0, (Table16[[#This Row],[Vin]]*Table16[[#This Row],[Avg IL]]/2)*(Fsw/1)*(Tr_buck+Tf_buck))</f>
        <v>0</v>
      </c>
      <c r="AJ28" s="253">
        <f>IF(Table16[[#This Row],[Vin]]&gt;Vout, IF(Table16[[#This Row],[Iout]]&gt;Table16[[#This Row],[Ripple Current pk-pk]]/2,0,ABS(Table16[[#This Row],[Iout]]-Table16[[#This Row],[Ripple Current pk-pk]]/2)*Vsd_Q1*Deadtime*Fsw),0)</f>
        <v>0</v>
      </c>
      <c r="AK28" s="345">
        <f>(Table16[[#This Row],[Dead Time Loss BuCtrl]]+Table16[[#This Row],[Transition Loss BuCtrl]]+Table16[[#This Row],[RDS(on) Loss BuCtrl]]*(1+RdsonTopTc*Ta-RdsonTopTc*25))/(1-Table16[[#This Row],[RDS(on) Loss BuCtrl]]*RdsonTopTc*ThetaJA_Q1)</f>
        <v>1.0428680244397199</v>
      </c>
      <c r="AL28" s="345">
        <f>CHOOSE(Table16[[#This Row],[Mode Digit]],SQRT((Fsw*(Table16[[#This Row],[t2_Ph_I]]+0))*((Table16[[#This Row],[I_0]]*Table16[[#This Row],[I_1]]+((Table16[[#This Row],[I_0]]-Table16[[#This Row],[I_1]])^2)/3))),0,SQRT((Fsw*(Table16[[#This Row],[t3_Ph_III]]+0))*((Table16[[#This Row],[I_0]]*Table16[[#This Row],[I_2]]+((Table16[[#This Row],[I_0]]-Table16[[#This Row],[I_2]])^2)/3))))</f>
        <v>0</v>
      </c>
      <c r="AM28" s="345">
        <f>Rdson2*Table16[[#This Row],[Irms BuSync]]^2</f>
        <v>0</v>
      </c>
      <c r="AN28"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28" s="345">
        <f>(Table16[[#This Row],[Deadtime Loss BuSync]]+Table16[[#This Row],[RDS(on) Loss BuSync]]*(1+RdsonBotTc*Ta-RdsonBotTc*25))/(1-Table16[[#This Row],[RDS(on) Loss BuSync]]*RdsonBotTc*ThetaJA_Q2)</f>
        <v>0</v>
      </c>
      <c r="AP28" s="345">
        <f>CHOOSE(Table16[[#This Row],[Mode Digit]],0,SQRT((Fsw*(Table16[[#This Row],[t1_Ph_II]]+0))*((Table16[[#This Row],[I_0]]*Table16[[#This Row],[I_1]]+((Table16[[#This Row],[I_0]]-Table16[[#This Row],[I_1]])^2)/3))),SQRT((Fsw*(Table16[[#This Row],[t2_Ph_I]]+0))*((Table16[[#This Row],[I_1]]*Table16[[#This Row],[I_2]]+((Table16[[#This Row],[I_1]]-Table16[[#This Row],[I_2]])^2)/3))))</f>
        <v>10.313849647730883</v>
      </c>
      <c r="AQ28" s="345">
        <f>Rdson4*Table16[[#This Row],[Irms BoCtlr]]^2</f>
        <v>0.37231423094599464</v>
      </c>
      <c r="AR28" s="345">
        <f>CHOOSE(Table16[[#This Row],[Mode Digit]], 0, (Vout*Table16[[#This Row],[Iin]]/2)*(Fsw)*(Tr_boost+Tf_boost), (Vout*Iout/2)*(Fsw/1)*(Tr_boost+Tf_boost))</f>
        <v>0.90517886908902379</v>
      </c>
      <c r="AS28" s="253">
        <f>IF(Table16[[#This Row],[Vin]]&gt;Vout, 0, IF(Table16[[#This Row],[Iin]]&gt;Table16[[#This Row],[Ripple Current pk-pk]]/2,0,ABS(Table16[[#This Row],[Iin]]-Table16[[#This Row],[Ripple Current pk-pk]]/2)*Vsd_Q4*Deadtime*Fsw))</f>
        <v>0</v>
      </c>
      <c r="AT28" s="345">
        <f>(Table16[[#This Row],[Dead Time Loss BoCtlr]]+Table16[[#This Row],[Transition Loss BoCtlr]]+Table16[[#This Row],[RDS(on) Loss BoCtlr]]*(1+RdsonTopTc*Ta-RdsonTopTc*25))/(1-Table16[[#This Row],[RDS(on) Loss BoCtlr]]*RdsonTopTc*ThetaJA_Q4)</f>
        <v>1.4144104346742268</v>
      </c>
      <c r="AU28"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11.314991120506781</v>
      </c>
      <c r="AV28" s="345">
        <f>Rdson3*Table16[[#This Row],[Irms BoSync]]^2</f>
        <v>0.44810158420001556</v>
      </c>
      <c r="AW28"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0.45445138269402313</v>
      </c>
      <c r="AX28" s="345">
        <f>(Table16[[#This Row],[Deadtime Loss BoSync]]+Table16[[#This Row],[RDS(on) Loss BoSync]]*(1+RdsonBotTc*Ta-RdsonBotTc*25))/(1-Table16[[#This Row],[RDS(on) Loss BoSync]]*RdsonBotTc*ThetaJA_Q3)</f>
        <v>1.0215727414919427</v>
      </c>
      <c r="AY28" s="345">
        <f>CHOOSE(Table16[[#This Row],[Mode Digit]], Rdson3*Table16[[#This Row],[Irms Lf]]^2, Rdson1*Table16[[#This Row],[Irms Lf]]^2, 0)</f>
        <v>0.82041581514601014</v>
      </c>
      <c r="AZ28" s="345">
        <f>CHOOSE(Table16[[#This Row],[Mode Digit]], 2*Deadtime*Fsw*IF(VfdSky_Q2&gt;0,VfdSky_Q2,0)*Table16[[#This Row],[Iout]], 2*Deadtime*Fsw*IF(VfdSky_Q3&gt;0,VfdSky_Q3,0)*Table16[[#This Row],[Iin]], 2*Deadtime*Fsw*IF(VfdSky_Q2&gt;0,VfdSky_Q2,0)*Table16[[#This Row],[Iout]]+2*Deadtime*Fsw*IF(VfdSky_Q3&gt;0,VfdSky_Q3,0)*Table16[[#This Row],[Iin]])</f>
        <v>0</v>
      </c>
      <c r="BA28" s="345">
        <f>CHOOSE(Table16[[#This Row],[Mode Digit]], IF(QrrSky_Q2&gt;0,QrrSky_Q2,Qrr_Q2)*Fsw*(Table16[[#This Row],[Vin]]-Table16[[#This Row],[Iout]]*Rdson1),0,  IF(QrrSky_Q2&gt;0,QrrSky_Q2,Qrr_Q2)*Fsw*(Table16[[#This Row],[Vin]]-Table16[[#This Row],[Iout]]*Rdson1)+IF(QrrSky_Q3&gt;0,QrrSky_Q3,Qrr_Q3)*Fsw*Vout)</f>
        <v>0</v>
      </c>
      <c r="BB28" s="345">
        <f>CHOOSE(Table16[[#This Row],[Mode Digit]],0, IF(QrrSky_Q3&gt;0,QrrSky_Q3,Qrr_Q3)*Fsw*Vout,  IF(QrrSky_Q2&gt;0,QrrSky_Q2,Qrr_Q2)*Fsw*(Table16[[#This Row],[Vin]]-Table16[[#This Row],[Iout]]*Rdson1)+IF(QrrSky_Q3&gt;0,QrrSky_Q3,Qrr_Q3)*Fsw*Vout)</f>
        <v>0.35660799999999998</v>
      </c>
      <c r="BC28" s="345">
        <f>CHOOSE(Table16[[#This Row],[Mode Digit]], Rs*Table16[[#This Row],[Irms BuSync]]^2, Rs*Table16[[#This Row],[Irms BoCtlr]]^2, Rs*(Table16[[#This Row],[Irms BuSync]]^2+Table16[[#This Row],[Irms BoCtlr]]^2))</f>
        <v>0.13828814292279801</v>
      </c>
      <c r="BD28" s="345">
        <f t="shared" si="1"/>
        <v>0.64</v>
      </c>
      <c r="BE28" s="345">
        <f>IF(Vout&gt;8, Iq*Vout, Iq*Table16[[#This Row],[Vin]])</f>
        <v>4.8000000000000001E-2</v>
      </c>
      <c r="BF28" s="345">
        <f>CHOOSE(Table16[[#This Row],[Mode Digit]], (Qg_Q1+Qg_Q2)*Fsw, (Qg_Q3+Qg_Q4)*Fsw, (Qg_Q1+Qg_Q2+Qg_Q3+Qg_Q4)*Fsw)*IF(Vout&gt;8, Vout, Table16[[#This Row],[Vin]])</f>
        <v>0.85331200000000007</v>
      </c>
      <c r="BG28" s="345">
        <f t="shared" si="2"/>
        <v>0.50594479787234037</v>
      </c>
      <c r="BH28" s="345">
        <f>Table16[[#This Row],[IQ Loss]]+Table16[[#This Row],[Switching Current Loss]]</f>
        <v>0.90131200000000011</v>
      </c>
      <c r="BI28"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7.5862143305162801</v>
      </c>
      <c r="BJ28" s="253">
        <f>Vout*Table16[[#This Row],[Iout]]</f>
        <v>128</v>
      </c>
      <c r="BK28" s="684">
        <f>Table16[[#This Row],[Pout]]/(Table16[[#This Row],[Pout]]+Table16[[#This Row],[Total Loss]])</f>
        <v>0.94404877835128964</v>
      </c>
      <c r="BL28"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115.11619825382475</v>
      </c>
      <c r="BM28" s="685">
        <f>IF(Table16[[#This Row],[Vin]]&gt;Vout, Table16[[#This Row],[Total Sync Bu MOSFET Loss]]*ThetaJA_Q2, ThetaJA_Q3*Table16[[#This Row],[Total Sync Bo MOSFET Loss]])</f>
        <v>66.402228196976267</v>
      </c>
      <c r="BN28" s="640"/>
      <c r="BO28" s="292">
        <f>Table16[[#This Row],[EFF, h]]*100</f>
        <v>94.404877835128957</v>
      </c>
      <c r="BP28" s="345">
        <f>Table16[[#This Row],[Total Inductor Loss]]</f>
        <v>1.9552132918879965</v>
      </c>
      <c r="BQ28" s="345">
        <f>Table16[[#This Row],[Total Control Bu MOSFET Loss]]+Table16[[#This Row],[Total Sync Bu MOSFET Loss]]+Table16[[#This Row],[Total Control Bo MOSFET Loss]]+Table16[[#This Row],[Total Sync Bo MOSFET Loss]]+Table16[[#This Row],[Reverse Recovery Loss MOSFET D BUCK]]+Table16[[#This Row],[Reverse Recovery Loss MOSFET D BOOST]]</f>
        <v>3.835459200605889</v>
      </c>
      <c r="BR28" s="345">
        <f>Table16[[#This Row],[Total Control Bu MOSFET Loss]]+Table16[[#This Row],[Reverse Recovery Loss MOSFET D BUCK]]*0.66</f>
        <v>1.0428680244397199</v>
      </c>
      <c r="BS28" s="345">
        <f>Table16[[#This Row],[Total Sync Bu MOSFET Loss]]+Table16[[#This Row],[Reverse Recovery Loss MOSFET D BUCK]]*0.33</f>
        <v>0</v>
      </c>
      <c r="BT28" s="345">
        <f xml:space="preserve"> Table16[[#This Row],[Total Control Bo MOSFET Loss]]+Table16[[#This Row],[Reverse Recovery Loss MOSFET D BOOST]]*0.66</f>
        <v>1.6497717146742268</v>
      </c>
      <c r="BU28" s="345">
        <f xml:space="preserve"> Table16[[#This Row],[Total Sync Bo MOSFET Loss]]+Table16[[#This Row],[Reverse Recovery Loss MOSFET D BOOST]]*0.33</f>
        <v>1.1392533814919426</v>
      </c>
      <c r="BV28" s="345">
        <f>Table16[[#This Row],[Isense Shunt Loss]]</f>
        <v>0.13828814292279801</v>
      </c>
      <c r="BZ28" s="253" t="s">
        <v>154</v>
      </c>
      <c r="CA28" s="253">
        <v>9.9987659999999998</v>
      </c>
      <c r="CB28" s="253">
        <v>0.14660000000000001</v>
      </c>
      <c r="CC28" s="253">
        <v>5.1213230000000003</v>
      </c>
      <c r="CD28" s="253">
        <v>69.885376918691776</v>
      </c>
      <c r="CE28" s="253">
        <v>323.52446193379996</v>
      </c>
    </row>
    <row r="29" spans="1:92" ht="13.6" x14ac:dyDescent="0.25">
      <c r="A29" s="688" t="s">
        <v>115</v>
      </c>
      <c r="B29" s="679" t="s">
        <v>113</v>
      </c>
      <c r="C29" s="688" t="s">
        <v>80</v>
      </c>
      <c r="D29" s="681" t="s">
        <v>109</v>
      </c>
      <c r="G29" s="253">
        <v>20</v>
      </c>
      <c r="H29" s="286">
        <f>VIN_min+(VIN_max-VIN_min)*(Table16[[#This Row],[Step]]/200)</f>
        <v>9</v>
      </c>
      <c r="I29" s="292" t="str">
        <f>IF(Mode = 2,IF(Table16[[#This Row],[Vin]]&gt;Vout, "BUCK","BOOST"),IF(Table16[[#This Row],[Vin]]&gt;VIN_BB_to_buck, "BUCK", IF(Table16[[#This Row],[Vin]]&lt;=VIN_boost_to_BB,"BOOST","BUCK-BST")))</f>
        <v>BOOST</v>
      </c>
      <c r="J29" s="253">
        <f>IF(Table16[[#This Row],[Mode]]="BOOST",2, IF(Table16[[#This Row],[Mode]]="BUCK", 1,3))</f>
        <v>2</v>
      </c>
      <c r="K29" s="253">
        <f t="shared" si="0"/>
        <v>8</v>
      </c>
      <c r="L29" s="292">
        <f>Vout*Table16[[#This Row],[Iout]]/(Table16[[#This Row],[Vin]]*Efficiency)</f>
        <v>14.970760233918131</v>
      </c>
      <c r="M29" s="682">
        <f>MIN(1/Fsw,CHOOSE(Table16[[#This Row],[Mode Digit]],(Vout+(Rdson2+Rs+Rdcr)*Table16[[#This Row],[Iout]])/(Table16[[#This Row],[Vin]]+(Rs+Rdson2-Rdson1)*Table16[[#This Row],[Iout]])/Fsw,(Vout+(Rdson3+Rdcr)*Table16[[#This Row],[Iin]]-Table16[[#This Row],[Vin]])/(Vout+(Rdson3-Rdson4-Rs)*Table16[[#This Row],[Iin]])/Fsw,t1_Ph_II))</f>
        <v>1.1163554081240436E-6</v>
      </c>
      <c r="N29" s="518">
        <f>CHOOSE(Table16[[#This Row],[Mode Digit]],1/Fsw-Table16[[#This Row],[t1_Ph_II]],1/Fsw-Table16[[#This Row],[t1_Ph_II]],(Vout/Fsw-Table16[[#This Row],[Vin]]*t1_Ph_II)/(Table16[[#This Row],[Vin]]+Vout))</f>
        <v>1.3962074059463083E-6</v>
      </c>
      <c r="O29" s="518">
        <f>1/Fsw-(Table16[[#This Row],[t1_Ph_II]]+Table16[[#This Row],[t2_Ph_I]])</f>
        <v>0</v>
      </c>
      <c r="P29"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12.179871713608023</v>
      </c>
      <c r="Q29" s="292">
        <f>CHOOSE(Table16[[#This Row],[Mode Digit]],Table16[[#This Row],[I_0]]+1/Lf*(Table16[[#This Row],[Vin]]-Vout)*Table16[[#This Row],[t1_Ph_II]],Table16[[#This Row],[I_0]]+1/Lf*Table16[[#This Row],[Vin]]*Table16[[#This Row],[t1_Ph_II]],Table16[[#This Row],[I_0]]+(Table16[[#This Row],[Vin]]-Vout)/L*Table16[[#This Row],[t1_Ph_II]])</f>
        <v>17.76164875422824</v>
      </c>
      <c r="R29" s="292">
        <f>CHOOSE(Table16[[#This Row],[Mode Digit]],0,0,Table16[[#This Row],[I_1]]+Table16[[#This Row],[Vin]]/L*Table16[[#This Row],[t2_Ph_I]])</f>
        <v>0</v>
      </c>
      <c r="S29" s="292">
        <f>Fsw*(Table16[[#This Row],[I_0]]*Table16[[#This Row],[t1_Ph_II]]+Table16[[#This Row],[I_1]]*Table16[[#This Row],[t2_Ph_I]]+Table16[[#This Row],[I_2]]*Table16[[#This Row],[t3_Ph_III]])</f>
        <v>15.281612453705119</v>
      </c>
      <c r="T29" s="345">
        <f>MIN(1,CHOOSE(Table16[[#This Row],[Mode Digit]],(Vout+(Rdson2+Rs+Rdcr)*Table16[[#This Row],[Iout]])/(Table16[[#This Row],[Vin]]+(Rs+Rdson2-Rdson1)*Table16[[#This Row],[Iout]]),1,Fsw*Table16[[#This Row],[t2_Ph_I]]+Table16[[#This Row],[t1_Ph_II]]))</f>
        <v>1</v>
      </c>
      <c r="U29" s="345">
        <f>MIN(1,CHOOSE(Table16[[#This Row],[Mode Digit]],0,(Vout+(Rdson3+Rdcr)*Table16[[#This Row],[Iin]]-Table16[[#This Row],[Vin]])/(Vout+(Rdson3-Rdson4-Rs)*Table16[[#This Row],[Iin]]),Fsw*Table16[[#This Row],[t1_Ph_II]]+Table16[[#This Row],[t3_Ph_III]]))</f>
        <v>0.44430945243336933</v>
      </c>
      <c r="V29" s="292">
        <f>MAX(Table16[[#This Row],[I_0]:[I_2]])-MIN(Table16[[#This Row],[I_0]:[I_1]])</f>
        <v>5.5817770406202172</v>
      </c>
      <c r="W29"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15.057224674301615</v>
      </c>
      <c r="X29" s="345">
        <f>(Table16[[#This Row],[Irms Lf]]^2*Rdcr*(1+Ltc*Ta-Ltc*25))/(1-Table16[[#This Row],[Irms Lf]]^2*Rdcr*Ltc*ThetaCa)</f>
        <v>0.77020711819857368</v>
      </c>
      <c r="Y29" s="345">
        <f>ABS(7.759*10^-3*Fsw^0.9458*(0.00787*Table16[[#This Row],[Ripple Current pk-pk]])^2.304)</f>
        <v>1.1456837418722257</v>
      </c>
      <c r="Z29" s="345">
        <f>Table16[[#This Row],[DCR    Loss]]+Table16[[#This Row],[Core Loss]]</f>
        <v>1.9158908600707993</v>
      </c>
      <c r="AA29" s="292">
        <f>IF(Table16[[#This Row],[Vin]]&gt;Vout, Table16[[#This Row],[Ripple Current pk-pk]]/SQRT(12), SQRT(Table16[[#This Row],[Duty Cycle BOOST Leg]]/(1-Table16[[#This Row],[Duty Cycle BOOST Leg]]))*SQRT(Table16[[#This Row],[Iout]]^2+(Table16[[#This Row],[Ripple Current pk-pk]]^2)/12))</f>
        <v>7.2971201088936626</v>
      </c>
      <c r="AB29" s="345">
        <f>RCoutEsr*Table16[[#This Row],[Irms Cout]]^2</f>
        <v>0.10649592376724051</v>
      </c>
      <c r="AC29" s="345">
        <f>Table16[[#This Row],[Cout ESR Loss]]</f>
        <v>0.10649592376724051</v>
      </c>
      <c r="AD29" s="345">
        <f>IF(Table16[[#This Row],[Vin]]&gt;Vout, SQRT(Table16[[#This Row],[Duty Cycle BUCK Leg]]*(1-Table16[[#This Row],[Duty Cycle BUCK Leg]]))*SQRT(Table16[[#This Row],[Iout]]^2+(Table16[[#This Row],[Ripple Current pk-pk]]^2)/12), Table16[[#This Row],[Ripple Current pk-pk]]/SQRT(12))</f>
        <v>1.6113202384792775</v>
      </c>
      <c r="AE29" s="345">
        <f>RCinEsr*Table16[[#This Row],[Irms Cin]]^2</f>
        <v>5.1927058218658321E-3</v>
      </c>
      <c r="AF29" s="683">
        <f>Table16[[#This Row],[Cin ESR Loss]]</f>
        <v>5.1927058218658321E-3</v>
      </c>
      <c r="AG29"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15.057224674301615</v>
      </c>
      <c r="AH29" s="345">
        <f>Rdson1*Table16[[#This Row],[Irms BuCtrl]]^2</f>
        <v>0.79352005212339083</v>
      </c>
      <c r="AI29" s="345">
        <f>CHOOSE(Table16[[#This Row],[Mode Digit]], (Table16[[#This Row],[Vin]]*Table16[[#This Row],[Iout]]/2)*(Fsw)*(Tr_buck+Tf_buck), 0, (Table16[[#This Row],[Vin]]*Table16[[#This Row],[Avg IL]]/2)*(Fsw/1)*(Tr_buck+Tf_buck))</f>
        <v>0</v>
      </c>
      <c r="AJ29" s="253">
        <f>IF(Table16[[#This Row],[Vin]]&gt;Vout, IF(Table16[[#This Row],[Iout]]&gt;Table16[[#This Row],[Ripple Current pk-pk]]/2,0,ABS(Table16[[#This Row],[Iout]]-Table16[[#This Row],[Ripple Current pk-pk]]/2)*Vsd_Q1*Deadtime*Fsw),0)</f>
        <v>0</v>
      </c>
      <c r="AK29" s="345">
        <f>(Table16[[#This Row],[Dead Time Loss BuCtrl]]+Table16[[#This Row],[Transition Loss BuCtrl]]+Table16[[#This Row],[RDS(on) Loss BuCtrl]]*(1+RdsonTopTc*Ta-RdsonTopTc*25))/(1-Table16[[#This Row],[RDS(on) Loss BuCtrl]]*RdsonTopTc*ThetaJA_Q1)</f>
        <v>0.99979244364092601</v>
      </c>
      <c r="AL29" s="345">
        <f>CHOOSE(Table16[[#This Row],[Mode Digit]],SQRT((Fsw*(Table16[[#This Row],[t2_Ph_I]]+0))*((Table16[[#This Row],[I_0]]*Table16[[#This Row],[I_1]]+((Table16[[#This Row],[I_0]]-Table16[[#This Row],[I_1]])^2)/3))),0,SQRT((Fsw*(Table16[[#This Row],[t3_Ph_III]]+0))*((Table16[[#This Row],[I_0]]*Table16[[#This Row],[I_2]]+((Table16[[#This Row],[I_0]]-Table16[[#This Row],[I_2]])^2)/3))))</f>
        <v>0</v>
      </c>
      <c r="AM29" s="345">
        <f>Rdson2*Table16[[#This Row],[Irms BuSync]]^2</f>
        <v>0</v>
      </c>
      <c r="AN29"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29" s="345">
        <f>(Table16[[#This Row],[Deadtime Loss BuSync]]+Table16[[#This Row],[RDS(on) Loss BuSync]]*(1+RdsonBotTc*Ta-RdsonBotTc*25))/(1-Table16[[#This Row],[RDS(on) Loss BuSync]]*RdsonBotTc*ThetaJA_Q2)</f>
        <v>0</v>
      </c>
      <c r="AP29" s="345">
        <f>CHOOSE(Table16[[#This Row],[Mode Digit]],0,SQRT((Fsw*(Table16[[#This Row],[t1_Ph_II]]+0))*((Table16[[#This Row],[I_0]]*Table16[[#This Row],[I_1]]+((Table16[[#This Row],[I_0]]-Table16[[#This Row],[I_1]])^2)/3))),SQRT((Fsw*(Table16[[#This Row],[t2_Ph_I]]+0))*((Table16[[#This Row],[I_1]]*Table16[[#This Row],[I_2]]+((Table16[[#This Row],[I_1]]-Table16[[#This Row],[I_2]])^2)/3))))</f>
        <v>10.036625213313807</v>
      </c>
      <c r="AQ29" s="345">
        <f>Rdson4*Table16[[#This Row],[Irms BoCtlr]]^2</f>
        <v>0.35256845985384244</v>
      </c>
      <c r="AR29" s="345">
        <f>CHOOSE(Table16[[#This Row],[Mode Digit]], 0, (Vout*Table16[[#This Row],[Iin]]/2)*(Fsw)*(Tr_boost+Tf_boost), (Vout*Iout/2)*(Fsw/1)*(Tr_boost+Tf_boost))</f>
        <v>0.89009255460420678</v>
      </c>
      <c r="AS29" s="253">
        <f>IF(Table16[[#This Row],[Vin]]&gt;Vout, 0, IF(Table16[[#This Row],[Iin]]&gt;Table16[[#This Row],[Ripple Current pk-pk]]/2,0,ABS(Table16[[#This Row],[Iin]]-Table16[[#This Row],[Ripple Current pk-pk]]/2)*Vsd_Q4*Deadtime*Fsw))</f>
        <v>0</v>
      </c>
      <c r="AT29" s="345">
        <f>(Table16[[#This Row],[Dead Time Loss BoCtlr]]+Table16[[#This Row],[Transition Loss BoCtlr]]+Table16[[#This Row],[RDS(on) Loss BoCtlr]]*(1+RdsonTopTc*Ta-RdsonTopTc*25))/(1-Table16[[#This Row],[RDS(on) Loss BoCtlr]]*RdsonTopTc*ThetaJA_Q4)</f>
        <v>1.3680688781690593</v>
      </c>
      <c r="AU29"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11.224356071502319</v>
      </c>
      <c r="AV29" s="345">
        <f>Rdson3*Table16[[#This Row],[Irms BoSync]]^2</f>
        <v>0.44095159226954844</v>
      </c>
      <c r="AW29"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0.44687719298245615</v>
      </c>
      <c r="AX29" s="345">
        <f>(Table16[[#This Row],[Deadtime Loss BoSync]]+Table16[[#This Row],[RDS(on) Loss BoSync]]*(1+RdsonBotTc*Ta-RdsonBotTc*25))/(1-Table16[[#This Row],[RDS(on) Loss BoSync]]*RdsonBotTc*ThetaJA_Q3)</f>
        <v>1.0027968509735166</v>
      </c>
      <c r="AY29" s="345">
        <f>CHOOSE(Table16[[#This Row],[Mode Digit]], Rdson3*Table16[[#This Row],[Irms Lf]]^2, Rdson1*Table16[[#This Row],[Irms Lf]]^2, 0)</f>
        <v>0.79352005212339083</v>
      </c>
      <c r="AZ29" s="345">
        <f>CHOOSE(Table16[[#This Row],[Mode Digit]], 2*Deadtime*Fsw*IF(VfdSky_Q2&gt;0,VfdSky_Q2,0)*Table16[[#This Row],[Iout]], 2*Deadtime*Fsw*IF(VfdSky_Q3&gt;0,VfdSky_Q3,0)*Table16[[#This Row],[Iin]], 2*Deadtime*Fsw*IF(VfdSky_Q2&gt;0,VfdSky_Q2,0)*Table16[[#This Row],[Iout]]+2*Deadtime*Fsw*IF(VfdSky_Q3&gt;0,VfdSky_Q3,0)*Table16[[#This Row],[Iin]])</f>
        <v>0</v>
      </c>
      <c r="BA29" s="345">
        <f>CHOOSE(Table16[[#This Row],[Mode Digit]], IF(QrrSky_Q2&gt;0,QrrSky_Q2,Qrr_Q2)*Fsw*(Table16[[#This Row],[Vin]]-Table16[[#This Row],[Iout]]*Rdson1),0,  IF(QrrSky_Q2&gt;0,QrrSky_Q2,Qrr_Q2)*Fsw*(Table16[[#This Row],[Vin]]-Table16[[#This Row],[Iout]]*Rdson1)+IF(QrrSky_Q3&gt;0,QrrSky_Q3,Qrr_Q3)*Fsw*Vout)</f>
        <v>0</v>
      </c>
      <c r="BB29" s="345">
        <f>CHOOSE(Table16[[#This Row],[Mode Digit]],0, IF(QrrSky_Q3&gt;0,QrrSky_Q3,Qrr_Q3)*Fsw*Vout,  IF(QrrSky_Q2&gt;0,QrrSky_Q2,Qrr_Q2)*Fsw*(Table16[[#This Row],[Vin]]-Table16[[#This Row],[Iout]]*Rdson1)+IF(QrrSky_Q3&gt;0,QrrSky_Q3,Qrr_Q3)*Fsw*Vout)</f>
        <v>0.35660799999999998</v>
      </c>
      <c r="BC29" s="345">
        <f>CHOOSE(Table16[[#This Row],[Mode Digit]], Rs*Table16[[#This Row],[Irms BuSync]]^2, Rs*Table16[[#This Row],[Irms BoCtlr]]^2, Rs*(Table16[[#This Row],[Irms BuSync]]^2+Table16[[#This Row],[Irms BoCtlr]]^2))</f>
        <v>0.13095399937428434</v>
      </c>
      <c r="BD29" s="345">
        <f t="shared" si="1"/>
        <v>0.64</v>
      </c>
      <c r="BE29" s="345">
        <f>IF(Vout&gt;8, Iq*Vout, Iq*Table16[[#This Row],[Vin]])</f>
        <v>4.8000000000000001E-2</v>
      </c>
      <c r="BF29" s="345">
        <f>CHOOSE(Table16[[#This Row],[Mode Digit]], (Qg_Q1+Qg_Q2)*Fsw, (Qg_Q3+Qg_Q4)*Fsw, (Qg_Q1+Qg_Q2+Qg_Q3+Qg_Q4)*Fsw)*IF(Vout&gt;8, Vout, Table16[[#This Row],[Vin]])</f>
        <v>0.85331200000000007</v>
      </c>
      <c r="BG29" s="345">
        <f t="shared" si="2"/>
        <v>0.50594479787234037</v>
      </c>
      <c r="BH29" s="345">
        <f>Table16[[#This Row],[IQ Loss]]+Table16[[#This Row],[Switching Current Loss]]</f>
        <v>0.90131200000000011</v>
      </c>
      <c r="BI29"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7.4271116618176913</v>
      </c>
      <c r="BJ29" s="253">
        <f>Vout*Table16[[#This Row],[Iout]]</f>
        <v>128</v>
      </c>
      <c r="BK29" s="684">
        <f>Table16[[#This Row],[Pout]]/(Table16[[#This Row],[Pout]]+Table16[[#This Row],[Total Loss]])</f>
        <v>0.94515786705719362</v>
      </c>
      <c r="BL29"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112.10399708098886</v>
      </c>
      <c r="BM29" s="685">
        <f>IF(Table16[[#This Row],[Vin]]&gt;Vout, Table16[[#This Row],[Total Sync Bu MOSFET Loss]]*ThetaJA_Q2, ThetaJA_Q3*Table16[[#This Row],[Total Sync Bo MOSFET Loss]])</f>
        <v>65.18179531327857</v>
      </c>
      <c r="BN29" s="640"/>
      <c r="BO29" s="292">
        <f>Table16[[#This Row],[EFF, h]]*100</f>
        <v>94.515786705719364</v>
      </c>
      <c r="BP29" s="345">
        <f>Table16[[#This Row],[Total Inductor Loss]]</f>
        <v>1.9158908600707993</v>
      </c>
      <c r="BQ29" s="345">
        <f>Table16[[#This Row],[Total Control Bu MOSFET Loss]]+Table16[[#This Row],[Total Sync Bu MOSFET Loss]]+Table16[[#This Row],[Total Control Bo MOSFET Loss]]+Table16[[#This Row],[Total Sync Bo MOSFET Loss]]+Table16[[#This Row],[Reverse Recovery Loss MOSFET D BUCK]]+Table16[[#This Row],[Reverse Recovery Loss MOSFET D BOOST]]</f>
        <v>3.7272661727835019</v>
      </c>
      <c r="BR29" s="345">
        <f>Table16[[#This Row],[Total Control Bu MOSFET Loss]]+Table16[[#This Row],[Reverse Recovery Loss MOSFET D BUCK]]*0.66</f>
        <v>0.99979244364092601</v>
      </c>
      <c r="BS29" s="345">
        <f>Table16[[#This Row],[Total Sync Bu MOSFET Loss]]+Table16[[#This Row],[Reverse Recovery Loss MOSFET D BUCK]]*0.33</f>
        <v>0</v>
      </c>
      <c r="BT29" s="345">
        <f xml:space="preserve"> Table16[[#This Row],[Total Control Bo MOSFET Loss]]+Table16[[#This Row],[Reverse Recovery Loss MOSFET D BOOST]]*0.66</f>
        <v>1.6034301581690593</v>
      </c>
      <c r="BU29" s="345">
        <f xml:space="preserve"> Table16[[#This Row],[Total Sync Bo MOSFET Loss]]+Table16[[#This Row],[Reverse Recovery Loss MOSFET D BOOST]]*0.33</f>
        <v>1.1204774909735167</v>
      </c>
      <c r="BV29" s="345">
        <f>Table16[[#This Row],[Isense Shunt Loss]]</f>
        <v>0.13095399937428434</v>
      </c>
      <c r="BZ29" s="253" t="s">
        <v>155</v>
      </c>
      <c r="CA29" s="253">
        <v>9.9987899999999996</v>
      </c>
      <c r="CB29" s="253">
        <v>0.1958</v>
      </c>
      <c r="CC29" s="253">
        <v>5.1217600000000001</v>
      </c>
      <c r="CD29" s="253">
        <v>75.662516566515876</v>
      </c>
      <c r="CE29" s="253">
        <v>322.57199766699983</v>
      </c>
    </row>
    <row r="30" spans="1:92" ht="13.6" x14ac:dyDescent="0.25">
      <c r="A30" s="690" t="s">
        <v>64</v>
      </c>
      <c r="B30" s="569">
        <f>RdsonDRB</f>
        <v>1.5</v>
      </c>
      <c r="C30" s="702" t="s">
        <v>118</v>
      </c>
      <c r="D30" s="255" t="s">
        <v>641</v>
      </c>
      <c r="G30" s="253">
        <v>21</v>
      </c>
      <c r="H30" s="286">
        <f>VIN_min+(VIN_max-VIN_min)*(Table16[[#This Row],[Step]]/200)</f>
        <v>9.15</v>
      </c>
      <c r="I30" s="292" t="str">
        <f>IF(Mode = 2,IF(Table16[[#This Row],[Vin]]&gt;Vout, "BUCK","BOOST"),IF(Table16[[#This Row],[Vin]]&gt;VIN_BB_to_buck, "BUCK", IF(Table16[[#This Row],[Vin]]&lt;=VIN_boost_to_BB,"BOOST","BUCK-BST")))</f>
        <v>BOOST</v>
      </c>
      <c r="J30" s="253">
        <f>IF(Table16[[#This Row],[Mode]]="BOOST",2, IF(Table16[[#This Row],[Mode]]="BUCK", 1,3))</f>
        <v>2</v>
      </c>
      <c r="K30" s="253">
        <f t="shared" si="0"/>
        <v>8</v>
      </c>
      <c r="L30" s="292">
        <f>Vout*Table16[[#This Row],[Iout]]/(Table16[[#This Row],[Vin]]*Efficiency)</f>
        <v>14.725337935001436</v>
      </c>
      <c r="M30" s="682">
        <f>MIN(1/Fsw,CHOOSE(Table16[[#This Row],[Mode Digit]],(Vout+(Rdson2+Rs+Rdcr)*Table16[[#This Row],[Iout]])/(Table16[[#This Row],[Vin]]+(Rs+Rdson2-Rdson1)*Table16[[#This Row],[Iout]])/Fsw,(Vout+(Rdson3+Rdcr)*Table16[[#This Row],[Iin]]-Table16[[#This Row],[Vin]])/(Vout+(Rdson3-Rdson4-Rs)*Table16[[#This Row],[Iin]])/Fsw,t1_Ph_II))</f>
        <v>1.0924911013701787E-6</v>
      </c>
      <c r="N30" s="518">
        <f>CHOOSE(Table16[[#This Row],[Mode Digit]],1/Fsw-Table16[[#This Row],[t1_Ph_II]],1/Fsw-Table16[[#This Row],[t1_Ph_II]],(Vout/Fsw-Table16[[#This Row],[Vin]]*t1_Ph_II)/(Table16[[#This Row],[Vin]]+Vout))</f>
        <v>1.4200717127001732E-6</v>
      </c>
      <c r="O30" s="518">
        <f>1/Fsw-(Table16[[#This Row],[t1_Ph_II]]+Table16[[#This Row],[t2_Ph_I]])</f>
        <v>0</v>
      </c>
      <c r="P30"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11.948589719018898</v>
      </c>
      <c r="Q30" s="292">
        <f>CHOOSE(Table16[[#This Row],[Mode Digit]],Table16[[#This Row],[I_0]]+1/Lf*(Table16[[#This Row],[Vin]]-Vout)*Table16[[#This Row],[t1_Ph_II]],Table16[[#This Row],[I_0]]+1/Lf*Table16[[#This Row],[Vin]]*Table16[[#This Row],[t1_Ph_II]],Table16[[#This Row],[I_0]]+(Table16[[#This Row],[Vin]]-Vout)/L*Table16[[#This Row],[t1_Ph_II]])</f>
        <v>17.502086150983974</v>
      </c>
      <c r="R30" s="292">
        <f>CHOOSE(Table16[[#This Row],[Mode Digit]],0,0,Table16[[#This Row],[I_1]]+Table16[[#This Row],[Vin]]/L*Table16[[#This Row],[t2_Ph_I]])</f>
        <v>0</v>
      </c>
      <c r="S30" s="292">
        <f>Fsw*(Table16[[#This Row],[I_0]]*Table16[[#This Row],[t1_Ph_II]]+Table16[[#This Row],[I_1]]*Table16[[#This Row],[t2_Ph_I]]+Table16[[#This Row],[I_2]]*Table16[[#This Row],[t3_Ph_III]])</f>
        <v>15.087362268485647</v>
      </c>
      <c r="T30" s="345">
        <f>MIN(1,CHOOSE(Table16[[#This Row],[Mode Digit]],(Vout+(Rdson2+Rs+Rdcr)*Table16[[#This Row],[Iout]])/(Table16[[#This Row],[Vin]]+(Rs+Rdson2-Rdson1)*Table16[[#This Row],[Iout]]),1,Fsw*Table16[[#This Row],[t2_Ph_I]]+Table16[[#This Row],[t1_Ph_II]]))</f>
        <v>1</v>
      </c>
      <c r="U30" s="345">
        <f>MIN(1,CHOOSE(Table16[[#This Row],[Mode Digit]],0,(Vout+(Rdson3+Rdcr)*Table16[[#This Row],[Iin]]-Table16[[#This Row],[Vin]])/(Vout+(Rdson3-Rdson4-Rs)*Table16[[#This Row],[Iin]]),Fsw*Table16[[#This Row],[t1_Ph_II]]+Table16[[#This Row],[t3_Ph_III]]))</f>
        <v>0.43481145834533114</v>
      </c>
      <c r="V30" s="292">
        <f>MAX(Table16[[#This Row],[I_0]:[I_2]])-MIN(Table16[[#This Row],[I_0]:[I_1]])</f>
        <v>5.5534964319650761</v>
      </c>
      <c r="W30"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14.812349155968242</v>
      </c>
      <c r="X30" s="345">
        <f>(Table16[[#This Row],[Irms Lf]]^2*Rdcr*(1+Ltc*Ta-Ltc*25))/(1-Table16[[#This Row],[Irms Lf]]^2*Rdcr*Ltc*ThetaCa)</f>
        <v>0.74388036530157564</v>
      </c>
      <c r="Y30" s="345">
        <f>ABS(7.759*10^-3*Fsw^0.9458*(0.00787*Table16[[#This Row],[Ripple Current pk-pk]])^2.304)</f>
        <v>1.1323538324135225</v>
      </c>
      <c r="Z30" s="345">
        <f>Table16[[#This Row],[DCR    Loss]]+Table16[[#This Row],[Core Loss]]</f>
        <v>1.8762341977150983</v>
      </c>
      <c r="AA30" s="292">
        <f>IF(Table16[[#This Row],[Vin]]&gt;Vout, Table16[[#This Row],[Ripple Current pk-pk]]/SQRT(12), SQRT(Table16[[#This Row],[Duty Cycle BOOST Leg]]/(1-Table16[[#This Row],[Duty Cycle BOOST Leg]]))*SQRT(Table16[[#This Row],[Iout]]^2+(Table16[[#This Row],[Ripple Current pk-pk]]^2)/12))</f>
        <v>7.1563809974062798</v>
      </c>
      <c r="AB30" s="345">
        <f>RCoutEsr*Table16[[#This Row],[Irms Cout]]^2</f>
        <v>0.1024275779600754</v>
      </c>
      <c r="AC30" s="345">
        <f>Table16[[#This Row],[Cout ESR Loss]]</f>
        <v>0.1024275779600754</v>
      </c>
      <c r="AD30" s="345">
        <f>IF(Table16[[#This Row],[Vin]]&gt;Vout, SQRT(Table16[[#This Row],[Duty Cycle BUCK Leg]]*(1-Table16[[#This Row],[Duty Cycle BUCK Leg]]))*SQRT(Table16[[#This Row],[Iout]]^2+(Table16[[#This Row],[Ripple Current pk-pk]]^2)/12), Table16[[#This Row],[Ripple Current pk-pk]]/SQRT(12))</f>
        <v>1.6031563299693317</v>
      </c>
      <c r="AE30" s="345">
        <f>RCinEsr*Table16[[#This Row],[Irms Cin]]^2</f>
        <v>5.1402204366414739E-3</v>
      </c>
      <c r="AF30" s="683">
        <f>Table16[[#This Row],[Cin ESR Loss]]</f>
        <v>5.1402204366414739E-3</v>
      </c>
      <c r="AG30"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14.812349155968242</v>
      </c>
      <c r="AH30" s="345">
        <f>Rdson1*Table16[[#This Row],[Irms BuCtrl]]^2</f>
        <v>0.7679199063140959</v>
      </c>
      <c r="AI30" s="345">
        <f>CHOOSE(Table16[[#This Row],[Mode Digit]], (Table16[[#This Row],[Vin]]*Table16[[#This Row],[Iout]]/2)*(Fsw)*(Tr_buck+Tf_buck), 0, (Table16[[#This Row],[Vin]]*Table16[[#This Row],[Avg IL]]/2)*(Fsw/1)*(Tr_buck+Tf_buck))</f>
        <v>0</v>
      </c>
      <c r="AJ30" s="253">
        <f>IF(Table16[[#This Row],[Vin]]&gt;Vout, IF(Table16[[#This Row],[Iout]]&gt;Table16[[#This Row],[Ripple Current pk-pk]]/2,0,ABS(Table16[[#This Row],[Iout]]-Table16[[#This Row],[Ripple Current pk-pk]]/2)*Vsd_Q1*Deadtime*Fsw),0)</f>
        <v>0</v>
      </c>
      <c r="AK30" s="345">
        <f>(Table16[[#This Row],[Dead Time Loss BuCtrl]]+Table16[[#This Row],[Transition Loss BuCtrl]]+Table16[[#This Row],[RDS(on) Loss BuCtrl]]*(1+RdsonTopTc*Ta-RdsonTopTc*25))/(1-Table16[[#This Row],[RDS(on) Loss BuCtrl]]*RdsonTopTc*ThetaJA_Q1)</f>
        <v>0.95949111046505431</v>
      </c>
      <c r="AL30" s="345">
        <f>CHOOSE(Table16[[#This Row],[Mode Digit]],SQRT((Fsw*(Table16[[#This Row],[t2_Ph_I]]+0))*((Table16[[#This Row],[I_0]]*Table16[[#This Row],[I_1]]+((Table16[[#This Row],[I_0]]-Table16[[#This Row],[I_1]])^2)/3))),0,SQRT((Fsw*(Table16[[#This Row],[t3_Ph_III]]+0))*((Table16[[#This Row],[I_0]]*Table16[[#This Row],[I_2]]+((Table16[[#This Row],[I_0]]-Table16[[#This Row],[I_2]])^2)/3))))</f>
        <v>0</v>
      </c>
      <c r="AM30" s="345">
        <f>Rdson2*Table16[[#This Row],[Irms BuSync]]^2</f>
        <v>0</v>
      </c>
      <c r="AN30"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30" s="345">
        <f>(Table16[[#This Row],[Deadtime Loss BuSync]]+Table16[[#This Row],[RDS(on) Loss BuSync]]*(1+RdsonBotTc*Ta-RdsonBotTc*25))/(1-Table16[[#This Row],[RDS(on) Loss BuSync]]*RdsonBotTc*ThetaJA_Q2)</f>
        <v>0</v>
      </c>
      <c r="AP30" s="345">
        <f>CHOOSE(Table16[[#This Row],[Mode Digit]],0,SQRT((Fsw*(Table16[[#This Row],[t1_Ph_II]]+0))*((Table16[[#This Row],[I_0]]*Table16[[#This Row],[I_1]]+((Table16[[#This Row],[I_0]]-Table16[[#This Row],[I_1]])^2)/3))),SQRT((Fsw*(Table16[[#This Row],[t2_Ph_I]]+0))*((Table16[[#This Row],[I_1]]*Table16[[#This Row],[I_2]]+((Table16[[#This Row],[I_1]]-Table16[[#This Row],[I_2]])^2)/3))))</f>
        <v>9.767297833029243</v>
      </c>
      <c r="AQ30" s="345">
        <f>Rdson4*Table16[[#This Row],[Irms BoCtlr]]^2</f>
        <v>0.33390037435684211</v>
      </c>
      <c r="AR30" s="345">
        <f>CHOOSE(Table16[[#This Row],[Mode Digit]], 0, (Vout*Table16[[#This Row],[Iin]]/2)*(Fsw)*(Tr_boost+Tf_boost), (Vout*Iout/2)*(Fsw/1)*(Tr_boost+Tf_boost))</f>
        <v>0.87550087338118665</v>
      </c>
      <c r="AS30" s="253">
        <f>IF(Table16[[#This Row],[Vin]]&gt;Vout, 0, IF(Table16[[#This Row],[Iin]]&gt;Table16[[#This Row],[Ripple Current pk-pk]]/2,0,ABS(Table16[[#This Row],[Iin]]-Table16[[#This Row],[Ripple Current pk-pk]]/2)*Vsd_Q4*Deadtime*Fsw))</f>
        <v>0</v>
      </c>
      <c r="AT30" s="345">
        <f>(Table16[[#This Row],[Dead Time Loss BoCtlr]]+Table16[[#This Row],[Transition Loss BoCtlr]]+Table16[[#This Row],[RDS(on) Loss BoCtlr]]*(1+RdsonTopTc*Ta-RdsonTopTc*25))/(1-Table16[[#This Row],[RDS(on) Loss BoCtlr]]*RdsonTopTc*ThetaJA_Q4)</f>
        <v>1.3243757313879088</v>
      </c>
      <c r="AU30"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11.135779297346701</v>
      </c>
      <c r="AV30" s="345">
        <f>Rdson3*Table16[[#This Row],[Irms BoSync]]^2</f>
        <v>0.43401953195725385</v>
      </c>
      <c r="AW30"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0.43955133735979279</v>
      </c>
      <c r="AX30" s="345">
        <f>(Table16[[#This Row],[Deadtime Loss BoSync]]+Table16[[#This Row],[RDS(on) Loss BoSync]]*(1+RdsonBotTc*Ta-RdsonBotTc*25))/(1-Table16[[#This Row],[RDS(on) Loss BoSync]]*RdsonBotTc*ThetaJA_Q3)</f>
        <v>0.98468807190048258</v>
      </c>
      <c r="AY30" s="345">
        <f>CHOOSE(Table16[[#This Row],[Mode Digit]], Rdson3*Table16[[#This Row],[Irms Lf]]^2, Rdson1*Table16[[#This Row],[Irms Lf]]^2, 0)</f>
        <v>0.7679199063140959</v>
      </c>
      <c r="AZ30" s="345">
        <f>CHOOSE(Table16[[#This Row],[Mode Digit]], 2*Deadtime*Fsw*IF(VfdSky_Q2&gt;0,VfdSky_Q2,0)*Table16[[#This Row],[Iout]], 2*Deadtime*Fsw*IF(VfdSky_Q3&gt;0,VfdSky_Q3,0)*Table16[[#This Row],[Iin]], 2*Deadtime*Fsw*IF(VfdSky_Q2&gt;0,VfdSky_Q2,0)*Table16[[#This Row],[Iout]]+2*Deadtime*Fsw*IF(VfdSky_Q3&gt;0,VfdSky_Q3,0)*Table16[[#This Row],[Iin]])</f>
        <v>0</v>
      </c>
      <c r="BA30" s="345">
        <f>CHOOSE(Table16[[#This Row],[Mode Digit]], IF(QrrSky_Q2&gt;0,QrrSky_Q2,Qrr_Q2)*Fsw*(Table16[[#This Row],[Vin]]-Table16[[#This Row],[Iout]]*Rdson1),0,  IF(QrrSky_Q2&gt;0,QrrSky_Q2,Qrr_Q2)*Fsw*(Table16[[#This Row],[Vin]]-Table16[[#This Row],[Iout]]*Rdson1)+IF(QrrSky_Q3&gt;0,QrrSky_Q3,Qrr_Q3)*Fsw*Vout)</f>
        <v>0</v>
      </c>
      <c r="BB30" s="345">
        <f>CHOOSE(Table16[[#This Row],[Mode Digit]],0, IF(QrrSky_Q3&gt;0,QrrSky_Q3,Qrr_Q3)*Fsw*Vout,  IF(QrrSky_Q2&gt;0,QrrSky_Q2,Qrr_Q2)*Fsw*(Table16[[#This Row],[Vin]]-Table16[[#This Row],[Iout]]*Rdson1)+IF(QrrSky_Q3&gt;0,QrrSky_Q3,Qrr_Q3)*Fsw*Vout)</f>
        <v>0.35660799999999998</v>
      </c>
      <c r="BC30" s="345">
        <f>CHOOSE(Table16[[#This Row],[Mode Digit]], Rs*Table16[[#This Row],[Irms BuSync]]^2, Rs*Table16[[#This Row],[Irms BoCtlr]]^2, Rs*(Table16[[#This Row],[Irms BuSync]]^2+Table16[[#This Row],[Irms BoCtlr]]^2))</f>
        <v>0.12402013904682706</v>
      </c>
      <c r="BD30" s="345">
        <f t="shared" si="1"/>
        <v>0.64</v>
      </c>
      <c r="BE30" s="345">
        <f>IF(Vout&gt;8, Iq*Vout, Iq*Table16[[#This Row],[Vin]])</f>
        <v>4.8000000000000001E-2</v>
      </c>
      <c r="BF30" s="345">
        <f>CHOOSE(Table16[[#This Row],[Mode Digit]], (Qg_Q1+Qg_Q2)*Fsw, (Qg_Q3+Qg_Q4)*Fsw, (Qg_Q1+Qg_Q2+Qg_Q3+Qg_Q4)*Fsw)*IF(Vout&gt;8, Vout, Table16[[#This Row],[Vin]])</f>
        <v>0.85331200000000007</v>
      </c>
      <c r="BG30" s="345">
        <f t="shared" si="2"/>
        <v>0.50594479787234037</v>
      </c>
      <c r="BH30" s="345">
        <f>Table16[[#This Row],[IQ Loss]]+Table16[[#This Row],[Switching Current Loss]]</f>
        <v>0.90131200000000011</v>
      </c>
      <c r="BI30"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7.2742970489120875</v>
      </c>
      <c r="BJ30" s="253">
        <f>Vout*Table16[[#This Row],[Iout]]</f>
        <v>128</v>
      </c>
      <c r="BK30" s="684">
        <f>Table16[[#This Row],[Pout]]/(Table16[[#This Row],[Pout]]+Table16[[#This Row],[Total Loss]])</f>
        <v>0.94622557863832879</v>
      </c>
      <c r="BL30"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109.26394254021407</v>
      </c>
      <c r="BM30" s="685">
        <f>IF(Table16[[#This Row],[Vin]]&gt;Vout, Table16[[#This Row],[Total Sync Bu MOSFET Loss]]*ThetaJA_Q2, ThetaJA_Q3*Table16[[#This Row],[Total Sync Bo MOSFET Loss]])</f>
        <v>64.004724673531371</v>
      </c>
      <c r="BN30" s="640"/>
      <c r="BO30" s="292">
        <f>Table16[[#This Row],[EFF, h]]*100</f>
        <v>94.622557863832881</v>
      </c>
      <c r="BP30" s="345">
        <f>Table16[[#This Row],[Total Inductor Loss]]</f>
        <v>1.8762341977150983</v>
      </c>
      <c r="BQ30" s="345">
        <f>Table16[[#This Row],[Total Control Bu MOSFET Loss]]+Table16[[#This Row],[Total Sync Bu MOSFET Loss]]+Table16[[#This Row],[Total Control Bo MOSFET Loss]]+Table16[[#This Row],[Total Sync Bo MOSFET Loss]]+Table16[[#This Row],[Reverse Recovery Loss MOSFET D BUCK]]+Table16[[#This Row],[Reverse Recovery Loss MOSFET D BOOST]]</f>
        <v>3.6251629137534458</v>
      </c>
      <c r="BR30" s="345">
        <f>Table16[[#This Row],[Total Control Bu MOSFET Loss]]+Table16[[#This Row],[Reverse Recovery Loss MOSFET D BUCK]]*0.66</f>
        <v>0.95949111046505431</v>
      </c>
      <c r="BS30" s="345">
        <f>Table16[[#This Row],[Total Sync Bu MOSFET Loss]]+Table16[[#This Row],[Reverse Recovery Loss MOSFET D BUCK]]*0.33</f>
        <v>0</v>
      </c>
      <c r="BT30" s="345">
        <f xml:space="preserve"> Table16[[#This Row],[Total Control Bo MOSFET Loss]]+Table16[[#This Row],[Reverse Recovery Loss MOSFET D BOOST]]*0.66</f>
        <v>1.5597370113879088</v>
      </c>
      <c r="BU30" s="345">
        <f xml:space="preserve"> Table16[[#This Row],[Total Sync Bo MOSFET Loss]]+Table16[[#This Row],[Reverse Recovery Loss MOSFET D BOOST]]*0.33</f>
        <v>1.1023687119004826</v>
      </c>
      <c r="BV30" s="345">
        <f>Table16[[#This Row],[Isense Shunt Loss]]</f>
        <v>0.12402013904682706</v>
      </c>
      <c r="CA30" s="253">
        <v>9.9987659999999998</v>
      </c>
      <c r="CB30" s="253">
        <v>0.2681</v>
      </c>
      <c r="CC30" s="253">
        <v>5.1224080000000001</v>
      </c>
      <c r="CD30" s="253">
        <v>80.957553445887683</v>
      </c>
      <c r="CE30" s="253">
        <v>323.02506068319997</v>
      </c>
    </row>
    <row r="31" spans="1:92" ht="13.6" x14ac:dyDescent="0.25">
      <c r="A31" s="690" t="s">
        <v>147</v>
      </c>
      <c r="B31" s="569">
        <v>1</v>
      </c>
      <c r="C31" s="702" t="s">
        <v>118</v>
      </c>
      <c r="D31" s="255" t="s">
        <v>640</v>
      </c>
      <c r="G31" s="253">
        <v>22</v>
      </c>
      <c r="H31" s="286">
        <f>VIN_min+(VIN_max-VIN_min)*(Table16[[#This Row],[Step]]/200)</f>
        <v>9.3000000000000007</v>
      </c>
      <c r="I31" s="292" t="str">
        <f>IF(Mode = 2,IF(Table16[[#This Row],[Vin]]&gt;Vout, "BUCK","BOOST"),IF(Table16[[#This Row],[Vin]]&gt;VIN_BB_to_buck, "BUCK", IF(Table16[[#This Row],[Vin]]&lt;=VIN_boost_to_BB,"BOOST","BUCK-BST")))</f>
        <v>BOOST</v>
      </c>
      <c r="J31" s="253">
        <f>IF(Table16[[#This Row],[Mode]]="BOOST",2, IF(Table16[[#This Row],[Mode]]="BUCK", 1,3))</f>
        <v>2</v>
      </c>
      <c r="K31" s="253">
        <f t="shared" si="0"/>
        <v>8</v>
      </c>
      <c r="L31" s="292">
        <f>Vout*Table16[[#This Row],[Iout]]/(Table16[[#This Row],[Vin]]*Efficiency)</f>
        <v>14.487832484436897</v>
      </c>
      <c r="M31" s="682">
        <f>MIN(1/Fsw,CHOOSE(Table16[[#This Row],[Mode Digit]],(Vout+(Rdson2+Rs+Rdcr)*Table16[[#This Row],[Iout]])/(Table16[[#This Row],[Vin]]+(Rs+Rdson2-Rdson1)*Table16[[#This Row],[Iout]])/Fsw,(Vout+(Rdson3+Rdcr)*Table16[[#This Row],[Iin]]-Table16[[#This Row],[Vin]])/(Vout+(Rdson3-Rdson4-Rs)*Table16[[#This Row],[Iin]])/Fsw,t1_Ph_II))</f>
        <v>1.0686367750863649E-6</v>
      </c>
      <c r="N31" s="518">
        <f>CHOOSE(Table16[[#This Row],[Mode Digit]],1/Fsw-Table16[[#This Row],[t1_Ph_II]],1/Fsw-Table16[[#This Row],[t1_Ph_II]],(Vout/Fsw-Table16[[#This Row],[Vin]]*t1_Ph_II)/(Table16[[#This Row],[Vin]]+Vout))</f>
        <v>1.443926038983987E-6</v>
      </c>
      <c r="O31" s="518">
        <f>1/Fsw-(Table16[[#This Row],[t1_Ph_II]]+Table16[[#This Row],[t2_Ph_I]])</f>
        <v>0</v>
      </c>
      <c r="P31"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11.727187482130454</v>
      </c>
      <c r="Q31" s="292">
        <f>CHOOSE(Table16[[#This Row],[Mode Digit]],Table16[[#This Row],[I_0]]+1/Lf*(Table16[[#This Row],[Vin]]-Vout)*Table16[[#This Row],[t1_Ph_II]],Table16[[#This Row],[I_0]]+1/Lf*Table16[[#This Row],[Vin]]*Table16[[#This Row],[t1_Ph_II]],Table16[[#This Row],[I_0]]+(Table16[[#This Row],[Vin]]-Vout)/L*Table16[[#This Row],[t1_Ph_II]])</f>
        <v>17.24847748674334</v>
      </c>
      <c r="R31" s="292">
        <f>CHOOSE(Table16[[#This Row],[Mode Digit]],0,0,Table16[[#This Row],[I_1]]+Table16[[#This Row],[Vin]]/L*Table16[[#This Row],[t2_Ph_I]])</f>
        <v>0</v>
      </c>
      <c r="S31" s="292">
        <f>Fsw*(Table16[[#This Row],[I_0]]*Table16[[#This Row],[t1_Ph_II]]+Table16[[#This Row],[I_1]]*Table16[[#This Row],[t2_Ph_I]]+Table16[[#This Row],[I_2]]*Table16[[#This Row],[t3_Ph_III]])</f>
        <v>14.900176575894594</v>
      </c>
      <c r="T31" s="345">
        <f>MIN(1,CHOOSE(Table16[[#This Row],[Mode Digit]],(Vout+(Rdson2+Rs+Rdcr)*Table16[[#This Row],[Iout]])/(Table16[[#This Row],[Vin]]+(Rs+Rdson2-Rdson1)*Table16[[#This Row],[Iout]]),1,Fsw*Table16[[#This Row],[t2_Ph_I]]+Table16[[#This Row],[t1_Ph_II]]))</f>
        <v>1</v>
      </c>
      <c r="U31" s="345">
        <f>MIN(1,CHOOSE(Table16[[#This Row],[Mode Digit]],0,(Vout+(Rdson3+Rdcr)*Table16[[#This Row],[Iin]]-Table16[[#This Row],[Vin]])/(Vout+(Rdson3-Rdson4-Rs)*Table16[[#This Row],[Iin]]),Fsw*Table16[[#This Row],[t1_Ph_II]]+Table16[[#This Row],[t3_Ph_III]]))</f>
        <v>0.4253174364843732</v>
      </c>
      <c r="V31" s="292">
        <f>MAX(Table16[[#This Row],[I_0]:[I_2]])-MIN(Table16[[#This Row],[I_0]:[I_1]])</f>
        <v>5.5212900046128865</v>
      </c>
      <c r="W31"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14.575241920463098</v>
      </c>
      <c r="X31" s="345">
        <f>(Table16[[#This Row],[Irms Lf]]^2*Rdcr*(1+Ltc*Ta-Ltc*25))/(1-Table16[[#This Row],[Irms Lf]]^2*Rdcr*Ltc*ThetaCa)</f>
        <v>0.71889709893879861</v>
      </c>
      <c r="Y31" s="345">
        <f>ABS(7.759*10^-3*Fsw^0.9458*(0.00787*Table16[[#This Row],[Ripple Current pk-pk]])^2.304)</f>
        <v>1.1172809466091476</v>
      </c>
      <c r="Z31" s="345">
        <f>Table16[[#This Row],[DCR    Loss]]+Table16[[#This Row],[Core Loss]]</f>
        <v>1.8361780455479462</v>
      </c>
      <c r="AA31" s="292">
        <f>IF(Table16[[#This Row],[Vin]]&gt;Vout, Table16[[#This Row],[Ripple Current pk-pk]]/SQRT(12), SQRT(Table16[[#This Row],[Duty Cycle BOOST Leg]]/(1-Table16[[#This Row],[Duty Cycle BOOST Leg]]))*SQRT(Table16[[#This Row],[Iout]]^2+(Table16[[#This Row],[Ripple Current pk-pk]]^2)/12))</f>
        <v>7.0175456204125455</v>
      </c>
      <c r="AB31" s="345">
        <f>RCoutEsr*Table16[[#This Row],[Irms Cout]]^2</f>
        <v>9.8491893069142591E-2</v>
      </c>
      <c r="AC31" s="345">
        <f>Table16[[#This Row],[Cout ESR Loss]]</f>
        <v>9.8491893069142591E-2</v>
      </c>
      <c r="AD31" s="345">
        <f>IF(Table16[[#This Row],[Vin]]&gt;Vout, SQRT(Table16[[#This Row],[Duty Cycle BUCK Leg]]*(1-Table16[[#This Row],[Duty Cycle BUCK Leg]]))*SQRT(Table16[[#This Row],[Iout]]^2+(Table16[[#This Row],[Ripple Current pk-pk]]^2)/12), Table16[[#This Row],[Ripple Current pk-pk]]/SQRT(12))</f>
        <v>1.5938591352186202</v>
      </c>
      <c r="AE31" s="345">
        <f>RCinEsr*Table16[[#This Row],[Irms Cin]]^2</f>
        <v>5.0807738858396961E-3</v>
      </c>
      <c r="AF31" s="683">
        <f>Table16[[#This Row],[Cin ESR Loss]]</f>
        <v>5.0807738858396961E-3</v>
      </c>
      <c r="AG31"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14.575241920463098</v>
      </c>
      <c r="AH31" s="345">
        <f>Rdson1*Table16[[#This Row],[Irms BuCtrl]]^2</f>
        <v>0.74353186964008688</v>
      </c>
      <c r="AI31" s="345">
        <f>CHOOSE(Table16[[#This Row],[Mode Digit]], (Table16[[#This Row],[Vin]]*Table16[[#This Row],[Iout]]/2)*(Fsw)*(Tr_buck+Tf_buck), 0, (Table16[[#This Row],[Vin]]*Table16[[#This Row],[Avg IL]]/2)*(Fsw/1)*(Tr_buck+Tf_buck))</f>
        <v>0</v>
      </c>
      <c r="AJ31" s="253">
        <f>IF(Table16[[#This Row],[Vin]]&gt;Vout, IF(Table16[[#This Row],[Iout]]&gt;Table16[[#This Row],[Ripple Current pk-pk]]/2,0,ABS(Table16[[#This Row],[Iout]]-Table16[[#This Row],[Ripple Current pk-pk]]/2)*Vsd_Q1*Deadtime*Fsw),0)</f>
        <v>0</v>
      </c>
      <c r="AK31" s="345">
        <f>(Table16[[#This Row],[Dead Time Loss BuCtrl]]+Table16[[#This Row],[Transition Loss BuCtrl]]+Table16[[#This Row],[RDS(on) Loss BuCtrl]]*(1+RdsonTopTc*Ta-RdsonTopTc*25))/(1-Table16[[#This Row],[RDS(on) Loss BuCtrl]]*RdsonTopTc*ThetaJA_Q1)</f>
        <v>0.92171652937477944</v>
      </c>
      <c r="AL31" s="345">
        <f>CHOOSE(Table16[[#This Row],[Mode Digit]],SQRT((Fsw*(Table16[[#This Row],[t2_Ph_I]]+0))*((Table16[[#This Row],[I_0]]*Table16[[#This Row],[I_1]]+((Table16[[#This Row],[I_0]]-Table16[[#This Row],[I_1]])^2)/3))),0,SQRT((Fsw*(Table16[[#This Row],[t3_Ph_III]]+0))*((Table16[[#This Row],[I_0]]*Table16[[#This Row],[I_2]]+((Table16[[#This Row],[I_0]]-Table16[[#This Row],[I_2]])^2)/3))))</f>
        <v>0</v>
      </c>
      <c r="AM31" s="345">
        <f>Rdson2*Table16[[#This Row],[Irms BuSync]]^2</f>
        <v>0</v>
      </c>
      <c r="AN31"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31" s="345">
        <f>(Table16[[#This Row],[Deadtime Loss BuSync]]+Table16[[#This Row],[RDS(on) Loss BuSync]]*(1+RdsonBotTc*Ta-RdsonBotTc*25))/(1-Table16[[#This Row],[RDS(on) Loss BuSync]]*RdsonBotTc*ThetaJA_Q2)</f>
        <v>0</v>
      </c>
      <c r="AP31" s="345">
        <f>CHOOSE(Table16[[#This Row],[Mode Digit]],0,SQRT((Fsw*(Table16[[#This Row],[t1_Ph_II]]+0))*((Table16[[#This Row],[I_0]]*Table16[[#This Row],[I_1]]+((Table16[[#This Row],[I_0]]-Table16[[#This Row],[I_1]])^2)/3))),SQRT((Fsw*(Table16[[#This Row],[t2_Ph_I]]+0))*((Table16[[#This Row],[I_1]]*Table16[[#This Row],[I_2]]+((Table16[[#This Row],[I_1]]-Table16[[#This Row],[I_2]])^2)/3))))</f>
        <v>9.5054430833790455</v>
      </c>
      <c r="AQ31" s="345">
        <f>Rdson4*Table16[[#This Row],[Irms BoCtlr]]^2</f>
        <v>0.31623706873975488</v>
      </c>
      <c r="AR31" s="345">
        <f>CHOOSE(Table16[[#This Row],[Mode Digit]], 0, (Vout*Table16[[#This Row],[Iin]]/2)*(Fsw)*(Tr_boost+Tf_boost), (Vout*Iout/2)*(Fsw/1)*(Tr_boost+Tf_boost))</f>
        <v>0.86137989155245798</v>
      </c>
      <c r="AS31" s="253">
        <f>IF(Table16[[#This Row],[Vin]]&gt;Vout, 0, IF(Table16[[#This Row],[Iin]]&gt;Table16[[#This Row],[Ripple Current pk-pk]]/2,0,ABS(Table16[[#This Row],[Iin]]-Table16[[#This Row],[Ripple Current pk-pk]]/2)*Vsd_Q4*Deadtime*Fsw))</f>
        <v>0</v>
      </c>
      <c r="AT31" s="345">
        <f>(Table16[[#This Row],[Dead Time Loss BoCtlr]]+Table16[[#This Row],[Transition Loss BoCtlr]]+Table16[[#This Row],[RDS(on) Loss BoCtlr]]*(1+RdsonTopTc*Ta-RdsonTopTc*25))/(1-Table16[[#This Row],[RDS(on) Loss BoCtlr]]*RdsonTopTc*ThetaJA_Q4)</f>
        <v>1.2831169363833894</v>
      </c>
      <c r="AU31"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11.049173219235287</v>
      </c>
      <c r="AV31" s="345">
        <f>Rdson3*Table16[[#This Row],[Irms BoSync]]^2</f>
        <v>0.42729480090033201</v>
      </c>
      <c r="AW31"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0.43246179966044129</v>
      </c>
      <c r="AX31" s="345">
        <f>(Table16[[#This Row],[Deadtime Loss BoSync]]+Table16[[#This Row],[RDS(on) Loss BoSync]]*(1+RdsonBotTc*Ta-RdsonBotTc*25))/(1-Table16[[#This Row],[RDS(on) Loss BoSync]]*RdsonBotTc*ThetaJA_Q3)</f>
        <v>0.96721043840453869</v>
      </c>
      <c r="AY31" s="345">
        <f>CHOOSE(Table16[[#This Row],[Mode Digit]], Rdson3*Table16[[#This Row],[Irms Lf]]^2, Rdson1*Table16[[#This Row],[Irms Lf]]^2, 0)</f>
        <v>0.74353186964008688</v>
      </c>
      <c r="AZ31" s="345">
        <f>CHOOSE(Table16[[#This Row],[Mode Digit]], 2*Deadtime*Fsw*IF(VfdSky_Q2&gt;0,VfdSky_Q2,0)*Table16[[#This Row],[Iout]], 2*Deadtime*Fsw*IF(VfdSky_Q3&gt;0,VfdSky_Q3,0)*Table16[[#This Row],[Iin]], 2*Deadtime*Fsw*IF(VfdSky_Q2&gt;0,VfdSky_Q2,0)*Table16[[#This Row],[Iout]]+2*Deadtime*Fsw*IF(VfdSky_Q3&gt;0,VfdSky_Q3,0)*Table16[[#This Row],[Iin]])</f>
        <v>0</v>
      </c>
      <c r="BA31" s="345">
        <f>CHOOSE(Table16[[#This Row],[Mode Digit]], IF(QrrSky_Q2&gt;0,QrrSky_Q2,Qrr_Q2)*Fsw*(Table16[[#This Row],[Vin]]-Table16[[#This Row],[Iout]]*Rdson1),0,  IF(QrrSky_Q2&gt;0,QrrSky_Q2,Qrr_Q2)*Fsw*(Table16[[#This Row],[Vin]]-Table16[[#This Row],[Iout]]*Rdson1)+IF(QrrSky_Q3&gt;0,QrrSky_Q3,Qrr_Q3)*Fsw*Vout)</f>
        <v>0</v>
      </c>
      <c r="BB31" s="345">
        <f>CHOOSE(Table16[[#This Row],[Mode Digit]],0, IF(QrrSky_Q3&gt;0,QrrSky_Q3,Qrr_Q3)*Fsw*Vout,  IF(QrrSky_Q2&gt;0,QrrSky_Q2,Qrr_Q2)*Fsw*(Table16[[#This Row],[Vin]]-Table16[[#This Row],[Iout]]*Rdson1)+IF(QrrSky_Q3&gt;0,QrrSky_Q3,Qrr_Q3)*Fsw*Vout)</f>
        <v>0.35660799999999998</v>
      </c>
      <c r="BC31" s="345">
        <f>CHOOSE(Table16[[#This Row],[Mode Digit]], Rs*Table16[[#This Row],[Irms BuSync]]^2, Rs*Table16[[#This Row],[Irms BoCtlr]]^2, Rs*(Table16[[#This Row],[Irms BuSync]]^2+Table16[[#This Row],[Irms BoCtlr]]^2))</f>
        <v>0.11745948267476609</v>
      </c>
      <c r="BD31" s="345">
        <f t="shared" si="1"/>
        <v>0.64</v>
      </c>
      <c r="BE31" s="345">
        <f>IF(Vout&gt;8, Iq*Vout, Iq*Table16[[#This Row],[Vin]])</f>
        <v>4.8000000000000001E-2</v>
      </c>
      <c r="BF31" s="345">
        <f>CHOOSE(Table16[[#This Row],[Mode Digit]], (Qg_Q1+Qg_Q2)*Fsw, (Qg_Q3+Qg_Q4)*Fsw, (Qg_Q1+Qg_Q2+Qg_Q3+Qg_Q4)*Fsw)*IF(Vout&gt;8, Vout, Table16[[#This Row],[Vin]])</f>
        <v>0.85331200000000007</v>
      </c>
      <c r="BG31" s="345">
        <f t="shared" si="2"/>
        <v>0.50594479787234037</v>
      </c>
      <c r="BH31" s="345">
        <f>Table16[[#This Row],[IQ Loss]]+Table16[[#This Row],[Switching Current Loss]]</f>
        <v>0.90131200000000011</v>
      </c>
      <c r="BI31"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7.1271740993404018</v>
      </c>
      <c r="BJ31" s="253">
        <f>Vout*Table16[[#This Row],[Iout]]</f>
        <v>128</v>
      </c>
      <c r="BK31" s="684">
        <f>Table16[[#This Row],[Pout]]/(Table16[[#This Row],[Pout]]+Table16[[#This Row],[Total Loss]])</f>
        <v>0.94725580441650636</v>
      </c>
      <c r="BL31"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106.58212086492031</v>
      </c>
      <c r="BM31" s="685">
        <f>IF(Table16[[#This Row],[Vin]]&gt;Vout, Table16[[#This Row],[Total Sync Bu MOSFET Loss]]*ThetaJA_Q2, ThetaJA_Q3*Table16[[#This Row],[Total Sync Bo MOSFET Loss]])</f>
        <v>62.868678496295011</v>
      </c>
      <c r="BN31" s="640"/>
      <c r="BO31" s="292">
        <f>Table16[[#This Row],[EFF, h]]*100</f>
        <v>94.725580441650635</v>
      </c>
      <c r="BP31" s="345">
        <f>Table16[[#This Row],[Total Inductor Loss]]</f>
        <v>1.8361780455479462</v>
      </c>
      <c r="BQ31" s="345">
        <f>Table16[[#This Row],[Total Control Bu MOSFET Loss]]+Table16[[#This Row],[Total Sync Bu MOSFET Loss]]+Table16[[#This Row],[Total Control Bo MOSFET Loss]]+Table16[[#This Row],[Total Sync Bo MOSFET Loss]]+Table16[[#This Row],[Reverse Recovery Loss MOSFET D BUCK]]+Table16[[#This Row],[Reverse Recovery Loss MOSFET D BOOST]]</f>
        <v>3.5286519041627074</v>
      </c>
      <c r="BR31" s="345">
        <f>Table16[[#This Row],[Total Control Bu MOSFET Loss]]+Table16[[#This Row],[Reverse Recovery Loss MOSFET D BUCK]]*0.66</f>
        <v>0.92171652937477944</v>
      </c>
      <c r="BS31" s="345">
        <f>Table16[[#This Row],[Total Sync Bu MOSFET Loss]]+Table16[[#This Row],[Reverse Recovery Loss MOSFET D BUCK]]*0.33</f>
        <v>0</v>
      </c>
      <c r="BT31" s="345">
        <f xml:space="preserve"> Table16[[#This Row],[Total Control Bo MOSFET Loss]]+Table16[[#This Row],[Reverse Recovery Loss MOSFET D BOOST]]*0.66</f>
        <v>1.5184782163833894</v>
      </c>
      <c r="BU31" s="345">
        <f xml:space="preserve"> Table16[[#This Row],[Total Sync Bo MOSFET Loss]]+Table16[[#This Row],[Reverse Recovery Loss MOSFET D BOOST]]*0.33</f>
        <v>1.0848910784045387</v>
      </c>
      <c r="BV31" s="345">
        <f>Table16[[#This Row],[Isense Shunt Loss]]</f>
        <v>0.11745948267476609</v>
      </c>
      <c r="CA31" s="253">
        <v>9.998704</v>
      </c>
      <c r="CB31" s="253">
        <v>0.36549999999999999</v>
      </c>
      <c r="CC31" s="253">
        <v>5.123094</v>
      </c>
      <c r="CD31" s="253">
        <v>85.419022273213088</v>
      </c>
      <c r="CE31" s="253">
        <v>319.63300692320018</v>
      </c>
    </row>
    <row r="32" spans="1:92" ht="13.6" x14ac:dyDescent="0.25">
      <c r="A32" s="688" t="s">
        <v>66</v>
      </c>
      <c r="B32" s="679" t="s">
        <v>113</v>
      </c>
      <c r="C32" s="688" t="s">
        <v>80</v>
      </c>
      <c r="D32" s="681" t="s">
        <v>109</v>
      </c>
      <c r="G32" s="253">
        <v>23</v>
      </c>
      <c r="H32" s="286">
        <f>VIN_min+(VIN_max-VIN_min)*(Table16[[#This Row],[Step]]/200)</f>
        <v>9.4499999999999993</v>
      </c>
      <c r="I32" s="292" t="str">
        <f>IF(Mode = 2,IF(Table16[[#This Row],[Vin]]&gt;Vout, "BUCK","BOOST"),IF(Table16[[#This Row],[Vin]]&gt;VIN_BB_to_buck, "BUCK", IF(Table16[[#This Row],[Vin]]&lt;=VIN_boost_to_BB,"BOOST","BUCK-BST")))</f>
        <v>BOOST</v>
      </c>
      <c r="J32" s="253">
        <f>IF(Table16[[#This Row],[Mode]]="BOOST",2, IF(Table16[[#This Row],[Mode]]="BUCK", 1,3))</f>
        <v>2</v>
      </c>
      <c r="K32" s="253">
        <f t="shared" si="0"/>
        <v>8</v>
      </c>
      <c r="L32" s="292">
        <f>Vout*Table16[[#This Row],[Iout]]/(Table16[[#This Row],[Vin]]*Efficiency)</f>
        <v>14.257866889445838</v>
      </c>
      <c r="M32" s="682">
        <f>MIN(1/Fsw,CHOOSE(Table16[[#This Row],[Mode Digit]],(Vout+(Rdson2+Rs+Rdcr)*Table16[[#This Row],[Iout]])/(Table16[[#This Row],[Vin]]+(Rs+Rdson2-Rdson1)*Table16[[#This Row],[Iout]])/Fsw,(Vout+(Rdson3+Rdcr)*Table16[[#This Row],[Iin]]-Table16[[#This Row],[Vin]])/(Vout+(Rdson3-Rdson4-Rs)*Table16[[#This Row],[Iin]])/Fsw,t1_Ph_II))</f>
        <v>1.0447919534609181E-6</v>
      </c>
      <c r="N32" s="518">
        <f>CHOOSE(Table16[[#This Row],[Mode Digit]],1/Fsw-Table16[[#This Row],[t1_Ph_II]],1/Fsw-Table16[[#This Row],[t1_Ph_II]],(Vout/Fsw-Table16[[#This Row],[Vin]]*t1_Ph_II)/(Table16[[#This Row],[Vin]]+Vout))</f>
        <v>1.4677708606094338E-6</v>
      </c>
      <c r="O32" s="518">
        <f>1/Fsw-(Table16[[#This Row],[t1_Ph_II]]+Table16[[#This Row],[t2_Ph_I]])</f>
        <v>0</v>
      </c>
      <c r="P32"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11.515288011610927</v>
      </c>
      <c r="Q32" s="292">
        <f>CHOOSE(Table16[[#This Row],[Mode Digit]],Table16[[#This Row],[I_0]]+1/Lf*(Table16[[#This Row],[Vin]]-Vout)*Table16[[#This Row],[t1_Ph_II]],Table16[[#This Row],[I_0]]+1/Lf*Table16[[#This Row],[Vin]]*Table16[[#This Row],[t1_Ph_II]],Table16[[#This Row],[I_0]]+(Table16[[#This Row],[Vin]]-Vout)/L*Table16[[#This Row],[t1_Ph_II]])</f>
        <v>17.000445767280745</v>
      </c>
      <c r="R32" s="292">
        <f>CHOOSE(Table16[[#This Row],[Mode Digit]],0,0,Table16[[#This Row],[I_1]]+Table16[[#This Row],[Vin]]/L*Table16[[#This Row],[t2_Ph_I]])</f>
        <v>0</v>
      </c>
      <c r="S32" s="292">
        <f>Fsw*(Table16[[#This Row],[I_0]]*Table16[[#This Row],[t1_Ph_II]]+Table16[[#This Row],[I_1]]*Table16[[#This Row],[t2_Ph_I]]+Table16[[#This Row],[I_2]]*Table16[[#This Row],[t3_Ph_III]])</f>
        <v>14.71956799001889</v>
      </c>
      <c r="T32" s="345">
        <f>MIN(1,CHOOSE(Table16[[#This Row],[Mode Digit]],(Vout+(Rdson2+Rs+Rdcr)*Table16[[#This Row],[Iout]])/(Table16[[#This Row],[Vin]]+(Rs+Rdson2-Rdson1)*Table16[[#This Row],[Iout]]),1,Fsw*Table16[[#This Row],[t2_Ph_I]]+Table16[[#This Row],[t1_Ph_II]]))</f>
        <v>1</v>
      </c>
      <c r="U32" s="345">
        <f>MIN(1,CHOOSE(Table16[[#This Row],[Mode Digit]],0,(Vout+(Rdson3+Rdcr)*Table16[[#This Row],[Iin]]-Table16[[#This Row],[Vin]])/(Vout+(Rdson3-Rdson4-Rs)*Table16[[#This Row],[Iin]]),Fsw*Table16[[#This Row],[t1_Ph_II]]+Table16[[#This Row],[t3_Ph_III]]))</f>
        <v>0.41582719747744545</v>
      </c>
      <c r="V32" s="292">
        <f>MAX(Table16[[#This Row],[I_0]:[I_2]])-MIN(Table16[[#This Row],[I_0]:[I_1]])</f>
        <v>5.4851577556698174</v>
      </c>
      <c r="W32"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14.345522456067537</v>
      </c>
      <c r="X32" s="345">
        <f>(Table16[[#This Row],[Irms Lf]]^2*Rdcr*(1+Ltc*Ta-Ltc*25))/(1-Table16[[#This Row],[Irms Lf]]^2*Rdcr*Ltc*ThetaCa)</f>
        <v>0.6951643775321753</v>
      </c>
      <c r="Y32" s="345">
        <f>ABS(7.759*10^-3*Fsw^0.9458*(0.00787*Table16[[#This Row],[Ripple Current pk-pk]])^2.304)</f>
        <v>1.1005066805737747</v>
      </c>
      <c r="Z32" s="345">
        <f>Table16[[#This Row],[DCR    Loss]]+Table16[[#This Row],[Core Loss]]</f>
        <v>1.7956710581059498</v>
      </c>
      <c r="AA32" s="292">
        <f>IF(Table16[[#This Row],[Vin]]&gt;Vout, Table16[[#This Row],[Ripple Current pk-pk]]/SQRT(12), SQRT(Table16[[#This Row],[Duty Cycle BOOST Leg]]/(1-Table16[[#This Row],[Duty Cycle BOOST Leg]]))*SQRT(Table16[[#This Row],[Iout]]^2+(Table16[[#This Row],[Ripple Current pk-pk]]^2)/12))</f>
        <v>6.8805041650947558</v>
      </c>
      <c r="AB32" s="345">
        <f>RCoutEsr*Table16[[#This Row],[Irms Cout]]^2</f>
        <v>9.4682675131772573E-2</v>
      </c>
      <c r="AC32" s="345">
        <f>Table16[[#This Row],[Cout ESR Loss]]</f>
        <v>9.4682675131772573E-2</v>
      </c>
      <c r="AD32" s="345">
        <f>IF(Table16[[#This Row],[Vin]]&gt;Vout, SQRT(Table16[[#This Row],[Duty Cycle BUCK Leg]]*(1-Table16[[#This Row],[Duty Cycle BUCK Leg]]))*SQRT(Table16[[#This Row],[Iout]]^2+(Table16[[#This Row],[Ripple Current pk-pk]]^2)/12), Table16[[#This Row],[Ripple Current pk-pk]]/SQRT(12))</f>
        <v>1.5834286533917663</v>
      </c>
      <c r="AE32" s="345">
        <f>RCinEsr*Table16[[#This Row],[Irms Cin]]^2</f>
        <v>5.0144926007641248E-3</v>
      </c>
      <c r="AF32" s="683">
        <f>Table16[[#This Row],[Cin ESR Loss]]</f>
        <v>5.0144926007641248E-3</v>
      </c>
      <c r="AG32"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14.345522456067537</v>
      </c>
      <c r="AH32" s="345">
        <f>Rdson1*Table16[[#This Row],[Irms BuCtrl]]^2</f>
        <v>0.72027905088138289</v>
      </c>
      <c r="AI32" s="345">
        <f>CHOOSE(Table16[[#This Row],[Mode Digit]], (Table16[[#This Row],[Vin]]*Table16[[#This Row],[Iout]]/2)*(Fsw)*(Tr_buck+Tf_buck), 0, (Table16[[#This Row],[Vin]]*Table16[[#This Row],[Avg IL]]/2)*(Fsw/1)*(Tr_buck+Tf_buck))</f>
        <v>0</v>
      </c>
      <c r="AJ32" s="253">
        <f>IF(Table16[[#This Row],[Vin]]&gt;Vout, IF(Table16[[#This Row],[Iout]]&gt;Table16[[#This Row],[Ripple Current pk-pk]]/2,0,ABS(Table16[[#This Row],[Iout]]-Table16[[#This Row],[Ripple Current pk-pk]]/2)*Vsd_Q1*Deadtime*Fsw),0)</f>
        <v>0</v>
      </c>
      <c r="AK32" s="345">
        <f>(Table16[[#This Row],[Dead Time Loss BuCtrl]]+Table16[[#This Row],[Transition Loss BuCtrl]]+Table16[[#This Row],[RDS(on) Loss BuCtrl]]*(1+RdsonTopTc*Ta-RdsonTopTc*25))/(1-Table16[[#This Row],[RDS(on) Loss BuCtrl]]*RdsonTopTc*ThetaJA_Q1)</f>
        <v>0.88624920167667887</v>
      </c>
      <c r="AL32" s="345">
        <f>CHOOSE(Table16[[#This Row],[Mode Digit]],SQRT((Fsw*(Table16[[#This Row],[t2_Ph_I]]+0))*((Table16[[#This Row],[I_0]]*Table16[[#This Row],[I_1]]+((Table16[[#This Row],[I_0]]-Table16[[#This Row],[I_1]])^2)/3))),0,SQRT((Fsw*(Table16[[#This Row],[t3_Ph_III]]+0))*((Table16[[#This Row],[I_0]]*Table16[[#This Row],[I_2]]+((Table16[[#This Row],[I_0]]-Table16[[#This Row],[I_2]])^2)/3))))</f>
        <v>0</v>
      </c>
      <c r="AM32" s="345">
        <f>Rdson2*Table16[[#This Row],[Irms BuSync]]^2</f>
        <v>0</v>
      </c>
      <c r="AN32"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32" s="345">
        <f>(Table16[[#This Row],[Deadtime Loss BuSync]]+Table16[[#This Row],[RDS(on) Loss BuSync]]*(1+RdsonBotTc*Ta-RdsonBotTc*25))/(1-Table16[[#This Row],[RDS(on) Loss BuSync]]*RdsonBotTc*ThetaJA_Q2)</f>
        <v>0</v>
      </c>
      <c r="AP32" s="345">
        <f>CHOOSE(Table16[[#This Row],[Mode Digit]],0,SQRT((Fsw*(Table16[[#This Row],[t1_Ph_II]]+0))*((Table16[[#This Row],[I_0]]*Table16[[#This Row],[I_1]]+((Table16[[#This Row],[I_0]]-Table16[[#This Row],[I_1]])^2)/3))),SQRT((Fsw*(Table16[[#This Row],[t2_Ph_I]]+0))*((Table16[[#This Row],[I_1]]*Table16[[#This Row],[I_2]]+((Table16[[#This Row],[I_1]]-Table16[[#This Row],[I_2]])^2)/3))))</f>
        <v>9.2506620478091754</v>
      </c>
      <c r="AQ32" s="345">
        <f>Rdson4*Table16[[#This Row],[Irms BoCtlr]]^2</f>
        <v>0.29951161912971969</v>
      </c>
      <c r="AR32" s="345">
        <f>CHOOSE(Table16[[#This Row],[Mode Digit]], 0, (Vout*Table16[[#This Row],[Iin]]/2)*(Fsw)*(Tr_boost+Tf_boost), (Vout*Iout/2)*(Fsw/1)*(Tr_boost+Tf_boost))</f>
        <v>0.84770719486114932</v>
      </c>
      <c r="AS32" s="253">
        <f>IF(Table16[[#This Row],[Vin]]&gt;Vout, 0, IF(Table16[[#This Row],[Iin]]&gt;Table16[[#This Row],[Ripple Current pk-pk]]/2,0,ABS(Table16[[#This Row],[Iin]]-Table16[[#This Row],[Ripple Current pk-pk]]/2)*Vsd_Q4*Deadtime*Fsw))</f>
        <v>0</v>
      </c>
      <c r="AT32" s="345">
        <f>(Table16[[#This Row],[Dead Time Loss BoCtlr]]+Table16[[#This Row],[Transition Loss BoCtlr]]+Table16[[#This Row],[RDS(on) Loss BoCtlr]]*(1+RdsonTopTc*Ta-RdsonTopTc*25))/(1-Table16[[#This Row],[RDS(on) Loss BoCtlr]]*RdsonTopTc*ThetaJA_Q4)</f>
        <v>1.2441006933798677</v>
      </c>
      <c r="AU32"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10.964454670194998</v>
      </c>
      <c r="AV32" s="345">
        <f>Rdson3*Table16[[#This Row],[Irms BoSync]]^2</f>
        <v>0.4207674317516632</v>
      </c>
      <c r="AW32"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0.4255973266499582</v>
      </c>
      <c r="AX32" s="345">
        <f>(Table16[[#This Row],[Deadtime Loss BoSync]]+Table16[[#This Row],[RDS(on) Loss BoSync]]*(1+RdsonBotTc*Ta-RdsonBotTc*25))/(1-Table16[[#This Row],[RDS(on) Loss BoSync]]*RdsonBotTc*ThetaJA_Q3)</f>
        <v>0.95033046697699086</v>
      </c>
      <c r="AY32" s="345">
        <f>CHOOSE(Table16[[#This Row],[Mode Digit]], Rdson3*Table16[[#This Row],[Irms Lf]]^2, Rdson1*Table16[[#This Row],[Irms Lf]]^2, 0)</f>
        <v>0.72027905088138289</v>
      </c>
      <c r="AZ32" s="345">
        <f>CHOOSE(Table16[[#This Row],[Mode Digit]], 2*Deadtime*Fsw*IF(VfdSky_Q2&gt;0,VfdSky_Q2,0)*Table16[[#This Row],[Iout]], 2*Deadtime*Fsw*IF(VfdSky_Q3&gt;0,VfdSky_Q3,0)*Table16[[#This Row],[Iin]], 2*Deadtime*Fsw*IF(VfdSky_Q2&gt;0,VfdSky_Q2,0)*Table16[[#This Row],[Iout]]+2*Deadtime*Fsw*IF(VfdSky_Q3&gt;0,VfdSky_Q3,0)*Table16[[#This Row],[Iin]])</f>
        <v>0</v>
      </c>
      <c r="BA32" s="345">
        <f>CHOOSE(Table16[[#This Row],[Mode Digit]], IF(QrrSky_Q2&gt;0,QrrSky_Q2,Qrr_Q2)*Fsw*(Table16[[#This Row],[Vin]]-Table16[[#This Row],[Iout]]*Rdson1),0,  IF(QrrSky_Q2&gt;0,QrrSky_Q2,Qrr_Q2)*Fsw*(Table16[[#This Row],[Vin]]-Table16[[#This Row],[Iout]]*Rdson1)+IF(QrrSky_Q3&gt;0,QrrSky_Q3,Qrr_Q3)*Fsw*Vout)</f>
        <v>0</v>
      </c>
      <c r="BB32" s="345">
        <f>CHOOSE(Table16[[#This Row],[Mode Digit]],0, IF(QrrSky_Q3&gt;0,QrrSky_Q3,Qrr_Q3)*Fsw*Vout,  IF(QrrSky_Q2&gt;0,QrrSky_Q2,Qrr_Q2)*Fsw*(Table16[[#This Row],[Vin]]-Table16[[#This Row],[Iout]]*Rdson1)+IF(QrrSky_Q3&gt;0,QrrSky_Q3,Qrr_Q3)*Fsw*Vout)</f>
        <v>0.35660799999999998</v>
      </c>
      <c r="BC32" s="345">
        <f>CHOOSE(Table16[[#This Row],[Mode Digit]], Rs*Table16[[#This Row],[Irms BuSync]]^2, Rs*Table16[[#This Row],[Irms BoCtlr]]^2, Rs*(Table16[[#This Row],[Irms BuSync]]^2+Table16[[#This Row],[Irms BoCtlr]]^2))</f>
        <v>0.11124717281961016</v>
      </c>
      <c r="BD32" s="345">
        <f t="shared" si="1"/>
        <v>0.64</v>
      </c>
      <c r="BE32" s="345">
        <f>IF(Vout&gt;8, Iq*Vout, Iq*Table16[[#This Row],[Vin]])</f>
        <v>4.8000000000000001E-2</v>
      </c>
      <c r="BF32" s="345">
        <f>CHOOSE(Table16[[#This Row],[Mode Digit]], (Qg_Q1+Qg_Q2)*Fsw, (Qg_Q3+Qg_Q4)*Fsw, (Qg_Q1+Qg_Q2+Qg_Q3+Qg_Q4)*Fsw)*IF(Vout&gt;8, Vout, Table16[[#This Row],[Vin]])</f>
        <v>0.85331200000000007</v>
      </c>
      <c r="BG32" s="345">
        <f t="shared" si="2"/>
        <v>0.50594479787234037</v>
      </c>
      <c r="BH32" s="345">
        <f>Table16[[#This Row],[IQ Loss]]+Table16[[#This Row],[Switching Current Loss]]</f>
        <v>0.90131200000000011</v>
      </c>
      <c r="BI32"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6.9852157606916325</v>
      </c>
      <c r="BJ32" s="253">
        <f>Vout*Table16[[#This Row],[Iout]]</f>
        <v>128</v>
      </c>
      <c r="BK32" s="684">
        <f>Table16[[#This Row],[Pout]]/(Table16[[#This Row],[Pout]]+Table16[[#This Row],[Total Loss]])</f>
        <v>0.94825199395854309</v>
      </c>
      <c r="BL32"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104.04606506969141</v>
      </c>
      <c r="BM32" s="685">
        <f>IF(Table16[[#This Row],[Vin]]&gt;Vout, Table16[[#This Row],[Total Sync Bu MOSFET Loss]]*ThetaJA_Q2, ThetaJA_Q3*Table16[[#This Row],[Total Sync Bo MOSFET Loss]])</f>
        <v>61.771480353504408</v>
      </c>
      <c r="BN32" s="640"/>
      <c r="BO32" s="292">
        <f>Table16[[#This Row],[EFF, h]]*100</f>
        <v>94.825199395854312</v>
      </c>
      <c r="BP32" s="345">
        <f>Table16[[#This Row],[Total Inductor Loss]]</f>
        <v>1.7956710581059498</v>
      </c>
      <c r="BQ32" s="345">
        <f>Table16[[#This Row],[Total Control Bu MOSFET Loss]]+Table16[[#This Row],[Total Sync Bu MOSFET Loss]]+Table16[[#This Row],[Total Control Bo MOSFET Loss]]+Table16[[#This Row],[Total Sync Bo MOSFET Loss]]+Table16[[#This Row],[Reverse Recovery Loss MOSFET D BUCK]]+Table16[[#This Row],[Reverse Recovery Loss MOSFET D BOOST]]</f>
        <v>3.4372883620335375</v>
      </c>
      <c r="BR32" s="345">
        <f>Table16[[#This Row],[Total Control Bu MOSFET Loss]]+Table16[[#This Row],[Reverse Recovery Loss MOSFET D BUCK]]*0.66</f>
        <v>0.88624920167667887</v>
      </c>
      <c r="BS32" s="345">
        <f>Table16[[#This Row],[Total Sync Bu MOSFET Loss]]+Table16[[#This Row],[Reverse Recovery Loss MOSFET D BUCK]]*0.33</f>
        <v>0</v>
      </c>
      <c r="BT32" s="345">
        <f xml:space="preserve"> Table16[[#This Row],[Total Control Bo MOSFET Loss]]+Table16[[#This Row],[Reverse Recovery Loss MOSFET D BOOST]]*0.66</f>
        <v>1.4794619733798677</v>
      </c>
      <c r="BU32" s="345">
        <f xml:space="preserve"> Table16[[#This Row],[Total Sync Bo MOSFET Loss]]+Table16[[#This Row],[Reverse Recovery Loss MOSFET D BOOST]]*0.33</f>
        <v>1.0680111069769909</v>
      </c>
      <c r="BV32" s="345">
        <f>Table16[[#This Row],[Isense Shunt Loss]]</f>
        <v>0.11124717281961016</v>
      </c>
      <c r="CA32" s="253">
        <v>9.9987290000000009</v>
      </c>
      <c r="CB32" s="253">
        <v>0.49059999999999998</v>
      </c>
      <c r="CC32" s="253">
        <v>5.1238169999999998</v>
      </c>
      <c r="CD32" s="253">
        <v>88.551850267052174</v>
      </c>
      <c r="CE32" s="253">
        <v>324.98153184230057</v>
      </c>
    </row>
    <row r="33" spans="1:83" x14ac:dyDescent="0.2">
      <c r="A33" s="690" t="s">
        <v>66</v>
      </c>
      <c r="B33" s="569">
        <f>Deadtime*1000000000</f>
        <v>50</v>
      </c>
      <c r="C33" s="255" t="s">
        <v>79</v>
      </c>
      <c r="D33" s="255" t="s">
        <v>100</v>
      </c>
      <c r="G33" s="253">
        <v>24</v>
      </c>
      <c r="H33" s="286">
        <f>VIN_min+(VIN_max-VIN_min)*(Table16[[#This Row],[Step]]/200)</f>
        <v>9.6</v>
      </c>
      <c r="I33" s="292" t="str">
        <f>IF(Mode = 2,IF(Table16[[#This Row],[Vin]]&gt;Vout, "BUCK","BOOST"),IF(Table16[[#This Row],[Vin]]&gt;VIN_BB_to_buck, "BUCK", IF(Table16[[#This Row],[Vin]]&lt;=VIN_boost_to_BB,"BOOST","BUCK-BST")))</f>
        <v>BOOST</v>
      </c>
      <c r="J33" s="253">
        <f>IF(Table16[[#This Row],[Mode]]="BOOST",2, IF(Table16[[#This Row],[Mode]]="BUCK", 1,3))</f>
        <v>2</v>
      </c>
      <c r="K33" s="253">
        <f t="shared" si="0"/>
        <v>8</v>
      </c>
      <c r="L33" s="292">
        <f>Vout*Table16[[#This Row],[Iout]]/(Table16[[#This Row],[Vin]]*Efficiency)</f>
        <v>14.035087719298247</v>
      </c>
      <c r="M33" s="682">
        <f>MIN(1/Fsw,CHOOSE(Table16[[#This Row],[Mode Digit]],(Vout+(Rdson2+Rs+Rdcr)*Table16[[#This Row],[Iout]])/(Table16[[#This Row],[Vin]]+(Rs+Rdson2-Rdson1)*Table16[[#This Row],[Iout]])/Fsw,(Vout+(Rdson3+Rdcr)*Table16[[#This Row],[Iin]]-Table16[[#This Row],[Vin]])/(Vout+(Rdson3-Rdson4-Rs)*Table16[[#This Row],[Iin]])/Fsw,t1_Ph_II))</f>
        <v>1.0209561904543355E-6</v>
      </c>
      <c r="N33" s="518">
        <f>CHOOSE(Table16[[#This Row],[Mode Digit]],1/Fsw-Table16[[#This Row],[t1_Ph_II]],1/Fsw-Table16[[#This Row],[t1_Ph_II]],(Vout/Fsw-Table16[[#This Row],[Vin]]*t1_Ph_II)/(Table16[[#This Row],[Vin]]+Vout))</f>
        <v>1.4916066236160164E-6</v>
      </c>
      <c r="O33" s="518">
        <f>1/Fsw-(Table16[[#This Row],[t1_Ph_II]]+Table16[[#This Row],[t2_Ph_I]])</f>
        <v>0</v>
      </c>
      <c r="P33"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11.312537878086685</v>
      </c>
      <c r="Q33" s="292">
        <f>CHOOSE(Table16[[#This Row],[Mode Digit]],Table16[[#This Row],[I_0]]+1/Lf*(Table16[[#This Row],[Vin]]-Vout)*Table16[[#This Row],[t1_Ph_II]],Table16[[#This Row],[I_0]]+1/Lf*Table16[[#This Row],[Vin]]*Table16[[#This Row],[t1_Ph_II]],Table16[[#This Row],[I_0]]+(Table16[[#This Row],[Vin]]-Vout)/L*Table16[[#This Row],[t1_Ph_II]])</f>
        <v>16.757637560509806</v>
      </c>
      <c r="R33" s="292">
        <f>CHOOSE(Table16[[#This Row],[Mode Digit]],0,0,Table16[[#This Row],[I_1]]+Table16[[#This Row],[Vin]]/L*Table16[[#This Row],[t2_Ph_I]])</f>
        <v>0</v>
      </c>
      <c r="S33" s="292">
        <f>Fsw*(Table16[[#This Row],[I_0]]*Table16[[#This Row],[t1_Ph_II]]+Table16[[#This Row],[I_1]]*Table16[[#This Row],[t2_Ph_I]]+Table16[[#This Row],[I_2]]*Table16[[#This Row],[t3_Ph_III]])</f>
        <v>14.545072685602301</v>
      </c>
      <c r="T33" s="345">
        <f>MIN(1,CHOOSE(Table16[[#This Row],[Mode Digit]],(Vout+(Rdson2+Rs+Rdcr)*Table16[[#This Row],[Iout]])/(Table16[[#This Row],[Vin]]+(Rs+Rdson2-Rdson1)*Table16[[#This Row],[Iout]]),1,Fsw*Table16[[#This Row],[t2_Ph_I]]+Table16[[#This Row],[t1_Ph_II]]))</f>
        <v>1</v>
      </c>
      <c r="U33" s="345">
        <f>MIN(1,CHOOSE(Table16[[#This Row],[Mode Digit]],0,(Vout+(Rdson3+Rdcr)*Table16[[#This Row],[Iin]]-Table16[[#This Row],[Vin]])/(Vout+(Rdson3-Rdson4-Rs)*Table16[[#This Row],[Iin]]),Fsw*Table16[[#This Row],[t1_Ph_II]]+Table16[[#This Row],[t3_Ph_III]]))</f>
        <v>0.40634056380082556</v>
      </c>
      <c r="V33" s="292">
        <f>MAX(Table16[[#This Row],[I_0]:[I_2]])-MIN(Table16[[#This Row],[I_0]:[I_1]])</f>
        <v>5.4450996824231215</v>
      </c>
      <c r="W33"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14.122834223378232</v>
      </c>
      <c r="X33" s="345">
        <f>(Table16[[#This Row],[Irms Lf]]^2*Rdcr*(1+Ltc*Ta-Ltc*25))/(1-Table16[[#This Row],[Irms Lf]]^2*Rdcr*Ltc*ThetaCa)</f>
        <v>0.67259727311083861</v>
      </c>
      <c r="Y33" s="345">
        <f>ABS(7.759*10^-3*Fsw^0.9458*(0.00787*Table16[[#This Row],[Ripple Current pk-pk]])^2.304)</f>
        <v>1.0820775529887023</v>
      </c>
      <c r="Z33" s="345">
        <f>Table16[[#This Row],[DCR    Loss]]+Table16[[#This Row],[Core Loss]]</f>
        <v>1.7546748260995408</v>
      </c>
      <c r="AA33" s="292">
        <f>IF(Table16[[#This Row],[Vin]]&gt;Vout, Table16[[#This Row],[Ripple Current pk-pk]]/SQRT(12), SQRT(Table16[[#This Row],[Duty Cycle BOOST Leg]]/(1-Table16[[#This Row],[Duty Cycle BOOST Leg]]))*SQRT(Table16[[#This Row],[Iout]]^2+(Table16[[#This Row],[Ripple Current pk-pk]]^2)/12))</f>
        <v>6.745151698181667</v>
      </c>
      <c r="AB33" s="345">
        <f>RCoutEsr*Table16[[#This Row],[Irms Cout]]^2</f>
        <v>9.099414286296606E-2</v>
      </c>
      <c r="AC33" s="345">
        <f>Table16[[#This Row],[Cout ESR Loss]]</f>
        <v>9.099414286296606E-2</v>
      </c>
      <c r="AD33" s="345">
        <f>IF(Table16[[#This Row],[Vin]]&gt;Vout, SQRT(Table16[[#This Row],[Duty Cycle BUCK Leg]]*(1-Table16[[#This Row],[Duty Cycle BUCK Leg]]))*SQRT(Table16[[#This Row],[Iout]]^2+(Table16[[#This Row],[Ripple Current pk-pk]]^2)/12), Table16[[#This Row],[Ripple Current pk-pk]]/SQRT(12))</f>
        <v>1.5718648837056675</v>
      </c>
      <c r="AE33" s="345">
        <f>RCinEsr*Table16[[#This Row],[Irms Cin]]^2</f>
        <v>4.9415184252540635E-3</v>
      </c>
      <c r="AF33" s="683">
        <f>Table16[[#This Row],[Cin ESR Loss]]</f>
        <v>4.9415184252540635E-3</v>
      </c>
      <c r="AG33"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14.122834223378232</v>
      </c>
      <c r="AH33" s="345">
        <f>Rdson1*Table16[[#This Row],[Irms BuCtrl]]^2</f>
        <v>0.69809056275358206</v>
      </c>
      <c r="AI33" s="345">
        <f>CHOOSE(Table16[[#This Row],[Mode Digit]], (Table16[[#This Row],[Vin]]*Table16[[#This Row],[Iout]]/2)*(Fsw)*(Tr_buck+Tf_buck), 0, (Table16[[#This Row],[Vin]]*Table16[[#This Row],[Avg IL]]/2)*(Fsw/1)*(Tr_buck+Tf_buck))</f>
        <v>0</v>
      </c>
      <c r="AJ33" s="253">
        <f>IF(Table16[[#This Row],[Vin]]&gt;Vout, IF(Table16[[#This Row],[Iout]]&gt;Table16[[#This Row],[Ripple Current pk-pk]]/2,0,ABS(Table16[[#This Row],[Iout]]-Table16[[#This Row],[Ripple Current pk-pk]]/2)*Vsd_Q1*Deadtime*Fsw),0)</f>
        <v>0</v>
      </c>
      <c r="AK33" s="345">
        <f>(Table16[[#This Row],[Dead Time Loss BuCtrl]]+Table16[[#This Row],[Transition Loss BuCtrl]]+Table16[[#This Row],[RDS(on) Loss BuCtrl]]*(1+RdsonTopTc*Ta-RdsonTopTc*25))/(1-Table16[[#This Row],[RDS(on) Loss BuCtrl]]*RdsonTopTc*ThetaJA_Q1)</f>
        <v>0.852893814764209</v>
      </c>
      <c r="AL33" s="345">
        <f>CHOOSE(Table16[[#This Row],[Mode Digit]],SQRT((Fsw*(Table16[[#This Row],[t2_Ph_I]]+0))*((Table16[[#This Row],[I_0]]*Table16[[#This Row],[I_1]]+((Table16[[#This Row],[I_0]]-Table16[[#This Row],[I_1]])^2)/3))),0,SQRT((Fsw*(Table16[[#This Row],[t3_Ph_III]]+0))*((Table16[[#This Row],[I_0]]*Table16[[#This Row],[I_2]]+((Table16[[#This Row],[I_0]]-Table16[[#This Row],[I_2]])^2)/3))))</f>
        <v>0</v>
      </c>
      <c r="AM33" s="345">
        <f>Rdson2*Table16[[#This Row],[Irms BuSync]]^2</f>
        <v>0</v>
      </c>
      <c r="AN33"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33" s="345">
        <f>(Table16[[#This Row],[Deadtime Loss BuSync]]+Table16[[#This Row],[RDS(on) Loss BuSync]]*(1+RdsonBotTc*Ta-RdsonBotTc*25))/(1-Table16[[#This Row],[RDS(on) Loss BuSync]]*RdsonBotTc*ThetaJA_Q2)</f>
        <v>0</v>
      </c>
      <c r="AP33" s="345">
        <f>CHOOSE(Table16[[#This Row],[Mode Digit]],0,SQRT((Fsw*(Table16[[#This Row],[t1_Ph_II]]+0))*((Table16[[#This Row],[I_0]]*Table16[[#This Row],[I_1]]+((Table16[[#This Row],[I_0]]-Table16[[#This Row],[I_1]])^2)/3))),SQRT((Fsw*(Table16[[#This Row],[t2_Ph_I]]+0))*((Table16[[#This Row],[I_1]]*Table16[[#This Row],[I_2]]+((Table16[[#This Row],[I_1]]-Table16[[#This Row],[I_2]])^2)/3))))</f>
        <v>9.0025791995298476</v>
      </c>
      <c r="AQ33" s="345">
        <f>Rdson4*Table16[[#This Row],[Irms BoCtlr]]^2</f>
        <v>0.28366251285332617</v>
      </c>
      <c r="AR33" s="345">
        <f>CHOOSE(Table16[[#This Row],[Mode Digit]], 0, (Vout*Table16[[#This Row],[Iin]]/2)*(Fsw)*(Tr_boost+Tf_boost), (Vout*Iout/2)*(Fsw/1)*(Tr_boost+Tf_boost))</f>
        <v>0.83446176994144372</v>
      </c>
      <c r="AS33" s="253">
        <f>IF(Table16[[#This Row],[Vin]]&gt;Vout, 0, IF(Table16[[#This Row],[Iin]]&gt;Table16[[#This Row],[Ripple Current pk-pk]]/2,0,ABS(Table16[[#This Row],[Iin]]-Table16[[#This Row],[Ripple Current pk-pk]]/2)*Vsd_Q4*Deadtime*Fsw))</f>
        <v>0</v>
      </c>
      <c r="AT33" s="345">
        <f>(Table16[[#This Row],[Dead Time Loss BoCtlr]]+Table16[[#This Row],[Transition Loss BoCtlr]]+Table16[[#This Row],[RDS(on) Loss BoCtlr]]*(1+RdsonTopTc*Ta-RdsonTopTc*25))/(1-Table16[[#This Row],[RDS(on) Loss BoCtlr]]*RdsonTopTc*ThetaJA_Q4)</f>
        <v>1.2071546590303919</v>
      </c>
      <c r="AU33"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10.881544663199982</v>
      </c>
      <c r="AV33" s="345">
        <f>Rdson3*Table16[[#This Row],[Irms BoSync]]^2</f>
        <v>0.41442804990025606</v>
      </c>
      <c r="AW33"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0.41894736842105257</v>
      </c>
      <c r="AX33" s="345">
        <f>(Table16[[#This Row],[Deadtime Loss BoSync]]+Table16[[#This Row],[RDS(on) Loss BoSync]]*(1+RdsonBotTc*Ta-RdsonBotTc*25))/(1-Table16[[#This Row],[RDS(on) Loss BoSync]]*RdsonBotTc*ThetaJA_Q3)</f>
        <v>0.93401695262651296</v>
      </c>
      <c r="AY33" s="345">
        <f>CHOOSE(Table16[[#This Row],[Mode Digit]], Rdson3*Table16[[#This Row],[Irms Lf]]^2, Rdson1*Table16[[#This Row],[Irms Lf]]^2, 0)</f>
        <v>0.69809056275358206</v>
      </c>
      <c r="AZ33" s="345">
        <f>CHOOSE(Table16[[#This Row],[Mode Digit]], 2*Deadtime*Fsw*IF(VfdSky_Q2&gt;0,VfdSky_Q2,0)*Table16[[#This Row],[Iout]], 2*Deadtime*Fsw*IF(VfdSky_Q3&gt;0,VfdSky_Q3,0)*Table16[[#This Row],[Iin]], 2*Deadtime*Fsw*IF(VfdSky_Q2&gt;0,VfdSky_Q2,0)*Table16[[#This Row],[Iout]]+2*Deadtime*Fsw*IF(VfdSky_Q3&gt;0,VfdSky_Q3,0)*Table16[[#This Row],[Iin]])</f>
        <v>0</v>
      </c>
      <c r="BA33" s="345">
        <f>CHOOSE(Table16[[#This Row],[Mode Digit]], IF(QrrSky_Q2&gt;0,QrrSky_Q2,Qrr_Q2)*Fsw*(Table16[[#This Row],[Vin]]-Table16[[#This Row],[Iout]]*Rdson1),0,  IF(QrrSky_Q2&gt;0,QrrSky_Q2,Qrr_Q2)*Fsw*(Table16[[#This Row],[Vin]]-Table16[[#This Row],[Iout]]*Rdson1)+IF(QrrSky_Q3&gt;0,QrrSky_Q3,Qrr_Q3)*Fsw*Vout)</f>
        <v>0</v>
      </c>
      <c r="BB33" s="345">
        <f>CHOOSE(Table16[[#This Row],[Mode Digit]],0, IF(QrrSky_Q3&gt;0,QrrSky_Q3,Qrr_Q3)*Fsw*Vout,  IF(QrrSky_Q2&gt;0,QrrSky_Q2,Qrr_Q2)*Fsw*(Table16[[#This Row],[Vin]]-Table16[[#This Row],[Iout]]*Rdson1)+IF(QrrSky_Q3&gt;0,QrrSky_Q3,Qrr_Q3)*Fsw*Vout)</f>
        <v>0.35660799999999998</v>
      </c>
      <c r="BC33" s="345">
        <f>CHOOSE(Table16[[#This Row],[Mode Digit]], Rs*Table16[[#This Row],[Irms BuSync]]^2, Rs*Table16[[#This Row],[Irms BoCtlr]]^2, Rs*(Table16[[#This Row],[Irms BuSync]]^2+Table16[[#This Row],[Irms BoCtlr]]^2))</f>
        <v>0.10536036191694971</v>
      </c>
      <c r="BD33" s="345">
        <f t="shared" si="1"/>
        <v>0.64</v>
      </c>
      <c r="BE33" s="345">
        <f>IF(Vout&gt;8, Iq*Vout, Iq*Table16[[#This Row],[Vin]])</f>
        <v>4.8000000000000001E-2</v>
      </c>
      <c r="BF33" s="345">
        <f>CHOOSE(Table16[[#This Row],[Mode Digit]], (Qg_Q1+Qg_Q2)*Fsw, (Qg_Q3+Qg_Q4)*Fsw, (Qg_Q1+Qg_Q2+Qg_Q3+Qg_Q4)*Fsw)*IF(Vout&gt;8, Vout, Table16[[#This Row],[Vin]])</f>
        <v>0.85331200000000007</v>
      </c>
      <c r="BG33" s="345">
        <f t="shared" si="2"/>
        <v>0.50594479787234037</v>
      </c>
      <c r="BH33" s="345">
        <f>Table16[[#This Row],[IQ Loss]]+Table16[[#This Row],[Switching Current Loss]]</f>
        <v>0.90131200000000011</v>
      </c>
      <c r="BI33"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6.8479562757258234</v>
      </c>
      <c r="BJ33" s="253">
        <f>Vout*Table16[[#This Row],[Iout]]</f>
        <v>128</v>
      </c>
      <c r="BK33" s="684">
        <f>Table16[[#This Row],[Pout]]/(Table16[[#This Row],[Pout]]+Table16[[#This Row],[Total Loss]])</f>
        <v>0.94921720384309194</v>
      </c>
      <c r="BL33"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101.64457283697547</v>
      </c>
      <c r="BM33" s="685">
        <f>IF(Table16[[#This Row],[Vin]]&gt;Vout, Table16[[#This Row],[Total Sync Bu MOSFET Loss]]*ThetaJA_Q2, ThetaJA_Q3*Table16[[#This Row],[Total Sync Bo MOSFET Loss]])</f>
        <v>60.711101920723344</v>
      </c>
      <c r="BN33" s="640"/>
      <c r="BO33" s="292">
        <f>Table16[[#This Row],[EFF, h]]*100</f>
        <v>94.921720384309197</v>
      </c>
      <c r="BP33" s="345">
        <f>Table16[[#This Row],[Total Inductor Loss]]</f>
        <v>1.7546748260995408</v>
      </c>
      <c r="BQ33" s="345">
        <f>Table16[[#This Row],[Total Control Bu MOSFET Loss]]+Table16[[#This Row],[Total Sync Bu MOSFET Loss]]+Table16[[#This Row],[Total Control Bo MOSFET Loss]]+Table16[[#This Row],[Total Sync Bo MOSFET Loss]]+Table16[[#This Row],[Reverse Recovery Loss MOSFET D BUCK]]+Table16[[#This Row],[Reverse Recovery Loss MOSFET D BOOST]]</f>
        <v>3.350673426421114</v>
      </c>
      <c r="BR33" s="345">
        <f>Table16[[#This Row],[Total Control Bu MOSFET Loss]]+Table16[[#This Row],[Reverse Recovery Loss MOSFET D BUCK]]*0.66</f>
        <v>0.852893814764209</v>
      </c>
      <c r="BS33" s="345">
        <f>Table16[[#This Row],[Total Sync Bu MOSFET Loss]]+Table16[[#This Row],[Reverse Recovery Loss MOSFET D BUCK]]*0.33</f>
        <v>0</v>
      </c>
      <c r="BT33" s="345">
        <f xml:space="preserve"> Table16[[#This Row],[Total Control Bo MOSFET Loss]]+Table16[[#This Row],[Reverse Recovery Loss MOSFET D BOOST]]*0.66</f>
        <v>1.4425159390303919</v>
      </c>
      <c r="BU33" s="345">
        <f xml:space="preserve"> Table16[[#This Row],[Total Sync Bo MOSFET Loss]]+Table16[[#This Row],[Reverse Recovery Loss MOSFET D BOOST]]*0.33</f>
        <v>1.0516975926265131</v>
      </c>
      <c r="BV33" s="345">
        <f>Table16[[#This Row],[Isense Shunt Loss]]</f>
        <v>0.10536036191694971</v>
      </c>
      <c r="CA33" s="253">
        <v>9.9986420000000003</v>
      </c>
      <c r="CB33" s="253">
        <v>0.64549999999999996</v>
      </c>
      <c r="CC33" s="253">
        <v>5.1237300000000001</v>
      </c>
      <c r="CD33" s="253">
        <v>90.41893857119905</v>
      </c>
      <c r="CE33" s="253">
        <v>350.45848473660021</v>
      </c>
    </row>
    <row r="34" spans="1:83" ht="13.6" x14ac:dyDescent="0.25">
      <c r="A34" s="688" t="s">
        <v>56</v>
      </c>
      <c r="B34" s="679" t="s">
        <v>113</v>
      </c>
      <c r="C34" s="688" t="s">
        <v>80</v>
      </c>
      <c r="D34" s="681" t="s">
        <v>109</v>
      </c>
      <c r="G34" s="253">
        <v>25</v>
      </c>
      <c r="H34" s="286">
        <f>VIN_min+(VIN_max-VIN_min)*(Table16[[#This Row],[Step]]/200)</f>
        <v>9.75</v>
      </c>
      <c r="I34" s="292" t="str">
        <f>IF(Mode = 2,IF(Table16[[#This Row],[Vin]]&gt;Vout, "BUCK","BOOST"),IF(Table16[[#This Row],[Vin]]&gt;VIN_BB_to_buck, "BUCK", IF(Table16[[#This Row],[Vin]]&lt;=VIN_boost_to_BB,"BOOST","BUCK-BST")))</f>
        <v>BOOST</v>
      </c>
      <c r="J34" s="253">
        <f>IF(Table16[[#This Row],[Mode]]="BOOST",2, IF(Table16[[#This Row],[Mode]]="BUCK", 1,3))</f>
        <v>2</v>
      </c>
      <c r="K34" s="253">
        <f t="shared" si="0"/>
        <v>8</v>
      </c>
      <c r="L34" s="292">
        <f>Vout*Table16[[#This Row],[Iout]]/(Table16[[#This Row],[Vin]]*Efficiency)</f>
        <v>13.819163292847504</v>
      </c>
      <c r="M34" s="682">
        <f>MIN(1/Fsw,CHOOSE(Table16[[#This Row],[Mode Digit]],(Vout+(Rdson2+Rs+Rdcr)*Table16[[#This Row],[Iout]])/(Table16[[#This Row],[Vin]]+(Rs+Rdson2-Rdson1)*Table16[[#This Row],[Iout]])/Fsw,(Vout+(Rdson3+Rdcr)*Table16[[#This Row],[Iin]]-Table16[[#This Row],[Vin]])/(Vout+(Rdson3-Rdson4-Rs)*Table16[[#This Row],[Iin]])/Fsw,t1_Ph_II))</f>
        <v>9.9712906750655412E-7</v>
      </c>
      <c r="N34" s="518">
        <f>CHOOSE(Table16[[#This Row],[Mode Digit]],1/Fsw-Table16[[#This Row],[t1_Ph_II]],1/Fsw-Table16[[#This Row],[t1_Ph_II]],(Vout/Fsw-Table16[[#This Row],[Vin]]*t1_Ph_II)/(Table16[[#This Row],[Vin]]+Vout))</f>
        <v>1.5154337465637978E-6</v>
      </c>
      <c r="O34" s="518">
        <f>1/Fsw-(Table16[[#This Row],[t1_Ph_II]]+Table16[[#This Row],[t2_Ph_I]])</f>
        <v>0</v>
      </c>
      <c r="P34"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11.11860540168392</v>
      </c>
      <c r="Q34" s="292">
        <f>CHOOSE(Table16[[#This Row],[Mode Digit]],Table16[[#This Row],[I_0]]+1/Lf*(Table16[[#This Row],[Vin]]-Vout)*Table16[[#This Row],[t1_Ph_II]],Table16[[#This Row],[I_0]]+1/Lf*Table16[[#This Row],[Vin]]*Table16[[#This Row],[t1_Ph_II]],Table16[[#This Row],[I_0]]+(Table16[[#This Row],[Vin]]-Vout)/L*Table16[[#This Row],[t1_Ph_II]])</f>
        <v>16.51972118401109</v>
      </c>
      <c r="R34" s="292">
        <f>CHOOSE(Table16[[#This Row],[Mode Digit]],0,0,Table16[[#This Row],[I_1]]+Table16[[#This Row],[Vin]]/L*Table16[[#This Row],[t2_Ph_I]])</f>
        <v>0</v>
      </c>
      <c r="S34" s="292">
        <f>Fsw*(Table16[[#This Row],[I_0]]*Table16[[#This Row],[t1_Ph_II]]+Table16[[#This Row],[I_1]]*Table16[[#This Row],[t2_Ph_I]]+Table16[[#This Row],[I_2]]*Table16[[#This Row],[t3_Ph_III]])</f>
        <v>14.376248585687415</v>
      </c>
      <c r="T34" s="345">
        <f>MIN(1,CHOOSE(Table16[[#This Row],[Mode Digit]],(Vout+(Rdson2+Rs+Rdcr)*Table16[[#This Row],[Iout]])/(Table16[[#This Row],[Vin]]+(Rs+Rdson2-Rdson1)*Table16[[#This Row],[Iout]]),1,Fsw*Table16[[#This Row],[t2_Ph_I]]+Table16[[#This Row],[t1_Ph_II]]))</f>
        <v>1</v>
      </c>
      <c r="U34" s="345">
        <f>MIN(1,CHOOSE(Table16[[#This Row],[Mode Digit]],0,(Vout+(Rdson3+Rdcr)*Table16[[#This Row],[Iin]]-Table16[[#This Row],[Vin]])/(Vout+(Rdson3-Rdson4-Rs)*Table16[[#This Row],[Iin]]),Fsw*Table16[[#This Row],[t1_Ph_II]]+Table16[[#This Row],[t3_Ph_III]]))</f>
        <v>0.39685736886760853</v>
      </c>
      <c r="V34" s="292">
        <f>MAX(Table16[[#This Row],[I_0]:[I_2]])-MIN(Table16[[#This Row],[I_0]:[I_1]])</f>
        <v>5.4011157823271692</v>
      </c>
      <c r="W34"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13.906842863217584</v>
      </c>
      <c r="X34" s="345">
        <f>(Table16[[#This Row],[Irms Lf]]^2*Rdcr*(1+Ltc*Ta-Ltc*25))/(1-Table16[[#This Row],[Irms Lf]]^2*Rdcr*Ltc*ThetaCa)</f>
        <v>0.6511180525912873</v>
      </c>
      <c r="Y34" s="345">
        <f>ABS(7.759*10^-3*Fsw^0.9458*(0.00787*Table16[[#This Row],[Ripple Current pk-pk]])^2.304)</f>
        <v>1.062044952869339</v>
      </c>
      <c r="Z34" s="345">
        <f>Table16[[#This Row],[DCR    Loss]]+Table16[[#This Row],[Core Loss]]</f>
        <v>1.7131630054606264</v>
      </c>
      <c r="AA34" s="292">
        <f>IF(Table16[[#This Row],[Vin]]&gt;Vout, Table16[[#This Row],[Ripple Current pk-pk]]/SQRT(12), SQRT(Table16[[#This Row],[Duty Cycle BOOST Leg]]/(1-Table16[[#This Row],[Duty Cycle BOOST Leg]]))*SQRT(Table16[[#This Row],[Iout]]^2+(Table16[[#This Row],[Ripple Current pk-pk]]^2)/12))</f>
        <v>6.6113876218151271</v>
      </c>
      <c r="AB34" s="345">
        <f>RCoutEsr*Table16[[#This Row],[Irms Cout]]^2</f>
        <v>8.7420892571780567E-2</v>
      </c>
      <c r="AC34" s="345">
        <f>Table16[[#This Row],[Cout ESR Loss]]</f>
        <v>8.7420892571780567E-2</v>
      </c>
      <c r="AD34" s="345">
        <f>IF(Table16[[#This Row],[Vin]]&gt;Vout, SQRT(Table16[[#This Row],[Duty Cycle BUCK Leg]]*(1-Table16[[#This Row],[Duty Cycle BUCK Leg]]))*SQRT(Table16[[#This Row],[Iout]]^2+(Table16[[#This Row],[Ripple Current pk-pk]]^2)/12), Table16[[#This Row],[Ripple Current pk-pk]]/SQRT(12))</f>
        <v>1.5591678254254637</v>
      </c>
      <c r="AE34" s="345">
        <f>RCinEsr*Table16[[#This Row],[Irms Cin]]^2</f>
        <v>4.8620086156839389E-3</v>
      </c>
      <c r="AF34" s="683">
        <f>Table16[[#This Row],[Cin ESR Loss]]</f>
        <v>4.8620086156839389E-3</v>
      </c>
      <c r="AG34"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13.906842863217584</v>
      </c>
      <c r="AH34" s="345">
        <f>Rdson1*Table16[[#This Row],[Irms BuCtrl]]^2</f>
        <v>0.67690097447779052</v>
      </c>
      <c r="AI34" s="345">
        <f>CHOOSE(Table16[[#This Row],[Mode Digit]], (Table16[[#This Row],[Vin]]*Table16[[#This Row],[Iout]]/2)*(Fsw)*(Tr_buck+Tf_buck), 0, (Table16[[#This Row],[Vin]]*Table16[[#This Row],[Avg IL]]/2)*(Fsw/1)*(Tr_buck+Tf_buck))</f>
        <v>0</v>
      </c>
      <c r="AJ34" s="253">
        <f>IF(Table16[[#This Row],[Vin]]&gt;Vout, IF(Table16[[#This Row],[Iout]]&gt;Table16[[#This Row],[Ripple Current pk-pk]]/2,0,ABS(Table16[[#This Row],[Iout]]-Table16[[#This Row],[Ripple Current pk-pk]]/2)*Vsd_Q1*Deadtime*Fsw),0)</f>
        <v>0</v>
      </c>
      <c r="AK34" s="345">
        <f>(Table16[[#This Row],[Dead Time Loss BuCtrl]]+Table16[[#This Row],[Transition Loss BuCtrl]]+Table16[[#This Row],[RDS(on) Loss BuCtrl]]*(1+RdsonTopTc*Ta-RdsonTopTc*25))/(1-Table16[[#This Row],[RDS(on) Loss BuCtrl]]*RdsonTopTc*ThetaJA_Q1)</f>
        <v>0.8214760361094825</v>
      </c>
      <c r="AL34" s="345">
        <f>CHOOSE(Table16[[#This Row],[Mode Digit]],SQRT((Fsw*(Table16[[#This Row],[t2_Ph_I]]+0))*((Table16[[#This Row],[I_0]]*Table16[[#This Row],[I_1]]+((Table16[[#This Row],[I_0]]-Table16[[#This Row],[I_1]])^2)/3))),0,SQRT((Fsw*(Table16[[#This Row],[t3_Ph_III]]+0))*((Table16[[#This Row],[I_0]]*Table16[[#This Row],[I_2]]+((Table16[[#This Row],[I_0]]-Table16[[#This Row],[I_2]])^2)/3))))</f>
        <v>0</v>
      </c>
      <c r="AM34" s="345">
        <f>Rdson2*Table16[[#This Row],[Irms BuSync]]^2</f>
        <v>0</v>
      </c>
      <c r="AN34"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34" s="345">
        <f>(Table16[[#This Row],[Deadtime Loss BuSync]]+Table16[[#This Row],[RDS(on) Loss BuSync]]*(1+RdsonBotTc*Ta-RdsonBotTc*25))/(1-Table16[[#This Row],[RDS(on) Loss BuSync]]*RdsonBotTc*ThetaJA_Q2)</f>
        <v>0</v>
      </c>
      <c r="AP34" s="345">
        <f>CHOOSE(Table16[[#This Row],[Mode Digit]],0,SQRT((Fsw*(Table16[[#This Row],[t1_Ph_II]]+0))*((Table16[[#This Row],[I_0]]*Table16[[#This Row],[I_1]]+((Table16[[#This Row],[I_0]]-Table16[[#This Row],[I_1]])^2)/3))),SQRT((Fsw*(Table16[[#This Row],[t2_Ph_I]]+0))*((Table16[[#This Row],[I_1]]*Table16[[#This Row],[I_2]]+((Table16[[#This Row],[I_1]]-Table16[[#This Row],[I_2]])^2)/3))))</f>
        <v>8.7608404638429231</v>
      </c>
      <c r="AQ34" s="345">
        <f>Rdson4*Table16[[#This Row],[Irms BoCtlr]]^2</f>
        <v>0.26863313971517622</v>
      </c>
      <c r="AR34" s="345">
        <f>CHOOSE(Table16[[#This Row],[Mode Digit]], 0, (Vout*Table16[[#This Row],[Iin]]/2)*(Fsw)*(Tr_boost+Tf_boost), (Vout*Iout/2)*(Fsw/1)*(Tr_boost+Tf_boost))</f>
        <v>0.82162389655772916</v>
      </c>
      <c r="AS34" s="253">
        <f>IF(Table16[[#This Row],[Vin]]&gt;Vout, 0, IF(Table16[[#This Row],[Iin]]&gt;Table16[[#This Row],[Ripple Current pk-pk]]/2,0,ABS(Table16[[#This Row],[Iin]]-Table16[[#This Row],[Ripple Current pk-pk]]/2)*Vsd_Q4*Deadtime*Fsw))</f>
        <v>0</v>
      </c>
      <c r="AT34" s="345">
        <f>(Table16[[#This Row],[Dead Time Loss BoCtlr]]+Table16[[#This Row],[Transition Loss BoCtlr]]+Table16[[#This Row],[RDS(on) Loss BoCtlr]]*(1+RdsonTopTc*Ta-RdsonTopTc*25))/(1-Table16[[#This Row],[RDS(on) Loss BoCtlr]]*RdsonTopTc*ThetaJA_Q4)</f>
        <v>1.1721235563529826</v>
      </c>
      <c r="AU34"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10.800368178414955</v>
      </c>
      <c r="AV34" s="345">
        <f>Rdson3*Table16[[#This Row],[Irms BoSync]]^2</f>
        <v>0.4082678347626143</v>
      </c>
      <c r="AW34"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0.4125020242914979</v>
      </c>
      <c r="AX34" s="345">
        <f>(Table16[[#This Row],[Deadtime Loss BoSync]]+Table16[[#This Row],[RDS(on) Loss BoSync]]*(1+RdsonBotTc*Ta-RdsonBotTc*25))/(1-Table16[[#This Row],[RDS(on) Loss BoSync]]*RdsonBotTc*ThetaJA_Q3)</f>
        <v>0.91824078510696105</v>
      </c>
      <c r="AY34" s="345">
        <f>CHOOSE(Table16[[#This Row],[Mode Digit]], Rdson3*Table16[[#This Row],[Irms Lf]]^2, Rdson1*Table16[[#This Row],[Irms Lf]]^2, 0)</f>
        <v>0.67690097447779052</v>
      </c>
      <c r="AZ34" s="345">
        <f>CHOOSE(Table16[[#This Row],[Mode Digit]], 2*Deadtime*Fsw*IF(VfdSky_Q2&gt;0,VfdSky_Q2,0)*Table16[[#This Row],[Iout]], 2*Deadtime*Fsw*IF(VfdSky_Q3&gt;0,VfdSky_Q3,0)*Table16[[#This Row],[Iin]], 2*Deadtime*Fsw*IF(VfdSky_Q2&gt;0,VfdSky_Q2,0)*Table16[[#This Row],[Iout]]+2*Deadtime*Fsw*IF(VfdSky_Q3&gt;0,VfdSky_Q3,0)*Table16[[#This Row],[Iin]])</f>
        <v>0</v>
      </c>
      <c r="BA34" s="345">
        <f>CHOOSE(Table16[[#This Row],[Mode Digit]], IF(QrrSky_Q2&gt;0,QrrSky_Q2,Qrr_Q2)*Fsw*(Table16[[#This Row],[Vin]]-Table16[[#This Row],[Iout]]*Rdson1),0,  IF(QrrSky_Q2&gt;0,QrrSky_Q2,Qrr_Q2)*Fsw*(Table16[[#This Row],[Vin]]-Table16[[#This Row],[Iout]]*Rdson1)+IF(QrrSky_Q3&gt;0,QrrSky_Q3,Qrr_Q3)*Fsw*Vout)</f>
        <v>0</v>
      </c>
      <c r="BB34" s="345">
        <f>CHOOSE(Table16[[#This Row],[Mode Digit]],0, IF(QrrSky_Q3&gt;0,QrrSky_Q3,Qrr_Q3)*Fsw*Vout,  IF(QrrSky_Q2&gt;0,QrrSky_Q2,Qrr_Q2)*Fsw*(Table16[[#This Row],[Vin]]-Table16[[#This Row],[Iout]]*Rdson1)+IF(QrrSky_Q3&gt;0,QrrSky_Q3,Qrr_Q3)*Fsw*Vout)</f>
        <v>0.35660799999999998</v>
      </c>
      <c r="BC34" s="345">
        <f>CHOOSE(Table16[[#This Row],[Mode Digit]], Rs*Table16[[#This Row],[Irms BuSync]]^2, Rs*Table16[[#This Row],[Irms BoCtlr]]^2, Rs*(Table16[[#This Row],[Irms BuSync]]^2+Table16[[#This Row],[Irms BoCtlr]]^2))</f>
        <v>9.9778023322779727E-2</v>
      </c>
      <c r="BD34" s="345">
        <f t="shared" si="1"/>
        <v>0.64</v>
      </c>
      <c r="BE34" s="345">
        <f>IF(Vout&gt;8, Iq*Vout, Iq*Table16[[#This Row],[Vin]])</f>
        <v>4.8000000000000001E-2</v>
      </c>
      <c r="BF34" s="345">
        <f>CHOOSE(Table16[[#This Row],[Mode Digit]], (Qg_Q1+Qg_Q2)*Fsw, (Qg_Q3+Qg_Q4)*Fsw, (Qg_Q1+Qg_Q2+Qg_Q3+Qg_Q4)*Fsw)*IF(Vout&gt;8, Vout, Table16[[#This Row],[Vin]])</f>
        <v>0.85331200000000007</v>
      </c>
      <c r="BG34" s="345">
        <f t="shared" si="2"/>
        <v>0.50594479787234037</v>
      </c>
      <c r="BH34" s="345">
        <f>Table16[[#This Row],[IQ Loss]]+Table16[[#This Row],[Switching Current Loss]]</f>
        <v>0.90131200000000011</v>
      </c>
      <c r="BI34"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6.7149843075402957</v>
      </c>
      <c r="BJ34" s="253">
        <f>Vout*Table16[[#This Row],[Iout]]</f>
        <v>128</v>
      </c>
      <c r="BK34" s="684">
        <f>Table16[[#This Row],[Pout]]/(Table16[[#This Row],[Pout]]+Table16[[#This Row],[Total Loss]])</f>
        <v>0.95015413955576988</v>
      </c>
      <c r="BL34"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99.367551162943869</v>
      </c>
      <c r="BM34" s="685">
        <f>IF(Table16[[#This Row],[Vin]]&gt;Vout, Table16[[#This Row],[Total Sync Bu MOSFET Loss]]*ThetaJA_Q2, ThetaJA_Q3*Table16[[#This Row],[Total Sync Bo MOSFET Loss]])</f>
        <v>59.685651031952467</v>
      </c>
      <c r="BN34" s="640"/>
      <c r="BO34" s="292">
        <f>Table16[[#This Row],[EFF, h]]*100</f>
        <v>95.015413955576989</v>
      </c>
      <c r="BP34" s="345">
        <f>Table16[[#This Row],[Total Inductor Loss]]</f>
        <v>1.7131630054606264</v>
      </c>
      <c r="BQ34" s="345">
        <f>Table16[[#This Row],[Total Control Bu MOSFET Loss]]+Table16[[#This Row],[Total Sync Bu MOSFET Loss]]+Table16[[#This Row],[Total Control Bo MOSFET Loss]]+Table16[[#This Row],[Total Sync Bo MOSFET Loss]]+Table16[[#This Row],[Reverse Recovery Loss MOSFET D BUCK]]+Table16[[#This Row],[Reverse Recovery Loss MOSFET D BOOST]]</f>
        <v>3.2684483775694262</v>
      </c>
      <c r="BR34" s="345">
        <f>Table16[[#This Row],[Total Control Bu MOSFET Loss]]+Table16[[#This Row],[Reverse Recovery Loss MOSFET D BUCK]]*0.66</f>
        <v>0.8214760361094825</v>
      </c>
      <c r="BS34" s="345">
        <f>Table16[[#This Row],[Total Sync Bu MOSFET Loss]]+Table16[[#This Row],[Reverse Recovery Loss MOSFET D BUCK]]*0.33</f>
        <v>0</v>
      </c>
      <c r="BT34" s="345">
        <f xml:space="preserve"> Table16[[#This Row],[Total Control Bo MOSFET Loss]]+Table16[[#This Row],[Reverse Recovery Loss MOSFET D BOOST]]*0.66</f>
        <v>1.4074848363529826</v>
      </c>
      <c r="BU34" s="345">
        <f xml:space="preserve"> Table16[[#This Row],[Total Sync Bo MOSFET Loss]]+Table16[[#This Row],[Reverse Recovery Loss MOSFET D BOOST]]*0.33</f>
        <v>1.0359214251069611</v>
      </c>
      <c r="BV34" s="345">
        <f>Table16[[#This Row],[Isense Shunt Loss]]</f>
        <v>9.9778023322779727E-2</v>
      </c>
      <c r="CA34" s="253">
        <v>9.9986049999999995</v>
      </c>
      <c r="CB34" s="253">
        <v>0.83240000000000003</v>
      </c>
      <c r="CC34" s="253">
        <v>5.1231559999999998</v>
      </c>
      <c r="CD34" s="253">
        <v>91.678946361105133</v>
      </c>
      <c r="CE34" s="253">
        <v>387.05996035199956</v>
      </c>
    </row>
    <row r="35" spans="1:83" x14ac:dyDescent="0.2">
      <c r="A35" s="690" t="s">
        <v>156</v>
      </c>
      <c r="B35" s="569">
        <f>Iq*1000</f>
        <v>3</v>
      </c>
      <c r="C35" s="255" t="s">
        <v>68</v>
      </c>
      <c r="D35" s="255" t="s">
        <v>159</v>
      </c>
      <c r="G35" s="253">
        <v>26</v>
      </c>
      <c r="H35" s="286">
        <f>VIN_min+(VIN_max-VIN_min)*(Table16[[#This Row],[Step]]/200)</f>
        <v>9.9</v>
      </c>
      <c r="I35" s="292" t="str">
        <f>IF(Mode = 2,IF(Table16[[#This Row],[Vin]]&gt;Vout, "BUCK","BOOST"),IF(Table16[[#This Row],[Vin]]&gt;VIN_BB_to_buck, "BUCK", IF(Table16[[#This Row],[Vin]]&lt;=VIN_boost_to_BB,"BOOST","BUCK-BST")))</f>
        <v>BOOST</v>
      </c>
      <c r="J35" s="253">
        <f>IF(Table16[[#This Row],[Mode]]="BOOST",2, IF(Table16[[#This Row],[Mode]]="BUCK", 1,3))</f>
        <v>2</v>
      </c>
      <c r="K35" s="253">
        <f t="shared" si="0"/>
        <v>8</v>
      </c>
      <c r="L35" s="292">
        <f>Vout*Table16[[#This Row],[Iout]]/(Table16[[#This Row],[Vin]]*Efficiency)</f>
        <v>13.609782030834664</v>
      </c>
      <c r="M35" s="682">
        <f>MIN(1/Fsw,CHOOSE(Table16[[#This Row],[Mode Digit]],(Vout+(Rdson2+Rs+Rdcr)*Table16[[#This Row],[Iout]])/(Table16[[#This Row],[Vin]]+(Rs+Rdson2-Rdson1)*Table16[[#This Row],[Iout]])/Fsw,(Vout+(Rdson3+Rdcr)*Table16[[#This Row],[Iin]]-Table16[[#This Row],[Vin]])/(Vout+(Rdson3-Rdson4-Rs)*Table16[[#This Row],[Iin]])/Fsw,t1_Ph_II))</f>
        <v>9.7331019145286815E-7</v>
      </c>
      <c r="N35" s="518">
        <f>CHOOSE(Table16[[#This Row],[Mode Digit]],1/Fsw-Table16[[#This Row],[t1_Ph_II]],1/Fsw-Table16[[#This Row],[t1_Ph_II]],(Vout/Fsw-Table16[[#This Row],[Vin]]*t1_Ph_II)/(Table16[[#This Row],[Vin]]+Vout))</f>
        <v>1.5392526226174837E-6</v>
      </c>
      <c r="O35" s="518">
        <f>1/Fsw-(Table16[[#This Row],[t1_Ph_II]]+Table16[[#This Row],[t2_Ph_I]])</f>
        <v>0</v>
      </c>
      <c r="P35"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10.933179004339276</v>
      </c>
      <c r="Q35" s="292">
        <f>CHOOSE(Table16[[#This Row],[Mode Digit]],Table16[[#This Row],[I_0]]+1/Lf*(Table16[[#This Row],[Vin]]-Vout)*Table16[[#This Row],[t1_Ph_II]],Table16[[#This Row],[I_0]]+1/Lf*Table16[[#This Row],[Vin]]*Table16[[#This Row],[t1_Ph_II]],Table16[[#This Row],[I_0]]+(Table16[[#This Row],[Vin]]-Vout)/L*Table16[[#This Row],[t1_Ph_II]])</f>
        <v>16.286385057330051</v>
      </c>
      <c r="R35" s="292">
        <f>CHOOSE(Table16[[#This Row],[Mode Digit]],0,0,Table16[[#This Row],[I_1]]+Table16[[#This Row],[Vin]]/L*Table16[[#This Row],[t2_Ph_I]])</f>
        <v>0</v>
      </c>
      <c r="S35" s="292">
        <f>Fsw*(Table16[[#This Row],[I_0]]*Table16[[#This Row],[t1_Ph_II]]+Table16[[#This Row],[I_1]]*Table16[[#This Row],[t2_Ph_I]]+Table16[[#This Row],[I_2]]*Table16[[#This Row],[t3_Ph_III]])</f>
        <v>14.212673714017457</v>
      </c>
      <c r="T35" s="345">
        <f>MIN(1,CHOOSE(Table16[[#This Row],[Mode Digit]],(Vout+(Rdson2+Rs+Rdcr)*Table16[[#This Row],[Iout]])/(Table16[[#This Row],[Vin]]+(Rs+Rdson2-Rdson1)*Table16[[#This Row],[Iout]]),1,Fsw*Table16[[#This Row],[t2_Ph_I]]+Table16[[#This Row],[t1_Ph_II]]))</f>
        <v>1</v>
      </c>
      <c r="U35" s="345">
        <f>MIN(1,CHOOSE(Table16[[#This Row],[Mode Digit]],0,(Vout+(Rdson3+Rdcr)*Table16[[#This Row],[Iin]]-Table16[[#This Row],[Vin]])/(Vout+(Rdson3-Rdson4-Rs)*Table16[[#This Row],[Iin]]),Fsw*Table16[[#This Row],[t1_Ph_II]]+Table16[[#This Row],[t3_Ph_III]]))</f>
        <v>0.38737745619824149</v>
      </c>
      <c r="V35" s="292">
        <f>MAX(Table16[[#This Row],[I_0]:[I_2]])-MIN(Table16[[#This Row],[I_0]:[I_1]])</f>
        <v>5.3532060529907746</v>
      </c>
      <c r="W35"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13.69723456933229</v>
      </c>
      <c r="X35" s="345">
        <f>(Table16[[#This Row],[Irms Lf]]^2*Rdcr*(1+Ltc*Ta-Ltc*25))/(1-Table16[[#This Row],[Irms Lf]]^2*Rdcr*Ltc*ThetaCa)</f>
        <v>0.63065545638216058</v>
      </c>
      <c r="Y35" s="345">
        <f>ABS(7.759*10^-3*Fsw^0.9458*(0.00787*Table16[[#This Row],[Ripple Current pk-pk]])^2.304)</f>
        <v>1.0404650809896545</v>
      </c>
      <c r="Z35" s="345">
        <f>Table16[[#This Row],[DCR    Loss]]+Table16[[#This Row],[Core Loss]]</f>
        <v>1.6711205373718152</v>
      </c>
      <c r="AA35" s="292">
        <f>IF(Table16[[#This Row],[Vin]]&gt;Vout, Table16[[#This Row],[Ripple Current pk-pk]]/SQRT(12), SQRT(Table16[[#This Row],[Duty Cycle BOOST Leg]]/(1-Table16[[#This Row],[Duty Cycle BOOST Leg]]))*SQRT(Table16[[#This Row],[Iout]]^2+(Table16[[#This Row],[Ripple Current pk-pk]]^2)/12))</f>
        <v>6.4791151594010561</v>
      </c>
      <c r="AB35" s="345">
        <f>RCoutEsr*Table16[[#This Row],[Irms Cout]]^2</f>
        <v>8.3957866497561137E-2</v>
      </c>
      <c r="AC35" s="345">
        <f>Table16[[#This Row],[Cout ESR Loss]]</f>
        <v>8.3957866497561137E-2</v>
      </c>
      <c r="AD35" s="345">
        <f>IF(Table16[[#This Row],[Vin]]&gt;Vout, SQRT(Table16[[#This Row],[Duty Cycle BUCK Leg]]*(1-Table16[[#This Row],[Duty Cycle BUCK Leg]]))*SQRT(Table16[[#This Row],[Iout]]^2+(Table16[[#This Row],[Ripple Current pk-pk]]^2)/12), Table16[[#This Row],[Ripple Current pk-pk]]/SQRT(12))</f>
        <v>1.545337477860879</v>
      </c>
      <c r="AE35" s="345">
        <f>RCinEsr*Table16[[#This Row],[Irms Cin]]^2</f>
        <v>4.7761358409628462E-3</v>
      </c>
      <c r="AF35" s="683">
        <f>Table16[[#This Row],[Cin ESR Loss]]</f>
        <v>4.7761358409628462E-3</v>
      </c>
      <c r="AG35"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13.69723456933229</v>
      </c>
      <c r="AH35" s="345">
        <f>Rdson1*Table16[[#This Row],[Irms BuCtrl]]^2</f>
        <v>0.6566498219655903</v>
      </c>
      <c r="AI35" s="345">
        <f>CHOOSE(Table16[[#This Row],[Mode Digit]], (Table16[[#This Row],[Vin]]*Table16[[#This Row],[Iout]]/2)*(Fsw)*(Tr_buck+Tf_buck), 0, (Table16[[#This Row],[Vin]]*Table16[[#This Row],[Avg IL]]/2)*(Fsw/1)*(Tr_buck+Tf_buck))</f>
        <v>0</v>
      </c>
      <c r="AJ35" s="253">
        <f>IF(Table16[[#This Row],[Vin]]&gt;Vout, IF(Table16[[#This Row],[Iout]]&gt;Table16[[#This Row],[Ripple Current pk-pk]]/2,0,ABS(Table16[[#This Row],[Iout]]-Table16[[#This Row],[Ripple Current pk-pk]]/2)*Vsd_Q1*Deadtime*Fsw),0)</f>
        <v>0</v>
      </c>
      <c r="AK35" s="345">
        <f>(Table16[[#This Row],[Dead Time Loss BuCtrl]]+Table16[[#This Row],[Transition Loss BuCtrl]]+Table16[[#This Row],[RDS(on) Loss BuCtrl]]*(1+RdsonTopTc*Ta-RdsonTopTc*25))/(1-Table16[[#This Row],[RDS(on) Loss BuCtrl]]*RdsonTopTc*ThetaJA_Q1)</f>
        <v>0.79183980304648294</v>
      </c>
      <c r="AL35" s="345">
        <f>CHOOSE(Table16[[#This Row],[Mode Digit]],SQRT((Fsw*(Table16[[#This Row],[t2_Ph_I]]+0))*((Table16[[#This Row],[I_0]]*Table16[[#This Row],[I_1]]+((Table16[[#This Row],[I_0]]-Table16[[#This Row],[I_1]])^2)/3))),0,SQRT((Fsw*(Table16[[#This Row],[t3_Ph_III]]+0))*((Table16[[#This Row],[I_0]]*Table16[[#This Row],[I_2]]+((Table16[[#This Row],[I_0]]-Table16[[#This Row],[I_2]])^2)/3))))</f>
        <v>0</v>
      </c>
      <c r="AM35" s="345">
        <f>Rdson2*Table16[[#This Row],[Irms BuSync]]^2</f>
        <v>0</v>
      </c>
      <c r="AN35"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35" s="345">
        <f>(Table16[[#This Row],[Deadtime Loss BuSync]]+Table16[[#This Row],[RDS(on) Loss BuSync]]*(1+RdsonBotTc*Ta-RdsonBotTc*25))/(1-Table16[[#This Row],[RDS(on) Loss BuSync]]*RdsonBotTc*ThetaJA_Q2)</f>
        <v>0</v>
      </c>
      <c r="AP35" s="345">
        <f>CHOOSE(Table16[[#This Row],[Mode Digit]],0,SQRT((Fsw*(Table16[[#This Row],[t1_Ph_II]]+0))*((Table16[[#This Row],[I_0]]*Table16[[#This Row],[I_1]]+((Table16[[#This Row],[I_0]]-Table16[[#This Row],[I_1]])^2)/3))),SQRT((Fsw*(Table16[[#This Row],[t2_Ph_I]]+0))*((Table16[[#This Row],[I_1]]*Table16[[#This Row],[I_2]]+((Table16[[#This Row],[I_1]]-Table16[[#This Row],[I_2]])^2)/3))))</f>
        <v>8.5251114386693523</v>
      </c>
      <c r="AQ35" s="345">
        <f>Rdson4*Table16[[#This Row],[Irms BoCtlr]]^2</f>
        <v>0.25437133764605863</v>
      </c>
      <c r="AR35" s="345">
        <f>CHOOSE(Table16[[#This Row],[Mode Digit]], 0, (Vout*Table16[[#This Row],[Iin]]/2)*(Fsw)*(Tr_boost+Tf_boost), (Vout*Iout/2)*(Fsw/1)*(Tr_boost+Tf_boost))</f>
        <v>0.80917504964018794</v>
      </c>
      <c r="AS35" s="253">
        <f>IF(Table16[[#This Row],[Vin]]&gt;Vout, 0, IF(Table16[[#This Row],[Iin]]&gt;Table16[[#This Row],[Ripple Current pk-pk]]/2,0,ABS(Table16[[#This Row],[Iin]]-Table16[[#This Row],[Ripple Current pk-pk]]/2)*Vsd_Q4*Deadtime*Fsw))</f>
        <v>0</v>
      </c>
      <c r="AT35" s="345">
        <f>(Table16[[#This Row],[Dead Time Loss BoCtlr]]+Table16[[#This Row],[Transition Loss BoCtlr]]+Table16[[#This Row],[RDS(on) Loss BoCtlr]]*(1+RdsonTopTc*Ta-RdsonTopTc*25))/(1-Table16[[#This Row],[RDS(on) Loss BoCtlr]]*RdsonTopTc*ThetaJA_Q4)</f>
        <v>1.1388671274874762</v>
      </c>
      <c r="AU35"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10.720853968111893</v>
      </c>
      <c r="AV35" s="345">
        <f>Rdson3*Table16[[#This Row],[Irms BoSync]]^2</f>
        <v>0.40227848431953184</v>
      </c>
      <c r="AW35"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0.40625199362041464</v>
      </c>
      <c r="AX35" s="345">
        <f>(Table16[[#This Row],[Deadtime Loss BoSync]]+Table16[[#This Row],[RDS(on) Loss BoSync]]*(1+RdsonBotTc*Ta-RdsonBotTc*25))/(1-Table16[[#This Row],[RDS(on) Loss BoSync]]*RdsonBotTc*ThetaJA_Q3)</f>
        <v>0.90297478297965839</v>
      </c>
      <c r="AY35" s="345">
        <f>CHOOSE(Table16[[#This Row],[Mode Digit]], Rdson3*Table16[[#This Row],[Irms Lf]]^2, Rdson1*Table16[[#This Row],[Irms Lf]]^2, 0)</f>
        <v>0.6566498219655903</v>
      </c>
      <c r="AZ35" s="345">
        <f>CHOOSE(Table16[[#This Row],[Mode Digit]], 2*Deadtime*Fsw*IF(VfdSky_Q2&gt;0,VfdSky_Q2,0)*Table16[[#This Row],[Iout]], 2*Deadtime*Fsw*IF(VfdSky_Q3&gt;0,VfdSky_Q3,0)*Table16[[#This Row],[Iin]], 2*Deadtime*Fsw*IF(VfdSky_Q2&gt;0,VfdSky_Q2,0)*Table16[[#This Row],[Iout]]+2*Deadtime*Fsw*IF(VfdSky_Q3&gt;0,VfdSky_Q3,0)*Table16[[#This Row],[Iin]])</f>
        <v>0</v>
      </c>
      <c r="BA35" s="345">
        <f>CHOOSE(Table16[[#This Row],[Mode Digit]], IF(QrrSky_Q2&gt;0,QrrSky_Q2,Qrr_Q2)*Fsw*(Table16[[#This Row],[Vin]]-Table16[[#This Row],[Iout]]*Rdson1),0,  IF(QrrSky_Q2&gt;0,QrrSky_Q2,Qrr_Q2)*Fsw*(Table16[[#This Row],[Vin]]-Table16[[#This Row],[Iout]]*Rdson1)+IF(QrrSky_Q3&gt;0,QrrSky_Q3,Qrr_Q3)*Fsw*Vout)</f>
        <v>0</v>
      </c>
      <c r="BB35" s="345">
        <f>CHOOSE(Table16[[#This Row],[Mode Digit]],0, IF(QrrSky_Q3&gt;0,QrrSky_Q3,Qrr_Q3)*Fsw*Vout,  IF(QrrSky_Q2&gt;0,QrrSky_Q2,Qrr_Q2)*Fsw*(Table16[[#This Row],[Vin]]-Table16[[#This Row],[Iout]]*Rdson1)+IF(QrrSky_Q3&gt;0,QrrSky_Q3,Qrr_Q3)*Fsw*Vout)</f>
        <v>0.35660799999999998</v>
      </c>
      <c r="BC35" s="345">
        <f>CHOOSE(Table16[[#This Row],[Mode Digit]], Rs*Table16[[#This Row],[Irms BuSync]]^2, Rs*Table16[[#This Row],[Irms BoCtlr]]^2, Rs*(Table16[[#This Row],[Irms BuSync]]^2+Table16[[#This Row],[Irms BoCtlr]]^2))</f>
        <v>9.4480782554250339E-2</v>
      </c>
      <c r="BD35" s="345">
        <f t="shared" si="1"/>
        <v>0.64</v>
      </c>
      <c r="BE35" s="345">
        <f>IF(Vout&gt;8, Iq*Vout, Iq*Table16[[#This Row],[Vin]])</f>
        <v>4.8000000000000001E-2</v>
      </c>
      <c r="BF35" s="345">
        <f>CHOOSE(Table16[[#This Row],[Mode Digit]], (Qg_Q1+Qg_Q2)*Fsw, (Qg_Q3+Qg_Q4)*Fsw, (Qg_Q1+Qg_Q2+Qg_Q3+Qg_Q4)*Fsw)*IF(Vout&gt;8, Vout, Table16[[#This Row],[Vin]])</f>
        <v>0.85331200000000007</v>
      </c>
      <c r="BG35" s="345">
        <f t="shared" si="2"/>
        <v>0.50594479787234037</v>
      </c>
      <c r="BH35" s="345">
        <f>Table16[[#This Row],[IQ Loss]]+Table16[[#This Row],[Switching Current Loss]]</f>
        <v>0.90131200000000011</v>
      </c>
      <c r="BI35"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6.5859370357782065</v>
      </c>
      <c r="BJ35" s="253">
        <f>Vout*Table16[[#This Row],[Iout]]</f>
        <v>128</v>
      </c>
      <c r="BK35" s="684">
        <f>Table16[[#This Row],[Pout]]/(Table16[[#This Row],[Pout]]+Table16[[#This Row],[Total Loss]])</f>
        <v>0.95106519164756853</v>
      </c>
      <c r="BL35"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97.20588328668596</v>
      </c>
      <c r="BM35" s="685">
        <f>IF(Table16[[#This Row],[Vin]]&gt;Vout, Table16[[#This Row],[Total Sync Bu MOSFET Loss]]*ThetaJA_Q2, ThetaJA_Q3*Table16[[#This Row],[Total Sync Bo MOSFET Loss]])</f>
        <v>58.693360893677792</v>
      </c>
      <c r="BN35" s="640"/>
      <c r="BO35" s="292">
        <f>Table16[[#This Row],[EFF, h]]*100</f>
        <v>95.106519164756847</v>
      </c>
      <c r="BP35" s="345">
        <f>Table16[[#This Row],[Total Inductor Loss]]</f>
        <v>1.6711205373718152</v>
      </c>
      <c r="BQ35" s="345">
        <f>Table16[[#This Row],[Total Control Bu MOSFET Loss]]+Table16[[#This Row],[Total Sync Bu MOSFET Loss]]+Table16[[#This Row],[Total Control Bo MOSFET Loss]]+Table16[[#This Row],[Total Sync Bo MOSFET Loss]]+Table16[[#This Row],[Reverse Recovery Loss MOSFET D BUCK]]+Table16[[#This Row],[Reverse Recovery Loss MOSFET D BOOST]]</f>
        <v>3.1902897135136175</v>
      </c>
      <c r="BR35" s="345">
        <f>Table16[[#This Row],[Total Control Bu MOSFET Loss]]+Table16[[#This Row],[Reverse Recovery Loss MOSFET D BUCK]]*0.66</f>
        <v>0.79183980304648294</v>
      </c>
      <c r="BS35" s="345">
        <f>Table16[[#This Row],[Total Sync Bu MOSFET Loss]]+Table16[[#This Row],[Reverse Recovery Loss MOSFET D BUCK]]*0.33</f>
        <v>0</v>
      </c>
      <c r="BT35" s="345">
        <f xml:space="preserve"> Table16[[#This Row],[Total Control Bo MOSFET Loss]]+Table16[[#This Row],[Reverse Recovery Loss MOSFET D BOOST]]*0.66</f>
        <v>1.3742284074874762</v>
      </c>
      <c r="BU35" s="345">
        <f xml:space="preserve"> Table16[[#This Row],[Total Sync Bo MOSFET Loss]]+Table16[[#This Row],[Reverse Recovery Loss MOSFET D BOOST]]*0.33</f>
        <v>1.0206554229796585</v>
      </c>
      <c r="BV35" s="345">
        <f>Table16[[#This Row],[Isense Shunt Loss]]</f>
        <v>9.4480782554250339E-2</v>
      </c>
      <c r="CA35" s="253">
        <v>9.9986049999999995</v>
      </c>
      <c r="CB35" s="253">
        <v>1.0528999999999999</v>
      </c>
      <c r="CC35" s="253">
        <v>5.1218219999999999</v>
      </c>
      <c r="CD35" s="253">
        <v>92.889938966292178</v>
      </c>
      <c r="CE35" s="253">
        <v>412.77762981700039</v>
      </c>
    </row>
    <row r="36" spans="1:83" ht="13.6" x14ac:dyDescent="0.25">
      <c r="A36" s="688" t="s">
        <v>686</v>
      </c>
      <c r="B36" s="679" t="s">
        <v>113</v>
      </c>
      <c r="C36" s="688" t="s">
        <v>80</v>
      </c>
      <c r="D36" s="681" t="s">
        <v>109</v>
      </c>
      <c r="G36" s="253">
        <v>27</v>
      </c>
      <c r="H36" s="286">
        <f>VIN_min+(VIN_max-VIN_min)*(Table16[[#This Row],[Step]]/200)</f>
        <v>10.050000000000001</v>
      </c>
      <c r="I36" s="292" t="str">
        <f>IF(Mode = 2,IF(Table16[[#This Row],[Vin]]&gt;Vout, "BUCK","BOOST"),IF(Table16[[#This Row],[Vin]]&gt;VIN_BB_to_buck, "BUCK", IF(Table16[[#This Row],[Vin]]&lt;=VIN_boost_to_BB,"BOOST","BUCK-BST")))</f>
        <v>BOOST</v>
      </c>
      <c r="J36" s="253">
        <f>IF(Table16[[#This Row],[Mode]]="BOOST",2, IF(Table16[[#This Row],[Mode]]="BUCK", 1,3))</f>
        <v>2</v>
      </c>
      <c r="K36" s="253">
        <f t="shared" si="0"/>
        <v>8</v>
      </c>
      <c r="L36" s="292">
        <f>Vout*Table16[[#This Row],[Iout]]/(Table16[[#This Row],[Vin]]*Efficiency)</f>
        <v>13.406650955747578</v>
      </c>
      <c r="M36" s="682">
        <f>MIN(1/Fsw,CHOOSE(Table16[[#This Row],[Mode Digit]],(Vout+(Rdson2+Rs+Rdcr)*Table16[[#This Row],[Iout]])/(Table16[[#This Row],[Vin]]+(Rs+Rdson2-Rdson1)*Table16[[#This Row],[Iout]])/Fsw,(Vout+(Rdson3+Rdcr)*Table16[[#This Row],[Iin]]-Table16[[#This Row],[Vin]])/(Vout+(Rdson3-Rdson4-Rs)*Table16[[#This Row],[Iin]])/Fsw,t1_Ph_II))</f>
        <v>9.4949919262668961E-7</v>
      </c>
      <c r="N36" s="518">
        <f>CHOOSE(Table16[[#This Row],[Mode Digit]],1/Fsw-Table16[[#This Row],[t1_Ph_II]],1/Fsw-Table16[[#This Row],[t1_Ph_II]],(Vout/Fsw-Table16[[#This Row],[Vin]]*t1_Ph_II)/(Table16[[#This Row],[Vin]]+Vout))</f>
        <v>1.5630636214436623E-6</v>
      </c>
      <c r="O36" s="518">
        <f>1/Fsw-(Table16[[#This Row],[t1_Ph_II]]+Table16[[#This Row],[t2_Ph_I]])</f>
        <v>0</v>
      </c>
      <c r="P36"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10.755965709664736</v>
      </c>
      <c r="Q36" s="292">
        <f>CHOOSE(Table16[[#This Row],[Mode Digit]],Table16[[#This Row],[I_0]]+1/Lf*(Table16[[#This Row],[Vin]]-Vout)*Table16[[#This Row],[t1_Ph_II]],Table16[[#This Row],[I_0]]+1/Lf*Table16[[#This Row],[Vin]]*Table16[[#This Row],[t1_Ph_II]],Table16[[#This Row],[I_0]]+(Table16[[#This Row],[Vin]]-Vout)/L*Table16[[#This Row],[t1_Ph_II]])</f>
        <v>16.05733620183042</v>
      </c>
      <c r="R36" s="292">
        <f>CHOOSE(Table16[[#This Row],[Mode Digit]],0,0,Table16[[#This Row],[I_1]]+Table16[[#This Row],[Vin]]/L*Table16[[#This Row],[t2_Ph_I]])</f>
        <v>0</v>
      </c>
      <c r="S36" s="292">
        <f>Fsw*(Table16[[#This Row],[I_0]]*Table16[[#This Row],[t1_Ph_II]]+Table16[[#This Row],[I_1]]*Table16[[#This Row],[t2_Ph_I]]+Table16[[#This Row],[I_2]]*Table16[[#This Row],[t3_Ph_III]])</f>
        <v>14.053944694984164</v>
      </c>
      <c r="T36" s="345">
        <f>MIN(1,CHOOSE(Table16[[#This Row],[Mode Digit]],(Vout+(Rdson2+Rs+Rdcr)*Table16[[#This Row],[Iout]])/(Table16[[#This Row],[Vin]]+(Rs+Rdson2-Rdson1)*Table16[[#This Row],[Iout]]),1,Fsw*Table16[[#This Row],[t2_Ph_I]]+Table16[[#This Row],[t1_Ph_II]]))</f>
        <v>1</v>
      </c>
      <c r="U36" s="345">
        <f>MIN(1,CHOOSE(Table16[[#This Row],[Mode Digit]],0,(Vout+(Rdson3+Rdcr)*Table16[[#This Row],[Iin]]-Table16[[#This Row],[Vin]])/(Vout+(Rdson3-Rdson4-Rs)*Table16[[#This Row],[Iin]]),Fsw*Table16[[#This Row],[t1_Ph_II]]+Table16[[#This Row],[t3_Ph_III]]))</f>
        <v>0.37790067866542248</v>
      </c>
      <c r="V36" s="292">
        <f>MAX(Table16[[#This Row],[I_0]:[I_2]])-MIN(Table16[[#This Row],[I_0]:[I_1]])</f>
        <v>5.3013704921656846</v>
      </c>
      <c r="W36"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13.493714608680389</v>
      </c>
      <c r="X36" s="345">
        <f>(Table16[[#This Row],[Irms Lf]]^2*Rdcr*(1+Ltc*Ta-Ltc*25))/(1-Table16[[#This Row],[Irms Lf]]^2*Rdcr*Ltc*ThetaCa)</f>
        <v>0.61114406118469189</v>
      </c>
      <c r="Y36" s="345">
        <f>ABS(7.759*10^-3*Fsw^0.9458*(0.00787*Table16[[#This Row],[Ripple Current pk-pk]])^2.304)</f>
        <v>1.0173988847387887</v>
      </c>
      <c r="Z36" s="345">
        <f>Table16[[#This Row],[DCR    Loss]]+Table16[[#This Row],[Core Loss]]</f>
        <v>1.6285429459234806</v>
      </c>
      <c r="AA36" s="292">
        <f>IF(Table16[[#This Row],[Vin]]&gt;Vout, Table16[[#This Row],[Ripple Current pk-pk]]/SQRT(12), SQRT(Table16[[#This Row],[Duty Cycle BOOST Leg]]/(1-Table16[[#This Row],[Duty Cycle BOOST Leg]]))*SQRT(Table16[[#This Row],[Iout]]^2+(Table16[[#This Row],[Ripple Current pk-pk]]^2)/12))</f>
        <v>6.3482408658185037</v>
      </c>
      <c r="AB36" s="345">
        <f>RCoutEsr*Table16[[#This Row],[Irms Cout]]^2</f>
        <v>8.0600324180896118E-2</v>
      </c>
      <c r="AC36" s="345">
        <f>Table16[[#This Row],[Cout ESR Loss]]</f>
        <v>8.0600324180896118E-2</v>
      </c>
      <c r="AD36" s="345">
        <f>IF(Table16[[#This Row],[Vin]]&gt;Vout, SQRT(Table16[[#This Row],[Duty Cycle BUCK Leg]]*(1-Table16[[#This Row],[Duty Cycle BUCK Leg]]))*SQRT(Table16[[#This Row],[Iout]]^2+(Table16[[#This Row],[Ripple Current pk-pk]]^2)/12), Table16[[#This Row],[Ripple Current pk-pk]]/SQRT(12))</f>
        <v>1.5303738403628986</v>
      </c>
      <c r="AE36" s="345">
        <f>RCinEsr*Table16[[#This Row],[Irms Cin]]^2</f>
        <v>4.6840881825341739E-3</v>
      </c>
      <c r="AF36" s="683">
        <f>Table16[[#This Row],[Cin ESR Loss]]</f>
        <v>4.6840881825341739E-3</v>
      </c>
      <c r="AG36"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13.493714608680389</v>
      </c>
      <c r="AH36" s="345">
        <f>Rdson1*Table16[[#This Row],[Irms BuCtrl]]^2</f>
        <v>0.63728116879180086</v>
      </c>
      <c r="AI36" s="345">
        <f>CHOOSE(Table16[[#This Row],[Mode Digit]], (Table16[[#This Row],[Vin]]*Table16[[#This Row],[Iout]]/2)*(Fsw)*(Tr_buck+Tf_buck), 0, (Table16[[#This Row],[Vin]]*Table16[[#This Row],[Avg IL]]/2)*(Fsw/1)*(Tr_buck+Tf_buck))</f>
        <v>0</v>
      </c>
      <c r="AJ36" s="253">
        <f>IF(Table16[[#This Row],[Vin]]&gt;Vout, IF(Table16[[#This Row],[Iout]]&gt;Table16[[#This Row],[Ripple Current pk-pk]]/2,0,ABS(Table16[[#This Row],[Iout]]-Table16[[#This Row],[Ripple Current pk-pk]]/2)*Vsd_Q1*Deadtime*Fsw),0)</f>
        <v>0</v>
      </c>
      <c r="AK36" s="345">
        <f>(Table16[[#This Row],[Dead Time Loss BuCtrl]]+Table16[[#This Row],[Transition Loss BuCtrl]]+Table16[[#This Row],[RDS(on) Loss BuCtrl]]*(1+RdsonTopTc*Ta-RdsonTopTc*25))/(1-Table16[[#This Row],[RDS(on) Loss BuCtrl]]*RdsonTopTc*ThetaJA_Q1)</f>
        <v>0.76384502125057574</v>
      </c>
      <c r="AL36" s="345">
        <f>CHOOSE(Table16[[#This Row],[Mode Digit]],SQRT((Fsw*(Table16[[#This Row],[t2_Ph_I]]+0))*((Table16[[#This Row],[I_0]]*Table16[[#This Row],[I_1]]+((Table16[[#This Row],[I_0]]-Table16[[#This Row],[I_1]])^2)/3))),0,SQRT((Fsw*(Table16[[#This Row],[t3_Ph_III]]+0))*((Table16[[#This Row],[I_0]]*Table16[[#This Row],[I_2]]+((Table16[[#This Row],[I_0]]-Table16[[#This Row],[I_2]])^2)/3))))</f>
        <v>0</v>
      </c>
      <c r="AM36" s="345">
        <f>Rdson2*Table16[[#This Row],[Irms BuSync]]^2</f>
        <v>0</v>
      </c>
      <c r="AN36"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36" s="345">
        <f>(Table16[[#This Row],[Deadtime Loss BuSync]]+Table16[[#This Row],[RDS(on) Loss BuSync]]*(1+RdsonBotTc*Ta-RdsonBotTc*25))/(1-Table16[[#This Row],[RDS(on) Loss BuSync]]*RdsonBotTc*ThetaJA_Q2)</f>
        <v>0</v>
      </c>
      <c r="AP36" s="345">
        <f>CHOOSE(Table16[[#This Row],[Mode Digit]],0,SQRT((Fsw*(Table16[[#This Row],[t1_Ph_II]]+0))*((Table16[[#This Row],[I_0]]*Table16[[#This Row],[I_1]]+((Table16[[#This Row],[I_0]]-Table16[[#This Row],[I_1]])^2)/3))),SQRT((Fsw*(Table16[[#This Row],[t2_Ph_I]]+0))*((Table16[[#This Row],[I_1]]*Table16[[#This Row],[I_2]]+((Table16[[#This Row],[I_1]]-Table16[[#This Row],[I_2]])^2)/3))))</f>
        <v>8.2950757541897833</v>
      </c>
      <c r="AQ36" s="345">
        <f>Rdson4*Table16[[#This Row],[Irms BoCtlr]]^2</f>
        <v>0.24082898618711521</v>
      </c>
      <c r="AR36" s="345">
        <f>CHOOSE(Table16[[#This Row],[Mode Digit]], 0, (Vout*Table16[[#This Row],[Iin]]/2)*(Fsw)*(Tr_boost+Tf_boost), (Vout*Iout/2)*(Fsw/1)*(Tr_boost+Tf_boost))</f>
        <v>0.79709781009331937</v>
      </c>
      <c r="AS36" s="253">
        <f>IF(Table16[[#This Row],[Vin]]&gt;Vout, 0, IF(Table16[[#This Row],[Iin]]&gt;Table16[[#This Row],[Ripple Current pk-pk]]/2,0,ABS(Table16[[#This Row],[Iin]]-Table16[[#This Row],[Ripple Current pk-pk]]/2)*Vsd_Q4*Deadtime*Fsw))</f>
        <v>0</v>
      </c>
      <c r="AT36" s="345">
        <f>(Table16[[#This Row],[Dead Time Loss BoCtlr]]+Table16[[#This Row],[Transition Loss BoCtlr]]+Table16[[#This Row],[RDS(on) Loss BoCtlr]]*(1+RdsonTopTc*Ta-RdsonTopTc*25))/(1-Table16[[#This Row],[RDS(on) Loss BoCtlr]]*RdsonTopTc*ThetaJA_Q4)</f>
        <v>1.1072583732654178</v>
      </c>
      <c r="AU36"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10.642934377922629</v>
      </c>
      <c r="AV36" s="345">
        <f>Rdson3*Table16[[#This Row],[Irms BoSync]]^2</f>
        <v>0.39645218260468568</v>
      </c>
      <c r="AW36"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0.40018853102906515</v>
      </c>
      <c r="AX36" s="345">
        <f>(Table16[[#This Row],[Deadtime Loss BoSync]]+Table16[[#This Row],[RDS(on) Loss BoSync]]*(1+RdsonBotTc*Ta-RdsonBotTc*25))/(1-Table16[[#This Row],[RDS(on) Loss BoSync]]*RdsonBotTc*ThetaJA_Q3)</f>
        <v>0.88819354355206881</v>
      </c>
      <c r="AY36" s="345">
        <f>CHOOSE(Table16[[#This Row],[Mode Digit]], Rdson3*Table16[[#This Row],[Irms Lf]]^2, Rdson1*Table16[[#This Row],[Irms Lf]]^2, 0)</f>
        <v>0.63728116879180086</v>
      </c>
      <c r="AZ36" s="345">
        <f>CHOOSE(Table16[[#This Row],[Mode Digit]], 2*Deadtime*Fsw*IF(VfdSky_Q2&gt;0,VfdSky_Q2,0)*Table16[[#This Row],[Iout]], 2*Deadtime*Fsw*IF(VfdSky_Q3&gt;0,VfdSky_Q3,0)*Table16[[#This Row],[Iin]], 2*Deadtime*Fsw*IF(VfdSky_Q2&gt;0,VfdSky_Q2,0)*Table16[[#This Row],[Iout]]+2*Deadtime*Fsw*IF(VfdSky_Q3&gt;0,VfdSky_Q3,0)*Table16[[#This Row],[Iin]])</f>
        <v>0</v>
      </c>
      <c r="BA36" s="345">
        <f>CHOOSE(Table16[[#This Row],[Mode Digit]], IF(QrrSky_Q2&gt;0,QrrSky_Q2,Qrr_Q2)*Fsw*(Table16[[#This Row],[Vin]]-Table16[[#This Row],[Iout]]*Rdson1),0,  IF(QrrSky_Q2&gt;0,QrrSky_Q2,Qrr_Q2)*Fsw*(Table16[[#This Row],[Vin]]-Table16[[#This Row],[Iout]]*Rdson1)+IF(QrrSky_Q3&gt;0,QrrSky_Q3,Qrr_Q3)*Fsw*Vout)</f>
        <v>0</v>
      </c>
      <c r="BB36" s="345">
        <f>CHOOSE(Table16[[#This Row],[Mode Digit]],0, IF(QrrSky_Q3&gt;0,QrrSky_Q3,Qrr_Q3)*Fsw*Vout,  IF(QrrSky_Q2&gt;0,QrrSky_Q2,Qrr_Q2)*Fsw*(Table16[[#This Row],[Vin]]-Table16[[#This Row],[Iout]]*Rdson1)+IF(QrrSky_Q3&gt;0,QrrSky_Q3,Qrr_Q3)*Fsw*Vout)</f>
        <v>0.35660799999999998</v>
      </c>
      <c r="BC36" s="345">
        <f>CHOOSE(Table16[[#This Row],[Mode Digit]], Rs*Table16[[#This Row],[Irms BuSync]]^2, Rs*Table16[[#This Row],[Irms BoCtlr]]^2, Rs*(Table16[[#This Row],[Irms BuSync]]^2+Table16[[#This Row],[Irms BoCtlr]]^2))</f>
        <v>8.945076629807136E-2</v>
      </c>
      <c r="BD36" s="345">
        <f t="shared" si="1"/>
        <v>0.64</v>
      </c>
      <c r="BE36" s="345">
        <f>IF(Vout&gt;8, Iq*Vout, Iq*Table16[[#This Row],[Vin]])</f>
        <v>4.8000000000000001E-2</v>
      </c>
      <c r="BF36" s="345">
        <f>CHOOSE(Table16[[#This Row],[Mode Digit]], (Qg_Q1+Qg_Q2)*Fsw, (Qg_Q3+Qg_Q4)*Fsw, (Qg_Q1+Qg_Q2+Qg_Q3+Qg_Q4)*Fsw)*IF(Vout&gt;8, Vout, Table16[[#This Row],[Vin]])</f>
        <v>0.85331200000000007</v>
      </c>
      <c r="BG36" s="345">
        <f t="shared" si="2"/>
        <v>0.50594479787234037</v>
      </c>
      <c r="BH36" s="345">
        <f>Table16[[#This Row],[IQ Loss]]+Table16[[#This Row],[Switching Current Loss]]</f>
        <v>0.90131200000000011</v>
      </c>
      <c r="BI36"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6.4604950626530435</v>
      </c>
      <c r="BJ36" s="253">
        <f>Vout*Table16[[#This Row],[Iout]]</f>
        <v>128</v>
      </c>
      <c r="BK36" s="684">
        <f>Table16[[#This Row],[Pout]]/(Table16[[#This Row],[Pout]]+Table16[[#This Row],[Total Loss]])</f>
        <v>0.95195246708230008</v>
      </c>
      <c r="BL36"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95.151314262252157</v>
      </c>
      <c r="BM36" s="685">
        <f>IF(Table16[[#This Row],[Vin]]&gt;Vout, Table16[[#This Row],[Total Sync Bu MOSFET Loss]]*ThetaJA_Q2, ThetaJA_Q3*Table16[[#This Row],[Total Sync Bo MOSFET Loss]])</f>
        <v>57.732580330884474</v>
      </c>
      <c r="BN36" s="640"/>
      <c r="BO36" s="292">
        <f>Table16[[#This Row],[EFF, h]]*100</f>
        <v>95.195246708230002</v>
      </c>
      <c r="BP36" s="345">
        <f>Table16[[#This Row],[Total Inductor Loss]]</f>
        <v>1.6285429459234806</v>
      </c>
      <c r="BQ36" s="345">
        <f>Table16[[#This Row],[Total Control Bu MOSFET Loss]]+Table16[[#This Row],[Total Sync Bu MOSFET Loss]]+Table16[[#This Row],[Total Control Bo MOSFET Loss]]+Table16[[#This Row],[Total Sync Bo MOSFET Loss]]+Table16[[#This Row],[Reverse Recovery Loss MOSFET D BUCK]]+Table16[[#This Row],[Reverse Recovery Loss MOSFET D BOOST]]</f>
        <v>3.1159049380680623</v>
      </c>
      <c r="BR36" s="345">
        <f>Table16[[#This Row],[Total Control Bu MOSFET Loss]]+Table16[[#This Row],[Reverse Recovery Loss MOSFET D BUCK]]*0.66</f>
        <v>0.76384502125057574</v>
      </c>
      <c r="BS36" s="345">
        <f>Table16[[#This Row],[Total Sync Bu MOSFET Loss]]+Table16[[#This Row],[Reverse Recovery Loss MOSFET D BUCK]]*0.33</f>
        <v>0</v>
      </c>
      <c r="BT36" s="345">
        <f xml:space="preserve"> Table16[[#This Row],[Total Control Bo MOSFET Loss]]+Table16[[#This Row],[Reverse Recovery Loss MOSFET D BOOST]]*0.66</f>
        <v>1.3426196532654178</v>
      </c>
      <c r="BU36" s="345">
        <f xml:space="preserve"> Table16[[#This Row],[Total Sync Bo MOSFET Loss]]+Table16[[#This Row],[Reverse Recovery Loss MOSFET D BOOST]]*0.33</f>
        <v>1.0058741835520688</v>
      </c>
      <c r="BV36" s="345">
        <f>Table16[[#This Row],[Isense Shunt Loss]]</f>
        <v>8.945076629807136E-2</v>
      </c>
      <c r="CA36" s="253">
        <v>9.9986669999999993</v>
      </c>
      <c r="CB36" s="253">
        <v>1.3092999999999999</v>
      </c>
      <c r="CC36" s="253">
        <v>5.1195649999999997</v>
      </c>
      <c r="CD36" s="253">
        <v>93.690364214923264</v>
      </c>
      <c r="CE36" s="253">
        <v>451.42072788069993</v>
      </c>
    </row>
    <row r="37" spans="1:83" ht="13.6" x14ac:dyDescent="0.25">
      <c r="A37" s="691" t="s">
        <v>75</v>
      </c>
      <c r="B37" s="569">
        <f>Rdson1*1000</f>
        <v>3.5</v>
      </c>
      <c r="C37" s="695" t="s">
        <v>601</v>
      </c>
      <c r="D37" s="255" t="s">
        <v>689</v>
      </c>
      <c r="G37" s="253">
        <v>28</v>
      </c>
      <c r="H37" s="286">
        <f>VIN_min+(VIN_max-VIN_min)*(Table16[[#This Row],[Step]]/200)</f>
        <v>10.199999999999999</v>
      </c>
      <c r="I37" s="292" t="str">
        <f>IF(Mode = 2,IF(Table16[[#This Row],[Vin]]&gt;Vout, "BUCK","BOOST"),IF(Table16[[#This Row],[Vin]]&gt;VIN_BB_to_buck, "BUCK", IF(Table16[[#This Row],[Vin]]&lt;=VIN_boost_to_BB,"BOOST","BUCK-BST")))</f>
        <v>BOOST</v>
      </c>
      <c r="J37" s="253">
        <f>IF(Table16[[#This Row],[Mode]]="BOOST",2, IF(Table16[[#This Row],[Mode]]="BUCK", 1,3))</f>
        <v>2</v>
      </c>
      <c r="K37" s="253">
        <f t="shared" si="0"/>
        <v>8</v>
      </c>
      <c r="L37" s="292">
        <f>Vout*Table16[[#This Row],[Iout]]/(Table16[[#This Row],[Vin]]*Efficiency)</f>
        <v>13.209494324045409</v>
      </c>
      <c r="M37" s="682">
        <f>MIN(1/Fsw,CHOOSE(Table16[[#This Row],[Mode Digit]],(Vout+(Rdson2+Rs+Rdcr)*Table16[[#This Row],[Iout]])/(Table16[[#This Row],[Vin]]+(Rs+Rdson2-Rdson1)*Table16[[#This Row],[Iout]])/Fsw,(Vout+(Rdson3+Rdcr)*Table16[[#This Row],[Iin]]-Table16[[#This Row],[Vin]])/(Vout+(Rdson3-Rdson4-Rs)*Table16[[#This Row],[Iin]])/Fsw,t1_Ph_II))</f>
        <v>9.2569572312988597E-7</v>
      </c>
      <c r="N37" s="518">
        <f>CHOOSE(Table16[[#This Row],[Mode Digit]],1/Fsw-Table16[[#This Row],[t1_Ph_II]],1/Fsw-Table16[[#This Row],[t1_Ph_II]],(Vout/Fsw-Table16[[#This Row],[Vin]]*t1_Ph_II)/(Table16[[#This Row],[Vin]]+Vout))</f>
        <v>1.586867090940466E-6</v>
      </c>
      <c r="O37" s="518">
        <f>1/Fsw-(Table16[[#This Row],[t1_Ph_II]]+Table16[[#This Row],[t2_Ph_I]])</f>
        <v>0</v>
      </c>
      <c r="P37"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10.586689775177398</v>
      </c>
      <c r="Q37" s="292">
        <f>CHOOSE(Table16[[#This Row],[Mode Digit]],Table16[[#This Row],[I_0]]+1/Lf*(Table16[[#This Row],[Vin]]-Vout)*Table16[[#This Row],[t1_Ph_II]],Table16[[#This Row],[I_0]]+1/Lf*Table16[[#This Row],[Vin]]*Table16[[#This Row],[t1_Ph_II]],Table16[[#This Row],[I_0]]+(Table16[[#This Row],[Vin]]-Vout)/L*Table16[[#This Row],[t1_Ph_II]])</f>
        <v>15.832298872913418</v>
      </c>
      <c r="R37" s="292">
        <f>CHOOSE(Table16[[#This Row],[Mode Digit]],0,0,Table16[[#This Row],[I_1]]+Table16[[#This Row],[Vin]]/L*Table16[[#This Row],[t2_Ph_I]])</f>
        <v>0</v>
      </c>
      <c r="S37" s="292">
        <f>Fsw*(Table16[[#This Row],[I_0]]*Table16[[#This Row],[t1_Ph_II]]+Table16[[#This Row],[I_1]]*Table16[[#This Row],[t2_Ph_I]]+Table16[[#This Row],[I_2]]*Table16[[#This Row],[t3_Ph_III]])</f>
        <v>13.899675385933209</v>
      </c>
      <c r="T37" s="345">
        <f>MIN(1,CHOOSE(Table16[[#This Row],[Mode Digit]],(Vout+(Rdson2+Rs+Rdcr)*Table16[[#This Row],[Iout]])/(Table16[[#This Row],[Vin]]+(Rs+Rdson2-Rdson1)*Table16[[#This Row],[Iout]]),1,Fsw*Table16[[#This Row],[t2_Ph_I]]+Table16[[#This Row],[t1_Ph_II]]))</f>
        <v>1</v>
      </c>
      <c r="U37" s="345">
        <f>MIN(1,CHOOSE(Table16[[#This Row],[Mode Digit]],0,(Vout+(Rdson3+Rdcr)*Table16[[#This Row],[Iin]]-Table16[[#This Row],[Vin]])/(Vout+(Rdson3-Rdson4-Rs)*Table16[[#This Row],[Iin]]),Fsw*Table16[[#This Row],[t1_Ph_II]]+Table16[[#This Row],[t3_Ph_III]]))</f>
        <v>0.3684268978056946</v>
      </c>
      <c r="V37" s="292">
        <f>MAX(Table16[[#This Row],[I_0]:[I_2]])-MIN(Table16[[#This Row],[I_0]:[I_1]])</f>
        <v>5.2456090977360201</v>
      </c>
      <c r="W37"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13.296005974132813</v>
      </c>
      <c r="X37" s="345">
        <f>(Table16[[#This Row],[Irms Lf]]^2*Rdcr*(1+Ltc*Ta-Ltc*25))/(1-Table16[[#This Row],[Irms Lf]]^2*Rdcr*Ltc*ThetaCa)</f>
        <v>0.59252371583596097</v>
      </c>
      <c r="Y37" s="345">
        <f>ABS(7.759*10^-3*Fsw^0.9458*(0.00787*Table16[[#This Row],[Ripple Current pk-pk]])^2.304)</f>
        <v>0.99291198615307408</v>
      </c>
      <c r="Z37" s="345">
        <f>Table16[[#This Row],[DCR    Loss]]+Table16[[#This Row],[Core Loss]]</f>
        <v>1.5854357019890351</v>
      </c>
      <c r="AA37" s="292">
        <f>IF(Table16[[#This Row],[Vin]]&gt;Vout, Table16[[#This Row],[Ripple Current pk-pk]]/SQRT(12), SQRT(Table16[[#This Row],[Duty Cycle BOOST Leg]]/(1-Table16[[#This Row],[Duty Cycle BOOST Leg]]))*SQRT(Table16[[#This Row],[Iout]]^2+(Table16[[#This Row],[Ripple Current pk-pk]]^2)/12))</f>
        <v>6.2186741566516419</v>
      </c>
      <c r="AB37" s="345">
        <f>RCoutEsr*Table16[[#This Row],[Irms Cout]]^2</f>
        <v>7.7343816533214024E-2</v>
      </c>
      <c r="AC37" s="345">
        <f>Table16[[#This Row],[Cout ESR Loss]]</f>
        <v>7.7343816533214024E-2</v>
      </c>
      <c r="AD37" s="345">
        <f>IF(Table16[[#This Row],[Vin]]&gt;Vout, SQRT(Table16[[#This Row],[Duty Cycle BUCK Leg]]*(1-Table16[[#This Row],[Duty Cycle BUCK Leg]]))*SQRT(Table16[[#This Row],[Iout]]^2+(Table16[[#This Row],[Ripple Current pk-pk]]^2)/12), Table16[[#This Row],[Ripple Current pk-pk]]/SQRT(12))</f>
        <v>1.5142769123207207</v>
      </c>
      <c r="AE37" s="345">
        <f>RCinEsr*Table16[[#This Row],[Irms Cin]]^2</f>
        <v>4.5860691343751515E-3</v>
      </c>
      <c r="AF37" s="683">
        <f>Table16[[#This Row],[Cin ESR Loss]]</f>
        <v>4.5860691343751515E-3</v>
      </c>
      <c r="AG37"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13.296005974132813</v>
      </c>
      <c r="AH37" s="345">
        <f>Rdson1*Table16[[#This Row],[Irms BuCtrl]]^2</f>
        <v>0.61874321202461413</v>
      </c>
      <c r="AI37" s="345">
        <f>CHOOSE(Table16[[#This Row],[Mode Digit]], (Table16[[#This Row],[Vin]]*Table16[[#This Row],[Iout]]/2)*(Fsw)*(Tr_buck+Tf_buck), 0, (Table16[[#This Row],[Vin]]*Table16[[#This Row],[Avg IL]]/2)*(Fsw/1)*(Tr_buck+Tf_buck))</f>
        <v>0</v>
      </c>
      <c r="AJ37" s="253">
        <f>IF(Table16[[#This Row],[Vin]]&gt;Vout, IF(Table16[[#This Row],[Iout]]&gt;Table16[[#This Row],[Ripple Current pk-pk]]/2,0,ABS(Table16[[#This Row],[Iout]]-Table16[[#This Row],[Ripple Current pk-pk]]/2)*Vsd_Q1*Deadtime*Fsw),0)</f>
        <v>0</v>
      </c>
      <c r="AK37" s="345">
        <f>(Table16[[#This Row],[Dead Time Loss BuCtrl]]+Table16[[#This Row],[Transition Loss BuCtrl]]+Table16[[#This Row],[RDS(on) Loss BuCtrl]]*(1+RdsonTopTc*Ta-RdsonTopTc*25))/(1-Table16[[#This Row],[RDS(on) Loss BuCtrl]]*RdsonTopTc*ThetaJA_Q1)</f>
        <v>0.73736560186805256</v>
      </c>
      <c r="AL37" s="345">
        <f>CHOOSE(Table16[[#This Row],[Mode Digit]],SQRT((Fsw*(Table16[[#This Row],[t2_Ph_I]]+0))*((Table16[[#This Row],[I_0]]*Table16[[#This Row],[I_1]]+((Table16[[#This Row],[I_0]]-Table16[[#This Row],[I_1]])^2)/3))),0,SQRT((Fsw*(Table16[[#This Row],[t3_Ph_III]]+0))*((Table16[[#This Row],[I_0]]*Table16[[#This Row],[I_2]]+((Table16[[#This Row],[I_0]]-Table16[[#This Row],[I_2]])^2)/3))))</f>
        <v>0</v>
      </c>
      <c r="AM37" s="345">
        <f>Rdson2*Table16[[#This Row],[Irms BuSync]]^2</f>
        <v>0</v>
      </c>
      <c r="AN37"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37" s="345">
        <f>(Table16[[#This Row],[Deadtime Loss BuSync]]+Table16[[#This Row],[RDS(on) Loss BuSync]]*(1+RdsonBotTc*Ta-RdsonBotTc*25))/(1-Table16[[#This Row],[RDS(on) Loss BuSync]]*RdsonBotTc*ThetaJA_Q2)</f>
        <v>0</v>
      </c>
      <c r="AP37" s="345">
        <f>CHOOSE(Table16[[#This Row],[Mode Digit]],0,SQRT((Fsw*(Table16[[#This Row],[t1_Ph_II]]+0))*((Table16[[#This Row],[I_0]]*Table16[[#This Row],[I_1]]+((Table16[[#This Row],[I_0]]-Table16[[#This Row],[I_1]])^2)/3))),SQRT((Fsw*(Table16[[#This Row],[t2_Ph_I]]+0))*((Table16[[#This Row],[I_1]]*Table16[[#This Row],[I_2]]+((Table16[[#This Row],[I_1]]-Table16[[#This Row],[I_2]])^2)/3))))</f>
        <v>8.0704335543754073</v>
      </c>
      <c r="AQ37" s="345">
        <f>Rdson4*Table16[[#This Row],[Irms BoCtlr]]^2</f>
        <v>0.22796164214455963</v>
      </c>
      <c r="AR37" s="345">
        <f>CHOOSE(Table16[[#This Row],[Mode Digit]], 0, (Vout*Table16[[#This Row],[Iin]]/2)*(Fsw)*(Tr_boost+Tf_boost), (Vout*Iout/2)*(Fsw/1)*(Tr_boost+Tf_boost))</f>
        <v>0.78537578347429993</v>
      </c>
      <c r="AS37" s="253">
        <f>IF(Table16[[#This Row],[Vin]]&gt;Vout, 0, IF(Table16[[#This Row],[Iin]]&gt;Table16[[#This Row],[Ripple Current pk-pk]]/2,0,ABS(Table16[[#This Row],[Iin]]-Table16[[#This Row],[Ripple Current pk-pk]]/2)*Vsd_Q4*Deadtime*Fsw))</f>
        <v>0</v>
      </c>
      <c r="AT37" s="345">
        <f>(Table16[[#This Row],[Dead Time Loss BoCtlr]]+Table16[[#This Row],[Transition Loss BoCtlr]]+Table16[[#This Row],[RDS(on) Loss BoCtlr]]*(1+RdsonTopTc*Ta-RdsonTopTc*25))/(1-Table16[[#This Row],[RDS(on) Loss BoCtlr]]*RdsonTopTc*ThetaJA_Q4)</f>
        <v>1.0771820338004385</v>
      </c>
      <c r="AU37"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10.566545183199047</v>
      </c>
      <c r="AV37" s="345">
        <f>Rdson3*Table16[[#This Row],[Irms BoSync]]^2</f>
        <v>0.39078156988005441</v>
      </c>
      <c r="AW37"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0.39430340557275539</v>
      </c>
      <c r="AX37" s="345">
        <f>(Table16[[#This Row],[Deadtime Loss BoSync]]+Table16[[#This Row],[RDS(on) Loss BoSync]]*(1+RdsonBotTc*Ta-RdsonBotTc*25))/(1-Table16[[#This Row],[RDS(on) Loss BoSync]]*RdsonBotTc*ThetaJA_Q3)</f>
        <v>0.87387330697451104</v>
      </c>
      <c r="AY37" s="345">
        <f>CHOOSE(Table16[[#This Row],[Mode Digit]], Rdson3*Table16[[#This Row],[Irms Lf]]^2, Rdson1*Table16[[#This Row],[Irms Lf]]^2, 0)</f>
        <v>0.61874321202461413</v>
      </c>
      <c r="AZ37" s="345">
        <f>CHOOSE(Table16[[#This Row],[Mode Digit]], 2*Deadtime*Fsw*IF(VfdSky_Q2&gt;0,VfdSky_Q2,0)*Table16[[#This Row],[Iout]], 2*Deadtime*Fsw*IF(VfdSky_Q3&gt;0,VfdSky_Q3,0)*Table16[[#This Row],[Iin]], 2*Deadtime*Fsw*IF(VfdSky_Q2&gt;0,VfdSky_Q2,0)*Table16[[#This Row],[Iout]]+2*Deadtime*Fsw*IF(VfdSky_Q3&gt;0,VfdSky_Q3,0)*Table16[[#This Row],[Iin]])</f>
        <v>0</v>
      </c>
      <c r="BA37" s="345">
        <f>CHOOSE(Table16[[#This Row],[Mode Digit]], IF(QrrSky_Q2&gt;0,QrrSky_Q2,Qrr_Q2)*Fsw*(Table16[[#This Row],[Vin]]-Table16[[#This Row],[Iout]]*Rdson1),0,  IF(QrrSky_Q2&gt;0,QrrSky_Q2,Qrr_Q2)*Fsw*(Table16[[#This Row],[Vin]]-Table16[[#This Row],[Iout]]*Rdson1)+IF(QrrSky_Q3&gt;0,QrrSky_Q3,Qrr_Q3)*Fsw*Vout)</f>
        <v>0</v>
      </c>
      <c r="BB37" s="345">
        <f>CHOOSE(Table16[[#This Row],[Mode Digit]],0, IF(QrrSky_Q3&gt;0,QrrSky_Q3,Qrr_Q3)*Fsw*Vout,  IF(QrrSky_Q2&gt;0,QrrSky_Q2,Qrr_Q2)*Fsw*(Table16[[#This Row],[Vin]]-Table16[[#This Row],[Iout]]*Rdson1)+IF(QrrSky_Q3&gt;0,QrrSky_Q3,Qrr_Q3)*Fsw*Vout)</f>
        <v>0.35660799999999998</v>
      </c>
      <c r="BC37" s="345">
        <f>CHOOSE(Table16[[#This Row],[Mode Digit]], Rs*Table16[[#This Row],[Irms BuSync]]^2, Rs*Table16[[#This Row],[Irms BoCtlr]]^2, Rs*(Table16[[#This Row],[Irms BuSync]]^2+Table16[[#This Row],[Irms BoCtlr]]^2))</f>
        <v>8.4671467082265001E-2</v>
      </c>
      <c r="BD37" s="345">
        <f t="shared" si="1"/>
        <v>0.64</v>
      </c>
      <c r="BE37" s="345">
        <f>IF(Vout&gt;8, Iq*Vout, Iq*Table16[[#This Row],[Vin]])</f>
        <v>4.8000000000000001E-2</v>
      </c>
      <c r="BF37" s="345">
        <f>CHOOSE(Table16[[#This Row],[Mode Digit]], (Qg_Q1+Qg_Q2)*Fsw, (Qg_Q3+Qg_Q4)*Fsw, (Qg_Q1+Qg_Q2+Qg_Q3+Qg_Q4)*Fsw)*IF(Vout&gt;8, Vout, Table16[[#This Row],[Vin]])</f>
        <v>0.85331200000000007</v>
      </c>
      <c r="BG37" s="345">
        <f t="shared" si="2"/>
        <v>0.50594479787234037</v>
      </c>
      <c r="BH37" s="345">
        <f>Table16[[#This Row],[IQ Loss]]+Table16[[#This Row],[Switching Current Loss]]</f>
        <v>0.90131200000000011</v>
      </c>
      <c r="BI37"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6.3383779973818903</v>
      </c>
      <c r="BJ37" s="253">
        <f>Vout*Table16[[#This Row],[Iout]]</f>
        <v>128</v>
      </c>
      <c r="BK37" s="684">
        <f>Table16[[#This Row],[Pout]]/(Table16[[#This Row],[Pout]]+Table16[[#This Row],[Total Loss]])</f>
        <v>0.95281781653262621</v>
      </c>
      <c r="BL37"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93.196352197028503</v>
      </c>
      <c r="BM37" s="685">
        <f>IF(Table16[[#This Row],[Vin]]&gt;Vout, Table16[[#This Row],[Total Sync Bu MOSFET Loss]]*ThetaJA_Q2, ThetaJA_Q3*Table16[[#This Row],[Total Sync Bo MOSFET Loss]])</f>
        <v>56.801764953343216</v>
      </c>
      <c r="BN37" s="640"/>
      <c r="BO37" s="292">
        <f>Table16[[#This Row],[EFF, h]]*100</f>
        <v>95.281781653262627</v>
      </c>
      <c r="BP37" s="345">
        <f>Table16[[#This Row],[Total Inductor Loss]]</f>
        <v>1.5854357019890351</v>
      </c>
      <c r="BQ37" s="345">
        <f>Table16[[#This Row],[Total Control Bu MOSFET Loss]]+Table16[[#This Row],[Total Sync Bu MOSFET Loss]]+Table16[[#This Row],[Total Control Bo MOSFET Loss]]+Table16[[#This Row],[Total Sync Bo MOSFET Loss]]+Table16[[#This Row],[Reverse Recovery Loss MOSFET D BUCK]]+Table16[[#This Row],[Reverse Recovery Loss MOSFET D BOOST]]</f>
        <v>3.0450289426430022</v>
      </c>
      <c r="BR37" s="345">
        <f>Table16[[#This Row],[Total Control Bu MOSFET Loss]]+Table16[[#This Row],[Reverse Recovery Loss MOSFET D BUCK]]*0.66</f>
        <v>0.73736560186805256</v>
      </c>
      <c r="BS37" s="345">
        <f>Table16[[#This Row],[Total Sync Bu MOSFET Loss]]+Table16[[#This Row],[Reverse Recovery Loss MOSFET D BUCK]]*0.33</f>
        <v>0</v>
      </c>
      <c r="BT37" s="345">
        <f xml:space="preserve"> Table16[[#This Row],[Total Control Bo MOSFET Loss]]+Table16[[#This Row],[Reverse Recovery Loss MOSFET D BOOST]]*0.66</f>
        <v>1.3125433138004385</v>
      </c>
      <c r="BU37" s="345">
        <f xml:space="preserve"> Table16[[#This Row],[Total Sync Bo MOSFET Loss]]+Table16[[#This Row],[Reverse Recovery Loss MOSFET D BOOST]]*0.33</f>
        <v>0.99155394697451105</v>
      </c>
      <c r="BV37" s="345">
        <f>Table16[[#This Row],[Isense Shunt Loss]]</f>
        <v>8.4671467082265001E-2</v>
      </c>
      <c r="CA37" s="253">
        <v>9.9985429999999997</v>
      </c>
      <c r="CB37" s="253">
        <v>1.6020000000000001</v>
      </c>
      <c r="CC37" s="253">
        <v>5.1182809999999996</v>
      </c>
      <c r="CD37" s="253">
        <v>93.864473327748414</v>
      </c>
      <c r="CE37" s="253">
        <v>535.96589716749952</v>
      </c>
    </row>
    <row r="38" spans="1:83" x14ac:dyDescent="0.2">
      <c r="A38" s="690" t="s">
        <v>83</v>
      </c>
      <c r="B38" s="569">
        <f>RdsonTopTc*1000000</f>
        <v>4000</v>
      </c>
      <c r="C38" s="255" t="s">
        <v>85</v>
      </c>
      <c r="D38" s="255" t="s">
        <v>111</v>
      </c>
      <c r="G38" s="253">
        <v>29</v>
      </c>
      <c r="H38" s="286">
        <f>VIN_min+(VIN_max-VIN_min)*(Table16[[#This Row],[Step]]/200)</f>
        <v>10.35</v>
      </c>
      <c r="I38" s="292" t="str">
        <f>IF(Mode = 2,IF(Table16[[#This Row],[Vin]]&gt;Vout, "BUCK","BOOST"),IF(Table16[[#This Row],[Vin]]&gt;VIN_BB_to_buck, "BUCK", IF(Table16[[#This Row],[Vin]]&lt;=VIN_boost_to_BB,"BOOST","BUCK-BST")))</f>
        <v>BOOST</v>
      </c>
      <c r="J38" s="253">
        <f>IF(Table16[[#This Row],[Mode]]="BOOST",2, IF(Table16[[#This Row],[Mode]]="BUCK", 1,3))</f>
        <v>2</v>
      </c>
      <c r="K38" s="253">
        <f t="shared" si="0"/>
        <v>8</v>
      </c>
      <c r="L38" s="292">
        <f>Vout*Table16[[#This Row],[Iout]]/(Table16[[#This Row],[Vin]]*Efficiency)</f>
        <v>13.018052377320112</v>
      </c>
      <c r="M38" s="682">
        <f>MIN(1/Fsw,CHOOSE(Table16[[#This Row],[Mode Digit]],(Vout+(Rdson2+Rs+Rdcr)*Table16[[#This Row],[Iout]])/(Table16[[#This Row],[Vin]]+(Rs+Rdson2-Rdson1)*Table16[[#This Row],[Iout]])/Fsw,(Vout+(Rdson3+Rdcr)*Table16[[#This Row],[Iin]]-Table16[[#This Row],[Vin]])/(Vout+(Rdson3-Rdson4-Rs)*Table16[[#This Row],[Iin]])/Fsw,t1_Ph_II))</f>
        <v>9.0189945525368693E-7</v>
      </c>
      <c r="N38" s="518">
        <f>CHOOSE(Table16[[#This Row],[Mode Digit]],1/Fsw-Table16[[#This Row],[t1_Ph_II]],1/Fsw-Table16[[#This Row],[t1_Ph_II]],(Vout/Fsw-Table16[[#This Row],[Vin]]*t1_Ph_II)/(Table16[[#This Row],[Vin]]+Vout))</f>
        <v>1.6106633588166651E-6</v>
      </c>
      <c r="O38" s="518">
        <f>1/Fsw-(Table16[[#This Row],[t1_Ph_II]]+Table16[[#This Row],[t2_Ph_I]])</f>
        <v>0</v>
      </c>
      <c r="P38"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10.425091443465762</v>
      </c>
      <c r="Q38" s="292">
        <f>CHOOSE(Table16[[#This Row],[Mode Digit]],Table16[[#This Row],[I_0]]+1/Lf*(Table16[[#This Row],[Vin]]-Vout)*Table16[[#This Row],[t1_Ph_II]],Table16[[#This Row],[I_0]]+1/Lf*Table16[[#This Row],[Vin]]*Table16[[#This Row],[t1_Ph_II]],Table16[[#This Row],[I_0]]+(Table16[[#This Row],[Vin]]-Vout)/L*Table16[[#This Row],[t1_Ph_II]])</f>
        <v>15.61101331117446</v>
      </c>
      <c r="R38" s="292">
        <f>CHOOSE(Table16[[#This Row],[Mode Digit]],0,0,Table16[[#This Row],[I_1]]+Table16[[#This Row],[Vin]]/L*Table16[[#This Row],[t2_Ph_I]])</f>
        <v>0</v>
      </c>
      <c r="S38" s="292">
        <f>Fsw*(Table16[[#This Row],[I_0]]*Table16[[#This Row],[t1_Ph_II]]+Table16[[#This Row],[I_1]]*Table16[[#This Row],[t2_Ph_I]]+Table16[[#This Row],[I_2]]*Table16[[#This Row],[t3_Ph_III]])</f>
        <v>13.749495628399549</v>
      </c>
      <c r="T38" s="345">
        <f>MIN(1,CHOOSE(Table16[[#This Row],[Mode Digit]],(Vout+(Rdson2+Rs+Rdcr)*Table16[[#This Row],[Iout]])/(Table16[[#This Row],[Vin]]+(Rs+Rdson2-Rdson1)*Table16[[#This Row],[Iout]]),1,Fsw*Table16[[#This Row],[t2_Ph_I]]+Table16[[#This Row],[t1_Ph_II]]))</f>
        <v>1</v>
      </c>
      <c r="U38" s="345">
        <f>MIN(1,CHOOSE(Table16[[#This Row],[Mode Digit]],0,(Vout+(Rdson3+Rdcr)*Table16[[#This Row],[Iin]]-Table16[[#This Row],[Vin]])/(Vout+(Rdson3-Rdson4-Rs)*Table16[[#This Row],[Iin]]),Fsw*Table16[[#This Row],[t1_Ph_II]]+Table16[[#This Row],[t3_Ph_III]]))</f>
        <v>0.35895598319096739</v>
      </c>
      <c r="V38" s="292">
        <f>MAX(Table16[[#This Row],[I_0]:[I_2]])-MIN(Table16[[#This Row],[I_0]:[I_1]])</f>
        <v>5.1859218677086982</v>
      </c>
      <c r="W38"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13.103848156177179</v>
      </c>
      <c r="X38" s="345">
        <f>(Table16[[#This Row],[Irms Lf]]^2*Rdcr*(1+Ltc*Ta-Ltc*25))/(1-Table16[[#This Row],[Irms Lf]]^2*Rdcr*Ltc*ThetaCa)</f>
        <v>0.5747390406907259</v>
      </c>
      <c r="Y38" s="345">
        <f>ABS(7.759*10^-3*Fsw^0.9458*(0.00787*Table16[[#This Row],[Ripple Current pk-pk]])^2.304)</f>
        <v>0.96707460283159064</v>
      </c>
      <c r="Z38" s="345">
        <f>Table16[[#This Row],[DCR    Loss]]+Table16[[#This Row],[Core Loss]]</f>
        <v>1.5418136435223166</v>
      </c>
      <c r="AA38" s="292">
        <f>IF(Table16[[#This Row],[Vin]]&gt;Vout, Table16[[#This Row],[Ripple Current pk-pk]]/SQRT(12), SQRT(Table16[[#This Row],[Duty Cycle BOOST Leg]]/(1-Table16[[#This Row],[Duty Cycle BOOST Leg]]))*SQRT(Table16[[#This Row],[Iout]]^2+(Table16[[#This Row],[Ripple Current pk-pk]]^2)/12))</f>
        <v>6.0903268512880091</v>
      </c>
      <c r="AB38" s="345">
        <f>RCoutEsr*Table16[[#This Row],[Irms Cout]]^2</f>
        <v>7.4184162311039428E-2</v>
      </c>
      <c r="AC38" s="345">
        <f>Table16[[#This Row],[Cout ESR Loss]]</f>
        <v>7.4184162311039428E-2</v>
      </c>
      <c r="AD38" s="345">
        <f>IF(Table16[[#This Row],[Vin]]&gt;Vout, SQRT(Table16[[#This Row],[Duty Cycle BUCK Leg]]*(1-Table16[[#This Row],[Duty Cycle BUCK Leg]]))*SQRT(Table16[[#This Row],[Iout]]^2+(Table16[[#This Row],[Ripple Current pk-pk]]^2)/12), Table16[[#This Row],[Ripple Current pk-pk]]/SQRT(12))</f>
        <v>1.4970466931589919</v>
      </c>
      <c r="AE38" s="345">
        <f>RCinEsr*Table16[[#This Row],[Irms Cin]]^2</f>
        <v>4.4822976029965456E-3</v>
      </c>
      <c r="AF38" s="683">
        <f>Table16[[#This Row],[Cin ESR Loss]]</f>
        <v>4.4822976029965456E-3</v>
      </c>
      <c r="AG38"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13.103848156177179</v>
      </c>
      <c r="AH38" s="345">
        <f>Rdson1*Table16[[#This Row],[Irms BuCtrl]]^2</f>
        <v>0.60098792775051812</v>
      </c>
      <c r="AI38" s="345">
        <f>CHOOSE(Table16[[#This Row],[Mode Digit]], (Table16[[#This Row],[Vin]]*Table16[[#This Row],[Iout]]/2)*(Fsw)*(Tr_buck+Tf_buck), 0, (Table16[[#This Row],[Vin]]*Table16[[#This Row],[Avg IL]]/2)*(Fsw/1)*(Tr_buck+Tf_buck))</f>
        <v>0</v>
      </c>
      <c r="AJ38" s="253">
        <f>IF(Table16[[#This Row],[Vin]]&gt;Vout, IF(Table16[[#This Row],[Iout]]&gt;Table16[[#This Row],[Ripple Current pk-pk]]/2,0,ABS(Table16[[#This Row],[Iout]]-Table16[[#This Row],[Ripple Current pk-pk]]/2)*Vsd_Q1*Deadtime*Fsw),0)</f>
        <v>0</v>
      </c>
      <c r="AK38" s="345">
        <f>(Table16[[#This Row],[Dead Time Loss BuCtrl]]+Table16[[#This Row],[Transition Loss BuCtrl]]+Table16[[#This Row],[RDS(on) Loss BuCtrl]]*(1+RdsonTopTc*Ta-RdsonTopTc*25))/(1-Table16[[#This Row],[RDS(on) Loss BuCtrl]]*RdsonTopTc*ThetaJA_Q1)</f>
        <v>0.71228778063433351</v>
      </c>
      <c r="AL38" s="345">
        <f>CHOOSE(Table16[[#This Row],[Mode Digit]],SQRT((Fsw*(Table16[[#This Row],[t2_Ph_I]]+0))*((Table16[[#This Row],[I_0]]*Table16[[#This Row],[I_1]]+((Table16[[#This Row],[I_0]]-Table16[[#This Row],[I_1]])^2)/3))),0,SQRT((Fsw*(Table16[[#This Row],[t3_Ph_III]]+0))*((Table16[[#This Row],[I_0]]*Table16[[#This Row],[I_2]]+((Table16[[#This Row],[I_0]]-Table16[[#This Row],[I_2]])^2)/3))))</f>
        <v>0</v>
      </c>
      <c r="AM38" s="345">
        <f>Rdson2*Table16[[#This Row],[Irms BuSync]]^2</f>
        <v>0</v>
      </c>
      <c r="AN38"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38" s="345">
        <f>(Table16[[#This Row],[Deadtime Loss BuSync]]+Table16[[#This Row],[RDS(on) Loss BuSync]]*(1+RdsonBotTc*Ta-RdsonBotTc*25))/(1-Table16[[#This Row],[RDS(on) Loss BuSync]]*RdsonBotTc*ThetaJA_Q2)</f>
        <v>0</v>
      </c>
      <c r="AP38" s="345">
        <f>CHOOSE(Table16[[#This Row],[Mode Digit]],0,SQRT((Fsw*(Table16[[#This Row],[t1_Ph_II]]+0))*((Table16[[#This Row],[I_0]]*Table16[[#This Row],[I_1]]+((Table16[[#This Row],[I_0]]-Table16[[#This Row],[I_1]])^2)/3))),SQRT((Fsw*(Table16[[#This Row],[t2_Ph_I]]+0))*((Table16[[#This Row],[I_1]]*Table16[[#This Row],[I_2]]+((Table16[[#This Row],[I_1]]-Table16[[#This Row],[I_2]])^2)/3))))</f>
        <v>7.8509000847325838</v>
      </c>
      <c r="AQ38" s="345">
        <f>Rdson4*Table16[[#This Row],[Irms BoCtlr]]^2</f>
        <v>0.21572821249158933</v>
      </c>
      <c r="AR38" s="345">
        <f>CHOOSE(Table16[[#This Row],[Mode Digit]], 0, (Vout*Table16[[#This Row],[Iin]]/2)*(Fsw)*(Tr_boost+Tf_boost), (Vout*Iout/2)*(Fsw/1)*(Tr_boost+Tf_boost))</f>
        <v>0.77399352574278835</v>
      </c>
      <c r="AS38" s="253">
        <f>IF(Table16[[#This Row],[Vin]]&gt;Vout, 0, IF(Table16[[#This Row],[Iin]]&gt;Table16[[#This Row],[Ripple Current pk-pk]]/2,0,ABS(Table16[[#This Row],[Iin]]-Table16[[#This Row],[Ripple Current pk-pk]]/2)*Vsd_Q4*Deadtime*Fsw))</f>
        <v>0</v>
      </c>
      <c r="AT38" s="345">
        <f>(Table16[[#This Row],[Dead Time Loss BoCtlr]]+Table16[[#This Row],[Transition Loss BoCtlr]]+Table16[[#This Row],[RDS(on) Loss BoCtlr]]*(1+RdsonTopTc*Ta-RdsonTopTc*25))/(1-Table16[[#This Row],[RDS(on) Loss BoCtlr]]*RdsonTopTc*ThetaJA_Q4)</f>
        <v>1.0485332724725789</v>
      </c>
      <c r="AU38"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10.491625439353712</v>
      </c>
      <c r="AV38" s="345">
        <f>Rdson3*Table16[[#This Row],[Irms BoSync]]^2</f>
        <v>0.38525971525892888</v>
      </c>
      <c r="AW38"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0.38858886346300525</v>
      </c>
      <c r="AX38" s="345">
        <f>(Table16[[#This Row],[Deadtime Loss BoSync]]+Table16[[#This Row],[RDS(on) Loss BoSync]]*(1+RdsonBotTc*Ta-RdsonBotTc*25))/(1-Table16[[#This Row],[RDS(on) Loss BoSync]]*RdsonBotTc*ThetaJA_Q3)</f>
        <v>0.85999183298404813</v>
      </c>
      <c r="AY38" s="345">
        <f>CHOOSE(Table16[[#This Row],[Mode Digit]], Rdson3*Table16[[#This Row],[Irms Lf]]^2, Rdson1*Table16[[#This Row],[Irms Lf]]^2, 0)</f>
        <v>0.60098792775051812</v>
      </c>
      <c r="AZ38" s="345">
        <f>CHOOSE(Table16[[#This Row],[Mode Digit]], 2*Deadtime*Fsw*IF(VfdSky_Q2&gt;0,VfdSky_Q2,0)*Table16[[#This Row],[Iout]], 2*Deadtime*Fsw*IF(VfdSky_Q3&gt;0,VfdSky_Q3,0)*Table16[[#This Row],[Iin]], 2*Deadtime*Fsw*IF(VfdSky_Q2&gt;0,VfdSky_Q2,0)*Table16[[#This Row],[Iout]]+2*Deadtime*Fsw*IF(VfdSky_Q3&gt;0,VfdSky_Q3,0)*Table16[[#This Row],[Iin]])</f>
        <v>0</v>
      </c>
      <c r="BA38" s="345">
        <f>CHOOSE(Table16[[#This Row],[Mode Digit]], IF(QrrSky_Q2&gt;0,QrrSky_Q2,Qrr_Q2)*Fsw*(Table16[[#This Row],[Vin]]-Table16[[#This Row],[Iout]]*Rdson1),0,  IF(QrrSky_Q2&gt;0,QrrSky_Q2,Qrr_Q2)*Fsw*(Table16[[#This Row],[Vin]]-Table16[[#This Row],[Iout]]*Rdson1)+IF(QrrSky_Q3&gt;0,QrrSky_Q3,Qrr_Q3)*Fsw*Vout)</f>
        <v>0</v>
      </c>
      <c r="BB38" s="345">
        <f>CHOOSE(Table16[[#This Row],[Mode Digit]],0, IF(QrrSky_Q3&gt;0,QrrSky_Q3,Qrr_Q3)*Fsw*Vout,  IF(QrrSky_Q2&gt;0,QrrSky_Q2,Qrr_Q2)*Fsw*(Table16[[#This Row],[Vin]]-Table16[[#This Row],[Iout]]*Rdson1)+IF(QrrSky_Q3&gt;0,QrrSky_Q3,Qrr_Q3)*Fsw*Vout)</f>
        <v>0.35660799999999998</v>
      </c>
      <c r="BC38" s="345">
        <f>CHOOSE(Table16[[#This Row],[Mode Digit]], Rs*Table16[[#This Row],[Irms BuSync]]^2, Rs*Table16[[#This Row],[Irms BoCtlr]]^2, Rs*(Table16[[#This Row],[Irms BuSync]]^2+Table16[[#This Row],[Irms BoCtlr]]^2))</f>
        <v>8.0127621782590308E-2</v>
      </c>
      <c r="BD38" s="345">
        <f t="shared" si="1"/>
        <v>0.64</v>
      </c>
      <c r="BE38" s="345">
        <f>IF(Vout&gt;8, Iq*Vout, Iq*Table16[[#This Row],[Vin]])</f>
        <v>4.8000000000000001E-2</v>
      </c>
      <c r="BF38" s="345">
        <f>CHOOSE(Table16[[#This Row],[Mode Digit]], (Qg_Q1+Qg_Q2)*Fsw, (Qg_Q3+Qg_Q4)*Fsw, (Qg_Q1+Qg_Q2+Qg_Q3+Qg_Q4)*Fsw)*IF(Vout&gt;8, Vout, Table16[[#This Row],[Vin]])</f>
        <v>0.85331200000000007</v>
      </c>
      <c r="BG38" s="345">
        <f t="shared" si="2"/>
        <v>0.50594479787234037</v>
      </c>
      <c r="BH38" s="345">
        <f>Table16[[#This Row],[IQ Loss]]+Table16[[#This Row],[Switching Current Loss]]</f>
        <v>0.90131200000000011</v>
      </c>
      <c r="BI38"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6.2193406113099021</v>
      </c>
      <c r="BJ38" s="253">
        <f>Vout*Table16[[#This Row],[Iout]]</f>
        <v>128</v>
      </c>
      <c r="BK38" s="684">
        <f>Table16[[#This Row],[Pout]]/(Table16[[#This Row],[Pout]]+Table16[[#This Row],[Total Loss]])</f>
        <v>0.95366285825140007</v>
      </c>
      <c r="BL38"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91.334182710717627</v>
      </c>
      <c r="BM38" s="685">
        <f>IF(Table16[[#This Row],[Vin]]&gt;Vout, Table16[[#This Row],[Total Sync Bu MOSFET Loss]]*ThetaJA_Q2, ThetaJA_Q3*Table16[[#This Row],[Total Sync Bo MOSFET Loss]])</f>
        <v>55.899469143963131</v>
      </c>
      <c r="BN38" s="640"/>
      <c r="BO38" s="292">
        <f>Table16[[#This Row],[EFF, h]]*100</f>
        <v>95.366285825140011</v>
      </c>
      <c r="BP38" s="345">
        <f>Table16[[#This Row],[Total Inductor Loss]]</f>
        <v>1.5418136435223166</v>
      </c>
      <c r="BQ38" s="345">
        <f>Table16[[#This Row],[Total Control Bu MOSFET Loss]]+Table16[[#This Row],[Total Sync Bu MOSFET Loss]]+Table16[[#This Row],[Total Control Bo MOSFET Loss]]+Table16[[#This Row],[Total Sync Bo MOSFET Loss]]+Table16[[#This Row],[Reverse Recovery Loss MOSFET D BUCK]]+Table16[[#This Row],[Reverse Recovery Loss MOSFET D BOOST]]</f>
        <v>2.9774208860909606</v>
      </c>
      <c r="BR38" s="345">
        <f>Table16[[#This Row],[Total Control Bu MOSFET Loss]]+Table16[[#This Row],[Reverse Recovery Loss MOSFET D BUCK]]*0.66</f>
        <v>0.71228778063433351</v>
      </c>
      <c r="BS38" s="345">
        <f>Table16[[#This Row],[Total Sync Bu MOSFET Loss]]+Table16[[#This Row],[Reverse Recovery Loss MOSFET D BUCK]]*0.33</f>
        <v>0</v>
      </c>
      <c r="BT38" s="345">
        <f xml:space="preserve"> Table16[[#This Row],[Total Control Bo MOSFET Loss]]+Table16[[#This Row],[Reverse Recovery Loss MOSFET D BOOST]]*0.66</f>
        <v>1.2838945524725789</v>
      </c>
      <c r="BU38" s="345">
        <f xml:space="preserve"> Table16[[#This Row],[Total Sync Bo MOSFET Loss]]+Table16[[#This Row],[Reverse Recovery Loss MOSFET D BOOST]]*0.33</f>
        <v>0.97767247298404814</v>
      </c>
      <c r="BV38" s="345">
        <f>Table16[[#This Row],[Isense Shunt Loss]]</f>
        <v>8.0127621782590308E-2</v>
      </c>
      <c r="CA38" s="253">
        <v>9.9985429999999997</v>
      </c>
      <c r="CB38" s="253">
        <v>1.9350000000000001</v>
      </c>
      <c r="CC38" s="253">
        <v>5.117146</v>
      </c>
      <c r="CD38" s="253">
        <v>94.224527198076927</v>
      </c>
      <c r="CE38" s="253">
        <v>606.92116405899924</v>
      </c>
    </row>
    <row r="39" spans="1:83" x14ac:dyDescent="0.2">
      <c r="A39" s="691" t="s">
        <v>74</v>
      </c>
      <c r="B39" s="569">
        <f>Qg_Q1*1000000000</f>
        <v>67</v>
      </c>
      <c r="C39" s="255" t="s">
        <v>69</v>
      </c>
      <c r="D39" s="255" t="s">
        <v>101</v>
      </c>
      <c r="G39" s="253">
        <v>30</v>
      </c>
      <c r="H39" s="286">
        <f>VIN_min+(VIN_max-VIN_min)*(Table16[[#This Row],[Step]]/200)</f>
        <v>10.5</v>
      </c>
      <c r="I39" s="292" t="str">
        <f>IF(Mode = 2,IF(Table16[[#This Row],[Vin]]&gt;Vout, "BUCK","BOOST"),IF(Table16[[#This Row],[Vin]]&gt;VIN_BB_to_buck, "BUCK", IF(Table16[[#This Row],[Vin]]&lt;=VIN_boost_to_BB,"BOOST","BUCK-BST")))</f>
        <v>BOOST</v>
      </c>
      <c r="J39" s="253">
        <f>IF(Table16[[#This Row],[Mode]]="BOOST",2, IF(Table16[[#This Row],[Mode]]="BUCK", 1,3))</f>
        <v>2</v>
      </c>
      <c r="K39" s="253">
        <f t="shared" si="0"/>
        <v>8</v>
      </c>
      <c r="L39" s="292">
        <f>Vout*Table16[[#This Row],[Iout]]/(Table16[[#This Row],[Vin]]*Efficiency)</f>
        <v>12.832080200501254</v>
      </c>
      <c r="M39" s="682">
        <f>MIN(1/Fsw,CHOOSE(Table16[[#This Row],[Mode Digit]],(Vout+(Rdson2+Rs+Rdcr)*Table16[[#This Row],[Iout]])/(Table16[[#This Row],[Vin]]+(Rs+Rdson2-Rdson1)*Table16[[#This Row],[Iout]])/Fsw,(Vout+(Rdson3+Rdcr)*Table16[[#This Row],[Iin]]-Table16[[#This Row],[Vin]])/(Vout+(Rdson3-Rdson4-Rs)*Table16[[#This Row],[Iin]])/Fsw,t1_Ph_II))</f>
        <v>8.7811008003508298E-7</v>
      </c>
      <c r="N39" s="518">
        <f>CHOOSE(Table16[[#This Row],[Mode Digit]],1/Fsw-Table16[[#This Row],[t1_Ph_II]],1/Fsw-Table16[[#This Row],[t1_Ph_II]],(Vout/Fsw-Table16[[#This Row],[Vin]]*t1_Ph_II)/(Table16[[#This Row],[Vin]]+Vout))</f>
        <v>1.6344527340352688E-6</v>
      </c>
      <c r="O39" s="518">
        <f>1/Fsw-(Table16[[#This Row],[t1_Ph_II]]+Table16[[#This Row],[t2_Ph_I]])</f>
        <v>0</v>
      </c>
      <c r="P39"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10.270925800398929</v>
      </c>
      <c r="Q39" s="292">
        <f>CHOOSE(Table16[[#This Row],[Mode Digit]],Table16[[#This Row],[I_0]]+1/Lf*(Table16[[#This Row],[Vin]]-Vout)*Table16[[#This Row],[t1_Ph_II]],Table16[[#This Row],[I_0]]+1/Lf*Table16[[#This Row],[Vin]]*Table16[[#This Row],[t1_Ph_II]],Table16[[#This Row],[I_0]]+(Table16[[#This Row],[Vin]]-Vout)/L*Table16[[#This Row],[t1_Ph_II]])</f>
        <v>15.393234600603581</v>
      </c>
      <c r="R39" s="292">
        <f>CHOOSE(Table16[[#This Row],[Mode Digit]],0,0,Table16[[#This Row],[I_1]]+Table16[[#This Row],[Vin]]/L*Table16[[#This Row],[t2_Ph_I]])</f>
        <v>0</v>
      </c>
      <c r="S39" s="292">
        <f>Fsw*(Table16[[#This Row],[I_0]]*Table16[[#This Row],[t1_Ph_II]]+Table16[[#This Row],[I_1]]*Table16[[#This Row],[t2_Ph_I]]+Table16[[#This Row],[I_2]]*Table16[[#This Row],[t3_Ph_III]])</f>
        <v>13.603050106379758</v>
      </c>
      <c r="T39" s="345">
        <f>MIN(1,CHOOSE(Table16[[#This Row],[Mode Digit]],(Vout+(Rdson2+Rs+Rdcr)*Table16[[#This Row],[Iout]])/(Table16[[#This Row],[Vin]]+(Rs+Rdson2-Rdson1)*Table16[[#This Row],[Iout]]),1,Fsw*Table16[[#This Row],[t2_Ph_I]]+Table16[[#This Row],[t1_Ph_II]]))</f>
        <v>1</v>
      </c>
      <c r="U39" s="345">
        <f>MIN(1,CHOOSE(Table16[[#This Row],[Mode Digit]],0,(Vout+(Rdson3+Rdcr)*Table16[[#This Row],[Iin]]-Table16[[#This Row],[Vin]])/(Vout+(Rdson3-Rdson4-Rs)*Table16[[#This Row],[Iin]]),Fsw*Table16[[#This Row],[t1_Ph_II]]+Table16[[#This Row],[t3_Ph_III]]))</f>
        <v>0.34948781185396305</v>
      </c>
      <c r="V39" s="292">
        <f>MAX(Table16[[#This Row],[I_0]:[I_2]])-MIN(Table16[[#This Row],[I_0]:[I_1]])</f>
        <v>5.1223088002046513</v>
      </c>
      <c r="W39"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12.9169960217466</v>
      </c>
      <c r="X39" s="345">
        <f>(Table16[[#This Row],[Irms Lf]]^2*Rdcr*(1+Ltc*Ta-Ltc*25))/(1-Table16[[#This Row],[Irms Lf]]^2*Rdcr*Ltc*ThetaCa)</f>
        <v>0.55773898241791231</v>
      </c>
      <c r="Y39" s="345">
        <f>ABS(7.759*10^-3*Fsw^0.9458*(0.00787*Table16[[#This Row],[Ripple Current pk-pk]])^2.304)</f>
        <v>0.93996146140411729</v>
      </c>
      <c r="Z39" s="345">
        <f>Table16[[#This Row],[DCR    Loss]]+Table16[[#This Row],[Core Loss]]</f>
        <v>1.4977004438220296</v>
      </c>
      <c r="AA39" s="292">
        <f>IF(Table16[[#This Row],[Vin]]&gt;Vout, Table16[[#This Row],[Ripple Current pk-pk]]/SQRT(12), SQRT(Table16[[#This Row],[Duty Cycle BOOST Leg]]/(1-Table16[[#This Row],[Duty Cycle BOOST Leg]]))*SQRT(Table16[[#This Row],[Iout]]^2+(Table16[[#This Row],[Ripple Current pk-pk]]^2)/12))</f>
        <v>5.9631127247919231</v>
      </c>
      <c r="AB39" s="345">
        <f>RCoutEsr*Table16[[#This Row],[Irms Cout]]^2</f>
        <v>7.1117426737150713E-2</v>
      </c>
      <c r="AC39" s="345">
        <f>Table16[[#This Row],[Cout ESR Loss]]</f>
        <v>7.1117426737150713E-2</v>
      </c>
      <c r="AD39" s="345">
        <f>IF(Table16[[#This Row],[Vin]]&gt;Vout, SQRT(Table16[[#This Row],[Duty Cycle BUCK Leg]]*(1-Table16[[#This Row],[Duty Cycle BUCK Leg]]))*SQRT(Table16[[#This Row],[Iout]]^2+(Table16[[#This Row],[Ripple Current pk-pk]]^2)/12), Table16[[#This Row],[Ripple Current pk-pk]]/SQRT(12))</f>
        <v>1.4786831823352722</v>
      </c>
      <c r="AE39" s="345">
        <f>RCinEsr*Table16[[#This Row],[Irms Cin]]^2</f>
        <v>4.3730079074423356E-3</v>
      </c>
      <c r="AF39" s="683">
        <f>Table16[[#This Row],[Cin ESR Loss]]</f>
        <v>4.3730079074423356E-3</v>
      </c>
      <c r="AG39"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12.9169960217466</v>
      </c>
      <c r="AH39" s="345">
        <f>Rdson1*Table16[[#This Row],[Irms BuCtrl]]^2</f>
        <v>0.58397075179036129</v>
      </c>
      <c r="AI39" s="345">
        <f>CHOOSE(Table16[[#This Row],[Mode Digit]], (Table16[[#This Row],[Vin]]*Table16[[#This Row],[Iout]]/2)*(Fsw)*(Tr_buck+Tf_buck), 0, (Table16[[#This Row],[Vin]]*Table16[[#This Row],[Avg IL]]/2)*(Fsw/1)*(Tr_buck+Tf_buck))</f>
        <v>0</v>
      </c>
      <c r="AJ39" s="253">
        <f>IF(Table16[[#This Row],[Vin]]&gt;Vout, IF(Table16[[#This Row],[Iout]]&gt;Table16[[#This Row],[Ripple Current pk-pk]]/2,0,ABS(Table16[[#This Row],[Iout]]-Table16[[#This Row],[Ripple Current pk-pk]]/2)*Vsd_Q1*Deadtime*Fsw),0)</f>
        <v>0</v>
      </c>
      <c r="AK39" s="345">
        <f>(Table16[[#This Row],[Dead Time Loss BuCtrl]]+Table16[[#This Row],[Transition Loss BuCtrl]]+Table16[[#This Row],[RDS(on) Loss BuCtrl]]*(1+RdsonTopTc*Ta-RdsonTopTc*25))/(1-Table16[[#This Row],[RDS(on) Loss BuCtrl]]*RdsonTopTc*ThetaJA_Q1)</f>
        <v>0.68850867289473738</v>
      </c>
      <c r="AL39" s="345">
        <f>CHOOSE(Table16[[#This Row],[Mode Digit]],SQRT((Fsw*(Table16[[#This Row],[t2_Ph_I]]+0))*((Table16[[#This Row],[I_0]]*Table16[[#This Row],[I_1]]+((Table16[[#This Row],[I_0]]-Table16[[#This Row],[I_1]])^2)/3))),0,SQRT((Fsw*(Table16[[#This Row],[t3_Ph_III]]+0))*((Table16[[#This Row],[I_0]]*Table16[[#This Row],[I_2]]+((Table16[[#This Row],[I_0]]-Table16[[#This Row],[I_2]])^2)/3))))</f>
        <v>0</v>
      </c>
      <c r="AM39" s="345">
        <f>Rdson2*Table16[[#This Row],[Irms BuSync]]^2</f>
        <v>0</v>
      </c>
      <c r="AN39"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39" s="345">
        <f>(Table16[[#This Row],[Deadtime Loss BuSync]]+Table16[[#This Row],[RDS(on) Loss BuSync]]*(1+RdsonBotTc*Ta-RdsonBotTc*25))/(1-Table16[[#This Row],[RDS(on) Loss BuSync]]*RdsonBotTc*ThetaJA_Q2)</f>
        <v>0</v>
      </c>
      <c r="AP39" s="345">
        <f>CHOOSE(Table16[[#This Row],[Mode Digit]],0,SQRT((Fsw*(Table16[[#This Row],[t1_Ph_II]]+0))*((Table16[[#This Row],[I_0]]*Table16[[#This Row],[I_1]]+((Table16[[#This Row],[I_0]]-Table16[[#This Row],[I_1]])^2)/3))),SQRT((Fsw*(Table16[[#This Row],[t2_Ph_I]]+0))*((Table16[[#This Row],[I_1]]*Table16[[#This Row],[I_2]]+((Table16[[#This Row],[I_1]]-Table16[[#This Row],[I_2]])^2)/3))))</f>
        <v>7.6362043718427683</v>
      </c>
      <c r="AQ39" s="345">
        <f>Rdson4*Table16[[#This Row],[Irms BoCtlr]]^2</f>
        <v>0.20409066022992714</v>
      </c>
      <c r="AR39" s="345">
        <f>CHOOSE(Table16[[#This Row],[Mode Digit]], 0, (Vout*Table16[[#This Row],[Iin]]/2)*(Fsw)*(Tr_boost+Tf_boost), (Vout*Iout/2)*(Fsw/1)*(Tr_boost+Tf_boost))</f>
        <v>0.76293647537503428</v>
      </c>
      <c r="AS39" s="253">
        <f>IF(Table16[[#This Row],[Vin]]&gt;Vout, 0, IF(Table16[[#This Row],[Iin]]&gt;Table16[[#This Row],[Ripple Current pk-pk]]/2,0,ABS(Table16[[#This Row],[Iin]]-Table16[[#This Row],[Ripple Current pk-pk]]/2)*Vsd_Q4*Deadtime*Fsw))</f>
        <v>0</v>
      </c>
      <c r="AT39" s="345">
        <f>(Table16[[#This Row],[Dead Time Loss BoCtlr]]+Table16[[#This Row],[Transition Loss BoCtlr]]+Table16[[#This Row],[RDS(on) Loss BoCtlr]]*(1+RdsonTopTc*Ta-RdsonTopTc*25))/(1-Table16[[#This Row],[RDS(on) Loss BoCtlr]]*RdsonTopTc*ThetaJA_Q4)</f>
        <v>1.0212165322438354</v>
      </c>
      <c r="AU39"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10.418117345147678</v>
      </c>
      <c r="AV39" s="345">
        <f>Rdson3*Table16[[#This Row],[Irms BoSync]]^2</f>
        <v>0.37988009156043417</v>
      </c>
      <c r="AW39"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0.38303759398496234</v>
      </c>
      <c r="AX39" s="345">
        <f>(Table16[[#This Row],[Deadtime Loss BoSync]]+Table16[[#This Row],[RDS(on) Loss BoSync]]*(1+RdsonBotTc*Ta-RdsonBotTc*25))/(1-Table16[[#This Row],[RDS(on) Loss BoSync]]*RdsonBotTc*ThetaJA_Q3)</f>
        <v>0.84652828896470289</v>
      </c>
      <c r="AY39" s="345">
        <f>CHOOSE(Table16[[#This Row],[Mode Digit]], Rdson3*Table16[[#This Row],[Irms Lf]]^2, Rdson1*Table16[[#This Row],[Irms Lf]]^2, 0)</f>
        <v>0.58397075179036129</v>
      </c>
      <c r="AZ39" s="345">
        <f>CHOOSE(Table16[[#This Row],[Mode Digit]], 2*Deadtime*Fsw*IF(VfdSky_Q2&gt;0,VfdSky_Q2,0)*Table16[[#This Row],[Iout]], 2*Deadtime*Fsw*IF(VfdSky_Q3&gt;0,VfdSky_Q3,0)*Table16[[#This Row],[Iin]], 2*Deadtime*Fsw*IF(VfdSky_Q2&gt;0,VfdSky_Q2,0)*Table16[[#This Row],[Iout]]+2*Deadtime*Fsw*IF(VfdSky_Q3&gt;0,VfdSky_Q3,0)*Table16[[#This Row],[Iin]])</f>
        <v>0</v>
      </c>
      <c r="BA39" s="345">
        <f>CHOOSE(Table16[[#This Row],[Mode Digit]], IF(QrrSky_Q2&gt;0,QrrSky_Q2,Qrr_Q2)*Fsw*(Table16[[#This Row],[Vin]]-Table16[[#This Row],[Iout]]*Rdson1),0,  IF(QrrSky_Q2&gt;0,QrrSky_Q2,Qrr_Q2)*Fsw*(Table16[[#This Row],[Vin]]-Table16[[#This Row],[Iout]]*Rdson1)+IF(QrrSky_Q3&gt;0,QrrSky_Q3,Qrr_Q3)*Fsw*Vout)</f>
        <v>0</v>
      </c>
      <c r="BB39" s="345">
        <f>CHOOSE(Table16[[#This Row],[Mode Digit]],0, IF(QrrSky_Q3&gt;0,QrrSky_Q3,Qrr_Q3)*Fsw*Vout,  IF(QrrSky_Q2&gt;0,QrrSky_Q2,Qrr_Q2)*Fsw*(Table16[[#This Row],[Vin]]-Table16[[#This Row],[Iout]]*Rdson1)+IF(QrrSky_Q3&gt;0,QrrSky_Q3,Qrr_Q3)*Fsw*Vout)</f>
        <v>0.35660799999999998</v>
      </c>
      <c r="BC39" s="345">
        <f>CHOOSE(Table16[[#This Row],[Mode Digit]], Rs*Table16[[#This Row],[Irms BuSync]]^2, Rs*Table16[[#This Row],[Irms BoCtlr]]^2, Rs*(Table16[[#This Row],[Irms BuSync]]^2+Table16[[#This Row],[Irms BoCtlr]]^2))</f>
        <v>7.580510237111579E-2</v>
      </c>
      <c r="BD39" s="345">
        <f t="shared" si="1"/>
        <v>0.64</v>
      </c>
      <c r="BE39" s="345">
        <f>IF(Vout&gt;8, Iq*Vout, Iq*Table16[[#This Row],[Vin]])</f>
        <v>4.8000000000000001E-2</v>
      </c>
      <c r="BF39" s="345">
        <f>CHOOSE(Table16[[#This Row],[Mode Digit]], (Qg_Q1+Qg_Q2)*Fsw, (Qg_Q3+Qg_Q4)*Fsw, (Qg_Q1+Qg_Q2+Qg_Q3+Qg_Q4)*Fsw)*IF(Vout&gt;8, Vout, Table16[[#This Row],[Vin]])</f>
        <v>0.85331200000000007</v>
      </c>
      <c r="BG39" s="345">
        <f t="shared" si="2"/>
        <v>0.50594479787234037</v>
      </c>
      <c r="BH39" s="345">
        <f>Table16[[#This Row],[IQ Loss]]+Table16[[#This Row],[Switching Current Loss]]</f>
        <v>0.90131200000000011</v>
      </c>
      <c r="BI39"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6.1031694749410139</v>
      </c>
      <c r="BJ39" s="253">
        <f>Vout*Table16[[#This Row],[Iout]]</f>
        <v>128</v>
      </c>
      <c r="BK39" s="684">
        <f>Table16[[#This Row],[Pout]]/(Table16[[#This Row],[Pout]]+Table16[[#This Row],[Total Loss]])</f>
        <v>0.95448899903830031</v>
      </c>
      <c r="BL39"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89.5585945958493</v>
      </c>
      <c r="BM39" s="685">
        <f>IF(Table16[[#This Row],[Vin]]&gt;Vout, Table16[[#This Row],[Total Sync Bu MOSFET Loss]]*ThetaJA_Q2, ThetaJA_Q3*Table16[[#This Row],[Total Sync Bo MOSFET Loss]])</f>
        <v>55.024338782705691</v>
      </c>
      <c r="BN39" s="640"/>
      <c r="BO39" s="292">
        <f>Table16[[#This Row],[EFF, h]]*100</f>
        <v>95.448899903830025</v>
      </c>
      <c r="BP39" s="345">
        <f>Table16[[#This Row],[Total Inductor Loss]]</f>
        <v>1.4977004438220296</v>
      </c>
      <c r="BQ39" s="345">
        <f>Table16[[#This Row],[Total Control Bu MOSFET Loss]]+Table16[[#This Row],[Total Sync Bu MOSFET Loss]]+Table16[[#This Row],[Total Control Bo MOSFET Loss]]+Table16[[#This Row],[Total Sync Bo MOSFET Loss]]+Table16[[#This Row],[Reverse Recovery Loss MOSFET D BUCK]]+Table16[[#This Row],[Reverse Recovery Loss MOSFET D BOOST]]</f>
        <v>2.9128614941032756</v>
      </c>
      <c r="BR39" s="345">
        <f>Table16[[#This Row],[Total Control Bu MOSFET Loss]]+Table16[[#This Row],[Reverse Recovery Loss MOSFET D BUCK]]*0.66</f>
        <v>0.68850867289473738</v>
      </c>
      <c r="BS39" s="345">
        <f>Table16[[#This Row],[Total Sync Bu MOSFET Loss]]+Table16[[#This Row],[Reverse Recovery Loss MOSFET D BUCK]]*0.33</f>
        <v>0</v>
      </c>
      <c r="BT39" s="345">
        <f xml:space="preserve"> Table16[[#This Row],[Total Control Bo MOSFET Loss]]+Table16[[#This Row],[Reverse Recovery Loss MOSFET D BOOST]]*0.66</f>
        <v>1.2565778122438354</v>
      </c>
      <c r="BU39" s="345">
        <f xml:space="preserve"> Table16[[#This Row],[Total Sync Bo MOSFET Loss]]+Table16[[#This Row],[Reverse Recovery Loss MOSFET D BOOST]]*0.33</f>
        <v>0.96420892896470289</v>
      </c>
      <c r="BV39" s="345">
        <f>Table16[[#This Row],[Isense Shunt Loss]]</f>
        <v>7.580510237111579E-2</v>
      </c>
      <c r="CA39" s="253">
        <v>9.9985060000000008</v>
      </c>
      <c r="CB39" s="253">
        <v>2.31</v>
      </c>
      <c r="CC39" s="253">
        <v>5.1166349999999996</v>
      </c>
      <c r="CD39" s="253">
        <v>94.492663502717292</v>
      </c>
      <c r="CE39" s="253">
        <v>688.87413060200208</v>
      </c>
    </row>
    <row r="40" spans="1:83" x14ac:dyDescent="0.2">
      <c r="A40" s="691" t="s">
        <v>128</v>
      </c>
      <c r="B40" s="569">
        <f>Qgd_Q1*1000000000</f>
        <v>10.31</v>
      </c>
      <c r="C40" s="255" t="s">
        <v>69</v>
      </c>
      <c r="D40" s="255" t="s">
        <v>129</v>
      </c>
      <c r="G40" s="253">
        <v>31</v>
      </c>
      <c r="H40" s="286">
        <f>VIN_min+(VIN_max-VIN_min)*(Table16[[#This Row],[Step]]/200)</f>
        <v>10.65</v>
      </c>
      <c r="I40" s="292" t="str">
        <f>IF(Mode = 2,IF(Table16[[#This Row],[Vin]]&gt;Vout, "BUCK","BOOST"),IF(Table16[[#This Row],[Vin]]&gt;VIN_BB_to_buck, "BUCK", IF(Table16[[#This Row],[Vin]]&lt;=VIN_boost_to_BB,"BOOST","BUCK-BST")))</f>
        <v>BOOST</v>
      </c>
      <c r="J40" s="253">
        <f>IF(Table16[[#This Row],[Mode]]="BOOST",2, IF(Table16[[#This Row],[Mode]]="BUCK", 1,3))</f>
        <v>2</v>
      </c>
      <c r="K40" s="253">
        <f t="shared" si="0"/>
        <v>8</v>
      </c>
      <c r="L40" s="292">
        <f>Vout*Table16[[#This Row],[Iout]]/(Table16[[#This Row],[Vin]]*Efficiency)</f>
        <v>12.651346676550531</v>
      </c>
      <c r="M40" s="682">
        <f>MIN(1/Fsw,CHOOSE(Table16[[#This Row],[Mode Digit]],(Vout+(Rdson2+Rs+Rdcr)*Table16[[#This Row],[Iout]])/(Table16[[#This Row],[Vin]]+(Rs+Rdson2-Rdson1)*Table16[[#This Row],[Iout]])/Fsw,(Vout+(Rdson3+Rdcr)*Table16[[#This Row],[Iin]]-Table16[[#This Row],[Vin]])/(Vout+(Rdson3-Rdson4-Rs)*Table16[[#This Row],[Iin]])/Fsw,t1_Ph_II))</f>
        <v>8.5432730593534171E-7</v>
      </c>
      <c r="N40" s="518">
        <f>CHOOSE(Table16[[#This Row],[Mode Digit]],1/Fsw-Table16[[#This Row],[t1_Ph_II]],1/Fsw-Table16[[#This Row],[t1_Ph_II]],(Vout/Fsw-Table16[[#This Row],[Vin]]*t1_Ph_II)/(Table16[[#This Row],[Vin]]+Vout))</f>
        <v>1.6582355081350102E-6</v>
      </c>
      <c r="O40" s="518">
        <f>1/Fsw-(Table16[[#This Row],[t1_Ph_II]]+Table16[[#This Row],[t2_Ph_I]])</f>
        <v>0</v>
      </c>
      <c r="P40"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10.123961729825146</v>
      </c>
      <c r="Q40" s="292">
        <f>CHOOSE(Table16[[#This Row],[Mode Digit]],Table16[[#This Row],[I_0]]+1/Lf*(Table16[[#This Row],[Vin]]-Vout)*Table16[[#This Row],[t1_Ph_II]],Table16[[#This Row],[I_0]]+1/Lf*Table16[[#This Row],[Vin]]*Table16[[#This Row],[t1_Ph_II]],Table16[[#This Row],[I_0]]+(Table16[[#This Row],[Vin]]-Vout)/L*Table16[[#This Row],[t1_Ph_II]])</f>
        <v>15.178731623275917</v>
      </c>
      <c r="R40" s="292">
        <f>CHOOSE(Table16[[#This Row],[Mode Digit]],0,0,Table16[[#This Row],[I_1]]+Table16[[#This Row],[Vin]]/L*Table16[[#This Row],[t2_Ph_I]])</f>
        <v>0</v>
      </c>
      <c r="S40" s="292">
        <f>Fsw*(Table16[[#This Row],[I_0]]*Table16[[#This Row],[t1_Ph_II]]+Table16[[#This Row],[I_1]]*Table16[[#This Row],[t2_Ph_I]]+Table16[[#This Row],[I_2]]*Table16[[#This Row],[t3_Ph_III]])</f>
        <v>13.459997301088359</v>
      </c>
      <c r="T40" s="345">
        <f>MIN(1,CHOOSE(Table16[[#This Row],[Mode Digit]],(Vout+(Rdson2+Rs+Rdcr)*Table16[[#This Row],[Iout]])/(Table16[[#This Row],[Vin]]+(Rs+Rdson2-Rdson1)*Table16[[#This Row],[Iout]]),1,Fsw*Table16[[#This Row],[t2_Ph_I]]+Table16[[#This Row],[t1_Ph_II]]))</f>
        <v>1</v>
      </c>
      <c r="U40" s="345">
        <f>MIN(1,CHOOSE(Table16[[#This Row],[Mode Digit]],0,(Vout+(Rdson3+Rdcr)*Table16[[#This Row],[Iin]]-Table16[[#This Row],[Vin]])/(Vout+(Rdson3-Rdson4-Rs)*Table16[[#This Row],[Iin]]),Fsw*Table16[[#This Row],[t1_Ph_II]]+Table16[[#This Row],[t3_Ph_III]]))</f>
        <v>0.34002226776226602</v>
      </c>
      <c r="V40" s="292">
        <f>MAX(Table16[[#This Row],[I_0]:[I_2]])-MIN(Table16[[#This Row],[I_0]:[I_1]])</f>
        <v>5.0547698934507714</v>
      </c>
      <c r="W40"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12.735218789636512</v>
      </c>
      <c r="X40" s="345">
        <f>(Table16[[#This Row],[Irms Lf]]^2*Rdcr*(1+Ltc*Ta-Ltc*25))/(1-Table16[[#This Row],[Irms Lf]]^2*Rdcr*Ltc*ThetaCa)</f>
        <v>0.5414764172473655</v>
      </c>
      <c r="Y40" s="345">
        <f>ABS(7.759*10^-3*Fsw^0.9458*(0.00787*Table16[[#This Row],[Ripple Current pk-pk]])^2.304)</f>
        <v>0.91165170317650401</v>
      </c>
      <c r="Z40" s="345">
        <f>Table16[[#This Row],[DCR    Loss]]+Table16[[#This Row],[Core Loss]]</f>
        <v>1.4531281204238695</v>
      </c>
      <c r="AA40" s="292">
        <f>IF(Table16[[#This Row],[Vin]]&gt;Vout, Table16[[#This Row],[Ripple Current pk-pk]]/SQRT(12), SQRT(Table16[[#This Row],[Duty Cycle BOOST Leg]]/(1-Table16[[#This Row],[Duty Cycle BOOST Leg]]))*SQRT(Table16[[#This Row],[Iout]]^2+(Table16[[#This Row],[Ripple Current pk-pk]]^2)/12))</f>
        <v>5.836947063411845</v>
      </c>
      <c r="AB40" s="345">
        <f>RCoutEsr*Table16[[#This Row],[Irms Cout]]^2</f>
        <v>6.8139902042144332E-2</v>
      </c>
      <c r="AC40" s="345">
        <f>Table16[[#This Row],[Cout ESR Loss]]</f>
        <v>6.8139902042144332E-2</v>
      </c>
      <c r="AD40" s="345">
        <f>IF(Table16[[#This Row],[Vin]]&gt;Vout, SQRT(Table16[[#This Row],[Duty Cycle BUCK Leg]]*(1-Table16[[#This Row],[Duty Cycle BUCK Leg]]))*SQRT(Table16[[#This Row],[Iout]]^2+(Table16[[#This Row],[Ripple Current pk-pk]]^2)/12), Table16[[#This Row],[Ripple Current pk-pk]]/SQRT(12))</f>
        <v>1.4591863793377096</v>
      </c>
      <c r="AE40" s="345">
        <f>RCinEsr*Table16[[#This Row],[Irms Cin]]^2</f>
        <v>4.2584497792893883E-3</v>
      </c>
      <c r="AF40" s="683">
        <f>Table16[[#This Row],[Cin ESR Loss]]</f>
        <v>4.2584497792893883E-3</v>
      </c>
      <c r="AG40"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12.735218789636512</v>
      </c>
      <c r="AH40" s="345">
        <f>Rdson1*Table16[[#This Row],[Irms BuCtrl]]^2</f>
        <v>0.56765029166968817</v>
      </c>
      <c r="AI40" s="345">
        <f>CHOOSE(Table16[[#This Row],[Mode Digit]], (Table16[[#This Row],[Vin]]*Table16[[#This Row],[Iout]]/2)*(Fsw)*(Tr_buck+Tf_buck), 0, (Table16[[#This Row],[Vin]]*Table16[[#This Row],[Avg IL]]/2)*(Fsw/1)*(Tr_buck+Tf_buck))</f>
        <v>0</v>
      </c>
      <c r="AJ40" s="253">
        <f>IF(Table16[[#This Row],[Vin]]&gt;Vout, IF(Table16[[#This Row],[Iout]]&gt;Table16[[#This Row],[Ripple Current pk-pk]]/2,0,ABS(Table16[[#This Row],[Iout]]-Table16[[#This Row],[Ripple Current pk-pk]]/2)*Vsd_Q1*Deadtime*Fsw),0)</f>
        <v>0</v>
      </c>
      <c r="AK40" s="345">
        <f>(Table16[[#This Row],[Dead Time Loss BuCtrl]]+Table16[[#This Row],[Transition Loss BuCtrl]]+Table16[[#This Row],[RDS(on) Loss BuCtrl]]*(1+RdsonTopTc*Ta-RdsonTopTc*25))/(1-Table16[[#This Row],[RDS(on) Loss BuCtrl]]*RdsonTopTc*ThetaJA_Q1)</f>
        <v>0.665935026847711</v>
      </c>
      <c r="AL40" s="345">
        <f>CHOOSE(Table16[[#This Row],[Mode Digit]],SQRT((Fsw*(Table16[[#This Row],[t2_Ph_I]]+0))*((Table16[[#This Row],[I_0]]*Table16[[#This Row],[I_1]]+((Table16[[#This Row],[I_0]]-Table16[[#This Row],[I_1]])^2)/3))),0,SQRT((Fsw*(Table16[[#This Row],[t3_Ph_III]]+0))*((Table16[[#This Row],[I_0]]*Table16[[#This Row],[I_2]]+((Table16[[#This Row],[I_0]]-Table16[[#This Row],[I_2]])^2)/3))))</f>
        <v>0</v>
      </c>
      <c r="AM40" s="345">
        <f>Rdson2*Table16[[#This Row],[Irms BuSync]]^2</f>
        <v>0</v>
      </c>
      <c r="AN40"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40" s="345">
        <f>(Table16[[#This Row],[Deadtime Loss BuSync]]+Table16[[#This Row],[RDS(on) Loss BuSync]]*(1+RdsonBotTc*Ta-RdsonBotTc*25))/(1-Table16[[#This Row],[RDS(on) Loss BuSync]]*RdsonBotTc*ThetaJA_Q2)</f>
        <v>0</v>
      </c>
      <c r="AP40" s="345">
        <f>CHOOSE(Table16[[#This Row],[Mode Digit]],0,SQRT((Fsw*(Table16[[#This Row],[t1_Ph_II]]+0))*((Table16[[#This Row],[I_0]]*Table16[[#This Row],[I_1]]+((Table16[[#This Row],[I_0]]-Table16[[#This Row],[I_1]])^2)/3))),SQRT((Fsw*(Table16[[#This Row],[t2_Ph_I]]+0))*((Table16[[#This Row],[I_1]]*Table16[[#This Row],[I_2]]+((Table16[[#This Row],[I_1]]-Table16[[#This Row],[I_2]])^2)/3))))</f>
        <v>7.4260879812694132</v>
      </c>
      <c r="AQ40" s="345">
        <f>Rdson4*Table16[[#This Row],[Irms BoCtlr]]^2</f>
        <v>0.19301373946943912</v>
      </c>
      <c r="AR40" s="345">
        <f>CHOOSE(Table16[[#This Row],[Mode Digit]], 0, (Vout*Table16[[#This Row],[Iin]]/2)*(Fsw)*(Tr_boost+Tf_boost), (Vout*Iout/2)*(Fsw/1)*(Tr_boost+Tf_boost))</f>
        <v>0.75219089121482252</v>
      </c>
      <c r="AS40" s="253">
        <f>IF(Table16[[#This Row],[Vin]]&gt;Vout, 0, IF(Table16[[#This Row],[Iin]]&gt;Table16[[#This Row],[Ripple Current pk-pk]]/2,0,ABS(Table16[[#This Row],[Iin]]-Table16[[#This Row],[Ripple Current pk-pk]]/2)*Vsd_Q4*Deadtime*Fsw))</f>
        <v>0</v>
      </c>
      <c r="AT40" s="345">
        <f>(Table16[[#This Row],[Dead Time Loss BoCtlr]]+Table16[[#This Row],[Transition Loss BoCtlr]]+Table16[[#This Row],[RDS(on) Loss BoCtlr]]*(1+RdsonTopTc*Ta-RdsonTopTc*25))/(1-Table16[[#This Row],[RDS(on) Loss BoCtlr]]*RdsonTopTc*ThetaJA_Q4)</f>
        <v>0.99514453854555085</v>
      </c>
      <c r="AU40"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10.345966117978392</v>
      </c>
      <c r="AV40" s="345">
        <f>Rdson3*Table16[[#This Row],[Irms BoSync]]^2</f>
        <v>0.37463655220024911</v>
      </c>
      <c r="AW40"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0.37764269829503327</v>
      </c>
      <c r="AX40" s="345">
        <f>(Table16[[#This Row],[Deadtime Loss BoSync]]+Table16[[#This Row],[RDS(on) Loss BoSync]]*(1+RdsonBotTc*Ta-RdsonBotTc*25))/(1-Table16[[#This Row],[RDS(on) Loss BoSync]]*RdsonBotTc*ThetaJA_Q3)</f>
        <v>0.83346314814954758</v>
      </c>
      <c r="AY40" s="345">
        <f>CHOOSE(Table16[[#This Row],[Mode Digit]], Rdson3*Table16[[#This Row],[Irms Lf]]^2, Rdson1*Table16[[#This Row],[Irms Lf]]^2, 0)</f>
        <v>0.56765029166968817</v>
      </c>
      <c r="AZ40" s="345">
        <f>CHOOSE(Table16[[#This Row],[Mode Digit]], 2*Deadtime*Fsw*IF(VfdSky_Q2&gt;0,VfdSky_Q2,0)*Table16[[#This Row],[Iout]], 2*Deadtime*Fsw*IF(VfdSky_Q3&gt;0,VfdSky_Q3,0)*Table16[[#This Row],[Iin]], 2*Deadtime*Fsw*IF(VfdSky_Q2&gt;0,VfdSky_Q2,0)*Table16[[#This Row],[Iout]]+2*Deadtime*Fsw*IF(VfdSky_Q3&gt;0,VfdSky_Q3,0)*Table16[[#This Row],[Iin]])</f>
        <v>0</v>
      </c>
      <c r="BA40" s="345">
        <f>CHOOSE(Table16[[#This Row],[Mode Digit]], IF(QrrSky_Q2&gt;0,QrrSky_Q2,Qrr_Q2)*Fsw*(Table16[[#This Row],[Vin]]-Table16[[#This Row],[Iout]]*Rdson1),0,  IF(QrrSky_Q2&gt;0,QrrSky_Q2,Qrr_Q2)*Fsw*(Table16[[#This Row],[Vin]]-Table16[[#This Row],[Iout]]*Rdson1)+IF(QrrSky_Q3&gt;0,QrrSky_Q3,Qrr_Q3)*Fsw*Vout)</f>
        <v>0</v>
      </c>
      <c r="BB40" s="345">
        <f>CHOOSE(Table16[[#This Row],[Mode Digit]],0, IF(QrrSky_Q3&gt;0,QrrSky_Q3,Qrr_Q3)*Fsw*Vout,  IF(QrrSky_Q2&gt;0,QrrSky_Q2,Qrr_Q2)*Fsw*(Table16[[#This Row],[Vin]]-Table16[[#This Row],[Iout]]*Rdson1)+IF(QrrSky_Q3&gt;0,QrrSky_Q3,Qrr_Q3)*Fsw*Vout)</f>
        <v>0.35660799999999998</v>
      </c>
      <c r="BC40" s="345">
        <f>CHOOSE(Table16[[#This Row],[Mode Digit]], Rs*Table16[[#This Row],[Irms BuSync]]^2, Rs*Table16[[#This Row],[Irms BoCtlr]]^2, Rs*(Table16[[#This Row],[Irms BuSync]]^2+Table16[[#This Row],[Irms BoCtlr]]^2))</f>
        <v>7.1690817517220243E-2</v>
      </c>
      <c r="BD40" s="345">
        <f t="shared" si="1"/>
        <v>0.64</v>
      </c>
      <c r="BE40" s="345">
        <f>IF(Vout&gt;8, Iq*Vout, Iq*Table16[[#This Row],[Vin]])</f>
        <v>4.8000000000000001E-2</v>
      </c>
      <c r="BF40" s="345">
        <f>CHOOSE(Table16[[#This Row],[Mode Digit]], (Qg_Q1+Qg_Q2)*Fsw, (Qg_Q3+Qg_Q4)*Fsw, (Qg_Q1+Qg_Q2+Qg_Q3+Qg_Q4)*Fsw)*IF(Vout&gt;8, Vout, Table16[[#This Row],[Vin]])</f>
        <v>0.85331200000000007</v>
      </c>
      <c r="BG40" s="345">
        <f t="shared" si="2"/>
        <v>0.50594479787234037</v>
      </c>
      <c r="BH40" s="345">
        <f>Table16[[#This Row],[IQ Loss]]+Table16[[#This Row],[Switching Current Loss]]</f>
        <v>0.90131200000000011</v>
      </c>
      <c r="BI40"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5.9896800033053328</v>
      </c>
      <c r="BJ40" s="253">
        <f>Vout*Table16[[#This Row],[Iout]]</f>
        <v>128</v>
      </c>
      <c r="BK40" s="684">
        <f>Table16[[#This Row],[Pout]]/(Table16[[#This Row],[Pout]]+Table16[[#This Row],[Total Loss]])</f>
        <v>0.95529745273548261</v>
      </c>
      <c r="BL40"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87.863915005460811</v>
      </c>
      <c r="BM40" s="685">
        <f>IF(Table16[[#This Row],[Vin]]&gt;Vout, Table16[[#This Row],[Total Sync Bu MOSFET Loss]]*ThetaJA_Q2, ThetaJA_Q3*Table16[[#This Row],[Total Sync Bo MOSFET Loss]])</f>
        <v>54.175104629720593</v>
      </c>
      <c r="BN40" s="640"/>
      <c r="BO40" s="292">
        <f>Table16[[#This Row],[EFF, h]]*100</f>
        <v>95.529745273548258</v>
      </c>
      <c r="BP40" s="345">
        <f>Table16[[#This Row],[Total Inductor Loss]]</f>
        <v>1.4531281204238695</v>
      </c>
      <c r="BQ40" s="345">
        <f>Table16[[#This Row],[Total Control Bu MOSFET Loss]]+Table16[[#This Row],[Total Sync Bu MOSFET Loss]]+Table16[[#This Row],[Total Control Bo MOSFET Loss]]+Table16[[#This Row],[Total Sync Bo MOSFET Loss]]+Table16[[#This Row],[Reverse Recovery Loss MOSFET D BUCK]]+Table16[[#This Row],[Reverse Recovery Loss MOSFET D BOOST]]</f>
        <v>2.8511507135428098</v>
      </c>
      <c r="BR40" s="345">
        <f>Table16[[#This Row],[Total Control Bu MOSFET Loss]]+Table16[[#This Row],[Reverse Recovery Loss MOSFET D BUCK]]*0.66</f>
        <v>0.665935026847711</v>
      </c>
      <c r="BS40" s="345">
        <f>Table16[[#This Row],[Total Sync Bu MOSFET Loss]]+Table16[[#This Row],[Reverse Recovery Loss MOSFET D BUCK]]*0.33</f>
        <v>0</v>
      </c>
      <c r="BT40" s="345">
        <f xml:space="preserve"> Table16[[#This Row],[Total Control Bo MOSFET Loss]]+Table16[[#This Row],[Reverse Recovery Loss MOSFET D BOOST]]*0.66</f>
        <v>1.2305058185455509</v>
      </c>
      <c r="BU40" s="345">
        <f xml:space="preserve"> Table16[[#This Row],[Total Sync Bo MOSFET Loss]]+Table16[[#This Row],[Reverse Recovery Loss MOSFET D BOOST]]*0.33</f>
        <v>0.95114378814954759</v>
      </c>
      <c r="BV40" s="345">
        <f>Table16[[#This Row],[Isense Shunt Loss]]</f>
        <v>7.1690817517220243E-2</v>
      </c>
      <c r="CA40" s="253">
        <v>9.9984319999999993</v>
      </c>
      <c r="CB40" s="253">
        <v>2.7269999999999999</v>
      </c>
      <c r="CC40" s="253">
        <v>5.115812</v>
      </c>
      <c r="CD40" s="253">
        <v>94.558770424517263</v>
      </c>
      <c r="CE40" s="253">
        <v>802.77694931200062</v>
      </c>
    </row>
    <row r="41" spans="1:83" x14ac:dyDescent="0.2">
      <c r="A41" s="691" t="s">
        <v>146</v>
      </c>
      <c r="B41" s="569">
        <f>Qgs_Q1*1000000000</f>
        <v>11.25</v>
      </c>
      <c r="C41" s="255" t="s">
        <v>69</v>
      </c>
      <c r="D41" s="255"/>
      <c r="G41" s="253">
        <v>32</v>
      </c>
      <c r="H41" s="286">
        <f>VIN_min+(VIN_max-VIN_min)*(Table16[[#This Row],[Step]]/200)</f>
        <v>10.8</v>
      </c>
      <c r="I41" s="292" t="str">
        <f>IF(Mode = 2,IF(Table16[[#This Row],[Vin]]&gt;Vout, "BUCK","BOOST"),IF(Table16[[#This Row],[Vin]]&gt;VIN_BB_to_buck, "BUCK", IF(Table16[[#This Row],[Vin]]&lt;=VIN_boost_to_BB,"BOOST","BUCK-BST")))</f>
        <v>BOOST</v>
      </c>
      <c r="J41" s="253">
        <f>IF(Table16[[#This Row],[Mode]]="BOOST",2, IF(Table16[[#This Row],[Mode]]="BUCK", 1,3))</f>
        <v>2</v>
      </c>
      <c r="K41" s="253">
        <f t="shared" si="0"/>
        <v>8</v>
      </c>
      <c r="L41" s="292">
        <f>Vout*Table16[[#This Row],[Iout]]/(Table16[[#This Row],[Vin]]*Efficiency)</f>
        <v>12.475633528265108</v>
      </c>
      <c r="M41" s="682">
        <f>MIN(1/Fsw,CHOOSE(Table16[[#This Row],[Mode Digit]],(Vout+(Rdson2+Rs+Rdcr)*Table16[[#This Row],[Iout]])/(Table16[[#This Row],[Vin]]+(Rs+Rdson2-Rdson1)*Table16[[#This Row],[Iout]])/Fsw,(Vout+(Rdson3+Rdcr)*Table16[[#This Row],[Iin]]-Table16[[#This Row],[Vin]])/(Vout+(Rdson3-Rdson4-Rs)*Table16[[#This Row],[Iin]])/Fsw,t1_Ph_II))</f>
        <v>8.3055085762876195E-7</v>
      </c>
      <c r="N41" s="518">
        <f>CHOOSE(Table16[[#This Row],[Mode Digit]],1/Fsw-Table16[[#This Row],[t1_Ph_II]],1/Fsw-Table16[[#This Row],[t1_Ph_II]],(Vout/Fsw-Table16[[#This Row],[Vin]]*t1_Ph_II)/(Table16[[#This Row],[Vin]]+Vout))</f>
        <v>1.6820119564415899E-6</v>
      </c>
      <c r="O41" s="518">
        <f>1/Fsw-(Table16[[#This Row],[t1_Ph_II]]+Table16[[#This Row],[t2_Ph_I]])</f>
        <v>0</v>
      </c>
      <c r="P41"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9.9839809553788221</v>
      </c>
      <c r="Q41" s="292">
        <f>CHOOSE(Table16[[#This Row],[Mode Digit]],Table16[[#This Row],[I_0]]+1/Lf*(Table16[[#This Row],[Vin]]-Vout)*Table16[[#This Row],[t1_Ph_II]],Table16[[#This Row],[I_0]]+1/Lf*Table16[[#This Row],[Vin]]*Table16[[#This Row],[t1_Ph_II]],Table16[[#This Row],[I_0]]+(Table16[[#This Row],[Vin]]-Vout)/L*Table16[[#This Row],[t1_Ph_II]])</f>
        <v>14.967286101151394</v>
      </c>
      <c r="R41" s="292">
        <f>CHOOSE(Table16[[#This Row],[Mode Digit]],0,0,Table16[[#This Row],[I_1]]+Table16[[#This Row],[Vin]]/L*Table16[[#This Row],[t2_Ph_I]])</f>
        <v>0</v>
      </c>
      <c r="S41" s="292">
        <f>Fsw*(Table16[[#This Row],[I_0]]*Table16[[#This Row],[t1_Ph_II]]+Table16[[#This Row],[I_1]]*Table16[[#This Row],[t2_Ph_I]]+Table16[[#This Row],[I_2]]*Table16[[#This Row],[t3_Ph_III]])</f>
        <v>13.320008532817797</v>
      </c>
      <c r="T41" s="345">
        <f>MIN(1,CHOOSE(Table16[[#This Row],[Mode Digit]],(Vout+(Rdson2+Rs+Rdcr)*Table16[[#This Row],[Iout]])/(Table16[[#This Row],[Vin]]+(Rs+Rdson2-Rdson1)*Table16[[#This Row],[Iout]]),1,Fsw*Table16[[#This Row],[t2_Ph_I]]+Table16[[#This Row],[t1_Ph_II]]))</f>
        <v>1</v>
      </c>
      <c r="U41" s="345">
        <f>MIN(1,CHOOSE(Table16[[#This Row],[Mode Digit]],0,(Vout+(Rdson3+Rdcr)*Table16[[#This Row],[Iin]]-Table16[[#This Row],[Vin]])/(Vout+(Rdson3-Rdson4-Rs)*Table16[[#This Row],[Iin]]),Fsw*Table16[[#This Row],[t1_Ph_II]]+Table16[[#This Row],[t3_Ph_III]]))</f>
        <v>0.33055924133624726</v>
      </c>
      <c r="V41" s="292">
        <f>MAX(Table16[[#This Row],[I_0]:[I_2]])-MIN(Table16[[#This Row],[I_0]:[I_1]])</f>
        <v>4.9833051457725723</v>
      </c>
      <c r="W41"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12.558299093145383</v>
      </c>
      <c r="X41" s="345">
        <f>(Table16[[#This Row],[Irms Lf]]^2*Rdcr*(1+Ltc*Ta-Ltc*25))/(1-Table16[[#This Row],[Irms Lf]]^2*Rdcr*Ltc*ThetaCa)</f>
        <v>0.52590779667972198</v>
      </c>
      <c r="Y41" s="345">
        <f>ABS(7.759*10^-3*Fsw^0.9458*(0.00787*Table16[[#This Row],[Ripple Current pk-pk]])^2.304)</f>
        <v>0.882228781529248</v>
      </c>
      <c r="Z41" s="345">
        <f>Table16[[#This Row],[DCR    Loss]]+Table16[[#This Row],[Core Loss]]</f>
        <v>1.4081365782089699</v>
      </c>
      <c r="AA41" s="292">
        <f>IF(Table16[[#This Row],[Vin]]&gt;Vout, Table16[[#This Row],[Ripple Current pk-pk]]/SQRT(12), SQRT(Table16[[#This Row],[Duty Cycle BOOST Leg]]/(1-Table16[[#This Row],[Duty Cycle BOOST Leg]]))*SQRT(Table16[[#This Row],[Iout]]^2+(Table16[[#This Row],[Ripple Current pk-pk]]^2)/12))</f>
        <v>5.7117462184060921</v>
      </c>
      <c r="AB41" s="345">
        <f>RCoutEsr*Table16[[#This Row],[Irms Cout]]^2</f>
        <v>6.5248089726952591E-2</v>
      </c>
      <c r="AC41" s="345">
        <f>Table16[[#This Row],[Cout ESR Loss]]</f>
        <v>6.5248089726952591E-2</v>
      </c>
      <c r="AD41" s="345">
        <f>IF(Table16[[#This Row],[Vin]]&gt;Vout, SQRT(Table16[[#This Row],[Duty Cycle BUCK Leg]]*(1-Table16[[#This Row],[Duty Cycle BUCK Leg]]))*SQRT(Table16[[#This Row],[Iout]]^2+(Table16[[#This Row],[Ripple Current pk-pk]]^2)/12), Table16[[#This Row],[Ripple Current pk-pk]]/SQRT(12))</f>
        <v>1.4385562836829211</v>
      </c>
      <c r="AE41" s="345">
        <f>RCinEsr*Table16[[#This Row],[Irms Cin]]^2</f>
        <v>4.1388883626472337E-3</v>
      </c>
      <c r="AF41" s="683">
        <f>Table16[[#This Row],[Cin ESR Loss]]</f>
        <v>4.1388883626472337E-3</v>
      </c>
      <c r="AG41"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12.558299093145383</v>
      </c>
      <c r="AH41" s="345">
        <f>Rdson1*Table16[[#This Row],[Irms BuCtrl]]^2</f>
        <v>0.55198806639513653</v>
      </c>
      <c r="AI41" s="345">
        <f>CHOOSE(Table16[[#This Row],[Mode Digit]], (Table16[[#This Row],[Vin]]*Table16[[#This Row],[Iout]]/2)*(Fsw)*(Tr_buck+Tf_buck), 0, (Table16[[#This Row],[Vin]]*Table16[[#This Row],[Avg IL]]/2)*(Fsw/1)*(Tr_buck+Tf_buck))</f>
        <v>0</v>
      </c>
      <c r="AJ41" s="253">
        <f>IF(Table16[[#This Row],[Vin]]&gt;Vout, IF(Table16[[#This Row],[Iout]]&gt;Table16[[#This Row],[Ripple Current pk-pk]]/2,0,ABS(Table16[[#This Row],[Iout]]-Table16[[#This Row],[Ripple Current pk-pk]]/2)*Vsd_Q1*Deadtime*Fsw),0)</f>
        <v>0</v>
      </c>
      <c r="AK41" s="345">
        <f>(Table16[[#This Row],[Dead Time Loss BuCtrl]]+Table16[[#This Row],[Transition Loss BuCtrl]]+Table16[[#This Row],[RDS(on) Loss BuCtrl]]*(1+RdsonTopTc*Ta-RdsonTopTc*25))/(1-Table16[[#This Row],[RDS(on) Loss BuCtrl]]*RdsonTopTc*ThetaJA_Q1)</f>
        <v>0.64448214405049964</v>
      </c>
      <c r="AL41" s="345">
        <f>CHOOSE(Table16[[#This Row],[Mode Digit]],SQRT((Fsw*(Table16[[#This Row],[t2_Ph_I]]+0))*((Table16[[#This Row],[I_0]]*Table16[[#This Row],[I_1]]+((Table16[[#This Row],[I_0]]-Table16[[#This Row],[I_1]])^2)/3))),0,SQRT((Fsw*(Table16[[#This Row],[t3_Ph_III]]+0))*((Table16[[#This Row],[I_0]]*Table16[[#This Row],[I_2]]+((Table16[[#This Row],[I_0]]-Table16[[#This Row],[I_2]])^2)/3))))</f>
        <v>0</v>
      </c>
      <c r="AM41" s="345">
        <f>Rdson2*Table16[[#This Row],[Irms BuSync]]^2</f>
        <v>0</v>
      </c>
      <c r="AN41"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41" s="345">
        <f>(Table16[[#This Row],[Deadtime Loss BuSync]]+Table16[[#This Row],[RDS(on) Loss BuSync]]*(1+RdsonBotTc*Ta-RdsonBotTc*25))/(1-Table16[[#This Row],[RDS(on) Loss BuSync]]*RdsonBotTc*ThetaJA_Q2)</f>
        <v>0</v>
      </c>
      <c r="AP41" s="345">
        <f>CHOOSE(Table16[[#This Row],[Mode Digit]],0,SQRT((Fsw*(Table16[[#This Row],[t1_Ph_II]]+0))*((Table16[[#This Row],[I_0]]*Table16[[#This Row],[I_1]]+((Table16[[#This Row],[I_0]]-Table16[[#This Row],[I_1]])^2)/3))),SQRT((Fsw*(Table16[[#This Row],[t2_Ph_I]]+0))*((Table16[[#This Row],[I_1]]*Table16[[#This Row],[I_2]]+((Table16[[#This Row],[I_1]]-Table16[[#This Row],[I_2]])^2)/3))))</f>
        <v>7.220303841138116</v>
      </c>
      <c r="AQ41" s="345">
        <f>Rdson4*Table16[[#This Row],[Irms BoCtlr]]^2</f>
        <v>0.18246475645423843</v>
      </c>
      <c r="AR41" s="345">
        <f>CHOOSE(Table16[[#This Row],[Mode Digit]], 0, (Vout*Table16[[#This Row],[Iin]]/2)*(Fsw)*(Tr_boost+Tf_boost), (Vout*Iout/2)*(Fsw/1)*(Tr_boost+Tf_boost))</f>
        <v>0.74174379550350555</v>
      </c>
      <c r="AS41" s="253">
        <f>IF(Table16[[#This Row],[Vin]]&gt;Vout, 0, IF(Table16[[#This Row],[Iin]]&gt;Table16[[#This Row],[Ripple Current pk-pk]]/2,0,ABS(Table16[[#This Row],[Iin]]-Table16[[#This Row],[Ripple Current pk-pk]]/2)*Vsd_Q4*Deadtime*Fsw))</f>
        <v>0</v>
      </c>
      <c r="AT41" s="345">
        <f>(Table16[[#This Row],[Dead Time Loss BoCtlr]]+Table16[[#This Row],[Transition Loss BoCtlr]]+Table16[[#This Row],[RDS(on) Loss BoCtlr]]*(1+RdsonTopTc*Ta-RdsonTopTc*25))/(1-Table16[[#This Row],[RDS(on) Loss BoCtlr]]*RdsonTopTc*ThetaJA_Q4)</f>
        <v>0.97023742728453122</v>
      </c>
      <c r="AU41"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10.275119880300293</v>
      </c>
      <c r="AV41" s="345">
        <f>Rdson3*Table16[[#This Row],[Irms BoSync]]^2</f>
        <v>0.3695233099408981</v>
      </c>
      <c r="AW41"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0.37239766081871339</v>
      </c>
      <c r="AX41" s="345">
        <f>(Table16[[#This Row],[Deadtime Loss BoSync]]+Table16[[#This Row],[RDS(on) Loss BoSync]]*(1+RdsonBotTc*Ta-RdsonBotTc*25))/(1-Table16[[#This Row],[RDS(on) Loss BoSync]]*RdsonBotTc*ThetaJA_Q3)</f>
        <v>0.82077809692645809</v>
      </c>
      <c r="AY41" s="345">
        <f>CHOOSE(Table16[[#This Row],[Mode Digit]], Rdson3*Table16[[#This Row],[Irms Lf]]^2, Rdson1*Table16[[#This Row],[Irms Lf]]^2, 0)</f>
        <v>0.55198806639513653</v>
      </c>
      <c r="AZ41" s="345">
        <f>CHOOSE(Table16[[#This Row],[Mode Digit]], 2*Deadtime*Fsw*IF(VfdSky_Q2&gt;0,VfdSky_Q2,0)*Table16[[#This Row],[Iout]], 2*Deadtime*Fsw*IF(VfdSky_Q3&gt;0,VfdSky_Q3,0)*Table16[[#This Row],[Iin]], 2*Deadtime*Fsw*IF(VfdSky_Q2&gt;0,VfdSky_Q2,0)*Table16[[#This Row],[Iout]]+2*Deadtime*Fsw*IF(VfdSky_Q3&gt;0,VfdSky_Q3,0)*Table16[[#This Row],[Iin]])</f>
        <v>0</v>
      </c>
      <c r="BA41" s="345">
        <f>CHOOSE(Table16[[#This Row],[Mode Digit]], IF(QrrSky_Q2&gt;0,QrrSky_Q2,Qrr_Q2)*Fsw*(Table16[[#This Row],[Vin]]-Table16[[#This Row],[Iout]]*Rdson1),0,  IF(QrrSky_Q2&gt;0,QrrSky_Q2,Qrr_Q2)*Fsw*(Table16[[#This Row],[Vin]]-Table16[[#This Row],[Iout]]*Rdson1)+IF(QrrSky_Q3&gt;0,QrrSky_Q3,Qrr_Q3)*Fsw*Vout)</f>
        <v>0</v>
      </c>
      <c r="BB41" s="345">
        <f>CHOOSE(Table16[[#This Row],[Mode Digit]],0, IF(QrrSky_Q3&gt;0,QrrSky_Q3,Qrr_Q3)*Fsw*Vout,  IF(QrrSky_Q2&gt;0,QrrSky_Q2,Qrr_Q2)*Fsw*(Table16[[#This Row],[Vin]]-Table16[[#This Row],[Iout]]*Rdson1)+IF(QrrSky_Q3&gt;0,QrrSky_Q3,Qrr_Q3)*Fsw*Vout)</f>
        <v>0.35660799999999998</v>
      </c>
      <c r="BC41" s="345">
        <f>CHOOSE(Table16[[#This Row],[Mode Digit]], Rs*Table16[[#This Row],[Irms BuSync]]^2, Rs*Table16[[#This Row],[Irms BoCtlr]]^2, Rs*(Table16[[#This Row],[Irms BuSync]]^2+Table16[[#This Row],[Irms BoCtlr]]^2))</f>
        <v>6.7772623825859982E-2</v>
      </c>
      <c r="BD41" s="345">
        <f t="shared" si="1"/>
        <v>0.64</v>
      </c>
      <c r="BE41" s="345">
        <f>IF(Vout&gt;8, Iq*Vout, Iq*Table16[[#This Row],[Vin]])</f>
        <v>4.8000000000000001E-2</v>
      </c>
      <c r="BF41" s="345">
        <f>CHOOSE(Table16[[#This Row],[Mode Digit]], (Qg_Q1+Qg_Q2)*Fsw, (Qg_Q3+Qg_Q4)*Fsw, (Qg_Q1+Qg_Q2+Qg_Q3+Qg_Q4)*Fsw)*IF(Vout&gt;8, Vout, Table16[[#This Row],[Vin]])</f>
        <v>0.85331200000000007</v>
      </c>
      <c r="BG41" s="345">
        <f t="shared" si="2"/>
        <v>0.50594479787234037</v>
      </c>
      <c r="BH41" s="345">
        <f>Table16[[#This Row],[IQ Loss]]+Table16[[#This Row],[Switching Current Loss]]</f>
        <v>0.90131200000000011</v>
      </c>
      <c r="BI41"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5.8787138483859183</v>
      </c>
      <c r="BJ41" s="253">
        <f>Vout*Table16[[#This Row],[Iout]]</f>
        <v>128</v>
      </c>
      <c r="BK41" s="684">
        <f>Table16[[#This Row],[Pout]]/(Table16[[#This Row],[Pout]]+Table16[[#This Row],[Total Loss]])</f>
        <v>0.95608925661592914</v>
      </c>
      <c r="BL41"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86.244952773494518</v>
      </c>
      <c r="BM41" s="685">
        <f>IF(Table16[[#This Row],[Vin]]&gt;Vout, Table16[[#This Row],[Total Sync Bu MOSFET Loss]]*ThetaJA_Q2, ThetaJA_Q3*Table16[[#This Row],[Total Sync Bo MOSFET Loss]])</f>
        <v>53.350576300219778</v>
      </c>
      <c r="BN41" s="640"/>
      <c r="BO41" s="292">
        <f>Table16[[#This Row],[EFF, h]]*100</f>
        <v>95.60892566159292</v>
      </c>
      <c r="BP41" s="345">
        <f>Table16[[#This Row],[Total Inductor Loss]]</f>
        <v>1.4081365782089699</v>
      </c>
      <c r="BQ41" s="345">
        <f>Table16[[#This Row],[Total Control Bu MOSFET Loss]]+Table16[[#This Row],[Total Sync Bu MOSFET Loss]]+Table16[[#This Row],[Total Control Bo MOSFET Loss]]+Table16[[#This Row],[Total Sync Bo MOSFET Loss]]+Table16[[#This Row],[Reverse Recovery Loss MOSFET D BUCK]]+Table16[[#This Row],[Reverse Recovery Loss MOSFET D BOOST]]</f>
        <v>2.7921056682614891</v>
      </c>
      <c r="BR41" s="345">
        <f>Table16[[#This Row],[Total Control Bu MOSFET Loss]]+Table16[[#This Row],[Reverse Recovery Loss MOSFET D BUCK]]*0.66</f>
        <v>0.64448214405049964</v>
      </c>
      <c r="BS41" s="345">
        <f>Table16[[#This Row],[Total Sync Bu MOSFET Loss]]+Table16[[#This Row],[Reverse Recovery Loss MOSFET D BUCK]]*0.33</f>
        <v>0</v>
      </c>
      <c r="BT41" s="345">
        <f xml:space="preserve"> Table16[[#This Row],[Total Control Bo MOSFET Loss]]+Table16[[#This Row],[Reverse Recovery Loss MOSFET D BOOST]]*0.66</f>
        <v>1.2055987072845311</v>
      </c>
      <c r="BU41" s="345">
        <f xml:space="preserve"> Table16[[#This Row],[Total Sync Bo MOSFET Loss]]+Table16[[#This Row],[Reverse Recovery Loss MOSFET D BOOST]]*0.33</f>
        <v>0.93845873692645809</v>
      </c>
      <c r="BV41" s="345">
        <f>Table16[[#This Row],[Isense Shunt Loss]]</f>
        <v>6.7772623825859982E-2</v>
      </c>
      <c r="CA41" s="253">
        <v>9.9985180000000007</v>
      </c>
      <c r="CB41" s="253">
        <v>3.1859999999999999</v>
      </c>
      <c r="CC41" s="253">
        <v>5.1148889999999998</v>
      </c>
      <c r="CD41" s="253">
        <v>94.58411932633652</v>
      </c>
      <c r="CE41" s="253">
        <v>933.10990806000302</v>
      </c>
    </row>
    <row r="42" spans="1:83" ht="13.6" x14ac:dyDescent="0.25">
      <c r="A42" s="691" t="s">
        <v>93</v>
      </c>
      <c r="B42" s="569">
        <f>Rgate1</f>
        <v>0.63</v>
      </c>
      <c r="C42" s="702" t="s">
        <v>118</v>
      </c>
      <c r="D42" s="255" t="s">
        <v>102</v>
      </c>
      <c r="G42" s="253">
        <v>33</v>
      </c>
      <c r="H42" s="286">
        <f>VIN_min+(VIN_max-VIN_min)*(Table16[[#This Row],[Step]]/200)</f>
        <v>10.95</v>
      </c>
      <c r="I42" s="292" t="str">
        <f>IF(Mode = 2,IF(Table16[[#This Row],[Vin]]&gt;Vout, "BUCK","BOOST"),IF(Table16[[#This Row],[Vin]]&gt;VIN_BB_to_buck, "BUCK", IF(Table16[[#This Row],[Vin]]&lt;=VIN_boost_to_BB,"BOOST","BUCK-BST")))</f>
        <v>BOOST</v>
      </c>
      <c r="J42" s="253">
        <f>IF(Table16[[#This Row],[Mode]]="BOOST",2, IF(Table16[[#This Row],[Mode]]="BUCK", 1,3))</f>
        <v>2</v>
      </c>
      <c r="K42" s="253">
        <f t="shared" si="0"/>
        <v>8</v>
      </c>
      <c r="L42" s="292">
        <f>Vout*Table16[[#This Row],[Iout]]/(Table16[[#This Row],[Vin]]*Efficiency)</f>
        <v>12.304734438836821</v>
      </c>
      <c r="M42" s="682">
        <f>MIN(1/Fsw,CHOOSE(Table16[[#This Row],[Mode Digit]],(Vout+(Rdson2+Rs+Rdcr)*Table16[[#This Row],[Iout]])/(Table16[[#This Row],[Vin]]+(Rs+Rdson2-Rdson1)*Table16[[#This Row],[Iout]])/Fsw,(Vout+(Rdson3+Rdcr)*Table16[[#This Row],[Iin]]-Table16[[#This Row],[Vin]])/(Vout+(Rdson3-Rdson4-Rs)*Table16[[#This Row],[Iin]])/Fsw,t1_Ph_II))</f>
        <v>8.0678047489107871E-7</v>
      </c>
      <c r="N42" s="518">
        <f>CHOOSE(Table16[[#This Row],[Mode Digit]],1/Fsw-Table16[[#This Row],[t1_Ph_II]],1/Fsw-Table16[[#This Row],[t1_Ph_II]],(Vout/Fsw-Table16[[#This Row],[Vin]]*t1_Ph_II)/(Table16[[#This Row],[Vin]]+Vout))</f>
        <v>1.7057823391792731E-6</v>
      </c>
      <c r="O42" s="518">
        <f>1/Fsw-(Table16[[#This Row],[t1_Ph_II]]+Table16[[#This Row],[t2_Ph_I]])</f>
        <v>0</v>
      </c>
      <c r="P42"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9.8507771610431227</v>
      </c>
      <c r="Q42" s="292">
        <f>CHOOSE(Table16[[#This Row],[Mode Digit]],Table16[[#This Row],[I_0]]+1/Lf*(Table16[[#This Row],[Vin]]-Vout)*Table16[[#This Row],[t1_Ph_II]],Table16[[#This Row],[I_0]]+1/Lf*Table16[[#This Row],[Vin]]*Table16[[#This Row],[t1_Ph_II]],Table16[[#This Row],[I_0]]+(Table16[[#This Row],[Vin]]-Vout)/L*Table16[[#This Row],[t1_Ph_II]])</f>
        <v>14.758691716630517</v>
      </c>
      <c r="R42" s="292">
        <f>CHOOSE(Table16[[#This Row],[Mode Digit]],0,0,Table16[[#This Row],[I_1]]+Table16[[#This Row],[Vin]]/L*Table16[[#This Row],[t2_Ph_I]])</f>
        <v>0</v>
      </c>
      <c r="S42" s="292">
        <f>Fsw*(Table16[[#This Row],[I_0]]*Table16[[#This Row],[t1_Ph_II]]+Table16[[#This Row],[I_1]]*Table16[[#This Row],[t2_Ph_I]]+Table16[[#This Row],[I_2]]*Table16[[#This Row],[t3_Ph_III]])</f>
        <v>13.182767081549626</v>
      </c>
      <c r="T42" s="345">
        <f>MIN(1,CHOOSE(Table16[[#This Row],[Mode Digit]],(Vout+(Rdson2+Rs+Rdcr)*Table16[[#This Row],[Iout]])/(Table16[[#This Row],[Vin]]+(Rs+Rdson2-Rdson1)*Table16[[#This Row],[Iout]]),1,Fsw*Table16[[#This Row],[t2_Ph_I]]+Table16[[#This Row],[t1_Ph_II]]))</f>
        <v>1</v>
      </c>
      <c r="U42" s="345">
        <f>MIN(1,CHOOSE(Table16[[#This Row],[Mode Digit]],0,(Vout+(Rdson3+Rdcr)*Table16[[#This Row],[Iin]]-Table16[[#This Row],[Vin]])/(Vout+(Rdson3-Rdson4-Rs)*Table16[[#This Row],[Iin]]),Fsw*Table16[[#This Row],[t1_Ph_II]]+Table16[[#This Row],[t3_Ph_III]]))</f>
        <v>0.32109862900664932</v>
      </c>
      <c r="V42" s="292">
        <f>MAX(Table16[[#This Row],[I_0]:[I_2]])-MIN(Table16[[#This Row],[I_0]:[I_1]])</f>
        <v>4.9079145555873946</v>
      </c>
      <c r="W42"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12.386032121602776</v>
      </c>
      <c r="X42" s="345">
        <f>(Table16[[#This Row],[Irms Lf]]^2*Rdcr*(1+Ltc*Ta-Ltc*25))/(1-Table16[[#This Row],[Irms Lf]]^2*Rdcr*Ltc*ThetaCa)</f>
        <v>0.51099283049839361</v>
      </c>
      <c r="Y42" s="345">
        <f>ABS(7.759*10^-3*Fsw^0.9458*(0.00787*Table16[[#This Row],[Ripple Current pk-pk]])^2.304)</f>
        <v>0.85178035058906454</v>
      </c>
      <c r="Z42" s="345">
        <f>Table16[[#This Row],[DCR    Loss]]+Table16[[#This Row],[Core Loss]]</f>
        <v>1.3627731810874582</v>
      </c>
      <c r="AA42" s="292">
        <f>IF(Table16[[#This Row],[Vin]]&gt;Vout, Table16[[#This Row],[Ripple Current pk-pk]]/SQRT(12), SQRT(Table16[[#This Row],[Duty Cycle BOOST Leg]]/(1-Table16[[#This Row],[Duty Cycle BOOST Leg]]))*SQRT(Table16[[#This Row],[Iout]]^2+(Table16[[#This Row],[Ripple Current pk-pk]]^2)/12))</f>
        <v>5.5874271525589254</v>
      </c>
      <c r="AB42" s="345">
        <f>RCoutEsr*Table16[[#This Row],[Irms Cout]]^2</f>
        <v>6.2438684370305482E-2</v>
      </c>
      <c r="AC42" s="345">
        <f>Table16[[#This Row],[Cout ESR Loss]]</f>
        <v>6.2438684370305482E-2</v>
      </c>
      <c r="AD42" s="345">
        <f>IF(Table16[[#This Row],[Vin]]&gt;Vout, SQRT(Table16[[#This Row],[Duty Cycle BUCK Leg]]*(1-Table16[[#This Row],[Duty Cycle BUCK Leg]]))*SQRT(Table16[[#This Row],[Iout]]^2+(Table16[[#This Row],[Ripple Current pk-pk]]^2)/12), Table16[[#This Row],[Ripple Current pk-pk]]/SQRT(12))</f>
        <v>1.4167928949140325</v>
      </c>
      <c r="AE42" s="345">
        <f>RCinEsr*Table16[[#This Row],[Irms Cin]]^2</f>
        <v>4.0146042141577694E-3</v>
      </c>
      <c r="AF42" s="683">
        <f>Table16[[#This Row],[Cin ESR Loss]]</f>
        <v>4.0146042141577694E-3</v>
      </c>
      <c r="AG42"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12.386032121602776</v>
      </c>
      <c r="AH42" s="345">
        <f>Rdson1*Table16[[#This Row],[Irms BuCtrl]]^2</f>
        <v>0.53694827101081521</v>
      </c>
      <c r="AI42" s="345">
        <f>CHOOSE(Table16[[#This Row],[Mode Digit]], (Table16[[#This Row],[Vin]]*Table16[[#This Row],[Iout]]/2)*(Fsw)*(Tr_buck+Tf_buck), 0, (Table16[[#This Row],[Vin]]*Table16[[#This Row],[Avg IL]]/2)*(Fsw/1)*(Tr_buck+Tf_buck))</f>
        <v>0</v>
      </c>
      <c r="AJ42" s="253">
        <f>IF(Table16[[#This Row],[Vin]]&gt;Vout, IF(Table16[[#This Row],[Iout]]&gt;Table16[[#This Row],[Ripple Current pk-pk]]/2,0,ABS(Table16[[#This Row],[Iout]]-Table16[[#This Row],[Ripple Current pk-pk]]/2)*Vsd_Q1*Deadtime*Fsw),0)</f>
        <v>0</v>
      </c>
      <c r="AK42" s="345">
        <f>(Table16[[#This Row],[Dead Time Loss BuCtrl]]+Table16[[#This Row],[Transition Loss BuCtrl]]+Table16[[#This Row],[RDS(on) Loss BuCtrl]]*(1+RdsonTopTc*Ta-RdsonTopTc*25))/(1-Table16[[#This Row],[RDS(on) Loss BuCtrl]]*RdsonTopTc*ThetaJA_Q1)</f>
        <v>0.62407294162879046</v>
      </c>
      <c r="AL42" s="345">
        <f>CHOOSE(Table16[[#This Row],[Mode Digit]],SQRT((Fsw*(Table16[[#This Row],[t2_Ph_I]]+0))*((Table16[[#This Row],[I_0]]*Table16[[#This Row],[I_1]]+((Table16[[#This Row],[I_0]]-Table16[[#This Row],[I_1]])^2)/3))),0,SQRT((Fsw*(Table16[[#This Row],[t3_Ph_III]]+0))*((Table16[[#This Row],[I_0]]*Table16[[#This Row],[I_2]]+((Table16[[#This Row],[I_0]]-Table16[[#This Row],[I_2]])^2)/3))))</f>
        <v>0</v>
      </c>
      <c r="AM42" s="345">
        <f>Rdson2*Table16[[#This Row],[Irms BuSync]]^2</f>
        <v>0</v>
      </c>
      <c r="AN42"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42" s="345">
        <f>(Table16[[#This Row],[Deadtime Loss BuSync]]+Table16[[#This Row],[RDS(on) Loss BuSync]]*(1+RdsonBotTc*Ta-RdsonBotTc*25))/(1-Table16[[#This Row],[RDS(on) Loss BuSync]]*RdsonBotTc*ThetaJA_Q2)</f>
        <v>0</v>
      </c>
      <c r="AP42" s="345">
        <f>CHOOSE(Table16[[#This Row],[Mode Digit]],0,SQRT((Fsw*(Table16[[#This Row],[t1_Ph_II]]+0))*((Table16[[#This Row],[I_0]]*Table16[[#This Row],[I_1]]+((Table16[[#This Row],[I_0]]-Table16[[#This Row],[I_1]])^2)/3))),SQRT((Fsw*(Table16[[#This Row],[t2_Ph_I]]+0))*((Table16[[#This Row],[I_1]]*Table16[[#This Row],[I_2]]+((Table16[[#This Row],[I_1]]-Table16[[#This Row],[I_2]])^2)/3))))</f>
        <v>7.0186151191784987</v>
      </c>
      <c r="AQ42" s="345">
        <f>Rdson4*Table16[[#This Row],[Irms BoCtlr]]^2</f>
        <v>0.17241335366906355</v>
      </c>
      <c r="AR42" s="345">
        <f>CHOOSE(Table16[[#This Row],[Mode Digit]], 0, (Vout*Table16[[#This Row],[Iin]]/2)*(Fsw)*(Tr_boost+Tf_boost), (Vout*Iout/2)*(Fsw/1)*(Tr_boost+Tf_boost))</f>
        <v>0.73158292159249871</v>
      </c>
      <c r="AS42" s="253">
        <f>IF(Table16[[#This Row],[Vin]]&gt;Vout, 0, IF(Table16[[#This Row],[Iin]]&gt;Table16[[#This Row],[Ripple Current pk-pk]]/2,0,ABS(Table16[[#This Row],[Iin]]-Table16[[#This Row],[Ripple Current pk-pk]]/2)*Vsd_Q4*Deadtime*Fsw))</f>
        <v>0</v>
      </c>
      <c r="AT42" s="345">
        <f>(Table16[[#This Row],[Dead Time Loss BoCtlr]]+Table16[[#This Row],[Transition Loss BoCtlr]]+Table16[[#This Row],[RDS(on) Loss BoCtlr]]*(1+RdsonTopTc*Ta-RdsonTopTc*25))/(1-Table16[[#This Row],[RDS(on) Loss BoCtlr]]*RdsonTopTc*ThetaJA_Q4)</f>
        <v>0.94642198002786959</v>
      </c>
      <c r="AU42"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10.205529556383381</v>
      </c>
      <c r="AV42" s="345">
        <f>Rdson3*Table16[[#This Row],[Irms BoSync]]^2</f>
        <v>0.3645349173417517</v>
      </c>
      <c r="AW42"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0.36729632299927906</v>
      </c>
      <c r="AX42" s="345">
        <f>(Table16[[#This Row],[Deadtime Loss BoSync]]+Table16[[#This Row],[RDS(on) Loss BoSync]]*(1+RdsonBotTc*Ta-RdsonBotTc*25))/(1-Table16[[#This Row],[RDS(on) Loss BoSync]]*RdsonBotTc*ThetaJA_Q3)</f>
        <v>0.80845595032813211</v>
      </c>
      <c r="AY42" s="345">
        <f>CHOOSE(Table16[[#This Row],[Mode Digit]], Rdson3*Table16[[#This Row],[Irms Lf]]^2, Rdson1*Table16[[#This Row],[Irms Lf]]^2, 0)</f>
        <v>0.53694827101081521</v>
      </c>
      <c r="AZ42" s="345">
        <f>CHOOSE(Table16[[#This Row],[Mode Digit]], 2*Deadtime*Fsw*IF(VfdSky_Q2&gt;0,VfdSky_Q2,0)*Table16[[#This Row],[Iout]], 2*Deadtime*Fsw*IF(VfdSky_Q3&gt;0,VfdSky_Q3,0)*Table16[[#This Row],[Iin]], 2*Deadtime*Fsw*IF(VfdSky_Q2&gt;0,VfdSky_Q2,0)*Table16[[#This Row],[Iout]]+2*Deadtime*Fsw*IF(VfdSky_Q3&gt;0,VfdSky_Q3,0)*Table16[[#This Row],[Iin]])</f>
        <v>0</v>
      </c>
      <c r="BA42" s="345">
        <f>CHOOSE(Table16[[#This Row],[Mode Digit]], IF(QrrSky_Q2&gt;0,QrrSky_Q2,Qrr_Q2)*Fsw*(Table16[[#This Row],[Vin]]-Table16[[#This Row],[Iout]]*Rdson1),0,  IF(QrrSky_Q2&gt;0,QrrSky_Q2,Qrr_Q2)*Fsw*(Table16[[#This Row],[Vin]]-Table16[[#This Row],[Iout]]*Rdson1)+IF(QrrSky_Q3&gt;0,QrrSky_Q3,Qrr_Q3)*Fsw*Vout)</f>
        <v>0</v>
      </c>
      <c r="BB42" s="345">
        <f>CHOOSE(Table16[[#This Row],[Mode Digit]],0, IF(QrrSky_Q3&gt;0,QrrSky_Q3,Qrr_Q3)*Fsw*Vout,  IF(QrrSky_Q2&gt;0,QrrSky_Q2,Qrr_Q2)*Fsw*(Table16[[#This Row],[Vin]]-Table16[[#This Row],[Iout]]*Rdson1)+IF(QrrSky_Q3&gt;0,QrrSky_Q3,Qrr_Q3)*Fsw*Vout)</f>
        <v>0.35660799999999998</v>
      </c>
      <c r="BC42" s="345">
        <f>CHOOSE(Table16[[#This Row],[Mode Digit]], Rs*Table16[[#This Row],[Irms BuSync]]^2, Rs*Table16[[#This Row],[Irms BoCtlr]]^2, Rs*(Table16[[#This Row],[Irms BuSync]]^2+Table16[[#This Row],[Irms BoCtlr]]^2))</f>
        <v>6.403924564850931E-2</v>
      </c>
      <c r="BD42" s="345">
        <f t="shared" si="1"/>
        <v>0.64</v>
      </c>
      <c r="BE42" s="345">
        <f>IF(Vout&gt;8, Iq*Vout, Iq*Table16[[#This Row],[Vin]])</f>
        <v>4.8000000000000001E-2</v>
      </c>
      <c r="BF42" s="345">
        <f>CHOOSE(Table16[[#This Row],[Mode Digit]], (Qg_Q1+Qg_Q2)*Fsw, (Qg_Q3+Qg_Q4)*Fsw, (Qg_Q1+Qg_Q2+Qg_Q3+Qg_Q4)*Fsw)*IF(Vout&gt;8, Vout, Table16[[#This Row],[Vin]])</f>
        <v>0.85331200000000007</v>
      </c>
      <c r="BG42" s="345">
        <f t="shared" si="2"/>
        <v>0.50594479787234037</v>
      </c>
      <c r="BH42" s="345">
        <f>Table16[[#This Row],[IQ Loss]]+Table16[[#This Row],[Switching Current Loss]]</f>
        <v>0.90131200000000011</v>
      </c>
      <c r="BI42"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5.7701365873052222</v>
      </c>
      <c r="BJ42" s="253">
        <f>Vout*Table16[[#This Row],[Iout]]</f>
        <v>128</v>
      </c>
      <c r="BK42" s="684">
        <f>Table16[[#This Row],[Pout]]/(Table16[[#This Row],[Pout]]+Table16[[#This Row],[Total Loss]])</f>
        <v>0.95686528597106324</v>
      </c>
      <c r="BL42"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84.696948701811522</v>
      </c>
      <c r="BM42" s="685">
        <f>IF(Table16[[#This Row],[Vin]]&gt;Vout, Table16[[#This Row],[Total Sync Bu MOSFET Loss]]*ThetaJA_Q2, ThetaJA_Q3*Table16[[#This Row],[Total Sync Bo MOSFET Loss]])</f>
        <v>52.549636771328586</v>
      </c>
      <c r="BN42" s="640"/>
      <c r="BO42" s="292">
        <f>Table16[[#This Row],[EFF, h]]*100</f>
        <v>95.686528597106317</v>
      </c>
      <c r="BP42" s="345">
        <f>Table16[[#This Row],[Total Inductor Loss]]</f>
        <v>1.3627731810874582</v>
      </c>
      <c r="BQ42" s="345">
        <f>Table16[[#This Row],[Total Control Bu MOSFET Loss]]+Table16[[#This Row],[Total Sync Bu MOSFET Loss]]+Table16[[#This Row],[Total Control Bo MOSFET Loss]]+Table16[[#This Row],[Total Sync Bo MOSFET Loss]]+Table16[[#This Row],[Reverse Recovery Loss MOSFET D BUCK]]+Table16[[#This Row],[Reverse Recovery Loss MOSFET D BOOST]]</f>
        <v>2.7355588719847921</v>
      </c>
      <c r="BR42" s="345">
        <f>Table16[[#This Row],[Total Control Bu MOSFET Loss]]+Table16[[#This Row],[Reverse Recovery Loss MOSFET D BUCK]]*0.66</f>
        <v>0.62407294162879046</v>
      </c>
      <c r="BS42" s="345">
        <f>Table16[[#This Row],[Total Sync Bu MOSFET Loss]]+Table16[[#This Row],[Reverse Recovery Loss MOSFET D BUCK]]*0.33</f>
        <v>0</v>
      </c>
      <c r="BT42" s="345">
        <f xml:space="preserve"> Table16[[#This Row],[Total Control Bo MOSFET Loss]]+Table16[[#This Row],[Reverse Recovery Loss MOSFET D BOOST]]*0.66</f>
        <v>1.1817832600278697</v>
      </c>
      <c r="BU42" s="345">
        <f xml:space="preserve"> Table16[[#This Row],[Total Sync Bo MOSFET Loss]]+Table16[[#This Row],[Reverse Recovery Loss MOSFET D BOOST]]*0.33</f>
        <v>0.92613659032813211</v>
      </c>
      <c r="BV42" s="345">
        <f>Table16[[#This Row],[Isense Shunt Loss]]</f>
        <v>6.403924564850931E-2</v>
      </c>
      <c r="CA42" s="253">
        <v>9.9984190000000002</v>
      </c>
      <c r="CB42" s="253">
        <v>3.6920000000000002</v>
      </c>
      <c r="CC42" s="253">
        <v>5.1137540000000001</v>
      </c>
      <c r="CD42" s="253">
        <v>94.441363374789603</v>
      </c>
      <c r="CE42" s="253">
        <v>1111.2391205219994</v>
      </c>
    </row>
    <row r="43" spans="1:83" x14ac:dyDescent="0.2">
      <c r="A43" s="691" t="s">
        <v>73</v>
      </c>
      <c r="B43" s="569">
        <f>Gfs_Q1</f>
        <v>117</v>
      </c>
      <c r="C43" s="255" t="s">
        <v>70</v>
      </c>
      <c r="D43" s="255" t="s">
        <v>103</v>
      </c>
      <c r="G43" s="253">
        <v>34</v>
      </c>
      <c r="H43" s="286">
        <f>VIN_min+(VIN_max-VIN_min)*(Table16[[#This Row],[Step]]/200)</f>
        <v>11.100000000000001</v>
      </c>
      <c r="I43" s="292" t="str">
        <f>IF(Mode = 2,IF(Table16[[#This Row],[Vin]]&gt;Vout, "BUCK","BOOST"),IF(Table16[[#This Row],[Vin]]&gt;VIN_BB_to_buck, "BUCK", IF(Table16[[#This Row],[Vin]]&lt;=VIN_boost_to_BB,"BOOST","BUCK-BST")))</f>
        <v>BOOST</v>
      </c>
      <c r="J43" s="253">
        <f>IF(Table16[[#This Row],[Mode]]="BOOST",2, IF(Table16[[#This Row],[Mode]]="BUCK", 1,3))</f>
        <v>2</v>
      </c>
      <c r="K43" s="253">
        <f t="shared" si="0"/>
        <v>8</v>
      </c>
      <c r="L43" s="292">
        <f>Vout*Table16[[#This Row],[Iout]]/(Table16[[#This Row],[Vin]]*Efficiency)</f>
        <v>12.138454243717399</v>
      </c>
      <c r="M43" s="682">
        <f>MIN(1/Fsw,CHOOSE(Table16[[#This Row],[Mode Digit]],(Vout+(Rdson2+Rs+Rdcr)*Table16[[#This Row],[Iout]])/(Table16[[#This Row],[Vin]]+(Rs+Rdson2-Rdson1)*Table16[[#This Row],[Iout]])/Fsw,(Vout+(Rdson3+Rdcr)*Table16[[#This Row],[Iin]]-Table16[[#This Row],[Vin]])/(Vout+(Rdson3-Rdson4-Rs)*Table16[[#This Row],[Iin]])/Fsw,t1_Ph_II))</f>
        <v>7.8301591157809032E-7</v>
      </c>
      <c r="N43" s="518">
        <f>CHOOSE(Table16[[#This Row],[Mode Digit]],1/Fsw-Table16[[#This Row],[t1_Ph_II]],1/Fsw-Table16[[#This Row],[t1_Ph_II]],(Vout/Fsw-Table16[[#This Row],[Vin]]*t1_Ph_II)/(Table16[[#This Row],[Vin]]+Vout))</f>
        <v>1.7295469024922615E-6</v>
      </c>
      <c r="O43" s="518">
        <f>1/Fsw-(Table16[[#This Row],[t1_Ph_II]]+Table16[[#This Row],[t2_Ph_I]])</f>
        <v>0</v>
      </c>
      <c r="P43"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9.7241551830182864</v>
      </c>
      <c r="Q43" s="292">
        <f>CHOOSE(Table16[[#This Row],[Mode Digit]],Table16[[#This Row],[I_0]]+1/Lf*(Table16[[#This Row],[Vin]]-Vout)*Table16[[#This Row],[t1_Ph_II]],Table16[[#This Row],[I_0]]+1/Lf*Table16[[#This Row],[Vin]]*Table16[[#This Row],[t1_Ph_II]],Table16[[#This Row],[I_0]]+(Table16[[#This Row],[Vin]]-Vout)/L*Table16[[#This Row],[t1_Ph_II]])</f>
        <v>14.552753304416511</v>
      </c>
      <c r="R43" s="292">
        <f>CHOOSE(Table16[[#This Row],[Mode Digit]],0,0,Table16[[#This Row],[I_1]]+Table16[[#This Row],[Vin]]/L*Table16[[#This Row],[t2_Ph_I]])</f>
        <v>0</v>
      </c>
      <c r="S43" s="292">
        <f>Fsw*(Table16[[#This Row],[I_0]]*Table16[[#This Row],[t1_Ph_II]]+Table16[[#This Row],[I_1]]*Table16[[#This Row],[t2_Ph_I]]+Table16[[#This Row],[I_2]]*Table16[[#This Row],[t3_Ph_III]])</f>
        <v>13.047967378867497</v>
      </c>
      <c r="T43" s="345">
        <f>MIN(1,CHOOSE(Table16[[#This Row],[Mode Digit]],(Vout+(Rdson2+Rs+Rdcr)*Table16[[#This Row],[Iout]])/(Table16[[#This Row],[Vin]]+(Rs+Rdson2-Rdson1)*Table16[[#This Row],[Iout]]),1,Fsw*Table16[[#This Row],[t2_Ph_I]]+Table16[[#This Row],[t1_Ph_II]]))</f>
        <v>1</v>
      </c>
      <c r="U43" s="345">
        <f>MIN(1,CHOOSE(Table16[[#This Row],[Mode Digit]],0,(Vout+(Rdson3+Rdcr)*Table16[[#This Row],[Iin]]-Table16[[#This Row],[Vin]])/(Vout+(Rdson3-Rdson4-Rs)*Table16[[#This Row],[Iin]]),Fsw*Table16[[#This Row],[t1_Ph_II]]+Table16[[#This Row],[t3_Ph_III]]))</f>
        <v>0.31164033280807996</v>
      </c>
      <c r="V43" s="292">
        <f>MAX(Table16[[#This Row],[I_0]:[I_2]])-MIN(Table16[[#This Row],[I_0]:[I_1]])</f>
        <v>4.8285981213982243</v>
      </c>
      <c r="W43"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12.218224833351139</v>
      </c>
      <c r="X43" s="345">
        <f>(Table16[[#This Row],[Irms Lf]]^2*Rdcr*(1+Ltc*Ta-Ltc*25))/(1-Table16[[#This Row],[Irms Lf]]^2*Rdcr*Ltc*ThetaCa)</f>
        <v>0.49669420262322816</v>
      </c>
      <c r="Y43" s="345">
        <f>ABS(7.759*10^-3*Fsw^0.9458*(0.00787*Table16[[#This Row],[Ripple Current pk-pk]])^2.304)</f>
        <v>0.82039814462981464</v>
      </c>
      <c r="Z43" s="345">
        <f>Table16[[#This Row],[DCR    Loss]]+Table16[[#This Row],[Core Loss]]</f>
        <v>1.3170923472530429</v>
      </c>
      <c r="AA43" s="292">
        <f>IF(Table16[[#This Row],[Vin]]&gt;Vout, Table16[[#This Row],[Ripple Current pk-pk]]/SQRT(12), SQRT(Table16[[#This Row],[Duty Cycle BOOST Leg]]/(1-Table16[[#This Row],[Duty Cycle BOOST Leg]]))*SQRT(Table16[[#This Row],[Iout]]^2+(Table16[[#This Row],[Ripple Current pk-pk]]^2)/12))</f>
        <v>5.4639069732888306</v>
      </c>
      <c r="AB43" s="345">
        <f>RCoutEsr*Table16[[#This Row],[Irms Cout]]^2</f>
        <v>5.9708558825508622E-2</v>
      </c>
      <c r="AC43" s="345">
        <f>Table16[[#This Row],[Cout ESR Loss]]</f>
        <v>5.9708558825508622E-2</v>
      </c>
      <c r="AD43" s="345">
        <f>IF(Table16[[#This Row],[Vin]]&gt;Vout, SQRT(Table16[[#This Row],[Duty Cycle BUCK Leg]]*(1-Table16[[#This Row],[Duty Cycle BUCK Leg]]))*SQRT(Table16[[#This Row],[Iout]]^2+(Table16[[#This Row],[Ripple Current pk-pk]]^2)/12), Table16[[#This Row],[Ripple Current pk-pk]]/SQRT(12))</f>
        <v>1.3938962125988932</v>
      </c>
      <c r="AE43" s="345">
        <f>RCinEsr*Table16[[#This Row],[Irms Cin]]^2</f>
        <v>3.8858933029950779E-3</v>
      </c>
      <c r="AF43" s="683">
        <f>Table16[[#This Row],[Cin ESR Loss]]</f>
        <v>3.8858933029950779E-3</v>
      </c>
      <c r="AG43"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12.218224833351139</v>
      </c>
      <c r="AH43" s="345">
        <f>Rdson1*Table16[[#This Row],[Irms BuCtrl]]^2</f>
        <v>0.52249756327411456</v>
      </c>
      <c r="AI43" s="345">
        <f>CHOOSE(Table16[[#This Row],[Mode Digit]], (Table16[[#This Row],[Vin]]*Table16[[#This Row],[Iout]]/2)*(Fsw)*(Tr_buck+Tf_buck), 0, (Table16[[#This Row],[Vin]]*Table16[[#This Row],[Avg IL]]/2)*(Fsw/1)*(Tr_buck+Tf_buck))</f>
        <v>0</v>
      </c>
      <c r="AJ43" s="253">
        <f>IF(Table16[[#This Row],[Vin]]&gt;Vout, IF(Table16[[#This Row],[Iout]]&gt;Table16[[#This Row],[Ripple Current pk-pk]]/2,0,ABS(Table16[[#This Row],[Iout]]-Table16[[#This Row],[Ripple Current pk-pk]]/2)*Vsd_Q1*Deadtime*Fsw),0)</f>
        <v>0</v>
      </c>
      <c r="AK43" s="345">
        <f>(Table16[[#This Row],[Dead Time Loss BuCtrl]]+Table16[[#This Row],[Transition Loss BuCtrl]]+Table16[[#This Row],[RDS(on) Loss BuCtrl]]*(1+RdsonTopTc*Ta-RdsonTopTc*25))/(1-Table16[[#This Row],[RDS(on) Loss BuCtrl]]*RdsonTopTc*ThetaJA_Q1)</f>
        <v>0.60463713499626848</v>
      </c>
      <c r="AL43" s="345">
        <f>CHOOSE(Table16[[#This Row],[Mode Digit]],SQRT((Fsw*(Table16[[#This Row],[t2_Ph_I]]+0))*((Table16[[#This Row],[I_0]]*Table16[[#This Row],[I_1]]+((Table16[[#This Row],[I_0]]-Table16[[#This Row],[I_1]])^2)/3))),0,SQRT((Fsw*(Table16[[#This Row],[t3_Ph_III]]+0))*((Table16[[#This Row],[I_0]]*Table16[[#This Row],[I_2]]+((Table16[[#This Row],[I_0]]-Table16[[#This Row],[I_2]])^2)/3))))</f>
        <v>0</v>
      </c>
      <c r="AM43" s="345">
        <f>Rdson2*Table16[[#This Row],[Irms BuSync]]^2</f>
        <v>0</v>
      </c>
      <c r="AN43"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43" s="345">
        <f>(Table16[[#This Row],[Deadtime Loss BuSync]]+Table16[[#This Row],[RDS(on) Loss BuSync]]*(1+RdsonBotTc*Ta-RdsonBotTc*25))/(1-Table16[[#This Row],[RDS(on) Loss BuSync]]*RdsonBotTc*ThetaJA_Q2)</f>
        <v>0</v>
      </c>
      <c r="AP43" s="345">
        <f>CHOOSE(Table16[[#This Row],[Mode Digit]],0,SQRT((Fsw*(Table16[[#This Row],[t1_Ph_II]]+0))*((Table16[[#This Row],[I_0]]*Table16[[#This Row],[I_1]]+((Table16[[#This Row],[I_0]]-Table16[[#This Row],[I_1]])^2)/3))),SQRT((Fsw*(Table16[[#This Row],[t2_Ph_I]]+0))*((Table16[[#This Row],[I_1]]*Table16[[#This Row],[I_2]]+((Table16[[#This Row],[I_1]]-Table16[[#This Row],[I_2]])^2)/3))))</f>
        <v>6.820794141240988</v>
      </c>
      <c r="AQ43" s="345">
        <f>Rdson4*Table16[[#This Row],[Irms BoCtlr]]^2</f>
        <v>0.16283131451015587</v>
      </c>
      <c r="AR43" s="345">
        <f>CHOOSE(Table16[[#This Row],[Mode Digit]], 0, (Vout*Table16[[#This Row],[Iin]]/2)*(Fsw)*(Tr_boost+Tf_boost), (Vout*Iout/2)*(Fsw/1)*(Tr_boost+Tf_boost))</f>
        <v>0.72169666589530246</v>
      </c>
      <c r="AS43" s="253">
        <f>IF(Table16[[#This Row],[Vin]]&gt;Vout, 0, IF(Table16[[#This Row],[Iin]]&gt;Table16[[#This Row],[Ripple Current pk-pk]]/2,0,ABS(Table16[[#This Row],[Iin]]-Table16[[#This Row],[Ripple Current pk-pk]]/2)*Vsd_Q4*Deadtime*Fsw))</f>
        <v>0</v>
      </c>
      <c r="AT43" s="345">
        <f>(Table16[[#This Row],[Dead Time Loss BoCtlr]]+Table16[[#This Row],[Transition Loss BoCtlr]]+Table16[[#This Row],[RDS(on) Loss BoCtlr]]*(1+RdsonTopTc*Ta-RdsonTopTc*25))/(1-Table16[[#This Row],[RDS(on) Loss BoCtlr]]*RdsonTopTc*ThetaJA_Q4)</f>
        <v>0.92363095130552808</v>
      </c>
      <c r="AU43"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10.137148778681857</v>
      </c>
      <c r="AV43" s="345">
        <f>Rdson3*Table16[[#This Row],[Irms BoSync]]^2</f>
        <v>0.3596662487639587</v>
      </c>
      <c r="AW43"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0.36233285917496433</v>
      </c>
      <c r="AX43" s="345">
        <f>(Table16[[#This Row],[Deadtime Loss BoSync]]+Table16[[#This Row],[RDS(on) Loss BoSync]]*(1+RdsonBotTc*Ta-RdsonBotTc*25))/(1-Table16[[#This Row],[RDS(on) Loss BoSync]]*RdsonBotTc*ThetaJA_Q3)</f>
        <v>0.79648057489085533</v>
      </c>
      <c r="AY43" s="345">
        <f>CHOOSE(Table16[[#This Row],[Mode Digit]], Rdson3*Table16[[#This Row],[Irms Lf]]^2, Rdson1*Table16[[#This Row],[Irms Lf]]^2, 0)</f>
        <v>0.52249756327411456</v>
      </c>
      <c r="AZ43" s="345">
        <f>CHOOSE(Table16[[#This Row],[Mode Digit]], 2*Deadtime*Fsw*IF(VfdSky_Q2&gt;0,VfdSky_Q2,0)*Table16[[#This Row],[Iout]], 2*Deadtime*Fsw*IF(VfdSky_Q3&gt;0,VfdSky_Q3,0)*Table16[[#This Row],[Iin]], 2*Deadtime*Fsw*IF(VfdSky_Q2&gt;0,VfdSky_Q2,0)*Table16[[#This Row],[Iout]]+2*Deadtime*Fsw*IF(VfdSky_Q3&gt;0,VfdSky_Q3,0)*Table16[[#This Row],[Iin]])</f>
        <v>0</v>
      </c>
      <c r="BA43" s="345">
        <f>CHOOSE(Table16[[#This Row],[Mode Digit]], IF(QrrSky_Q2&gt;0,QrrSky_Q2,Qrr_Q2)*Fsw*(Table16[[#This Row],[Vin]]-Table16[[#This Row],[Iout]]*Rdson1),0,  IF(QrrSky_Q2&gt;0,QrrSky_Q2,Qrr_Q2)*Fsw*(Table16[[#This Row],[Vin]]-Table16[[#This Row],[Iout]]*Rdson1)+IF(QrrSky_Q3&gt;0,QrrSky_Q3,Qrr_Q3)*Fsw*Vout)</f>
        <v>0</v>
      </c>
      <c r="BB43" s="345">
        <f>CHOOSE(Table16[[#This Row],[Mode Digit]],0, IF(QrrSky_Q3&gt;0,QrrSky_Q3,Qrr_Q3)*Fsw*Vout,  IF(QrrSky_Q2&gt;0,QrrSky_Q2,Qrr_Q2)*Fsw*(Table16[[#This Row],[Vin]]-Table16[[#This Row],[Iout]]*Rdson1)+IF(QrrSky_Q3&gt;0,QrrSky_Q3,Qrr_Q3)*Fsw*Vout)</f>
        <v>0.35660799999999998</v>
      </c>
      <c r="BC43" s="345">
        <f>CHOOSE(Table16[[#This Row],[Mode Digit]], Rs*Table16[[#This Row],[Irms BuSync]]^2, Rs*Table16[[#This Row],[Irms BoCtlr]]^2, Rs*(Table16[[#This Row],[Irms BuSync]]^2+Table16[[#This Row],[Irms BoCtlr]]^2))</f>
        <v>6.0480202532343603E-2</v>
      </c>
      <c r="BD43" s="345">
        <f t="shared" si="1"/>
        <v>0.64</v>
      </c>
      <c r="BE43" s="345">
        <f>IF(Vout&gt;8, Iq*Vout, Iq*Table16[[#This Row],[Vin]])</f>
        <v>4.8000000000000001E-2</v>
      </c>
      <c r="BF43" s="345">
        <f>CHOOSE(Table16[[#This Row],[Mode Digit]], (Qg_Q1+Qg_Q2)*Fsw, (Qg_Q3+Qg_Q4)*Fsw, (Qg_Q1+Qg_Q2+Qg_Q3+Qg_Q4)*Fsw)*IF(Vout&gt;8, Vout, Table16[[#This Row],[Vin]])</f>
        <v>0.85331200000000007</v>
      </c>
      <c r="BG43" s="345">
        <f t="shared" si="2"/>
        <v>0.50594479787234037</v>
      </c>
      <c r="BH43" s="345">
        <f>Table16[[#This Row],[IQ Loss]]+Table16[[#This Row],[Switching Current Loss]]</f>
        <v>0.90131200000000011</v>
      </c>
      <c r="BI43"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5.6638356631065419</v>
      </c>
      <c r="BJ43" s="253">
        <f>Vout*Table16[[#This Row],[Iout]]</f>
        <v>128</v>
      </c>
      <c r="BK43" s="684">
        <f>Table16[[#This Row],[Pout]]/(Table16[[#This Row],[Pout]]+Table16[[#This Row],[Total Loss]])</f>
        <v>0.95762626715739352</v>
      </c>
      <c r="BL43"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83.215531834859334</v>
      </c>
      <c r="BM43" s="685">
        <f>IF(Table16[[#This Row],[Vin]]&gt;Vout, Table16[[#This Row],[Total Sync Bu MOSFET Loss]]*ThetaJA_Q2, ThetaJA_Q3*Table16[[#This Row],[Total Sync Bo MOSFET Loss]])</f>
        <v>51.771237367905599</v>
      </c>
      <c r="BN43" s="640"/>
      <c r="BO43" s="292">
        <f>Table16[[#This Row],[EFF, h]]*100</f>
        <v>95.762626715739358</v>
      </c>
      <c r="BP43" s="345">
        <f>Table16[[#This Row],[Total Inductor Loss]]</f>
        <v>1.3170923472530429</v>
      </c>
      <c r="BQ43" s="345">
        <f>Table16[[#This Row],[Total Control Bu MOSFET Loss]]+Table16[[#This Row],[Total Sync Bu MOSFET Loss]]+Table16[[#This Row],[Total Control Bo MOSFET Loss]]+Table16[[#This Row],[Total Sync Bo MOSFET Loss]]+Table16[[#This Row],[Reverse Recovery Loss MOSFET D BUCK]]+Table16[[#This Row],[Reverse Recovery Loss MOSFET D BOOST]]</f>
        <v>2.6813566611926518</v>
      </c>
      <c r="BR43" s="345">
        <f>Table16[[#This Row],[Total Control Bu MOSFET Loss]]+Table16[[#This Row],[Reverse Recovery Loss MOSFET D BUCK]]*0.66</f>
        <v>0.60463713499626848</v>
      </c>
      <c r="BS43" s="345">
        <f>Table16[[#This Row],[Total Sync Bu MOSFET Loss]]+Table16[[#This Row],[Reverse Recovery Loss MOSFET D BUCK]]*0.33</f>
        <v>0</v>
      </c>
      <c r="BT43" s="345">
        <f xml:space="preserve"> Table16[[#This Row],[Total Control Bo MOSFET Loss]]+Table16[[#This Row],[Reverse Recovery Loss MOSFET D BOOST]]*0.66</f>
        <v>1.1589922313055281</v>
      </c>
      <c r="BU43" s="345">
        <f xml:space="preserve"> Table16[[#This Row],[Total Sync Bo MOSFET Loss]]+Table16[[#This Row],[Reverse Recovery Loss MOSFET D BOOST]]*0.33</f>
        <v>0.91416121489085533</v>
      </c>
      <c r="BV43" s="345">
        <f>Table16[[#This Row],[Isense Shunt Loss]]</f>
        <v>6.0480202532343603E-2</v>
      </c>
      <c r="CA43" s="253">
        <v>9.998246</v>
      </c>
      <c r="CB43" s="253">
        <v>4.2430000000000003</v>
      </c>
      <c r="CC43" s="253">
        <v>5.1120590000000004</v>
      </c>
      <c r="CD43" s="253">
        <v>94.267178615859891</v>
      </c>
      <c r="CE43" s="253">
        <v>1319.0970775599953</v>
      </c>
    </row>
    <row r="44" spans="1:83" x14ac:dyDescent="0.2">
      <c r="A44" s="691" t="s">
        <v>95</v>
      </c>
      <c r="B44" s="569">
        <f>Vth_Q1</f>
        <v>2</v>
      </c>
      <c r="C44" s="255" t="s">
        <v>0</v>
      </c>
      <c r="D44" s="255" t="s">
        <v>104</v>
      </c>
      <c r="G44" s="253">
        <v>35</v>
      </c>
      <c r="H44" s="286">
        <f>VIN_min+(VIN_max-VIN_min)*(Table16[[#This Row],[Step]]/200)</f>
        <v>11.25</v>
      </c>
      <c r="I44" s="292" t="str">
        <f>IF(Mode = 2,IF(Table16[[#This Row],[Vin]]&gt;Vout, "BUCK","BOOST"),IF(Table16[[#This Row],[Vin]]&gt;VIN_BB_to_buck, "BUCK", IF(Table16[[#This Row],[Vin]]&lt;=VIN_boost_to_BB,"BOOST","BUCK-BST")))</f>
        <v>BOOST</v>
      </c>
      <c r="J44" s="253">
        <f>IF(Table16[[#This Row],[Mode]]="BOOST",2, IF(Table16[[#This Row],[Mode]]="BUCK", 1,3))</f>
        <v>2</v>
      </c>
      <c r="K44" s="253">
        <f t="shared" si="0"/>
        <v>8</v>
      </c>
      <c r="L44" s="292">
        <f>Vout*Table16[[#This Row],[Iout]]/(Table16[[#This Row],[Vin]]*Efficiency)</f>
        <v>11.976608187134502</v>
      </c>
      <c r="M44" s="682">
        <f>MIN(1/Fsw,CHOOSE(Table16[[#This Row],[Mode Digit]],(Vout+(Rdson2+Rs+Rdcr)*Table16[[#This Row],[Iout]])/(Table16[[#This Row],[Vin]]+(Rs+Rdson2-Rdson1)*Table16[[#This Row],[Iout]])/Fsw,(Vout+(Rdson3+Rdcr)*Table16[[#This Row],[Iin]]-Table16[[#This Row],[Vin]])/(Vout+(Rdson3-Rdson4-Rs)*Table16[[#This Row],[Iin]])/Fsw,t1_Ph_II))</f>
        <v>7.5925693468607396E-7</v>
      </c>
      <c r="N44" s="518">
        <f>CHOOSE(Table16[[#This Row],[Mode Digit]],1/Fsw-Table16[[#This Row],[t1_Ph_II]],1/Fsw-Table16[[#This Row],[t1_Ph_II]],(Vout/Fsw-Table16[[#This Row],[Vin]]*t1_Ph_II)/(Table16[[#This Row],[Vin]]+Vout))</f>
        <v>1.7533058793842779E-6</v>
      </c>
      <c r="O44" s="518">
        <f>1/Fsw-(Table16[[#This Row],[t1_Ph_II]]+Table16[[#This Row],[t2_Ph_I]])</f>
        <v>0</v>
      </c>
      <c r="P44"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9.6039302662405213</v>
      </c>
      <c r="Q44" s="292">
        <f>CHOOSE(Table16[[#This Row],[Mode Digit]],Table16[[#This Row],[I_0]]+1/Lf*(Table16[[#This Row],[Vin]]-Vout)*Table16[[#This Row],[t1_Ph_II]],Table16[[#This Row],[I_0]]+1/Lf*Table16[[#This Row],[Vin]]*Table16[[#This Row],[t1_Ph_II]],Table16[[#This Row],[I_0]]+(Table16[[#This Row],[Vin]]-Vout)/L*Table16[[#This Row],[t1_Ph_II]])</f>
        <v>14.349286108028483</v>
      </c>
      <c r="R44" s="292">
        <f>CHOOSE(Table16[[#This Row],[Mode Digit]],0,0,Table16[[#This Row],[I_1]]+Table16[[#This Row],[Vin]]/L*Table16[[#This Row],[t2_Ph_I]])</f>
        <v>0</v>
      </c>
      <c r="S44" s="292">
        <f>Fsw*(Table16[[#This Row],[I_0]]*Table16[[#This Row],[t1_Ph_II]]+Table16[[#This Row],[I_1]]*Table16[[#This Row],[t2_Ph_I]]+Table16[[#This Row],[I_2]]*Table16[[#This Row],[t3_Ph_III]])</f>
        <v>12.915314264517113</v>
      </c>
      <c r="T44" s="345">
        <f>MIN(1,CHOOSE(Table16[[#This Row],[Mode Digit]],(Vout+(Rdson2+Rs+Rdcr)*Table16[[#This Row],[Iout]])/(Table16[[#This Row],[Vin]]+(Rs+Rdson2-Rdson1)*Table16[[#This Row],[Iout]]),1,Fsw*Table16[[#This Row],[t2_Ph_I]]+Table16[[#This Row],[t1_Ph_II]]))</f>
        <v>1</v>
      </c>
      <c r="U44" s="345">
        <f>MIN(1,CHOOSE(Table16[[#This Row],[Mode Digit]],0,(Vout+(Rdson3+Rdcr)*Table16[[#This Row],[Iin]]-Table16[[#This Row],[Vin]])/(Vout+(Rdson3-Rdson4-Rs)*Table16[[#This Row],[Iin]]),Fsw*Table16[[#This Row],[t1_Ph_II]]+Table16[[#This Row],[t3_Ph_III]]))</f>
        <v>0.30218426000505744</v>
      </c>
      <c r="V44" s="292">
        <f>MAX(Table16[[#This Row],[I_0]:[I_2]])-MIN(Table16[[#This Row],[I_0]:[I_1]])</f>
        <v>4.745355841787962</v>
      </c>
      <c r="W44"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12.054695233541567</v>
      </c>
      <c r="X44" s="345">
        <f>(Table16[[#This Row],[Irms Lf]]^2*Rdcr*(1+Ltc*Ta-Ltc*25))/(1-Table16[[#This Row],[Irms Lf]]^2*Rdcr*Ltc*ThetaCa)</f>
        <v>0.48297731594114107</v>
      </c>
      <c r="Y44" s="345">
        <f>ABS(7.759*10^-3*Fsw^0.9458*(0.00787*Table16[[#This Row],[Ripple Current pk-pk]])^2.304)</f>
        <v>0.78817784758622922</v>
      </c>
      <c r="Z44" s="345">
        <f>Table16[[#This Row],[DCR    Loss]]+Table16[[#This Row],[Core Loss]]</f>
        <v>1.2711551635273703</v>
      </c>
      <c r="AA44" s="292">
        <f>IF(Table16[[#This Row],[Vin]]&gt;Vout, Table16[[#This Row],[Ripple Current pk-pk]]/SQRT(12), SQRT(Table16[[#This Row],[Duty Cycle BOOST Leg]]/(1-Table16[[#This Row],[Duty Cycle BOOST Leg]]))*SQRT(Table16[[#This Row],[Iout]]^2+(Table16[[#This Row],[Ripple Current pk-pk]]^2)/12))</f>
        <v>5.3411024455937879</v>
      </c>
      <c r="AB44" s="345">
        <f>RCoutEsr*Table16[[#This Row],[Irms Cout]]^2</f>
        <v>5.7054750668655889E-2</v>
      </c>
      <c r="AC44" s="345">
        <f>Table16[[#This Row],[Cout ESR Loss]]</f>
        <v>5.7054750668655889E-2</v>
      </c>
      <c r="AD44" s="345">
        <f>IF(Table16[[#This Row],[Vin]]&gt;Vout, SQRT(Table16[[#This Row],[Duty Cycle BUCK Leg]]*(1-Table16[[#This Row],[Duty Cycle BUCK Leg]]))*SQRT(Table16[[#This Row],[Iout]]^2+(Table16[[#This Row],[Ripple Current pk-pk]]^2)/12), Table16[[#This Row],[Ripple Current pk-pk]]/SQRT(12))</f>
        <v>1.3698662363284215</v>
      </c>
      <c r="AE44" s="345">
        <f>RCinEsr*Table16[[#This Row],[Irms Cin]]^2</f>
        <v>3.7530670108651899E-3</v>
      </c>
      <c r="AF44" s="683">
        <f>Table16[[#This Row],[Cin ESR Loss]]</f>
        <v>3.7530670108651899E-3</v>
      </c>
      <c r="AG44"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12.054695233541567</v>
      </c>
      <c r="AH44" s="345">
        <f>Rdson1*Table16[[#This Row],[Irms BuCtrl]]^2</f>
        <v>0.50860487010749422</v>
      </c>
      <c r="AI44" s="345">
        <f>CHOOSE(Table16[[#This Row],[Mode Digit]], (Table16[[#This Row],[Vin]]*Table16[[#This Row],[Iout]]/2)*(Fsw)*(Tr_buck+Tf_buck), 0, (Table16[[#This Row],[Vin]]*Table16[[#This Row],[Avg IL]]/2)*(Fsw/1)*(Tr_buck+Tf_buck))</f>
        <v>0</v>
      </c>
      <c r="AJ44" s="253">
        <f>IF(Table16[[#This Row],[Vin]]&gt;Vout, IF(Table16[[#This Row],[Iout]]&gt;Table16[[#This Row],[Ripple Current pk-pk]]/2,0,ABS(Table16[[#This Row],[Iout]]-Table16[[#This Row],[Ripple Current pk-pk]]/2)*Vsd_Q1*Deadtime*Fsw),0)</f>
        <v>0</v>
      </c>
      <c r="AK44" s="345">
        <f>(Table16[[#This Row],[Dead Time Loss BuCtrl]]+Table16[[#This Row],[Transition Loss BuCtrl]]+Table16[[#This Row],[RDS(on) Loss BuCtrl]]*(1+RdsonTopTc*Ta-RdsonTopTc*25))/(1-Table16[[#This Row],[RDS(on) Loss BuCtrl]]*RdsonTopTc*ThetaJA_Q1)</f>
        <v>0.58611052343381365</v>
      </c>
      <c r="AL44" s="345">
        <f>CHOOSE(Table16[[#This Row],[Mode Digit]],SQRT((Fsw*(Table16[[#This Row],[t2_Ph_I]]+0))*((Table16[[#This Row],[I_0]]*Table16[[#This Row],[I_1]]+((Table16[[#This Row],[I_0]]-Table16[[#This Row],[I_1]])^2)/3))),0,SQRT((Fsw*(Table16[[#This Row],[t3_Ph_III]]+0))*((Table16[[#This Row],[I_0]]*Table16[[#This Row],[I_2]]+((Table16[[#This Row],[I_0]]-Table16[[#This Row],[I_2]])^2)/3))))</f>
        <v>0</v>
      </c>
      <c r="AM44" s="345">
        <f>Rdson2*Table16[[#This Row],[Irms BuSync]]^2</f>
        <v>0</v>
      </c>
      <c r="AN44"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44" s="345">
        <f>(Table16[[#This Row],[Deadtime Loss BuSync]]+Table16[[#This Row],[RDS(on) Loss BuSync]]*(1+RdsonBotTc*Ta-RdsonBotTc*25))/(1-Table16[[#This Row],[RDS(on) Loss BuSync]]*RdsonBotTc*ThetaJA_Q2)</f>
        <v>0</v>
      </c>
      <c r="AP44" s="345">
        <f>CHOOSE(Table16[[#This Row],[Mode Digit]],0,SQRT((Fsw*(Table16[[#This Row],[t1_Ph_II]]+0))*((Table16[[#This Row],[I_0]]*Table16[[#This Row],[I_1]]+((Table16[[#This Row],[I_0]]-Table16[[#This Row],[I_1]])^2)/3))),SQRT((Fsw*(Table16[[#This Row],[t2_Ph_I]]+0))*((Table16[[#This Row],[I_1]]*Table16[[#This Row],[I_2]]+((Table16[[#This Row],[I_1]]-Table16[[#This Row],[I_2]])^2)/3))))</f>
        <v>6.6266213392519271</v>
      </c>
      <c r="AQ44" s="345">
        <f>Rdson4*Table16[[#This Row],[Irms BoCtlr]]^2</f>
        <v>0.15369238630840151</v>
      </c>
      <c r="AR44" s="345">
        <f>CHOOSE(Table16[[#This Row],[Mode Digit]], 0, (Vout*Table16[[#This Row],[Iin]]/2)*(Fsw)*(Tr_boost+Tf_boost), (Vout*Iout/2)*(Fsw/1)*(Tr_boost+Tf_boost))</f>
        <v>0.71207404368336524</v>
      </c>
      <c r="AS44" s="253">
        <f>IF(Table16[[#This Row],[Vin]]&gt;Vout, 0, IF(Table16[[#This Row],[Iin]]&gt;Table16[[#This Row],[Ripple Current pk-pk]]/2,0,ABS(Table16[[#This Row],[Iin]]-Table16[[#This Row],[Ripple Current pk-pk]]/2)*Vsd_Q4*Deadtime*Fsw))</f>
        <v>0</v>
      </c>
      <c r="AT44" s="345">
        <f>(Table16[[#This Row],[Dead Time Loss BoCtlr]]+Table16[[#This Row],[Transition Loss BoCtlr]]+Table16[[#This Row],[RDS(on) Loss BoCtlr]]*(1+RdsonTopTc*Ta-RdsonTopTc*25))/(1-Table16[[#This Row],[RDS(on) Loss BoCtlr]]*RdsonTopTc*ThetaJA_Q4)</f>
        <v>0.90180247533933555</v>
      </c>
      <c r="AU44"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10.069933803145917</v>
      </c>
      <c r="AV44" s="345">
        <f>Rdson3*Table16[[#This Row],[Irms BoSync]]^2</f>
        <v>0.35491248379909274</v>
      </c>
      <c r="AW44"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0.35750175438596482</v>
      </c>
      <c r="AX44" s="345">
        <f>(Table16[[#This Row],[Deadtime Loss BoSync]]+Table16[[#This Row],[RDS(on) Loss BoSync]]*(1+RdsonBotTc*Ta-RdsonBotTc*25))/(1-Table16[[#This Row],[RDS(on) Loss BoSync]]*RdsonBotTc*ThetaJA_Q3)</f>
        <v>0.7848368181574602</v>
      </c>
      <c r="AY44" s="345">
        <f>CHOOSE(Table16[[#This Row],[Mode Digit]], Rdson3*Table16[[#This Row],[Irms Lf]]^2, Rdson1*Table16[[#This Row],[Irms Lf]]^2, 0)</f>
        <v>0.50860487010749422</v>
      </c>
      <c r="AZ44" s="345">
        <f>CHOOSE(Table16[[#This Row],[Mode Digit]], 2*Deadtime*Fsw*IF(VfdSky_Q2&gt;0,VfdSky_Q2,0)*Table16[[#This Row],[Iout]], 2*Deadtime*Fsw*IF(VfdSky_Q3&gt;0,VfdSky_Q3,0)*Table16[[#This Row],[Iin]], 2*Deadtime*Fsw*IF(VfdSky_Q2&gt;0,VfdSky_Q2,0)*Table16[[#This Row],[Iout]]+2*Deadtime*Fsw*IF(VfdSky_Q3&gt;0,VfdSky_Q3,0)*Table16[[#This Row],[Iin]])</f>
        <v>0</v>
      </c>
      <c r="BA44" s="345">
        <f>CHOOSE(Table16[[#This Row],[Mode Digit]], IF(QrrSky_Q2&gt;0,QrrSky_Q2,Qrr_Q2)*Fsw*(Table16[[#This Row],[Vin]]-Table16[[#This Row],[Iout]]*Rdson1),0,  IF(QrrSky_Q2&gt;0,QrrSky_Q2,Qrr_Q2)*Fsw*(Table16[[#This Row],[Vin]]-Table16[[#This Row],[Iout]]*Rdson1)+IF(QrrSky_Q3&gt;0,QrrSky_Q3,Qrr_Q3)*Fsw*Vout)</f>
        <v>0</v>
      </c>
      <c r="BB44" s="345">
        <f>CHOOSE(Table16[[#This Row],[Mode Digit]],0, IF(QrrSky_Q3&gt;0,QrrSky_Q3,Qrr_Q3)*Fsw*Vout,  IF(QrrSky_Q2&gt;0,QrrSky_Q2,Qrr_Q2)*Fsw*(Table16[[#This Row],[Vin]]-Table16[[#This Row],[Iout]]*Rdson1)+IF(QrrSky_Q3&gt;0,QrrSky_Q3,Qrr_Q3)*Fsw*Vout)</f>
        <v>0.35660799999999998</v>
      </c>
      <c r="BC44" s="345">
        <f>CHOOSE(Table16[[#This Row],[Mode Digit]], Rs*Table16[[#This Row],[Irms BuSync]]^2, Rs*Table16[[#This Row],[Irms BoCtlr]]^2, Rs*(Table16[[#This Row],[Irms BuSync]]^2+Table16[[#This Row],[Irms BoCtlr]]^2))</f>
        <v>5.7085743485977697E-2</v>
      </c>
      <c r="BD44" s="345">
        <f t="shared" si="1"/>
        <v>0.64</v>
      </c>
      <c r="BE44" s="345">
        <f>IF(Vout&gt;8, Iq*Vout, Iq*Table16[[#This Row],[Vin]])</f>
        <v>4.8000000000000001E-2</v>
      </c>
      <c r="BF44" s="345">
        <f>CHOOSE(Table16[[#This Row],[Mode Digit]], (Qg_Q1+Qg_Q2)*Fsw, (Qg_Q3+Qg_Q4)*Fsw, (Qg_Q1+Qg_Q2+Qg_Q3+Qg_Q4)*Fsw)*IF(Vout&gt;8, Vout, Table16[[#This Row],[Vin]])</f>
        <v>0.85331200000000007</v>
      </c>
      <c r="BG44" s="345">
        <f t="shared" si="2"/>
        <v>0.50594479787234037</v>
      </c>
      <c r="BH44" s="345">
        <f>Table16[[#This Row],[IQ Loss]]+Table16[[#This Row],[Switching Current Loss]]</f>
        <v>0.90131200000000011</v>
      </c>
      <c r="BI44"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5.5597185416234778</v>
      </c>
      <c r="BJ44" s="253">
        <f>Vout*Table16[[#This Row],[Iout]]</f>
        <v>128</v>
      </c>
      <c r="BK44" s="684">
        <f>Table16[[#This Row],[Pout]]/(Table16[[#This Row],[Pout]]+Table16[[#This Row],[Total Loss]])</f>
        <v>0.95837278932352032</v>
      </c>
      <c r="BL44"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81.796680897056802</v>
      </c>
      <c r="BM44" s="685">
        <f>IF(Table16[[#This Row],[Vin]]&gt;Vout, Table16[[#This Row],[Total Sync Bu MOSFET Loss]]*ThetaJA_Q2, ThetaJA_Q3*Table16[[#This Row],[Total Sync Bo MOSFET Loss]])</f>
        <v>51.014393180234912</v>
      </c>
      <c r="BN44" s="640"/>
      <c r="BO44" s="292">
        <f>Table16[[#This Row],[EFF, h]]*100</f>
        <v>95.837278932352035</v>
      </c>
      <c r="BP44" s="345">
        <f>Table16[[#This Row],[Total Inductor Loss]]</f>
        <v>1.2711551635273703</v>
      </c>
      <c r="BQ44" s="345">
        <f>Table16[[#This Row],[Total Control Bu MOSFET Loss]]+Table16[[#This Row],[Total Sync Bu MOSFET Loss]]+Table16[[#This Row],[Total Control Bo MOSFET Loss]]+Table16[[#This Row],[Total Sync Bo MOSFET Loss]]+Table16[[#This Row],[Reverse Recovery Loss MOSFET D BUCK]]+Table16[[#This Row],[Reverse Recovery Loss MOSFET D BOOST]]</f>
        <v>2.6293578169306095</v>
      </c>
      <c r="BR44" s="345">
        <f>Table16[[#This Row],[Total Control Bu MOSFET Loss]]+Table16[[#This Row],[Reverse Recovery Loss MOSFET D BUCK]]*0.66</f>
        <v>0.58611052343381365</v>
      </c>
      <c r="BS44" s="345">
        <f>Table16[[#This Row],[Total Sync Bu MOSFET Loss]]+Table16[[#This Row],[Reverse Recovery Loss MOSFET D BUCK]]*0.33</f>
        <v>0</v>
      </c>
      <c r="BT44" s="345">
        <f xml:space="preserve"> Table16[[#This Row],[Total Control Bo MOSFET Loss]]+Table16[[#This Row],[Reverse Recovery Loss MOSFET D BOOST]]*0.66</f>
        <v>1.1371637553393357</v>
      </c>
      <c r="BU44" s="345">
        <f xml:space="preserve"> Table16[[#This Row],[Total Sync Bo MOSFET Loss]]+Table16[[#This Row],[Reverse Recovery Loss MOSFET D BOOST]]*0.33</f>
        <v>0.90251745815746021</v>
      </c>
      <c r="BV44" s="345">
        <f>Table16[[#This Row],[Isense Shunt Loss]]</f>
        <v>5.7085743485977697E-2</v>
      </c>
      <c r="CA44" s="253">
        <v>9.9981469999999995</v>
      </c>
      <c r="CB44" s="253">
        <v>4.8490000000000002</v>
      </c>
      <c r="CC44" s="253">
        <v>5.1107740000000002</v>
      </c>
      <c r="CD44" s="253">
        <v>93.953815994681278</v>
      </c>
      <c r="CE44" s="253">
        <v>1594.7983209009985</v>
      </c>
    </row>
    <row r="45" spans="1:83" x14ac:dyDescent="0.2">
      <c r="A45" s="703" t="s">
        <v>145</v>
      </c>
      <c r="B45" s="704">
        <f>Vsp_Q1</f>
        <v>2.0683760683760686</v>
      </c>
      <c r="C45" s="697" t="s">
        <v>0</v>
      </c>
      <c r="G45" s="253">
        <v>36</v>
      </c>
      <c r="H45" s="286">
        <f>VIN_min+(VIN_max-VIN_min)*(Table16[[#This Row],[Step]]/200)</f>
        <v>11.399999999999999</v>
      </c>
      <c r="I45" s="292" t="str">
        <f>IF(Mode = 2,IF(Table16[[#This Row],[Vin]]&gt;Vout, "BUCK","BOOST"),IF(Table16[[#This Row],[Vin]]&gt;VIN_BB_to_buck, "BUCK", IF(Table16[[#This Row],[Vin]]&lt;=VIN_boost_to_BB,"BOOST","BUCK-BST")))</f>
        <v>BOOST</v>
      </c>
      <c r="J45" s="253">
        <f>IF(Table16[[#This Row],[Mode]]="BOOST",2, IF(Table16[[#This Row],[Mode]]="BUCK", 1,3))</f>
        <v>2</v>
      </c>
      <c r="K45" s="253">
        <f t="shared" si="0"/>
        <v>8</v>
      </c>
      <c r="L45" s="292">
        <f>Vout*Table16[[#This Row],[Iout]]/(Table16[[#This Row],[Vin]]*Efficiency)</f>
        <v>11.819021237303788</v>
      </c>
      <c r="M45" s="682">
        <f>MIN(1/Fsw,CHOOSE(Table16[[#This Row],[Mode Digit]],(Vout+(Rdson2+Rs+Rdcr)*Table16[[#This Row],[Iout]])/(Table16[[#This Row],[Vin]]+(Rs+Rdson2-Rdson1)*Table16[[#This Row],[Iout]])/Fsw,(Vout+(Rdson3+Rdcr)*Table16[[#This Row],[Iin]]-Table16[[#This Row],[Vin]])/(Vout+(Rdson3-Rdson4-Rs)*Table16[[#This Row],[Iin]])/Fsw,t1_Ph_II))</f>
        <v>7.3550332348644803E-7</v>
      </c>
      <c r="N45" s="518">
        <f>CHOOSE(Table16[[#This Row],[Mode Digit]],1/Fsw-Table16[[#This Row],[t1_Ph_II]],1/Fsw-Table16[[#This Row],[t1_Ph_II]],(Vout/Fsw-Table16[[#This Row],[Vin]]*t1_Ph_II)/(Table16[[#This Row],[Vin]]+Vout))</f>
        <v>1.777059490583904E-6</v>
      </c>
      <c r="O45" s="518">
        <f>1/Fsw-(Table16[[#This Row],[t1_Ph_II]]+Table16[[#This Row],[t2_Ph_I]])</f>
        <v>0</v>
      </c>
      <c r="P45"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9.4899273795967041</v>
      </c>
      <c r="Q45" s="292">
        <f>CHOOSE(Table16[[#This Row],[Mode Digit]],Table16[[#This Row],[I_0]]+1/Lf*(Table16[[#This Row],[Vin]]-Vout)*Table16[[#This Row],[t1_Ph_II]],Table16[[#This Row],[I_0]]+1/Lf*Table16[[#This Row],[Vin]]*Table16[[#This Row],[t1_Ph_II]],Table16[[#This Row],[I_0]]+(Table16[[#This Row],[Vin]]-Vout)/L*Table16[[#This Row],[t1_Ph_II]])</f>
        <v>14.148115095010873</v>
      </c>
      <c r="R45" s="292">
        <f>CHOOSE(Table16[[#This Row],[Mode Digit]],0,0,Table16[[#This Row],[I_1]]+Table16[[#This Row],[Vin]]/L*Table16[[#This Row],[t2_Ph_I]])</f>
        <v>0</v>
      </c>
      <c r="S45" s="292">
        <f>Fsw*(Table16[[#This Row],[I_0]]*Table16[[#This Row],[t1_Ph_II]]+Table16[[#This Row],[I_1]]*Table16[[#This Row],[t2_Ph_I]]+Table16[[#This Row],[I_2]]*Table16[[#This Row],[t3_Ph_III]])</f>
        <v>12.78452230165875</v>
      </c>
      <c r="T45" s="345">
        <f>MIN(1,CHOOSE(Table16[[#This Row],[Mode Digit]],(Vout+(Rdson2+Rs+Rdcr)*Table16[[#This Row],[Iout]])/(Table16[[#This Row],[Vin]]+(Rs+Rdson2-Rdson1)*Table16[[#This Row],[Iout]]),1,Fsw*Table16[[#This Row],[t2_Ph_I]]+Table16[[#This Row],[t1_Ph_II]]))</f>
        <v>1</v>
      </c>
      <c r="U45" s="345">
        <f>MIN(1,CHOOSE(Table16[[#This Row],[Mode Digit]],0,(Vout+(Rdson3+Rdcr)*Table16[[#This Row],[Iin]]-Table16[[#This Row],[Vin]])/(Vout+(Rdson3-Rdson4-Rs)*Table16[[#This Row],[Iin]]),Fsw*Table16[[#This Row],[t1_Ph_II]]+Table16[[#This Row],[t3_Ph_III]]))</f>
        <v>0.2927303227476063</v>
      </c>
      <c r="V45" s="292">
        <f>MAX(Table16[[#This Row],[I_0]:[I_2]])-MIN(Table16[[#This Row],[I_0]:[I_1]])</f>
        <v>4.6581877154141687</v>
      </c>
      <c r="W45"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11.895271710803454</v>
      </c>
      <c r="X45" s="345">
        <f>(Table16[[#This Row],[Irms Lf]]^2*Rdcr*(1+Ltc*Ta-Ltc*25))/(1-Table16[[#This Row],[Irms Lf]]^2*Rdcr*Ltc*ThetaCa)</f>
        <v>0.46981006275705839</v>
      </c>
      <c r="Y45" s="345">
        <f>ABS(7.759*10^-3*Fsw^0.9458*(0.00787*Table16[[#This Row],[Ripple Current pk-pk]])^2.304)</f>
        <v>0.75521895198014533</v>
      </c>
      <c r="Z45" s="345">
        <f>Table16[[#This Row],[DCR    Loss]]+Table16[[#This Row],[Core Loss]]</f>
        <v>1.2250290147372036</v>
      </c>
      <c r="AA45" s="292">
        <f>IF(Table16[[#This Row],[Vin]]&gt;Vout, Table16[[#This Row],[Ripple Current pk-pk]]/SQRT(12), SQRT(Table16[[#This Row],[Duty Cycle BOOST Leg]]/(1-Table16[[#This Row],[Duty Cycle BOOST Leg]]))*SQRT(Table16[[#This Row],[Iout]]^2+(Table16[[#This Row],[Ripple Current pk-pk]]^2)/12))</f>
        <v>5.218929477196073</v>
      </c>
      <c r="AB45" s="345">
        <f>RCoutEsr*Table16[[#This Row],[Irms Cout]]^2</f>
        <v>5.4474449775892157E-2</v>
      </c>
      <c r="AC45" s="345">
        <f>Table16[[#This Row],[Cout ESR Loss]]</f>
        <v>5.4474449775892157E-2</v>
      </c>
      <c r="AD45" s="345">
        <f>IF(Table16[[#This Row],[Vin]]&gt;Vout, SQRT(Table16[[#This Row],[Duty Cycle BUCK Leg]]*(1-Table16[[#This Row],[Duty Cycle BUCK Leg]]))*SQRT(Table16[[#This Row],[Iout]]^2+(Table16[[#This Row],[Ripple Current pk-pk]]^2)/12), Table16[[#This Row],[Ripple Current pk-pk]]/SQRT(12))</f>
        <v>1.3447029657150891</v>
      </c>
      <c r="AE45" s="345">
        <f>RCinEsr*Table16[[#This Row],[Irms Cin]]^2</f>
        <v>3.6164521320059123E-3</v>
      </c>
      <c r="AF45" s="683">
        <f>Table16[[#This Row],[Cin ESR Loss]]</f>
        <v>3.6164521320059123E-3</v>
      </c>
      <c r="AG45"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11.895271710803454</v>
      </c>
      <c r="AH45" s="345">
        <f>Rdson1*Table16[[#This Row],[Irms BuCtrl]]^2</f>
        <v>0.49524121175844332</v>
      </c>
      <c r="AI45" s="345">
        <f>CHOOSE(Table16[[#This Row],[Mode Digit]], (Table16[[#This Row],[Vin]]*Table16[[#This Row],[Iout]]/2)*(Fsw)*(Tr_buck+Tf_buck), 0, (Table16[[#This Row],[Vin]]*Table16[[#This Row],[Avg IL]]/2)*(Fsw/1)*(Tr_buck+Tf_buck))</f>
        <v>0</v>
      </c>
      <c r="AJ45" s="253">
        <f>IF(Table16[[#This Row],[Vin]]&gt;Vout, IF(Table16[[#This Row],[Iout]]&gt;Table16[[#This Row],[Ripple Current pk-pk]]/2,0,ABS(Table16[[#This Row],[Iout]]-Table16[[#This Row],[Ripple Current pk-pk]]/2)*Vsd_Q1*Deadtime*Fsw),0)</f>
        <v>0</v>
      </c>
      <c r="AK45" s="345">
        <f>(Table16[[#This Row],[Dead Time Loss BuCtrl]]+Table16[[#This Row],[Transition Loss BuCtrl]]+Table16[[#This Row],[RDS(on) Loss BuCtrl]]*(1+RdsonTopTc*Ta-RdsonTopTc*25))/(1-Table16[[#This Row],[RDS(on) Loss BuCtrl]]*RdsonTopTc*ThetaJA_Q1)</f>
        <v>0.56843436376917122</v>
      </c>
      <c r="AL45" s="345">
        <f>CHOOSE(Table16[[#This Row],[Mode Digit]],SQRT((Fsw*(Table16[[#This Row],[t2_Ph_I]]+0))*((Table16[[#This Row],[I_0]]*Table16[[#This Row],[I_1]]+((Table16[[#This Row],[I_0]]-Table16[[#This Row],[I_1]])^2)/3))),0,SQRT((Fsw*(Table16[[#This Row],[t3_Ph_III]]+0))*((Table16[[#This Row],[I_0]]*Table16[[#This Row],[I_2]]+((Table16[[#This Row],[I_0]]-Table16[[#This Row],[I_2]])^2)/3))))</f>
        <v>0</v>
      </c>
      <c r="AM45" s="345">
        <f>Rdson2*Table16[[#This Row],[Irms BuSync]]^2</f>
        <v>0</v>
      </c>
      <c r="AN45"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45" s="345">
        <f>(Table16[[#This Row],[Deadtime Loss BuSync]]+Table16[[#This Row],[RDS(on) Loss BuSync]]*(1+RdsonBotTc*Ta-RdsonBotTc*25))/(1-Table16[[#This Row],[RDS(on) Loss BuSync]]*RdsonBotTc*ThetaJA_Q2)</f>
        <v>0</v>
      </c>
      <c r="AP45" s="345">
        <f>CHOOSE(Table16[[#This Row],[Mode Digit]],0,SQRT((Fsw*(Table16[[#This Row],[t1_Ph_II]]+0))*((Table16[[#This Row],[I_0]]*Table16[[#This Row],[I_1]]+((Table16[[#This Row],[I_0]]-Table16[[#This Row],[I_1]])^2)/3))),SQRT((Fsw*(Table16[[#This Row],[t2_Ph_I]]+0))*((Table16[[#This Row],[I_1]]*Table16[[#This Row],[I_2]]+((Table16[[#This Row],[I_1]]-Table16[[#This Row],[I_2]])^2)/3))))</f>
        <v>6.4358842162177963</v>
      </c>
      <c r="AQ45" s="345">
        <f>Rdson4*Table16[[#This Row],[Irms BoCtlr]]^2</f>
        <v>0.14497211975596475</v>
      </c>
      <c r="AR45" s="345">
        <f>CHOOSE(Table16[[#This Row],[Mode Digit]], 0, (Vout*Table16[[#This Row],[Iin]]/2)*(Fsw)*(Tr_boost+Tf_boost), (Vout*Iout/2)*(Fsw/1)*(Tr_boost+Tf_boost))</f>
        <v>0.70270464837174218</v>
      </c>
      <c r="AS45" s="253">
        <f>IF(Table16[[#This Row],[Vin]]&gt;Vout, 0, IF(Table16[[#This Row],[Iin]]&gt;Table16[[#This Row],[Ripple Current pk-pk]]/2,0,ABS(Table16[[#This Row],[Iin]]-Table16[[#This Row],[Ripple Current pk-pk]]/2)*Vsd_Q4*Deadtime*Fsw))</f>
        <v>0</v>
      </c>
      <c r="AT45" s="345">
        <f>(Table16[[#This Row],[Dead Time Loss BoCtlr]]+Table16[[#This Row],[Transition Loss BoCtlr]]+Table16[[#This Row],[RDS(on) Loss BoCtlr]]*(1+RdsonTopTc*Ta-RdsonTopTc*25))/(1-Table16[[#This Row],[RDS(on) Loss BoCtlr]]*RdsonTopTc*ThetaJA_Q4)</f>
        <v>0.88087954146544278</v>
      </c>
      <c r="AU45"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10.003843432865169</v>
      </c>
      <c r="AV45" s="345">
        <f>Rdson3*Table16[[#This Row],[Irms BoSync]]^2</f>
        <v>0.35026909200247852</v>
      </c>
      <c r="AW45"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0.35279778393351802</v>
      </c>
      <c r="AX45" s="345">
        <f>(Table16[[#This Row],[Deadtime Loss BoSync]]+Table16[[#This Row],[RDS(on) Loss BoSync]]*(1+RdsonBotTc*Ta-RdsonBotTc*25))/(1-Table16[[#This Row],[RDS(on) Loss BoSync]]*RdsonBotTc*ThetaJA_Q3)</f>
        <v>0.77351044417968196</v>
      </c>
      <c r="AY45" s="345">
        <f>CHOOSE(Table16[[#This Row],[Mode Digit]], Rdson3*Table16[[#This Row],[Irms Lf]]^2, Rdson1*Table16[[#This Row],[Irms Lf]]^2, 0)</f>
        <v>0.49524121175844332</v>
      </c>
      <c r="AZ45" s="345">
        <f>CHOOSE(Table16[[#This Row],[Mode Digit]], 2*Deadtime*Fsw*IF(VfdSky_Q2&gt;0,VfdSky_Q2,0)*Table16[[#This Row],[Iout]], 2*Deadtime*Fsw*IF(VfdSky_Q3&gt;0,VfdSky_Q3,0)*Table16[[#This Row],[Iin]], 2*Deadtime*Fsw*IF(VfdSky_Q2&gt;0,VfdSky_Q2,0)*Table16[[#This Row],[Iout]]+2*Deadtime*Fsw*IF(VfdSky_Q3&gt;0,VfdSky_Q3,0)*Table16[[#This Row],[Iin]])</f>
        <v>0</v>
      </c>
      <c r="BA45" s="345">
        <f>CHOOSE(Table16[[#This Row],[Mode Digit]], IF(QrrSky_Q2&gt;0,QrrSky_Q2,Qrr_Q2)*Fsw*(Table16[[#This Row],[Vin]]-Table16[[#This Row],[Iout]]*Rdson1),0,  IF(QrrSky_Q2&gt;0,QrrSky_Q2,Qrr_Q2)*Fsw*(Table16[[#This Row],[Vin]]-Table16[[#This Row],[Iout]]*Rdson1)+IF(QrrSky_Q3&gt;0,QrrSky_Q3,Qrr_Q3)*Fsw*Vout)</f>
        <v>0</v>
      </c>
      <c r="BB45" s="345">
        <f>CHOOSE(Table16[[#This Row],[Mode Digit]],0, IF(QrrSky_Q3&gt;0,QrrSky_Q3,Qrr_Q3)*Fsw*Vout,  IF(QrrSky_Q2&gt;0,QrrSky_Q2,Qrr_Q2)*Fsw*(Table16[[#This Row],[Vin]]-Table16[[#This Row],[Iout]]*Rdson1)+IF(QrrSky_Q3&gt;0,QrrSky_Q3,Qrr_Q3)*Fsw*Vout)</f>
        <v>0.35660799999999998</v>
      </c>
      <c r="BC45" s="345">
        <f>CHOOSE(Table16[[#This Row],[Mode Digit]], Rs*Table16[[#This Row],[Irms BuSync]]^2, Rs*Table16[[#This Row],[Irms BoCtlr]]^2, Rs*(Table16[[#This Row],[Irms BuSync]]^2+Table16[[#This Row],[Irms BoCtlr]]^2))</f>
        <v>5.3846787337929761E-2</v>
      </c>
      <c r="BD45" s="345">
        <f t="shared" si="1"/>
        <v>0.64</v>
      </c>
      <c r="BE45" s="345">
        <f>IF(Vout&gt;8, Iq*Vout, Iq*Table16[[#This Row],[Vin]])</f>
        <v>4.8000000000000001E-2</v>
      </c>
      <c r="BF45" s="345">
        <f>CHOOSE(Table16[[#This Row],[Mode Digit]], (Qg_Q1+Qg_Q2)*Fsw, (Qg_Q3+Qg_Q4)*Fsw, (Qg_Q1+Qg_Q2+Qg_Q3+Qg_Q4)*Fsw)*IF(Vout&gt;8, Vout, Table16[[#This Row],[Vin]])</f>
        <v>0.85331200000000007</v>
      </c>
      <c r="BG45" s="345">
        <f t="shared" si="2"/>
        <v>0.50594479787234037</v>
      </c>
      <c r="BH45" s="345">
        <f>Table16[[#This Row],[IQ Loss]]+Table16[[#This Row],[Switching Current Loss]]</f>
        <v>0.90131200000000011</v>
      </c>
      <c r="BI45"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5.4577110533973272</v>
      </c>
      <c r="BJ45" s="253">
        <f>Vout*Table16[[#This Row],[Iout]]</f>
        <v>128</v>
      </c>
      <c r="BK45" s="684">
        <f>Table16[[#This Row],[Pout]]/(Table16[[#This Row],[Pout]]+Table16[[#This Row],[Total Loss]])</f>
        <v>0.95910531500713614</v>
      </c>
      <c r="BL45"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80.436690195253775</v>
      </c>
      <c r="BM45" s="685">
        <f>IF(Table16[[#This Row],[Vin]]&gt;Vout, Table16[[#This Row],[Total Sync Bu MOSFET Loss]]*ThetaJA_Q2, ThetaJA_Q3*Table16[[#This Row],[Total Sync Bo MOSFET Loss]])</f>
        <v>50.27817887167933</v>
      </c>
      <c r="BN45" s="640"/>
      <c r="BO45" s="292">
        <f>Table16[[#This Row],[EFF, h]]*100</f>
        <v>95.910531500713617</v>
      </c>
      <c r="BP45" s="345">
        <f>Table16[[#This Row],[Total Inductor Loss]]</f>
        <v>1.2250290147372036</v>
      </c>
      <c r="BQ45" s="345">
        <f>Table16[[#This Row],[Total Control Bu MOSFET Loss]]+Table16[[#This Row],[Total Sync Bu MOSFET Loss]]+Table16[[#This Row],[Total Control Bo MOSFET Loss]]+Table16[[#This Row],[Total Sync Bo MOSFET Loss]]+Table16[[#This Row],[Reverse Recovery Loss MOSFET D BUCK]]+Table16[[#This Row],[Reverse Recovery Loss MOSFET D BOOST]]</f>
        <v>2.5794323494142959</v>
      </c>
      <c r="BR45" s="345">
        <f>Table16[[#This Row],[Total Control Bu MOSFET Loss]]+Table16[[#This Row],[Reverse Recovery Loss MOSFET D BUCK]]*0.66</f>
        <v>0.56843436376917122</v>
      </c>
      <c r="BS45" s="345">
        <f>Table16[[#This Row],[Total Sync Bu MOSFET Loss]]+Table16[[#This Row],[Reverse Recovery Loss MOSFET D BUCK]]*0.33</f>
        <v>0</v>
      </c>
      <c r="BT45" s="345">
        <f xml:space="preserve"> Table16[[#This Row],[Total Control Bo MOSFET Loss]]+Table16[[#This Row],[Reverse Recovery Loss MOSFET D BOOST]]*0.66</f>
        <v>1.1162408214654427</v>
      </c>
      <c r="BU45" s="345">
        <f xml:space="preserve"> Table16[[#This Row],[Total Sync Bo MOSFET Loss]]+Table16[[#This Row],[Reverse Recovery Loss MOSFET D BOOST]]*0.33</f>
        <v>0.89119108417968196</v>
      </c>
      <c r="BV45" s="345">
        <f>Table16[[#This Row],[Isense Shunt Loss]]</f>
        <v>5.3846787337929761E-2</v>
      </c>
      <c r="CA45" s="253">
        <v>9.9979859999999992</v>
      </c>
      <c r="CB45" s="253">
        <v>5.4960000000000004</v>
      </c>
      <c r="CC45" s="253">
        <v>5.1097890000000001</v>
      </c>
      <c r="CD45" s="253">
        <v>93.599771362833366</v>
      </c>
      <c r="CE45" s="253">
        <v>1920.3056923499939</v>
      </c>
    </row>
    <row r="46" spans="1:83" x14ac:dyDescent="0.2">
      <c r="A46" s="705" t="s">
        <v>234</v>
      </c>
      <c r="B46" s="569">
        <f>Vsd_Q1</f>
        <v>0.75</v>
      </c>
      <c r="C46" s="697" t="s">
        <v>0</v>
      </c>
      <c r="G46" s="253">
        <v>37</v>
      </c>
      <c r="H46" s="286">
        <f>VIN_min+(VIN_max-VIN_min)*(Table16[[#This Row],[Step]]/200)</f>
        <v>11.55</v>
      </c>
      <c r="I46" s="292" t="str">
        <f>IF(Mode = 2,IF(Table16[[#This Row],[Vin]]&gt;Vout, "BUCK","BOOST"),IF(Table16[[#This Row],[Vin]]&gt;VIN_BB_to_buck, "BUCK", IF(Table16[[#This Row],[Vin]]&lt;=VIN_boost_to_BB,"BOOST","BUCK-BST")))</f>
        <v>BOOST</v>
      </c>
      <c r="J46" s="253">
        <f>IF(Table16[[#This Row],[Mode]]="BOOST",2, IF(Table16[[#This Row],[Mode]]="BUCK", 1,3))</f>
        <v>2</v>
      </c>
      <c r="K46" s="253">
        <f t="shared" si="0"/>
        <v>8</v>
      </c>
      <c r="L46" s="292">
        <f>Vout*Table16[[#This Row],[Iout]]/(Table16[[#This Row],[Vin]]*Efficiency)</f>
        <v>11.66552745500114</v>
      </c>
      <c r="M46" s="682">
        <f>MIN(1/Fsw,CHOOSE(Table16[[#This Row],[Mode Digit]],(Vout+(Rdson2+Rs+Rdcr)*Table16[[#This Row],[Iout]])/(Table16[[#This Row],[Vin]]+(Rs+Rdson2-Rdson1)*Table16[[#This Row],[Iout]])/Fsw,(Vout+(Rdson3+Rdcr)*Table16[[#This Row],[Iin]]-Table16[[#This Row],[Vin]])/(Vout+(Rdson3-Rdson4-Rs)*Table16[[#This Row],[Iin]])/Fsw,t1_Ph_II))</f>
        <v>7.117548687279275E-7</v>
      </c>
      <c r="N46" s="518">
        <f>CHOOSE(Table16[[#This Row],[Mode Digit]],1/Fsw-Table16[[#This Row],[t1_Ph_II]],1/Fsw-Table16[[#This Row],[t1_Ph_II]],(Vout/Fsw-Table16[[#This Row],[Vin]]*t1_Ph_II)/(Table16[[#This Row],[Vin]]+Vout))</f>
        <v>1.8008079453424244E-6</v>
      </c>
      <c r="O46" s="518">
        <f>1/Fsw-(Table16[[#This Row],[t1_Ph_II]]+Table16[[#This Row],[t2_Ph_I]])</f>
        <v>0</v>
      </c>
      <c r="P46"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9.3819805844990398</v>
      </c>
      <c r="Q46" s="292">
        <f>CHOOSE(Table16[[#This Row],[Mode Digit]],Table16[[#This Row],[I_0]]+1/Lf*(Table16[[#This Row],[Vin]]-Vout)*Table16[[#This Row],[t1_Ph_II]],Table16[[#This Row],[I_0]]+1/Lf*Table16[[#This Row],[Vin]]*Table16[[#This Row],[t1_Ph_II]],Table16[[#This Row],[I_0]]+(Table16[[#This Row],[Vin]]-Vout)/L*Table16[[#This Row],[t1_Ph_II]])</f>
        <v>13.94907432550324</v>
      </c>
      <c r="R46" s="292">
        <f>CHOOSE(Table16[[#This Row],[Mode Digit]],0,0,Table16[[#This Row],[I_1]]+Table16[[#This Row],[Vin]]/L*Table16[[#This Row],[t2_Ph_I]])</f>
        <v>0</v>
      </c>
      <c r="S46" s="292">
        <f>Fsw*(Table16[[#This Row],[I_0]]*Table16[[#This Row],[t1_Ph_II]]+Table16[[#This Row],[I_1]]*Table16[[#This Row],[t2_Ph_I]]+Table16[[#This Row],[I_2]]*Table16[[#This Row],[t3_Ph_III]])</f>
        <v>12.655315145476798</v>
      </c>
      <c r="T46" s="345">
        <f>MIN(1,CHOOSE(Table16[[#This Row],[Mode Digit]],(Vout+(Rdson2+Rs+Rdcr)*Table16[[#This Row],[Iout]])/(Table16[[#This Row],[Vin]]+(Rs+Rdson2-Rdson1)*Table16[[#This Row],[Iout]]),1,Fsw*Table16[[#This Row],[t2_Ph_I]]+Table16[[#This Row],[t1_Ph_II]]))</f>
        <v>1</v>
      </c>
      <c r="U46" s="345">
        <f>MIN(1,CHOOSE(Table16[[#This Row],[Mode Digit]],0,(Vout+(Rdson3+Rdcr)*Table16[[#This Row],[Iin]]-Table16[[#This Row],[Vin]])/(Vout+(Rdson3-Rdson4-Rs)*Table16[[#This Row],[Iin]]),Fsw*Table16[[#This Row],[t1_Ph_II]]+Table16[[#This Row],[t3_Ph_III]]))</f>
        <v>0.28327843775371514</v>
      </c>
      <c r="V46" s="292">
        <f>MAX(Table16[[#This Row],[I_0]:[I_2]])-MIN(Table16[[#This Row],[I_0]:[I_1]])</f>
        <v>4.5670937410042001</v>
      </c>
      <c r="W46"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11.7397924274656</v>
      </c>
      <c r="X46" s="345">
        <f>(Table16[[#This Row],[Irms Lf]]^2*Rdcr*(1+Ltc*Ta-Ltc*25))/(1-Table16[[#This Row],[Irms Lf]]^2*Rdcr*Ltc*ThetaCa)</f>
        <v>0.45716261794294688</v>
      </c>
      <c r="Y46" s="345">
        <f>ABS(7.759*10^-3*Fsw^0.9458*(0.00787*Table16[[#This Row],[Ripple Current pk-pk]])^2.304)</f>
        <v>0.72162460646186466</v>
      </c>
      <c r="Z46" s="345">
        <f>Table16[[#This Row],[DCR    Loss]]+Table16[[#This Row],[Core Loss]]</f>
        <v>1.1787872244048114</v>
      </c>
      <c r="AA46" s="292">
        <f>IF(Table16[[#This Row],[Vin]]&gt;Vout, Table16[[#This Row],[Ripple Current pk-pk]]/SQRT(12), SQRT(Table16[[#This Row],[Duty Cycle BOOST Leg]]/(1-Table16[[#This Row],[Duty Cycle BOOST Leg]]))*SQRT(Table16[[#This Row],[Iout]]^2+(Table16[[#This Row],[Ripple Current pk-pk]]^2)/12))</f>
        <v>5.0973025670886507</v>
      </c>
      <c r="AB46" s="345">
        <f>RCoutEsr*Table16[[#This Row],[Irms Cout]]^2</f>
        <v>5.1964986920897099E-2</v>
      </c>
      <c r="AC46" s="345">
        <f>Table16[[#This Row],[Cout ESR Loss]]</f>
        <v>5.1964986920897099E-2</v>
      </c>
      <c r="AD46" s="345">
        <f>IF(Table16[[#This Row],[Vin]]&gt;Vout, SQRT(Table16[[#This Row],[Duty Cycle BUCK Leg]]*(1-Table16[[#This Row],[Duty Cycle BUCK Leg]]))*SQRT(Table16[[#This Row],[Iout]]^2+(Table16[[#This Row],[Ripple Current pk-pk]]^2)/12), Table16[[#This Row],[Ripple Current pk-pk]]/SQRT(12))</f>
        <v>1.318406400391515</v>
      </c>
      <c r="AE46" s="345">
        <f>RCinEsr*Table16[[#This Row],[Irms Cin]]^2</f>
        <v>3.4763908731866239E-3</v>
      </c>
      <c r="AF46" s="683">
        <f>Table16[[#This Row],[Cin ESR Loss]]</f>
        <v>3.4763908731866239E-3</v>
      </c>
      <c r="AG46"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11.7397924274656</v>
      </c>
      <c r="AH46" s="345">
        <f>Rdson1*Table16[[#This Row],[Irms BuCtrl]]^2</f>
        <v>0.48237954183992532</v>
      </c>
      <c r="AI46" s="345">
        <f>CHOOSE(Table16[[#This Row],[Mode Digit]], (Table16[[#This Row],[Vin]]*Table16[[#This Row],[Iout]]/2)*(Fsw)*(Tr_buck+Tf_buck), 0, (Table16[[#This Row],[Vin]]*Table16[[#This Row],[Avg IL]]/2)*(Fsw/1)*(Tr_buck+Tf_buck))</f>
        <v>0</v>
      </c>
      <c r="AJ46" s="253">
        <f>IF(Table16[[#This Row],[Vin]]&gt;Vout, IF(Table16[[#This Row],[Iout]]&gt;Table16[[#This Row],[Ripple Current pk-pk]]/2,0,ABS(Table16[[#This Row],[Iout]]-Table16[[#This Row],[Ripple Current pk-pk]]/2)*Vsd_Q1*Deadtime*Fsw),0)</f>
        <v>0</v>
      </c>
      <c r="AK46" s="345">
        <f>(Table16[[#This Row],[Dead Time Loss BuCtrl]]+Table16[[#This Row],[Transition Loss BuCtrl]]+Table16[[#This Row],[RDS(on) Loss BuCtrl]]*(1+RdsonTopTc*Ta-RdsonTopTc*25))/(1-Table16[[#This Row],[RDS(on) Loss BuCtrl]]*RdsonTopTc*ThetaJA_Q1)</f>
        <v>0.5515548197672463</v>
      </c>
      <c r="AL46" s="345">
        <f>CHOOSE(Table16[[#This Row],[Mode Digit]],SQRT((Fsw*(Table16[[#This Row],[t2_Ph_I]]+0))*((Table16[[#This Row],[I_0]]*Table16[[#This Row],[I_1]]+((Table16[[#This Row],[I_0]]-Table16[[#This Row],[I_1]])^2)/3))),0,SQRT((Fsw*(Table16[[#This Row],[t3_Ph_III]]+0))*((Table16[[#This Row],[I_0]]*Table16[[#This Row],[I_2]]+((Table16[[#This Row],[I_0]]-Table16[[#This Row],[I_2]])^2)/3))))</f>
        <v>0</v>
      </c>
      <c r="AM46" s="345">
        <f>Rdson2*Table16[[#This Row],[Irms BuSync]]^2</f>
        <v>0</v>
      </c>
      <c r="AN46"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46" s="345">
        <f>(Table16[[#This Row],[Deadtime Loss BuSync]]+Table16[[#This Row],[RDS(on) Loss BuSync]]*(1+RdsonBotTc*Ta-RdsonBotTc*25))/(1-Table16[[#This Row],[RDS(on) Loss BuSync]]*RdsonBotTc*ThetaJA_Q2)</f>
        <v>0</v>
      </c>
      <c r="AP46" s="345">
        <f>CHOOSE(Table16[[#This Row],[Mode Digit]],0,SQRT((Fsw*(Table16[[#This Row],[t1_Ph_II]]+0))*((Table16[[#This Row],[I_0]]*Table16[[#This Row],[I_1]]+((Table16[[#This Row],[I_0]]-Table16[[#This Row],[I_1]])^2)/3))),SQRT((Fsw*(Table16[[#This Row],[t2_Ph_I]]+0))*((Table16[[#This Row],[I_1]]*Table16[[#This Row],[I_2]]+((Table16[[#This Row],[I_1]]-Table16[[#This Row],[I_2]])^2)/3))))</f>
        <v>6.2483763151893399</v>
      </c>
      <c r="AQ46" s="345">
        <f>Rdson4*Table16[[#This Row],[Irms BoCtlr]]^2</f>
        <v>0.13664772301676692</v>
      </c>
      <c r="AR46" s="345">
        <f>CHOOSE(Table16[[#This Row],[Mode Digit]], 0, (Vout*Table16[[#This Row],[Iin]]/2)*(Fsw)*(Tr_boost+Tf_boost), (Vout*Iout/2)*(Fsw/1)*(Tr_boost+Tf_boost))</f>
        <v>0.69357861397730391</v>
      </c>
      <c r="AS46" s="253">
        <f>IF(Table16[[#This Row],[Vin]]&gt;Vout, 0, IF(Table16[[#This Row],[Iin]]&gt;Table16[[#This Row],[Ripple Current pk-pk]]/2,0,ABS(Table16[[#This Row],[Iin]]-Table16[[#This Row],[Ripple Current pk-pk]]/2)*Vsd_Q4*Deadtime*Fsw))</f>
        <v>0</v>
      </c>
      <c r="AT46" s="345">
        <f>(Table16[[#This Row],[Dead Time Loss BoCtlr]]+Table16[[#This Row],[Transition Loss BoCtlr]]+Table16[[#This Row],[RDS(on) Loss BoCtlr]]*(1+RdsonTopTc*Ta-RdsonTopTc*25))/(1-Table16[[#This Row],[RDS(on) Loss BoCtlr]]*RdsonTopTc*ThetaJA_Q4)</f>
        <v>0.86080952914226139</v>
      </c>
      <c r="AU46"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9.9388389494829603</v>
      </c>
      <c r="AV46" s="345">
        <f>Rdson3*Table16[[#This Row],[Irms BoSync]]^2</f>
        <v>0.34573181882315845</v>
      </c>
      <c r="AW46"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0.34821599453178398</v>
      </c>
      <c r="AX46" s="345">
        <f>(Table16[[#This Row],[Deadtime Loss BoSync]]+Table16[[#This Row],[RDS(on) Loss BoSync]]*(1+RdsonBotTc*Ta-RdsonBotTc*25))/(1-Table16[[#This Row],[RDS(on) Loss BoSync]]*RdsonBotTc*ThetaJA_Q3)</f>
        <v>0.7624880744452639</v>
      </c>
      <c r="AY46" s="345">
        <f>CHOOSE(Table16[[#This Row],[Mode Digit]], Rdson3*Table16[[#This Row],[Irms Lf]]^2, Rdson1*Table16[[#This Row],[Irms Lf]]^2, 0)</f>
        <v>0.48237954183992532</v>
      </c>
      <c r="AZ46" s="345">
        <f>CHOOSE(Table16[[#This Row],[Mode Digit]], 2*Deadtime*Fsw*IF(VfdSky_Q2&gt;0,VfdSky_Q2,0)*Table16[[#This Row],[Iout]], 2*Deadtime*Fsw*IF(VfdSky_Q3&gt;0,VfdSky_Q3,0)*Table16[[#This Row],[Iin]], 2*Deadtime*Fsw*IF(VfdSky_Q2&gt;0,VfdSky_Q2,0)*Table16[[#This Row],[Iout]]+2*Deadtime*Fsw*IF(VfdSky_Q3&gt;0,VfdSky_Q3,0)*Table16[[#This Row],[Iin]])</f>
        <v>0</v>
      </c>
      <c r="BA46" s="345">
        <f>CHOOSE(Table16[[#This Row],[Mode Digit]], IF(QrrSky_Q2&gt;0,QrrSky_Q2,Qrr_Q2)*Fsw*(Table16[[#This Row],[Vin]]-Table16[[#This Row],[Iout]]*Rdson1),0,  IF(QrrSky_Q2&gt;0,QrrSky_Q2,Qrr_Q2)*Fsw*(Table16[[#This Row],[Vin]]-Table16[[#This Row],[Iout]]*Rdson1)+IF(QrrSky_Q3&gt;0,QrrSky_Q3,Qrr_Q3)*Fsw*Vout)</f>
        <v>0</v>
      </c>
      <c r="BB46" s="345">
        <f>CHOOSE(Table16[[#This Row],[Mode Digit]],0, IF(QrrSky_Q3&gt;0,QrrSky_Q3,Qrr_Q3)*Fsw*Vout,  IF(QrrSky_Q2&gt;0,QrrSky_Q2,Qrr_Q2)*Fsw*(Table16[[#This Row],[Vin]]-Table16[[#This Row],[Iout]]*Rdson1)+IF(QrrSky_Q3&gt;0,QrrSky_Q3,Qrr_Q3)*Fsw*Vout)</f>
        <v>0.35660799999999998</v>
      </c>
      <c r="BC46" s="345">
        <f>CHOOSE(Table16[[#This Row],[Mode Digit]], Rs*Table16[[#This Row],[Irms BuSync]]^2, Rs*Table16[[#This Row],[Irms BoCtlr]]^2, Rs*(Table16[[#This Row],[Irms BuSync]]^2+Table16[[#This Row],[Irms BoCtlr]]^2))</f>
        <v>5.0754868549084849E-2</v>
      </c>
      <c r="BD46" s="345">
        <f t="shared" si="1"/>
        <v>0.64</v>
      </c>
      <c r="BE46" s="345">
        <f>IF(Vout&gt;8, Iq*Vout, Iq*Table16[[#This Row],[Vin]])</f>
        <v>4.8000000000000001E-2</v>
      </c>
      <c r="BF46" s="345">
        <f>CHOOSE(Table16[[#This Row],[Mode Digit]], (Qg_Q1+Qg_Q2)*Fsw, (Qg_Q3+Qg_Q4)*Fsw, (Qg_Q1+Qg_Q2+Qg_Q3+Qg_Q4)*Fsw)*IF(Vout&gt;8, Vout, Table16[[#This Row],[Vin]])</f>
        <v>0.85331200000000007</v>
      </c>
      <c r="BG46" s="345">
        <f t="shared" si="2"/>
        <v>0.50594479787234037</v>
      </c>
      <c r="BH46" s="345">
        <f>Table16[[#This Row],[IQ Loss]]+Table16[[#This Row],[Switching Current Loss]]</f>
        <v>0.90131200000000011</v>
      </c>
      <c r="BI46"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5.357755894102751</v>
      </c>
      <c r="BJ46" s="253">
        <f>Vout*Table16[[#This Row],[Iout]]</f>
        <v>128</v>
      </c>
      <c r="BK46" s="684">
        <f>Table16[[#This Row],[Pout]]/(Table16[[#This Row],[Pout]]+Table16[[#This Row],[Total Loss]])</f>
        <v>0.95982418976548123</v>
      </c>
      <c r="BL46"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79.132139394246991</v>
      </c>
      <c r="BM46" s="685">
        <f>IF(Table16[[#This Row],[Vin]]&gt;Vout, Table16[[#This Row],[Total Sync Bu MOSFET Loss]]*ThetaJA_Q2, ThetaJA_Q3*Table16[[#This Row],[Total Sync Bo MOSFET Loss]])</f>
        <v>49.561724838942155</v>
      </c>
      <c r="BN46" s="640"/>
      <c r="BO46" s="292">
        <f>Table16[[#This Row],[EFF, h]]*100</f>
        <v>95.982418976548118</v>
      </c>
      <c r="BP46" s="345">
        <f>Table16[[#This Row],[Total Inductor Loss]]</f>
        <v>1.1787872244048114</v>
      </c>
      <c r="BQ46" s="345">
        <f>Table16[[#This Row],[Total Control Bu MOSFET Loss]]+Table16[[#This Row],[Total Sync Bu MOSFET Loss]]+Table16[[#This Row],[Total Control Bo MOSFET Loss]]+Table16[[#This Row],[Total Sync Bo MOSFET Loss]]+Table16[[#This Row],[Reverse Recovery Loss MOSFET D BUCK]]+Table16[[#This Row],[Reverse Recovery Loss MOSFET D BOOST]]</f>
        <v>2.5314604233547717</v>
      </c>
      <c r="BR46" s="345">
        <f>Table16[[#This Row],[Total Control Bu MOSFET Loss]]+Table16[[#This Row],[Reverse Recovery Loss MOSFET D BUCK]]*0.66</f>
        <v>0.5515548197672463</v>
      </c>
      <c r="BS46" s="345">
        <f>Table16[[#This Row],[Total Sync Bu MOSFET Loss]]+Table16[[#This Row],[Reverse Recovery Loss MOSFET D BUCK]]*0.33</f>
        <v>0</v>
      </c>
      <c r="BT46" s="345">
        <f xml:space="preserve"> Table16[[#This Row],[Total Control Bo MOSFET Loss]]+Table16[[#This Row],[Reverse Recovery Loss MOSFET D BOOST]]*0.66</f>
        <v>1.0961708091422615</v>
      </c>
      <c r="BU46" s="345">
        <f xml:space="preserve"> Table16[[#This Row],[Total Sync Bo MOSFET Loss]]+Table16[[#This Row],[Reverse Recovery Loss MOSFET D BOOST]]*0.33</f>
        <v>0.8801687144452639</v>
      </c>
      <c r="BV46" s="345">
        <f>Table16[[#This Row],[Isense Shunt Loss]]</f>
        <v>5.0754868549084849E-2</v>
      </c>
      <c r="CA46" s="253">
        <v>9.9978999999999996</v>
      </c>
      <c r="CB46" s="253">
        <v>6.1950000000000003</v>
      </c>
      <c r="CC46" s="253">
        <v>5.109191</v>
      </c>
      <c r="CD46" s="253">
        <v>93.156651672159526</v>
      </c>
      <c r="CE46" s="253">
        <v>2325.1351758999972</v>
      </c>
    </row>
    <row r="47" spans="1:83" ht="17" x14ac:dyDescent="0.35">
      <c r="A47" s="691" t="s">
        <v>607</v>
      </c>
      <c r="B47" s="569">
        <f>ThetaJA_Q1</f>
        <v>65</v>
      </c>
      <c r="C47" s="259" t="s">
        <v>236</v>
      </c>
      <c r="D47" s="255" t="s">
        <v>105</v>
      </c>
      <c r="G47" s="253">
        <v>38</v>
      </c>
      <c r="H47" s="286">
        <f>VIN_min+(VIN_max-VIN_min)*(Table16[[#This Row],[Step]]/200)</f>
        <v>11.7</v>
      </c>
      <c r="I47" s="292" t="str">
        <f>IF(Mode = 2,IF(Table16[[#This Row],[Vin]]&gt;Vout, "BUCK","BOOST"),IF(Table16[[#This Row],[Vin]]&gt;VIN_BB_to_buck, "BUCK", IF(Table16[[#This Row],[Vin]]&lt;=VIN_boost_to_BB,"BOOST","BUCK-BST")))</f>
        <v>BOOST</v>
      </c>
      <c r="J47" s="253">
        <f>IF(Table16[[#This Row],[Mode]]="BOOST",2, IF(Table16[[#This Row],[Mode]]="BUCK", 1,3))</f>
        <v>2</v>
      </c>
      <c r="K47" s="253">
        <f t="shared" si="0"/>
        <v>8</v>
      </c>
      <c r="L47" s="292">
        <f>Vout*Table16[[#This Row],[Iout]]/(Table16[[#This Row],[Vin]]*Efficiency)</f>
        <v>11.515969410706255</v>
      </c>
      <c r="M47" s="682">
        <f>MIN(1/Fsw,CHOOSE(Table16[[#This Row],[Mode Digit]],(Vout+(Rdson2+Rs+Rdcr)*Table16[[#This Row],[Iout]])/(Table16[[#This Row],[Vin]]+(Rs+Rdson2-Rdson1)*Table16[[#This Row],[Iout]])/Fsw,(Vout+(Rdson3+Rdcr)*Table16[[#This Row],[Iin]]-Table16[[#This Row],[Vin]])/(Vout+(Rdson3-Rdson4-Rs)*Table16[[#This Row],[Iin]])/Fsw,t1_Ph_II))</f>
        <v>6.8801137190011425E-7</v>
      </c>
      <c r="N47" s="518">
        <f>CHOOSE(Table16[[#This Row],[Mode Digit]],1/Fsw-Table16[[#This Row],[t1_Ph_II]],1/Fsw-Table16[[#This Row],[t1_Ph_II]],(Vout/Fsw-Table16[[#This Row],[Vin]]*t1_Ph_II)/(Table16[[#This Row],[Vin]]+Vout))</f>
        <v>1.8245514421702376E-6</v>
      </c>
      <c r="O47" s="518">
        <f>1/Fsw-(Table16[[#This Row],[t1_Ph_II]]+Table16[[#This Row],[t2_Ph_I]])</f>
        <v>0</v>
      </c>
      <c r="P47"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9.2799324520308843</v>
      </c>
      <c r="Q47" s="292">
        <f>CHOOSE(Table16[[#This Row],[Mode Digit]],Table16[[#This Row],[I_0]]+1/Lf*(Table16[[#This Row],[Vin]]-Vout)*Table16[[#This Row],[t1_Ph_II]],Table16[[#This Row],[I_0]]+1/Lf*Table16[[#This Row],[Vin]]*Table16[[#This Row],[t1_Ph_II]],Table16[[#This Row],[I_0]]+(Table16[[#This Row],[Vin]]-Vout)/L*Table16[[#This Row],[t1_Ph_II]])</f>
        <v>13.752006369381625</v>
      </c>
      <c r="R47" s="292">
        <f>CHOOSE(Table16[[#This Row],[Mode Digit]],0,0,Table16[[#This Row],[I_1]]+Table16[[#This Row],[Vin]]/L*Table16[[#This Row],[t2_Ph_I]])</f>
        <v>0</v>
      </c>
      <c r="S47" s="292">
        <f>Fsw*(Table16[[#This Row],[I_0]]*Table16[[#This Row],[t1_Ph_II]]+Table16[[#This Row],[I_1]]*Table16[[#This Row],[t2_Ph_I]]+Table16[[#This Row],[I_2]]*Table16[[#This Row],[t3_Ph_III]])</f>
        <v>12.527424960357775</v>
      </c>
      <c r="T47" s="345">
        <f>MIN(1,CHOOSE(Table16[[#This Row],[Mode Digit]],(Vout+(Rdson2+Rs+Rdcr)*Table16[[#This Row],[Iout]])/(Table16[[#This Row],[Vin]]+(Rs+Rdson2-Rdson1)*Table16[[#This Row],[Iout]]),1,Fsw*Table16[[#This Row],[t2_Ph_I]]+Table16[[#This Row],[t1_Ph_II]]))</f>
        <v>1</v>
      </c>
      <c r="U47" s="345">
        <f>MIN(1,CHOOSE(Table16[[#This Row],[Mode Digit]],0,(Vout+(Rdson3+Rdcr)*Table16[[#This Row],[Iin]]-Table16[[#This Row],[Vin]])/(Vout+(Rdson3-Rdson4-Rs)*Table16[[#This Row],[Iin]]),Fsw*Table16[[#This Row],[t1_Ph_II]]+Table16[[#This Row],[t3_Ph_III]]))</f>
        <v>0.27382852601624547</v>
      </c>
      <c r="V47" s="292">
        <f>MAX(Table16[[#This Row],[I_0]:[I_2]])-MIN(Table16[[#This Row],[I_0]:[I_1]])</f>
        <v>4.4720739173507411</v>
      </c>
      <c r="W47"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11.588104758552031</v>
      </c>
      <c r="X47" s="345">
        <f>(Table16[[#This Row],[Irms Lf]]^2*Rdcr*(1+Ltc*Ta-Ltc*25))/(1-Table16[[#This Row],[Irms Lf]]^2*Rdcr*Ltc*ThetaCa)</f>
        <v>0.44500725223512166</v>
      </c>
      <c r="Y47" s="345">
        <f>ABS(7.759*10^-3*Fsw^0.9458*(0.00787*Table16[[#This Row],[Ripple Current pk-pk]])^2.304)</f>
        <v>0.68750145105626215</v>
      </c>
      <c r="Z47" s="345">
        <f>Table16[[#This Row],[DCR    Loss]]+Table16[[#This Row],[Core Loss]]</f>
        <v>1.1325087032913839</v>
      </c>
      <c r="AA47" s="292">
        <f>IF(Table16[[#This Row],[Vin]]&gt;Vout, Table16[[#This Row],[Ripple Current pk-pk]]/SQRT(12), SQRT(Table16[[#This Row],[Duty Cycle BOOST Leg]]/(1-Table16[[#This Row],[Duty Cycle BOOST Leg]]))*SQRT(Table16[[#This Row],[Iout]]^2+(Table16[[#This Row],[Ripple Current pk-pk]]^2)/12))</f>
        <v>4.9761342071753916</v>
      </c>
      <c r="AB47" s="345">
        <f>RCoutEsr*Table16[[#This Row],[Irms Cout]]^2</f>
        <v>4.9523823295642123E-2</v>
      </c>
      <c r="AC47" s="345">
        <f>Table16[[#This Row],[Cout ESR Loss]]</f>
        <v>4.9523823295642123E-2</v>
      </c>
      <c r="AD47" s="345">
        <f>IF(Table16[[#This Row],[Vin]]&gt;Vout, SQRT(Table16[[#This Row],[Duty Cycle BUCK Leg]]*(1-Table16[[#This Row],[Duty Cycle BUCK Leg]]))*SQRT(Table16[[#This Row],[Iout]]^2+(Table16[[#This Row],[Ripple Current pk-pk]]^2)/12), Table16[[#This Row],[Ripple Current pk-pk]]/SQRT(12))</f>
        <v>1.2909765400091773</v>
      </c>
      <c r="AE47" s="345">
        <f>RCinEsr*Table16[[#This Row],[Irms Cin]]^2</f>
        <v>3.333240853708134E-3</v>
      </c>
      <c r="AF47" s="683">
        <f>Table16[[#This Row],[Cin ESR Loss]]</f>
        <v>3.333240853708134E-3</v>
      </c>
      <c r="AG47"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11.588104758552031</v>
      </c>
      <c r="AH47" s="345">
        <f>Rdson1*Table16[[#This Row],[Irms BuCtrl]]^2</f>
        <v>0.46999460163311679</v>
      </c>
      <c r="AI47" s="345">
        <f>CHOOSE(Table16[[#This Row],[Mode Digit]], (Table16[[#This Row],[Vin]]*Table16[[#This Row],[Iout]]/2)*(Fsw)*(Tr_buck+Tf_buck), 0, (Table16[[#This Row],[Vin]]*Table16[[#This Row],[Avg IL]]/2)*(Fsw/1)*(Tr_buck+Tf_buck))</f>
        <v>0</v>
      </c>
      <c r="AJ47" s="253">
        <f>IF(Table16[[#This Row],[Vin]]&gt;Vout, IF(Table16[[#This Row],[Iout]]&gt;Table16[[#This Row],[Ripple Current pk-pk]]/2,0,ABS(Table16[[#This Row],[Iout]]-Table16[[#This Row],[Ripple Current pk-pk]]/2)*Vsd_Q1*Deadtime*Fsw),0)</f>
        <v>0</v>
      </c>
      <c r="AK47" s="345">
        <f>(Table16[[#This Row],[Dead Time Loss BuCtrl]]+Table16[[#This Row],[Transition Loss BuCtrl]]+Table16[[#This Row],[RDS(on) Loss BuCtrl]]*(1+RdsonTopTc*Ta-RdsonTopTc*25))/(1-Table16[[#This Row],[RDS(on) Loss BuCtrl]]*RdsonTopTc*ThetaJA_Q1)</f>
        <v>0.5354224767911886</v>
      </c>
      <c r="AL47" s="345">
        <f>CHOOSE(Table16[[#This Row],[Mode Digit]],SQRT((Fsw*(Table16[[#This Row],[t2_Ph_I]]+0))*((Table16[[#This Row],[I_0]]*Table16[[#This Row],[I_1]]+((Table16[[#This Row],[I_0]]-Table16[[#This Row],[I_1]])^2)/3))),0,SQRT((Fsw*(Table16[[#This Row],[t3_Ph_III]]+0))*((Table16[[#This Row],[I_0]]*Table16[[#This Row],[I_2]]+((Table16[[#This Row],[I_0]]-Table16[[#This Row],[I_2]])^2)/3))))</f>
        <v>0</v>
      </c>
      <c r="AM47" s="345">
        <f>Rdson2*Table16[[#This Row],[Irms BuSync]]^2</f>
        <v>0</v>
      </c>
      <c r="AN47"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47" s="345">
        <f>(Table16[[#This Row],[Deadtime Loss BuSync]]+Table16[[#This Row],[RDS(on) Loss BuSync]]*(1+RdsonBotTc*Ta-RdsonBotTc*25))/(1-Table16[[#This Row],[RDS(on) Loss BuSync]]*RdsonBotTc*ThetaJA_Q2)</f>
        <v>0</v>
      </c>
      <c r="AP47" s="345">
        <f>CHOOSE(Table16[[#This Row],[Mode Digit]],0,SQRT((Fsw*(Table16[[#This Row],[t1_Ph_II]]+0))*((Table16[[#This Row],[I_0]]*Table16[[#This Row],[I_1]]+((Table16[[#This Row],[I_0]]-Table16[[#This Row],[I_1]])^2)/3))),SQRT((Fsw*(Table16[[#This Row],[t2_Ph_I]]+0))*((Table16[[#This Row],[I_1]]*Table16[[#This Row],[I_2]]+((Table16[[#This Row],[I_1]]-Table16[[#This Row],[I_2]])^2)/3))))</f>
        <v>6.0638961779839411</v>
      </c>
      <c r="AQ47" s="345">
        <f>Rdson4*Table16[[#This Row],[Irms BoCtlr]]^2</f>
        <v>0.12869792900078889</v>
      </c>
      <c r="AR47" s="345">
        <f>CHOOSE(Table16[[#This Row],[Mode Digit]], 0, (Vout*Table16[[#This Row],[Iin]]/2)*(Fsw)*(Tr_boost+Tf_boost), (Vout*Iout/2)*(Fsw/1)*(Tr_boost+Tf_boost))</f>
        <v>0.68468658046477449</v>
      </c>
      <c r="AS47" s="253">
        <f>IF(Table16[[#This Row],[Vin]]&gt;Vout, 0, IF(Table16[[#This Row],[Iin]]&gt;Table16[[#This Row],[Ripple Current pk-pk]]/2,0,ABS(Table16[[#This Row],[Iin]]-Table16[[#This Row],[Ripple Current pk-pk]]/2)*Vsd_Q4*Deadtime*Fsw))</f>
        <v>0</v>
      </c>
      <c r="AT47" s="345">
        <f>(Table16[[#This Row],[Dead Time Loss BoCtlr]]+Table16[[#This Row],[Transition Loss BoCtlr]]+Table16[[#This Row],[RDS(on) Loss BoCtlr]]*(1+RdsonTopTc*Ta-RdsonTopTc*25))/(1-Table16[[#This Row],[RDS(on) Loss BoCtlr]]*RdsonTopTc*ThetaJA_Q4)</f>
        <v>0.84154379478930397</v>
      </c>
      <c r="AU47"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9.8748840518665322</v>
      </c>
      <c r="AV47" s="345">
        <f>Rdson3*Table16[[#This Row],[Irms BoSync]]^2</f>
        <v>0.34129667263232794</v>
      </c>
      <c r="AW47"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0.34375168690958163</v>
      </c>
      <c r="AX47" s="345">
        <f>(Table16[[#This Row],[Deadtime Loss BoSync]]+Table16[[#This Row],[RDS(on) Loss BoSync]]*(1+RdsonBotTc*Ta-RdsonBotTc*25))/(1-Table16[[#This Row],[RDS(on) Loss BoSync]]*RdsonBotTc*ThetaJA_Q3)</f>
        <v>0.75175713371685615</v>
      </c>
      <c r="AY47" s="345">
        <f>CHOOSE(Table16[[#This Row],[Mode Digit]], Rdson3*Table16[[#This Row],[Irms Lf]]^2, Rdson1*Table16[[#This Row],[Irms Lf]]^2, 0)</f>
        <v>0.46999460163311679</v>
      </c>
      <c r="AZ47" s="345">
        <f>CHOOSE(Table16[[#This Row],[Mode Digit]], 2*Deadtime*Fsw*IF(VfdSky_Q2&gt;0,VfdSky_Q2,0)*Table16[[#This Row],[Iout]], 2*Deadtime*Fsw*IF(VfdSky_Q3&gt;0,VfdSky_Q3,0)*Table16[[#This Row],[Iin]], 2*Deadtime*Fsw*IF(VfdSky_Q2&gt;0,VfdSky_Q2,0)*Table16[[#This Row],[Iout]]+2*Deadtime*Fsw*IF(VfdSky_Q3&gt;0,VfdSky_Q3,0)*Table16[[#This Row],[Iin]])</f>
        <v>0</v>
      </c>
      <c r="BA47" s="345">
        <f>CHOOSE(Table16[[#This Row],[Mode Digit]], IF(QrrSky_Q2&gt;0,QrrSky_Q2,Qrr_Q2)*Fsw*(Table16[[#This Row],[Vin]]-Table16[[#This Row],[Iout]]*Rdson1),0,  IF(QrrSky_Q2&gt;0,QrrSky_Q2,Qrr_Q2)*Fsw*(Table16[[#This Row],[Vin]]-Table16[[#This Row],[Iout]]*Rdson1)+IF(QrrSky_Q3&gt;0,QrrSky_Q3,Qrr_Q3)*Fsw*Vout)</f>
        <v>0</v>
      </c>
      <c r="BB47" s="345">
        <f>CHOOSE(Table16[[#This Row],[Mode Digit]],0, IF(QrrSky_Q3&gt;0,QrrSky_Q3,Qrr_Q3)*Fsw*Vout,  IF(QrrSky_Q2&gt;0,QrrSky_Q2,Qrr_Q2)*Fsw*(Table16[[#This Row],[Vin]]-Table16[[#This Row],[Iout]]*Rdson1)+IF(QrrSky_Q3&gt;0,QrrSky_Q3,Qrr_Q3)*Fsw*Vout)</f>
        <v>0.35660799999999998</v>
      </c>
      <c r="BC47" s="345">
        <f>CHOOSE(Table16[[#This Row],[Mode Digit]], Rs*Table16[[#This Row],[Irms BuSync]]^2, Rs*Table16[[#This Row],[Irms BoCtlr]]^2, Rs*(Table16[[#This Row],[Irms BuSync]]^2+Table16[[#This Row],[Irms BoCtlr]]^2))</f>
        <v>4.7802087914578725E-2</v>
      </c>
      <c r="BD47" s="345">
        <f t="shared" si="1"/>
        <v>0.64</v>
      </c>
      <c r="BE47" s="345">
        <f>IF(Vout&gt;8, Iq*Vout, Iq*Table16[[#This Row],[Vin]])</f>
        <v>4.8000000000000001E-2</v>
      </c>
      <c r="BF47" s="345">
        <f>CHOOSE(Table16[[#This Row],[Mode Digit]], (Qg_Q1+Qg_Q2)*Fsw, (Qg_Q3+Qg_Q4)*Fsw, (Qg_Q1+Qg_Q2+Qg_Q3+Qg_Q4)*Fsw)*IF(Vout&gt;8, Vout, Table16[[#This Row],[Vin]])</f>
        <v>0.85331200000000007</v>
      </c>
      <c r="BG47" s="345">
        <f t="shared" si="2"/>
        <v>0.50594479787234037</v>
      </c>
      <c r="BH47" s="345">
        <f>Table16[[#This Row],[IQ Loss]]+Table16[[#This Row],[Switching Current Loss]]</f>
        <v>0.90131200000000011</v>
      </c>
      <c r="BI47"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5.2598112606526612</v>
      </c>
      <c r="BJ47" s="253">
        <f>Vout*Table16[[#This Row],[Iout]]</f>
        <v>128</v>
      </c>
      <c r="BK47" s="684">
        <f>Table16[[#This Row],[Pout]]/(Table16[[#This Row],[Pout]]+Table16[[#This Row],[Total Loss]])</f>
        <v>0.96052965098108523</v>
      </c>
      <c r="BL47"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77.87986666130476</v>
      </c>
      <c r="BM47" s="685">
        <f>IF(Table16[[#This Row],[Vin]]&gt;Vout, Table16[[#This Row],[Total Sync Bu MOSFET Loss]]*ThetaJA_Q2, ThetaJA_Q3*Table16[[#This Row],[Total Sync Bo MOSFET Loss]])</f>
        <v>48.864213691595651</v>
      </c>
      <c r="BN47" s="640"/>
      <c r="BO47" s="292">
        <f>Table16[[#This Row],[EFF, h]]*100</f>
        <v>96.05296509810853</v>
      </c>
      <c r="BP47" s="345">
        <f>Table16[[#This Row],[Total Inductor Loss]]</f>
        <v>1.1325087032913839</v>
      </c>
      <c r="BQ47" s="345">
        <f>Table16[[#This Row],[Total Control Bu MOSFET Loss]]+Table16[[#This Row],[Total Sync Bu MOSFET Loss]]+Table16[[#This Row],[Total Control Bo MOSFET Loss]]+Table16[[#This Row],[Total Sync Bo MOSFET Loss]]+Table16[[#This Row],[Reverse Recovery Loss MOSFET D BUCK]]+Table16[[#This Row],[Reverse Recovery Loss MOSFET D BOOST]]</f>
        <v>2.485331405297349</v>
      </c>
      <c r="BR47" s="345">
        <f>Table16[[#This Row],[Total Control Bu MOSFET Loss]]+Table16[[#This Row],[Reverse Recovery Loss MOSFET D BUCK]]*0.66</f>
        <v>0.5354224767911886</v>
      </c>
      <c r="BS47" s="345">
        <f>Table16[[#This Row],[Total Sync Bu MOSFET Loss]]+Table16[[#This Row],[Reverse Recovery Loss MOSFET D BUCK]]*0.33</f>
        <v>0</v>
      </c>
      <c r="BT47" s="345">
        <f xml:space="preserve"> Table16[[#This Row],[Total Control Bo MOSFET Loss]]+Table16[[#This Row],[Reverse Recovery Loss MOSFET D BOOST]]*0.66</f>
        <v>1.0769050747893041</v>
      </c>
      <c r="BU47" s="345">
        <f xml:space="preserve"> Table16[[#This Row],[Total Sync Bo MOSFET Loss]]+Table16[[#This Row],[Reverse Recovery Loss MOSFET D BOOST]]*0.33</f>
        <v>0.86943777371685615</v>
      </c>
      <c r="BV47" s="345">
        <f>Table16[[#This Row],[Isense Shunt Loss]]</f>
        <v>4.7802087914578725E-2</v>
      </c>
      <c r="CA47" s="253">
        <v>9.9976269999999996</v>
      </c>
      <c r="CB47" s="253">
        <v>6.9470000000000001</v>
      </c>
      <c r="CC47" s="253">
        <v>5.1086669999999996</v>
      </c>
      <c r="CD47" s="253">
        <v>92.656807634751772</v>
      </c>
      <c r="CE47" s="253">
        <v>2812.6290012010018</v>
      </c>
    </row>
    <row r="48" spans="1:83" ht="13.6" x14ac:dyDescent="0.25">
      <c r="A48" s="688" t="s">
        <v>687</v>
      </c>
      <c r="B48" s="679" t="s">
        <v>113</v>
      </c>
      <c r="C48" s="688" t="s">
        <v>80</v>
      </c>
      <c r="D48" s="681" t="s">
        <v>109</v>
      </c>
      <c r="G48" s="253">
        <v>39</v>
      </c>
      <c r="H48" s="286">
        <f>VIN_min+(VIN_max-VIN_min)*(Table16[[#This Row],[Step]]/200)</f>
        <v>11.850000000000001</v>
      </c>
      <c r="I48" s="292" t="str">
        <f>IF(Mode = 2,IF(Table16[[#This Row],[Vin]]&gt;Vout, "BUCK","BOOST"),IF(Table16[[#This Row],[Vin]]&gt;VIN_BB_to_buck, "BUCK", IF(Table16[[#This Row],[Vin]]&lt;=VIN_boost_to_BB,"BOOST","BUCK-BST")))</f>
        <v>BOOST</v>
      </c>
      <c r="J48" s="253">
        <f>IF(Table16[[#This Row],[Mode]]="BOOST",2, IF(Table16[[#This Row],[Mode]]="BUCK", 1,3))</f>
        <v>2</v>
      </c>
      <c r="K48" s="253">
        <f t="shared" si="0"/>
        <v>8</v>
      </c>
      <c r="L48" s="292">
        <f>Vout*Table16[[#This Row],[Iout]]/(Table16[[#This Row],[Vin]]*Efficiency)</f>
        <v>11.370197646013768</v>
      </c>
      <c r="M48" s="682">
        <f>MIN(1/Fsw,CHOOSE(Table16[[#This Row],[Mode Digit]],(Vout+(Rdson2+Rs+Rdcr)*Table16[[#This Row],[Iout]])/(Table16[[#This Row],[Vin]]+(Rs+Rdson2-Rdson1)*Table16[[#This Row],[Iout]])/Fsw,(Vout+(Rdson3+Rdcr)*Table16[[#This Row],[Iin]]-Table16[[#This Row],[Vin]])/(Vout+(Rdson3-Rdson4-Rs)*Table16[[#This Row],[Iin]])/Fsw,t1_Ph_II))</f>
        <v>6.6427264455306372E-7</v>
      </c>
      <c r="N48" s="518">
        <f>CHOOSE(Table16[[#This Row],[Mode Digit]],1/Fsw-Table16[[#This Row],[t1_Ph_II]],1/Fsw-Table16[[#This Row],[t1_Ph_II]],(Vout/Fsw-Table16[[#This Row],[Vin]]*t1_Ph_II)/(Table16[[#This Row],[Vin]]+Vout))</f>
        <v>1.8482901695172881E-6</v>
      </c>
      <c r="O48" s="518">
        <f>1/Fsw-(Table16[[#This Row],[t1_Ph_II]]+Table16[[#This Row],[t2_Ph_I]])</f>
        <v>0</v>
      </c>
      <c r="P48"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9.1836335243599336</v>
      </c>
      <c r="Q48" s="292">
        <f>CHOOSE(Table16[[#This Row],[Mode Digit]],Table16[[#This Row],[I_0]]+1/Lf*(Table16[[#This Row],[Vin]]-Vout)*Table16[[#This Row],[t1_Ph_II]],Table16[[#This Row],[I_0]]+1/Lf*Table16[[#This Row],[Vin]]*Table16[[#This Row],[t1_Ph_II]],Table16[[#This Row],[I_0]]+(Table16[[#This Row],[Vin]]-Vout)/L*Table16[[#This Row],[t1_Ph_II]])</f>
        <v>13.556761767667602</v>
      </c>
      <c r="R48" s="292">
        <f>CHOOSE(Table16[[#This Row],[Mode Digit]],0,0,Table16[[#This Row],[I_1]]+Table16[[#This Row],[Vin]]/L*Table16[[#This Row],[t2_Ph_I]])</f>
        <v>0</v>
      </c>
      <c r="S48" s="292">
        <f>Fsw*(Table16[[#This Row],[I_0]]*Table16[[#This Row],[t1_Ph_II]]+Table16[[#This Row],[I_1]]*Table16[[#This Row],[t2_Ph_I]]+Table16[[#This Row],[I_2]]*Table16[[#This Row],[t3_Ph_III]])</f>
        <v>12.400591881333234</v>
      </c>
      <c r="T48" s="345">
        <f>MIN(1,CHOOSE(Table16[[#This Row],[Mode Digit]],(Vout+(Rdson2+Rs+Rdcr)*Table16[[#This Row],[Iout]])/(Table16[[#This Row],[Vin]]+(Rs+Rdson2-Rdson1)*Table16[[#This Row],[Iout]]),1,Fsw*Table16[[#This Row],[t2_Ph_I]]+Table16[[#This Row],[t1_Ph_II]]))</f>
        <v>1</v>
      </c>
      <c r="U48" s="345">
        <f>MIN(1,CHOOSE(Table16[[#This Row],[Mode Digit]],0,(Vout+(Rdson3+Rdcr)*Table16[[#This Row],[Iin]]-Table16[[#This Row],[Vin]])/(Vout+(Rdson3-Rdson4-Rs)*Table16[[#This Row],[Iin]]),Fsw*Table16[[#This Row],[t1_Ph_II]]+Table16[[#This Row],[t3_Ph_III]]))</f>
        <v>0.26438051253211936</v>
      </c>
      <c r="V48" s="292">
        <f>MAX(Table16[[#This Row],[I_0]:[I_2]])-MIN(Table16[[#This Row],[I_0]:[I_1]])</f>
        <v>4.3731282433076686</v>
      </c>
      <c r="W48"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11.440064775258849</v>
      </c>
      <c r="X48" s="345">
        <f>(Table16[[#This Row],[Irms Lf]]^2*Rdcr*(1+Ltc*Ta-Ltc*25))/(1-Table16[[#This Row],[Irms Lf]]^2*Rdcr*Ltc*ThetaCa)</f>
        <v>0.43331816345011687</v>
      </c>
      <c r="Y48" s="345">
        <f>ABS(7.759*10^-3*Fsw^0.9458*(0.00787*Table16[[#This Row],[Ripple Current pk-pk]])^2.304)</f>
        <v>0.6529594390707959</v>
      </c>
      <c r="Z48" s="345">
        <f>Table16[[#This Row],[DCR    Loss]]+Table16[[#This Row],[Core Loss]]</f>
        <v>1.0862776025209127</v>
      </c>
      <c r="AA48" s="292">
        <f>IF(Table16[[#This Row],[Vin]]&gt;Vout, Table16[[#This Row],[Ripple Current pk-pk]]/SQRT(12), SQRT(Table16[[#This Row],[Duty Cycle BOOST Leg]]/(1-Table16[[#This Row],[Duty Cycle BOOST Leg]]))*SQRT(Table16[[#This Row],[Iout]]^2+(Table16[[#This Row],[Ripple Current pk-pk]]^2)/12))</f>
        <v>4.8553342247423661</v>
      </c>
      <c r="AB48" s="345">
        <f>RCoutEsr*Table16[[#This Row],[Irms Cout]]^2</f>
        <v>4.7148540867909108E-2</v>
      </c>
      <c r="AC48" s="345">
        <f>Table16[[#This Row],[Cout ESR Loss]]</f>
        <v>4.7148540867909108E-2</v>
      </c>
      <c r="AD48" s="345">
        <f>IF(Table16[[#This Row],[Vin]]&gt;Vout, SQRT(Table16[[#This Row],[Duty Cycle BUCK Leg]]*(1-Table16[[#This Row],[Duty Cycle BUCK Leg]]))*SQRT(Table16[[#This Row],[Iout]]^2+(Table16[[#This Row],[Ripple Current pk-pk]]^2)/12), Table16[[#This Row],[Ripple Current pk-pk]]/SQRT(12))</f>
        <v>1.2624133842372189</v>
      </c>
      <c r="AE48" s="345">
        <f>RCinEsr*Table16[[#This Row],[Irms Cin]]^2</f>
        <v>3.1873751054025362E-3</v>
      </c>
      <c r="AF48" s="683">
        <f>Table16[[#This Row],[Cin ESR Loss]]</f>
        <v>3.1873751054025362E-3</v>
      </c>
      <c r="AG48"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11.440064775258849</v>
      </c>
      <c r="AH48" s="345">
        <f>Rdson1*Table16[[#This Row],[Irms BuCtrl]]^2</f>
        <v>0.458062787217414</v>
      </c>
      <c r="AI48" s="345">
        <f>CHOOSE(Table16[[#This Row],[Mode Digit]], (Table16[[#This Row],[Vin]]*Table16[[#This Row],[Iout]]/2)*(Fsw)*(Tr_buck+Tf_buck), 0, (Table16[[#This Row],[Vin]]*Table16[[#This Row],[Avg IL]]/2)*(Fsw/1)*(Tr_buck+Tf_buck))</f>
        <v>0</v>
      </c>
      <c r="AJ48" s="253">
        <f>IF(Table16[[#This Row],[Vin]]&gt;Vout, IF(Table16[[#This Row],[Iout]]&gt;Table16[[#This Row],[Ripple Current pk-pk]]/2,0,ABS(Table16[[#This Row],[Iout]]-Table16[[#This Row],[Ripple Current pk-pk]]/2)*Vsd_Q1*Deadtime*Fsw),0)</f>
        <v>0</v>
      </c>
      <c r="AK48" s="345">
        <f>(Table16[[#This Row],[Dead Time Loss BuCtrl]]+Table16[[#This Row],[Transition Loss BuCtrl]]+Table16[[#This Row],[RDS(on) Loss BuCtrl]]*(1+RdsonTopTc*Ta-RdsonTopTc*25))/(1-Table16[[#This Row],[RDS(on) Loss BuCtrl]]*RdsonTopTc*ThetaJA_Q1)</f>
        <v>0.51999191290604052</v>
      </c>
      <c r="AL48" s="345">
        <f>CHOOSE(Table16[[#This Row],[Mode Digit]],SQRT((Fsw*(Table16[[#This Row],[t2_Ph_I]]+0))*((Table16[[#This Row],[I_0]]*Table16[[#This Row],[I_1]]+((Table16[[#This Row],[I_0]]-Table16[[#This Row],[I_1]])^2)/3))),0,SQRT((Fsw*(Table16[[#This Row],[t3_Ph_III]]+0))*((Table16[[#This Row],[I_0]]*Table16[[#This Row],[I_2]]+((Table16[[#This Row],[I_0]]-Table16[[#This Row],[I_2]])^2)/3))))</f>
        <v>0</v>
      </c>
      <c r="AM48" s="345">
        <f>Rdson2*Table16[[#This Row],[Irms BuSync]]^2</f>
        <v>0</v>
      </c>
      <c r="AN48"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48" s="345">
        <f>(Table16[[#This Row],[Deadtime Loss BuSync]]+Table16[[#This Row],[RDS(on) Loss BuSync]]*(1+RdsonBotTc*Ta-RdsonBotTc*25))/(1-Table16[[#This Row],[RDS(on) Loss BuSync]]*RdsonBotTc*ThetaJA_Q2)</f>
        <v>0</v>
      </c>
      <c r="AP48" s="345">
        <f>CHOOSE(Table16[[#This Row],[Mode Digit]],0,SQRT((Fsw*(Table16[[#This Row],[t1_Ph_II]]+0))*((Table16[[#This Row],[I_0]]*Table16[[#This Row],[I_1]]+((Table16[[#This Row],[I_0]]-Table16[[#This Row],[I_1]])^2)/3))),SQRT((Fsw*(Table16[[#This Row],[t2_Ph_I]]+0))*((Table16[[#This Row],[I_1]]*Table16[[#This Row],[I_2]]+((Table16[[#This Row],[I_1]]-Table16[[#This Row],[I_2]])^2)/3))))</f>
        <v>5.8822462778487958</v>
      </c>
      <c r="AQ48" s="345">
        <f>Rdson4*Table16[[#This Row],[Irms BoCtlr]]^2</f>
        <v>0.12110287445643104</v>
      </c>
      <c r="AR48" s="345">
        <f>CHOOSE(Table16[[#This Row],[Mode Digit]], 0, (Vout*Table16[[#This Row],[Iin]]/2)*(Fsw)*(Tr_boost+Tf_boost), (Vout*Iout/2)*(Fsw/1)*(Tr_boost+Tf_boost))</f>
        <v>0.67601966172471384</v>
      </c>
      <c r="AS48" s="253">
        <f>IF(Table16[[#This Row],[Vin]]&gt;Vout, 0, IF(Table16[[#This Row],[Iin]]&gt;Table16[[#This Row],[Ripple Current pk-pk]]/2,0,ABS(Table16[[#This Row],[Iin]]-Table16[[#This Row],[Ripple Current pk-pk]]/2)*Vsd_Q4*Deadtime*Fsw))</f>
        <v>0</v>
      </c>
      <c r="AT48" s="345">
        <f>(Table16[[#This Row],[Dead Time Loss BoCtlr]]+Table16[[#This Row],[Transition Loss BoCtlr]]+Table16[[#This Row],[RDS(on) Loss BoCtlr]]*(1+RdsonTopTc*Ta-RdsonTopTc*25))/(1-Table16[[#This Row],[RDS(on) Loss BoCtlr]]*RdsonTopTc*ThetaJA_Q4)</f>
        <v>0.82303730383371987</v>
      </c>
      <c r="AU48"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9.8119448015595907</v>
      </c>
      <c r="AV48" s="345">
        <f>Rdson3*Table16[[#This Row],[Irms BoSync]]^2</f>
        <v>0.33695991276098297</v>
      </c>
      <c r="AW48"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0.33940039973351094</v>
      </c>
      <c r="AX48" s="345">
        <f>(Table16[[#This Row],[Deadtime Loss BoSync]]+Table16[[#This Row],[RDS(on) Loss BoSync]]*(1+RdsonBotTc*Ta-RdsonBotTc*25))/(1-Table16[[#This Row],[RDS(on) Loss BoSync]]*RdsonBotTc*ThetaJA_Q3)</f>
        <v>0.74130580032416904</v>
      </c>
      <c r="AY48" s="345">
        <f>CHOOSE(Table16[[#This Row],[Mode Digit]], Rdson3*Table16[[#This Row],[Irms Lf]]^2, Rdson1*Table16[[#This Row],[Irms Lf]]^2, 0)</f>
        <v>0.458062787217414</v>
      </c>
      <c r="AZ48" s="345">
        <f>CHOOSE(Table16[[#This Row],[Mode Digit]], 2*Deadtime*Fsw*IF(VfdSky_Q2&gt;0,VfdSky_Q2,0)*Table16[[#This Row],[Iout]], 2*Deadtime*Fsw*IF(VfdSky_Q3&gt;0,VfdSky_Q3,0)*Table16[[#This Row],[Iin]], 2*Deadtime*Fsw*IF(VfdSky_Q2&gt;0,VfdSky_Q2,0)*Table16[[#This Row],[Iout]]+2*Deadtime*Fsw*IF(VfdSky_Q3&gt;0,VfdSky_Q3,0)*Table16[[#This Row],[Iin]])</f>
        <v>0</v>
      </c>
      <c r="BA48" s="345">
        <f>CHOOSE(Table16[[#This Row],[Mode Digit]], IF(QrrSky_Q2&gt;0,QrrSky_Q2,Qrr_Q2)*Fsw*(Table16[[#This Row],[Vin]]-Table16[[#This Row],[Iout]]*Rdson1),0,  IF(QrrSky_Q2&gt;0,QrrSky_Q2,Qrr_Q2)*Fsw*(Table16[[#This Row],[Vin]]-Table16[[#This Row],[Iout]]*Rdson1)+IF(QrrSky_Q3&gt;0,QrrSky_Q3,Qrr_Q3)*Fsw*Vout)</f>
        <v>0</v>
      </c>
      <c r="BB48" s="345">
        <f>CHOOSE(Table16[[#This Row],[Mode Digit]],0, IF(QrrSky_Q3&gt;0,QrrSky_Q3,Qrr_Q3)*Fsw*Vout,  IF(QrrSky_Q2&gt;0,QrrSky_Q2,Qrr_Q2)*Fsw*(Table16[[#This Row],[Vin]]-Table16[[#This Row],[Iout]]*Rdson1)+IF(QrrSky_Q3&gt;0,QrrSky_Q3,Qrr_Q3)*Fsw*Vout)</f>
        <v>0.35660799999999998</v>
      </c>
      <c r="BC48" s="345">
        <f>CHOOSE(Table16[[#This Row],[Mode Digit]], Rs*Table16[[#This Row],[Irms BuSync]]^2, Rs*Table16[[#This Row],[Irms BoCtlr]]^2, Rs*(Table16[[#This Row],[Irms BuSync]]^2+Table16[[#This Row],[Irms BoCtlr]]^2))</f>
        <v>4.4981067655245816E-2</v>
      </c>
      <c r="BD48" s="345">
        <f t="shared" si="1"/>
        <v>0.64</v>
      </c>
      <c r="BE48" s="345">
        <f>IF(Vout&gt;8, Iq*Vout, Iq*Table16[[#This Row],[Vin]])</f>
        <v>4.8000000000000001E-2</v>
      </c>
      <c r="BF48" s="345">
        <f>CHOOSE(Table16[[#This Row],[Mode Digit]], (Qg_Q1+Qg_Q2)*Fsw, (Qg_Q3+Qg_Q4)*Fsw, (Qg_Q1+Qg_Q2+Qg_Q3+Qg_Q4)*Fsw)*IF(Vout&gt;8, Vout, Table16[[#This Row],[Vin]])</f>
        <v>0.85331200000000007</v>
      </c>
      <c r="BG48" s="345">
        <f t="shared" si="2"/>
        <v>0.50594479787234037</v>
      </c>
      <c r="BH48" s="345">
        <f>Table16[[#This Row],[IQ Loss]]+Table16[[#This Row],[Switching Current Loss]]</f>
        <v>0.90131200000000011</v>
      </c>
      <c r="BI48"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5.1638496032133991</v>
      </c>
      <c r="BJ48" s="253">
        <f>Vout*Table16[[#This Row],[Iout]]</f>
        <v>128</v>
      </c>
      <c r="BK48" s="684">
        <f>Table16[[#This Row],[Pout]]/(Table16[[#This Row],[Pout]]+Table16[[#This Row],[Total Loss]])</f>
        <v>0.96122183596674271</v>
      </c>
      <c r="BL48"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76.67694474919179</v>
      </c>
      <c r="BM48" s="685">
        <f>IF(Table16[[#This Row],[Vin]]&gt;Vout, Table16[[#This Row],[Total Sync Bu MOSFET Loss]]*ThetaJA_Q2, ThetaJA_Q3*Table16[[#This Row],[Total Sync Bo MOSFET Loss]])</f>
        <v>48.184877021070989</v>
      </c>
      <c r="BN48" s="640"/>
      <c r="BO48" s="292">
        <f>Table16[[#This Row],[EFF, h]]*100</f>
        <v>96.122183596674276</v>
      </c>
      <c r="BP48" s="345">
        <f>Table16[[#This Row],[Total Inductor Loss]]</f>
        <v>1.0862776025209127</v>
      </c>
      <c r="BQ48" s="345">
        <f>Table16[[#This Row],[Total Control Bu MOSFET Loss]]+Table16[[#This Row],[Total Sync Bu MOSFET Loss]]+Table16[[#This Row],[Total Control Bo MOSFET Loss]]+Table16[[#This Row],[Total Sync Bo MOSFET Loss]]+Table16[[#This Row],[Reverse Recovery Loss MOSFET D BUCK]]+Table16[[#This Row],[Reverse Recovery Loss MOSFET D BOOST]]</f>
        <v>2.4409430170639292</v>
      </c>
      <c r="BR48" s="345">
        <f>Table16[[#This Row],[Total Control Bu MOSFET Loss]]+Table16[[#This Row],[Reverse Recovery Loss MOSFET D BUCK]]*0.66</f>
        <v>0.51999191290604052</v>
      </c>
      <c r="BS48" s="345">
        <f>Table16[[#This Row],[Total Sync Bu MOSFET Loss]]+Table16[[#This Row],[Reverse Recovery Loss MOSFET D BUCK]]*0.33</f>
        <v>0</v>
      </c>
      <c r="BT48" s="345">
        <f xml:space="preserve"> Table16[[#This Row],[Total Control Bo MOSFET Loss]]+Table16[[#This Row],[Reverse Recovery Loss MOSFET D BOOST]]*0.66</f>
        <v>1.05839858383372</v>
      </c>
      <c r="BU48" s="345">
        <f xml:space="preserve"> Table16[[#This Row],[Total Sync Bo MOSFET Loss]]+Table16[[#This Row],[Reverse Recovery Loss MOSFET D BOOST]]*0.33</f>
        <v>0.85898644032416904</v>
      </c>
      <c r="BV48" s="345">
        <f>Table16[[#This Row],[Isense Shunt Loss]]</f>
        <v>4.4981067655245816E-2</v>
      </c>
      <c r="CA48" s="253">
        <v>9.9975280000000009</v>
      </c>
      <c r="CB48" s="253">
        <v>7.7530000000000001</v>
      </c>
      <c r="CC48" s="253">
        <v>5.10853</v>
      </c>
      <c r="CD48" s="253">
        <v>92.034336419785248</v>
      </c>
      <c r="CE48" s="253">
        <v>3427.976173640001</v>
      </c>
    </row>
    <row r="49" spans="1:83" ht="13.6" x14ac:dyDescent="0.25">
      <c r="A49" s="691" t="s">
        <v>72</v>
      </c>
      <c r="B49" s="569">
        <f>Rdson2*1000</f>
        <v>3.5</v>
      </c>
      <c r="C49" s="695" t="s">
        <v>601</v>
      </c>
      <c r="D49" s="255" t="s">
        <v>688</v>
      </c>
      <c r="G49" s="253">
        <v>40</v>
      </c>
      <c r="H49" s="286">
        <f>VIN_min+(VIN_max-VIN_min)*(Table16[[#This Row],[Step]]/200)</f>
        <v>12</v>
      </c>
      <c r="I49" s="292" t="str">
        <f>IF(Mode = 2,IF(Table16[[#This Row],[Vin]]&gt;Vout, "BUCK","BOOST"),IF(Table16[[#This Row],[Vin]]&gt;VIN_BB_to_buck, "BUCK", IF(Table16[[#This Row],[Vin]]&lt;=VIN_boost_to_BB,"BOOST","BUCK-BST")))</f>
        <v>BOOST</v>
      </c>
      <c r="J49" s="253">
        <f>IF(Table16[[#This Row],[Mode]]="BOOST",2, IF(Table16[[#This Row],[Mode]]="BUCK", 1,3))</f>
        <v>2</v>
      </c>
      <c r="K49" s="253">
        <f t="shared" si="0"/>
        <v>8</v>
      </c>
      <c r="L49" s="292">
        <f>Vout*Table16[[#This Row],[Iout]]/(Table16[[#This Row],[Vin]]*Efficiency)</f>
        <v>11.228070175438598</v>
      </c>
      <c r="M49" s="682">
        <f>MIN(1/Fsw,CHOOSE(Table16[[#This Row],[Mode Digit]],(Vout+(Rdson2+Rs+Rdcr)*Table16[[#This Row],[Iout]])/(Table16[[#This Row],[Vin]]+(Rs+Rdson2-Rdson1)*Table16[[#This Row],[Iout]])/Fsw,(Vout+(Rdson3+Rdcr)*Table16[[#This Row],[Iin]]-Table16[[#This Row],[Vin]])/(Vout+(Rdson3-Rdson4-Rs)*Table16[[#This Row],[Iin]])/Fsw,t1_Ph_II))</f>
        <v>6.4053850766793151E-7</v>
      </c>
      <c r="N49" s="518">
        <f>CHOOSE(Table16[[#This Row],[Mode Digit]],1/Fsw-Table16[[#This Row],[t1_Ph_II]],1/Fsw-Table16[[#This Row],[t1_Ph_II]],(Vout/Fsw-Table16[[#This Row],[Vin]]*t1_Ph_II)/(Table16[[#This Row],[Vin]]+Vout))</f>
        <v>1.8720243064024204E-6</v>
      </c>
      <c r="O49" s="518">
        <f>1/Fsw-(Table16[[#This Row],[t1_Ph_II]]+Table16[[#This Row],[t2_Ph_I]])</f>
        <v>0</v>
      </c>
      <c r="P49"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9.0929418165454923</v>
      </c>
      <c r="Q49" s="292">
        <f>CHOOSE(Table16[[#This Row],[Mode Digit]],Table16[[#This Row],[I_0]]+1/Lf*(Table16[[#This Row],[Vin]]-Vout)*Table16[[#This Row],[t1_Ph_II]],Table16[[#This Row],[I_0]]+1/Lf*Table16[[#This Row],[Vin]]*Table16[[#This Row],[t1_Ph_II]],Table16[[#This Row],[I_0]]+(Table16[[#This Row],[Vin]]-Vout)/L*Table16[[#This Row],[t1_Ph_II]])</f>
        <v>13.363198534331701</v>
      </c>
      <c r="R49" s="292">
        <f>CHOOSE(Table16[[#This Row],[Mode Digit]],0,0,Table16[[#This Row],[I_1]]+Table16[[#This Row],[Vin]]/L*Table16[[#This Row],[t2_Ph_I]])</f>
        <v>0</v>
      </c>
      <c r="S49" s="292">
        <f>Fsw*(Table16[[#This Row],[I_0]]*Table16[[#This Row],[t1_Ph_II]]+Table16[[#This Row],[I_1]]*Table16[[#This Row],[t2_Ph_I]]+Table16[[#This Row],[I_2]]*Table16[[#This Row],[t3_Ph_III]])</f>
        <v>12.274563515914545</v>
      </c>
      <c r="T49" s="345">
        <f>MIN(1,CHOOSE(Table16[[#This Row],[Mode Digit]],(Vout+(Rdson2+Rs+Rdcr)*Table16[[#This Row],[Iout]])/(Table16[[#This Row],[Vin]]+(Rs+Rdson2-Rdson1)*Table16[[#This Row],[Iout]]),1,Fsw*Table16[[#This Row],[t2_Ph_I]]+Table16[[#This Row],[t1_Ph_II]]))</f>
        <v>1</v>
      </c>
      <c r="U49" s="345">
        <f>MIN(1,CHOOSE(Table16[[#This Row],[Mode Digit]],0,(Vout+(Rdson3+Rdcr)*Table16[[#This Row],[Iin]]-Table16[[#This Row],[Vin]])/(Vout+(Rdson3-Rdson4-Rs)*Table16[[#This Row],[Iin]]),Fsw*Table16[[#This Row],[t1_Ph_II]]+Table16[[#This Row],[t3_Ph_III]]))</f>
        <v>0.25493432605183675</v>
      </c>
      <c r="V49" s="292">
        <f>MAX(Table16[[#This Row],[I_0]:[I_2]])-MIN(Table16[[#This Row],[I_0]:[I_1]])</f>
        <v>4.270256717786209</v>
      </c>
      <c r="W49"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11.295536769046889</v>
      </c>
      <c r="X49" s="345">
        <f>(Table16[[#This Row],[Irms Lf]]^2*Rdcr*(1+Ltc*Ta-Ltc*25))/(1-Table16[[#This Row],[Irms Lf]]^2*Rdcr*Ltc*ThetaCa)</f>
        <v>0.42207132366519945</v>
      </c>
      <c r="Y49" s="345">
        <f>ABS(7.759*10^-3*Fsw^0.9458*(0.00787*Table16[[#This Row],[Ripple Current pk-pk]])^2.304)</f>
        <v>0.61811164446644651</v>
      </c>
      <c r="Z49" s="345">
        <f>Table16[[#This Row],[DCR    Loss]]+Table16[[#This Row],[Core Loss]]</f>
        <v>1.0401829681316459</v>
      </c>
      <c r="AA49" s="292">
        <f>IF(Table16[[#This Row],[Vin]]&gt;Vout, Table16[[#This Row],[Ripple Current pk-pk]]/SQRT(12), SQRT(Table16[[#This Row],[Duty Cycle BOOST Leg]]/(1-Table16[[#This Row],[Duty Cycle BOOST Leg]]))*SQRT(Table16[[#This Row],[Iout]]^2+(Table16[[#This Row],[Ripple Current pk-pk]]^2)/12))</f>
        <v>4.7348090509673071</v>
      </c>
      <c r="AB49" s="345">
        <f>RCoutEsr*Table16[[#This Row],[Irms Cout]]^2</f>
        <v>4.4836833498243862E-2</v>
      </c>
      <c r="AC49" s="345">
        <f>Table16[[#This Row],[Cout ESR Loss]]</f>
        <v>4.4836833498243862E-2</v>
      </c>
      <c r="AD49" s="345">
        <f>IF(Table16[[#This Row],[Vin]]&gt;Vout, SQRT(Table16[[#This Row],[Duty Cycle BUCK Leg]]*(1-Table16[[#This Row],[Duty Cycle BUCK Leg]]))*SQRT(Table16[[#This Row],[Iout]]^2+(Table16[[#This Row],[Ripple Current pk-pk]]^2)/12), Table16[[#This Row],[Ripple Current pk-pk]]/SQRT(12))</f>
        <v>1.2327169327613379</v>
      </c>
      <c r="AE49" s="345">
        <f>RCinEsr*Table16[[#This Row],[Irms Cin]]^2</f>
        <v>3.0391820726330416E-3</v>
      </c>
      <c r="AF49" s="683">
        <f>Table16[[#This Row],[Cin ESR Loss]]</f>
        <v>3.0391820726330416E-3</v>
      </c>
      <c r="AG49"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11.295536769046889</v>
      </c>
      <c r="AH49" s="345">
        <f>Rdson1*Table16[[#This Row],[Irms BuCtrl]]^2</f>
        <v>0.4465620281531158</v>
      </c>
      <c r="AI49" s="345">
        <f>CHOOSE(Table16[[#This Row],[Mode Digit]], (Table16[[#This Row],[Vin]]*Table16[[#This Row],[Iout]]/2)*(Fsw)*(Tr_buck+Tf_buck), 0, (Table16[[#This Row],[Vin]]*Table16[[#This Row],[Avg IL]]/2)*(Fsw/1)*(Tr_buck+Tf_buck))</f>
        <v>0</v>
      </c>
      <c r="AJ49" s="253">
        <f>IF(Table16[[#This Row],[Vin]]&gt;Vout, IF(Table16[[#This Row],[Iout]]&gt;Table16[[#This Row],[Ripple Current pk-pk]]/2,0,ABS(Table16[[#This Row],[Iout]]-Table16[[#This Row],[Ripple Current pk-pk]]/2)*Vsd_Q1*Deadtime*Fsw),0)</f>
        <v>0</v>
      </c>
      <c r="AK49" s="345">
        <f>(Table16[[#This Row],[Dead Time Loss BuCtrl]]+Table16[[#This Row],[Transition Loss BuCtrl]]+Table16[[#This Row],[RDS(on) Loss BuCtrl]]*(1+RdsonTopTc*Ta-RdsonTopTc*25))/(1-Table16[[#This Row],[RDS(on) Loss BuCtrl]]*RdsonTopTc*ThetaJA_Q1)</f>
        <v>0.50522131893394251</v>
      </c>
      <c r="AL49" s="345">
        <f>CHOOSE(Table16[[#This Row],[Mode Digit]],SQRT((Fsw*(Table16[[#This Row],[t2_Ph_I]]+0))*((Table16[[#This Row],[I_0]]*Table16[[#This Row],[I_1]]+((Table16[[#This Row],[I_0]]-Table16[[#This Row],[I_1]])^2)/3))),0,SQRT((Fsw*(Table16[[#This Row],[t3_Ph_III]]+0))*((Table16[[#This Row],[I_0]]*Table16[[#This Row],[I_2]]+((Table16[[#This Row],[I_0]]-Table16[[#This Row],[I_2]])^2)/3))))</f>
        <v>0</v>
      </c>
      <c r="AM49" s="345">
        <f>Rdson2*Table16[[#This Row],[Irms BuSync]]^2</f>
        <v>0</v>
      </c>
      <c r="AN49"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49" s="345">
        <f>(Table16[[#This Row],[Deadtime Loss BuSync]]+Table16[[#This Row],[RDS(on) Loss BuSync]]*(1+RdsonBotTc*Ta-RdsonBotTc*25))/(1-Table16[[#This Row],[RDS(on) Loss BuSync]]*RdsonBotTc*ThetaJA_Q2)</f>
        <v>0</v>
      </c>
      <c r="AP49" s="345">
        <f>CHOOSE(Table16[[#This Row],[Mode Digit]],0,SQRT((Fsw*(Table16[[#This Row],[t1_Ph_II]]+0))*((Table16[[#This Row],[I_0]]*Table16[[#This Row],[I_1]]+((Table16[[#This Row],[I_0]]-Table16[[#This Row],[I_1]])^2)/3))),SQRT((Fsw*(Table16[[#This Row],[t2_Ph_I]]+0))*((Table16[[#This Row],[I_1]]*Table16[[#This Row],[I_2]]+((Table16[[#This Row],[I_1]]-Table16[[#This Row],[I_2]])^2)/3))))</f>
        <v>5.7032319080013352</v>
      </c>
      <c r="AQ49" s="345">
        <f>Rdson4*Table16[[#This Row],[Irms BoCtlr]]^2</f>
        <v>0.11384398968755594</v>
      </c>
      <c r="AR49" s="345">
        <f>CHOOSE(Table16[[#This Row],[Mode Digit]], 0, (Vout*Table16[[#This Row],[Iin]]/2)*(Fsw)*(Tr_boost+Tf_boost), (Vout*Iout/2)*(Fsw/1)*(Tr_boost+Tf_boost))</f>
        <v>0.667569415953155</v>
      </c>
      <c r="AS49" s="253">
        <f>IF(Table16[[#This Row],[Vin]]&gt;Vout, 0, IF(Table16[[#This Row],[Iin]]&gt;Table16[[#This Row],[Ripple Current pk-pk]]/2,0,ABS(Table16[[#This Row],[Iin]]-Table16[[#This Row],[Ripple Current pk-pk]]/2)*Vsd_Q4*Deadtime*Fsw))</f>
        <v>0</v>
      </c>
      <c r="AT49" s="345">
        <f>(Table16[[#This Row],[Dead Time Loss BoCtlr]]+Table16[[#This Row],[Transition Loss BoCtlr]]+Table16[[#This Row],[RDS(on) Loss BoCtlr]]*(1+RdsonTopTc*Ta-RdsonTopTc*25))/(1-Table16[[#This Row],[RDS(on) Loss BoCtlr]]*RdsonTopTc*ThetaJA_Q4)</f>
        <v>0.80524830229039712</v>
      </c>
      <c r="AU49"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9.7499895745813845</v>
      </c>
      <c r="AV49" s="345">
        <f>Rdson3*Table16[[#This Row],[Irms BoSync]]^2</f>
        <v>0.33271803846555992</v>
      </c>
      <c r="AW49"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0.3351578947368421</v>
      </c>
      <c r="AX49" s="345">
        <f>(Table16[[#This Row],[Deadtime Loss BoSync]]+Table16[[#This Row],[RDS(on) Loss BoSync]]*(1+RdsonBotTc*Ta-RdsonBotTc*25))/(1-Table16[[#This Row],[RDS(on) Loss BoSync]]*RdsonBotTc*ThetaJA_Q3)</f>
        <v>0.73112296049892966</v>
      </c>
      <c r="AY49" s="345">
        <f>CHOOSE(Table16[[#This Row],[Mode Digit]], Rdson3*Table16[[#This Row],[Irms Lf]]^2, Rdson1*Table16[[#This Row],[Irms Lf]]^2, 0)</f>
        <v>0.4465620281531158</v>
      </c>
      <c r="AZ49" s="345">
        <f>CHOOSE(Table16[[#This Row],[Mode Digit]], 2*Deadtime*Fsw*IF(VfdSky_Q2&gt;0,VfdSky_Q2,0)*Table16[[#This Row],[Iout]], 2*Deadtime*Fsw*IF(VfdSky_Q3&gt;0,VfdSky_Q3,0)*Table16[[#This Row],[Iin]], 2*Deadtime*Fsw*IF(VfdSky_Q2&gt;0,VfdSky_Q2,0)*Table16[[#This Row],[Iout]]+2*Deadtime*Fsw*IF(VfdSky_Q3&gt;0,VfdSky_Q3,0)*Table16[[#This Row],[Iin]])</f>
        <v>0</v>
      </c>
      <c r="BA49" s="345">
        <f>CHOOSE(Table16[[#This Row],[Mode Digit]], IF(QrrSky_Q2&gt;0,QrrSky_Q2,Qrr_Q2)*Fsw*(Table16[[#This Row],[Vin]]-Table16[[#This Row],[Iout]]*Rdson1),0,  IF(QrrSky_Q2&gt;0,QrrSky_Q2,Qrr_Q2)*Fsw*(Table16[[#This Row],[Vin]]-Table16[[#This Row],[Iout]]*Rdson1)+IF(QrrSky_Q3&gt;0,QrrSky_Q3,Qrr_Q3)*Fsw*Vout)</f>
        <v>0</v>
      </c>
      <c r="BB49" s="345">
        <f>CHOOSE(Table16[[#This Row],[Mode Digit]],0, IF(QrrSky_Q3&gt;0,QrrSky_Q3,Qrr_Q3)*Fsw*Vout,  IF(QrrSky_Q2&gt;0,QrrSky_Q2,Qrr_Q2)*Fsw*(Table16[[#This Row],[Vin]]-Table16[[#This Row],[Iout]]*Rdson1)+IF(QrrSky_Q3&gt;0,QrrSky_Q3,Qrr_Q3)*Fsw*Vout)</f>
        <v>0.35660799999999998</v>
      </c>
      <c r="BC49" s="345">
        <f>CHOOSE(Table16[[#This Row],[Mode Digit]], Rs*Table16[[#This Row],[Irms BuSync]]^2, Rs*Table16[[#This Row],[Irms BoCtlr]]^2, Rs*(Table16[[#This Row],[Irms BuSync]]^2+Table16[[#This Row],[Irms BoCtlr]]^2))</f>
        <v>4.2284910455377918E-2</v>
      </c>
      <c r="BD49" s="345">
        <f t="shared" si="1"/>
        <v>0.64</v>
      </c>
      <c r="BE49" s="345">
        <f>IF(Vout&gt;8, Iq*Vout, Iq*Table16[[#This Row],[Vin]])</f>
        <v>4.8000000000000001E-2</v>
      </c>
      <c r="BF49" s="345">
        <f>CHOOSE(Table16[[#This Row],[Mode Digit]], (Qg_Q1+Qg_Q2)*Fsw, (Qg_Q3+Qg_Q4)*Fsw, (Qg_Q1+Qg_Q2+Qg_Q3+Qg_Q4)*Fsw)*IF(Vout&gt;8, Vout, Table16[[#This Row],[Vin]])</f>
        <v>0.85331200000000007</v>
      </c>
      <c r="BG49" s="345">
        <f t="shared" si="2"/>
        <v>0.50594479787234037</v>
      </c>
      <c r="BH49" s="345">
        <f>Table16[[#This Row],[IQ Loss]]+Table16[[#This Row],[Switching Current Loss]]</f>
        <v>0.90131200000000011</v>
      </c>
      <c r="BI49"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5.0698564758811697</v>
      </c>
      <c r="BJ49" s="253">
        <f>Vout*Table16[[#This Row],[Iout]]</f>
        <v>128</v>
      </c>
      <c r="BK49" s="684">
        <f>Table16[[#This Row],[Pout]]/(Table16[[#This Row],[Pout]]+Table16[[#This Row],[Total Loss]])</f>
        <v>0.96190078947894497</v>
      </c>
      <c r="BL49"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75.520659648875821</v>
      </c>
      <c r="BM49" s="685">
        <f>IF(Table16[[#This Row],[Vin]]&gt;Vout, Table16[[#This Row],[Total Sync Bu MOSFET Loss]]*ThetaJA_Q2, ThetaJA_Q3*Table16[[#This Row],[Total Sync Bo MOSFET Loss]])</f>
        <v>47.522992432430428</v>
      </c>
      <c r="BN49" s="640"/>
      <c r="BO49" s="292">
        <f>Table16[[#This Row],[EFF, h]]*100</f>
        <v>96.190078947894492</v>
      </c>
      <c r="BP49" s="345">
        <f>Table16[[#This Row],[Total Inductor Loss]]</f>
        <v>1.0401829681316459</v>
      </c>
      <c r="BQ49" s="345">
        <f>Table16[[#This Row],[Total Control Bu MOSFET Loss]]+Table16[[#This Row],[Total Sync Bu MOSFET Loss]]+Table16[[#This Row],[Total Control Bo MOSFET Loss]]+Table16[[#This Row],[Total Sync Bo MOSFET Loss]]+Table16[[#This Row],[Reverse Recovery Loss MOSFET D BUCK]]+Table16[[#This Row],[Reverse Recovery Loss MOSFET D BOOST]]</f>
        <v>2.3982005817232692</v>
      </c>
      <c r="BR49" s="345">
        <f>Table16[[#This Row],[Total Control Bu MOSFET Loss]]+Table16[[#This Row],[Reverse Recovery Loss MOSFET D BUCK]]*0.66</f>
        <v>0.50522131893394251</v>
      </c>
      <c r="BS49" s="345">
        <f>Table16[[#This Row],[Total Sync Bu MOSFET Loss]]+Table16[[#This Row],[Reverse Recovery Loss MOSFET D BUCK]]*0.33</f>
        <v>0</v>
      </c>
      <c r="BT49" s="345">
        <f xml:space="preserve"> Table16[[#This Row],[Total Control Bo MOSFET Loss]]+Table16[[#This Row],[Reverse Recovery Loss MOSFET D BOOST]]*0.66</f>
        <v>1.0406095822903971</v>
      </c>
      <c r="BU49" s="345">
        <f xml:space="preserve"> Table16[[#This Row],[Total Sync Bo MOSFET Loss]]+Table16[[#This Row],[Reverse Recovery Loss MOSFET D BOOST]]*0.33</f>
        <v>0.84880360049892967</v>
      </c>
      <c r="BV49" s="345">
        <f>Table16[[#This Row],[Isense Shunt Loss]]</f>
        <v>4.2284910455377918E-2</v>
      </c>
      <c r="CA49" s="253">
        <v>9.9970090000000003</v>
      </c>
      <c r="CB49" s="253">
        <v>8.6120000000000001</v>
      </c>
      <c r="CC49" s="253">
        <v>5.1085419999999999</v>
      </c>
      <c r="CD49" s="253">
        <v>91.346378256658895</v>
      </c>
      <c r="CE49" s="253">
        <v>4167.8065612820019</v>
      </c>
    </row>
    <row r="50" spans="1:83" x14ac:dyDescent="0.2">
      <c r="A50" s="691" t="s">
        <v>84</v>
      </c>
      <c r="B50" s="569">
        <f>RdsonBotTc*1000000</f>
        <v>4000</v>
      </c>
      <c r="C50" s="255" t="s">
        <v>85</v>
      </c>
      <c r="D50" s="255" t="s">
        <v>106</v>
      </c>
      <c r="G50" s="253">
        <v>41</v>
      </c>
      <c r="H50" s="286">
        <f>VIN_min+(VIN_max-VIN_min)*(Table16[[#This Row],[Step]]/200)</f>
        <v>12.149999999999999</v>
      </c>
      <c r="I50" s="292" t="str">
        <f>IF(Mode = 2,IF(Table16[[#This Row],[Vin]]&gt;Vout, "BUCK","BOOST"),IF(Table16[[#This Row],[Vin]]&gt;VIN_BB_to_buck, "BUCK", IF(Table16[[#This Row],[Vin]]&lt;=VIN_boost_to_BB,"BOOST","BUCK-BST")))</f>
        <v>BOOST</v>
      </c>
      <c r="J50" s="253">
        <f>IF(Table16[[#This Row],[Mode]]="BOOST",2, IF(Table16[[#This Row],[Mode]]="BUCK", 1,3))</f>
        <v>2</v>
      </c>
      <c r="K50" s="253">
        <f t="shared" si="0"/>
        <v>8</v>
      </c>
      <c r="L50" s="292">
        <f>Vout*Table16[[#This Row],[Iout]]/(Table16[[#This Row],[Vin]]*Efficiency)</f>
        <v>11.08945202512454</v>
      </c>
      <c r="M50" s="682">
        <f>MIN(1/Fsw,CHOOSE(Table16[[#This Row],[Mode Digit]],(Vout+(Rdson2+Rs+Rdcr)*Table16[[#This Row],[Iout]])/(Table16[[#This Row],[Vin]]+(Rs+Rdson2-Rdson1)*Table16[[#This Row],[Iout]])/Fsw,(Vout+(Rdson3+Rdcr)*Table16[[#This Row],[Iin]]-Table16[[#This Row],[Vin]])/(Vout+(Rdson3-Rdson4-Rs)*Table16[[#This Row],[Iin]])/Fsw,t1_Ph_II))</f>
        <v>6.1680879107428297E-7</v>
      </c>
      <c r="N50" s="518">
        <f>CHOOSE(Table16[[#This Row],[Mode Digit]],1/Fsw-Table16[[#This Row],[t1_Ph_II]],1/Fsw-Table16[[#This Row],[t1_Ph_II]],(Vout/Fsw-Table16[[#This Row],[Vin]]*t1_Ph_II)/(Table16[[#This Row],[Vin]]+Vout))</f>
        <v>1.8957540229960688E-6</v>
      </c>
      <c r="O50" s="518">
        <f>1/Fsw-(Table16[[#This Row],[t1_Ph_II]]+Table16[[#This Row],[t2_Ph_I]])</f>
        <v>0</v>
      </c>
      <c r="P50"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9.0077223552488359</v>
      </c>
      <c r="Q50" s="292">
        <f>CHOOSE(Table16[[#This Row],[Mode Digit]],Table16[[#This Row],[I_0]]+1/Lf*(Table16[[#This Row],[Vin]]-Vout)*Table16[[#This Row],[t1_Ph_II]],Table16[[#This Row],[I_0]]+1/Lf*Table16[[#This Row],[Vin]]*Table16[[#This Row],[t1_Ph_II]],Table16[[#This Row],[I_0]]+(Table16[[#This Row],[Vin]]-Vout)/L*Table16[[#This Row],[t1_Ph_II]])</f>
        <v>13.171181695000245</v>
      </c>
      <c r="R50" s="292">
        <f>CHOOSE(Table16[[#This Row],[Mode Digit]],0,0,Table16[[#This Row],[I_1]]+Table16[[#This Row],[Vin]]/L*Table16[[#This Row],[t2_Ph_I]])</f>
        <v>0</v>
      </c>
      <c r="S50" s="292">
        <f>Fsw*(Table16[[#This Row],[I_0]]*Table16[[#This Row],[t1_Ph_II]]+Table16[[#This Row],[I_1]]*Table16[[#This Row],[t2_Ph_I]]+Table16[[#This Row],[I_2]]*Table16[[#This Row],[t3_Ph_III]])</f>
        <v>12.149094482828723</v>
      </c>
      <c r="T50" s="345">
        <f>MIN(1,CHOOSE(Table16[[#This Row],[Mode Digit]],(Vout+(Rdson2+Rs+Rdcr)*Table16[[#This Row],[Iout]])/(Table16[[#This Row],[Vin]]+(Rs+Rdson2-Rdson1)*Table16[[#This Row],[Iout]]),1,Fsw*Table16[[#This Row],[t2_Ph_I]]+Table16[[#This Row],[t1_Ph_II]]))</f>
        <v>1</v>
      </c>
      <c r="U50" s="345">
        <f>MIN(1,CHOOSE(Table16[[#This Row],[Mode Digit]],0,(Vout+(Rdson3+Rdcr)*Table16[[#This Row],[Iin]]-Table16[[#This Row],[Vin]])/(Vout+(Rdson3-Rdson4-Rs)*Table16[[#This Row],[Iin]]),Fsw*Table16[[#This Row],[t1_Ph_II]]+Table16[[#This Row],[t3_Ph_III]]))</f>
        <v>0.24548989884756464</v>
      </c>
      <c r="V50" s="292">
        <f>MAX(Table16[[#This Row],[I_0]:[I_2]])-MIN(Table16[[#This Row],[I_0]:[I_1]])</f>
        <v>4.1634593397514088</v>
      </c>
      <c r="W50"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11.154392812864613</v>
      </c>
      <c r="X50" s="345">
        <f>(Table16[[#This Row],[Irms Lf]]^2*Rdcr*(1+Ltc*Ta-Ltc*25))/(1-Table16[[#This Row],[Irms Lf]]^2*Rdcr*Ltc*ThetaCa)</f>
        <v>0.41124434064774235</v>
      </c>
      <c r="Y50" s="345">
        <f>ABS(7.759*10^-3*Fsw^0.9458*(0.00787*Table16[[#This Row],[Ripple Current pk-pk]])^2.304)</f>
        <v>0.58307405330737783</v>
      </c>
      <c r="Z50" s="345">
        <f>Table16[[#This Row],[DCR    Loss]]+Table16[[#This Row],[Core Loss]]</f>
        <v>0.99431839395512012</v>
      </c>
      <c r="AA50" s="292">
        <f>IF(Table16[[#This Row],[Vin]]&gt;Vout, Table16[[#This Row],[Ripple Current pk-pk]]/SQRT(12), SQRT(Table16[[#This Row],[Duty Cycle BOOST Leg]]/(1-Table16[[#This Row],[Duty Cycle BOOST Leg]]))*SQRT(Table16[[#This Row],[Iout]]^2+(Table16[[#This Row],[Ripple Current pk-pk]]^2)/12))</f>
        <v>4.6144608973917869</v>
      </c>
      <c r="AB50" s="345">
        <f>RCoutEsr*Table16[[#This Row],[Irms Cout]]^2</f>
        <v>4.2586498747115627E-2</v>
      </c>
      <c r="AC50" s="345">
        <f>Table16[[#This Row],[Cout ESR Loss]]</f>
        <v>4.2586498747115627E-2</v>
      </c>
      <c r="AD50" s="345">
        <f>IF(Table16[[#This Row],[Vin]]&gt;Vout, SQRT(Table16[[#This Row],[Duty Cycle BUCK Leg]]*(1-Table16[[#This Row],[Duty Cycle BUCK Leg]]))*SQRT(Table16[[#This Row],[Iout]]^2+(Table16[[#This Row],[Ripple Current pk-pk]]^2)/12), Table16[[#This Row],[Ripple Current pk-pk]]/SQRT(12))</f>
        <v>1.2018871852827688</v>
      </c>
      <c r="AE50" s="345">
        <f>RCinEsr*Table16[[#This Row],[Irms Cin]]^2</f>
        <v>2.8890656122938733E-3</v>
      </c>
      <c r="AF50" s="683">
        <f>Table16[[#This Row],[Cin ESR Loss]]</f>
        <v>2.8890656122938733E-3</v>
      </c>
      <c r="AG50"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11.154392812864613</v>
      </c>
      <c r="AH50" s="345">
        <f>Rdson1*Table16[[#This Row],[Irms BuCtrl]]^2</f>
        <v>0.43547167658290004</v>
      </c>
      <c r="AI50" s="345">
        <f>CHOOSE(Table16[[#This Row],[Mode Digit]], (Table16[[#This Row],[Vin]]*Table16[[#This Row],[Iout]]/2)*(Fsw)*(Tr_buck+Tf_buck), 0, (Table16[[#This Row],[Vin]]*Table16[[#This Row],[Avg IL]]/2)*(Fsw/1)*(Tr_buck+Tf_buck))</f>
        <v>0</v>
      </c>
      <c r="AJ50" s="253">
        <f>IF(Table16[[#This Row],[Vin]]&gt;Vout, IF(Table16[[#This Row],[Iout]]&gt;Table16[[#This Row],[Ripple Current pk-pk]]/2,0,ABS(Table16[[#This Row],[Iout]]-Table16[[#This Row],[Ripple Current pk-pk]]/2)*Vsd_Q1*Deadtime*Fsw),0)</f>
        <v>0</v>
      </c>
      <c r="AK50" s="345">
        <f>(Table16[[#This Row],[Dead Time Loss BuCtrl]]+Table16[[#This Row],[Transition Loss BuCtrl]]+Table16[[#This Row],[RDS(on) Loss BuCtrl]]*(1+RdsonTopTc*Ta-RdsonTopTc*25))/(1-Table16[[#This Row],[RDS(on) Loss BuCtrl]]*RdsonTopTc*ThetaJA_Q1)</f>
        <v>0.49107216108356444</v>
      </c>
      <c r="AL50" s="345">
        <f>CHOOSE(Table16[[#This Row],[Mode Digit]],SQRT((Fsw*(Table16[[#This Row],[t2_Ph_I]]+0))*((Table16[[#This Row],[I_0]]*Table16[[#This Row],[I_1]]+((Table16[[#This Row],[I_0]]-Table16[[#This Row],[I_1]])^2)/3))),0,SQRT((Fsw*(Table16[[#This Row],[t3_Ph_III]]+0))*((Table16[[#This Row],[I_0]]*Table16[[#This Row],[I_2]]+((Table16[[#This Row],[I_0]]-Table16[[#This Row],[I_2]])^2)/3))))</f>
        <v>0</v>
      </c>
      <c r="AM50" s="345">
        <f>Rdson2*Table16[[#This Row],[Irms BuSync]]^2</f>
        <v>0</v>
      </c>
      <c r="AN50"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50" s="345">
        <f>(Table16[[#This Row],[Deadtime Loss BuSync]]+Table16[[#This Row],[RDS(on) Loss BuSync]]*(1+RdsonBotTc*Ta-RdsonBotTc*25))/(1-Table16[[#This Row],[RDS(on) Loss BuSync]]*RdsonBotTc*ThetaJA_Q2)</f>
        <v>0</v>
      </c>
      <c r="AP50" s="345">
        <f>CHOOSE(Table16[[#This Row],[Mode Digit]],0,SQRT((Fsw*(Table16[[#This Row],[t1_Ph_II]]+0))*((Table16[[#This Row],[I_0]]*Table16[[#This Row],[I_1]]+((Table16[[#This Row],[I_0]]-Table16[[#This Row],[I_1]])^2)/3))),SQRT((Fsw*(Table16[[#This Row],[t2_Ph_I]]+0))*((Table16[[#This Row],[I_1]]*Table16[[#This Row],[I_2]]+((Table16[[#This Row],[I_1]]-Table16[[#This Row],[I_2]])^2)/3))))</f>
        <v>5.5266600049297532</v>
      </c>
      <c r="AQ50" s="345">
        <f>Rdson4*Table16[[#This Row],[Irms BoCtlr]]^2</f>
        <v>0.1069038978353155</v>
      </c>
      <c r="AR50" s="345">
        <f>CHOOSE(Table16[[#This Row],[Mode Digit]], 0, (Vout*Table16[[#This Row],[Iin]]/2)*(Fsw)*(Tr_boost+Tf_boost), (Vout*Iout/2)*(Fsw/1)*(Tr_boost+Tf_boost))</f>
        <v>0.65932781822533826</v>
      </c>
      <c r="AS50" s="253">
        <f>IF(Table16[[#This Row],[Vin]]&gt;Vout, 0, IF(Table16[[#This Row],[Iin]]&gt;Table16[[#This Row],[Ripple Current pk-pk]]/2,0,ABS(Table16[[#This Row],[Iin]]-Table16[[#This Row],[Ripple Current pk-pk]]/2)*Vsd_Q4*Deadtime*Fsw))</f>
        <v>0</v>
      </c>
      <c r="AT50" s="345">
        <f>(Table16[[#This Row],[Dead Time Loss BoCtlr]]+Table16[[#This Row],[Transition Loss BoCtlr]]+Table16[[#This Row],[RDS(on) Loss BoCtlr]]*(1+RdsonTopTc*Ta-RdsonTopTc*25))/(1-Table16[[#This Row],[RDS(on) Loss BoCtlr]]*RdsonTopTc*ThetaJA_Q4)</f>
        <v>0.78813802300030122</v>
      </c>
      <c r="AU50"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9.6889890191699362</v>
      </c>
      <c r="AV50" s="345">
        <f>Rdson3*Table16[[#This Row],[Irms BoSync]]^2</f>
        <v>0.32856777874758458</v>
      </c>
      <c r="AW50"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0.33102014294996746</v>
      </c>
      <c r="AX50" s="345">
        <f>(Table16[[#This Row],[Deadtime Loss BoSync]]+Table16[[#This Row],[RDS(on) Loss BoSync]]*(1+RdsonBotTc*Ta-RdsonBotTc*25))/(1-Table16[[#This Row],[RDS(on) Loss BoSync]]*RdsonBotTc*ThetaJA_Q3)</f>
        <v>0.72119816638467094</v>
      </c>
      <c r="AY50" s="345">
        <f>CHOOSE(Table16[[#This Row],[Mode Digit]], Rdson3*Table16[[#This Row],[Irms Lf]]^2, Rdson1*Table16[[#This Row],[Irms Lf]]^2, 0)</f>
        <v>0.43547167658290004</v>
      </c>
      <c r="AZ50" s="345">
        <f>CHOOSE(Table16[[#This Row],[Mode Digit]], 2*Deadtime*Fsw*IF(VfdSky_Q2&gt;0,VfdSky_Q2,0)*Table16[[#This Row],[Iout]], 2*Deadtime*Fsw*IF(VfdSky_Q3&gt;0,VfdSky_Q3,0)*Table16[[#This Row],[Iin]], 2*Deadtime*Fsw*IF(VfdSky_Q2&gt;0,VfdSky_Q2,0)*Table16[[#This Row],[Iout]]+2*Deadtime*Fsw*IF(VfdSky_Q3&gt;0,VfdSky_Q3,0)*Table16[[#This Row],[Iin]])</f>
        <v>0</v>
      </c>
      <c r="BA50" s="345">
        <f>CHOOSE(Table16[[#This Row],[Mode Digit]], IF(QrrSky_Q2&gt;0,QrrSky_Q2,Qrr_Q2)*Fsw*(Table16[[#This Row],[Vin]]-Table16[[#This Row],[Iout]]*Rdson1),0,  IF(QrrSky_Q2&gt;0,QrrSky_Q2,Qrr_Q2)*Fsw*(Table16[[#This Row],[Vin]]-Table16[[#This Row],[Iout]]*Rdson1)+IF(QrrSky_Q3&gt;0,QrrSky_Q3,Qrr_Q3)*Fsw*Vout)</f>
        <v>0</v>
      </c>
      <c r="BB50" s="345">
        <f>CHOOSE(Table16[[#This Row],[Mode Digit]],0, IF(QrrSky_Q3&gt;0,QrrSky_Q3,Qrr_Q3)*Fsw*Vout,  IF(QrrSky_Q2&gt;0,QrrSky_Q2,Qrr_Q2)*Fsw*(Table16[[#This Row],[Vin]]-Table16[[#This Row],[Iout]]*Rdson1)+IF(QrrSky_Q3&gt;0,QrrSky_Q3,Qrr_Q3)*Fsw*Vout)</f>
        <v>0.35660799999999998</v>
      </c>
      <c r="BC50" s="345">
        <f>CHOOSE(Table16[[#This Row],[Mode Digit]], Rs*Table16[[#This Row],[Irms BuSync]]^2, Rs*Table16[[#This Row],[Irms BoCtlr]]^2, Rs*(Table16[[#This Row],[Irms BuSync]]^2+Table16[[#This Row],[Irms BoCtlr]]^2))</f>
        <v>3.9707162053117181E-2</v>
      </c>
      <c r="BD50" s="345">
        <f t="shared" si="1"/>
        <v>0.64</v>
      </c>
      <c r="BE50" s="345">
        <f>IF(Vout&gt;8, Iq*Vout, Iq*Table16[[#This Row],[Vin]])</f>
        <v>4.8000000000000001E-2</v>
      </c>
      <c r="BF50" s="345">
        <f>CHOOSE(Table16[[#This Row],[Mode Digit]], (Qg_Q1+Qg_Q2)*Fsw, (Qg_Q3+Qg_Q4)*Fsw, (Qg_Q1+Qg_Q2+Qg_Q3+Qg_Q4)*Fsw)*IF(Vout&gt;8, Vout, Table16[[#This Row],[Vin]])</f>
        <v>0.85331200000000007</v>
      </c>
      <c r="BG50" s="345">
        <f t="shared" si="2"/>
        <v>0.50594479787234037</v>
      </c>
      <c r="BH50" s="345">
        <f>Table16[[#This Row],[IQ Loss]]+Table16[[#This Row],[Switching Current Loss]]</f>
        <v>0.90131200000000011</v>
      </c>
      <c r="BI50"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4.9778294708361841</v>
      </c>
      <c r="BJ50" s="253">
        <f>Vout*Table16[[#This Row],[Iout]]</f>
        <v>128</v>
      </c>
      <c r="BK50" s="684">
        <f>Table16[[#This Row],[Pout]]/(Table16[[#This Row],[Pout]]+Table16[[#This Row],[Total Loss]])</f>
        <v>0.96256647073692925</v>
      </c>
      <c r="BL50"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74.408491495019575</v>
      </c>
      <c r="BM50" s="685">
        <f>IF(Table16[[#This Row],[Vin]]&gt;Vout, Table16[[#This Row],[Total Sync Bu MOSFET Loss]]*ThetaJA_Q2, ThetaJA_Q3*Table16[[#This Row],[Total Sync Bo MOSFET Loss]])</f>
        <v>46.877880815003614</v>
      </c>
      <c r="BN50" s="640"/>
      <c r="BO50" s="292">
        <f>Table16[[#This Row],[EFF, h]]*100</f>
        <v>96.256647073692932</v>
      </c>
      <c r="BP50" s="345">
        <f>Table16[[#This Row],[Total Inductor Loss]]</f>
        <v>0.99431839395512012</v>
      </c>
      <c r="BQ50" s="345">
        <f>Table16[[#This Row],[Total Control Bu MOSFET Loss]]+Table16[[#This Row],[Total Sync Bu MOSFET Loss]]+Table16[[#This Row],[Total Control Bo MOSFET Loss]]+Table16[[#This Row],[Total Sync Bo MOSFET Loss]]+Table16[[#This Row],[Reverse Recovery Loss MOSFET D BUCK]]+Table16[[#This Row],[Reverse Recovery Loss MOSFET D BOOST]]</f>
        <v>2.3570163504685366</v>
      </c>
      <c r="BR50" s="345">
        <f>Table16[[#This Row],[Total Control Bu MOSFET Loss]]+Table16[[#This Row],[Reverse Recovery Loss MOSFET D BUCK]]*0.66</f>
        <v>0.49107216108356444</v>
      </c>
      <c r="BS50" s="345">
        <f>Table16[[#This Row],[Total Sync Bu MOSFET Loss]]+Table16[[#This Row],[Reverse Recovery Loss MOSFET D BUCK]]*0.33</f>
        <v>0</v>
      </c>
      <c r="BT50" s="345">
        <f xml:space="preserve"> Table16[[#This Row],[Total Control Bo MOSFET Loss]]+Table16[[#This Row],[Reverse Recovery Loss MOSFET D BOOST]]*0.66</f>
        <v>1.0234993030003012</v>
      </c>
      <c r="BU50" s="345">
        <f xml:space="preserve"> Table16[[#This Row],[Total Sync Bo MOSFET Loss]]+Table16[[#This Row],[Reverse Recovery Loss MOSFET D BOOST]]*0.33</f>
        <v>0.83887880638467094</v>
      </c>
      <c r="BV50" s="345">
        <f>Table16[[#This Row],[Isense Shunt Loss]]</f>
        <v>3.9707162053117181E-2</v>
      </c>
      <c r="CA50" s="253">
        <v>9.9969590000000004</v>
      </c>
      <c r="CB50" s="253">
        <v>9.5229999999999997</v>
      </c>
      <c r="CC50" s="253">
        <v>5.1087540000000002</v>
      </c>
      <c r="CD50" s="253">
        <v>90.547826191651922</v>
      </c>
      <c r="CE50" s="253">
        <v>5078.5816240809982</v>
      </c>
    </row>
    <row r="51" spans="1:83" x14ac:dyDescent="0.2">
      <c r="A51" s="691" t="s">
        <v>71</v>
      </c>
      <c r="B51" s="569">
        <f>Qg_Q2*1000000000</f>
        <v>67</v>
      </c>
      <c r="C51" s="255" t="s">
        <v>69</v>
      </c>
      <c r="D51" s="255" t="s">
        <v>101</v>
      </c>
      <c r="G51" s="253">
        <v>42</v>
      </c>
      <c r="H51" s="286">
        <f>VIN_min+(VIN_max-VIN_min)*(Table16[[#This Row],[Step]]/200)</f>
        <v>12.3</v>
      </c>
      <c r="I51" s="292" t="str">
        <f>IF(Mode = 2,IF(Table16[[#This Row],[Vin]]&gt;Vout, "BUCK","BOOST"),IF(Table16[[#This Row],[Vin]]&gt;VIN_BB_to_buck, "BUCK", IF(Table16[[#This Row],[Vin]]&lt;=VIN_boost_to_BB,"BOOST","BUCK-BST")))</f>
        <v>BOOST</v>
      </c>
      <c r="J51" s="253">
        <f>IF(Table16[[#This Row],[Mode]]="BOOST",2, IF(Table16[[#This Row],[Mode]]="BUCK", 1,3))</f>
        <v>2</v>
      </c>
      <c r="K51" s="253">
        <f t="shared" si="0"/>
        <v>8</v>
      </c>
      <c r="L51" s="292">
        <f>Vout*Table16[[#This Row],[Iout]]/(Table16[[#This Row],[Vin]]*Efficiency)</f>
        <v>10.954214805305947</v>
      </c>
      <c r="M51" s="682">
        <f>MIN(1/Fsw,CHOOSE(Table16[[#This Row],[Mode Digit]],(Vout+(Rdson2+Rs+Rdcr)*Table16[[#This Row],[Iout]])/(Table16[[#This Row],[Vin]]+(Rs+Rdson2-Rdson1)*Table16[[#This Row],[Iout]])/Fsw,(Vout+(Rdson3+Rdcr)*Table16[[#This Row],[Iin]]-Table16[[#This Row],[Vin]])/(Vout+(Rdson3-Rdson4-Rs)*Table16[[#This Row],[Iin]])/Fsw,t1_Ph_II))</f>
        <v>5.9308333291007473E-7</v>
      </c>
      <c r="N51" s="518">
        <f>CHOOSE(Table16[[#This Row],[Mode Digit]],1/Fsw-Table16[[#This Row],[t1_Ph_II]],1/Fsw-Table16[[#This Row],[t1_Ph_II]],(Vout/Fsw-Table16[[#This Row],[Vin]]*t1_Ph_II)/(Table16[[#This Row],[Vin]]+Vout))</f>
        <v>1.9194794811602773E-6</v>
      </c>
      <c r="O51" s="518">
        <f>1/Fsw-(Table16[[#This Row],[t1_Ph_II]]+Table16[[#This Row],[t2_Ph_I]])</f>
        <v>0</v>
      </c>
      <c r="P51"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8.9278467511965243</v>
      </c>
      <c r="Q51" s="292">
        <f>CHOOSE(Table16[[#This Row],[Mode Digit]],Table16[[#This Row],[I_0]]+1/Lf*(Table16[[#This Row],[Vin]]-Vout)*Table16[[#This Row],[t1_Ph_II]],Table16[[#This Row],[I_0]]+1/Lf*Table16[[#This Row],[Vin]]*Table16[[#This Row],[t1_Ph_II]],Table16[[#This Row],[I_0]]+(Table16[[#This Row],[Vin]]-Vout)/L*Table16[[#This Row],[t1_Ph_II]])</f>
        <v>12.980582859415367</v>
      </c>
      <c r="R51" s="292">
        <f>CHOOSE(Table16[[#This Row],[Mode Digit]],0,0,Table16[[#This Row],[I_1]]+Table16[[#This Row],[Vin]]/L*Table16[[#This Row],[t2_Ph_I]])</f>
        <v>0</v>
      </c>
      <c r="S51" s="292">
        <f>Fsw*(Table16[[#This Row],[I_0]]*Table16[[#This Row],[t1_Ph_II]]+Table16[[#This Row],[I_1]]*Table16[[#This Row],[t2_Ph_I]]+Table16[[#This Row],[I_2]]*Table16[[#This Row],[t3_Ph_III]])</f>
        <v>12.023945984505328</v>
      </c>
      <c r="T51" s="345">
        <f>MIN(1,CHOOSE(Table16[[#This Row],[Mode Digit]],(Vout+(Rdson2+Rs+Rdcr)*Table16[[#This Row],[Iout]])/(Table16[[#This Row],[Vin]]+(Rs+Rdson2-Rdson1)*Table16[[#This Row],[Iout]]),1,Fsw*Table16[[#This Row],[t2_Ph_I]]+Table16[[#This Row],[t1_Ph_II]]))</f>
        <v>1</v>
      </c>
      <c r="U51" s="345">
        <f>MIN(1,CHOOSE(Table16[[#This Row],[Mode Digit]],0,(Vout+(Rdson3+Rdcr)*Table16[[#This Row],[Iin]]-Table16[[#This Row],[Vin]])/(Vout+(Rdson3-Rdson4-Rs)*Table16[[#This Row],[Iin]]),Fsw*Table16[[#This Row],[t1_Ph_II]]+Table16[[#This Row],[t3_Ph_III]]))</f>
        <v>0.23604716649820973</v>
      </c>
      <c r="V51" s="292">
        <f>MAX(Table16[[#This Row],[I_0]:[I_2]])-MIN(Table16[[#This Row],[I_0]:[I_1]])</f>
        <v>4.0527361082188431</v>
      </c>
      <c r="W51"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11.016512356353486</v>
      </c>
      <c r="X51" s="345">
        <f>(Table16[[#This Row],[Irms Lf]]^2*Rdcr*(1+Ltc*Ta-Ltc*25))/(1-Table16[[#This Row],[Irms Lf]]^2*Rdcr*Ltc*ThetaCa)</f>
        <v>0.40081633202383044</v>
      </c>
      <c r="Y51" s="345">
        <f>ABS(7.759*10^-3*Fsw^0.9458*(0.00787*Table16[[#This Row],[Ripple Current pk-pk]])^2.304)</f>
        <v>0.54796533768374422</v>
      </c>
      <c r="Z51" s="345">
        <f>Table16[[#This Row],[DCR    Loss]]+Table16[[#This Row],[Core Loss]]</f>
        <v>0.9487816697075746</v>
      </c>
      <c r="AA51" s="292">
        <f>IF(Table16[[#This Row],[Vin]]&gt;Vout, Table16[[#This Row],[Ripple Current pk-pk]]/SQRT(12), SQRT(Table16[[#This Row],[Duty Cycle BOOST Leg]]/(1-Table16[[#This Row],[Duty Cycle BOOST Leg]]))*SQRT(Table16[[#This Row],[Iout]]^2+(Table16[[#This Row],[Ripple Current pk-pk]]^2)/12))</f>
        <v>4.4941868180018947</v>
      </c>
      <c r="AB51" s="345">
        <f>RCoutEsr*Table16[[#This Row],[Irms Cout]]^2</f>
        <v>4.039543031020399E-2</v>
      </c>
      <c r="AC51" s="345">
        <f>Table16[[#This Row],[Cout ESR Loss]]</f>
        <v>4.039543031020399E-2</v>
      </c>
      <c r="AD51" s="345">
        <f>IF(Table16[[#This Row],[Vin]]&gt;Vout, SQRT(Table16[[#This Row],[Duty Cycle BUCK Leg]]*(1-Table16[[#This Row],[Duty Cycle BUCK Leg]]))*SQRT(Table16[[#This Row],[Iout]]^2+(Table16[[#This Row],[Ripple Current pk-pk]]^2)/12), Table16[[#This Row],[Ripple Current pk-pk]]/SQRT(12))</f>
        <v>1.1699241415173327</v>
      </c>
      <c r="AE51" s="345">
        <f>RCinEsr*Table16[[#This Row],[Irms Cin]]^2</f>
        <v>2.7374449938101361E-3</v>
      </c>
      <c r="AF51" s="683">
        <f>Table16[[#This Row],[Cin ESR Loss]]</f>
        <v>2.7374449938101361E-3</v>
      </c>
      <c r="AG51"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11.016512356353486</v>
      </c>
      <c r="AH51" s="345">
        <f>Rdson1*Table16[[#This Row],[Irms BuCtrl]]^2</f>
        <v>0.42477240574191161</v>
      </c>
      <c r="AI51" s="345">
        <f>CHOOSE(Table16[[#This Row],[Mode Digit]], (Table16[[#This Row],[Vin]]*Table16[[#This Row],[Iout]]/2)*(Fsw)*(Tr_buck+Tf_buck), 0, (Table16[[#This Row],[Vin]]*Table16[[#This Row],[Avg IL]]/2)*(Fsw/1)*(Tr_buck+Tf_buck))</f>
        <v>0</v>
      </c>
      <c r="AJ51" s="253">
        <f>IF(Table16[[#This Row],[Vin]]&gt;Vout, IF(Table16[[#This Row],[Iout]]&gt;Table16[[#This Row],[Ripple Current pk-pk]]/2,0,ABS(Table16[[#This Row],[Iout]]-Table16[[#This Row],[Ripple Current pk-pk]]/2)*Vsd_Q1*Deadtime*Fsw),0)</f>
        <v>0</v>
      </c>
      <c r="AK51" s="345">
        <f>(Table16[[#This Row],[Dead Time Loss BuCtrl]]+Table16[[#This Row],[Transition Loss BuCtrl]]+Table16[[#This Row],[RDS(on) Loss BuCtrl]]*(1+RdsonTopTc*Ta-RdsonTopTc*25))/(1-Table16[[#This Row],[RDS(on) Loss BuCtrl]]*RdsonTopTc*ThetaJA_Q1)</f>
        <v>0.47750888070742942</v>
      </c>
      <c r="AL51" s="345">
        <f>CHOOSE(Table16[[#This Row],[Mode Digit]],SQRT((Fsw*(Table16[[#This Row],[t2_Ph_I]]+0))*((Table16[[#This Row],[I_0]]*Table16[[#This Row],[I_1]]+((Table16[[#This Row],[I_0]]-Table16[[#This Row],[I_1]])^2)/3))),0,SQRT((Fsw*(Table16[[#This Row],[t3_Ph_III]]+0))*((Table16[[#This Row],[I_0]]*Table16[[#This Row],[I_2]]+((Table16[[#This Row],[I_0]]-Table16[[#This Row],[I_2]])^2)/3))))</f>
        <v>0</v>
      </c>
      <c r="AM51" s="345">
        <f>Rdson2*Table16[[#This Row],[Irms BuSync]]^2</f>
        <v>0</v>
      </c>
      <c r="AN51"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51" s="345">
        <f>(Table16[[#This Row],[Deadtime Loss BuSync]]+Table16[[#This Row],[RDS(on) Loss BuSync]]*(1+RdsonBotTc*Ta-RdsonBotTc*25))/(1-Table16[[#This Row],[RDS(on) Loss BuSync]]*RdsonBotTc*ThetaJA_Q2)</f>
        <v>0</v>
      </c>
      <c r="AP51" s="345">
        <f>CHOOSE(Table16[[#This Row],[Mode Digit]],0,SQRT((Fsw*(Table16[[#This Row],[t1_Ph_II]]+0))*((Table16[[#This Row],[I_0]]*Table16[[#This Row],[I_1]]+((Table16[[#This Row],[I_0]]-Table16[[#This Row],[I_1]])^2)/3))),SQRT((Fsw*(Table16[[#This Row],[t2_Ph_I]]+0))*((Table16[[#This Row],[I_1]]*Table16[[#This Row],[I_2]]+((Table16[[#This Row],[I_1]]-Table16[[#This Row],[I_2]])^2)/3))))</f>
        <v>5.3523378812308637</v>
      </c>
      <c r="AQ51" s="345">
        <f>Rdson4*Table16[[#This Row],[Irms BoCtlr]]^2</f>
        <v>0.10026632278200612</v>
      </c>
      <c r="AR51" s="345">
        <f>CHOOSE(Table16[[#This Row],[Mode Digit]], 0, (Vout*Table16[[#This Row],[Iin]]/2)*(Fsw)*(Tr_boost+Tf_boost), (Vout*Iout/2)*(Fsw/1)*(Tr_boost+Tf_boost))</f>
        <v>0.65128723507624875</v>
      </c>
      <c r="AS51" s="253">
        <f>IF(Table16[[#This Row],[Vin]]&gt;Vout, 0, IF(Table16[[#This Row],[Iin]]&gt;Table16[[#This Row],[Ripple Current pk-pk]]/2,0,ABS(Table16[[#This Row],[Iin]]-Table16[[#This Row],[Ripple Current pk-pk]]/2)*Vsd_Q4*Deadtime*Fsw))</f>
        <v>0</v>
      </c>
      <c r="AT51" s="345">
        <f>(Table16[[#This Row],[Dead Time Loss BoCtlr]]+Table16[[#This Row],[Transition Loss BoCtlr]]+Table16[[#This Row],[RDS(on) Loss BoCtlr]]*(1+RdsonTopTc*Ta-RdsonTopTc*25))/(1-Table16[[#This Row],[RDS(on) Loss BoCtlr]]*RdsonTopTc*ThetaJA_Q4)</f>
        <v>0.77167042232629146</v>
      </c>
      <c r="AU51"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9.6289160190973817</v>
      </c>
      <c r="AV51" s="345">
        <f>Rdson3*Table16[[#This Row],[Irms BoSync]]^2</f>
        <v>0.32450608295990563</v>
      </c>
      <c r="AW51"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0.32698331193838243</v>
      </c>
      <c r="AX51" s="345">
        <f>(Table16[[#This Row],[Deadtime Loss BoSync]]+Table16[[#This Row],[RDS(on) Loss BoSync]]*(1+RdsonBotTc*Ta-RdsonBotTc*25))/(1-Table16[[#This Row],[RDS(on) Loss BoSync]]*RdsonBotTc*ThetaJA_Q3)</f>
        <v>0.71152159739108456</v>
      </c>
      <c r="AY51" s="345">
        <f>CHOOSE(Table16[[#This Row],[Mode Digit]], Rdson3*Table16[[#This Row],[Irms Lf]]^2, Rdson1*Table16[[#This Row],[Irms Lf]]^2, 0)</f>
        <v>0.42477240574191161</v>
      </c>
      <c r="AZ51" s="345">
        <f>CHOOSE(Table16[[#This Row],[Mode Digit]], 2*Deadtime*Fsw*IF(VfdSky_Q2&gt;0,VfdSky_Q2,0)*Table16[[#This Row],[Iout]], 2*Deadtime*Fsw*IF(VfdSky_Q3&gt;0,VfdSky_Q3,0)*Table16[[#This Row],[Iin]], 2*Deadtime*Fsw*IF(VfdSky_Q2&gt;0,VfdSky_Q2,0)*Table16[[#This Row],[Iout]]+2*Deadtime*Fsw*IF(VfdSky_Q3&gt;0,VfdSky_Q3,0)*Table16[[#This Row],[Iin]])</f>
        <v>0</v>
      </c>
      <c r="BA51" s="345">
        <f>CHOOSE(Table16[[#This Row],[Mode Digit]], IF(QrrSky_Q2&gt;0,QrrSky_Q2,Qrr_Q2)*Fsw*(Table16[[#This Row],[Vin]]-Table16[[#This Row],[Iout]]*Rdson1),0,  IF(QrrSky_Q2&gt;0,QrrSky_Q2,Qrr_Q2)*Fsw*(Table16[[#This Row],[Vin]]-Table16[[#This Row],[Iout]]*Rdson1)+IF(QrrSky_Q3&gt;0,QrrSky_Q3,Qrr_Q3)*Fsw*Vout)</f>
        <v>0</v>
      </c>
      <c r="BB51" s="345">
        <f>CHOOSE(Table16[[#This Row],[Mode Digit]],0, IF(QrrSky_Q3&gt;0,QrrSky_Q3,Qrr_Q3)*Fsw*Vout,  IF(QrrSky_Q2&gt;0,QrrSky_Q2,Qrr_Q2)*Fsw*(Table16[[#This Row],[Vin]]-Table16[[#This Row],[Iout]]*Rdson1)+IF(QrrSky_Q3&gt;0,QrrSky_Q3,Qrr_Q3)*Fsw*Vout)</f>
        <v>0.35660799999999998</v>
      </c>
      <c r="BC51" s="345">
        <f>CHOOSE(Table16[[#This Row],[Mode Digit]], Rs*Table16[[#This Row],[Irms BuSync]]^2, Rs*Table16[[#This Row],[Irms BoCtlr]]^2, Rs*(Table16[[#This Row],[Irms BuSync]]^2+Table16[[#This Row],[Irms BoCtlr]]^2))</f>
        <v>3.7241777033316555E-2</v>
      </c>
      <c r="BD51" s="345">
        <f t="shared" si="1"/>
        <v>0.64</v>
      </c>
      <c r="BE51" s="345">
        <f>IF(Vout&gt;8, Iq*Vout, Iq*Table16[[#This Row],[Vin]])</f>
        <v>4.8000000000000001E-2</v>
      </c>
      <c r="BF51" s="345">
        <f>CHOOSE(Table16[[#This Row],[Mode Digit]], (Qg_Q1+Qg_Q2)*Fsw, (Qg_Q3+Qg_Q4)*Fsw, (Qg_Q1+Qg_Q2+Qg_Q3+Qg_Q4)*Fsw)*IF(Vout&gt;8, Vout, Table16[[#This Row],[Vin]])</f>
        <v>0.85331200000000007</v>
      </c>
      <c r="BG51" s="345">
        <f t="shared" si="2"/>
        <v>0.50594479787234037</v>
      </c>
      <c r="BH51" s="345">
        <f>Table16[[#This Row],[IQ Loss]]+Table16[[#This Row],[Switching Current Loss]]</f>
        <v>0.90131200000000011</v>
      </c>
      <c r="BI51"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4.8877772224697109</v>
      </c>
      <c r="BJ51" s="253">
        <f>Vout*Table16[[#This Row],[Iout]]</f>
        <v>128</v>
      </c>
      <c r="BK51" s="684">
        <f>Table16[[#This Row],[Pout]]/(Table16[[#This Row],[Pout]]+Table16[[#This Row],[Total Loss]])</f>
        <v>0.96321876003473972</v>
      </c>
      <c r="BL51"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73.338097451208938</v>
      </c>
      <c r="BM51" s="685">
        <f>IF(Table16[[#This Row],[Vin]]&gt;Vout, Table16[[#This Row],[Total Sync Bu MOSFET Loss]]*ThetaJA_Q2, ThetaJA_Q3*Table16[[#This Row],[Total Sync Bo MOSFET Loss]])</f>
        <v>46.248903830420495</v>
      </c>
      <c r="BN51" s="640"/>
      <c r="BO51" s="292">
        <f>Table16[[#This Row],[EFF, h]]*100</f>
        <v>96.321876003473974</v>
      </c>
      <c r="BP51" s="345">
        <f>Table16[[#This Row],[Total Inductor Loss]]</f>
        <v>0.9487816697075746</v>
      </c>
      <c r="BQ51" s="345">
        <f>Table16[[#This Row],[Total Control Bu MOSFET Loss]]+Table16[[#This Row],[Total Sync Bu MOSFET Loss]]+Table16[[#This Row],[Total Control Bo MOSFET Loss]]+Table16[[#This Row],[Total Sync Bo MOSFET Loss]]+Table16[[#This Row],[Reverse Recovery Loss MOSFET D BUCK]]+Table16[[#This Row],[Reverse Recovery Loss MOSFET D BOOST]]</f>
        <v>2.3173089004248055</v>
      </c>
      <c r="BR51" s="345">
        <f>Table16[[#This Row],[Total Control Bu MOSFET Loss]]+Table16[[#This Row],[Reverse Recovery Loss MOSFET D BUCK]]*0.66</f>
        <v>0.47750888070742942</v>
      </c>
      <c r="BS51" s="345">
        <f>Table16[[#This Row],[Total Sync Bu MOSFET Loss]]+Table16[[#This Row],[Reverse Recovery Loss MOSFET D BUCK]]*0.33</f>
        <v>0</v>
      </c>
      <c r="BT51" s="345">
        <f xml:space="preserve"> Table16[[#This Row],[Total Control Bo MOSFET Loss]]+Table16[[#This Row],[Reverse Recovery Loss MOSFET D BOOST]]*0.66</f>
        <v>1.0070317023262914</v>
      </c>
      <c r="BU51" s="345">
        <f xml:space="preserve"> Table16[[#This Row],[Total Sync Bo MOSFET Loss]]+Table16[[#This Row],[Reverse Recovery Loss MOSFET D BOOST]]*0.33</f>
        <v>0.82920223739108456</v>
      </c>
      <c r="BV51" s="345">
        <f>Table16[[#This Row],[Isense Shunt Loss]]</f>
        <v>3.7241777033316555E-2</v>
      </c>
      <c r="CA51" s="253">
        <v>9.9964639999999996</v>
      </c>
      <c r="CB51" s="253">
        <v>10.493</v>
      </c>
      <c r="CC51" s="253">
        <v>5.1092279999999999</v>
      </c>
      <c r="CD51" s="253">
        <v>89.626660259106615</v>
      </c>
      <c r="CE51" s="253">
        <v>6204.9221585439973</v>
      </c>
    </row>
    <row r="52" spans="1:83" ht="13.6" x14ac:dyDescent="0.25">
      <c r="A52" s="691" t="s">
        <v>94</v>
      </c>
      <c r="B52" s="569">
        <f>Rgate2</f>
        <v>0.63</v>
      </c>
      <c r="C52" s="702" t="s">
        <v>118</v>
      </c>
      <c r="D52" s="255" t="s">
        <v>102</v>
      </c>
      <c r="G52" s="253">
        <v>43</v>
      </c>
      <c r="H52" s="286">
        <f>VIN_min+(VIN_max-VIN_min)*(Table16[[#This Row],[Step]]/200)</f>
        <v>12.45</v>
      </c>
      <c r="I52" s="292" t="str">
        <f>IF(Mode = 2,IF(Table16[[#This Row],[Vin]]&gt;Vout, "BUCK","BOOST"),IF(Table16[[#This Row],[Vin]]&gt;VIN_BB_to_buck, "BUCK", IF(Table16[[#This Row],[Vin]]&lt;=VIN_boost_to_BB,"BOOST","BUCK-BST")))</f>
        <v>BOOST</v>
      </c>
      <c r="J52" s="253">
        <f>IF(Table16[[#This Row],[Mode]]="BOOST",2, IF(Table16[[#This Row],[Mode]]="BUCK", 1,3))</f>
        <v>2</v>
      </c>
      <c r="K52" s="253">
        <f t="shared" si="0"/>
        <v>8</v>
      </c>
      <c r="L52" s="292">
        <f>Vout*Table16[[#This Row],[Iout]]/(Table16[[#This Row],[Vin]]*Efficiency)</f>
        <v>10.822236313675758</v>
      </c>
      <c r="M52" s="682">
        <f>MIN(1/Fsw,CHOOSE(Table16[[#This Row],[Mode Digit]],(Vout+(Rdson2+Rs+Rdcr)*Table16[[#This Row],[Iout]])/(Table16[[#This Row],[Vin]]+(Rs+Rdson2-Rdson1)*Table16[[#This Row],[Iout]])/Fsw,(Vout+(Rdson3+Rdcr)*Table16[[#This Row],[Iin]]-Table16[[#This Row],[Vin]])/(Vout+(Rdson3-Rdson4-Rs)*Table16[[#This Row],[Iin]])/Fsw,t1_Ph_II))</f>
        <v>5.6936197912070976E-7</v>
      </c>
      <c r="N52" s="518">
        <f>CHOOSE(Table16[[#This Row],[Mode Digit]],1/Fsw-Table16[[#This Row],[t1_Ph_II]],1/Fsw-Table16[[#This Row],[t1_Ph_II]],(Vout/Fsw-Table16[[#This Row],[Vin]]*t1_Ph_II)/(Table16[[#This Row],[Vin]]+Vout))</f>
        <v>1.9432008349496422E-6</v>
      </c>
      <c r="O52" s="518">
        <f>1/Fsw-(Table16[[#This Row],[t1_Ph_II]]+Table16[[#This Row],[t2_Ph_I]])</f>
        <v>0</v>
      </c>
      <c r="P52"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8.8531928025499695</v>
      </c>
      <c r="Q52" s="292">
        <f>CHOOSE(Table16[[#This Row],[Mode Digit]],Table16[[#This Row],[I_0]]+1/Lf*(Table16[[#This Row],[Vin]]-Vout)*Table16[[#This Row],[t1_Ph_II]],Table16[[#This Row],[I_0]]+1/Lf*Table16[[#This Row],[Vin]]*Table16[[#This Row],[t1_Ph_II]],Table16[[#This Row],[I_0]]+(Table16[[#This Row],[Vin]]-Vout)/L*Table16[[#This Row],[t1_Ph_II]])</f>
        <v>12.791279824801546</v>
      </c>
      <c r="R52" s="292">
        <f>CHOOSE(Table16[[#This Row],[Mode Digit]],0,0,Table16[[#This Row],[I_1]]+Table16[[#This Row],[Vin]]/L*Table16[[#This Row],[t2_Ph_I]])</f>
        <v>0</v>
      </c>
      <c r="S52" s="292">
        <f>Fsw*(Table16[[#This Row],[I_0]]*Table16[[#This Row],[t1_Ph_II]]+Table16[[#This Row],[I_1]]*Table16[[#This Row],[t2_Ph_I]]+Table16[[#This Row],[I_2]]*Table16[[#This Row],[t3_Ph_III]])</f>
        <v>11.898885410467928</v>
      </c>
      <c r="T52" s="345">
        <f>MIN(1,CHOOSE(Table16[[#This Row],[Mode Digit]],(Vout+(Rdson2+Rs+Rdcr)*Table16[[#This Row],[Iout]])/(Table16[[#This Row],[Vin]]+(Rs+Rdson2-Rdson1)*Table16[[#This Row],[Iout]]),1,Fsw*Table16[[#This Row],[t2_Ph_I]]+Table16[[#This Row],[t1_Ph_II]]))</f>
        <v>1</v>
      </c>
      <c r="U52" s="345">
        <f>MIN(1,CHOOSE(Table16[[#This Row],[Mode Digit]],0,(Vout+(Rdson3+Rdcr)*Table16[[#This Row],[Iin]]-Table16[[#This Row],[Vin]])/(Vout+(Rdson3-Rdson4-Rs)*Table16[[#This Row],[Iin]]),Fsw*Table16[[#This Row],[t1_Ph_II]]+Table16[[#This Row],[t3_Ph_III]]))</f>
        <v>0.22660606769004246</v>
      </c>
      <c r="V52" s="292">
        <f>MAX(Table16[[#This Row],[I_0]:[I_2]])-MIN(Table16[[#This Row],[I_0]:[I_1]])</f>
        <v>3.938087022251576</v>
      </c>
      <c r="W52"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10.881781852188139</v>
      </c>
      <c r="X52" s="345">
        <f>(Table16[[#This Row],[Irms Lf]]^2*Rdcr*(1+Ltc*Ta-Ltc*25))/(1-Table16[[#This Row],[Irms Lf]]^2*Rdcr*Ltc*ThetaCa)</f>
        <v>0.39076781085528389</v>
      </c>
      <c r="Y52" s="345">
        <f>ABS(7.759*10^-3*Fsw^0.9458*(0.00787*Table16[[#This Row],[Ripple Current pk-pk]])^2.304)</f>
        <v>0.51290661023580353</v>
      </c>
      <c r="Z52" s="345">
        <f>Table16[[#This Row],[DCR    Loss]]+Table16[[#This Row],[Core Loss]]</f>
        <v>0.90367442109108742</v>
      </c>
      <c r="AA52" s="292">
        <f>IF(Table16[[#This Row],[Vin]]&gt;Vout, Table16[[#This Row],[Ripple Current pk-pk]]/SQRT(12), SQRT(Table16[[#This Row],[Duty Cycle BOOST Leg]]/(1-Table16[[#This Row],[Duty Cycle BOOST Leg]]))*SQRT(Table16[[#This Row],[Iout]]^2+(Table16[[#This Row],[Ripple Current pk-pk]]^2)/12))</f>
        <v>4.3738776289503081</v>
      </c>
      <c r="AB52" s="345">
        <f>RCoutEsr*Table16[[#This Row],[Irms Cout]]^2</f>
        <v>3.8261611026063937E-2</v>
      </c>
      <c r="AC52" s="345">
        <f>Table16[[#This Row],[Cout ESR Loss]]</f>
        <v>3.8261611026063937E-2</v>
      </c>
      <c r="AD52" s="345">
        <f>IF(Table16[[#This Row],[Vin]]&gt;Vout, SQRT(Table16[[#This Row],[Duty Cycle BUCK Leg]]*(1-Table16[[#This Row],[Duty Cycle BUCK Leg]]))*SQRT(Table16[[#This Row],[Iout]]^2+(Table16[[#This Row],[Ripple Current pk-pk]]^2)/12), Table16[[#This Row],[Ripple Current pk-pk]]/SQRT(12))</f>
        <v>1.1368278011945596</v>
      </c>
      <c r="AE52" s="345">
        <f>RCinEsr*Table16[[#This Row],[Irms Cin]]^2</f>
        <v>2.5847548991377142E-3</v>
      </c>
      <c r="AF52" s="683">
        <f>Table16[[#This Row],[Cin ESR Loss]]</f>
        <v>2.5847548991377142E-3</v>
      </c>
      <c r="AG52"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10.881781852188139</v>
      </c>
      <c r="AH52" s="345">
        <f>Rdson1*Table16[[#This Row],[Irms BuCtrl]]^2</f>
        <v>0.41444611697513895</v>
      </c>
      <c r="AI52" s="345">
        <f>CHOOSE(Table16[[#This Row],[Mode Digit]], (Table16[[#This Row],[Vin]]*Table16[[#This Row],[Iout]]/2)*(Fsw)*(Tr_buck+Tf_buck), 0, (Table16[[#This Row],[Vin]]*Table16[[#This Row],[Avg IL]]/2)*(Fsw/1)*(Tr_buck+Tf_buck))</f>
        <v>0</v>
      </c>
      <c r="AJ52" s="253">
        <f>IF(Table16[[#This Row],[Vin]]&gt;Vout, IF(Table16[[#This Row],[Iout]]&gt;Table16[[#This Row],[Ripple Current pk-pk]]/2,0,ABS(Table16[[#This Row],[Iout]]-Table16[[#This Row],[Ripple Current pk-pk]]/2)*Vsd_Q1*Deadtime*Fsw),0)</f>
        <v>0</v>
      </c>
      <c r="AK52" s="345">
        <f>(Table16[[#This Row],[Dead Time Loss BuCtrl]]+Table16[[#This Row],[Transition Loss BuCtrl]]+Table16[[#This Row],[RDS(on) Loss BuCtrl]]*(1+RdsonTopTc*Ta-RdsonTopTc*25))/(1-Table16[[#This Row],[RDS(on) Loss BuCtrl]]*RdsonTopTc*ThetaJA_Q1)</f>
        <v>0.46449862652171336</v>
      </c>
      <c r="AL52" s="345">
        <f>CHOOSE(Table16[[#This Row],[Mode Digit]],SQRT((Fsw*(Table16[[#This Row],[t2_Ph_I]]+0))*((Table16[[#This Row],[I_0]]*Table16[[#This Row],[I_1]]+((Table16[[#This Row],[I_0]]-Table16[[#This Row],[I_1]])^2)/3))),0,SQRT((Fsw*(Table16[[#This Row],[t3_Ph_III]]+0))*((Table16[[#This Row],[I_0]]*Table16[[#This Row],[I_2]]+((Table16[[#This Row],[I_0]]-Table16[[#This Row],[I_2]])^2)/3))))</f>
        <v>0</v>
      </c>
      <c r="AM52" s="345">
        <f>Rdson2*Table16[[#This Row],[Irms BuSync]]^2</f>
        <v>0</v>
      </c>
      <c r="AN52"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52" s="345">
        <f>(Table16[[#This Row],[Deadtime Loss BuSync]]+Table16[[#This Row],[RDS(on) Loss BuSync]]*(1+RdsonBotTc*Ta-RdsonBotTc*25))/(1-Table16[[#This Row],[RDS(on) Loss BuSync]]*RdsonBotTc*ThetaJA_Q2)</f>
        <v>0</v>
      </c>
      <c r="AP52" s="345">
        <f>CHOOSE(Table16[[#This Row],[Mode Digit]],0,SQRT((Fsw*(Table16[[#This Row],[t1_Ph_II]]+0))*((Table16[[#This Row],[I_0]]*Table16[[#This Row],[I_1]]+((Table16[[#This Row],[I_0]]-Table16[[#This Row],[I_1]])^2)/3))),SQRT((Fsw*(Table16[[#This Row],[t2_Ph_I]]+0))*((Table16[[#This Row],[I_1]]*Table16[[#This Row],[I_2]]+((Table16[[#This Row],[I_1]]-Table16[[#This Row],[I_2]])^2)/3))))</f>
        <v>5.1800718372609351</v>
      </c>
      <c r="AQ52" s="345">
        <f>Rdson4*Table16[[#This Row],[Irms BoCtlr]]^2</f>
        <v>9.3916004837143588E-2</v>
      </c>
      <c r="AR52" s="345">
        <f>CHOOSE(Table16[[#This Row],[Mode Digit]], 0, (Vout*Table16[[#This Row],[Iin]]/2)*(Fsw)*(Tr_boost+Tf_boost), (Vout*Iout/2)*(Fsw/1)*(Tr_boost+Tf_boost))</f>
        <v>0.64344040091870369</v>
      </c>
      <c r="AS52" s="253">
        <f>IF(Table16[[#This Row],[Vin]]&gt;Vout, 0, IF(Table16[[#This Row],[Iin]]&gt;Table16[[#This Row],[Ripple Current pk-pk]]/2,0,ABS(Table16[[#This Row],[Iin]]-Table16[[#This Row],[Ripple Current pk-pk]]/2)*Vsd_Q4*Deadtime*Fsw))</f>
        <v>0</v>
      </c>
      <c r="AT52" s="345">
        <f>(Table16[[#This Row],[Dead Time Loss BoCtlr]]+Table16[[#This Row],[Transition Loss BoCtlr]]+Table16[[#This Row],[RDS(on) Loss BoCtlr]]*(1+RdsonTopTc*Ta-RdsonTopTc*25))/(1-Table16[[#This Row],[RDS(on) Loss BoCtlr]]*RdsonTopTc*ThetaJA_Q4)</f>
        <v>0.75581194367701598</v>
      </c>
      <c r="AU52"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9.569745662212096</v>
      </c>
      <c r="AV52" s="345">
        <f>Rdson3*Table16[[#This Row],[Irms BoSync]]^2</f>
        <v>0.32053011213799532</v>
      </c>
      <c r="AW52"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0.32304375396322133</v>
      </c>
      <c r="AX52" s="345">
        <f>(Table16[[#This Row],[Deadtime Loss BoSync]]+Table16[[#This Row],[RDS(on) Loss BoSync]]*(1+RdsonBotTc*Ta-RdsonBotTc*25))/(1-Table16[[#This Row],[RDS(on) Loss BoSync]]*RdsonBotTc*ThetaJA_Q3)</f>
        <v>0.70208402459607633</v>
      </c>
      <c r="AY52" s="345">
        <f>CHOOSE(Table16[[#This Row],[Mode Digit]], Rdson3*Table16[[#This Row],[Irms Lf]]^2, Rdson1*Table16[[#This Row],[Irms Lf]]^2, 0)</f>
        <v>0.41444611697513895</v>
      </c>
      <c r="AZ52" s="345">
        <f>CHOOSE(Table16[[#This Row],[Mode Digit]], 2*Deadtime*Fsw*IF(VfdSky_Q2&gt;0,VfdSky_Q2,0)*Table16[[#This Row],[Iout]], 2*Deadtime*Fsw*IF(VfdSky_Q3&gt;0,VfdSky_Q3,0)*Table16[[#This Row],[Iin]], 2*Deadtime*Fsw*IF(VfdSky_Q2&gt;0,VfdSky_Q2,0)*Table16[[#This Row],[Iout]]+2*Deadtime*Fsw*IF(VfdSky_Q3&gt;0,VfdSky_Q3,0)*Table16[[#This Row],[Iin]])</f>
        <v>0</v>
      </c>
      <c r="BA52" s="345">
        <f>CHOOSE(Table16[[#This Row],[Mode Digit]], IF(QrrSky_Q2&gt;0,QrrSky_Q2,Qrr_Q2)*Fsw*(Table16[[#This Row],[Vin]]-Table16[[#This Row],[Iout]]*Rdson1),0,  IF(QrrSky_Q2&gt;0,QrrSky_Q2,Qrr_Q2)*Fsw*(Table16[[#This Row],[Vin]]-Table16[[#This Row],[Iout]]*Rdson1)+IF(QrrSky_Q3&gt;0,QrrSky_Q3,Qrr_Q3)*Fsw*Vout)</f>
        <v>0</v>
      </c>
      <c r="BB52" s="345">
        <f>CHOOSE(Table16[[#This Row],[Mode Digit]],0, IF(QrrSky_Q3&gt;0,QrrSky_Q3,Qrr_Q3)*Fsw*Vout,  IF(QrrSky_Q2&gt;0,QrrSky_Q2,Qrr_Q2)*Fsw*(Table16[[#This Row],[Vin]]-Table16[[#This Row],[Iout]]*Rdson1)+IF(QrrSky_Q3&gt;0,QrrSky_Q3,Qrr_Q3)*Fsw*Vout)</f>
        <v>0.35660799999999998</v>
      </c>
      <c r="BC52" s="345">
        <f>CHOOSE(Table16[[#This Row],[Mode Digit]], Rs*Table16[[#This Row],[Irms BuSync]]^2, Rs*Table16[[#This Row],[Irms BoCtlr]]^2, Rs*(Table16[[#This Row],[Irms BuSync]]^2+Table16[[#This Row],[Irms BoCtlr]]^2))</f>
        <v>3.4883087510939041E-2</v>
      </c>
      <c r="BD52" s="345">
        <f t="shared" si="1"/>
        <v>0.64</v>
      </c>
      <c r="BE52" s="345">
        <f>IF(Vout&gt;8, Iq*Vout, Iq*Table16[[#This Row],[Vin]])</f>
        <v>4.8000000000000001E-2</v>
      </c>
      <c r="BF52" s="345">
        <f>CHOOSE(Table16[[#This Row],[Mode Digit]], (Qg_Q1+Qg_Q2)*Fsw, (Qg_Q3+Qg_Q4)*Fsw, (Qg_Q1+Qg_Q2+Qg_Q3+Qg_Q4)*Fsw)*IF(Vout&gt;8, Vout, Table16[[#This Row],[Vin]])</f>
        <v>0.85331200000000007</v>
      </c>
      <c r="BG52" s="345">
        <f t="shared" si="2"/>
        <v>0.50594479787234037</v>
      </c>
      <c r="BH52" s="345">
        <f>Table16[[#This Row],[IQ Loss]]+Table16[[#This Row],[Switching Current Loss]]</f>
        <v>0.90131200000000011</v>
      </c>
      <c r="BI52"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4.7997184693220332</v>
      </c>
      <c r="BJ52" s="253">
        <f>Vout*Table16[[#This Row],[Iout]]</f>
        <v>128</v>
      </c>
      <c r="BK52" s="684">
        <f>Table16[[#This Row],[Pout]]/(Table16[[#This Row],[Pout]]+Table16[[#This Row],[Total Loss]])</f>
        <v>0.9638574650259456</v>
      </c>
      <c r="BL52"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72.307296339006029</v>
      </c>
      <c r="BM52" s="685">
        <f>IF(Table16[[#This Row],[Vin]]&gt;Vout, Table16[[#This Row],[Total Sync Bu MOSFET Loss]]*ThetaJA_Q2, ThetaJA_Q3*Table16[[#This Row],[Total Sync Bo MOSFET Loss]])</f>
        <v>45.635461598744961</v>
      </c>
      <c r="BN52" s="640"/>
      <c r="BO52" s="292">
        <f>Table16[[#This Row],[EFF, h]]*100</f>
        <v>96.385746502594557</v>
      </c>
      <c r="BP52" s="345">
        <f>Table16[[#This Row],[Total Inductor Loss]]</f>
        <v>0.90367442109108742</v>
      </c>
      <c r="BQ52" s="345">
        <f>Table16[[#This Row],[Total Control Bu MOSFET Loss]]+Table16[[#This Row],[Total Sync Bu MOSFET Loss]]+Table16[[#This Row],[Total Control Bo MOSFET Loss]]+Table16[[#This Row],[Total Sync Bo MOSFET Loss]]+Table16[[#This Row],[Reverse Recovery Loss MOSFET D BUCK]]+Table16[[#This Row],[Reverse Recovery Loss MOSFET D BOOST]]</f>
        <v>2.2790025947948056</v>
      </c>
      <c r="BR52" s="345">
        <f>Table16[[#This Row],[Total Control Bu MOSFET Loss]]+Table16[[#This Row],[Reverse Recovery Loss MOSFET D BUCK]]*0.66</f>
        <v>0.46449862652171336</v>
      </c>
      <c r="BS52" s="345">
        <f>Table16[[#This Row],[Total Sync Bu MOSFET Loss]]+Table16[[#This Row],[Reverse Recovery Loss MOSFET D BUCK]]*0.33</f>
        <v>0</v>
      </c>
      <c r="BT52" s="345">
        <f xml:space="preserve"> Table16[[#This Row],[Total Control Bo MOSFET Loss]]+Table16[[#This Row],[Reverse Recovery Loss MOSFET D BOOST]]*0.66</f>
        <v>0.99117322367701599</v>
      </c>
      <c r="BU52" s="345">
        <f xml:space="preserve"> Table16[[#This Row],[Total Sync Bo MOSFET Loss]]+Table16[[#This Row],[Reverse Recovery Loss MOSFET D BOOST]]*0.33</f>
        <v>0.81976466459607633</v>
      </c>
      <c r="BV52" s="345">
        <f>Table16[[#This Row],[Isense Shunt Loss]]</f>
        <v>3.4883087510939041E-2</v>
      </c>
      <c r="CA52" s="253">
        <v>9.9959819999999997</v>
      </c>
      <c r="CB52" s="253">
        <v>11.519</v>
      </c>
      <c r="CC52" s="253">
        <v>5.1101260000000002</v>
      </c>
      <c r="CD52" s="253">
        <v>88.591390420220321</v>
      </c>
      <c r="CE52" s="253">
        <v>7580.3207309739973</v>
      </c>
    </row>
    <row r="53" spans="1:83" x14ac:dyDescent="0.2">
      <c r="A53" s="691" t="s">
        <v>76</v>
      </c>
      <c r="B53" s="569">
        <f>Vsd_Q2</f>
        <v>0.75</v>
      </c>
      <c r="C53" s="255" t="s">
        <v>0</v>
      </c>
      <c r="D53" s="255" t="s">
        <v>107</v>
      </c>
      <c r="G53" s="253">
        <v>44</v>
      </c>
      <c r="H53" s="286">
        <f>VIN_min+(VIN_max-VIN_min)*(Table16[[#This Row],[Step]]/200)</f>
        <v>12.6</v>
      </c>
      <c r="I53" s="292" t="str">
        <f>IF(Mode = 2,IF(Table16[[#This Row],[Vin]]&gt;Vout, "BUCK","BOOST"),IF(Table16[[#This Row],[Vin]]&gt;VIN_BB_to_buck, "BUCK", IF(Table16[[#This Row],[Vin]]&lt;=VIN_boost_to_BB,"BOOST","BUCK-BST")))</f>
        <v>BOOST</v>
      </c>
      <c r="J53" s="253">
        <f>IF(Table16[[#This Row],[Mode]]="BOOST",2, IF(Table16[[#This Row],[Mode]]="BUCK", 1,3))</f>
        <v>2</v>
      </c>
      <c r="K53" s="253">
        <f t="shared" si="0"/>
        <v>8</v>
      </c>
      <c r="L53" s="292">
        <f>Vout*Table16[[#This Row],[Iout]]/(Table16[[#This Row],[Vin]]*Efficiency)</f>
        <v>10.693400167084379</v>
      </c>
      <c r="M53" s="682">
        <f>MIN(1/Fsw,CHOOSE(Table16[[#This Row],[Mode Digit]],(Vout+(Rdson2+Rs+Rdcr)*Table16[[#This Row],[Iout]])/(Table16[[#This Row],[Vin]]+(Rs+Rdson2-Rdson1)*Table16[[#This Row],[Iout]])/Fsw,(Vout+(Rdson3+Rdcr)*Table16[[#This Row],[Iin]]-Table16[[#This Row],[Vin]])/(Vout+(Rdson3-Rdson4-Rs)*Table16[[#This Row],[Iin]])/Fsw,t1_Ph_II))</f>
        <v>5.4564458299390185E-7</v>
      </c>
      <c r="N53" s="518">
        <f>CHOOSE(Table16[[#This Row],[Mode Digit]],1/Fsw-Table16[[#This Row],[t1_Ph_II]],1/Fsw-Table16[[#This Row],[t1_Ph_II]],(Vout/Fsw-Table16[[#This Row],[Vin]]*t1_Ph_II)/(Table16[[#This Row],[Vin]]+Vout))</f>
        <v>1.9669182310764502E-6</v>
      </c>
      <c r="O53" s="518">
        <f>1/Fsw-(Table16[[#This Row],[t1_Ph_II]]+Table16[[#This Row],[t2_Ph_I]])</f>
        <v>0</v>
      </c>
      <c r="P53"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8.7836441266057221</v>
      </c>
      <c r="Q53" s="292">
        <f>CHOOSE(Table16[[#This Row],[Mode Digit]],Table16[[#This Row],[I_0]]+1/Lf*(Table16[[#This Row],[Vin]]-Vout)*Table16[[#This Row],[t1_Ph_II]],Table16[[#This Row],[I_0]]+1/Lf*Table16[[#This Row],[Vin]]*Table16[[#This Row],[t1_Ph_II]],Table16[[#This Row],[I_0]]+(Table16[[#This Row],[Vin]]-Vout)/L*Table16[[#This Row],[t1_Ph_II]])</f>
        <v>12.603156207563035</v>
      </c>
      <c r="R53" s="292">
        <f>CHOOSE(Table16[[#This Row],[Mode Digit]],0,0,Table16[[#This Row],[I_1]]+Table16[[#This Row],[Vin]]/L*Table16[[#This Row],[t2_Ph_I]])</f>
        <v>0</v>
      </c>
      <c r="S53" s="292">
        <f>Fsw*(Table16[[#This Row],[I_0]]*Table16[[#This Row],[t1_Ph_II]]+Table16[[#This Row],[I_1]]*Table16[[#This Row],[t2_Ph_I]]+Table16[[#This Row],[I_2]]*Table16[[#This Row],[t3_Ph_III]])</f>
        <v>11.773685969054696</v>
      </c>
      <c r="T53" s="345">
        <f>MIN(1,CHOOSE(Table16[[#This Row],[Mode Digit]],(Vout+(Rdson2+Rs+Rdcr)*Table16[[#This Row],[Iout]])/(Table16[[#This Row],[Vin]]+(Rs+Rdson2-Rdson1)*Table16[[#This Row],[Iout]]),1,Fsw*Table16[[#This Row],[t2_Ph_I]]+Table16[[#This Row],[t1_Ph_II]]))</f>
        <v>1</v>
      </c>
      <c r="U53" s="345">
        <f>MIN(1,CHOOSE(Table16[[#This Row],[Mode Digit]],0,(Vout+(Rdson3+Rdcr)*Table16[[#This Row],[Iin]]-Table16[[#This Row],[Vin]])/(Vout+(Rdson3-Rdson4-Rs)*Table16[[#This Row],[Iin]]),Fsw*Table16[[#This Row],[t1_Ph_II]]+Table16[[#This Row],[t3_Ph_III]]))</f>
        <v>0.21716654403157293</v>
      </c>
      <c r="V53" s="292">
        <f>MAX(Table16[[#This Row],[I_0]:[I_2]])-MIN(Table16[[#This Row],[I_0]:[I_1]])</f>
        <v>3.8195120809573133</v>
      </c>
      <c r="W53"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10.750094410970622</v>
      </c>
      <c r="X53" s="345">
        <f>(Table16[[#This Row],[Irms Lf]]^2*Rdcr*(1+Ltc*Ta-Ltc*25))/(1-Table16[[#This Row],[Irms Lf]]^2*Rdcr*Ltc*ThetaCa)</f>
        <v>0.38108058144972445</v>
      </c>
      <c r="Y53" s="345">
        <f>ABS(7.759*10^-3*Fsw^0.9458*(0.00787*Table16[[#This Row],[Ripple Current pk-pk]])^2.304)</f>
        <v>0.47802115708456916</v>
      </c>
      <c r="Z53" s="345">
        <f>Table16[[#This Row],[DCR    Loss]]+Table16[[#This Row],[Core Loss]]</f>
        <v>0.85910173853429361</v>
      </c>
      <c r="AA53" s="292">
        <f>IF(Table16[[#This Row],[Vin]]&gt;Vout, Table16[[#This Row],[Ripple Current pk-pk]]/SQRT(12), SQRT(Table16[[#This Row],[Duty Cycle BOOST Leg]]/(1-Table16[[#This Row],[Duty Cycle BOOST Leg]]))*SQRT(Table16[[#This Row],[Iout]]^2+(Table16[[#This Row],[Ripple Current pk-pk]]^2)/12))</f>
        <v>4.2534166505309559</v>
      </c>
      <c r="AB53" s="345">
        <f>RCoutEsr*Table16[[#This Row],[Irms Cout]]^2</f>
        <v>3.6183106406027954E-2</v>
      </c>
      <c r="AC53" s="345">
        <f>Table16[[#This Row],[Cout ESR Loss]]</f>
        <v>3.6183106406027954E-2</v>
      </c>
      <c r="AD53" s="345">
        <f>IF(Table16[[#This Row],[Vin]]&gt;Vout, SQRT(Table16[[#This Row],[Duty Cycle BUCK Leg]]*(1-Table16[[#This Row],[Duty Cycle BUCK Leg]]))*SQRT(Table16[[#This Row],[Iout]]^2+(Table16[[#This Row],[Ripple Current pk-pk]]^2)/12), Table16[[#This Row],[Ripple Current pk-pk]]/SQRT(12))</f>
        <v>1.1025981640568663</v>
      </c>
      <c r="AE53" s="345">
        <f>RCinEsr*Table16[[#This Row],[Irms Cin]]^2</f>
        <v>2.4314454227631448E-3</v>
      </c>
      <c r="AF53" s="683">
        <f>Table16[[#This Row],[Cin ESR Loss]]</f>
        <v>2.4314454227631448E-3</v>
      </c>
      <c r="AG53"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10.750094410970622</v>
      </c>
      <c r="AH53" s="345">
        <f>Rdson1*Table16[[#This Row],[Irms BuCtrl]]^2</f>
        <v>0.40447585445673634</v>
      </c>
      <c r="AI53" s="345">
        <f>CHOOSE(Table16[[#This Row],[Mode Digit]], (Table16[[#This Row],[Vin]]*Table16[[#This Row],[Iout]]/2)*(Fsw)*(Tr_buck+Tf_buck), 0, (Table16[[#This Row],[Vin]]*Table16[[#This Row],[Avg IL]]/2)*(Fsw/1)*(Tr_buck+Tf_buck))</f>
        <v>0</v>
      </c>
      <c r="AJ53" s="253">
        <f>IF(Table16[[#This Row],[Vin]]&gt;Vout, IF(Table16[[#This Row],[Iout]]&gt;Table16[[#This Row],[Ripple Current pk-pk]]/2,0,ABS(Table16[[#This Row],[Iout]]-Table16[[#This Row],[Ripple Current pk-pk]]/2)*Vsd_Q1*Deadtime*Fsw),0)</f>
        <v>0</v>
      </c>
      <c r="AK53" s="345">
        <f>(Table16[[#This Row],[Dead Time Loss BuCtrl]]+Table16[[#This Row],[Transition Loss BuCtrl]]+Table16[[#This Row],[RDS(on) Loss BuCtrl]]*(1+RdsonTopTc*Ta-RdsonTopTc*25))/(1-Table16[[#This Row],[RDS(on) Loss BuCtrl]]*RdsonTopTc*ThetaJA_Q1)</f>
        <v>0.45201101528037707</v>
      </c>
      <c r="AL53" s="345">
        <f>CHOOSE(Table16[[#This Row],[Mode Digit]],SQRT((Fsw*(Table16[[#This Row],[t2_Ph_I]]+0))*((Table16[[#This Row],[I_0]]*Table16[[#This Row],[I_1]]+((Table16[[#This Row],[I_0]]-Table16[[#This Row],[I_1]])^2)/3))),0,SQRT((Fsw*(Table16[[#This Row],[t3_Ph_III]]+0))*((Table16[[#This Row],[I_0]]*Table16[[#This Row],[I_2]]+((Table16[[#This Row],[I_0]]-Table16[[#This Row],[I_2]])^2)/3))))</f>
        <v>0</v>
      </c>
      <c r="AM53" s="345">
        <f>Rdson2*Table16[[#This Row],[Irms BuSync]]^2</f>
        <v>0</v>
      </c>
      <c r="AN53"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53" s="345">
        <f>(Table16[[#This Row],[Deadtime Loss BuSync]]+Table16[[#This Row],[RDS(on) Loss BuSync]]*(1+RdsonBotTc*Ta-RdsonBotTc*25))/(1-Table16[[#This Row],[RDS(on) Loss BuSync]]*RdsonBotTc*ThetaJA_Q2)</f>
        <v>0</v>
      </c>
      <c r="AP53" s="345">
        <f>CHOOSE(Table16[[#This Row],[Mode Digit]],0,SQRT((Fsw*(Table16[[#This Row],[t1_Ph_II]]+0))*((Table16[[#This Row],[I_0]]*Table16[[#This Row],[I_1]]+((Table16[[#This Row],[I_0]]-Table16[[#This Row],[I_1]])^2)/3))),SQRT((Fsw*(Table16[[#This Row],[t2_Ph_I]]+0))*((Table16[[#This Row],[I_1]]*Table16[[#This Row],[I_2]]+((Table16[[#This Row],[I_1]]-Table16[[#This Row],[I_2]])^2)/3))))</f>
        <v>5.0096656134940618</v>
      </c>
      <c r="AQ53" s="345">
        <f>Rdson4*Table16[[#This Row],[Irms BoCtlr]]^2</f>
        <v>8.7838623456586926E-2</v>
      </c>
      <c r="AR53" s="345">
        <f>CHOOSE(Table16[[#This Row],[Mode Digit]], 0, (Vout*Table16[[#This Row],[Iin]]/2)*(Fsw)*(Tr_boost+Tf_boost), (Vout*Iout/2)*(Fsw/1)*(Tr_boost+Tf_boost))</f>
        <v>0.6357803961458619</v>
      </c>
      <c r="AS53" s="253">
        <f>IF(Table16[[#This Row],[Vin]]&gt;Vout, 0, IF(Table16[[#This Row],[Iin]]&gt;Table16[[#This Row],[Ripple Current pk-pk]]/2,0,ABS(Table16[[#This Row],[Iin]]-Table16[[#This Row],[Ripple Current pk-pk]]/2)*Vsd_Q4*Deadtime*Fsw))</f>
        <v>0</v>
      </c>
      <c r="AT53" s="345">
        <f>(Table16[[#This Row],[Dead Time Loss BoCtlr]]+Table16[[#This Row],[Transition Loss BoCtlr]]+Table16[[#This Row],[RDS(on) Loss BoCtlr]]*(1+RdsonTopTc*Ta-RdsonTopTc*25))/(1-Table16[[#This Row],[RDS(on) Loss BoCtlr]]*RdsonTopTc*ThetaJA_Q4)</f>
        <v>0.74053130471494322</v>
      </c>
      <c r="AU53"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9.5114552138858848</v>
      </c>
      <c r="AV53" s="345">
        <f>Rdson3*Table16[[#This Row],[Irms BoSync]]^2</f>
        <v>0.31663723100014945</v>
      </c>
      <c r="AW53"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0.31919799498746865</v>
      </c>
      <c r="AX53" s="345">
        <f>(Table16[[#This Row],[Deadtime Loss BoSync]]+Table16[[#This Row],[RDS(on) Loss BoSync]]*(1+RdsonBotTc*Ta-RdsonBotTc*25))/(1-Table16[[#This Row],[RDS(on) Loss BoSync]]*RdsonBotTc*ThetaJA_Q3)</f>
        <v>0.69287677792838054</v>
      </c>
      <c r="AY53" s="345">
        <f>CHOOSE(Table16[[#This Row],[Mode Digit]], Rdson3*Table16[[#This Row],[Irms Lf]]^2, Rdson1*Table16[[#This Row],[Irms Lf]]^2, 0)</f>
        <v>0.40447585445673634</v>
      </c>
      <c r="AZ53" s="345">
        <f>CHOOSE(Table16[[#This Row],[Mode Digit]], 2*Deadtime*Fsw*IF(VfdSky_Q2&gt;0,VfdSky_Q2,0)*Table16[[#This Row],[Iout]], 2*Deadtime*Fsw*IF(VfdSky_Q3&gt;0,VfdSky_Q3,0)*Table16[[#This Row],[Iin]], 2*Deadtime*Fsw*IF(VfdSky_Q2&gt;0,VfdSky_Q2,0)*Table16[[#This Row],[Iout]]+2*Deadtime*Fsw*IF(VfdSky_Q3&gt;0,VfdSky_Q3,0)*Table16[[#This Row],[Iin]])</f>
        <v>0</v>
      </c>
      <c r="BA53" s="345">
        <f>CHOOSE(Table16[[#This Row],[Mode Digit]], IF(QrrSky_Q2&gt;0,QrrSky_Q2,Qrr_Q2)*Fsw*(Table16[[#This Row],[Vin]]-Table16[[#This Row],[Iout]]*Rdson1),0,  IF(QrrSky_Q2&gt;0,QrrSky_Q2,Qrr_Q2)*Fsw*(Table16[[#This Row],[Vin]]-Table16[[#This Row],[Iout]]*Rdson1)+IF(QrrSky_Q3&gt;0,QrrSky_Q3,Qrr_Q3)*Fsw*Vout)</f>
        <v>0</v>
      </c>
      <c r="BB53" s="345">
        <f>CHOOSE(Table16[[#This Row],[Mode Digit]],0, IF(QrrSky_Q3&gt;0,QrrSky_Q3,Qrr_Q3)*Fsw*Vout,  IF(QrrSky_Q2&gt;0,QrrSky_Q2,Qrr_Q2)*Fsw*(Table16[[#This Row],[Vin]]-Table16[[#This Row],[Iout]]*Rdson1)+IF(QrrSky_Q3&gt;0,QrrSky_Q3,Qrr_Q3)*Fsw*Vout)</f>
        <v>0.35660799999999998</v>
      </c>
      <c r="BC53" s="345">
        <f>CHOOSE(Table16[[#This Row],[Mode Digit]], Rs*Table16[[#This Row],[Irms BuSync]]^2, Rs*Table16[[#This Row],[Irms BoCtlr]]^2, Rs*(Table16[[#This Row],[Irms BuSync]]^2+Table16[[#This Row],[Irms BoCtlr]]^2))</f>
        <v>3.2625774426732285E-2</v>
      </c>
      <c r="BD53" s="345">
        <f t="shared" si="1"/>
        <v>0.64</v>
      </c>
      <c r="BE53" s="345">
        <f>IF(Vout&gt;8, Iq*Vout, Iq*Table16[[#This Row],[Vin]])</f>
        <v>4.8000000000000001E-2</v>
      </c>
      <c r="BF53" s="345">
        <f>CHOOSE(Table16[[#This Row],[Mode Digit]], (Qg_Q1+Qg_Q2)*Fsw, (Qg_Q3+Qg_Q4)*Fsw, (Qg_Q1+Qg_Q2+Qg_Q3+Qg_Q4)*Fsw)*IF(Vout&gt;8, Vout, Table16[[#This Row],[Vin]])</f>
        <v>0.85331200000000007</v>
      </c>
      <c r="BG53" s="345">
        <f t="shared" si="2"/>
        <v>0.50594479787234037</v>
      </c>
      <c r="BH53" s="345">
        <f>Table16[[#This Row],[IQ Loss]]+Table16[[#This Row],[Switching Current Loss]]</f>
        <v>0.90131200000000011</v>
      </c>
      <c r="BI53"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4.7136811627135176</v>
      </c>
      <c r="BJ53" s="253">
        <f>Vout*Table16[[#This Row],[Iout]]</f>
        <v>128</v>
      </c>
      <c r="BK53" s="684">
        <f>Table16[[#This Row],[Pout]]/(Table16[[#This Row],[Pout]]+Table16[[#This Row],[Total Loss]])</f>
        <v>0.96448232675473511</v>
      </c>
      <c r="BL53"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71.314054806471304</v>
      </c>
      <c r="BM53" s="685">
        <f>IF(Table16[[#This Row],[Vin]]&gt;Vout, Table16[[#This Row],[Total Sync Bu MOSFET Loss]]*ThetaJA_Q2, ThetaJA_Q3*Table16[[#This Row],[Total Sync Bo MOSFET Loss]])</f>
        <v>45.036990565344738</v>
      </c>
      <c r="BN53" s="640"/>
      <c r="BO53" s="292">
        <f>Table16[[#This Row],[EFF, h]]*100</f>
        <v>96.448232675473506</v>
      </c>
      <c r="BP53" s="345">
        <f>Table16[[#This Row],[Total Inductor Loss]]</f>
        <v>0.85910173853429361</v>
      </c>
      <c r="BQ53" s="345">
        <f>Table16[[#This Row],[Total Control Bu MOSFET Loss]]+Table16[[#This Row],[Total Sync Bu MOSFET Loss]]+Table16[[#This Row],[Total Control Bo MOSFET Loss]]+Table16[[#This Row],[Total Sync Bo MOSFET Loss]]+Table16[[#This Row],[Reverse Recovery Loss MOSFET D BUCK]]+Table16[[#This Row],[Reverse Recovery Loss MOSFET D BOOST]]</f>
        <v>2.2420270979237009</v>
      </c>
      <c r="BR53" s="345">
        <f>Table16[[#This Row],[Total Control Bu MOSFET Loss]]+Table16[[#This Row],[Reverse Recovery Loss MOSFET D BUCK]]*0.66</f>
        <v>0.45201101528037707</v>
      </c>
      <c r="BS53" s="345">
        <f>Table16[[#This Row],[Total Sync Bu MOSFET Loss]]+Table16[[#This Row],[Reverse Recovery Loss MOSFET D BUCK]]*0.33</f>
        <v>0</v>
      </c>
      <c r="BT53" s="345">
        <f xml:space="preserve"> Table16[[#This Row],[Total Control Bo MOSFET Loss]]+Table16[[#This Row],[Reverse Recovery Loss MOSFET D BOOST]]*0.66</f>
        <v>0.97589258471494322</v>
      </c>
      <c r="BU53" s="345">
        <f xml:space="preserve"> Table16[[#This Row],[Total Sync Bo MOSFET Loss]]+Table16[[#This Row],[Reverse Recovery Loss MOSFET D BOOST]]*0.33</f>
        <v>0.81055741792838054</v>
      </c>
      <c r="BV53" s="345">
        <f>Table16[[#This Row],[Isense Shunt Loss]]</f>
        <v>3.2625774426732285E-2</v>
      </c>
      <c r="CA53" s="253">
        <v>9.9955739999999995</v>
      </c>
      <c r="CB53" s="253">
        <v>12.605</v>
      </c>
      <c r="CC53" s="253">
        <v>5.1111979999999999</v>
      </c>
      <c r="CD53" s="253">
        <v>87.386508098290477</v>
      </c>
      <c r="CE53" s="253">
        <v>9299.4335961019988</v>
      </c>
    </row>
    <row r="54" spans="1:83" x14ac:dyDescent="0.2">
      <c r="A54" s="691" t="s">
        <v>77</v>
      </c>
      <c r="B54" s="569">
        <f>Qrr_Q2*1000000000</f>
        <v>45</v>
      </c>
      <c r="C54" s="255" t="s">
        <v>69</v>
      </c>
      <c r="D54" s="255" t="s">
        <v>112</v>
      </c>
      <c r="G54" s="253">
        <v>45</v>
      </c>
      <c r="H54" s="286">
        <f>VIN_min+(VIN_max-VIN_min)*(Table16[[#This Row],[Step]]/200)</f>
        <v>12.75</v>
      </c>
      <c r="I54" s="292" t="str">
        <f>IF(Mode = 2,IF(Table16[[#This Row],[Vin]]&gt;Vout, "BUCK","BOOST"),IF(Table16[[#This Row],[Vin]]&gt;VIN_BB_to_buck, "BUCK", IF(Table16[[#This Row],[Vin]]&lt;=VIN_boost_to_BB,"BOOST","BUCK-BST")))</f>
        <v>BOOST</v>
      </c>
      <c r="J54" s="253">
        <f>IF(Table16[[#This Row],[Mode]]="BOOST",2, IF(Table16[[#This Row],[Mode]]="BUCK", 1,3))</f>
        <v>2</v>
      </c>
      <c r="K54" s="253">
        <f t="shared" si="0"/>
        <v>8</v>
      </c>
      <c r="L54" s="292">
        <f>Vout*Table16[[#This Row],[Iout]]/(Table16[[#This Row],[Vin]]*Efficiency)</f>
        <v>10.567595459236328</v>
      </c>
      <c r="M54" s="682">
        <f>MIN(1/Fsw,CHOOSE(Table16[[#This Row],[Mode Digit]],(Vout+(Rdson2+Rs+Rdcr)*Table16[[#This Row],[Iout]])/(Table16[[#This Row],[Vin]]+(Rs+Rdson2-Rdson1)*Table16[[#This Row],[Iout]])/Fsw,(Vout+(Rdson3+Rdcr)*Table16[[#This Row],[Iin]]-Table16[[#This Row],[Vin]])/(Vout+(Rdson3-Rdson4-Rs)*Table16[[#This Row],[Iin]])/Fsw,t1_Ph_II))</f>
        <v>5.2193100472740728E-7</v>
      </c>
      <c r="N54" s="518">
        <f>CHOOSE(Table16[[#This Row],[Mode Digit]],1/Fsw-Table16[[#This Row],[t1_Ph_II]],1/Fsw-Table16[[#This Row],[t1_Ph_II]],(Vout/Fsw-Table16[[#This Row],[Vin]]*t1_Ph_II)/(Table16[[#This Row],[Vin]]+Vout))</f>
        <v>1.9906318093429447E-6</v>
      </c>
      <c r="O54" s="518">
        <f>1/Fsw-(Table16[[#This Row],[t1_Ph_II]]+Table16[[#This Row],[t2_Ph_I]])</f>
        <v>0</v>
      </c>
      <c r="P54"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8.7190898174934279</v>
      </c>
      <c r="Q54" s="292">
        <f>CHOOSE(Table16[[#This Row],[Mode Digit]],Table16[[#This Row],[I_0]]+1/Lf*(Table16[[#This Row],[Vin]]-Vout)*Table16[[#This Row],[t1_Ph_II]],Table16[[#This Row],[I_0]]+1/Lf*Table16[[#This Row],[Vin]]*Table16[[#This Row],[t1_Ph_II]],Table16[[#This Row],[I_0]]+(Table16[[#This Row],[Vin]]-Vout)/L*Table16[[#This Row],[t1_Ph_II]])</f>
        <v>12.41610110097923</v>
      </c>
      <c r="R54" s="292">
        <f>CHOOSE(Table16[[#This Row],[Mode Digit]],0,0,Table16[[#This Row],[I_1]]+Table16[[#This Row],[Vin]]/L*Table16[[#This Row],[t2_Ph_I]])</f>
        <v>0</v>
      </c>
      <c r="S54" s="292">
        <f>Fsw*(Table16[[#This Row],[I_0]]*Table16[[#This Row],[t1_Ph_II]]+Table16[[#This Row],[I_1]]*Table16[[#This Row],[t2_Ph_I]]+Table16[[#This Row],[I_2]]*Table16[[#This Row],[t3_Ph_III]])</f>
        <v>11.648126345135266</v>
      </c>
      <c r="T54" s="345">
        <f>MIN(1,CHOOSE(Table16[[#This Row],[Mode Digit]],(Vout+(Rdson2+Rs+Rdcr)*Table16[[#This Row],[Iout]])/(Table16[[#This Row],[Vin]]+(Rs+Rdson2-Rdson1)*Table16[[#This Row],[Iout]]),1,Fsw*Table16[[#This Row],[t2_Ph_I]]+Table16[[#This Row],[t1_Ph_II]]))</f>
        <v>1</v>
      </c>
      <c r="U54" s="345">
        <f>MIN(1,CHOOSE(Table16[[#This Row],[Mode Digit]],0,(Vout+(Rdson3+Rdcr)*Table16[[#This Row],[Iin]]-Table16[[#This Row],[Vin]])/(Vout+(Rdson3-Rdson4-Rs)*Table16[[#This Row],[Iin]]),Fsw*Table16[[#This Row],[t1_Ph_II]]+Table16[[#This Row],[t3_Ph_III]]))</f>
        <v>0.20772853988150808</v>
      </c>
      <c r="V54" s="292">
        <f>MAX(Table16[[#This Row],[I_0]:[I_2]])-MIN(Table16[[#This Row],[I_0]:[I_1]])</f>
        <v>3.6970112834858018</v>
      </c>
      <c r="W54"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10.621349482336228</v>
      </c>
      <c r="X54" s="345">
        <f>(Table16[[#This Row],[Irms Lf]]^2*Rdcr*(1+Ltc*Ta-Ltc*25))/(1-Table16[[#This Row],[Irms Lf]]^2*Rdcr*Ltc*ThetaCa)</f>
        <v>0.37173764436374906</v>
      </c>
      <c r="Y54" s="345">
        <f>ABS(7.759*10^-3*Fsw^0.9458*(0.00787*Table16[[#This Row],[Ripple Current pk-pk]])^2.304)</f>
        <v>0.44343414657963648</v>
      </c>
      <c r="Z54" s="345">
        <f>Table16[[#This Row],[DCR    Loss]]+Table16[[#This Row],[Core Loss]]</f>
        <v>0.81517179094338554</v>
      </c>
      <c r="AA54" s="292">
        <f>IF(Table16[[#This Row],[Vin]]&gt;Vout, Table16[[#This Row],[Ripple Current pk-pk]]/SQRT(12), SQRT(Table16[[#This Row],[Duty Cycle BOOST Leg]]/(1-Table16[[#This Row],[Duty Cycle BOOST Leg]]))*SQRT(Table16[[#This Row],[Iout]]^2+(Table16[[#This Row],[Ripple Current pk-pk]]^2)/12))</f>
        <v>4.1326782261134509</v>
      </c>
      <c r="AB54" s="345">
        <f>RCoutEsr*Table16[[#This Row],[Irms Cout]]^2</f>
        <v>3.4158058641184437E-2</v>
      </c>
      <c r="AC54" s="345">
        <f>Table16[[#This Row],[Cout ESR Loss]]</f>
        <v>3.4158058641184437E-2</v>
      </c>
      <c r="AD54" s="345">
        <f>IF(Table16[[#This Row],[Vin]]&gt;Vout, SQRT(Table16[[#This Row],[Duty Cycle BUCK Leg]]*(1-Table16[[#This Row],[Duty Cycle BUCK Leg]]))*SQRT(Table16[[#This Row],[Iout]]^2+(Table16[[#This Row],[Ripple Current pk-pk]]^2)/12), Table16[[#This Row],[Ripple Current pk-pk]]/SQRT(12))</f>
        <v>1.0672352298588059</v>
      </c>
      <c r="AE54" s="345">
        <f>RCinEsr*Table16[[#This Row],[Irms Cin]]^2</f>
        <v>2.2779820717035567E-3</v>
      </c>
      <c r="AF54" s="683">
        <f>Table16[[#This Row],[Cin ESR Loss]]</f>
        <v>2.2779820717035567E-3</v>
      </c>
      <c r="AG54"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10.621349482336228</v>
      </c>
      <c r="AH54" s="345">
        <f>Rdson1*Table16[[#This Row],[Irms BuCtrl]]^2</f>
        <v>0.39484572689073422</v>
      </c>
      <c r="AI54" s="345">
        <f>CHOOSE(Table16[[#This Row],[Mode Digit]], (Table16[[#This Row],[Vin]]*Table16[[#This Row],[Iout]]/2)*(Fsw)*(Tr_buck+Tf_buck), 0, (Table16[[#This Row],[Vin]]*Table16[[#This Row],[Avg IL]]/2)*(Fsw/1)*(Tr_buck+Tf_buck))</f>
        <v>0</v>
      </c>
      <c r="AJ54" s="253">
        <f>IF(Table16[[#This Row],[Vin]]&gt;Vout, IF(Table16[[#This Row],[Iout]]&gt;Table16[[#This Row],[Ripple Current pk-pk]]/2,0,ABS(Table16[[#This Row],[Iout]]-Table16[[#This Row],[Ripple Current pk-pk]]/2)*Vsd_Q1*Deadtime*Fsw),0)</f>
        <v>0</v>
      </c>
      <c r="AK54" s="345">
        <f>(Table16[[#This Row],[Dead Time Loss BuCtrl]]+Table16[[#This Row],[Transition Loss BuCtrl]]+Table16[[#This Row],[RDS(on) Loss BuCtrl]]*(1+RdsonTopTc*Ta-RdsonTopTc*25))/(1-Table16[[#This Row],[RDS(on) Loss BuCtrl]]*RdsonTopTc*ThetaJA_Q1)</f>
        <v>0.44001791745051505</v>
      </c>
      <c r="AL54" s="345">
        <f>CHOOSE(Table16[[#This Row],[Mode Digit]],SQRT((Fsw*(Table16[[#This Row],[t2_Ph_I]]+0))*((Table16[[#This Row],[I_0]]*Table16[[#This Row],[I_1]]+((Table16[[#This Row],[I_0]]-Table16[[#This Row],[I_1]])^2)/3))),0,SQRT((Fsw*(Table16[[#This Row],[t3_Ph_III]]+0))*((Table16[[#This Row],[I_0]]*Table16[[#This Row],[I_2]]+((Table16[[#This Row],[I_0]]-Table16[[#This Row],[I_2]])^2)/3))))</f>
        <v>0</v>
      </c>
      <c r="AM54" s="345">
        <f>Rdson2*Table16[[#This Row],[Irms BuSync]]^2</f>
        <v>0</v>
      </c>
      <c r="AN54"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54" s="345">
        <f>(Table16[[#This Row],[Deadtime Loss BuSync]]+Table16[[#This Row],[RDS(on) Loss BuSync]]*(1+RdsonBotTc*Ta-RdsonBotTc*25))/(1-Table16[[#This Row],[RDS(on) Loss BuSync]]*RdsonBotTc*ThetaJA_Q2)</f>
        <v>0</v>
      </c>
      <c r="AP54" s="345">
        <f>CHOOSE(Table16[[#This Row],[Mode Digit]],0,SQRT((Fsw*(Table16[[#This Row],[t1_Ph_II]]+0))*((Table16[[#This Row],[I_0]]*Table16[[#This Row],[I_1]]+((Table16[[#This Row],[I_0]]-Table16[[#This Row],[I_1]])^2)/3))),SQRT((Fsw*(Table16[[#This Row],[t2_Ph_I]]+0))*((Table16[[#This Row],[I_1]]*Table16[[#This Row],[I_2]]+((Table16[[#This Row],[I_1]]-Table16[[#This Row],[I_2]])^2)/3))))</f>
        <v>4.8409186355326321</v>
      </c>
      <c r="AQ54" s="345">
        <f>Rdson4*Table16[[#This Row],[Irms BoCtlr]]^2</f>
        <v>8.2020726325464921E-2</v>
      </c>
      <c r="AR54" s="345">
        <f>CHOOSE(Table16[[#This Row],[Mode Digit]], 0, (Vout*Table16[[#This Row],[Iin]]/2)*(Fsw)*(Tr_boost+Tf_boost), (Vout*Iout/2)*(Fsw/1)*(Tr_boost+Tf_boost))</f>
        <v>0.6283006267794401</v>
      </c>
      <c r="AS54" s="253">
        <f>IF(Table16[[#This Row],[Vin]]&gt;Vout, 0, IF(Table16[[#This Row],[Iin]]&gt;Table16[[#This Row],[Ripple Current pk-pk]]/2,0,ABS(Table16[[#This Row],[Iin]]-Table16[[#This Row],[Ripple Current pk-pk]]/2)*Vsd_Q4*Deadtime*Fsw))</f>
        <v>0</v>
      </c>
      <c r="AT54" s="345">
        <f>(Table16[[#This Row],[Dead Time Loss BoCtlr]]+Table16[[#This Row],[Transition Loss BoCtlr]]+Table16[[#This Row],[RDS(on) Loss BoCtlr]]*(1+RdsonTopTc*Ta-RdsonTopTc*25))/(1-Table16[[#This Row],[RDS(on) Loss BoCtlr]]*RdsonTopTc*ThetaJA_Q4)</f>
        <v>0.72579930551823724</v>
      </c>
      <c r="AU54"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9.4540240950653889</v>
      </c>
      <c r="AV54" s="345">
        <f>Rdson3*Table16[[#This Row],[Irms BoSync]]^2</f>
        <v>0.3128250005652693</v>
      </c>
      <c r="AW54"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0.31544272445820432</v>
      </c>
      <c r="AX54" s="345">
        <f>(Table16[[#This Row],[Deadtime Loss BoSync]]+Table16[[#This Row],[RDS(on) Loss BoSync]]*(1+RdsonBotTc*Ta-RdsonBotTc*25))/(1-Table16[[#This Row],[RDS(on) Loss BoSync]]*RdsonBotTc*ThetaJA_Q3)</f>
        <v>0.68389171589004405</v>
      </c>
      <c r="AY54" s="345">
        <f>CHOOSE(Table16[[#This Row],[Mode Digit]], Rdson3*Table16[[#This Row],[Irms Lf]]^2, Rdson1*Table16[[#This Row],[Irms Lf]]^2, 0)</f>
        <v>0.39484572689073422</v>
      </c>
      <c r="AZ54" s="345">
        <f>CHOOSE(Table16[[#This Row],[Mode Digit]], 2*Deadtime*Fsw*IF(VfdSky_Q2&gt;0,VfdSky_Q2,0)*Table16[[#This Row],[Iout]], 2*Deadtime*Fsw*IF(VfdSky_Q3&gt;0,VfdSky_Q3,0)*Table16[[#This Row],[Iin]], 2*Deadtime*Fsw*IF(VfdSky_Q2&gt;0,VfdSky_Q2,0)*Table16[[#This Row],[Iout]]+2*Deadtime*Fsw*IF(VfdSky_Q3&gt;0,VfdSky_Q3,0)*Table16[[#This Row],[Iin]])</f>
        <v>0</v>
      </c>
      <c r="BA54" s="345">
        <f>CHOOSE(Table16[[#This Row],[Mode Digit]], IF(QrrSky_Q2&gt;0,QrrSky_Q2,Qrr_Q2)*Fsw*(Table16[[#This Row],[Vin]]-Table16[[#This Row],[Iout]]*Rdson1),0,  IF(QrrSky_Q2&gt;0,QrrSky_Q2,Qrr_Q2)*Fsw*(Table16[[#This Row],[Vin]]-Table16[[#This Row],[Iout]]*Rdson1)+IF(QrrSky_Q3&gt;0,QrrSky_Q3,Qrr_Q3)*Fsw*Vout)</f>
        <v>0</v>
      </c>
      <c r="BB54" s="345">
        <f>CHOOSE(Table16[[#This Row],[Mode Digit]],0, IF(QrrSky_Q3&gt;0,QrrSky_Q3,Qrr_Q3)*Fsw*Vout,  IF(QrrSky_Q2&gt;0,QrrSky_Q2,Qrr_Q2)*Fsw*(Table16[[#This Row],[Vin]]-Table16[[#This Row],[Iout]]*Rdson1)+IF(QrrSky_Q3&gt;0,QrrSky_Q3,Qrr_Q3)*Fsw*Vout)</f>
        <v>0.35660799999999998</v>
      </c>
      <c r="BC54" s="345">
        <f>CHOOSE(Table16[[#This Row],[Mode Digit]], Rs*Table16[[#This Row],[Irms BuSync]]^2, Rs*Table16[[#This Row],[Irms BoCtlr]]^2, Rs*(Table16[[#This Row],[Irms BuSync]]^2+Table16[[#This Row],[Irms BoCtlr]]^2))</f>
        <v>3.0464841206601256E-2</v>
      </c>
      <c r="BD54" s="345">
        <f t="shared" si="1"/>
        <v>0.64</v>
      </c>
      <c r="BE54" s="345">
        <f>IF(Vout&gt;8, Iq*Vout, Iq*Table16[[#This Row],[Vin]])</f>
        <v>4.8000000000000001E-2</v>
      </c>
      <c r="BF54" s="345">
        <f>CHOOSE(Table16[[#This Row],[Mode Digit]], (Qg_Q1+Qg_Q2)*Fsw, (Qg_Q3+Qg_Q4)*Fsw, (Qg_Q1+Qg_Q2+Qg_Q3+Qg_Q4)*Fsw)*IF(Vout&gt;8, Vout, Table16[[#This Row],[Vin]])</f>
        <v>0.85331200000000007</v>
      </c>
      <c r="BG54" s="345">
        <f t="shared" si="2"/>
        <v>0.50594479787234037</v>
      </c>
      <c r="BH54" s="345">
        <f>Table16[[#This Row],[IQ Loss]]+Table16[[#This Row],[Switching Current Loss]]</f>
        <v>0.90131200000000011</v>
      </c>
      <c r="BI54"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4.6297016117216714</v>
      </c>
      <c r="BJ54" s="253">
        <f>Vout*Table16[[#This Row],[Iout]]</f>
        <v>128</v>
      </c>
      <c r="BK54" s="684">
        <f>Table16[[#This Row],[Pout]]/(Table16[[#This Row],[Pout]]+Table16[[#This Row],[Total Loss]])</f>
        <v>0.96509302550287512</v>
      </c>
      <c r="BL54"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70.356474858685417</v>
      </c>
      <c r="BM54" s="685">
        <f>IF(Table16[[#This Row],[Vin]]&gt;Vout, Table16[[#This Row],[Total Sync Bu MOSFET Loss]]*ThetaJA_Q2, ThetaJA_Q3*Table16[[#This Row],[Total Sync Bo MOSFET Loss]])</f>
        <v>44.452961532852861</v>
      </c>
      <c r="BN54" s="640"/>
      <c r="BO54" s="292">
        <f>Table16[[#This Row],[EFF, h]]*100</f>
        <v>96.509302550287515</v>
      </c>
      <c r="BP54" s="345">
        <f>Table16[[#This Row],[Total Inductor Loss]]</f>
        <v>0.81517179094338554</v>
      </c>
      <c r="BQ54" s="345">
        <f>Table16[[#This Row],[Total Control Bu MOSFET Loss]]+Table16[[#This Row],[Total Sync Bu MOSFET Loss]]+Table16[[#This Row],[Total Control Bo MOSFET Loss]]+Table16[[#This Row],[Total Sync Bo MOSFET Loss]]+Table16[[#This Row],[Reverse Recovery Loss MOSFET D BUCK]]+Table16[[#This Row],[Reverse Recovery Loss MOSFET D BOOST]]</f>
        <v>2.2063169388587962</v>
      </c>
      <c r="BR54" s="345">
        <f>Table16[[#This Row],[Total Control Bu MOSFET Loss]]+Table16[[#This Row],[Reverse Recovery Loss MOSFET D BUCK]]*0.66</f>
        <v>0.44001791745051505</v>
      </c>
      <c r="BS54" s="345">
        <f>Table16[[#This Row],[Total Sync Bu MOSFET Loss]]+Table16[[#This Row],[Reverse Recovery Loss MOSFET D BUCK]]*0.33</f>
        <v>0</v>
      </c>
      <c r="BT54" s="345">
        <f xml:space="preserve"> Table16[[#This Row],[Total Control Bo MOSFET Loss]]+Table16[[#This Row],[Reverse Recovery Loss MOSFET D BOOST]]*0.66</f>
        <v>0.96116058551823724</v>
      </c>
      <c r="BU54" s="345">
        <f xml:space="preserve"> Table16[[#This Row],[Total Sync Bo MOSFET Loss]]+Table16[[#This Row],[Reverse Recovery Loss MOSFET D BOOST]]*0.33</f>
        <v>0.80157235589004405</v>
      </c>
      <c r="BV54" s="345">
        <f>Table16[[#This Row],[Isense Shunt Loss]]</f>
        <v>3.0464841206601256E-2</v>
      </c>
      <c r="CA54" s="253">
        <v>9.9949670000000008</v>
      </c>
      <c r="CB54" s="253">
        <v>13.75</v>
      </c>
      <c r="CC54" s="253">
        <v>5.1122329999999998</v>
      </c>
      <c r="CD54" s="253">
        <v>85.985113444924963</v>
      </c>
      <c r="CE54" s="253">
        <v>11457.230537720005</v>
      </c>
    </row>
    <row r="55" spans="1:83" x14ac:dyDescent="0.2">
      <c r="A55" s="691" t="s">
        <v>78</v>
      </c>
      <c r="B55" s="569">
        <f>Trr_Q2*1000000000</f>
        <v>40</v>
      </c>
      <c r="C55" s="255" t="s">
        <v>79</v>
      </c>
      <c r="D55" s="352" t="s">
        <v>108</v>
      </c>
      <c r="G55" s="253">
        <v>46</v>
      </c>
      <c r="H55" s="286">
        <f>VIN_min+(VIN_max-VIN_min)*(Table16[[#This Row],[Step]]/200)</f>
        <v>12.9</v>
      </c>
      <c r="I55" s="292" t="str">
        <f>IF(Mode = 2,IF(Table16[[#This Row],[Vin]]&gt;Vout, "BUCK","BOOST"),IF(Table16[[#This Row],[Vin]]&gt;VIN_BB_to_buck, "BUCK", IF(Table16[[#This Row],[Vin]]&lt;=VIN_boost_to_BB,"BOOST","BUCK-BST")))</f>
        <v>BOOST</v>
      </c>
      <c r="J55" s="253">
        <f>IF(Table16[[#This Row],[Mode]]="BOOST",2, IF(Table16[[#This Row],[Mode]]="BUCK", 1,3))</f>
        <v>2</v>
      </c>
      <c r="K55" s="253">
        <f t="shared" si="0"/>
        <v>8</v>
      </c>
      <c r="L55" s="292">
        <f>Vout*Table16[[#This Row],[Iout]]/(Table16[[#This Row],[Vin]]*Efficiency)</f>
        <v>10.444716442268463</v>
      </c>
      <c r="M55" s="682">
        <f>MIN(1/Fsw,CHOOSE(Table16[[#This Row],[Mode Digit]],(Vout+(Rdson2+Rs+Rdcr)*Table16[[#This Row],[Iout]])/(Table16[[#This Row],[Vin]]+(Rs+Rdson2-Rdson1)*Table16[[#This Row],[Iout]])/Fsw,(Vout+(Rdson3+Rdcr)*Table16[[#This Row],[Iin]]-Table16[[#This Row],[Vin]])/(Vout+(Rdson3-Rdson4-Rs)*Table16[[#This Row],[Iin]])/Fsw,t1_Ph_II))</f>
        <v>4.9822111102693425E-7</v>
      </c>
      <c r="N55" s="518">
        <f>CHOOSE(Table16[[#This Row],[Mode Digit]],1/Fsw-Table16[[#This Row],[t1_Ph_II]],1/Fsw-Table16[[#This Row],[t1_Ph_II]],(Vout/Fsw-Table16[[#This Row],[Vin]]*t1_Ph_II)/(Table16[[#This Row],[Vin]]+Vout))</f>
        <v>2.0143417030434178E-6</v>
      </c>
      <c r="O55" s="518">
        <f>1/Fsw-(Table16[[#This Row],[t1_Ph_II]]+Table16[[#This Row],[t2_Ph_I]])</f>
        <v>0</v>
      </c>
      <c r="P55"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8.6594241277552833</v>
      </c>
      <c r="Q55" s="292">
        <f>CHOOSE(Table16[[#This Row],[Mode Digit]],Table16[[#This Row],[I_0]]+1/Lf*(Table16[[#This Row],[Vin]]-Vout)*Table16[[#This Row],[t1_Ph_II]],Table16[[#This Row],[I_0]]+1/Lf*Table16[[#This Row],[Vin]]*Table16[[#This Row],[t1_Ph_II]],Table16[[#This Row],[I_0]]+(Table16[[#This Row],[Vin]]-Vout)/L*Table16[[#This Row],[t1_Ph_II]])</f>
        <v>12.230008756781645</v>
      </c>
      <c r="R55" s="292">
        <f>CHOOSE(Table16[[#This Row],[Mode Digit]],0,0,Table16[[#This Row],[I_1]]+Table16[[#This Row],[Vin]]/L*Table16[[#This Row],[t2_Ph_I]])</f>
        <v>0</v>
      </c>
      <c r="S55" s="292">
        <f>Fsw*(Table16[[#This Row],[I_0]]*Table16[[#This Row],[t1_Ph_II]]+Table16[[#This Row],[I_1]]*Table16[[#This Row],[t2_Ph_I]]+Table16[[#This Row],[I_2]]*Table16[[#This Row],[t3_Ph_III]])</f>
        <v>11.521990381707742</v>
      </c>
      <c r="T55" s="345">
        <f>MIN(1,CHOOSE(Table16[[#This Row],[Mode Digit]],(Vout+(Rdson2+Rs+Rdcr)*Table16[[#This Row],[Iout]])/(Table16[[#This Row],[Vin]]+(Rs+Rdson2-Rdson1)*Table16[[#This Row],[Iout]]),1,Fsw*Table16[[#This Row],[t2_Ph_I]]+Table16[[#This Row],[t1_Ph_II]]))</f>
        <v>1</v>
      </c>
      <c r="U55" s="345">
        <f>MIN(1,CHOOSE(Table16[[#This Row],[Mode Digit]],0,(Vout+(Rdson3+Rdcr)*Table16[[#This Row],[Iin]]-Table16[[#This Row],[Vin]])/(Vout+(Rdson3-Rdson4-Rs)*Table16[[#This Row],[Iin]]),Fsw*Table16[[#This Row],[t1_Ph_II]]+Table16[[#This Row],[t3_Ph_III]]))</f>
        <v>0.19829200218871981</v>
      </c>
      <c r="V55" s="292">
        <f>MAX(Table16[[#This Row],[I_0]:[I_2]])-MIN(Table16[[#This Row],[I_0]:[I_1]])</f>
        <v>3.5705846290263619</v>
      </c>
      <c r="W55"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10.495452560139867</v>
      </c>
      <c r="X55" s="345">
        <f>(Table16[[#This Row],[Irms Lf]]^2*Rdcr*(1+Ltc*Ta-Ltc*25))/(1-Table16[[#This Row],[Irms Lf]]^2*Rdcr*Ltc*ThetaCa)</f>
        <v>0.36272310967744686</v>
      </c>
      <c r="Y55" s="345">
        <f>ABS(7.759*10^-3*Fsw^0.9458*(0.00787*Table16[[#This Row],[Ripple Current pk-pk]])^2.304)</f>
        <v>0.40927231078810511</v>
      </c>
      <c r="Z55" s="345">
        <f>Table16[[#This Row],[DCR    Loss]]+Table16[[#This Row],[Core Loss]]</f>
        <v>0.77199542046555192</v>
      </c>
      <c r="AA55" s="292">
        <f>IF(Table16[[#This Row],[Vin]]&gt;Vout, Table16[[#This Row],[Ripple Current pk-pk]]/SQRT(12), SQRT(Table16[[#This Row],[Duty Cycle BOOST Leg]]/(1-Table16[[#This Row],[Duty Cycle BOOST Leg]]))*SQRT(Table16[[#This Row],[Iout]]^2+(Table16[[#This Row],[Ripple Current pk-pk]]^2)/12))</f>
        <v>4.0115259593886039</v>
      </c>
      <c r="AB55" s="345">
        <f>RCoutEsr*Table16[[#This Row],[Irms Cout]]^2</f>
        <v>3.2184681045697321E-2</v>
      </c>
      <c r="AC55" s="345">
        <f>Table16[[#This Row],[Cout ESR Loss]]</f>
        <v>3.2184681045697321E-2</v>
      </c>
      <c r="AD55" s="345">
        <f>IF(Table16[[#This Row],[Vin]]&gt;Vout, SQRT(Table16[[#This Row],[Duty Cycle BUCK Leg]]*(1-Table16[[#This Row],[Duty Cycle BUCK Leg]]))*SQRT(Table16[[#This Row],[Iout]]^2+(Table16[[#This Row],[Ripple Current pk-pk]]^2)/12), Table16[[#This Row],[Ripple Current pk-pk]]/SQRT(12))</f>
        <v>1.0307389983663551</v>
      </c>
      <c r="AE55" s="345">
        <f>RCinEsr*Table16[[#This Row],[Irms Cin]]^2</f>
        <v>2.1248457655065538E-3</v>
      </c>
      <c r="AF55" s="683">
        <f>Table16[[#This Row],[Cin ESR Loss]]</f>
        <v>2.1248457655065538E-3</v>
      </c>
      <c r="AG55"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10.495452560139867</v>
      </c>
      <c r="AH55" s="345">
        <f>Rdson1*Table16[[#This Row],[Irms BuCtrl]]^2</f>
        <v>0.38554083554751273</v>
      </c>
      <c r="AI55" s="345">
        <f>CHOOSE(Table16[[#This Row],[Mode Digit]], (Table16[[#This Row],[Vin]]*Table16[[#This Row],[Iout]]/2)*(Fsw)*(Tr_buck+Tf_buck), 0, (Table16[[#This Row],[Vin]]*Table16[[#This Row],[Avg IL]]/2)*(Fsw/1)*(Tr_buck+Tf_buck))</f>
        <v>0</v>
      </c>
      <c r="AJ55" s="253">
        <f>IF(Table16[[#This Row],[Vin]]&gt;Vout, IF(Table16[[#This Row],[Iout]]&gt;Table16[[#This Row],[Ripple Current pk-pk]]/2,0,ABS(Table16[[#This Row],[Iout]]-Table16[[#This Row],[Ripple Current pk-pk]]/2)*Vsd_Q1*Deadtime*Fsw),0)</f>
        <v>0</v>
      </c>
      <c r="AK55" s="345">
        <f>(Table16[[#This Row],[Dead Time Loss BuCtrl]]+Table16[[#This Row],[Transition Loss BuCtrl]]+Table16[[#This Row],[RDS(on) Loss BuCtrl]]*(1+RdsonTopTc*Ta-RdsonTopTc*25))/(1-Table16[[#This Row],[RDS(on) Loss BuCtrl]]*RdsonTopTc*ThetaJA_Q1)</f>
        <v>0.4284932649058682</v>
      </c>
      <c r="AL55" s="345">
        <f>CHOOSE(Table16[[#This Row],[Mode Digit]],SQRT((Fsw*(Table16[[#This Row],[t2_Ph_I]]+0))*((Table16[[#This Row],[I_0]]*Table16[[#This Row],[I_1]]+((Table16[[#This Row],[I_0]]-Table16[[#This Row],[I_1]])^2)/3))),0,SQRT((Fsw*(Table16[[#This Row],[t3_Ph_III]]+0))*((Table16[[#This Row],[I_0]]*Table16[[#This Row],[I_2]]+((Table16[[#This Row],[I_0]]-Table16[[#This Row],[I_2]])^2)/3))))</f>
        <v>0</v>
      </c>
      <c r="AM55" s="345">
        <f>Rdson2*Table16[[#This Row],[Irms BuSync]]^2</f>
        <v>0</v>
      </c>
      <c r="AN55"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55" s="345">
        <f>(Table16[[#This Row],[Deadtime Loss BuSync]]+Table16[[#This Row],[RDS(on) Loss BuSync]]*(1+RdsonBotTc*Ta-RdsonBotTc*25))/(1-Table16[[#This Row],[RDS(on) Loss BuSync]]*RdsonBotTc*ThetaJA_Q2)</f>
        <v>0</v>
      </c>
      <c r="AP55" s="345">
        <f>CHOOSE(Table16[[#This Row],[Mode Digit]],0,SQRT((Fsw*(Table16[[#This Row],[t1_Ph_II]]+0))*((Table16[[#This Row],[I_0]]*Table16[[#This Row],[I_1]]+((Table16[[#This Row],[I_0]]-Table16[[#This Row],[I_1]])^2)/3))),SQRT((Fsw*(Table16[[#This Row],[t2_Ph_I]]+0))*((Table16[[#This Row],[I_1]]*Table16[[#This Row],[I_2]]+((Table16[[#This Row],[I_1]]-Table16[[#This Row],[I_2]])^2)/3))))</f>
        <v>4.6736239902006993</v>
      </c>
      <c r="AQ55" s="345">
        <f>Rdson4*Table16[[#This Row],[Irms BoCtlr]]^2</f>
        <v>7.6449664206228271E-2</v>
      </c>
      <c r="AR55" s="345">
        <f>CHOOSE(Table16[[#This Row],[Mode Digit]], 0, (Vout*Table16[[#This Row],[Iin]]/2)*(Fsw)*(Tr_boost+Tf_boost), (Vout*Iout/2)*(Fsw/1)*(Tr_boost+Tf_boost))</f>
        <v>0.62099480553781861</v>
      </c>
      <c r="AS55" s="253">
        <f>IF(Table16[[#This Row],[Vin]]&gt;Vout, 0, IF(Table16[[#This Row],[Iin]]&gt;Table16[[#This Row],[Ripple Current pk-pk]]/2,0,ABS(Table16[[#This Row],[Iin]]-Table16[[#This Row],[Ripple Current pk-pk]]/2)*Vsd_Q4*Deadtime*Fsw))</f>
        <v>0</v>
      </c>
      <c r="AT55" s="345">
        <f>(Table16[[#This Row],[Dead Time Loss BoCtlr]]+Table16[[#This Row],[Transition Loss BoCtlr]]+Table16[[#This Row],[RDS(on) Loss BoCtlr]]*(1+RdsonTopTc*Ta-RdsonTopTc*25))/(1-Table16[[#This Row],[RDS(on) Loss BoCtlr]]*RdsonTopTc*ThetaJA_Q4)</f>
        <v>0.71158865531960458</v>
      </c>
      <c r="AU55"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9.3974338646444853</v>
      </c>
      <c r="AV55" s="345">
        <f>Rdson3*Table16[[#This Row],[Irms BoSync]]^2</f>
        <v>0.30909117134128444</v>
      </c>
      <c r="AW55"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0.31177478580171358</v>
      </c>
      <c r="AX55" s="345">
        <f>(Table16[[#This Row],[Deadtime Loss BoSync]]+Table16[[#This Row],[RDS(on) Loss BoSync]]*(1+RdsonBotTc*Ta-RdsonBotTc*25))/(1-Table16[[#This Row],[RDS(on) Loss BoSync]]*RdsonBotTc*ThetaJA_Q3)</f>
        <v>0.67512119760164391</v>
      </c>
      <c r="AY55" s="345">
        <f>CHOOSE(Table16[[#This Row],[Mode Digit]], Rdson3*Table16[[#This Row],[Irms Lf]]^2, Rdson1*Table16[[#This Row],[Irms Lf]]^2, 0)</f>
        <v>0.38554083554751273</v>
      </c>
      <c r="AZ55" s="345">
        <f>CHOOSE(Table16[[#This Row],[Mode Digit]], 2*Deadtime*Fsw*IF(VfdSky_Q2&gt;0,VfdSky_Q2,0)*Table16[[#This Row],[Iout]], 2*Deadtime*Fsw*IF(VfdSky_Q3&gt;0,VfdSky_Q3,0)*Table16[[#This Row],[Iin]], 2*Deadtime*Fsw*IF(VfdSky_Q2&gt;0,VfdSky_Q2,0)*Table16[[#This Row],[Iout]]+2*Deadtime*Fsw*IF(VfdSky_Q3&gt;0,VfdSky_Q3,0)*Table16[[#This Row],[Iin]])</f>
        <v>0</v>
      </c>
      <c r="BA55" s="345">
        <f>CHOOSE(Table16[[#This Row],[Mode Digit]], IF(QrrSky_Q2&gt;0,QrrSky_Q2,Qrr_Q2)*Fsw*(Table16[[#This Row],[Vin]]-Table16[[#This Row],[Iout]]*Rdson1),0,  IF(QrrSky_Q2&gt;0,QrrSky_Q2,Qrr_Q2)*Fsw*(Table16[[#This Row],[Vin]]-Table16[[#This Row],[Iout]]*Rdson1)+IF(QrrSky_Q3&gt;0,QrrSky_Q3,Qrr_Q3)*Fsw*Vout)</f>
        <v>0</v>
      </c>
      <c r="BB55" s="345">
        <f>CHOOSE(Table16[[#This Row],[Mode Digit]],0, IF(QrrSky_Q3&gt;0,QrrSky_Q3,Qrr_Q3)*Fsw*Vout,  IF(QrrSky_Q2&gt;0,QrrSky_Q2,Qrr_Q2)*Fsw*(Table16[[#This Row],[Vin]]-Table16[[#This Row],[Iout]]*Rdson1)+IF(QrrSky_Q3&gt;0,QrrSky_Q3,Qrr_Q3)*Fsw*Vout)</f>
        <v>0.35660799999999998</v>
      </c>
      <c r="BC55" s="345">
        <f>CHOOSE(Table16[[#This Row],[Mode Digit]], Rs*Table16[[#This Row],[Irms BuSync]]^2, Rs*Table16[[#This Row],[Irms BoCtlr]]^2, Rs*(Table16[[#This Row],[Irms BuSync]]^2+Table16[[#This Row],[Irms BoCtlr]]^2))</f>
        <v>2.8395589562313358E-2</v>
      </c>
      <c r="BD55" s="345">
        <f t="shared" si="1"/>
        <v>0.64</v>
      </c>
      <c r="BE55" s="345">
        <f>IF(Vout&gt;8, Iq*Vout, Iq*Table16[[#This Row],[Vin]])</f>
        <v>4.8000000000000001E-2</v>
      </c>
      <c r="BF55" s="345">
        <f>CHOOSE(Table16[[#This Row],[Mode Digit]], (Qg_Q1+Qg_Q2)*Fsw, (Qg_Q3+Qg_Q4)*Fsw, (Qg_Q1+Qg_Q2+Qg_Q3+Qg_Q4)*Fsw)*IF(Vout&gt;8, Vout, Table16[[#This Row],[Vin]])</f>
        <v>0.85331200000000007</v>
      </c>
      <c r="BG55" s="345">
        <f t="shared" si="2"/>
        <v>0.50594479787234037</v>
      </c>
      <c r="BH55" s="345">
        <f>Table16[[#This Row],[IQ Loss]]+Table16[[#This Row],[Switching Current Loss]]</f>
        <v>0.90131200000000011</v>
      </c>
      <c r="BI55"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4.5478236546661854</v>
      </c>
      <c r="BJ55" s="253">
        <f>Vout*Table16[[#This Row],[Iout]]</f>
        <v>128</v>
      </c>
      <c r="BK55" s="684">
        <f>Table16[[#This Row],[Pout]]/(Table16[[#This Row],[Pout]]+Table16[[#This Row],[Total Loss]])</f>
        <v>0.96568918651946434</v>
      </c>
      <c r="BL55"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69.432782595774299</v>
      </c>
      <c r="BM55" s="685">
        <f>IF(Table16[[#This Row],[Vin]]&gt;Vout, Table16[[#This Row],[Total Sync Bu MOSFET Loss]]*ThetaJA_Q2, ThetaJA_Q3*Table16[[#This Row],[Total Sync Bo MOSFET Loss]])</f>
        <v>43.882877844106851</v>
      </c>
      <c r="BN55" s="640"/>
      <c r="BO55" s="292">
        <f>Table16[[#This Row],[EFF, h]]*100</f>
        <v>96.568918651946433</v>
      </c>
      <c r="BP55" s="345">
        <f>Table16[[#This Row],[Total Inductor Loss]]</f>
        <v>0.77199542046555192</v>
      </c>
      <c r="BQ55" s="345">
        <f>Table16[[#This Row],[Total Control Bu MOSFET Loss]]+Table16[[#This Row],[Total Sync Bu MOSFET Loss]]+Table16[[#This Row],[Total Control Bo MOSFET Loss]]+Table16[[#This Row],[Total Sync Bo MOSFET Loss]]+Table16[[#This Row],[Reverse Recovery Loss MOSFET D BUCK]]+Table16[[#This Row],[Reverse Recovery Loss MOSFET D BOOST]]</f>
        <v>2.1718111178271169</v>
      </c>
      <c r="BR55" s="345">
        <f>Table16[[#This Row],[Total Control Bu MOSFET Loss]]+Table16[[#This Row],[Reverse Recovery Loss MOSFET D BUCK]]*0.66</f>
        <v>0.4284932649058682</v>
      </c>
      <c r="BS55" s="345">
        <f>Table16[[#This Row],[Total Sync Bu MOSFET Loss]]+Table16[[#This Row],[Reverse Recovery Loss MOSFET D BUCK]]*0.33</f>
        <v>0</v>
      </c>
      <c r="BT55" s="345">
        <f xml:space="preserve"> Table16[[#This Row],[Total Control Bo MOSFET Loss]]+Table16[[#This Row],[Reverse Recovery Loss MOSFET D BOOST]]*0.66</f>
        <v>0.94694993531960459</v>
      </c>
      <c r="BU55" s="345">
        <f xml:space="preserve"> Table16[[#This Row],[Total Sync Bo MOSFET Loss]]+Table16[[#This Row],[Reverse Recovery Loss MOSFET D BOOST]]*0.33</f>
        <v>0.79280183760164391</v>
      </c>
      <c r="BV55" s="345">
        <f>Table16[[#This Row],[Isense Shunt Loss]]</f>
        <v>2.8395589562313358E-2</v>
      </c>
      <c r="CA55" s="253">
        <v>9.9943860000000004</v>
      </c>
      <c r="CB55" s="253">
        <v>14.954000000000001</v>
      </c>
      <c r="CC55" s="253">
        <v>5.1130310000000003</v>
      </c>
      <c r="CD55" s="253">
        <v>84.352650264578628</v>
      </c>
      <c r="CE55" s="253">
        <v>14183.318533699994</v>
      </c>
    </row>
    <row r="56" spans="1:83" ht="17" x14ac:dyDescent="0.35">
      <c r="A56" s="691" t="s">
        <v>606</v>
      </c>
      <c r="B56" s="569">
        <f>ThetaJA_Q2</f>
        <v>65</v>
      </c>
      <c r="C56" s="259" t="s">
        <v>236</v>
      </c>
      <c r="D56" s="352" t="s">
        <v>105</v>
      </c>
      <c r="E56" s="706"/>
      <c r="G56" s="253">
        <v>47</v>
      </c>
      <c r="H56" s="286">
        <f>VIN_min+(VIN_max-VIN_min)*(Table16[[#This Row],[Step]]/200)</f>
        <v>13.05</v>
      </c>
      <c r="I56" s="292" t="str">
        <f>IF(Mode = 2,IF(Table16[[#This Row],[Vin]]&gt;Vout, "BUCK","BOOST"),IF(Table16[[#This Row],[Vin]]&gt;VIN_BB_to_buck, "BUCK", IF(Table16[[#This Row],[Vin]]&lt;=VIN_boost_to_BB,"BOOST","BUCK-BST")))</f>
        <v>BOOST</v>
      </c>
      <c r="J56" s="253">
        <f>IF(Table16[[#This Row],[Mode]]="BOOST",2, IF(Table16[[#This Row],[Mode]]="BUCK", 1,3))</f>
        <v>2</v>
      </c>
      <c r="K56" s="253">
        <f t="shared" si="0"/>
        <v>8</v>
      </c>
      <c r="L56" s="292">
        <f>Vout*Table16[[#This Row],[Iout]]/(Table16[[#This Row],[Vin]]*Efficiency)</f>
        <v>10.324662230288364</v>
      </c>
      <c r="M56" s="682">
        <f>MIN(1/Fsw,CHOOSE(Table16[[#This Row],[Mode Digit]],(Vout+(Rdson2+Rs+Rdcr)*Table16[[#This Row],[Iout]])/(Table16[[#This Row],[Vin]]+(Rs+Rdson2-Rdson1)*Table16[[#This Row],[Iout]])/Fsw,(Vout+(Rdson3+Rdcr)*Table16[[#This Row],[Iin]]-Table16[[#This Row],[Vin]])/(Vout+(Rdson3-Rdson4-Rs)*Table16[[#This Row],[Iin]])/Fsw,t1_Ph_II))</f>
        <v>4.7451477473180982E-7</v>
      </c>
      <c r="N56" s="518">
        <f>CHOOSE(Table16[[#This Row],[Mode Digit]],1/Fsw-Table16[[#This Row],[t1_Ph_II]],1/Fsw-Table16[[#This Row],[t1_Ph_II]],(Vout/Fsw-Table16[[#This Row],[Vin]]*t1_Ph_II)/(Table16[[#This Row],[Vin]]+Vout))</f>
        <v>2.0380480393385422E-6</v>
      </c>
      <c r="O56" s="518">
        <f>1/Fsw-(Table16[[#This Row],[t1_Ph_II]]+Table16[[#This Row],[t2_Ph_I]])</f>
        <v>0</v>
      </c>
      <c r="P56"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8.6045461718855538</v>
      </c>
      <c r="Q56" s="292">
        <f>CHOOSE(Table16[[#This Row],[Mode Digit]],Table16[[#This Row],[I_0]]+1/Lf*(Table16[[#This Row],[Vin]]-Vout)*Table16[[#This Row],[t1_Ph_II]],Table16[[#This Row],[I_0]]+1/Lf*Table16[[#This Row],[Vin]]*Table16[[#This Row],[t1_Ph_II]],Table16[[#This Row],[I_0]]+(Table16[[#This Row],[Vin]]-Vout)/L*Table16[[#This Row],[t1_Ph_II]])</f>
        <v>12.044778288691175</v>
      </c>
      <c r="R56" s="292">
        <f>CHOOSE(Table16[[#This Row],[Mode Digit]],0,0,Table16[[#This Row],[I_1]]+Table16[[#This Row],[Vin]]/L*Table16[[#This Row],[t2_Ph_I]])</f>
        <v>0</v>
      </c>
      <c r="S56" s="292">
        <f>Fsw*(Table16[[#This Row],[I_0]]*Table16[[#This Row],[t1_Ph_II]]+Table16[[#This Row],[I_1]]*Table16[[#This Row],[t2_Ph_I]]+Table16[[#This Row],[I_2]]*Table16[[#This Row],[t3_Ph_III]])</f>
        <v>11.395066783454576</v>
      </c>
      <c r="T56" s="345">
        <f>MIN(1,CHOOSE(Table16[[#This Row],[Mode Digit]],(Vout+(Rdson2+Rs+Rdcr)*Table16[[#This Row],[Iout]])/(Table16[[#This Row],[Vin]]+(Rs+Rdson2-Rdson1)*Table16[[#This Row],[Iout]]),1,Fsw*Table16[[#This Row],[t2_Ph_I]]+Table16[[#This Row],[t1_Ph_II]]))</f>
        <v>1</v>
      </c>
      <c r="U56" s="345">
        <f>MIN(1,CHOOSE(Table16[[#This Row],[Mode Digit]],0,(Vout+(Rdson3+Rdcr)*Table16[[#This Row],[Iin]]-Table16[[#This Row],[Vin]])/(Vout+(Rdson3-Rdson4-Rs)*Table16[[#This Row],[Iin]]),Fsw*Table16[[#This Row],[t1_Ph_II]]+Table16[[#This Row],[t3_Ph_III]]))</f>
        <v>0.18885688034326031</v>
      </c>
      <c r="V56" s="292">
        <f>MAX(Table16[[#This Row],[I_0]:[I_2]])-MIN(Table16[[#This Row],[I_0]:[I_1]])</f>
        <v>3.4402321168056211</v>
      </c>
      <c r="W56"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10.372314909781142</v>
      </c>
      <c r="X56" s="345">
        <f>(Table16[[#This Row],[Irms Lf]]^2*Rdcr*(1+Ltc*Ta-Ltc*25))/(1-Table16[[#This Row],[Irms Lf]]^2*Rdcr*Ltc*ThetaCa)</f>
        <v>0.35402211772189496</v>
      </c>
      <c r="Y56" s="345">
        <f>ABS(7.759*10^-3*Fsw^0.9458*(0.00787*Table16[[#This Row],[Ripple Current pk-pk]])^2.304)</f>
        <v>0.37566359604292721</v>
      </c>
      <c r="Z56" s="345">
        <f>Table16[[#This Row],[DCR    Loss]]+Table16[[#This Row],[Core Loss]]</f>
        <v>0.72968571376482216</v>
      </c>
      <c r="AA56" s="292">
        <f>IF(Table16[[#This Row],[Vin]]&gt;Vout, Table16[[#This Row],[Ripple Current pk-pk]]/SQRT(12), SQRT(Table16[[#This Row],[Duty Cycle BOOST Leg]]/(1-Table16[[#This Row],[Duty Cycle BOOST Leg]]))*SQRT(Table16[[#This Row],[Iout]]^2+(Table16[[#This Row],[Ripple Current pk-pk]]^2)/12))</f>
        <v>3.8898105930544835</v>
      </c>
      <c r="AB56" s="345">
        <f>RCoutEsr*Table16[[#This Row],[Irms Cout]]^2</f>
        <v>3.0261252899677748E-2</v>
      </c>
      <c r="AC56" s="345">
        <f>Table16[[#This Row],[Cout ESR Loss]]</f>
        <v>3.0261252899677748E-2</v>
      </c>
      <c r="AD56" s="345">
        <f>IF(Table16[[#This Row],[Vin]]&gt;Vout, SQRT(Table16[[#This Row],[Duty Cycle BUCK Leg]]*(1-Table16[[#This Row],[Duty Cycle BUCK Leg]]))*SQRT(Table16[[#This Row],[Iout]]^2+(Table16[[#This Row],[Ripple Current pk-pk]]^2)/12), Table16[[#This Row],[Ripple Current pk-pk]]/SQRT(12))</f>
        <v>0.99310946935626077</v>
      </c>
      <c r="AE56" s="345">
        <f>RCinEsr*Table16[[#This Row],[Irms Cin]]^2</f>
        <v>1.9725328362501476E-3</v>
      </c>
      <c r="AF56" s="683">
        <f>Table16[[#This Row],[Cin ESR Loss]]</f>
        <v>1.9725328362501476E-3</v>
      </c>
      <c r="AG56"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10.372314909781142</v>
      </c>
      <c r="AH56" s="345">
        <f>Rdson1*Table16[[#This Row],[Irms BuCtrl]]^2</f>
        <v>0.37654720805683867</v>
      </c>
      <c r="AI56" s="345">
        <f>CHOOSE(Table16[[#This Row],[Mode Digit]], (Table16[[#This Row],[Vin]]*Table16[[#This Row],[Iout]]/2)*(Fsw)*(Tr_buck+Tf_buck), 0, (Table16[[#This Row],[Vin]]*Table16[[#This Row],[Avg IL]]/2)*(Fsw/1)*(Tr_buck+Tf_buck))</f>
        <v>0</v>
      </c>
      <c r="AJ56" s="253">
        <f>IF(Table16[[#This Row],[Vin]]&gt;Vout, IF(Table16[[#This Row],[Iout]]&gt;Table16[[#This Row],[Ripple Current pk-pk]]/2,0,ABS(Table16[[#This Row],[Iout]]-Table16[[#This Row],[Ripple Current pk-pk]]/2)*Vsd_Q1*Deadtime*Fsw),0)</f>
        <v>0</v>
      </c>
      <c r="AK56" s="345">
        <f>(Table16[[#This Row],[Dead Time Loss BuCtrl]]+Table16[[#This Row],[Transition Loss BuCtrl]]+Table16[[#This Row],[RDS(on) Loss BuCtrl]]*(1+RdsonTopTc*Ta-RdsonTopTc*25))/(1-Table16[[#This Row],[RDS(on) Loss BuCtrl]]*RdsonTopTc*ThetaJA_Q1)</f>
        <v>0.41741287805485527</v>
      </c>
      <c r="AL56" s="345">
        <f>CHOOSE(Table16[[#This Row],[Mode Digit]],SQRT((Fsw*(Table16[[#This Row],[t2_Ph_I]]+0))*((Table16[[#This Row],[I_0]]*Table16[[#This Row],[I_1]]+((Table16[[#This Row],[I_0]]-Table16[[#This Row],[I_1]])^2)/3))),0,SQRT((Fsw*(Table16[[#This Row],[t3_Ph_III]]+0))*((Table16[[#This Row],[I_0]]*Table16[[#This Row],[I_2]]+((Table16[[#This Row],[I_0]]-Table16[[#This Row],[I_2]])^2)/3))))</f>
        <v>0</v>
      </c>
      <c r="AM56" s="345">
        <f>Rdson2*Table16[[#This Row],[Irms BuSync]]^2</f>
        <v>0</v>
      </c>
      <c r="AN56"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56" s="345">
        <f>(Table16[[#This Row],[Deadtime Loss BuSync]]+Table16[[#This Row],[RDS(on) Loss BuSync]]*(1+RdsonBotTc*Ta-RdsonBotTc*25))/(1-Table16[[#This Row],[RDS(on) Loss BuSync]]*RdsonBotTc*ThetaJA_Q2)</f>
        <v>0</v>
      </c>
      <c r="AP56" s="345">
        <f>CHOOSE(Table16[[#This Row],[Mode Digit]],0,SQRT((Fsw*(Table16[[#This Row],[t1_Ph_II]]+0))*((Table16[[#This Row],[I_0]]*Table16[[#This Row],[I_1]]+((Table16[[#This Row],[I_0]]-Table16[[#This Row],[I_1]])^2)/3))),SQRT((Fsw*(Table16[[#This Row],[t2_Ph_I]]+0))*((Table16[[#This Row],[I_1]]*Table16[[#This Row],[I_2]]+((Table16[[#This Row],[I_1]]-Table16[[#This Row],[I_2]])^2)/3))))</f>
        <v>4.5075660526205148</v>
      </c>
      <c r="AQ56" s="345">
        <f>Rdson4*Table16[[#This Row],[Irms BoCtlr]]^2</f>
        <v>7.1113531015579115E-2</v>
      </c>
      <c r="AR56" s="345">
        <f>CHOOSE(Table16[[#This Row],[Mode Digit]], 0, (Vout*Table16[[#This Row],[Iin]]/2)*(Fsw)*(Tr_boost+Tf_boost), (Vout*Iout/2)*(Fsw/1)*(Tr_boost+Tf_boost))</f>
        <v>0.61385693420979759</v>
      </c>
      <c r="AS56" s="253">
        <f>IF(Table16[[#This Row],[Vin]]&gt;Vout, 0, IF(Table16[[#This Row],[Iin]]&gt;Table16[[#This Row],[Ripple Current pk-pk]]/2,0,ABS(Table16[[#This Row],[Iin]]-Table16[[#This Row],[Ripple Current pk-pk]]/2)*Vsd_Q4*Deadtime*Fsw))</f>
        <v>0</v>
      </c>
      <c r="AT56" s="345">
        <f>(Table16[[#This Row],[Dead Time Loss BoCtlr]]+Table16[[#This Row],[Transition Loss BoCtlr]]+Table16[[#This Row],[RDS(on) Loss BoCtlr]]*(1+RdsonTopTc*Ta-RdsonTopTc*25))/(1-Table16[[#This Row],[RDS(on) Loss BoCtlr]]*RdsonTopTc*ThetaJA_Q4)</f>
        <v>0.69787381574807872</v>
      </c>
      <c r="AU56"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9.3416682058897429</v>
      </c>
      <c r="AV56" s="345">
        <f>Rdson3*Table16[[#This Row],[Irms BoSync]]^2</f>
        <v>0.30543367704125951</v>
      </c>
      <c r="AW56"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0.30819116757410764</v>
      </c>
      <c r="AX56" s="345">
        <f>(Table16[[#This Row],[Deadtime Loss BoSync]]+Table16[[#This Row],[RDS(on) Loss BoSync]]*(1+RdsonBotTc*Ta-RdsonBotTc*25))/(1-Table16[[#This Row],[RDS(on) Loss BoSync]]*RdsonBotTc*ThetaJA_Q3)</f>
        <v>0.66655805697417292</v>
      </c>
      <c r="AY56" s="345">
        <f>CHOOSE(Table16[[#This Row],[Mode Digit]], Rdson3*Table16[[#This Row],[Irms Lf]]^2, Rdson1*Table16[[#This Row],[Irms Lf]]^2, 0)</f>
        <v>0.37654720805683867</v>
      </c>
      <c r="AZ56" s="345">
        <f>CHOOSE(Table16[[#This Row],[Mode Digit]], 2*Deadtime*Fsw*IF(VfdSky_Q2&gt;0,VfdSky_Q2,0)*Table16[[#This Row],[Iout]], 2*Deadtime*Fsw*IF(VfdSky_Q3&gt;0,VfdSky_Q3,0)*Table16[[#This Row],[Iin]], 2*Deadtime*Fsw*IF(VfdSky_Q2&gt;0,VfdSky_Q2,0)*Table16[[#This Row],[Iout]]+2*Deadtime*Fsw*IF(VfdSky_Q3&gt;0,VfdSky_Q3,0)*Table16[[#This Row],[Iin]])</f>
        <v>0</v>
      </c>
      <c r="BA56" s="345">
        <f>CHOOSE(Table16[[#This Row],[Mode Digit]], IF(QrrSky_Q2&gt;0,QrrSky_Q2,Qrr_Q2)*Fsw*(Table16[[#This Row],[Vin]]-Table16[[#This Row],[Iout]]*Rdson1),0,  IF(QrrSky_Q2&gt;0,QrrSky_Q2,Qrr_Q2)*Fsw*(Table16[[#This Row],[Vin]]-Table16[[#This Row],[Iout]]*Rdson1)+IF(QrrSky_Q3&gt;0,QrrSky_Q3,Qrr_Q3)*Fsw*Vout)</f>
        <v>0</v>
      </c>
      <c r="BB56" s="345">
        <f>CHOOSE(Table16[[#This Row],[Mode Digit]],0, IF(QrrSky_Q3&gt;0,QrrSky_Q3,Qrr_Q3)*Fsw*Vout,  IF(QrrSky_Q2&gt;0,QrrSky_Q2,Qrr_Q2)*Fsw*(Table16[[#This Row],[Vin]]-Table16[[#This Row],[Iout]]*Rdson1)+IF(QrrSky_Q3&gt;0,QrrSky_Q3,Qrr_Q3)*Fsw*Vout)</f>
        <v>0.35660799999999998</v>
      </c>
      <c r="BC56" s="345">
        <f>CHOOSE(Table16[[#This Row],[Mode Digit]], Rs*Table16[[#This Row],[Irms BuSync]]^2, Rs*Table16[[#This Row],[Irms BoCtlr]]^2, Rs*(Table16[[#This Row],[Irms BuSync]]^2+Table16[[#This Row],[Irms BoCtlr]]^2))</f>
        <v>2.6413597234357954E-2</v>
      </c>
      <c r="BD56" s="345">
        <f t="shared" si="1"/>
        <v>0.64</v>
      </c>
      <c r="BE56" s="345">
        <f>IF(Vout&gt;8, Iq*Vout, Iq*Table16[[#This Row],[Vin]])</f>
        <v>4.8000000000000001E-2</v>
      </c>
      <c r="BF56" s="345">
        <f>CHOOSE(Table16[[#This Row],[Mode Digit]], (Qg_Q1+Qg_Q2)*Fsw, (Qg_Q3+Qg_Q4)*Fsw, (Qg_Q1+Qg_Q2+Qg_Q3+Qg_Q4)*Fsw)*IF(Vout&gt;8, Vout, Table16[[#This Row],[Vin]])</f>
        <v>0.85331200000000007</v>
      </c>
      <c r="BG56" s="345">
        <f t="shared" si="2"/>
        <v>0.50594479787234037</v>
      </c>
      <c r="BH56" s="345">
        <f>Table16[[#This Row],[IQ Loss]]+Table16[[#This Row],[Switching Current Loss]]</f>
        <v>0.90131200000000011</v>
      </c>
      <c r="BI56"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4.4680978475122144</v>
      </c>
      <c r="BJ56" s="253">
        <f>Vout*Table16[[#This Row],[Iout]]</f>
        <v>128</v>
      </c>
      <c r="BK56" s="684">
        <f>Table16[[#This Row],[Pout]]/(Table16[[#This Row],[Pout]]+Table16[[#This Row],[Total Loss]])</f>
        <v>0.96627038569953982</v>
      </c>
      <c r="BL56"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68.541318023625109</v>
      </c>
      <c r="BM56" s="685">
        <f>IF(Table16[[#This Row],[Vin]]&gt;Vout, Table16[[#This Row],[Total Sync Bu MOSFET Loss]]*ThetaJA_Q2, ThetaJA_Q3*Table16[[#This Row],[Total Sync Bo MOSFET Loss]])</f>
        <v>43.326273703321242</v>
      </c>
      <c r="BN56" s="640"/>
      <c r="BO56" s="292">
        <f>Table16[[#This Row],[EFF, h]]*100</f>
        <v>96.627038569953982</v>
      </c>
      <c r="BP56" s="345">
        <f>Table16[[#This Row],[Total Inductor Loss]]</f>
        <v>0.72968571376482216</v>
      </c>
      <c r="BQ56" s="345">
        <f>Table16[[#This Row],[Total Control Bu MOSFET Loss]]+Table16[[#This Row],[Total Sync Bu MOSFET Loss]]+Table16[[#This Row],[Total Control Bo MOSFET Loss]]+Table16[[#This Row],[Total Sync Bo MOSFET Loss]]+Table16[[#This Row],[Reverse Recovery Loss MOSFET D BUCK]]+Table16[[#This Row],[Reverse Recovery Loss MOSFET D BOOST]]</f>
        <v>2.1384527507771067</v>
      </c>
      <c r="BR56" s="345">
        <f>Table16[[#This Row],[Total Control Bu MOSFET Loss]]+Table16[[#This Row],[Reverse Recovery Loss MOSFET D BUCK]]*0.66</f>
        <v>0.41741287805485527</v>
      </c>
      <c r="BS56" s="345">
        <f>Table16[[#This Row],[Total Sync Bu MOSFET Loss]]+Table16[[#This Row],[Reverse Recovery Loss MOSFET D BUCK]]*0.33</f>
        <v>0</v>
      </c>
      <c r="BT56" s="345">
        <f xml:space="preserve"> Table16[[#This Row],[Total Control Bo MOSFET Loss]]+Table16[[#This Row],[Reverse Recovery Loss MOSFET D BOOST]]*0.66</f>
        <v>0.93323509574807872</v>
      </c>
      <c r="BU56" s="345">
        <f xml:space="preserve"> Table16[[#This Row],[Total Sync Bo MOSFET Loss]]+Table16[[#This Row],[Reverse Recovery Loss MOSFET D BOOST]]*0.33</f>
        <v>0.78423869697417292</v>
      </c>
      <c r="BV56" s="345">
        <f>Table16[[#This Row],[Isense Shunt Loss]]</f>
        <v>2.6413597234357954E-2</v>
      </c>
      <c r="CB56" s="686"/>
      <c r="CC56" s="686"/>
    </row>
    <row r="57" spans="1:83" ht="13.6" x14ac:dyDescent="0.25">
      <c r="A57" s="688" t="s">
        <v>274</v>
      </c>
      <c r="B57" s="679" t="s">
        <v>113</v>
      </c>
      <c r="C57" s="688" t="s">
        <v>80</v>
      </c>
      <c r="D57" s="688" t="s">
        <v>244</v>
      </c>
      <c r="G57" s="253">
        <v>48</v>
      </c>
      <c r="H57" s="286">
        <f>VIN_min+(VIN_max-VIN_min)*(Table16[[#This Row],[Step]]/200)</f>
        <v>13.2</v>
      </c>
      <c r="I57" s="292" t="str">
        <f>IF(Mode = 2,IF(Table16[[#This Row],[Vin]]&gt;Vout, "BUCK","BOOST"),IF(Table16[[#This Row],[Vin]]&gt;VIN_BB_to_buck, "BUCK", IF(Table16[[#This Row],[Vin]]&lt;=VIN_boost_to_BB,"BOOST","BUCK-BST")))</f>
        <v>BOOST</v>
      </c>
      <c r="J57" s="253">
        <f>IF(Table16[[#This Row],[Mode]]="BOOST",2, IF(Table16[[#This Row],[Mode]]="BUCK", 1,3))</f>
        <v>2</v>
      </c>
      <c r="K57" s="253">
        <f t="shared" si="0"/>
        <v>8</v>
      </c>
      <c r="L57" s="292">
        <f>Vout*Table16[[#This Row],[Iout]]/(Table16[[#This Row],[Vin]]*Efficiency)</f>
        <v>10.207336523125997</v>
      </c>
      <c r="M57" s="682">
        <f>MIN(1/Fsw,CHOOSE(Table16[[#This Row],[Mode Digit]],(Vout+(Rdson2+Rs+Rdcr)*Table16[[#This Row],[Iout]])/(Table16[[#This Row],[Vin]]+(Rs+Rdson2-Rdson1)*Table16[[#This Row],[Iout]])/Fsw,(Vout+(Rdson3+Rdcr)*Table16[[#This Row],[Iin]]-Table16[[#This Row],[Vin]])/(Vout+(Rdson3-Rdson4-Rs)*Table16[[#This Row],[Iin]])/Fsw,t1_Ph_II))</f>
        <v>4.5081187446618901E-7</v>
      </c>
      <c r="N57" s="518">
        <f>CHOOSE(Table16[[#This Row],[Mode Digit]],1/Fsw-Table16[[#This Row],[t1_Ph_II]],1/Fsw-Table16[[#This Row],[t1_Ph_II]],(Vout/Fsw-Table16[[#This Row],[Vin]]*t1_Ph_II)/(Table16[[#This Row],[Vin]]+Vout))</f>
        <v>2.0617509396041627E-6</v>
      </c>
      <c r="O57" s="518">
        <f>1/Fsw-(Table16[[#This Row],[t1_Ph_II]]+Table16[[#This Row],[t2_Ph_I]])</f>
        <v>0</v>
      </c>
      <c r="P57"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8.5543596500833043</v>
      </c>
      <c r="Q57" s="292">
        <f>CHOOSE(Table16[[#This Row],[Mode Digit]],Table16[[#This Row],[I_0]]+1/Lf*(Table16[[#This Row],[Vin]]-Vout)*Table16[[#This Row],[t1_Ph_II]],Table16[[#This Row],[I_0]]+1/Lf*Table16[[#This Row],[Vin]]*Table16[[#This Row],[t1_Ph_II]],Table16[[#This Row],[I_0]]+(Table16[[#This Row],[Vin]]-Vout)/L*Table16[[#This Row],[t1_Ph_II]])</f>
        <v>11.86031339616869</v>
      </c>
      <c r="R57" s="292">
        <f>CHOOSE(Table16[[#This Row],[Mode Digit]],0,0,Table16[[#This Row],[I_1]]+Table16[[#This Row],[Vin]]/L*Table16[[#This Row],[t2_Ph_I]])</f>
        <v>0</v>
      </c>
      <c r="S57" s="292">
        <f>Fsw*(Table16[[#This Row],[I_0]]*Table16[[#This Row],[t1_Ph_II]]+Table16[[#This Row],[I_1]]*Table16[[#This Row],[t2_Ph_I]]+Table16[[#This Row],[I_2]]*Table16[[#This Row],[t3_Ph_III]])</f>
        <v>11.267148840510524</v>
      </c>
      <c r="T57" s="345">
        <f>MIN(1,CHOOSE(Table16[[#This Row],[Mode Digit]],(Vout+(Rdson2+Rs+Rdcr)*Table16[[#This Row],[Iout]])/(Table16[[#This Row],[Vin]]+(Rs+Rdson2-Rdson1)*Table16[[#This Row],[Iout]]),1,Fsw*Table16[[#This Row],[t2_Ph_I]]+Table16[[#This Row],[t1_Ph_II]]))</f>
        <v>1</v>
      </c>
      <c r="U57" s="345">
        <f>MIN(1,CHOOSE(Table16[[#This Row],[Mode Digit]],0,(Vout+(Rdson3+Rdcr)*Table16[[#This Row],[Iin]]-Table16[[#This Row],[Vin]])/(Vout+(Rdson3-Rdson4-Rs)*Table16[[#This Row],[Iin]]),Fsw*Table16[[#This Row],[t1_Ph_II]]+Table16[[#This Row],[t3_Ph_III]]))</f>
        <v>0.17942312603754323</v>
      </c>
      <c r="V57" s="292">
        <f>MAX(Table16[[#This Row],[I_0]:[I_2]])-MIN(Table16[[#This Row],[I_0]:[I_1]])</f>
        <v>3.3059537460853861</v>
      </c>
      <c r="W57"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10.251853315894314</v>
      </c>
      <c r="X57" s="345">
        <f>(Table16[[#This Row],[Irms Lf]]^2*Rdcr*(1+Ltc*Ta-Ltc*25))/(1-Table16[[#This Row],[Irms Lf]]^2*Rdcr*Ltc*ThetaCa)</f>
        <v>0.34562076653183438</v>
      </c>
      <c r="Y57" s="345">
        <f>ABS(7.759*10^-3*Fsw^0.9458*(0.00787*Table16[[#This Row],[Ripple Current pk-pk]])^2.304)</f>
        <v>0.34273677810733827</v>
      </c>
      <c r="Z57" s="345">
        <f>Table16[[#This Row],[DCR    Loss]]+Table16[[#This Row],[Core Loss]]</f>
        <v>0.68835754463917265</v>
      </c>
      <c r="AA57" s="292">
        <f>IF(Table16[[#This Row],[Vin]]&gt;Vout, Table16[[#This Row],[Ripple Current pk-pk]]/SQRT(12), SQRT(Table16[[#This Row],[Duty Cycle BOOST Leg]]/(1-Table16[[#This Row],[Duty Cycle BOOST Leg]]))*SQRT(Table16[[#This Row],[Iout]]^2+(Table16[[#This Row],[Ripple Current pk-pk]]^2)/12))</f>
        <v>3.7673674268867496</v>
      </c>
      <c r="AB57" s="345">
        <f>RCoutEsr*Table16[[#This Row],[Irms Cout]]^2</f>
        <v>2.8386114658334578E-2</v>
      </c>
      <c r="AC57" s="345">
        <f>Table16[[#This Row],[Cout ESR Loss]]</f>
        <v>2.8386114658334578E-2</v>
      </c>
      <c r="AD57" s="345">
        <f>IF(Table16[[#This Row],[Vin]]&gt;Vout, SQRT(Table16[[#This Row],[Duty Cycle BUCK Leg]]*(1-Table16[[#This Row],[Duty Cycle BUCK Leg]]))*SQRT(Table16[[#This Row],[Iout]]^2+(Table16[[#This Row],[Ripple Current pk-pk]]^2)/12), Table16[[#This Row],[Ripple Current pk-pk]]/SQRT(12))</f>
        <v>0.95434664261542468</v>
      </c>
      <c r="AE57" s="345">
        <f>RCinEsr*Table16[[#This Row],[Irms Cin]]^2</f>
        <v>1.8215550285426664E-3</v>
      </c>
      <c r="AF57" s="683">
        <f>Table16[[#This Row],[Cin ESR Loss]]</f>
        <v>1.8215550285426664E-3</v>
      </c>
      <c r="AG57"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10.251853315894314</v>
      </c>
      <c r="AH57" s="345">
        <f>Rdson1*Table16[[#This Row],[Irms BuCtrl]]^2</f>
        <v>0.36785173743714639</v>
      </c>
      <c r="AI57" s="345">
        <f>CHOOSE(Table16[[#This Row],[Mode Digit]], (Table16[[#This Row],[Vin]]*Table16[[#This Row],[Iout]]/2)*(Fsw)*(Tr_buck+Tf_buck), 0, (Table16[[#This Row],[Vin]]*Table16[[#This Row],[Avg IL]]/2)*(Fsw/1)*(Tr_buck+Tf_buck))</f>
        <v>0</v>
      </c>
      <c r="AJ57" s="253">
        <f>IF(Table16[[#This Row],[Vin]]&gt;Vout, IF(Table16[[#This Row],[Iout]]&gt;Table16[[#This Row],[Ripple Current pk-pk]]/2,0,ABS(Table16[[#This Row],[Iout]]-Table16[[#This Row],[Ripple Current pk-pk]]/2)*Vsd_Q1*Deadtime*Fsw),0)</f>
        <v>0</v>
      </c>
      <c r="AK57" s="345">
        <f>(Table16[[#This Row],[Dead Time Loss BuCtrl]]+Table16[[#This Row],[Transition Loss BuCtrl]]+Table16[[#This Row],[RDS(on) Loss BuCtrl]]*(1+RdsonTopTc*Ta-RdsonTopTc*25))/(1-Table16[[#This Row],[RDS(on) Loss BuCtrl]]*RdsonTopTc*ThetaJA_Q1)</f>
        <v>0.40675431015974722</v>
      </c>
      <c r="AL57" s="345">
        <f>CHOOSE(Table16[[#This Row],[Mode Digit]],SQRT((Fsw*(Table16[[#This Row],[t2_Ph_I]]+0))*((Table16[[#This Row],[I_0]]*Table16[[#This Row],[I_1]]+((Table16[[#This Row],[I_0]]-Table16[[#This Row],[I_1]])^2)/3))),0,SQRT((Fsw*(Table16[[#This Row],[t3_Ph_III]]+0))*((Table16[[#This Row],[I_0]]*Table16[[#This Row],[I_2]]+((Table16[[#This Row],[I_0]]-Table16[[#This Row],[I_2]])^2)/3))))</f>
        <v>0</v>
      </c>
      <c r="AM57" s="345">
        <f>Rdson2*Table16[[#This Row],[Irms BuSync]]^2</f>
        <v>0</v>
      </c>
      <c r="AN57"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57" s="345">
        <f>(Table16[[#This Row],[Deadtime Loss BuSync]]+Table16[[#This Row],[RDS(on) Loss BuSync]]*(1+RdsonBotTc*Ta-RdsonBotTc*25))/(1-Table16[[#This Row],[RDS(on) Loss BuSync]]*RdsonBotTc*ThetaJA_Q2)</f>
        <v>0</v>
      </c>
      <c r="AP57" s="345">
        <f>CHOOSE(Table16[[#This Row],[Mode Digit]],0,SQRT((Fsw*(Table16[[#This Row],[t1_Ph_II]]+0))*((Table16[[#This Row],[I_0]]*Table16[[#This Row],[I_1]]+((Table16[[#This Row],[I_0]]-Table16[[#This Row],[I_1]])^2)/3))),SQRT((Fsw*(Table16[[#This Row],[t2_Ph_I]]+0))*((Table16[[#This Row],[I_1]]*Table16[[#This Row],[I_2]]+((Table16[[#This Row],[I_1]]-Table16[[#This Row],[I_2]])^2)/3))))</f>
        <v>4.3425176584660914</v>
      </c>
      <c r="AQ57" s="345">
        <f>Rdson4*Table16[[#This Row],[Irms BoCtlr]]^2</f>
        <v>6.6001108649314397E-2</v>
      </c>
      <c r="AR57" s="345">
        <f>CHOOSE(Table16[[#This Row],[Mode Digit]], 0, (Vout*Table16[[#This Row],[Iin]]/2)*(Fsw)*(Tr_boost+Tf_boost), (Vout*Iout/2)*(Fsw/1)*(Tr_boost+Tf_boost))</f>
        <v>0.6068812872301409</v>
      </c>
      <c r="AS57" s="253">
        <f>IF(Table16[[#This Row],[Vin]]&gt;Vout, 0, IF(Table16[[#This Row],[Iin]]&gt;Table16[[#This Row],[Ripple Current pk-pk]]/2,0,ABS(Table16[[#This Row],[Iin]]-Table16[[#This Row],[Ripple Current pk-pk]]/2)*Vsd_Q4*Deadtime*Fsw))</f>
        <v>0</v>
      </c>
      <c r="AT57" s="345">
        <f>(Table16[[#This Row],[Dead Time Loss BoCtlr]]+Table16[[#This Row],[Transition Loss BoCtlr]]+Table16[[#This Row],[RDS(on) Loss BoCtlr]]*(1+RdsonTopTc*Ta-RdsonTopTc*25))/(1-Table16[[#This Row],[RDS(on) Loss BoCtlr]]*RdsonTopTc*ThetaJA_Q4)</f>
        <v>0.68463085875981211</v>
      </c>
      <c r="AU57"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9.2867129166634328</v>
      </c>
      <c r="AV57" s="345">
        <f>Rdson3*Table16[[#This Row],[Irms BoSync]]^2</f>
        <v>0.30185062878783203</v>
      </c>
      <c r="AW57"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0.30468899521531095</v>
      </c>
      <c r="AX57" s="345">
        <f>(Table16[[#This Row],[Deadtime Loss BoSync]]+Table16[[#This Row],[RDS(on) Loss BoSync]]*(1+RdsonBotTc*Ta-RdsonBotTc*25))/(1-Table16[[#This Row],[RDS(on) Loss BoSync]]*RdsonBotTc*ThetaJA_Q3)</f>
        <v>0.65819557883032198</v>
      </c>
      <c r="AY57" s="345">
        <f>CHOOSE(Table16[[#This Row],[Mode Digit]], Rdson3*Table16[[#This Row],[Irms Lf]]^2, Rdson1*Table16[[#This Row],[Irms Lf]]^2, 0)</f>
        <v>0.36785173743714639</v>
      </c>
      <c r="AZ57" s="345">
        <f>CHOOSE(Table16[[#This Row],[Mode Digit]], 2*Deadtime*Fsw*IF(VfdSky_Q2&gt;0,VfdSky_Q2,0)*Table16[[#This Row],[Iout]], 2*Deadtime*Fsw*IF(VfdSky_Q3&gt;0,VfdSky_Q3,0)*Table16[[#This Row],[Iin]], 2*Deadtime*Fsw*IF(VfdSky_Q2&gt;0,VfdSky_Q2,0)*Table16[[#This Row],[Iout]]+2*Deadtime*Fsw*IF(VfdSky_Q3&gt;0,VfdSky_Q3,0)*Table16[[#This Row],[Iin]])</f>
        <v>0</v>
      </c>
      <c r="BA57" s="345">
        <f>CHOOSE(Table16[[#This Row],[Mode Digit]], IF(QrrSky_Q2&gt;0,QrrSky_Q2,Qrr_Q2)*Fsw*(Table16[[#This Row],[Vin]]-Table16[[#This Row],[Iout]]*Rdson1),0,  IF(QrrSky_Q2&gt;0,QrrSky_Q2,Qrr_Q2)*Fsw*(Table16[[#This Row],[Vin]]-Table16[[#This Row],[Iout]]*Rdson1)+IF(QrrSky_Q3&gt;0,QrrSky_Q3,Qrr_Q3)*Fsw*Vout)</f>
        <v>0</v>
      </c>
      <c r="BB57" s="345">
        <f>CHOOSE(Table16[[#This Row],[Mode Digit]],0, IF(QrrSky_Q3&gt;0,QrrSky_Q3,Qrr_Q3)*Fsw*Vout,  IF(QrrSky_Q2&gt;0,QrrSky_Q2,Qrr_Q2)*Fsw*(Table16[[#This Row],[Vin]]-Table16[[#This Row],[Iout]]*Rdson1)+IF(QrrSky_Q3&gt;0,QrrSky_Q3,Qrr_Q3)*Fsw*Vout)</f>
        <v>0.35660799999999998</v>
      </c>
      <c r="BC57" s="345">
        <f>CHOOSE(Table16[[#This Row],[Mode Digit]], Rs*Table16[[#This Row],[Irms BuSync]]^2, Rs*Table16[[#This Row],[Irms BoCtlr]]^2, Rs*(Table16[[#This Row],[Irms BuSync]]^2+Table16[[#This Row],[Irms BoCtlr]]^2))</f>
        <v>2.4514697498316772E-2</v>
      </c>
      <c r="BD57" s="345">
        <f t="shared" si="1"/>
        <v>0.64</v>
      </c>
      <c r="BE57" s="345">
        <f>IF(Vout&gt;8, Iq*Vout, Iq*Table16[[#This Row],[Vin]])</f>
        <v>4.8000000000000001E-2</v>
      </c>
      <c r="BF57" s="345">
        <f>CHOOSE(Table16[[#This Row],[Mode Digit]], (Qg_Q1+Qg_Q2)*Fsw, (Qg_Q3+Qg_Q4)*Fsw, (Qg_Q1+Qg_Q2+Qg_Q3+Qg_Q4)*Fsw)*IF(Vout&gt;8, Vout, Table16[[#This Row],[Vin]])</f>
        <v>0.85331200000000007</v>
      </c>
      <c r="BG57" s="345">
        <f t="shared" si="2"/>
        <v>0.50594479787234037</v>
      </c>
      <c r="BH57" s="345">
        <f>Table16[[#This Row],[IQ Loss]]+Table16[[#This Row],[Switching Current Loss]]</f>
        <v>0.90131200000000011</v>
      </c>
      <c r="BI57"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4.3905806595742476</v>
      </c>
      <c r="BJ57" s="253">
        <f>Vout*Table16[[#This Row],[Iout]]</f>
        <v>128</v>
      </c>
      <c r="BK57" s="684">
        <f>Table16[[#This Row],[Pout]]/(Table16[[#This Row],[Pout]]+Table16[[#This Row],[Total Loss]])</f>
        <v>0.96683615527856859</v>
      </c>
      <c r="BL57"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67.680525819387782</v>
      </c>
      <c r="BM57" s="685">
        <f>IF(Table16[[#This Row],[Vin]]&gt;Vout, Table16[[#This Row],[Total Sync Bu MOSFET Loss]]*ThetaJA_Q2, ThetaJA_Q3*Table16[[#This Row],[Total Sync Bo MOSFET Loss]])</f>
        <v>42.78271262397093</v>
      </c>
      <c r="BN57" s="640"/>
      <c r="BO57" s="292">
        <f>Table16[[#This Row],[EFF, h]]*100</f>
        <v>96.683615527856858</v>
      </c>
      <c r="BP57" s="345">
        <f>Table16[[#This Row],[Total Inductor Loss]]</f>
        <v>0.68835754463917265</v>
      </c>
      <c r="BQ57" s="345">
        <f>Table16[[#This Row],[Total Control Bu MOSFET Loss]]+Table16[[#This Row],[Total Sync Bu MOSFET Loss]]+Table16[[#This Row],[Total Control Bo MOSFET Loss]]+Table16[[#This Row],[Total Sync Bo MOSFET Loss]]+Table16[[#This Row],[Reverse Recovery Loss MOSFET D BUCK]]+Table16[[#This Row],[Reverse Recovery Loss MOSFET D BOOST]]</f>
        <v>2.1061887477498811</v>
      </c>
      <c r="BR57" s="345">
        <f>Table16[[#This Row],[Total Control Bu MOSFET Loss]]+Table16[[#This Row],[Reverse Recovery Loss MOSFET D BUCK]]*0.66</f>
        <v>0.40675431015974722</v>
      </c>
      <c r="BS57" s="345">
        <f>Table16[[#This Row],[Total Sync Bu MOSFET Loss]]+Table16[[#This Row],[Reverse Recovery Loss MOSFET D BUCK]]*0.33</f>
        <v>0</v>
      </c>
      <c r="BT57" s="345">
        <f xml:space="preserve"> Table16[[#This Row],[Total Control Bo MOSFET Loss]]+Table16[[#This Row],[Reverse Recovery Loss MOSFET D BOOST]]*0.66</f>
        <v>0.91999213875981212</v>
      </c>
      <c r="BU57" s="345">
        <f xml:space="preserve"> Table16[[#This Row],[Total Sync Bo MOSFET Loss]]+Table16[[#This Row],[Reverse Recovery Loss MOSFET D BOOST]]*0.33</f>
        <v>0.77587621883032198</v>
      </c>
      <c r="BV57" s="345">
        <f>Table16[[#This Row],[Isense Shunt Loss]]</f>
        <v>2.4514697498316772E-2</v>
      </c>
      <c r="CB57" s="686"/>
      <c r="CC57" s="686"/>
    </row>
    <row r="58" spans="1:83" x14ac:dyDescent="0.2">
      <c r="A58" s="691" t="s">
        <v>227</v>
      </c>
      <c r="B58" s="707">
        <f>VfdSky_Q2</f>
        <v>0</v>
      </c>
      <c r="C58" s="255" t="s">
        <v>0</v>
      </c>
      <c r="D58" s="352" t="s">
        <v>230</v>
      </c>
      <c r="G58" s="253">
        <v>49</v>
      </c>
      <c r="H58" s="286">
        <f>VIN_min+(VIN_max-VIN_min)*(Table16[[#This Row],[Step]]/200)</f>
        <v>13.35</v>
      </c>
      <c r="I58" s="292" t="str">
        <f>IF(Mode = 2,IF(Table16[[#This Row],[Vin]]&gt;Vout, "BUCK","BOOST"),IF(Table16[[#This Row],[Vin]]&gt;VIN_BB_to_buck, "BUCK", IF(Table16[[#This Row],[Vin]]&lt;=VIN_boost_to_BB,"BOOST","BUCK-BST")))</f>
        <v>BOOST</v>
      </c>
      <c r="J58" s="253">
        <f>IF(Table16[[#This Row],[Mode]]="BOOST",2, IF(Table16[[#This Row],[Mode]]="BUCK", 1,3))</f>
        <v>2</v>
      </c>
      <c r="K58" s="253">
        <f t="shared" si="0"/>
        <v>8</v>
      </c>
      <c r="L58" s="292">
        <f>Vout*Table16[[#This Row],[Iout]]/(Table16[[#This Row],[Vin]]*Efficiency)</f>
        <v>10.092647348708851</v>
      </c>
      <c r="M58" s="682">
        <f>MIN(1/Fsw,CHOOSE(Table16[[#This Row],[Mode Digit]],(Vout+(Rdson2+Rs+Rdcr)*Table16[[#This Row],[Iout]])/(Table16[[#This Row],[Vin]]+(Rs+Rdson2-Rdson1)*Table16[[#This Row],[Iout]])/Fsw,(Vout+(Rdson3+Rdcr)*Table16[[#This Row],[Iin]]-Table16[[#This Row],[Vin]])/(Vout+(Rdson3-Rdson4-Rs)*Table16[[#This Row],[Iin]])/Fsw,t1_Ph_II))</f>
        <v>4.2711229431379731E-7</v>
      </c>
      <c r="N58" s="518">
        <f>CHOOSE(Table16[[#This Row],[Mode Digit]],1/Fsw-Table16[[#This Row],[t1_Ph_II]],1/Fsw-Table16[[#This Row],[t1_Ph_II]],(Vout/Fsw-Table16[[#This Row],[Vin]]*t1_Ph_II)/(Table16[[#This Row],[Vin]]+Vout))</f>
        <v>2.0854505197565545E-6</v>
      </c>
      <c r="O58" s="518">
        <f>1/Fsw-(Table16[[#This Row],[t1_Ph_II]]+Table16[[#This Row],[t2_Ph_I]])</f>
        <v>0</v>
      </c>
      <c r="P58"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8.5087725906285208</v>
      </c>
      <c r="Q58" s="292">
        <f>CHOOSE(Table16[[#This Row],[Mode Digit]],Table16[[#This Row],[I_0]]+1/Lf*(Table16[[#This Row],[Vin]]-Vout)*Table16[[#This Row],[t1_Ph_II]],Table16[[#This Row],[I_0]]+1/Lf*Table16[[#This Row],[Vin]]*Table16[[#This Row],[t1_Ph_II]],Table16[[#This Row],[I_0]]+(Table16[[#This Row],[Vin]]-Vout)/L*Table16[[#This Row],[t1_Ph_II]])</f>
        <v>11.676522106789184</v>
      </c>
      <c r="R58" s="292">
        <f>CHOOSE(Table16[[#This Row],[Mode Digit]],0,0,Table16[[#This Row],[I_1]]+Table16[[#This Row],[Vin]]/L*Table16[[#This Row],[t2_Ph_I]])</f>
        <v>0</v>
      </c>
      <c r="S58" s="292">
        <f>Fsw*(Table16[[#This Row],[I_0]]*Table16[[#This Row],[t1_Ph_II]]+Table16[[#This Row],[I_1]]*Table16[[#This Row],[t2_Ph_I]]+Table16[[#This Row],[I_2]]*Table16[[#This Row],[t3_Ph_III]])</f>
        <v>11.138034170852981</v>
      </c>
      <c r="T58" s="345">
        <f>MIN(1,CHOOSE(Table16[[#This Row],[Mode Digit]],(Vout+(Rdson2+Rs+Rdcr)*Table16[[#This Row],[Iout]])/(Table16[[#This Row],[Vin]]+(Rs+Rdson2-Rdson1)*Table16[[#This Row],[Iout]]),1,Fsw*Table16[[#This Row],[t2_Ph_I]]+Table16[[#This Row],[t1_Ph_II]]))</f>
        <v>1</v>
      </c>
      <c r="U58" s="345">
        <f>MIN(1,CHOOSE(Table16[[#This Row],[Mode Digit]],0,(Vout+(Rdson3+Rdcr)*Table16[[#This Row],[Iin]]-Table16[[#This Row],[Vin]])/(Vout+(Rdson3-Rdson4-Rs)*Table16[[#This Row],[Iin]]),Fsw*Table16[[#This Row],[t1_Ph_II]]+Table16[[#This Row],[t3_Ph_III]]))</f>
        <v>0.16999069313689133</v>
      </c>
      <c r="V58" s="292">
        <f>MAX(Table16[[#This Row],[I_0]:[I_2]])-MIN(Table16[[#This Row],[I_0]:[I_1]])</f>
        <v>3.1677495161606632</v>
      </c>
      <c r="W58"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10.133989848779265</v>
      </c>
      <c r="X58" s="345">
        <f>(Table16[[#This Row],[Irms Lf]]^2*Rdcr*(1+Ltc*Ta-Ltc*25))/(1-Table16[[#This Row],[Irms Lf]]^2*Rdcr*Ltc*ThetaCa)</f>
        <v>0.33750604537524981</v>
      </c>
      <c r="Y58" s="345">
        <f>ABS(7.759*10^-3*Fsw^0.9458*(0.00787*Table16[[#This Row],[Ripple Current pk-pk]])^2.304)</f>
        <v>0.31062103654384532</v>
      </c>
      <c r="Z58" s="345">
        <f>Table16[[#This Row],[DCR    Loss]]+Table16[[#This Row],[Core Loss]]</f>
        <v>0.64812708191909518</v>
      </c>
      <c r="AA58" s="292">
        <f>IF(Table16[[#This Row],[Vin]]&gt;Vout, Table16[[#This Row],[Ripple Current pk-pk]]/SQRT(12), SQRT(Table16[[#This Row],[Duty Cycle BOOST Leg]]/(1-Table16[[#This Row],[Duty Cycle BOOST Leg]]))*SQRT(Table16[[#This Row],[Iout]]^2+(Table16[[#This Row],[Ripple Current pk-pk]]^2)/12))</f>
        <v>3.6440131378243734</v>
      </c>
      <c r="AB58" s="345">
        <f>RCoutEsr*Table16[[#This Row],[Irms Cout]]^2</f>
        <v>2.6557663497273273E-2</v>
      </c>
      <c r="AC58" s="345">
        <f>Table16[[#This Row],[Cout ESR Loss]]</f>
        <v>2.6557663497273273E-2</v>
      </c>
      <c r="AD58" s="345">
        <f>IF(Table16[[#This Row],[Vin]]&gt;Vout, SQRT(Table16[[#This Row],[Duty Cycle BUCK Leg]]*(1-Table16[[#This Row],[Duty Cycle BUCK Leg]]))*SQRT(Table16[[#This Row],[Iout]]^2+(Table16[[#This Row],[Ripple Current pk-pk]]^2)/12), Table16[[#This Row],[Ripple Current pk-pk]]/SQRT(12))</f>
        <v>0.91445051794033294</v>
      </c>
      <c r="AE58" s="345">
        <f>RCinEsr*Table16[[#This Row],[Irms Cin]]^2</f>
        <v>1.6724394995226864E-3</v>
      </c>
      <c r="AF58" s="683">
        <f>Table16[[#This Row],[Cin ESR Loss]]</f>
        <v>1.6724394995226864E-3</v>
      </c>
      <c r="AG58"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10.133989848779265</v>
      </c>
      <c r="AH58" s="345">
        <f>Rdson1*Table16[[#This Row],[Irms BuCtrl]]^2</f>
        <v>0.35944212589306418</v>
      </c>
      <c r="AI58" s="345">
        <f>CHOOSE(Table16[[#This Row],[Mode Digit]], (Table16[[#This Row],[Vin]]*Table16[[#This Row],[Iout]]/2)*(Fsw)*(Tr_buck+Tf_buck), 0, (Table16[[#This Row],[Vin]]*Table16[[#This Row],[Avg IL]]/2)*(Fsw/1)*(Tr_buck+Tf_buck))</f>
        <v>0</v>
      </c>
      <c r="AJ58" s="253">
        <f>IF(Table16[[#This Row],[Vin]]&gt;Vout, IF(Table16[[#This Row],[Iout]]&gt;Table16[[#This Row],[Ripple Current pk-pk]]/2,0,ABS(Table16[[#This Row],[Iout]]-Table16[[#This Row],[Ripple Current pk-pk]]/2)*Vsd_Q1*Deadtime*Fsw),0)</f>
        <v>0</v>
      </c>
      <c r="AK58" s="345">
        <f>(Table16[[#This Row],[Dead Time Loss BuCtrl]]+Table16[[#This Row],[Transition Loss BuCtrl]]+Table16[[#This Row],[RDS(on) Loss BuCtrl]]*(1+RdsonTopTc*Ta-RdsonTopTc*25))/(1-Table16[[#This Row],[RDS(on) Loss BuCtrl]]*RdsonTopTc*ThetaJA_Q1)</f>
        <v>0.39649670689434702</v>
      </c>
      <c r="AL58" s="345">
        <f>CHOOSE(Table16[[#This Row],[Mode Digit]],SQRT((Fsw*(Table16[[#This Row],[t2_Ph_I]]+0))*((Table16[[#This Row],[I_0]]*Table16[[#This Row],[I_1]]+((Table16[[#This Row],[I_0]]-Table16[[#This Row],[I_1]])^2)/3))),0,SQRT((Fsw*(Table16[[#This Row],[t3_Ph_III]]+0))*((Table16[[#This Row],[I_0]]*Table16[[#This Row],[I_2]]+((Table16[[#This Row],[I_0]]-Table16[[#This Row],[I_2]])^2)/3))))</f>
        <v>0</v>
      </c>
      <c r="AM58" s="345">
        <f>Rdson2*Table16[[#This Row],[Irms BuSync]]^2</f>
        <v>0</v>
      </c>
      <c r="AN58"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58" s="345">
        <f>(Table16[[#This Row],[Deadtime Loss BuSync]]+Table16[[#This Row],[RDS(on) Loss BuSync]]*(1+RdsonBotTc*Ta-RdsonBotTc*25))/(1-Table16[[#This Row],[RDS(on) Loss BuSync]]*RdsonBotTc*ThetaJA_Q2)</f>
        <v>0</v>
      </c>
      <c r="AP58" s="345">
        <f>CHOOSE(Table16[[#This Row],[Mode Digit]],0,SQRT((Fsw*(Table16[[#This Row],[t1_Ph_II]]+0))*((Table16[[#This Row],[I_0]]*Table16[[#This Row],[I_1]]+((Table16[[#This Row],[I_0]]-Table16[[#This Row],[I_1]])^2)/3))),SQRT((Fsw*(Table16[[#This Row],[t2_Ph_I]]+0))*((Table16[[#This Row],[I_1]]*Table16[[#This Row],[I_2]]+((Table16[[#This Row],[I_1]]-Table16[[#This Row],[I_2]])^2)/3))))</f>
        <v>4.1782366794467505</v>
      </c>
      <c r="AQ58" s="345">
        <f>Rdson4*Table16[[#This Row],[Irms BoCtlr]]^2</f>
        <v>6.1101816123159729E-2</v>
      </c>
      <c r="AR58" s="345">
        <f>CHOOSE(Table16[[#This Row],[Mode Digit]], 0, (Vout*Table16[[#This Row],[Iin]]/2)*(Fsw)*(Tr_boost+Tf_boost), (Vout*Iout/2)*(Fsw/1)*(Tr_boost+Tf_boost))</f>
        <v>0.60006239636238645</v>
      </c>
      <c r="AS58" s="253">
        <f>IF(Table16[[#This Row],[Vin]]&gt;Vout, 0, IF(Table16[[#This Row],[Iin]]&gt;Table16[[#This Row],[Ripple Current pk-pk]]/2,0,ABS(Table16[[#This Row],[Iin]]-Table16[[#This Row],[Ripple Current pk-pk]]/2)*Vsd_Q4*Deadtime*Fsw))</f>
        <v>0</v>
      </c>
      <c r="AT58" s="345">
        <f>(Table16[[#This Row],[Dead Time Loss BoCtlr]]+Table16[[#This Row],[Transition Loss BoCtlr]]+Table16[[#This Row],[RDS(on) Loss BoCtlr]]*(1+RdsonTopTc*Ta-RdsonTopTc*25))/(1-Table16[[#This Row],[RDS(on) Loss BoCtlr]]*RdsonTopTc*ThetaJA_Q4)</f>
        <v>0.67183733766797016</v>
      </c>
      <c r="AU58"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9.2325559031985822</v>
      </c>
      <c r="AV58" s="345">
        <f>Rdson3*Table16[[#This Row],[Irms BoSync]]^2</f>
        <v>0.29834030976990444</v>
      </c>
      <c r="AW58"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0.30126552335895918</v>
      </c>
      <c r="AX58" s="345">
        <f>(Table16[[#This Row],[Deadtime Loss BoSync]]+Table16[[#This Row],[RDS(on) Loss BoSync]]*(1+RdsonBotTc*Ta-RdsonBotTc*25))/(1-Table16[[#This Row],[RDS(on) Loss BoSync]]*RdsonBotTc*ThetaJA_Q3)</f>
        <v>0.65002747681474748</v>
      </c>
      <c r="AY58" s="345">
        <f>CHOOSE(Table16[[#This Row],[Mode Digit]], Rdson3*Table16[[#This Row],[Irms Lf]]^2, Rdson1*Table16[[#This Row],[Irms Lf]]^2, 0)</f>
        <v>0.35944212589306418</v>
      </c>
      <c r="AZ58" s="345">
        <f>CHOOSE(Table16[[#This Row],[Mode Digit]], 2*Deadtime*Fsw*IF(VfdSky_Q2&gt;0,VfdSky_Q2,0)*Table16[[#This Row],[Iout]], 2*Deadtime*Fsw*IF(VfdSky_Q3&gt;0,VfdSky_Q3,0)*Table16[[#This Row],[Iin]], 2*Deadtime*Fsw*IF(VfdSky_Q2&gt;0,VfdSky_Q2,0)*Table16[[#This Row],[Iout]]+2*Deadtime*Fsw*IF(VfdSky_Q3&gt;0,VfdSky_Q3,0)*Table16[[#This Row],[Iin]])</f>
        <v>0</v>
      </c>
      <c r="BA58" s="345">
        <f>CHOOSE(Table16[[#This Row],[Mode Digit]], IF(QrrSky_Q2&gt;0,QrrSky_Q2,Qrr_Q2)*Fsw*(Table16[[#This Row],[Vin]]-Table16[[#This Row],[Iout]]*Rdson1),0,  IF(QrrSky_Q2&gt;0,QrrSky_Q2,Qrr_Q2)*Fsw*(Table16[[#This Row],[Vin]]-Table16[[#This Row],[Iout]]*Rdson1)+IF(QrrSky_Q3&gt;0,QrrSky_Q3,Qrr_Q3)*Fsw*Vout)</f>
        <v>0</v>
      </c>
      <c r="BB58" s="345">
        <f>CHOOSE(Table16[[#This Row],[Mode Digit]],0, IF(QrrSky_Q3&gt;0,QrrSky_Q3,Qrr_Q3)*Fsw*Vout,  IF(QrrSky_Q2&gt;0,QrrSky_Q2,Qrr_Q2)*Fsw*(Table16[[#This Row],[Vin]]-Table16[[#This Row],[Iout]]*Rdson1)+IF(QrrSky_Q3&gt;0,QrrSky_Q3,Qrr_Q3)*Fsw*Vout)</f>
        <v>0.35660799999999998</v>
      </c>
      <c r="BC58" s="345">
        <f>CHOOSE(Table16[[#This Row],[Mode Digit]], Rs*Table16[[#This Row],[Irms BuSync]]^2, Rs*Table16[[#This Row],[Irms BoCtlr]]^2, Rs*(Table16[[#This Row],[Irms BuSync]]^2+Table16[[#This Row],[Irms BoCtlr]]^2))</f>
        <v>2.2694960274316469E-2</v>
      </c>
      <c r="BD58" s="345">
        <f t="shared" si="1"/>
        <v>0.64</v>
      </c>
      <c r="BE58" s="345">
        <f>IF(Vout&gt;8, Iq*Vout, Iq*Table16[[#This Row],[Vin]])</f>
        <v>4.8000000000000001E-2</v>
      </c>
      <c r="BF58" s="345">
        <f>CHOOSE(Table16[[#This Row],[Mode Digit]], (Qg_Q1+Qg_Q2)*Fsw, (Qg_Q3+Qg_Q4)*Fsw, (Qg_Q1+Qg_Q2+Qg_Q3+Qg_Q4)*Fsw)*IF(Vout&gt;8, Vout, Table16[[#This Row],[Vin]])</f>
        <v>0.85331200000000007</v>
      </c>
      <c r="BG58" s="345">
        <f t="shared" si="2"/>
        <v>0.50594479787234037</v>
      </c>
      <c r="BH58" s="345">
        <f>Table16[[#This Row],[IQ Loss]]+Table16[[#This Row],[Switching Current Loss]]</f>
        <v>0.90131200000000011</v>
      </c>
      <c r="BI58"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4.3153336665672724</v>
      </c>
      <c r="BJ58" s="253">
        <f>Vout*Table16[[#This Row],[Iout]]</f>
        <v>128</v>
      </c>
      <c r="BK58" s="684">
        <f>Table16[[#This Row],[Pout]]/(Table16[[#This Row],[Pout]]+Table16[[#This Row],[Total Loss]])</f>
        <v>0.96738598961295097</v>
      </c>
      <c r="BL58"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66.84894694841806</v>
      </c>
      <c r="BM58" s="685">
        <f>IF(Table16[[#This Row],[Vin]]&gt;Vout, Table16[[#This Row],[Total Sync Bu MOSFET Loss]]*ThetaJA_Q2, ThetaJA_Q3*Table16[[#This Row],[Total Sync Bo MOSFET Loss]])</f>
        <v>42.251785992958588</v>
      </c>
      <c r="BN58" s="640"/>
      <c r="BO58" s="292">
        <f>Table16[[#This Row],[EFF, h]]*100</f>
        <v>96.738598961295097</v>
      </c>
      <c r="BP58" s="345">
        <f>Table16[[#This Row],[Total Inductor Loss]]</f>
        <v>0.64812708191909518</v>
      </c>
      <c r="BQ58" s="345">
        <f>Table16[[#This Row],[Total Control Bu MOSFET Loss]]+Table16[[#This Row],[Total Sync Bu MOSFET Loss]]+Table16[[#This Row],[Total Control Bo MOSFET Loss]]+Table16[[#This Row],[Total Sync Bo MOSFET Loss]]+Table16[[#This Row],[Reverse Recovery Loss MOSFET D BUCK]]+Table16[[#This Row],[Reverse Recovery Loss MOSFET D BOOST]]</f>
        <v>2.0749695213770645</v>
      </c>
      <c r="BR58" s="345">
        <f>Table16[[#This Row],[Total Control Bu MOSFET Loss]]+Table16[[#This Row],[Reverse Recovery Loss MOSFET D BUCK]]*0.66</f>
        <v>0.39649670689434702</v>
      </c>
      <c r="BS58" s="345">
        <f>Table16[[#This Row],[Total Sync Bu MOSFET Loss]]+Table16[[#This Row],[Reverse Recovery Loss MOSFET D BUCK]]*0.33</f>
        <v>0</v>
      </c>
      <c r="BT58" s="345">
        <f xml:space="preserve"> Table16[[#This Row],[Total Control Bo MOSFET Loss]]+Table16[[#This Row],[Reverse Recovery Loss MOSFET D BOOST]]*0.66</f>
        <v>0.90719861766797016</v>
      </c>
      <c r="BU58" s="345">
        <f xml:space="preserve"> Table16[[#This Row],[Total Sync Bo MOSFET Loss]]+Table16[[#This Row],[Reverse Recovery Loss MOSFET D BOOST]]*0.33</f>
        <v>0.76770811681474749</v>
      </c>
      <c r="BV58" s="345">
        <f>Table16[[#This Row],[Isense Shunt Loss]]</f>
        <v>2.2694960274316469E-2</v>
      </c>
      <c r="CB58" s="686"/>
      <c r="CC58" s="686"/>
    </row>
    <row r="59" spans="1:83" x14ac:dyDescent="0.2">
      <c r="A59" s="691" t="s">
        <v>228</v>
      </c>
      <c r="B59" s="707">
        <f>QrrSky_Q2*1000000000</f>
        <v>0</v>
      </c>
      <c r="C59" s="255" t="s">
        <v>69</v>
      </c>
      <c r="D59" s="352" t="s">
        <v>231</v>
      </c>
      <c r="G59" s="253">
        <v>50</v>
      </c>
      <c r="H59" s="286">
        <f>VIN_min+(VIN_max-VIN_min)*(Table16[[#This Row],[Step]]/200)</f>
        <v>13.5</v>
      </c>
      <c r="I59" s="292" t="str">
        <f>IF(Mode = 2,IF(Table16[[#This Row],[Vin]]&gt;Vout, "BUCK","BOOST"),IF(Table16[[#This Row],[Vin]]&gt;VIN_BB_to_buck, "BUCK", IF(Table16[[#This Row],[Vin]]&lt;=VIN_boost_to_BB,"BOOST","BUCK-BST")))</f>
        <v>BOOST</v>
      </c>
      <c r="J59" s="253">
        <f>IF(Table16[[#This Row],[Mode]]="BOOST",2, IF(Table16[[#This Row],[Mode]]="BUCK", 1,3))</f>
        <v>2</v>
      </c>
      <c r="K59" s="253">
        <f t="shared" si="0"/>
        <v>8</v>
      </c>
      <c r="L59" s="292">
        <f>Vout*Table16[[#This Row],[Iout]]/(Table16[[#This Row],[Vin]]*Efficiency)</f>
        <v>9.980506822612087</v>
      </c>
      <c r="M59" s="682">
        <f>MIN(1/Fsw,CHOOSE(Table16[[#This Row],[Mode Digit]],(Vout+(Rdson2+Rs+Rdcr)*Table16[[#This Row],[Iout]])/(Table16[[#This Row],[Vin]]+(Rs+Rdson2-Rdson1)*Table16[[#This Row],[Iout]])/Fsw,(Vout+(Rdson3+Rdcr)*Table16[[#This Row],[Iin]]-Table16[[#This Row],[Vin]])/(Vout+(Rdson3-Rdson4-Rs)*Table16[[#This Row],[Iin]])/Fsw,t1_Ph_II))</f>
        <v>4.0341592351437693E-7</v>
      </c>
      <c r="N59" s="518">
        <f>CHOOSE(Table16[[#This Row],[Mode Digit]],1/Fsw-Table16[[#This Row],[t1_Ph_II]],1/Fsw-Table16[[#This Row],[t1_Ph_II]],(Vout/Fsw-Table16[[#This Row],[Vin]]*t1_Ph_II)/(Table16[[#This Row],[Vin]]+Vout))</f>
        <v>2.109146890555975E-6</v>
      </c>
      <c r="O59" s="518">
        <f>1/Fsw-(Table16[[#This Row],[t1_Ph_II]]+Table16[[#This Row],[t2_Ph_I]])</f>
        <v>0</v>
      </c>
      <c r="P59"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8.467697109433173</v>
      </c>
      <c r="Q59" s="292">
        <f>CHOOSE(Table16[[#This Row],[Mode Digit]],Table16[[#This Row],[I_0]]+1/Lf*(Table16[[#This Row],[Vin]]-Vout)*Table16[[#This Row],[t1_Ph_II]],Table16[[#This Row],[I_0]]+1/Lf*Table16[[#This Row],[Vin]]*Table16[[#This Row],[t1_Ph_II]],Table16[[#This Row],[I_0]]+(Table16[[#This Row],[Vin]]-Vout)/L*Table16[[#This Row],[t1_Ph_II]])</f>
        <v>11.493316535790999</v>
      </c>
      <c r="R59" s="292">
        <f>CHOOSE(Table16[[#This Row],[Mode Digit]],0,0,Table16[[#This Row],[I_1]]+Table16[[#This Row],[Vin]]/L*Table16[[#This Row],[t2_Ph_I]])</f>
        <v>0</v>
      </c>
      <c r="S59" s="292">
        <f>Fsw*(Table16[[#This Row],[I_0]]*Table16[[#This Row],[t1_Ph_II]]+Table16[[#This Row],[I_1]]*Table16[[#This Row],[t2_Ph_I]]+Table16[[#This Row],[I_2]]*Table16[[#This Row],[t3_Ph_III]])</f>
        <v>11.007524479866301</v>
      </c>
      <c r="T59" s="345">
        <f>MIN(1,CHOOSE(Table16[[#This Row],[Mode Digit]],(Vout+(Rdson2+Rs+Rdcr)*Table16[[#This Row],[Iout]])/(Table16[[#This Row],[Vin]]+(Rs+Rdson2-Rdson1)*Table16[[#This Row],[Iout]]),1,Fsw*Table16[[#This Row],[t2_Ph_I]]+Table16[[#This Row],[t1_Ph_II]]))</f>
        <v>1</v>
      </c>
      <c r="U59" s="345">
        <f>MIN(1,CHOOSE(Table16[[#This Row],[Mode Digit]],0,(Vout+(Rdson3+Rdcr)*Table16[[#This Row],[Iin]]-Table16[[#This Row],[Vin]])/(Vout+(Rdson3-Rdson4-Rs)*Table16[[#This Row],[Iin]]),Fsw*Table16[[#This Row],[t1_Ph_II]]+Table16[[#This Row],[t3_Ph_III]]))</f>
        <v>0.16055953755872202</v>
      </c>
      <c r="V59" s="292">
        <f>MAX(Table16[[#This Row],[I_0]:[I_2]])-MIN(Table16[[#This Row],[I_0]:[I_1]])</f>
        <v>3.0256194263578262</v>
      </c>
      <c r="W59"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10.018651648082985</v>
      </c>
      <c r="X59" s="345">
        <f>(Table16[[#This Row],[Irms Lf]]^2*Rdcr*(1+Ltc*Ta-Ltc*25))/(1-Table16[[#This Row],[Irms Lf]]^2*Rdcr*Ltc*ThetaCa)</f>
        <v>0.32966577378150169</v>
      </c>
      <c r="Y59" s="345">
        <f>ABS(7.759*10^-3*Fsw^0.9458*(0.00787*Table16[[#This Row],[Ripple Current pk-pk]])^2.304)</f>
        <v>0.27944548163018279</v>
      </c>
      <c r="Z59" s="345">
        <f>Table16[[#This Row],[DCR    Loss]]+Table16[[#This Row],[Core Loss]]</f>
        <v>0.60911125541168443</v>
      </c>
      <c r="AA59" s="292">
        <f>IF(Table16[[#This Row],[Vin]]&gt;Vout, Table16[[#This Row],[Ripple Current pk-pk]]/SQRT(12), SQRT(Table16[[#This Row],[Duty Cycle BOOST Leg]]/(1-Table16[[#This Row],[Duty Cycle BOOST Leg]]))*SQRT(Table16[[#This Row],[Iout]]^2+(Table16[[#This Row],[Ripple Current pk-pk]]^2)/12))</f>
        <v>3.5195418144002688</v>
      </c>
      <c r="AB59" s="345">
        <f>RCoutEsr*Table16[[#This Row],[Irms Cout]]^2</f>
        <v>2.4774349166623872E-2</v>
      </c>
      <c r="AC59" s="345">
        <f>Table16[[#This Row],[Cout ESR Loss]]</f>
        <v>2.4774349166623872E-2</v>
      </c>
      <c r="AD59" s="345">
        <f>IF(Table16[[#This Row],[Vin]]&gt;Vout, SQRT(Table16[[#This Row],[Duty Cycle BUCK Leg]]*(1-Table16[[#This Row],[Duty Cycle BUCK Leg]]))*SQRT(Table16[[#This Row],[Iout]]^2+(Table16[[#This Row],[Ripple Current pk-pk]]^2)/12), Table16[[#This Row],[Ripple Current pk-pk]]/SQRT(12))</f>
        <v>0.8734210951365261</v>
      </c>
      <c r="AE59" s="345">
        <f>RCinEsr*Table16[[#This Row],[Irms Cin]]^2</f>
        <v>1.5257288188589772E-3</v>
      </c>
      <c r="AF59" s="683">
        <f>Table16[[#This Row],[Cin ESR Loss]]</f>
        <v>1.5257288188589772E-3</v>
      </c>
      <c r="AG59"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10.018651648082985</v>
      </c>
      <c r="AH59" s="345">
        <f>Rdson1*Table16[[#This Row],[Irms BuCtrl]]^2</f>
        <v>0.3513068329597257</v>
      </c>
      <c r="AI59" s="345">
        <f>CHOOSE(Table16[[#This Row],[Mode Digit]], (Table16[[#This Row],[Vin]]*Table16[[#This Row],[Iout]]/2)*(Fsw)*(Tr_buck+Tf_buck), 0, (Table16[[#This Row],[Vin]]*Table16[[#This Row],[Avg IL]]/2)*(Fsw/1)*(Tr_buck+Tf_buck))</f>
        <v>0</v>
      </c>
      <c r="AJ59" s="253">
        <f>IF(Table16[[#This Row],[Vin]]&gt;Vout, IF(Table16[[#This Row],[Iout]]&gt;Table16[[#This Row],[Ripple Current pk-pk]]/2,0,ABS(Table16[[#This Row],[Iout]]-Table16[[#This Row],[Ripple Current pk-pk]]/2)*Vsd_Q1*Deadtime*Fsw),0)</f>
        <v>0</v>
      </c>
      <c r="AK59" s="345">
        <f>(Table16[[#This Row],[Dead Time Loss BuCtrl]]+Table16[[#This Row],[Transition Loss BuCtrl]]+Table16[[#This Row],[RDS(on) Loss BuCtrl]]*(1+RdsonTopTc*Ta-RdsonTopTc*25))/(1-Table16[[#This Row],[RDS(on) Loss BuCtrl]]*RdsonTopTc*ThetaJA_Q1)</f>
        <v>0.38662067943662659</v>
      </c>
      <c r="AL59" s="345">
        <f>CHOOSE(Table16[[#This Row],[Mode Digit]],SQRT((Fsw*(Table16[[#This Row],[t2_Ph_I]]+0))*((Table16[[#This Row],[I_0]]*Table16[[#This Row],[I_1]]+((Table16[[#This Row],[I_0]]-Table16[[#This Row],[I_1]])^2)/3))),0,SQRT((Fsw*(Table16[[#This Row],[t3_Ph_III]]+0))*((Table16[[#This Row],[I_0]]*Table16[[#This Row],[I_2]]+((Table16[[#This Row],[I_0]]-Table16[[#This Row],[I_2]])^2)/3))))</f>
        <v>0</v>
      </c>
      <c r="AM59" s="345">
        <f>Rdson2*Table16[[#This Row],[Irms BuSync]]^2</f>
        <v>0</v>
      </c>
      <c r="AN59"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59" s="345">
        <f>(Table16[[#This Row],[Deadtime Loss BuSync]]+Table16[[#This Row],[RDS(on) Loss BuSync]]*(1+RdsonBotTc*Ta-RdsonBotTc*25))/(1-Table16[[#This Row],[RDS(on) Loss BuSync]]*RdsonBotTc*ThetaJA_Q2)</f>
        <v>0</v>
      </c>
      <c r="AP59" s="345">
        <f>CHOOSE(Table16[[#This Row],[Mode Digit]],0,SQRT((Fsw*(Table16[[#This Row],[t1_Ph_II]]+0))*((Table16[[#This Row],[I_0]]*Table16[[#This Row],[I_1]]+((Table16[[#This Row],[I_0]]-Table16[[#This Row],[I_1]])^2)/3))),SQRT((Fsw*(Table16[[#This Row],[t2_Ph_I]]+0))*((Table16[[#This Row],[I_1]]*Table16[[#This Row],[I_2]]+((Table16[[#This Row],[I_1]]-Table16[[#This Row],[I_2]])^2)/3))))</f>
        <v>4.0144618084845174</v>
      </c>
      <c r="AQ59" s="345">
        <f>Rdson4*Table16[[#This Row],[Irms BoCtlr]]^2</f>
        <v>5.6405662641232743E-2</v>
      </c>
      <c r="AR59" s="345">
        <f>CHOOSE(Table16[[#This Row],[Mode Digit]], 0, (Vout*Table16[[#This Row],[Iin]]/2)*(Fsw)*(Tr_boost+Tf_boost), (Vout*Iout/2)*(Fsw/1)*(Tr_boost+Tf_boost))</f>
        <v>0.59339503640280455</v>
      </c>
      <c r="AS59" s="253">
        <f>IF(Table16[[#This Row],[Vin]]&gt;Vout, 0, IF(Table16[[#This Row],[Iin]]&gt;Table16[[#This Row],[Ripple Current pk-pk]]/2,0,ABS(Table16[[#This Row],[Iin]]-Table16[[#This Row],[Ripple Current pk-pk]]/2)*Vsd_Q4*Deadtime*Fsw))</f>
        <v>0</v>
      </c>
      <c r="AT59" s="345">
        <f>(Table16[[#This Row],[Dead Time Loss BoCtlr]]+Table16[[#This Row],[Transition Loss BoCtlr]]+Table16[[#This Row],[RDS(on) Loss BoCtlr]]*(1+RdsonTopTc*Ta-RdsonTopTc*25))/(1-Table16[[#This Row],[RDS(on) Loss BoCtlr]]*RdsonTopTc*ThetaJA_Q4)</f>
        <v>0.65947216987520552</v>
      </c>
      <c r="AU59"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9.1791871771881368</v>
      </c>
      <c r="AV59" s="345">
        <f>Rdson3*Table16[[#This Row],[Irms BoSync]]^2</f>
        <v>0.29490117031849289</v>
      </c>
      <c r="AW59"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0.29791812865497075</v>
      </c>
      <c r="AX59" s="345">
        <f>(Table16[[#This Row],[Deadtime Loss BoSync]]+Table16[[#This Row],[RDS(on) Loss BoSync]]*(1+RdsonBotTc*Ta-RdsonBotTc*25))/(1-Table16[[#This Row],[RDS(on) Loss BoSync]]*RdsonBotTc*ThetaJA_Q3)</f>
        <v>0.64204787294800902</v>
      </c>
      <c r="AY59" s="345">
        <f>CHOOSE(Table16[[#This Row],[Mode Digit]], Rdson3*Table16[[#This Row],[Irms Lf]]^2, Rdson1*Table16[[#This Row],[Irms Lf]]^2, 0)</f>
        <v>0.3513068329597257</v>
      </c>
      <c r="AZ59" s="345">
        <f>CHOOSE(Table16[[#This Row],[Mode Digit]], 2*Deadtime*Fsw*IF(VfdSky_Q2&gt;0,VfdSky_Q2,0)*Table16[[#This Row],[Iout]], 2*Deadtime*Fsw*IF(VfdSky_Q3&gt;0,VfdSky_Q3,0)*Table16[[#This Row],[Iin]], 2*Deadtime*Fsw*IF(VfdSky_Q2&gt;0,VfdSky_Q2,0)*Table16[[#This Row],[Iout]]+2*Deadtime*Fsw*IF(VfdSky_Q3&gt;0,VfdSky_Q3,0)*Table16[[#This Row],[Iin]])</f>
        <v>0</v>
      </c>
      <c r="BA59" s="345">
        <f>CHOOSE(Table16[[#This Row],[Mode Digit]], IF(QrrSky_Q2&gt;0,QrrSky_Q2,Qrr_Q2)*Fsw*(Table16[[#This Row],[Vin]]-Table16[[#This Row],[Iout]]*Rdson1),0,  IF(QrrSky_Q2&gt;0,QrrSky_Q2,Qrr_Q2)*Fsw*(Table16[[#This Row],[Vin]]-Table16[[#This Row],[Iout]]*Rdson1)+IF(QrrSky_Q3&gt;0,QrrSky_Q3,Qrr_Q3)*Fsw*Vout)</f>
        <v>0</v>
      </c>
      <c r="BB59" s="345">
        <f>CHOOSE(Table16[[#This Row],[Mode Digit]],0, IF(QrrSky_Q3&gt;0,QrrSky_Q3,Qrr_Q3)*Fsw*Vout,  IF(QrrSky_Q2&gt;0,QrrSky_Q2,Qrr_Q2)*Fsw*(Table16[[#This Row],[Vin]]-Table16[[#This Row],[Iout]]*Rdson1)+IF(QrrSky_Q3&gt;0,QrrSky_Q3,Qrr_Q3)*Fsw*Vout)</f>
        <v>0.35660799999999998</v>
      </c>
      <c r="BC59" s="345">
        <f>CHOOSE(Table16[[#This Row],[Mode Digit]], Rs*Table16[[#This Row],[Irms BuSync]]^2, Rs*Table16[[#This Row],[Irms BoCtlr]]^2, Rs*(Table16[[#This Row],[Irms BuSync]]^2+Table16[[#This Row],[Irms BoCtlr]]^2))</f>
        <v>2.0950674695315016E-2</v>
      </c>
      <c r="BD59" s="345">
        <f t="shared" si="1"/>
        <v>0.64</v>
      </c>
      <c r="BE59" s="345">
        <f>IF(Vout&gt;8, Iq*Vout, Iq*Table16[[#This Row],[Vin]])</f>
        <v>4.8000000000000001E-2</v>
      </c>
      <c r="BF59" s="345">
        <f>CHOOSE(Table16[[#This Row],[Mode Digit]], (Qg_Q1+Qg_Q2)*Fsw, (Qg_Q3+Qg_Q4)*Fsw, (Qg_Q1+Qg_Q2+Qg_Q3+Qg_Q4)*Fsw)*IF(Vout&gt;8, Vout, Table16[[#This Row],[Vin]])</f>
        <v>0.85331200000000007</v>
      </c>
      <c r="BG59" s="345">
        <f t="shared" si="2"/>
        <v>0.50594479787234037</v>
      </c>
      <c r="BH59" s="345">
        <f>Table16[[#This Row],[IQ Loss]]+Table16[[#This Row],[Switching Current Loss]]</f>
        <v>0.90131200000000011</v>
      </c>
      <c r="BI59"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4.2424227303523239</v>
      </c>
      <c r="BJ59" s="253">
        <f>Vout*Table16[[#This Row],[Iout]]</f>
        <v>128</v>
      </c>
      <c r="BK59" s="684">
        <f>Table16[[#This Row],[Pout]]/(Table16[[#This Row],[Pout]]+Table16[[#This Row],[Total Loss]])</f>
        <v>0.96791935112227334</v>
      </c>
      <c r="BL59"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66.045211041888365</v>
      </c>
      <c r="BM59" s="685">
        <f>IF(Table16[[#This Row],[Vin]]&gt;Vout, Table16[[#This Row],[Total Sync Bu MOSFET Loss]]*ThetaJA_Q2, ThetaJA_Q3*Table16[[#This Row],[Total Sync Bo MOSFET Loss]])</f>
        <v>41.73311174162059</v>
      </c>
      <c r="BN59" s="640"/>
      <c r="BO59" s="292">
        <f>Table16[[#This Row],[EFF, h]]*100</f>
        <v>96.791935112227335</v>
      </c>
      <c r="BP59" s="345">
        <f>Table16[[#This Row],[Total Inductor Loss]]</f>
        <v>0.60911125541168443</v>
      </c>
      <c r="BQ59" s="345">
        <f>Table16[[#This Row],[Total Control Bu MOSFET Loss]]+Table16[[#This Row],[Total Sync Bu MOSFET Loss]]+Table16[[#This Row],[Total Control Bo MOSFET Loss]]+Table16[[#This Row],[Total Sync Bo MOSFET Loss]]+Table16[[#This Row],[Reverse Recovery Loss MOSFET D BUCK]]+Table16[[#This Row],[Reverse Recovery Loss MOSFET D BOOST]]</f>
        <v>2.0447487222598411</v>
      </c>
      <c r="BR59" s="345">
        <f>Table16[[#This Row],[Total Control Bu MOSFET Loss]]+Table16[[#This Row],[Reverse Recovery Loss MOSFET D BUCK]]*0.66</f>
        <v>0.38662067943662659</v>
      </c>
      <c r="BS59" s="345">
        <f>Table16[[#This Row],[Total Sync Bu MOSFET Loss]]+Table16[[#This Row],[Reverse Recovery Loss MOSFET D BUCK]]*0.33</f>
        <v>0</v>
      </c>
      <c r="BT59" s="345">
        <f xml:space="preserve"> Table16[[#This Row],[Total Control Bo MOSFET Loss]]+Table16[[#This Row],[Reverse Recovery Loss MOSFET D BOOST]]*0.66</f>
        <v>0.89483344987520552</v>
      </c>
      <c r="BU59" s="345">
        <f xml:space="preserve"> Table16[[#This Row],[Total Sync Bo MOSFET Loss]]+Table16[[#This Row],[Reverse Recovery Loss MOSFET D BOOST]]*0.33</f>
        <v>0.75972851294800903</v>
      </c>
      <c r="BV59" s="345">
        <f>Table16[[#This Row],[Isense Shunt Loss]]</f>
        <v>2.0950674695315016E-2</v>
      </c>
      <c r="CB59" s="686"/>
      <c r="CC59" s="686"/>
    </row>
    <row r="60" spans="1:83" ht="13.6" x14ac:dyDescent="0.25">
      <c r="A60" s="691" t="s">
        <v>229</v>
      </c>
      <c r="B60" s="707">
        <f>Ireverse</f>
        <v>0</v>
      </c>
      <c r="C60" s="255" t="s">
        <v>68</v>
      </c>
      <c r="D60" s="352" t="s">
        <v>232</v>
      </c>
      <c r="E60" s="706"/>
      <c r="G60" s="253">
        <v>51</v>
      </c>
      <c r="H60" s="286">
        <f>VIN_min+(VIN_max-VIN_min)*(Table16[[#This Row],[Step]]/200)</f>
        <v>13.65</v>
      </c>
      <c r="I60" s="292" t="str">
        <f>IF(Mode = 2,IF(Table16[[#This Row],[Vin]]&gt;Vout, "BUCK","BOOST"),IF(Table16[[#This Row],[Vin]]&gt;VIN_BB_to_buck, "BUCK", IF(Table16[[#This Row],[Vin]]&lt;=VIN_boost_to_BB,"BOOST","BUCK-BST")))</f>
        <v>BOOST</v>
      </c>
      <c r="J60" s="253">
        <f>IF(Table16[[#This Row],[Mode]]="BOOST",2, IF(Table16[[#This Row],[Mode]]="BUCK", 1,3))</f>
        <v>2</v>
      </c>
      <c r="K60" s="253">
        <f t="shared" si="0"/>
        <v>8</v>
      </c>
      <c r="L60" s="292">
        <f>Vout*Table16[[#This Row],[Iout]]/(Table16[[#This Row],[Vin]]*Efficiency)</f>
        <v>9.8708309234625027</v>
      </c>
      <c r="M60" s="682">
        <f>MIN(1/Fsw,CHOOSE(Table16[[#This Row],[Mode Digit]],(Vout+(Rdson2+Rs+Rdcr)*Table16[[#This Row],[Iout]])/(Table16[[#This Row],[Vin]]+(Rs+Rdson2-Rdson1)*Table16[[#This Row],[Iout]])/Fsw,(Vout+(Rdson3+Rdcr)*Table16[[#This Row],[Iin]]-Table16[[#This Row],[Vin]])/(Vout+(Rdson3-Rdson4-Rs)*Table16[[#This Row],[Iin]])/Fsw,t1_Ph_II))</f>
        <v>3.7972265618016059E-7</v>
      </c>
      <c r="N60" s="518">
        <f>CHOOSE(Table16[[#This Row],[Mode Digit]],1/Fsw-Table16[[#This Row],[t1_Ph_II]],1/Fsw-Table16[[#This Row],[t1_Ph_II]],(Vout/Fsw-Table16[[#This Row],[Vin]]*t1_Ph_II)/(Table16[[#This Row],[Vin]]+Vout))</f>
        <v>2.1328401578901914E-6</v>
      </c>
      <c r="O60" s="518">
        <f>1/Fsw-(Table16[[#This Row],[t1_Ph_II]]+Table16[[#This Row],[t2_Ph_I]])</f>
        <v>0</v>
      </c>
      <c r="P60"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8.4310491854460601</v>
      </c>
      <c r="Q60" s="292">
        <f>CHOOSE(Table16[[#This Row],[Mode Digit]],Table16[[#This Row],[I_0]]+1/Lf*(Table16[[#This Row],[Vin]]-Vout)*Table16[[#This Row],[t1_Ph_II]],Table16[[#This Row],[I_0]]+1/Lf*Table16[[#This Row],[Vin]]*Table16[[#This Row],[t1_Ph_II]],Table16[[#This Row],[I_0]]+(Table16[[#This Row],[Vin]]-Vout)/L*Table16[[#This Row],[t1_Ph_II]])</f>
        <v>11.310612661478945</v>
      </c>
      <c r="R60" s="292">
        <f>CHOOSE(Table16[[#This Row],[Mode Digit]],0,0,Table16[[#This Row],[I_1]]+Table16[[#This Row],[Vin]]/L*Table16[[#This Row],[t2_Ph_I]])</f>
        <v>0</v>
      </c>
      <c r="S60" s="292">
        <f>Fsw*(Table16[[#This Row],[I_0]]*Table16[[#This Row],[t1_Ph_II]]+Table16[[#This Row],[I_1]]*Table16[[#This Row],[t2_Ph_I]]+Table16[[#This Row],[I_2]]*Table16[[#This Row],[t3_Ph_III]])</f>
        <v>10.875425335759031</v>
      </c>
      <c r="T60" s="345">
        <f>MIN(1,CHOOSE(Table16[[#This Row],[Mode Digit]],(Vout+(Rdson2+Rs+Rdcr)*Table16[[#This Row],[Iout]])/(Table16[[#This Row],[Vin]]+(Rs+Rdson2-Rdson1)*Table16[[#This Row],[Iout]]),1,Fsw*Table16[[#This Row],[t2_Ph_I]]+Table16[[#This Row],[t1_Ph_II]]))</f>
        <v>1</v>
      </c>
      <c r="U60" s="345">
        <f>MIN(1,CHOOSE(Table16[[#This Row],[Mode Digit]],0,(Vout+(Rdson3+Rdcr)*Table16[[#This Row],[Iin]]-Table16[[#This Row],[Vin]])/(Vout+(Rdson3-Rdson4-Rs)*Table16[[#This Row],[Iin]]),Fsw*Table16[[#This Row],[t1_Ph_II]]+Table16[[#This Row],[t3_Ph_III]]))</f>
        <v>0.15112961715970391</v>
      </c>
      <c r="V60" s="292">
        <f>MAX(Table16[[#This Row],[I_0]:[I_2]])-MIN(Table16[[#This Row],[I_0]:[I_1]])</f>
        <v>2.8795634760328852</v>
      </c>
      <c r="W60"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9.9057707223597102</v>
      </c>
      <c r="X60" s="345">
        <f>(Table16[[#This Row],[Irms Lf]]^2*Rdcr*(1+Ltc*Ta-Ltc*25))/(1-Table16[[#This Row],[Irms Lf]]^2*Rdcr*Ltc*ThetaCa)</f>
        <v>0.3220885455512652</v>
      </c>
      <c r="Y60" s="345">
        <f>ABS(7.759*10^-3*Fsw^0.9458*(0.00787*Table16[[#This Row],[Ripple Current pk-pk]])^2.304)</f>
        <v>0.24933862553977101</v>
      </c>
      <c r="Z60" s="345">
        <f>Table16[[#This Row],[DCR    Loss]]+Table16[[#This Row],[Core Loss]]</f>
        <v>0.57142717109103625</v>
      </c>
      <c r="AA60" s="292">
        <f>IF(Table16[[#This Row],[Vin]]&gt;Vout, Table16[[#This Row],[Ripple Current pk-pk]]/SQRT(12), SQRT(Table16[[#This Row],[Duty Cycle BOOST Leg]]/(1-Table16[[#This Row],[Duty Cycle BOOST Leg]]))*SQRT(Table16[[#This Row],[Iout]]^2+(Table16[[#This Row],[Ripple Current pk-pk]]^2)/12))</f>
        <v>3.3937199449274651</v>
      </c>
      <c r="AB60" s="345">
        <f>RCoutEsr*Table16[[#This Row],[Irms Cout]]^2</f>
        <v>2.3034670129196955E-2</v>
      </c>
      <c r="AC60" s="345">
        <f>Table16[[#This Row],[Cout ESR Loss]]</f>
        <v>2.3034670129196955E-2</v>
      </c>
      <c r="AD60" s="345">
        <f>IF(Table16[[#This Row],[Vin]]&gt;Vout, SQRT(Table16[[#This Row],[Duty Cycle BUCK Leg]]*(1-Table16[[#This Row],[Duty Cycle BUCK Leg]]))*SQRT(Table16[[#This Row],[Iout]]^2+(Table16[[#This Row],[Ripple Current pk-pk]]^2)/12), Table16[[#This Row],[Ripple Current pk-pk]]/SQRT(12))</f>
        <v>0.83125837401810043</v>
      </c>
      <c r="AE60" s="345">
        <f>RCinEsr*Table16[[#This Row],[Irms Cin]]^2</f>
        <v>1.3819809687504324E-3</v>
      </c>
      <c r="AF60" s="683">
        <f>Table16[[#This Row],[Cin ESR Loss]]</f>
        <v>1.3819809687504324E-3</v>
      </c>
      <c r="AG60"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9.9057707223597102</v>
      </c>
      <c r="AH60" s="345">
        <f>Rdson1*Table16[[#This Row],[Irms BuCtrl]]^2</f>
        <v>0.34343502761385586</v>
      </c>
      <c r="AI60" s="345">
        <f>CHOOSE(Table16[[#This Row],[Mode Digit]], (Table16[[#This Row],[Vin]]*Table16[[#This Row],[Iout]]/2)*(Fsw)*(Tr_buck+Tf_buck), 0, (Table16[[#This Row],[Vin]]*Table16[[#This Row],[Avg IL]]/2)*(Fsw/1)*(Tr_buck+Tf_buck))</f>
        <v>0</v>
      </c>
      <c r="AJ60" s="253">
        <f>IF(Table16[[#This Row],[Vin]]&gt;Vout, IF(Table16[[#This Row],[Iout]]&gt;Table16[[#This Row],[Ripple Current pk-pk]]/2,0,ABS(Table16[[#This Row],[Iout]]-Table16[[#This Row],[Ripple Current pk-pk]]/2)*Vsd_Q1*Deadtime*Fsw),0)</f>
        <v>0</v>
      </c>
      <c r="AK60" s="345">
        <f>(Table16[[#This Row],[Dead Time Loss BuCtrl]]+Table16[[#This Row],[Transition Loss BuCtrl]]+Table16[[#This Row],[RDS(on) Loss BuCtrl]]*(1+RdsonTopTc*Ta-RdsonTopTc*25))/(1-Table16[[#This Row],[RDS(on) Loss BuCtrl]]*RdsonTopTc*ThetaJA_Q1)</f>
        <v>0.37710818960671405</v>
      </c>
      <c r="AL60" s="345">
        <f>CHOOSE(Table16[[#This Row],[Mode Digit]],SQRT((Fsw*(Table16[[#This Row],[t2_Ph_I]]+0))*((Table16[[#This Row],[I_0]]*Table16[[#This Row],[I_1]]+((Table16[[#This Row],[I_0]]-Table16[[#This Row],[I_1]])^2)/3))),0,SQRT((Fsw*(Table16[[#This Row],[t3_Ph_III]]+0))*((Table16[[#This Row],[I_0]]*Table16[[#This Row],[I_2]]+((Table16[[#This Row],[I_0]]-Table16[[#This Row],[I_2]])^2)/3))))</f>
        <v>0</v>
      </c>
      <c r="AM60" s="345">
        <f>Rdson2*Table16[[#This Row],[Irms BuSync]]^2</f>
        <v>0</v>
      </c>
      <c r="AN60"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60" s="345">
        <f>(Table16[[#This Row],[Deadtime Loss BuSync]]+Table16[[#This Row],[RDS(on) Loss BuSync]]*(1+RdsonBotTc*Ta-RdsonBotTc*25))/(1-Table16[[#This Row],[RDS(on) Loss BuSync]]*RdsonBotTc*ThetaJA_Q2)</f>
        <v>0</v>
      </c>
      <c r="AP60" s="345">
        <f>CHOOSE(Table16[[#This Row],[Mode Digit]],0,SQRT((Fsw*(Table16[[#This Row],[t1_Ph_II]]+0))*((Table16[[#This Row],[I_0]]*Table16[[#This Row],[I_1]]+((Table16[[#This Row],[I_0]]-Table16[[#This Row],[I_1]])^2)/3))),SQRT((Fsw*(Table16[[#This Row],[t2_Ph_I]]+0))*((Table16[[#This Row],[I_1]]*Table16[[#This Row],[I_2]]+((Table16[[#This Row],[I_1]]-Table16[[#This Row],[I_2]])^2)/3))))</f>
        <v>3.8509072861382521</v>
      </c>
      <c r="AQ60" s="345">
        <f>Rdson4*Table16[[#This Row],[Irms BoCtlr]]^2</f>
        <v>5.1903204242514371E-2</v>
      </c>
      <c r="AR60" s="345">
        <f>CHOOSE(Table16[[#This Row],[Mode Digit]], 0, (Vout*Table16[[#This Row],[Iin]]/2)*(Fsw)*(Tr_boost+Tf_boost), (Vout*Iout/2)*(Fsw/1)*(Tr_boost+Tf_boost))</f>
        <v>0.58687421182694943</v>
      </c>
      <c r="AS60" s="253">
        <f>IF(Table16[[#This Row],[Vin]]&gt;Vout, 0, IF(Table16[[#This Row],[Iin]]&gt;Table16[[#This Row],[Ripple Current pk-pk]]/2,0,ABS(Table16[[#This Row],[Iin]]-Table16[[#This Row],[Ripple Current pk-pk]]/2)*Vsd_Q4*Deadtime*Fsw))</f>
        <v>0</v>
      </c>
      <c r="AT60" s="345">
        <f>(Table16[[#This Row],[Dead Time Loss BoCtlr]]+Table16[[#This Row],[Transition Loss BoCtlr]]+Table16[[#This Row],[RDS(on) Loss BoCtlr]]*(1+RdsonTopTc*Ta-RdsonTopTc*25))/(1-Table16[[#This Row],[RDS(on) Loss BoCtlr]]*RdsonTopTc*ThetaJA_Q4)</f>
        <v>0.64751553007952234</v>
      </c>
      <c r="AU60"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9.1265988559553843</v>
      </c>
      <c r="AV60" s="345">
        <f>Rdson3*Table16[[#This Row],[Irms BoSync]]^2</f>
        <v>0.29153182337134143</v>
      </c>
      <c r="AW60"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0.29464430306535566</v>
      </c>
      <c r="AX60" s="345">
        <f>(Table16[[#This Row],[Deadtime Loss BoSync]]+Table16[[#This Row],[RDS(on) Loss BoSync]]*(1+RdsonBotTc*Ta-RdsonBotTc*25))/(1-Table16[[#This Row],[RDS(on) Loss BoSync]]*RdsonBotTc*ThetaJA_Q3)</f>
        <v>0.63425127869242726</v>
      </c>
      <c r="AY60" s="345">
        <f>CHOOSE(Table16[[#This Row],[Mode Digit]], Rdson3*Table16[[#This Row],[Irms Lf]]^2, Rdson1*Table16[[#This Row],[Irms Lf]]^2, 0)</f>
        <v>0.34343502761385586</v>
      </c>
      <c r="AZ60" s="345">
        <f>CHOOSE(Table16[[#This Row],[Mode Digit]], 2*Deadtime*Fsw*IF(VfdSky_Q2&gt;0,VfdSky_Q2,0)*Table16[[#This Row],[Iout]], 2*Deadtime*Fsw*IF(VfdSky_Q3&gt;0,VfdSky_Q3,0)*Table16[[#This Row],[Iin]], 2*Deadtime*Fsw*IF(VfdSky_Q2&gt;0,VfdSky_Q2,0)*Table16[[#This Row],[Iout]]+2*Deadtime*Fsw*IF(VfdSky_Q3&gt;0,VfdSky_Q3,0)*Table16[[#This Row],[Iin]])</f>
        <v>0</v>
      </c>
      <c r="BA60" s="345">
        <f>CHOOSE(Table16[[#This Row],[Mode Digit]], IF(QrrSky_Q2&gt;0,QrrSky_Q2,Qrr_Q2)*Fsw*(Table16[[#This Row],[Vin]]-Table16[[#This Row],[Iout]]*Rdson1),0,  IF(QrrSky_Q2&gt;0,QrrSky_Q2,Qrr_Q2)*Fsw*(Table16[[#This Row],[Vin]]-Table16[[#This Row],[Iout]]*Rdson1)+IF(QrrSky_Q3&gt;0,QrrSky_Q3,Qrr_Q3)*Fsw*Vout)</f>
        <v>0</v>
      </c>
      <c r="BB60" s="345">
        <f>CHOOSE(Table16[[#This Row],[Mode Digit]],0, IF(QrrSky_Q3&gt;0,QrrSky_Q3,Qrr_Q3)*Fsw*Vout,  IF(QrrSky_Q2&gt;0,QrrSky_Q2,Qrr_Q2)*Fsw*(Table16[[#This Row],[Vin]]-Table16[[#This Row],[Iout]]*Rdson1)+IF(QrrSky_Q3&gt;0,QrrSky_Q3,Qrr_Q3)*Fsw*Vout)</f>
        <v>0.35660799999999998</v>
      </c>
      <c r="BC60" s="345">
        <f>CHOOSE(Table16[[#This Row],[Mode Digit]], Rs*Table16[[#This Row],[Irms BuSync]]^2, Rs*Table16[[#This Row],[Irms BoCtlr]]^2, Rs*(Table16[[#This Row],[Irms BuSync]]^2+Table16[[#This Row],[Irms BoCtlr]]^2))</f>
        <v>1.9278333004362481E-2</v>
      </c>
      <c r="BD60" s="345">
        <f t="shared" si="1"/>
        <v>0.64</v>
      </c>
      <c r="BE60" s="345">
        <f>IF(Vout&gt;8, Iq*Vout, Iq*Table16[[#This Row],[Vin]])</f>
        <v>4.8000000000000001E-2</v>
      </c>
      <c r="BF60" s="345">
        <f>CHOOSE(Table16[[#This Row],[Mode Digit]], (Qg_Q1+Qg_Q2)*Fsw, (Qg_Q3+Qg_Q4)*Fsw, (Qg_Q1+Qg_Q2+Qg_Q3+Qg_Q4)*Fsw)*IF(Vout&gt;8, Vout, Table16[[#This Row],[Vin]])</f>
        <v>0.85331200000000007</v>
      </c>
      <c r="BG60" s="345">
        <f t="shared" si="2"/>
        <v>0.50594479787234037</v>
      </c>
      <c r="BH60" s="345">
        <f>Table16[[#This Row],[IQ Loss]]+Table16[[#This Row],[Switching Current Loss]]</f>
        <v>0.90131200000000011</v>
      </c>
      <c r="BI60"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4.1719171535720099</v>
      </c>
      <c r="BJ60" s="253">
        <f>Vout*Table16[[#This Row],[Iout]]</f>
        <v>128</v>
      </c>
      <c r="BK60" s="684">
        <f>Table16[[#This Row],[Pout]]/(Table16[[#This Row],[Pout]]+Table16[[#This Row],[Total Loss]])</f>
        <v>0.96843567647789663</v>
      </c>
      <c r="BL60"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65.268029455168957</v>
      </c>
      <c r="BM60" s="685">
        <f>IF(Table16[[#This Row],[Vin]]&gt;Vout, Table16[[#This Row],[Total Sync Bu MOSFET Loss]]*ThetaJA_Q2, ThetaJA_Q3*Table16[[#This Row],[Total Sync Bo MOSFET Loss]])</f>
        <v>41.226333115007769</v>
      </c>
      <c r="BN60" s="640"/>
      <c r="BO60" s="292">
        <f>Table16[[#This Row],[EFF, h]]*100</f>
        <v>96.843567647789669</v>
      </c>
      <c r="BP60" s="345">
        <f>Table16[[#This Row],[Total Inductor Loss]]</f>
        <v>0.57142717109103625</v>
      </c>
      <c r="BQ60" s="345">
        <f>Table16[[#This Row],[Total Control Bu MOSFET Loss]]+Table16[[#This Row],[Total Sync Bu MOSFET Loss]]+Table16[[#This Row],[Total Control Bo MOSFET Loss]]+Table16[[#This Row],[Total Sync Bo MOSFET Loss]]+Table16[[#This Row],[Reverse Recovery Loss MOSFET D BUCK]]+Table16[[#This Row],[Reverse Recovery Loss MOSFET D BOOST]]</f>
        <v>2.0154829983786637</v>
      </c>
      <c r="BR60" s="345">
        <f>Table16[[#This Row],[Total Control Bu MOSFET Loss]]+Table16[[#This Row],[Reverse Recovery Loss MOSFET D BUCK]]*0.66</f>
        <v>0.37710818960671405</v>
      </c>
      <c r="BS60" s="345">
        <f>Table16[[#This Row],[Total Sync Bu MOSFET Loss]]+Table16[[#This Row],[Reverse Recovery Loss MOSFET D BUCK]]*0.33</f>
        <v>0</v>
      </c>
      <c r="BT60" s="345">
        <f xml:space="preserve"> Table16[[#This Row],[Total Control Bo MOSFET Loss]]+Table16[[#This Row],[Reverse Recovery Loss MOSFET D BOOST]]*0.66</f>
        <v>0.88287681007952235</v>
      </c>
      <c r="BU60" s="345">
        <f xml:space="preserve"> Table16[[#This Row],[Total Sync Bo MOSFET Loss]]+Table16[[#This Row],[Reverse Recovery Loss MOSFET D BOOST]]*0.33</f>
        <v>0.75193191869242726</v>
      </c>
      <c r="BV60" s="345">
        <f>Table16[[#This Row],[Isense Shunt Loss]]</f>
        <v>1.9278333004362481E-2</v>
      </c>
      <c r="CB60" s="686"/>
      <c r="CC60" s="686"/>
    </row>
    <row r="61" spans="1:83" ht="13.6" x14ac:dyDescent="0.25">
      <c r="A61" s="688" t="s">
        <v>119</v>
      </c>
      <c r="B61" s="679" t="s">
        <v>113</v>
      </c>
      <c r="C61" s="688" t="s">
        <v>80</v>
      </c>
      <c r="D61" s="688" t="s">
        <v>244</v>
      </c>
      <c r="G61" s="253">
        <v>52</v>
      </c>
      <c r="H61" s="286">
        <f>VIN_min+(VIN_max-VIN_min)*(Table16[[#This Row],[Step]]/200)</f>
        <v>13.8</v>
      </c>
      <c r="I61" s="292" t="str">
        <f>IF(Mode = 2,IF(Table16[[#This Row],[Vin]]&gt;Vout, "BUCK","BOOST"),IF(Table16[[#This Row],[Vin]]&gt;VIN_BB_to_buck, "BUCK", IF(Table16[[#This Row],[Vin]]&lt;=VIN_boost_to_BB,"BOOST","BUCK-BST")))</f>
        <v>BOOST</v>
      </c>
      <c r="J61" s="253">
        <f>IF(Table16[[#This Row],[Mode]]="BOOST",2, IF(Table16[[#This Row],[Mode]]="BUCK", 1,3))</f>
        <v>2</v>
      </c>
      <c r="K61" s="253">
        <f t="shared" si="0"/>
        <v>8</v>
      </c>
      <c r="L61" s="292">
        <f>Vout*Table16[[#This Row],[Iout]]/(Table16[[#This Row],[Vin]]*Efficiency)</f>
        <v>9.7635392829900844</v>
      </c>
      <c r="M61" s="682">
        <f>MIN(1/Fsw,CHOOSE(Table16[[#This Row],[Mode Digit]],(Vout+(Rdson2+Rs+Rdcr)*Table16[[#This Row],[Iout]])/(Table16[[#This Row],[Vin]]+(Rs+Rdson2-Rdson1)*Table16[[#This Row],[Iout]])/Fsw,(Vout+(Rdson3+Rdcr)*Table16[[#This Row],[Iin]]-Table16[[#This Row],[Vin]])/(Vout+(Rdson3-Rdson4-Rs)*Table16[[#This Row],[Iin]])/Fsw,t1_Ph_II))</f>
        <v>3.5603239103085083E-7</v>
      </c>
      <c r="N61" s="518">
        <f>CHOOSE(Table16[[#This Row],[Mode Digit]],1/Fsw-Table16[[#This Row],[t1_Ph_II]],1/Fsw-Table16[[#This Row],[t1_Ph_II]],(Vout/Fsw-Table16[[#This Row],[Vin]]*t1_Ph_II)/(Table16[[#This Row],[Vin]]+Vout))</f>
        <v>2.1565304230395009E-6</v>
      </c>
      <c r="O61" s="518">
        <f>1/Fsw-(Table16[[#This Row],[t1_Ph_II]]+Table16[[#This Row],[t2_Ph_I]])</f>
        <v>0</v>
      </c>
      <c r="P61"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8.3987484507051562</v>
      </c>
      <c r="Q61" s="292">
        <f>CHOOSE(Table16[[#This Row],[Mode Digit]],Table16[[#This Row],[I_0]]+1/Lf*(Table16[[#This Row],[Vin]]-Vout)*Table16[[#This Row],[t1_Ph_II]],Table16[[#This Row],[I_0]]+1/Lf*Table16[[#This Row],[Vin]]*Table16[[#This Row],[t1_Ph_II]],Table16[[#This Row],[I_0]]+(Table16[[#This Row],[Vin]]-Vout)/L*Table16[[#This Row],[t1_Ph_II]])</f>
        <v>11.128330115275013</v>
      </c>
      <c r="R61" s="292">
        <f>CHOOSE(Table16[[#This Row],[Mode Digit]],0,0,Table16[[#This Row],[I_1]]+Table16[[#This Row],[Vin]]/L*Table16[[#This Row],[t2_Ph_I]])</f>
        <v>0</v>
      </c>
      <c r="S61" s="292">
        <f>Fsw*(Table16[[#This Row],[I_0]]*Table16[[#This Row],[t1_Ph_II]]+Table16[[#This Row],[I_1]]*Table16[[#This Row],[t2_Ph_I]]+Table16[[#This Row],[I_2]]*Table16[[#This Row],[t3_Ph_III]])</f>
        <v>10.741545959627805</v>
      </c>
      <c r="T61" s="345">
        <f>MIN(1,CHOOSE(Table16[[#This Row],[Mode Digit]],(Vout+(Rdson2+Rs+Rdcr)*Table16[[#This Row],[Iout]])/(Table16[[#This Row],[Vin]]+(Rs+Rdson2-Rdson1)*Table16[[#This Row],[Iout]]),1,Fsw*Table16[[#This Row],[t2_Ph_I]]+Table16[[#This Row],[t1_Ph_II]]))</f>
        <v>1</v>
      </c>
      <c r="U61" s="345">
        <f>MIN(1,CHOOSE(Table16[[#This Row],[Mode Digit]],0,(Vout+(Rdson3+Rdcr)*Table16[[#This Row],[Iin]]-Table16[[#This Row],[Vin]])/(Vout+(Rdson3-Rdson4-Rs)*Table16[[#This Row],[Iin]]),Fsw*Table16[[#This Row],[t1_Ph_II]]+Table16[[#This Row],[t3_Ph_III]]))</f>
        <v>0.14170089163027863</v>
      </c>
      <c r="V61" s="292">
        <f>MAX(Table16[[#This Row],[I_0]:[I_2]])-MIN(Table16[[#This Row],[I_0]:[I_1]])</f>
        <v>2.7295816645698565</v>
      </c>
      <c r="W61"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9.7952837632430807</v>
      </c>
      <c r="X61" s="345">
        <f>(Table16[[#This Row],[Irms Lf]]^2*Rdcr*(1+Ltc*Ta-Ltc*25))/(1-Table16[[#This Row],[Irms Lf]]^2*Rdcr*Ltc*ThetaCa)</f>
        <v>0.31476367728588223</v>
      </c>
      <c r="Y61" s="345">
        <f>ABS(7.759*10^-3*Fsw^0.9458*(0.00787*Table16[[#This Row],[Ripple Current pk-pk]])^2.304)</f>
        <v>0.22042778735388935</v>
      </c>
      <c r="Z61" s="345">
        <f>Table16[[#This Row],[DCR    Loss]]+Table16[[#This Row],[Core Loss]]</f>
        <v>0.53519146463977152</v>
      </c>
      <c r="AA61" s="292">
        <f>IF(Table16[[#This Row],[Vin]]&gt;Vout, Table16[[#This Row],[Ripple Current pk-pk]]/SQRT(12), SQRT(Table16[[#This Row],[Duty Cycle BOOST Leg]]/(1-Table16[[#This Row],[Duty Cycle BOOST Leg]]))*SQRT(Table16[[#This Row],[Iout]]^2+(Table16[[#This Row],[Ripple Current pk-pk]]^2)/12))</f>
        <v>3.2662799910697906</v>
      </c>
      <c r="AB61" s="345">
        <f>RCoutEsr*Table16[[#This Row],[Irms Cout]]^2</f>
        <v>2.1337169960125742E-2</v>
      </c>
      <c r="AC61" s="345">
        <f>Table16[[#This Row],[Cout ESR Loss]]</f>
        <v>2.1337169960125742E-2</v>
      </c>
      <c r="AD61" s="345">
        <f>IF(Table16[[#This Row],[Vin]]&gt;Vout, SQRT(Table16[[#This Row],[Duty Cycle BUCK Leg]]*(1-Table16[[#This Row],[Duty Cycle BUCK Leg]]))*SQRT(Table16[[#This Row],[Iout]]^2+(Table16[[#This Row],[Ripple Current pk-pk]]^2)/12), Table16[[#This Row],[Ripple Current pk-pk]]/SQRT(12))</f>
        <v>0.78796235440723672</v>
      </c>
      <c r="AE61" s="345">
        <f>RCinEsr*Table16[[#This Row],[Irms Cin]]^2</f>
        <v>1.2417693439259914E-3</v>
      </c>
      <c r="AF61" s="683">
        <f>Table16[[#This Row],[Cin ESR Loss]]</f>
        <v>1.2417693439259914E-3</v>
      </c>
      <c r="AG61"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9.7952837632430807</v>
      </c>
      <c r="AH61" s="345">
        <f>Rdson1*Table16[[#This Row],[Irms BuCtrl]]^2</f>
        <v>0.33581654400858735</v>
      </c>
      <c r="AI61" s="345">
        <f>CHOOSE(Table16[[#This Row],[Mode Digit]], (Table16[[#This Row],[Vin]]*Table16[[#This Row],[Iout]]/2)*(Fsw)*(Tr_buck+Tf_buck), 0, (Table16[[#This Row],[Vin]]*Table16[[#This Row],[Avg IL]]/2)*(Fsw/1)*(Tr_buck+Tf_buck))</f>
        <v>0</v>
      </c>
      <c r="AJ61" s="253">
        <f>IF(Table16[[#This Row],[Vin]]&gt;Vout, IF(Table16[[#This Row],[Iout]]&gt;Table16[[#This Row],[Ripple Current pk-pk]]/2,0,ABS(Table16[[#This Row],[Iout]]-Table16[[#This Row],[Ripple Current pk-pk]]/2)*Vsd_Q1*Deadtime*Fsw),0)</f>
        <v>0</v>
      </c>
      <c r="AK61" s="345">
        <f>(Table16[[#This Row],[Dead Time Loss BuCtrl]]+Table16[[#This Row],[Transition Loss BuCtrl]]+Table16[[#This Row],[RDS(on) Loss BuCtrl]]*(1+RdsonTopTc*Ta-RdsonTopTc*25))/(1-Table16[[#This Row],[RDS(on) Loss BuCtrl]]*RdsonTopTc*ThetaJA_Q1)</f>
        <v>0.36794244574485441</v>
      </c>
      <c r="AL61" s="345">
        <f>CHOOSE(Table16[[#This Row],[Mode Digit]],SQRT((Fsw*(Table16[[#This Row],[t2_Ph_I]]+0))*((Table16[[#This Row],[I_0]]*Table16[[#This Row],[I_1]]+((Table16[[#This Row],[I_0]]-Table16[[#This Row],[I_1]])^2)/3))),0,SQRT((Fsw*(Table16[[#This Row],[t3_Ph_III]]+0))*((Table16[[#This Row],[I_0]]*Table16[[#This Row],[I_2]]+((Table16[[#This Row],[I_0]]-Table16[[#This Row],[I_2]])^2)/3))))</f>
        <v>0</v>
      </c>
      <c r="AM61" s="345">
        <f>Rdson2*Table16[[#This Row],[Irms BuSync]]^2</f>
        <v>0</v>
      </c>
      <c r="AN61"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61" s="345">
        <f>(Table16[[#This Row],[Deadtime Loss BuSync]]+Table16[[#This Row],[RDS(on) Loss BuSync]]*(1+RdsonBotTc*Ta-RdsonBotTc*25))/(1-Table16[[#This Row],[RDS(on) Loss BuSync]]*RdsonBotTc*ThetaJA_Q2)</f>
        <v>0</v>
      </c>
      <c r="AP61" s="345">
        <f>CHOOSE(Table16[[#This Row],[Mode Digit]],0,SQRT((Fsw*(Table16[[#This Row],[t1_Ph_II]]+0))*((Table16[[#This Row],[I_0]]*Table16[[#This Row],[I_1]]+((Table16[[#This Row],[I_0]]-Table16[[#This Row],[I_1]])^2)/3))),SQRT((Fsw*(Table16[[#This Row],[t2_Ph_I]]+0))*((Table16[[#This Row],[I_1]]*Table16[[#This Row],[I_2]]+((Table16[[#This Row],[I_1]]-Table16[[#This Row],[I_2]])^2)/3))))</f>
        <v>3.6872561889457485</v>
      </c>
      <c r="AQ61" s="345">
        <f>Rdson4*Table16[[#This Row],[Irms BoCtlr]]^2</f>
        <v>4.758550371021554E-2</v>
      </c>
      <c r="AR61" s="345">
        <f>CHOOSE(Table16[[#This Row],[Mode Digit]], 0, (Vout*Table16[[#This Row],[Iin]]/2)*(Fsw)*(Tr_boost+Tf_boost), (Vout*Iout/2)*(Fsw/1)*(Tr_boost+Tf_boost))</f>
        <v>0.58049514430709137</v>
      </c>
      <c r="AS61" s="253">
        <f>IF(Table16[[#This Row],[Vin]]&gt;Vout, 0, IF(Table16[[#This Row],[Iin]]&gt;Table16[[#This Row],[Ripple Current pk-pk]]/2,0,ABS(Table16[[#This Row],[Iin]]-Table16[[#This Row],[Ripple Current pk-pk]]/2)*Vsd_Q4*Deadtime*Fsw))</f>
        <v>0</v>
      </c>
      <c r="AT61" s="345">
        <f>(Table16[[#This Row],[Dead Time Loss BoCtlr]]+Table16[[#This Row],[Transition Loss BoCtlr]]+Table16[[#This Row],[RDS(on) Loss BoCtlr]]*(1+RdsonTopTc*Ta-RdsonTopTc*25))/(1-Table16[[#This Row],[RDS(on) Loss BoCtlr]]*RdsonTopTc*ThetaJA_Q4)</f>
        <v>0.63594875286949326</v>
      </c>
      <c r="AU61"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9.074785165475534</v>
      </c>
      <c r="AV61" s="345">
        <f>Rdson3*Table16[[#This Row],[Irms BoSync]]^2</f>
        <v>0.28823104029837188</v>
      </c>
      <c r="AW61"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0.29144164759725399</v>
      </c>
      <c r="AX61" s="345">
        <f>(Table16[[#This Row],[Deadtime Loss BoSync]]+Table16[[#This Row],[RDS(on) Loss BoSync]]*(1+RdsonBotTc*Ta-RdsonBotTc*25))/(1-Table16[[#This Row],[RDS(on) Loss BoSync]]*RdsonBotTc*ThetaJA_Q3)</f>
        <v>0.62663257741029921</v>
      </c>
      <c r="AY61" s="345">
        <f>CHOOSE(Table16[[#This Row],[Mode Digit]], Rdson3*Table16[[#This Row],[Irms Lf]]^2, Rdson1*Table16[[#This Row],[Irms Lf]]^2, 0)</f>
        <v>0.33581654400858735</v>
      </c>
      <c r="AZ61" s="345">
        <f>CHOOSE(Table16[[#This Row],[Mode Digit]], 2*Deadtime*Fsw*IF(VfdSky_Q2&gt;0,VfdSky_Q2,0)*Table16[[#This Row],[Iout]], 2*Deadtime*Fsw*IF(VfdSky_Q3&gt;0,VfdSky_Q3,0)*Table16[[#This Row],[Iin]], 2*Deadtime*Fsw*IF(VfdSky_Q2&gt;0,VfdSky_Q2,0)*Table16[[#This Row],[Iout]]+2*Deadtime*Fsw*IF(VfdSky_Q3&gt;0,VfdSky_Q3,0)*Table16[[#This Row],[Iin]])</f>
        <v>0</v>
      </c>
      <c r="BA61" s="345">
        <f>CHOOSE(Table16[[#This Row],[Mode Digit]], IF(QrrSky_Q2&gt;0,QrrSky_Q2,Qrr_Q2)*Fsw*(Table16[[#This Row],[Vin]]-Table16[[#This Row],[Iout]]*Rdson1),0,  IF(QrrSky_Q2&gt;0,QrrSky_Q2,Qrr_Q2)*Fsw*(Table16[[#This Row],[Vin]]-Table16[[#This Row],[Iout]]*Rdson1)+IF(QrrSky_Q3&gt;0,QrrSky_Q3,Qrr_Q3)*Fsw*Vout)</f>
        <v>0</v>
      </c>
      <c r="BB61" s="345">
        <f>CHOOSE(Table16[[#This Row],[Mode Digit]],0, IF(QrrSky_Q3&gt;0,QrrSky_Q3,Qrr_Q3)*Fsw*Vout,  IF(QrrSky_Q2&gt;0,QrrSky_Q2,Qrr_Q2)*Fsw*(Table16[[#This Row],[Vin]]-Table16[[#This Row],[Iout]]*Rdson1)+IF(QrrSky_Q3&gt;0,QrrSky_Q3,Qrr_Q3)*Fsw*Vout)</f>
        <v>0.35660799999999998</v>
      </c>
      <c r="BC61" s="345">
        <f>CHOOSE(Table16[[#This Row],[Mode Digit]], Rs*Table16[[#This Row],[Irms BuSync]]^2, Rs*Table16[[#This Row],[Irms BoCtlr]]^2, Rs*(Table16[[#This Row],[Irms BuSync]]^2+Table16[[#This Row],[Irms BoCtlr]]^2))</f>
        <v>1.7674615663794344E-2</v>
      </c>
      <c r="BD61" s="345">
        <f t="shared" si="1"/>
        <v>0.64</v>
      </c>
      <c r="BE61" s="345">
        <f>IF(Vout&gt;8, Iq*Vout, Iq*Table16[[#This Row],[Vin]])</f>
        <v>4.8000000000000001E-2</v>
      </c>
      <c r="BF61" s="345">
        <f>CHOOSE(Table16[[#This Row],[Mode Digit]], (Qg_Q1+Qg_Q2)*Fsw, (Qg_Q3+Qg_Q4)*Fsw, (Qg_Q1+Qg_Q2+Qg_Q3+Qg_Q4)*Fsw)*IF(Vout&gt;8, Vout, Table16[[#This Row],[Vin]])</f>
        <v>0.85331200000000007</v>
      </c>
      <c r="BG61" s="345">
        <f t="shared" si="2"/>
        <v>0.50594479787234037</v>
      </c>
      <c r="BH61" s="345">
        <f>Table16[[#This Row],[IQ Loss]]+Table16[[#This Row],[Switching Current Loss]]</f>
        <v>0.90131200000000011</v>
      </c>
      <c r="BI61"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4.1038887956322645</v>
      </c>
      <c r="BJ61" s="253">
        <f>Vout*Table16[[#This Row],[Iout]]</f>
        <v>128</v>
      </c>
      <c r="BK61" s="684">
        <f>Table16[[#This Row],[Pout]]/(Table16[[#This Row],[Pout]]+Table16[[#This Row],[Total Loss]])</f>
        <v>0.96893438313552549</v>
      </c>
      <c r="BL61"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64.516188936517054</v>
      </c>
      <c r="BM61" s="685">
        <f>IF(Table16[[#This Row],[Vin]]&gt;Vout, Table16[[#This Row],[Total Sync Bu MOSFET Loss]]*ThetaJA_Q2, ThetaJA_Q3*Table16[[#This Row],[Total Sync Bo MOSFET Loss]])</f>
        <v>40.731117531669447</v>
      </c>
      <c r="BN61" s="640"/>
      <c r="BO61" s="292">
        <f>Table16[[#This Row],[EFF, h]]*100</f>
        <v>96.893438313552551</v>
      </c>
      <c r="BP61" s="345">
        <f>Table16[[#This Row],[Total Inductor Loss]]</f>
        <v>0.53519146463977152</v>
      </c>
      <c r="BQ61" s="345">
        <f>Table16[[#This Row],[Total Control Bu MOSFET Loss]]+Table16[[#This Row],[Total Sync Bu MOSFET Loss]]+Table16[[#This Row],[Total Control Bo MOSFET Loss]]+Table16[[#This Row],[Total Sync Bo MOSFET Loss]]+Table16[[#This Row],[Reverse Recovery Loss MOSFET D BUCK]]+Table16[[#This Row],[Reverse Recovery Loss MOSFET D BOOST]]</f>
        <v>1.987131776024647</v>
      </c>
      <c r="BR61" s="345">
        <f>Table16[[#This Row],[Total Control Bu MOSFET Loss]]+Table16[[#This Row],[Reverse Recovery Loss MOSFET D BUCK]]*0.66</f>
        <v>0.36794244574485441</v>
      </c>
      <c r="BS61" s="345">
        <f>Table16[[#This Row],[Total Sync Bu MOSFET Loss]]+Table16[[#This Row],[Reverse Recovery Loss MOSFET D BUCK]]*0.33</f>
        <v>0</v>
      </c>
      <c r="BT61" s="345">
        <f xml:space="preserve"> Table16[[#This Row],[Total Control Bo MOSFET Loss]]+Table16[[#This Row],[Reverse Recovery Loss MOSFET D BOOST]]*0.66</f>
        <v>0.87131003286949327</v>
      </c>
      <c r="BU61" s="345">
        <f xml:space="preserve"> Table16[[#This Row],[Total Sync Bo MOSFET Loss]]+Table16[[#This Row],[Reverse Recovery Loss MOSFET D BOOST]]*0.33</f>
        <v>0.74431321741029921</v>
      </c>
      <c r="BV61" s="345">
        <f>Table16[[#This Row],[Isense Shunt Loss]]</f>
        <v>1.7674615663794344E-2</v>
      </c>
      <c r="CB61" s="686"/>
      <c r="CC61" s="686"/>
    </row>
    <row r="62" spans="1:83" ht="17" x14ac:dyDescent="0.35">
      <c r="A62" s="691" t="s">
        <v>605</v>
      </c>
      <c r="B62" s="708">
        <v>30</v>
      </c>
      <c r="C62" s="259" t="s">
        <v>236</v>
      </c>
      <c r="D62" s="352" t="s">
        <v>105</v>
      </c>
      <c r="G62" s="253">
        <v>53</v>
      </c>
      <c r="H62" s="286">
        <f>VIN_min+(VIN_max-VIN_min)*(Table16[[#This Row],[Step]]/200)</f>
        <v>13.95</v>
      </c>
      <c r="I62" s="292" t="str">
        <f>IF(Mode = 2,IF(Table16[[#This Row],[Vin]]&gt;Vout, "BUCK","BOOST"),IF(Table16[[#This Row],[Vin]]&gt;VIN_BB_to_buck, "BUCK", IF(Table16[[#This Row],[Vin]]&lt;=VIN_boost_to_BB,"BOOST","BUCK-BST")))</f>
        <v>BOOST</v>
      </c>
      <c r="J62" s="253">
        <f>IF(Table16[[#This Row],[Mode]]="BOOST",2, IF(Table16[[#This Row],[Mode]]="BUCK", 1,3))</f>
        <v>2</v>
      </c>
      <c r="K62" s="253">
        <f t="shared" si="0"/>
        <v>8</v>
      </c>
      <c r="L62" s="292">
        <f>Vout*Table16[[#This Row],[Iout]]/(Table16[[#This Row],[Vin]]*Efficiency)</f>
        <v>9.6585549896245997</v>
      </c>
      <c r="M62" s="682">
        <f>MIN(1/Fsw,CHOOSE(Table16[[#This Row],[Mode Digit]],(Vout+(Rdson2+Rs+Rdcr)*Table16[[#This Row],[Iout]])/(Table16[[#This Row],[Vin]]+(Rs+Rdson2-Rdson1)*Table16[[#This Row],[Iout]])/Fsw,(Vout+(Rdson3+Rdcr)*Table16[[#This Row],[Iin]]-Table16[[#This Row],[Vin]])/(Vout+(Rdson3-Rdson4-Rs)*Table16[[#This Row],[Iin]])/Fsw,t1_Ph_II))</f>
        <v>3.3234503114571498E-7</v>
      </c>
      <c r="N62" s="518">
        <f>CHOOSE(Table16[[#This Row],[Mode Digit]],1/Fsw-Table16[[#This Row],[t1_Ph_II]],1/Fsw-Table16[[#This Row],[t1_Ph_II]],(Vout/Fsw-Table16[[#This Row],[Vin]]*t1_Ph_II)/(Table16[[#This Row],[Vin]]+Vout))</f>
        <v>2.1802177829246371E-6</v>
      </c>
      <c r="O62" s="518">
        <f>1/Fsw-(Table16[[#This Row],[t1_Ph_II]]+Table16[[#This Row],[t2_Ph_I]])</f>
        <v>0</v>
      </c>
      <c r="P62"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8.3707179939349547</v>
      </c>
      <c r="Q62" s="292">
        <f>CHOOSE(Table16[[#This Row],[Mode Digit]],Table16[[#This Row],[I_0]]+1/Lf*(Table16[[#This Row],[Vin]]-Vout)*Table16[[#This Row],[t1_Ph_II]],Table16[[#This Row],[I_0]]+1/Lf*Table16[[#This Row],[Vin]]*Table16[[#This Row],[t1_Ph_II]],Table16[[#This Row],[I_0]]+(Table16[[#This Row],[Vin]]-Vout)/L*Table16[[#This Row],[t1_Ph_II]])</f>
        <v>10.946391985314246</v>
      </c>
      <c r="R62" s="292">
        <f>CHOOSE(Table16[[#This Row],[Mode Digit]],0,0,Table16[[#This Row],[I_1]]+Table16[[#This Row],[Vin]]/L*Table16[[#This Row],[t2_Ph_I]])</f>
        <v>0</v>
      </c>
      <c r="S62" s="292">
        <f>Fsw*(Table16[[#This Row],[I_0]]*Table16[[#This Row],[t1_Ph_II]]+Table16[[#This Row],[I_1]]*Table16[[#This Row],[t2_Ph_I]]+Table16[[#This Row],[I_2]]*Table16[[#This Row],[t3_Ph_III]])</f>
        <v>10.605699029065557</v>
      </c>
      <c r="T62" s="345">
        <f>MIN(1,CHOOSE(Table16[[#This Row],[Mode Digit]],(Vout+(Rdson2+Rs+Rdcr)*Table16[[#This Row],[Iout]])/(Table16[[#This Row],[Vin]]+(Rs+Rdson2-Rdson1)*Table16[[#This Row],[Iout]]),1,Fsw*Table16[[#This Row],[t2_Ph_I]]+Table16[[#This Row],[t1_Ph_II]]))</f>
        <v>1</v>
      </c>
      <c r="U62" s="345">
        <f>MIN(1,CHOOSE(Table16[[#This Row],[Mode Digit]],0,(Vout+(Rdson3+Rdcr)*Table16[[#This Row],[Iin]]-Table16[[#This Row],[Vin]])/(Vout+(Rdson3-Rdson4-Rs)*Table16[[#This Row],[Iin]]),Fsw*Table16[[#This Row],[t1_Ph_II]]+Table16[[#This Row],[t3_Ph_III]]))</f>
        <v>0.13227332239599457</v>
      </c>
      <c r="V62" s="292">
        <f>MAX(Table16[[#This Row],[I_0]:[I_2]])-MIN(Table16[[#This Row],[I_0]:[I_1]])</f>
        <v>2.5756739913792916</v>
      </c>
      <c r="W62"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9.6871319730570704</v>
      </c>
      <c r="X62" s="345">
        <f>(Table16[[#This Row],[Irms Lf]]^2*Rdcr*(1+Ltc*Ta-Ltc*25))/(1-Table16[[#This Row],[Irms Lf]]^2*Rdcr*Ltc*ThetaCa)</f>
        <v>0.30768116102178839</v>
      </c>
      <c r="Y62" s="345">
        <f>ABS(7.759*10^-3*Fsw^0.9458*(0.00787*Table16[[#This Row],[Ripple Current pk-pk]])^2.304)</f>
        <v>0.19283841858023909</v>
      </c>
      <c r="Z62" s="345">
        <f>Table16[[#This Row],[DCR    Loss]]+Table16[[#This Row],[Core Loss]]</f>
        <v>0.50051957960202742</v>
      </c>
      <c r="AA62" s="292">
        <f>IF(Table16[[#This Row],[Vin]]&gt;Vout, Table16[[#This Row],[Ripple Current pk-pk]]/SQRT(12), SQRT(Table16[[#This Row],[Duty Cycle BOOST Leg]]/(1-Table16[[#This Row],[Duty Cycle BOOST Leg]]))*SQRT(Table16[[#This Row],[Iout]]^2+(Table16[[#This Row],[Ripple Current pk-pk]]^2)/12))</f>
        <v>3.1369120156200321</v>
      </c>
      <c r="AB62" s="345">
        <f>RCoutEsr*Table16[[#This Row],[Irms Cout]]^2</f>
        <v>1.9680433987482666E-2</v>
      </c>
      <c r="AC62" s="345">
        <f>Table16[[#This Row],[Cout ESR Loss]]</f>
        <v>1.9680433987482666E-2</v>
      </c>
      <c r="AD62" s="345">
        <f>IF(Table16[[#This Row],[Vin]]&gt;Vout, SQRT(Table16[[#This Row],[Duty Cycle BUCK Leg]]*(1-Table16[[#This Row],[Duty Cycle BUCK Leg]]))*SQRT(Table16[[#This Row],[Iout]]^2+(Table16[[#This Row],[Ripple Current pk-pk]]^2)/12), Table16[[#This Row],[Ripple Current pk-pk]]/SQRT(12))</f>
        <v>0.74353303613377597</v>
      </c>
      <c r="AE62" s="345">
        <f>RCinEsr*Table16[[#This Row],[Irms Cin]]^2</f>
        <v>1.105682751644622E-3</v>
      </c>
      <c r="AF62" s="683">
        <f>Table16[[#This Row],[Cin ESR Loss]]</f>
        <v>1.105682751644622E-3</v>
      </c>
      <c r="AG62"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9.6871319730570704</v>
      </c>
      <c r="AH62" s="345">
        <f>Rdson1*Table16[[#This Row],[Irms BuCtrl]]^2</f>
        <v>0.32844184052198599</v>
      </c>
      <c r="AI62" s="345">
        <f>CHOOSE(Table16[[#This Row],[Mode Digit]], (Table16[[#This Row],[Vin]]*Table16[[#This Row],[Iout]]/2)*(Fsw)*(Tr_buck+Tf_buck), 0, (Table16[[#This Row],[Vin]]*Table16[[#This Row],[Avg IL]]/2)*(Fsw/1)*(Tr_buck+Tf_buck))</f>
        <v>0</v>
      </c>
      <c r="AJ62" s="253">
        <f>IF(Table16[[#This Row],[Vin]]&gt;Vout, IF(Table16[[#This Row],[Iout]]&gt;Table16[[#This Row],[Ripple Current pk-pk]]/2,0,ABS(Table16[[#This Row],[Iout]]-Table16[[#This Row],[Ripple Current pk-pk]]/2)*Vsd_Q1*Deadtime*Fsw),0)</f>
        <v>0</v>
      </c>
      <c r="AK62" s="345">
        <f>(Table16[[#This Row],[Dead Time Loss BuCtrl]]+Table16[[#This Row],[Transition Loss BuCtrl]]+Table16[[#This Row],[RDS(on) Loss BuCtrl]]*(1+RdsonTopTc*Ta-RdsonTopTc*25))/(1-Table16[[#This Row],[RDS(on) Loss BuCtrl]]*RdsonTopTc*ThetaJA_Q1)</f>
        <v>0.35910780818300064</v>
      </c>
      <c r="AL62" s="345">
        <f>CHOOSE(Table16[[#This Row],[Mode Digit]],SQRT((Fsw*(Table16[[#This Row],[t2_Ph_I]]+0))*((Table16[[#This Row],[I_0]]*Table16[[#This Row],[I_1]]+((Table16[[#This Row],[I_0]]-Table16[[#This Row],[I_1]])^2)/3))),0,SQRT((Fsw*(Table16[[#This Row],[t3_Ph_III]]+0))*((Table16[[#This Row],[I_0]]*Table16[[#This Row],[I_2]]+((Table16[[#This Row],[I_0]]-Table16[[#This Row],[I_2]])^2)/3))))</f>
        <v>0</v>
      </c>
      <c r="AM62" s="345">
        <f>Rdson2*Table16[[#This Row],[Irms BuSync]]^2</f>
        <v>0</v>
      </c>
      <c r="AN62"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62" s="345">
        <f>(Table16[[#This Row],[Deadtime Loss BuSync]]+Table16[[#This Row],[RDS(on) Loss BuSync]]*(1+RdsonBotTc*Ta-RdsonBotTc*25))/(1-Table16[[#This Row],[RDS(on) Loss BuSync]]*RdsonBotTc*ThetaJA_Q2)</f>
        <v>0</v>
      </c>
      <c r="AP62" s="345">
        <f>CHOOSE(Table16[[#This Row],[Mode Digit]],0,SQRT((Fsw*(Table16[[#This Row],[t1_Ph_II]]+0))*((Table16[[#This Row],[I_0]]*Table16[[#This Row],[I_1]]+((Table16[[#This Row],[I_0]]-Table16[[#This Row],[I_1]])^2)/3))),SQRT((Fsw*(Table16[[#This Row],[t2_Ph_I]]+0))*((Table16[[#This Row],[I_1]]*Table16[[#This Row],[I_2]]+((Table16[[#This Row],[I_1]]-Table16[[#This Row],[I_2]])^2)/3))))</f>
        <v>3.523151732659612</v>
      </c>
      <c r="AQ62" s="345">
        <f>Rdson4*Table16[[#This Row],[Irms BoCtlr]]^2</f>
        <v>4.3444093459698491E-2</v>
      </c>
      <c r="AR62" s="345">
        <f>CHOOSE(Table16[[#This Row],[Mode Digit]], 0, (Vout*Table16[[#This Row],[Iin]]/2)*(Fsw)*(Tr_boost+Tf_boost), (Vout*Iout/2)*(Fsw/1)*(Tr_boost+Tf_boost))</f>
        <v>0.5742532610349721</v>
      </c>
      <c r="AS62" s="253">
        <f>IF(Table16[[#This Row],[Vin]]&gt;Vout, 0, IF(Table16[[#This Row],[Iin]]&gt;Table16[[#This Row],[Ripple Current pk-pk]]/2,0,ABS(Table16[[#This Row],[Iin]]-Table16[[#This Row],[Ripple Current pk-pk]]/2)*Vsd_Q4*Deadtime*Fsw))</f>
        <v>0</v>
      </c>
      <c r="AT62" s="345">
        <f>(Table16[[#This Row],[Dead Time Loss BoCtlr]]+Table16[[#This Row],[Transition Loss BoCtlr]]+Table16[[#This Row],[RDS(on) Loss BoCtlr]]*(1+RdsonTopTc*Ta-RdsonTopTc*25))/(1-Table16[[#This Row],[RDS(on) Loss BoCtlr]]*RdsonTopTc*ThetaJA_Q4)</f>
        <v>0.6247542437509338</v>
      </c>
      <c r="AU62"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9.0237424460188453</v>
      </c>
      <c r="AV62" s="345">
        <f>Rdson3*Table16[[#This Row],[Irms BoSync]]^2</f>
        <v>0.28499774706228759</v>
      </c>
      <c r="AW62"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0.28830786644029427</v>
      </c>
      <c r="AX62" s="345">
        <f>(Table16[[#This Row],[Deadtime Loss BoSync]]+Table16[[#This Row],[RDS(on) Loss BoSync]]*(1+RdsonBotTc*Ta-RdsonBotTc*25))/(1-Table16[[#This Row],[RDS(on) Loss BoSync]]*RdsonBotTc*ThetaJA_Q3)</f>
        <v>0.61918700810589034</v>
      </c>
      <c r="AY62" s="345">
        <f>CHOOSE(Table16[[#This Row],[Mode Digit]], Rdson3*Table16[[#This Row],[Irms Lf]]^2, Rdson1*Table16[[#This Row],[Irms Lf]]^2, 0)</f>
        <v>0.32844184052198599</v>
      </c>
      <c r="AZ62" s="345">
        <f>CHOOSE(Table16[[#This Row],[Mode Digit]], 2*Deadtime*Fsw*IF(VfdSky_Q2&gt;0,VfdSky_Q2,0)*Table16[[#This Row],[Iout]], 2*Deadtime*Fsw*IF(VfdSky_Q3&gt;0,VfdSky_Q3,0)*Table16[[#This Row],[Iin]], 2*Deadtime*Fsw*IF(VfdSky_Q2&gt;0,VfdSky_Q2,0)*Table16[[#This Row],[Iout]]+2*Deadtime*Fsw*IF(VfdSky_Q3&gt;0,VfdSky_Q3,0)*Table16[[#This Row],[Iin]])</f>
        <v>0</v>
      </c>
      <c r="BA62" s="345">
        <f>CHOOSE(Table16[[#This Row],[Mode Digit]], IF(QrrSky_Q2&gt;0,QrrSky_Q2,Qrr_Q2)*Fsw*(Table16[[#This Row],[Vin]]-Table16[[#This Row],[Iout]]*Rdson1),0,  IF(QrrSky_Q2&gt;0,QrrSky_Q2,Qrr_Q2)*Fsw*(Table16[[#This Row],[Vin]]-Table16[[#This Row],[Iout]]*Rdson1)+IF(QrrSky_Q3&gt;0,QrrSky_Q3,Qrr_Q3)*Fsw*Vout)</f>
        <v>0</v>
      </c>
      <c r="BB62" s="345">
        <f>CHOOSE(Table16[[#This Row],[Mode Digit]],0, IF(QrrSky_Q3&gt;0,QrrSky_Q3,Qrr_Q3)*Fsw*Vout,  IF(QrrSky_Q2&gt;0,QrrSky_Q2,Qrr_Q2)*Fsw*(Table16[[#This Row],[Vin]]-Table16[[#This Row],[Iout]]*Rdson1)+IF(QrrSky_Q3&gt;0,QrrSky_Q3,Qrr_Q3)*Fsw*Vout)</f>
        <v>0.35660799999999998</v>
      </c>
      <c r="BC62" s="345">
        <f>CHOOSE(Table16[[#This Row],[Mode Digit]], Rs*Table16[[#This Row],[Irms BuSync]]^2, Rs*Table16[[#This Row],[Irms BoCtlr]]^2, Rs*(Table16[[#This Row],[Irms BuSync]]^2+Table16[[#This Row],[Irms BoCtlr]]^2))</f>
        <v>1.6136377570745153E-2</v>
      </c>
      <c r="BD62" s="345">
        <f t="shared" si="1"/>
        <v>0.64</v>
      </c>
      <c r="BE62" s="345">
        <f>IF(Vout&gt;8, Iq*Vout, Iq*Table16[[#This Row],[Vin]])</f>
        <v>4.8000000000000001E-2</v>
      </c>
      <c r="BF62" s="345">
        <f>CHOOSE(Table16[[#This Row],[Mode Digit]], (Qg_Q1+Qg_Q2)*Fsw, (Qg_Q3+Qg_Q4)*Fsw, (Qg_Q1+Qg_Q2+Qg_Q3+Qg_Q4)*Fsw)*IF(Vout&gt;8, Vout, Table16[[#This Row],[Vin]])</f>
        <v>0.85331200000000007</v>
      </c>
      <c r="BG62" s="345">
        <f t="shared" si="2"/>
        <v>0.50594479787234037</v>
      </c>
      <c r="BH62" s="345">
        <f>Table16[[#This Row],[IQ Loss]]+Table16[[#This Row],[Switching Current Loss]]</f>
        <v>0.90131200000000011</v>
      </c>
      <c r="BI62"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4.0384111339517252</v>
      </c>
      <c r="BJ62" s="253">
        <f>Vout*Table16[[#This Row],[Iout]]</f>
        <v>128</v>
      </c>
      <c r="BK62" s="684">
        <f>Table16[[#This Row],[Pout]]/(Table16[[#This Row],[Pout]]+Table16[[#This Row],[Total Loss]])</f>
        <v>0.96941487632826195</v>
      </c>
      <c r="BL62"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63.788545843810695</v>
      </c>
      <c r="BM62" s="685">
        <f>IF(Table16[[#This Row],[Vin]]&gt;Vout, Table16[[#This Row],[Total Sync Bu MOSFET Loss]]*ThetaJA_Q2, ThetaJA_Q3*Table16[[#This Row],[Total Sync Bo MOSFET Loss]])</f>
        <v>40.247155526882871</v>
      </c>
      <c r="BN62" s="640"/>
      <c r="BO62" s="292">
        <f>Table16[[#This Row],[EFF, h]]*100</f>
        <v>96.941487632826195</v>
      </c>
      <c r="BP62" s="345">
        <f>Table16[[#This Row],[Total Inductor Loss]]</f>
        <v>0.50051957960202742</v>
      </c>
      <c r="BQ62" s="345">
        <f>Table16[[#This Row],[Total Control Bu MOSFET Loss]]+Table16[[#This Row],[Total Sync Bu MOSFET Loss]]+Table16[[#This Row],[Total Control Bo MOSFET Loss]]+Table16[[#This Row],[Total Sync Bo MOSFET Loss]]+Table16[[#This Row],[Reverse Recovery Loss MOSFET D BUCK]]+Table16[[#This Row],[Reverse Recovery Loss MOSFET D BOOST]]</f>
        <v>1.9596570600398249</v>
      </c>
      <c r="BR62" s="345">
        <f>Table16[[#This Row],[Total Control Bu MOSFET Loss]]+Table16[[#This Row],[Reverse Recovery Loss MOSFET D BUCK]]*0.66</f>
        <v>0.35910780818300064</v>
      </c>
      <c r="BS62" s="345">
        <f>Table16[[#This Row],[Total Sync Bu MOSFET Loss]]+Table16[[#This Row],[Reverse Recovery Loss MOSFET D BUCK]]*0.33</f>
        <v>0</v>
      </c>
      <c r="BT62" s="345">
        <f xml:space="preserve"> Table16[[#This Row],[Total Control Bo MOSFET Loss]]+Table16[[#This Row],[Reverse Recovery Loss MOSFET D BOOST]]*0.66</f>
        <v>0.86011552375093381</v>
      </c>
      <c r="BU62" s="345">
        <f xml:space="preserve"> Table16[[#This Row],[Total Sync Bo MOSFET Loss]]+Table16[[#This Row],[Reverse Recovery Loss MOSFET D BOOST]]*0.33</f>
        <v>0.73686764810589034</v>
      </c>
      <c r="BV62" s="345">
        <f>Table16[[#This Row],[Isense Shunt Loss]]</f>
        <v>1.6136377570745153E-2</v>
      </c>
      <c r="CB62" s="686"/>
      <c r="CC62" s="686"/>
    </row>
    <row r="63" spans="1:83" x14ac:dyDescent="0.2">
      <c r="A63" s="691" t="s">
        <v>120</v>
      </c>
      <c r="B63" s="708">
        <v>2</v>
      </c>
      <c r="C63" s="259" t="s">
        <v>236</v>
      </c>
      <c r="D63" s="255" t="s">
        <v>105</v>
      </c>
      <c r="G63" s="253">
        <v>54</v>
      </c>
      <c r="H63" s="286">
        <f>VIN_min+(VIN_max-VIN_min)*(Table16[[#This Row],[Step]]/200)</f>
        <v>14.100000000000001</v>
      </c>
      <c r="I63" s="292" t="str">
        <f>IF(Mode = 2,IF(Table16[[#This Row],[Vin]]&gt;Vout, "BUCK","BOOST"),IF(Table16[[#This Row],[Vin]]&gt;VIN_BB_to_buck, "BUCK", IF(Table16[[#This Row],[Vin]]&lt;=VIN_boost_to_BB,"BOOST","BUCK-BST")))</f>
        <v>BOOST</v>
      </c>
      <c r="J63" s="253">
        <f>IF(Table16[[#This Row],[Mode]]="BOOST",2, IF(Table16[[#This Row],[Mode]]="BUCK", 1,3))</f>
        <v>2</v>
      </c>
      <c r="K63" s="253">
        <f t="shared" si="0"/>
        <v>8</v>
      </c>
      <c r="L63" s="292">
        <f>Vout*Table16[[#This Row],[Iout]]/(Table16[[#This Row],[Vin]]*Efficiency)</f>
        <v>9.5558044046285922</v>
      </c>
      <c r="M63" s="682">
        <f>MIN(1/Fsw,CHOOSE(Table16[[#This Row],[Mode Digit]],(Vout+(Rdson2+Rs+Rdcr)*Table16[[#This Row],[Iout]])/(Table16[[#This Row],[Vin]]+(Rs+Rdson2-Rdson1)*Table16[[#This Row],[Iout]])/Fsw,(Vout+(Rdson3+Rdcr)*Table16[[#This Row],[Iin]]-Table16[[#This Row],[Vin]])/(Vout+(Rdson3-Rdson4-Rs)*Table16[[#This Row],[Iin]])/Fsw,t1_Ph_II))</f>
        <v>3.0866048373150964E-7</v>
      </c>
      <c r="N63" s="518">
        <f>CHOOSE(Table16[[#This Row],[Mode Digit]],1/Fsw-Table16[[#This Row],[t1_Ph_II]],1/Fsw-Table16[[#This Row],[t1_Ph_II]],(Vout/Fsw-Table16[[#This Row],[Vin]]*t1_Ph_II)/(Table16[[#This Row],[Vin]]+Vout))</f>
        <v>2.2039023303388424E-6</v>
      </c>
      <c r="O63" s="518">
        <f>1/Fsw-(Table16[[#This Row],[t1_Ph_II]]+Table16[[#This Row],[t2_Ph_I]])</f>
        <v>0</v>
      </c>
      <c r="P63"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8.3468841766801791</v>
      </c>
      <c r="Q63" s="292">
        <f>CHOOSE(Table16[[#This Row],[Mode Digit]],Table16[[#This Row],[I_0]]+1/Lf*(Table16[[#This Row],[Vin]]-Vout)*Table16[[#This Row],[t1_Ph_II]],Table16[[#This Row],[I_0]]+1/Lf*Table16[[#This Row],[Vin]]*Table16[[#This Row],[t1_Ph_II]],Table16[[#This Row],[I_0]]+(Table16[[#This Row],[Vin]]-Vout)/L*Table16[[#This Row],[t1_Ph_II]])</f>
        <v>10.764724632577003</v>
      </c>
      <c r="R63" s="292">
        <f>CHOOSE(Table16[[#This Row],[Mode Digit]],0,0,Table16[[#This Row],[I_1]]+Table16[[#This Row],[Vin]]/L*Table16[[#This Row],[t2_Ph_I]])</f>
        <v>0</v>
      </c>
      <c r="S63" s="292">
        <f>Fsw*(Table16[[#This Row],[I_0]]*Table16[[#This Row],[t1_Ph_II]]+Table16[[#This Row],[I_1]]*Table16[[#This Row],[t2_Ph_I]]+Table16[[#This Row],[I_2]]*Table16[[#This Row],[t3_Ph_III]])</f>
        <v>10.467700494305319</v>
      </c>
      <c r="T63" s="345">
        <f>MIN(1,CHOOSE(Table16[[#This Row],[Mode Digit]],(Vout+(Rdson2+Rs+Rdcr)*Table16[[#This Row],[Iout]])/(Table16[[#This Row],[Vin]]+(Rs+Rdson2-Rdson1)*Table16[[#This Row],[Iout]]),1,Fsw*Table16[[#This Row],[t2_Ph_I]]+Table16[[#This Row],[t1_Ph_II]]))</f>
        <v>1</v>
      </c>
      <c r="U63" s="345">
        <f>MIN(1,CHOOSE(Table16[[#This Row],[Mode Digit]],0,(Vout+(Rdson3+Rdcr)*Table16[[#This Row],[Iin]]-Table16[[#This Row],[Vin]])/(Vout+(Rdson3-Rdson4-Rs)*Table16[[#This Row],[Iin]]),Fsw*Table16[[#This Row],[t1_Ph_II]]+Table16[[#This Row],[t3_Ph_III]]))</f>
        <v>0.12284687252514083</v>
      </c>
      <c r="V63" s="292">
        <f>MAX(Table16[[#This Row],[I_0]:[I_2]])-MIN(Table16[[#This Row],[I_0]:[I_1]])</f>
        <v>2.4178404558968243</v>
      </c>
      <c r="W63"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9.5812609047748403</v>
      </c>
      <c r="X63" s="345">
        <f>(Table16[[#This Row],[Irms Lf]]^2*Rdcr*(1+Ltc*Ta-Ltc*25))/(1-Table16[[#This Row],[Irms Lf]]^2*Rdcr*Ltc*ThetaCa)</f>
        <v>0.30083162059820928</v>
      </c>
      <c r="Y63" s="345">
        <f>ABS(7.759*10^-3*Fsw^0.9458*(0.00787*Table16[[#This Row],[Ripple Current pk-pk]])^2.304)</f>
        <v>0.16669333189000382</v>
      </c>
      <c r="Z63" s="345">
        <f>Table16[[#This Row],[DCR    Loss]]+Table16[[#This Row],[Core Loss]]</f>
        <v>0.46752495248821313</v>
      </c>
      <c r="AA63" s="292">
        <f>IF(Table16[[#This Row],[Vin]]&gt;Vout, Table16[[#This Row],[Ripple Current pk-pk]]/SQRT(12), SQRT(Table16[[#This Row],[Duty Cycle BOOST Leg]]/(1-Table16[[#This Row],[Duty Cycle BOOST Leg]]))*SQRT(Table16[[#This Row],[Iout]]^2+(Table16[[#This Row],[Ripple Current pk-pk]]^2)/12))</f>
        <v>3.0052525813301409</v>
      </c>
      <c r="AB63" s="345">
        <f>RCoutEsr*Table16[[#This Row],[Irms Cout]]^2</f>
        <v>1.8063086155182952E-2</v>
      </c>
      <c r="AC63" s="345">
        <f>Table16[[#This Row],[Cout ESR Loss]]</f>
        <v>1.8063086155182952E-2</v>
      </c>
      <c r="AD63" s="345">
        <f>IF(Table16[[#This Row],[Vin]]&gt;Vout, SQRT(Table16[[#This Row],[Duty Cycle BUCK Leg]]*(1-Table16[[#This Row],[Duty Cycle BUCK Leg]]))*SQRT(Table16[[#This Row],[Iout]]^2+(Table16[[#This Row],[Ripple Current pk-pk]]^2)/12), Table16[[#This Row],[Ripple Current pk-pk]]/SQRT(12))</f>
        <v>0.69797041903479951</v>
      </c>
      <c r="AE63" s="345">
        <f>RCinEsr*Table16[[#This Row],[Irms Cin]]^2</f>
        <v>9.7432541169522723E-4</v>
      </c>
      <c r="AF63" s="683">
        <f>Table16[[#This Row],[Cin ESR Loss]]</f>
        <v>9.7432541169522723E-4</v>
      </c>
      <c r="AG63"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9.5812609047748403</v>
      </c>
      <c r="AH63" s="345">
        <f>Rdson1*Table16[[#This Row],[Irms BuCtrl]]^2</f>
        <v>0.32130196183878379</v>
      </c>
      <c r="AI63" s="345">
        <f>CHOOSE(Table16[[#This Row],[Mode Digit]], (Table16[[#This Row],[Vin]]*Table16[[#This Row],[Iout]]/2)*(Fsw)*(Tr_buck+Tf_buck), 0, (Table16[[#This Row],[Vin]]*Table16[[#This Row],[Avg IL]]/2)*(Fsw/1)*(Tr_buck+Tf_buck))</f>
        <v>0</v>
      </c>
      <c r="AJ63" s="253">
        <f>IF(Table16[[#This Row],[Vin]]&gt;Vout, IF(Table16[[#This Row],[Iout]]&gt;Table16[[#This Row],[Ripple Current pk-pk]]/2,0,ABS(Table16[[#This Row],[Iout]]-Table16[[#This Row],[Ripple Current pk-pk]]/2)*Vsd_Q1*Deadtime*Fsw),0)</f>
        <v>0</v>
      </c>
      <c r="AK63" s="345">
        <f>(Table16[[#This Row],[Dead Time Loss BuCtrl]]+Table16[[#This Row],[Transition Loss BuCtrl]]+Table16[[#This Row],[RDS(on) Loss BuCtrl]]*(1+RdsonTopTc*Ta-RdsonTopTc*25))/(1-Table16[[#This Row],[RDS(on) Loss BuCtrl]]*RdsonTopTc*ThetaJA_Q1)</f>
        <v>0.35058970330129108</v>
      </c>
      <c r="AL63" s="345">
        <f>CHOOSE(Table16[[#This Row],[Mode Digit]],SQRT((Fsw*(Table16[[#This Row],[t2_Ph_I]]+0))*((Table16[[#This Row],[I_0]]*Table16[[#This Row],[I_1]]+((Table16[[#This Row],[I_0]]-Table16[[#This Row],[I_1]])^2)/3))),0,SQRT((Fsw*(Table16[[#This Row],[t3_Ph_III]]+0))*((Table16[[#This Row],[I_0]]*Table16[[#This Row],[I_2]]+((Table16[[#This Row],[I_0]]-Table16[[#This Row],[I_2]])^2)/3))))</f>
        <v>0</v>
      </c>
      <c r="AM63" s="345">
        <f>Rdson2*Table16[[#This Row],[Irms BuSync]]^2</f>
        <v>0</v>
      </c>
      <c r="AN63"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v>
      </c>
      <c r="AO63" s="345">
        <f>(Table16[[#This Row],[Deadtime Loss BuSync]]+Table16[[#This Row],[RDS(on) Loss BuSync]]*(1+RdsonBotTc*Ta-RdsonBotTc*25))/(1-Table16[[#This Row],[RDS(on) Loss BuSync]]*RdsonBotTc*ThetaJA_Q2)</f>
        <v>0</v>
      </c>
      <c r="AP63" s="345">
        <f>CHOOSE(Table16[[#This Row],[Mode Digit]],0,SQRT((Fsw*(Table16[[#This Row],[t1_Ph_II]]+0))*((Table16[[#This Row],[I_0]]*Table16[[#This Row],[I_1]]+((Table16[[#This Row],[I_0]]-Table16[[#This Row],[I_1]])^2)/3))),SQRT((Fsw*(Table16[[#This Row],[t2_Ph_I]]+0))*((Table16[[#This Row],[I_1]]*Table16[[#This Row],[I_2]]+((Table16[[#This Row],[I_1]]-Table16[[#This Row],[I_2]])^2)/3))))</f>
        <v>3.3581857835141</v>
      </c>
      <c r="AQ63" s="345">
        <f>Rdson4*Table16[[#This Row],[Irms BoCtlr]]^2</f>
        <v>3.947094114808674E-2</v>
      </c>
      <c r="AR63" s="345">
        <f>CHOOSE(Table16[[#This Row],[Mode Digit]], 0, (Vout*Table16[[#This Row],[Iin]]/2)*(Fsw)*(Tr_boost+Tf_boost), (Vout*Iout/2)*(Fsw/1)*(Tr_boost+Tf_boost))</f>
        <v>0.56814418378991904</v>
      </c>
      <c r="AS63" s="253">
        <f>IF(Table16[[#This Row],[Vin]]&gt;Vout, 0, IF(Table16[[#This Row],[Iin]]&gt;Table16[[#This Row],[Ripple Current pk-pk]]/2,0,ABS(Table16[[#This Row],[Iin]]-Table16[[#This Row],[Ripple Current pk-pk]]/2)*Vsd_Q4*Deadtime*Fsw))</f>
        <v>0</v>
      </c>
      <c r="AT63" s="345">
        <f>(Table16[[#This Row],[Dead Time Loss BoCtlr]]+Table16[[#This Row],[Transition Loss BoCtlr]]+Table16[[#This Row],[RDS(on) Loss BoCtlr]]*(1+RdsonTopTc*Ta-RdsonTopTc*25))/(1-Table16[[#This Row],[RDS(on) Loss BoCtlr]]*RdsonTopTc*ThetaJA_Q4)</f>
        <v>0.61391539775704662</v>
      </c>
      <c r="AU63"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8.9734691601838463</v>
      </c>
      <c r="AV63" s="345">
        <f>Rdson3*Table16[[#This Row],[Irms BoSync]]^2</f>
        <v>0.28183102069069704</v>
      </c>
      <c r="AW63"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0.28524076147816341</v>
      </c>
      <c r="AX63" s="345">
        <f>(Table16[[#This Row],[Deadtime Loss BoSync]]+Table16[[#This Row],[RDS(on) Loss BoSync]]*(1+RdsonBotTc*Ta-RdsonBotTc*25))/(1-Table16[[#This Row],[RDS(on) Loss BoSync]]*RdsonBotTc*ThetaJA_Q3)</f>
        <v>0.61191015035252116</v>
      </c>
      <c r="AY63" s="345">
        <f>CHOOSE(Table16[[#This Row],[Mode Digit]], Rdson3*Table16[[#This Row],[Irms Lf]]^2, Rdson1*Table16[[#This Row],[Irms Lf]]^2, 0)</f>
        <v>0.32130196183878379</v>
      </c>
      <c r="AZ63" s="345">
        <f>CHOOSE(Table16[[#This Row],[Mode Digit]], 2*Deadtime*Fsw*IF(VfdSky_Q2&gt;0,VfdSky_Q2,0)*Table16[[#This Row],[Iout]], 2*Deadtime*Fsw*IF(VfdSky_Q3&gt;0,VfdSky_Q3,0)*Table16[[#This Row],[Iin]], 2*Deadtime*Fsw*IF(VfdSky_Q2&gt;0,VfdSky_Q2,0)*Table16[[#This Row],[Iout]]+2*Deadtime*Fsw*IF(VfdSky_Q3&gt;0,VfdSky_Q3,0)*Table16[[#This Row],[Iin]])</f>
        <v>0</v>
      </c>
      <c r="BA63" s="345">
        <f>CHOOSE(Table16[[#This Row],[Mode Digit]], IF(QrrSky_Q2&gt;0,QrrSky_Q2,Qrr_Q2)*Fsw*(Table16[[#This Row],[Vin]]-Table16[[#This Row],[Iout]]*Rdson1),0,  IF(QrrSky_Q2&gt;0,QrrSky_Q2,Qrr_Q2)*Fsw*(Table16[[#This Row],[Vin]]-Table16[[#This Row],[Iout]]*Rdson1)+IF(QrrSky_Q3&gt;0,QrrSky_Q3,Qrr_Q3)*Fsw*Vout)</f>
        <v>0</v>
      </c>
      <c r="BB63" s="345">
        <f>CHOOSE(Table16[[#This Row],[Mode Digit]],0, IF(QrrSky_Q3&gt;0,QrrSky_Q3,Qrr_Q3)*Fsw*Vout,  IF(QrrSky_Q2&gt;0,QrrSky_Q2,Qrr_Q2)*Fsw*(Table16[[#This Row],[Vin]]-Table16[[#This Row],[Iout]]*Rdson1)+IF(QrrSky_Q3&gt;0,QrrSky_Q3,Qrr_Q3)*Fsw*Vout)</f>
        <v>0.35660799999999998</v>
      </c>
      <c r="BC63" s="345">
        <f>CHOOSE(Table16[[#This Row],[Mode Digit]], Rs*Table16[[#This Row],[Irms BuSync]]^2, Rs*Table16[[#This Row],[Irms BoCtlr]]^2, Rs*(Table16[[#This Row],[Irms BuSync]]^2+Table16[[#This Row],[Irms BoCtlr]]^2))</f>
        <v>1.4660635283575073E-2</v>
      </c>
      <c r="BD63" s="345">
        <f t="shared" si="1"/>
        <v>0.64</v>
      </c>
      <c r="BE63" s="345">
        <f>IF(Vout&gt;8, Iq*Vout, Iq*Table16[[#This Row],[Vin]])</f>
        <v>4.8000000000000001E-2</v>
      </c>
      <c r="BF63" s="345">
        <f>CHOOSE(Table16[[#This Row],[Mode Digit]], (Qg_Q1+Qg_Q2)*Fsw, (Qg_Q3+Qg_Q4)*Fsw, (Qg_Q1+Qg_Q2+Qg_Q3+Qg_Q4)*Fsw)*IF(Vout&gt;8, Vout, Table16[[#This Row],[Vin]])</f>
        <v>0.85331200000000007</v>
      </c>
      <c r="BG63" s="345">
        <f t="shared" si="2"/>
        <v>0.50594479787234037</v>
      </c>
      <c r="BH63" s="345">
        <f>Table16[[#This Row],[IQ Loss]]+Table16[[#This Row],[Switching Current Loss]]</f>
        <v>0.90131200000000011</v>
      </c>
      <c r="BI63"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3.975558250749526</v>
      </c>
      <c r="BJ63" s="253">
        <f>Vout*Table16[[#This Row],[Iout]]</f>
        <v>128</v>
      </c>
      <c r="BK63" s="684">
        <f>Table16[[#This Row],[Pout]]/(Table16[[#This Row],[Pout]]+Table16[[#This Row],[Total Loss]])</f>
        <v>0.96987655666365069</v>
      </c>
      <c r="BL63"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63.084020854208035</v>
      </c>
      <c r="BM63" s="685">
        <f>IF(Table16[[#This Row],[Vin]]&gt;Vout, Table16[[#This Row],[Total Sync Bu MOSFET Loss]]*ThetaJA_Q2, ThetaJA_Q3*Table16[[#This Row],[Total Sync Bo MOSFET Loss]])</f>
        <v>39.774159772913876</v>
      </c>
      <c r="BN63" s="640"/>
      <c r="BO63" s="292">
        <f>Table16[[#This Row],[EFF, h]]*100</f>
        <v>96.987655666365072</v>
      </c>
      <c r="BP63" s="345">
        <f>Table16[[#This Row],[Total Inductor Loss]]</f>
        <v>0.46752495248821313</v>
      </c>
      <c r="BQ63" s="345">
        <f>Table16[[#This Row],[Total Control Bu MOSFET Loss]]+Table16[[#This Row],[Total Sync Bu MOSFET Loss]]+Table16[[#This Row],[Total Control Bo MOSFET Loss]]+Table16[[#This Row],[Total Sync Bo MOSFET Loss]]+Table16[[#This Row],[Reverse Recovery Loss MOSFET D BUCK]]+Table16[[#This Row],[Reverse Recovery Loss MOSFET D BOOST]]</f>
        <v>1.9330232514108587</v>
      </c>
      <c r="BR63" s="345">
        <f>Table16[[#This Row],[Total Control Bu MOSFET Loss]]+Table16[[#This Row],[Reverse Recovery Loss MOSFET D BUCK]]*0.66</f>
        <v>0.35058970330129108</v>
      </c>
      <c r="BS63" s="345">
        <f>Table16[[#This Row],[Total Sync Bu MOSFET Loss]]+Table16[[#This Row],[Reverse Recovery Loss MOSFET D BUCK]]*0.33</f>
        <v>0</v>
      </c>
      <c r="BT63" s="345">
        <f xml:space="preserve"> Table16[[#This Row],[Total Control Bo MOSFET Loss]]+Table16[[#This Row],[Reverse Recovery Loss MOSFET D BOOST]]*0.66</f>
        <v>0.84927667775704663</v>
      </c>
      <c r="BU63" s="345">
        <f xml:space="preserve"> Table16[[#This Row],[Total Sync Bo MOSFET Loss]]+Table16[[#This Row],[Reverse Recovery Loss MOSFET D BOOST]]*0.33</f>
        <v>0.72959079035252117</v>
      </c>
      <c r="BV63" s="345">
        <f>Table16[[#This Row],[Isense Shunt Loss]]</f>
        <v>1.4660635283575073E-2</v>
      </c>
      <c r="CB63" s="686"/>
      <c r="CC63" s="686"/>
    </row>
    <row r="64" spans="1:83" x14ac:dyDescent="0.2">
      <c r="A64" s="709"/>
      <c r="B64" s="515"/>
      <c r="G64" s="253">
        <v>55</v>
      </c>
      <c r="H64" s="286">
        <f>VIN_min+(VIN_max-VIN_min)*(Table16[[#This Row],[Step]]/200)</f>
        <v>14.25</v>
      </c>
      <c r="I64" s="292" t="str">
        <f>IF(Mode = 2,IF(Table16[[#This Row],[Vin]]&gt;Vout, "BUCK","BOOST"),IF(Table16[[#This Row],[Vin]]&gt;VIN_BB_to_buck, "BUCK", IF(Table16[[#This Row],[Vin]]&lt;=VIN_boost_to_BB,"BOOST","BUCK-BST")))</f>
        <v>BUCK-BST</v>
      </c>
      <c r="J64" s="253">
        <f>IF(Table16[[#This Row],[Mode]]="BOOST",2, IF(Table16[[#This Row],[Mode]]="BUCK", 1,3))</f>
        <v>3</v>
      </c>
      <c r="K64" s="253">
        <f t="shared" si="0"/>
        <v>8</v>
      </c>
      <c r="L64" s="292">
        <f>Vout*Table16[[#This Row],[Iout]]/(Table16[[#This Row],[Vin]]*Efficiency)</f>
        <v>9.4552169898430289</v>
      </c>
      <c r="M64" s="682">
        <f>MIN(1/Fsw,CHOOSE(Table16[[#This Row],[Mode Digit]],(Vout+(Rdson2+Rs+Rdcr)*Table16[[#This Row],[Iout]])/(Table16[[#This Row],[Vin]]+(Rs+Rdson2-Rdson1)*Table16[[#This Row],[Iout]])/Fsw,(Vout+(Rdson3+Rdcr)*Table16[[#This Row],[Iin]]-Table16[[#This Row],[Vin]])/(Vout+(Rdson3-Rdson4-Rs)*Table16[[#This Row],[Iin]])/Fsw,t1_Ph_II))</f>
        <v>1.5084238313644118E-6</v>
      </c>
      <c r="N64" s="518">
        <f>CHOOSE(Table16[[#This Row],[Mode Digit]],1/Fsw-Table16[[#This Row],[t1_Ph_II]],1/Fsw-Table16[[#This Row],[t1_Ph_II]],(Vout/Fsw-Table16[[#This Row],[Vin]]*t1_Ph_II)/(Table16[[#This Row],[Vin]]+Vout))</f>
        <v>6.1837902241926491E-7</v>
      </c>
      <c r="O64" s="518">
        <f>1/Fsw-(Table16[[#This Row],[t1_Ph_II]]+Table16[[#This Row],[t2_Ph_I]])</f>
        <v>3.8575996028667512E-7</v>
      </c>
      <c r="P64"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11.404971335951645</v>
      </c>
      <c r="Q64" s="292">
        <f>CHOOSE(Table16[[#This Row],[Mode Digit]],Table16[[#This Row],[I_0]]+1/Lf*(Table16[[#This Row],[Vin]]-Vout)*Table16[[#This Row],[t1_Ph_II]],Table16[[#This Row],[I_0]]+1/Lf*Table16[[#This Row],[Vin]]*Table16[[#This Row],[t1_Ph_II]],Table16[[#This Row],[I_0]]+(Table16[[#This Row],[Vin]]-Vout)/L*Table16[[#This Row],[t1_Ph_II]])</f>
        <v>9.9384481665695787</v>
      </c>
      <c r="R64" s="292">
        <f>CHOOSE(Table16[[#This Row],[Mode Digit]],0,0,Table16[[#This Row],[I_1]]+Table16[[#This Row],[Vin]]/L*Table16[[#This Row],[t2_Ph_I]])</f>
        <v>14.833948760722091</v>
      </c>
      <c r="S64" s="292">
        <f>Fsw*(Table16[[#This Row],[I_0]]*Table16[[#This Row],[t1_Ph_II]]+Table16[[#This Row],[I_1]]*Table16[[#This Row],[t2_Ph_I]]+Table16[[#This Row],[I_2]]*Table16[[#This Row],[t3_Ph_III]])</f>
        <v>11.570497558435182</v>
      </c>
      <c r="T64" s="345">
        <f>MIN(1,CHOOSE(Table16[[#This Row],[Mode Digit]],(Vout+(Rdson2+Rs+Rdcr)*Table16[[#This Row],[Iout]])/(Table16[[#This Row],[Vin]]+(Rs+Rdson2-Rdson1)*Table16[[#This Row],[Iout]]),1,Fsw*Table16[[#This Row],[t2_Ph_I]]+Table16[[#This Row],[t1_Ph_II]]))</f>
        <v>0.24611635934669882</v>
      </c>
      <c r="U64" s="345">
        <f>MIN(1,CHOOSE(Table16[[#This Row],[Mode Digit]],0,(Vout+(Rdson3+Rdcr)*Table16[[#This Row],[Iin]]-Table16[[#This Row],[Vin]])/(Vout+(Rdson3-Rdson4-Rs)*Table16[[#This Row],[Iin]]),Fsw*Table16[[#This Row],[t1_Ph_II]]+Table16[[#This Row],[t3_Ph_III]]))</f>
        <v>0.60035307064299614</v>
      </c>
      <c r="V64" s="292">
        <f>MAX(Table16[[#This Row],[I_0]:[I_2]])-MIN(Table16[[#This Row],[I_0]:[I_1]])</f>
        <v>4.8955005941525123</v>
      </c>
      <c r="W64"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11.54579717469317</v>
      </c>
      <c r="X64" s="345">
        <f>(Table16[[#This Row],[Irms Lf]]^2*Rdcr*(1+Ltc*Ta-Ltc*25))/(1-Table16[[#This Row],[Irms Lf]]^2*Rdcr*Ltc*ThetaCa)</f>
        <v>0.44164918808997872</v>
      </c>
      <c r="Y64" s="345">
        <f>ABS(7.759*10^-3*Fsw^0.9458*(0.00787*Table16[[#This Row],[Ripple Current pk-pk]])^2.304)</f>
        <v>0.84682462939497649</v>
      </c>
      <c r="Z64" s="345">
        <f>Table16[[#This Row],[DCR    Loss]]+Table16[[#This Row],[Core Loss]]</f>
        <v>1.2884738174849553</v>
      </c>
      <c r="AA64" s="292">
        <f>IF(Table16[[#This Row],[Vin]]&gt;Vout, Table16[[#This Row],[Ripple Current pk-pk]]/SQRT(12), SQRT(Table16[[#This Row],[Duty Cycle BOOST Leg]]/(1-Table16[[#This Row],[Duty Cycle BOOST Leg]]))*SQRT(Table16[[#This Row],[Iout]]^2+(Table16[[#This Row],[Ripple Current pk-pk]]^2)/12))</f>
        <v>9.9569827154249761</v>
      </c>
      <c r="AB64" s="345">
        <f>RCoutEsr*Table16[[#This Row],[Irms Cout]]^2</f>
        <v>0.19828300959054346</v>
      </c>
      <c r="AC64" s="345">
        <f>Table16[[#This Row],[Cout ESR Loss]]</f>
        <v>0.19828300959054346</v>
      </c>
      <c r="AD64" s="345">
        <f>IF(Table16[[#This Row],[Vin]]&gt;Vout, SQRT(Table16[[#This Row],[Duty Cycle BUCK Leg]]*(1-Table16[[#This Row],[Duty Cycle BUCK Leg]]))*SQRT(Table16[[#This Row],[Iout]]^2+(Table16[[#This Row],[Ripple Current pk-pk]]^2)/12), Table16[[#This Row],[Ripple Current pk-pk]]/SQRT(12))</f>
        <v>1.413209292925963</v>
      </c>
      <c r="AE64" s="345">
        <f>RCinEsr*Table16[[#This Row],[Irms Cin]]^2</f>
        <v>3.9943210112246006E-3</v>
      </c>
      <c r="AF64" s="683">
        <f>Table16[[#This Row],[Cin ESR Loss]]</f>
        <v>3.9943210112246006E-3</v>
      </c>
      <c r="AG64"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10.330970635849436</v>
      </c>
      <c r="AH64" s="345">
        <f>Rdson1*Table16[[#This Row],[Irms BuCtrl]]^2</f>
        <v>0.37355133997574158</v>
      </c>
      <c r="AI64" s="345">
        <f>CHOOSE(Table16[[#This Row],[Mode Digit]], (Table16[[#This Row],[Vin]]*Table16[[#This Row],[Iout]]/2)*(Fsw)*(Tr_buck+Tf_buck), 0, (Table16[[#This Row],[Vin]]*Table16[[#This Row],[Avg IL]]/2)*(Fsw/1)*(Tr_buck+Tf_buck))</f>
        <v>0.61706338294910756</v>
      </c>
      <c r="AJ64" s="253">
        <f>IF(Table16[[#This Row],[Vin]]&gt;Vout, IF(Table16[[#This Row],[Iout]]&gt;Table16[[#This Row],[Ripple Current pk-pk]]/2,0,ABS(Table16[[#This Row],[Iout]]-Table16[[#This Row],[Ripple Current pk-pk]]/2)*Vsd_Q1*Deadtime*Fsw),0)</f>
        <v>0</v>
      </c>
      <c r="AK64" s="345">
        <f>(Table16[[#This Row],[Dead Time Loss BuCtrl]]+Table16[[#This Row],[Transition Loss BuCtrl]]+Table16[[#This Row],[RDS(on) Loss BuCtrl]]*(1+RdsonTopTc*Ta-RdsonTopTc*25))/(1-Table16[[#This Row],[RDS(on) Loss BuCtrl]]*RdsonTopTc*ThetaJA_Q1)</f>
        <v>1.0971761437871357</v>
      </c>
      <c r="AL64" s="345">
        <f>CHOOSE(Table16[[#This Row],[Mode Digit]],SQRT((Fsw*(Table16[[#This Row],[t2_Ph_I]]+0))*((Table16[[#This Row],[I_0]]*Table16[[#This Row],[I_1]]+((Table16[[#This Row],[I_0]]-Table16[[#This Row],[I_1]])^2)/3))),0,SQRT((Fsw*(Table16[[#This Row],[t3_Ph_III]]+0))*((Table16[[#This Row],[I_0]]*Table16[[#This Row],[I_2]]+((Table16[[#This Row],[I_0]]-Table16[[#This Row],[I_2]])^2)/3))))</f>
        <v>5.155237930529446</v>
      </c>
      <c r="AM64" s="345">
        <f>Rdson2*Table16[[#This Row],[Irms BuSync]]^2</f>
        <v>9.3017673421293343E-2</v>
      </c>
      <c r="AN64"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64" s="345">
        <f>(Table16[[#This Row],[Deadtime Loss BuSync]]+Table16[[#This Row],[RDS(on) Loss BuSync]]*(1+RdsonBotTc*Ta-RdsonBotTc*25))/(1-Table16[[#This Row],[RDS(on) Loss BuSync]]*RdsonBotTc*ThetaJA_Q2)</f>
        <v>0.34004143791083047</v>
      </c>
      <c r="AP64" s="345">
        <f>CHOOSE(Table16[[#This Row],[Mode Digit]],0,SQRT((Fsw*(Table16[[#This Row],[t1_Ph_II]]+0))*((Table16[[#This Row],[I_0]]*Table16[[#This Row],[I_1]]+((Table16[[#This Row],[I_0]]-Table16[[#This Row],[I_1]])^2)/3))),SQRT((Fsw*(Table16[[#This Row],[t2_Ph_I]]+0))*((Table16[[#This Row],[I_1]]*Table16[[#This Row],[I_2]]+((Table16[[#This Row],[I_1]]-Table16[[#This Row],[I_2]])^2)/3))))</f>
        <v>6.1846550020685438</v>
      </c>
      <c r="AQ64" s="345">
        <f>Rdson4*Table16[[#This Row],[Irms BoCtlr]]^2</f>
        <v>0.1338748512311401</v>
      </c>
      <c r="AR64" s="345">
        <f>CHOOSE(Table16[[#This Row],[Mode Digit]], 0, (Vout*Table16[[#This Row],[Iin]]/2)*(Fsw)*(Tr_boost+Tf_boost), (Vout*Iout/2)*(Fsw/1)*(Tr_boost+Tf_boost))</f>
        <v>0.47564320886662292</v>
      </c>
      <c r="AS64" s="253">
        <f>IF(Table16[[#This Row],[Vin]]&gt;Vout, 0, IF(Table16[[#This Row],[Iin]]&gt;Table16[[#This Row],[Ripple Current pk-pk]]/2,0,ABS(Table16[[#This Row],[Iin]]-Table16[[#This Row],[Ripple Current pk-pk]]/2)*Vsd_Q4*Deadtime*Fsw))</f>
        <v>0</v>
      </c>
      <c r="AT64" s="345">
        <f>(Table16[[#This Row],[Dead Time Loss BoCtlr]]+Table16[[#This Row],[Transition Loss BoCtlr]]+Table16[[#This Row],[RDS(on) Loss BoCtlr]]*(1+RdsonTopTc*Ta-RdsonTopTc*25))/(1-Table16[[#This Row],[RDS(on) Loss BoCtlr]]*RdsonTopTc*ThetaJA_Q4)</f>
        <v>0.63149893484610076</v>
      </c>
      <c r="AU64"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9.7496397320383767</v>
      </c>
      <c r="AV64" s="345">
        <f>Rdson3*Table16[[#This Row],[Irms BoSync]]^2</f>
        <v>0.33269416216589476</v>
      </c>
      <c r="AW64"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0.28223822714681435</v>
      </c>
      <c r="AX64" s="345">
        <f>(Table16[[#This Row],[Deadtime Loss BoSync]]+Table16[[#This Row],[RDS(on) Loss BoSync]]*(1+RdsonBotTc*Ta-RdsonBotTc*25))/(1-Table16[[#This Row],[RDS(on) Loss BoSync]]*RdsonBotTc*ThetaJA_Q3)</f>
        <v>0.67316115367947427</v>
      </c>
      <c r="AY64" s="345">
        <f>CHOOSE(Table16[[#This Row],[Mode Digit]], Rdson3*Table16[[#This Row],[Irms Lf]]^2, Rdson1*Table16[[#This Row],[Irms Lf]]^2, 0)</f>
        <v>0</v>
      </c>
      <c r="AZ64" s="345">
        <f>CHOOSE(Table16[[#This Row],[Mode Digit]], 2*Deadtime*Fsw*IF(VfdSky_Q2&gt;0,VfdSky_Q2,0)*Table16[[#This Row],[Iout]], 2*Deadtime*Fsw*IF(VfdSky_Q3&gt;0,VfdSky_Q3,0)*Table16[[#This Row],[Iin]], 2*Deadtime*Fsw*IF(VfdSky_Q2&gt;0,VfdSky_Q2,0)*Table16[[#This Row],[Iout]]+2*Deadtime*Fsw*IF(VfdSky_Q3&gt;0,VfdSky_Q3,0)*Table16[[#This Row],[Iin]])</f>
        <v>0</v>
      </c>
      <c r="BA64" s="345">
        <f>CHOOSE(Table16[[#This Row],[Mode Digit]], IF(QrrSky_Q2&gt;0,QrrSky_Q2,Qrr_Q2)*Fsw*(Table16[[#This Row],[Vin]]-Table16[[#This Row],[Iout]]*Rdson1),0,  IF(QrrSky_Q2&gt;0,QrrSky_Q2,Qrr_Q2)*Fsw*(Table16[[#This Row],[Vin]]-Table16[[#This Row],[Iout]]*Rdson1)+IF(QrrSky_Q3&gt;0,QrrSky_Q3,Qrr_Q3)*Fsw*Vout)</f>
        <v>0.61132401999999997</v>
      </c>
      <c r="BB64" s="345">
        <f>CHOOSE(Table16[[#This Row],[Mode Digit]],0, IF(QrrSky_Q3&gt;0,QrrSky_Q3,Qrr_Q3)*Fsw*Vout,  IF(QrrSky_Q2&gt;0,QrrSky_Q2,Qrr_Q2)*Fsw*(Table16[[#This Row],[Vin]]-Table16[[#This Row],[Iout]]*Rdson1)+IF(QrrSky_Q3&gt;0,QrrSky_Q3,Qrr_Q3)*Fsw*Vout)</f>
        <v>0.61132401999999997</v>
      </c>
      <c r="BC64" s="345">
        <f>CHOOSE(Table16[[#This Row],[Mode Digit]], Rs*Table16[[#This Row],[Irms BuSync]]^2, Rs*Table16[[#This Row],[Irms BoCtlr]]^2, Rs*(Table16[[#This Row],[Irms BuSync]]^2+Table16[[#This Row],[Irms BoCtlr]]^2))</f>
        <v>8.4274366299475267E-2</v>
      </c>
      <c r="BD64" s="345">
        <f t="shared" si="1"/>
        <v>0.64</v>
      </c>
      <c r="BE64" s="345">
        <f>IF(Vout&gt;8, Iq*Vout, Iq*Table16[[#This Row],[Vin]])</f>
        <v>4.8000000000000001E-2</v>
      </c>
      <c r="BF64" s="345">
        <f>CHOOSE(Table16[[#This Row],[Mode Digit]], (Qg_Q1+Qg_Q2)*Fsw, (Qg_Q3+Qg_Q4)*Fsw, (Qg_Q1+Qg_Q2+Qg_Q3+Qg_Q4)*Fsw)*IF(Vout&gt;8, Vout, Table16[[#This Row],[Vin]])</f>
        <v>1.7066240000000001</v>
      </c>
      <c r="BG64" s="345">
        <f t="shared" si="2"/>
        <v>0.50594479787234037</v>
      </c>
      <c r="BH64" s="345">
        <f>Table16[[#This Row],[IQ Loss]]+Table16[[#This Row],[Switching Current Loss]]</f>
        <v>1.7546240000000002</v>
      </c>
      <c r="BI64"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7.9341752246097377</v>
      </c>
      <c r="BJ64" s="253">
        <f>Vout*Table16[[#This Row],[Iout]]</f>
        <v>128</v>
      </c>
      <c r="BK64" s="684">
        <f>Table16[[#This Row],[Pout]]/(Table16[[#This Row],[Pout]]+Table16[[#This Row],[Total Loss]])</f>
        <v>0.94163222595421825</v>
      </c>
      <c r="BL64"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120.51955336499655</v>
      </c>
      <c r="BM64" s="685">
        <f>IF(Table16[[#This Row],[Vin]]&gt;Vout, Table16[[#This Row],[Total Sync Bu MOSFET Loss]]*ThetaJA_Q2, ThetaJA_Q3*Table16[[#This Row],[Total Sync Bo MOSFET Loss]])</f>
        <v>43.755474989165826</v>
      </c>
      <c r="BN64" s="640"/>
      <c r="BO64" s="292">
        <f>Table16[[#This Row],[EFF, h]]*100</f>
        <v>94.163222595421828</v>
      </c>
      <c r="BP64" s="345">
        <f>Table16[[#This Row],[Total Inductor Loss]]</f>
        <v>1.2884738174849553</v>
      </c>
      <c r="BQ64" s="345">
        <f>Table16[[#This Row],[Total Control Bu MOSFET Loss]]+Table16[[#This Row],[Total Sync Bu MOSFET Loss]]+Table16[[#This Row],[Total Control Bo MOSFET Loss]]+Table16[[#This Row],[Total Sync Bo MOSFET Loss]]+Table16[[#This Row],[Reverse Recovery Loss MOSFET D BUCK]]+Table16[[#This Row],[Reverse Recovery Loss MOSFET D BOOST]]</f>
        <v>3.9645257102235414</v>
      </c>
      <c r="BR64" s="345">
        <f>Table16[[#This Row],[Total Control Bu MOSFET Loss]]+Table16[[#This Row],[Reverse Recovery Loss MOSFET D BUCK]]*0.66</f>
        <v>1.5006499969871356</v>
      </c>
      <c r="BS64" s="345">
        <f>Table16[[#This Row],[Total Sync Bu MOSFET Loss]]+Table16[[#This Row],[Reverse Recovery Loss MOSFET D BUCK]]*0.33</f>
        <v>0.5417783645108305</v>
      </c>
      <c r="BT64" s="345">
        <f xml:space="preserve"> Table16[[#This Row],[Total Control Bo MOSFET Loss]]+Table16[[#This Row],[Reverse Recovery Loss MOSFET D BOOST]]*0.66</f>
        <v>1.0349727880461008</v>
      </c>
      <c r="BU64" s="345">
        <f xml:space="preserve"> Table16[[#This Row],[Total Sync Bo MOSFET Loss]]+Table16[[#This Row],[Reverse Recovery Loss MOSFET D BOOST]]*0.33</f>
        <v>0.87489808027947424</v>
      </c>
      <c r="BV64" s="345">
        <f>Table16[[#This Row],[Isense Shunt Loss]]</f>
        <v>8.4274366299475267E-2</v>
      </c>
      <c r="CB64" s="686"/>
      <c r="CC64" s="686"/>
    </row>
    <row r="65" spans="1:81" x14ac:dyDescent="0.2">
      <c r="G65" s="253">
        <v>56</v>
      </c>
      <c r="H65" s="286">
        <f>VIN_min+(VIN_max-VIN_min)*(Table16[[#This Row],[Step]]/200)</f>
        <v>14.4</v>
      </c>
      <c r="I65" s="292" t="str">
        <f>IF(Mode = 2,IF(Table16[[#This Row],[Vin]]&gt;Vout, "BUCK","BOOST"),IF(Table16[[#This Row],[Vin]]&gt;VIN_BB_to_buck, "BUCK", IF(Table16[[#This Row],[Vin]]&lt;=VIN_boost_to_BB,"BOOST","BUCK-BST")))</f>
        <v>BUCK-BST</v>
      </c>
      <c r="J65" s="253">
        <f>IF(Table16[[#This Row],[Mode]]="BOOST",2, IF(Table16[[#This Row],[Mode]]="BUCK", 1,3))</f>
        <v>3</v>
      </c>
      <c r="K65" s="253">
        <f t="shared" si="0"/>
        <v>8</v>
      </c>
      <c r="L65" s="292">
        <f>Vout*Table16[[#This Row],[Iout]]/(Table16[[#This Row],[Vin]]*Efficiency)</f>
        <v>9.3567251461988299</v>
      </c>
      <c r="M65" s="682">
        <f>MIN(1/Fsw,CHOOSE(Table16[[#This Row],[Mode Digit]],(Vout+(Rdson2+Rs+Rdcr)*Table16[[#This Row],[Iout]])/(Table16[[#This Row],[Vin]]+(Rs+Rdson2-Rdson1)*Table16[[#This Row],[Iout]])/Fsw,(Vout+(Rdson3+Rdcr)*Table16[[#This Row],[Iin]]-Table16[[#This Row],[Vin]])/(Vout+(Rdson3-Rdson4-Rs)*Table16[[#This Row],[Iin]])/Fsw,t1_Ph_II))</f>
        <v>1.5084238313644118E-6</v>
      </c>
      <c r="N65" s="518">
        <f>CHOOSE(Table16[[#This Row],[Mode Digit]],1/Fsw-Table16[[#This Row],[t1_Ph_II]],1/Fsw-Table16[[#This Row],[t1_Ph_II]],(Vout/Fsw-Table16[[#This Row],[Vin]]*t1_Ph_II)/(Table16[[#This Row],[Vin]]+Vout))</f>
        <v>6.0788492939072698E-7</v>
      </c>
      <c r="O65" s="518">
        <f>1/Fsw-(Table16[[#This Row],[t1_Ph_II]]+Table16[[#This Row],[t2_Ph_I]])</f>
        <v>3.9625405331521315E-7</v>
      </c>
      <c r="P65"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11.273209306918739</v>
      </c>
      <c r="Q65" s="292">
        <f>CHOOSE(Table16[[#This Row],[Mode Digit]],Table16[[#This Row],[I_0]]+1/Lf*(Table16[[#This Row],[Vin]]-Vout)*Table16[[#This Row],[t1_Ph_II]],Table16[[#This Row],[I_0]]+1/Lf*Table16[[#This Row],[Vin]]*Table16[[#This Row],[t1_Ph_II]],Table16[[#This Row],[I_0]]+(Table16[[#This Row],[Vin]]-Vout)/L*Table16[[#This Row],[t1_Ph_II]])</f>
        <v>9.9323881234837064</v>
      </c>
      <c r="R65" s="292">
        <f>CHOOSE(Table16[[#This Row],[Mode Digit]],0,0,Table16[[#This Row],[I_1]]+Table16[[#This Row],[Vin]]/L*Table16[[#This Row],[t2_Ph_I]])</f>
        <v>14.795467558609523</v>
      </c>
      <c r="S65" s="292">
        <f>Fsw*(Table16[[#This Row],[I_0]]*Table16[[#This Row],[t1_Ph_II]]+Table16[[#This Row],[I_1]]*Table16[[#This Row],[t2_Ph_I]]+Table16[[#This Row],[I_2]]*Table16[[#This Row],[t3_Ph_III]])</f>
        <v>11.504305666136437</v>
      </c>
      <c r="T65" s="345">
        <f>MIN(1,CHOOSE(Table16[[#This Row],[Mode Digit]],(Vout+(Rdson2+Rs+Rdcr)*Table16[[#This Row],[Iout]])/(Table16[[#This Row],[Vin]]+(Rs+Rdson2-Rdson1)*Table16[[#This Row],[Iout]]),1,Fsw*Table16[[#This Row],[t2_Ph_I]]+Table16[[#This Row],[t1_Ph_II]]))</f>
        <v>0.24193971032134071</v>
      </c>
      <c r="U65" s="345">
        <f>MIN(1,CHOOSE(Table16[[#This Row],[Mode Digit]],0,(Vout+(Rdson3+Rdcr)*Table16[[#This Row],[Iin]]-Table16[[#This Row],[Vin]])/(Vout+(Rdson3-Rdson4-Rs)*Table16[[#This Row],[Iin]]),Fsw*Table16[[#This Row],[t1_Ph_II]]+Table16[[#This Row],[t3_Ph_III]]))</f>
        <v>0.60035308113708918</v>
      </c>
      <c r="V65" s="292">
        <f>MAX(Table16[[#This Row],[I_0]:[I_2]])-MIN(Table16[[#This Row],[I_0]:[I_1]])</f>
        <v>4.8630794351258171</v>
      </c>
      <c r="W65"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11.489089669914042</v>
      </c>
      <c r="X65" s="345">
        <f>(Table16[[#This Row],[Irms Lf]]^2*Rdcr*(1+Ltc*Ta-Ltc*25))/(1-Table16[[#This Row],[Irms Lf]]^2*Rdcr*Ltc*ThetaCa)</f>
        <v>0.43717014246354419</v>
      </c>
      <c r="Y65" s="345">
        <f>ABS(7.759*10^-3*Fsw^0.9458*(0.00787*Table16[[#This Row],[Ripple Current pk-pk]])^2.304)</f>
        <v>0.83395905082561284</v>
      </c>
      <c r="Z65" s="345">
        <f>Table16[[#This Row],[DCR    Loss]]+Table16[[#This Row],[Core Loss]]</f>
        <v>1.2711291932891571</v>
      </c>
      <c r="AA65" s="292">
        <f>IF(Table16[[#This Row],[Vin]]&gt;Vout, Table16[[#This Row],[Ripple Current pk-pk]]/SQRT(12), SQRT(Table16[[#This Row],[Duty Cycle BOOST Leg]]/(1-Table16[[#This Row],[Duty Cycle BOOST Leg]]))*SQRT(Table16[[#This Row],[Iout]]^2+(Table16[[#This Row],[Ripple Current pk-pk]]^2)/12))</f>
        <v>9.9549938643275073</v>
      </c>
      <c r="AB65" s="345">
        <f>RCoutEsr*Table16[[#This Row],[Irms Cout]]^2</f>
        <v>0.19820380567759666</v>
      </c>
      <c r="AC65" s="345">
        <f>Table16[[#This Row],[Cout ESR Loss]]</f>
        <v>0.19820380567759666</v>
      </c>
      <c r="AD65" s="345">
        <f>IF(Table16[[#This Row],[Vin]]&gt;Vout, SQRT(Table16[[#This Row],[Duty Cycle BUCK Leg]]*(1-Table16[[#This Row],[Duty Cycle BUCK Leg]]))*SQRT(Table16[[#This Row],[Iout]]^2+(Table16[[#This Row],[Ripple Current pk-pk]]^2)/12), Table16[[#This Row],[Ripple Current pk-pk]]/SQRT(12))</f>
        <v>1.4038501104802119</v>
      </c>
      <c r="AE65" s="345">
        <f>RCinEsr*Table16[[#This Row],[Irms Cin]]^2</f>
        <v>3.9415902653906062E-3</v>
      </c>
      <c r="AF65" s="683">
        <f>Table16[[#This Row],[Cin ESR Loss]]</f>
        <v>3.9415902653906062E-3</v>
      </c>
      <c r="AG65"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10.249014774544285</v>
      </c>
      <c r="AH65" s="345">
        <f>Rdson1*Table16[[#This Row],[Irms BuCtrl]]^2</f>
        <v>0.36764806347089468</v>
      </c>
      <c r="AI65" s="345">
        <f>CHOOSE(Table16[[#This Row],[Mode Digit]], (Table16[[#This Row],[Vin]]*Table16[[#This Row],[Iout]]/2)*(Fsw)*(Tr_buck+Tf_buck), 0, (Table16[[#This Row],[Vin]]*Table16[[#This Row],[Avg IL]]/2)*(Fsw/1)*(Tr_buck+Tf_buck))</f>
        <v>0.619991564752993</v>
      </c>
      <c r="AJ65" s="253">
        <f>IF(Table16[[#This Row],[Vin]]&gt;Vout, IF(Table16[[#This Row],[Iout]]&gt;Table16[[#This Row],[Ripple Current pk-pk]]/2,0,ABS(Table16[[#This Row],[Iout]]-Table16[[#This Row],[Ripple Current pk-pk]]/2)*Vsd_Q1*Deadtime*Fsw),0)</f>
        <v>0</v>
      </c>
      <c r="AK65" s="345">
        <f>(Table16[[#This Row],[Dead Time Loss BuCtrl]]+Table16[[#This Row],[Transition Loss BuCtrl]]+Table16[[#This Row],[RDS(on) Loss BuCtrl]]*(1+RdsonTopTc*Ta-RdsonTopTc*25))/(1-Table16[[#This Row],[RDS(on) Loss BuCtrl]]*RdsonTopTc*ThetaJA_Q1)</f>
        <v>1.0920246197714847</v>
      </c>
      <c r="AL65" s="345">
        <f>CHOOSE(Table16[[#This Row],[Mode Digit]],SQRT((Fsw*(Table16[[#This Row],[t2_Ph_I]]+0))*((Table16[[#This Row],[I_0]]*Table16[[#This Row],[I_1]]+((Table16[[#This Row],[I_0]]-Table16[[#This Row],[I_1]])^2)/3))),0,SQRT((Fsw*(Table16[[#This Row],[t3_Ph_III]]+0))*((Table16[[#This Row],[I_0]]*Table16[[#This Row],[I_2]]+((Table16[[#This Row],[I_0]]-Table16[[#This Row],[I_2]])^2)/3))))</f>
        <v>5.1920013091772725</v>
      </c>
      <c r="AM65" s="345">
        <f>Rdson2*Table16[[#This Row],[Irms BuSync]]^2</f>
        <v>9.4349071580744792E-2</v>
      </c>
      <c r="AN65"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65" s="345">
        <f>(Table16[[#This Row],[Deadtime Loss BuSync]]+Table16[[#This Row],[RDS(on) Loss BuSync]]*(1+RdsonBotTc*Ta-RdsonBotTc*25))/(1-Table16[[#This Row],[RDS(on) Loss BuSync]]*RdsonBotTc*ThetaJA_Q2)</f>
        <v>0.34152698767452838</v>
      </c>
      <c r="AP65" s="345">
        <f>CHOOSE(Table16[[#This Row],[Mode Digit]],0,SQRT((Fsw*(Table16[[#This Row],[t1_Ph_II]]+0))*((Table16[[#This Row],[I_0]]*Table16[[#This Row],[I_1]]+((Table16[[#This Row],[I_0]]-Table16[[#This Row],[I_1]])^2)/3))),SQRT((Fsw*(Table16[[#This Row],[t2_Ph_I]]+0))*((Table16[[#This Row],[I_1]]*Table16[[#This Row],[I_2]]+((Table16[[#This Row],[I_1]]-Table16[[#This Row],[I_2]])^2)/3))))</f>
        <v>6.1205480129953402</v>
      </c>
      <c r="AQ65" s="345">
        <f>Rdson4*Table16[[#This Row],[Irms BoCtlr]]^2</f>
        <v>0.13111387792783424</v>
      </c>
      <c r="AR65" s="345">
        <f>CHOOSE(Table16[[#This Row],[Mode Digit]], 0, (Vout*Table16[[#This Row],[Iin]]/2)*(Fsw)*(Tr_boost+Tf_boost), (Vout*Iout/2)*(Fsw/1)*(Tr_boost+Tf_boost))</f>
        <v>0.47564320886662292</v>
      </c>
      <c r="AS65" s="253">
        <f>IF(Table16[[#This Row],[Vin]]&gt;Vout, 0, IF(Table16[[#This Row],[Iin]]&gt;Table16[[#This Row],[Ripple Current pk-pk]]/2,0,ABS(Table16[[#This Row],[Iin]]-Table16[[#This Row],[Ripple Current pk-pk]]/2)*Vsd_Q4*Deadtime*Fsw))</f>
        <v>0</v>
      </c>
      <c r="AT65" s="345">
        <f>(Table16[[#This Row],[Dead Time Loss BoCtlr]]+Table16[[#This Row],[Transition Loss BoCtlr]]+Table16[[#This Row],[RDS(on) Loss BoCtlr]]*(1+RdsonTopTc*Ta-RdsonTopTc*25))/(1-Table16[[#This Row],[RDS(on) Loss BoCtlr]]*RdsonTopTc*ThetaJA_Q4)</f>
        <v>0.62817119681486833</v>
      </c>
      <c r="AU65"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9.7230691380831153</v>
      </c>
      <c r="AV65" s="345">
        <f>Rdson3*Table16[[#This Row],[Irms BoSync]]^2</f>
        <v>0.33088325712380517</v>
      </c>
      <c r="AW65"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0.27929824561403505</v>
      </c>
      <c r="AX65" s="345">
        <f>(Table16[[#This Row],[Deadtime Loss BoSync]]+Table16[[#This Row],[RDS(on) Loss BoSync]]*(1+RdsonBotTc*Ta-RdsonBotTc*25))/(1-Table16[[#This Row],[RDS(on) Loss BoSync]]*RdsonBotTc*ThetaJA_Q3)</f>
        <v>0.66761629700165936</v>
      </c>
      <c r="AY65" s="345">
        <f>CHOOSE(Table16[[#This Row],[Mode Digit]], Rdson3*Table16[[#This Row],[Irms Lf]]^2, Rdson1*Table16[[#This Row],[Irms Lf]]^2, 0)</f>
        <v>0</v>
      </c>
      <c r="AZ65" s="345">
        <f>CHOOSE(Table16[[#This Row],[Mode Digit]], 2*Deadtime*Fsw*IF(VfdSky_Q2&gt;0,VfdSky_Q2,0)*Table16[[#This Row],[Iout]], 2*Deadtime*Fsw*IF(VfdSky_Q3&gt;0,VfdSky_Q3,0)*Table16[[#This Row],[Iin]], 2*Deadtime*Fsw*IF(VfdSky_Q2&gt;0,VfdSky_Q2,0)*Table16[[#This Row],[Iout]]+2*Deadtime*Fsw*IF(VfdSky_Q3&gt;0,VfdSky_Q3,0)*Table16[[#This Row],[Iin]])</f>
        <v>0</v>
      </c>
      <c r="BA65" s="345">
        <f>CHOOSE(Table16[[#This Row],[Mode Digit]], IF(QrrSky_Q2&gt;0,QrrSky_Q2,Qrr_Q2)*Fsw*(Table16[[#This Row],[Vin]]-Table16[[#This Row],[Iout]]*Rdson1),0,  IF(QrrSky_Q2&gt;0,QrrSky_Q2,Qrr_Q2)*Fsw*(Table16[[#This Row],[Vin]]-Table16[[#This Row],[Iout]]*Rdson1)+IF(QrrSky_Q3&gt;0,QrrSky_Q3,Qrr_Q3)*Fsw*Vout)</f>
        <v>0.61401051999999989</v>
      </c>
      <c r="BB65" s="345">
        <f>CHOOSE(Table16[[#This Row],[Mode Digit]],0, IF(QrrSky_Q3&gt;0,QrrSky_Q3,Qrr_Q3)*Fsw*Vout,  IF(QrrSky_Q2&gt;0,QrrSky_Q2,Qrr_Q2)*Fsw*(Table16[[#This Row],[Vin]]-Table16[[#This Row],[Iout]]*Rdson1)+IF(QrrSky_Q3&gt;0,QrrSky_Q3,Qrr_Q3)*Fsw*Vout)</f>
        <v>0.61401051999999989</v>
      </c>
      <c r="BC65" s="345">
        <f>CHOOSE(Table16[[#This Row],[Mode Digit]], Rs*Table16[[#This Row],[Irms BuSync]]^2, Rs*Table16[[#This Row],[Irms BoCtlr]]^2, Rs*(Table16[[#This Row],[Irms BuSync]]^2+Table16[[#This Row],[Irms BoCtlr]]^2))</f>
        <v>8.3743381246043636E-2</v>
      </c>
      <c r="BD65" s="345">
        <f t="shared" si="1"/>
        <v>0.64</v>
      </c>
      <c r="BE65" s="345">
        <f>IF(Vout&gt;8, Iq*Vout, Iq*Table16[[#This Row],[Vin]])</f>
        <v>4.8000000000000001E-2</v>
      </c>
      <c r="BF65" s="345">
        <f>CHOOSE(Table16[[#This Row],[Mode Digit]], (Qg_Q1+Qg_Q2)*Fsw, (Qg_Q3+Qg_Q4)*Fsw, (Qg_Q1+Qg_Q2+Qg_Q3+Qg_Q4)*Fsw)*IF(Vout&gt;8, Vout, Table16[[#This Row],[Vin]])</f>
        <v>1.7066240000000001</v>
      </c>
      <c r="BG65" s="345">
        <f t="shared" si="2"/>
        <v>0.50594479787234037</v>
      </c>
      <c r="BH65" s="345">
        <f>Table16[[#This Row],[IQ Loss]]+Table16[[#This Row],[Switching Current Loss]]</f>
        <v>1.7546240000000002</v>
      </c>
      <c r="BI65"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7.9090021117407279</v>
      </c>
      <c r="BJ65" s="253">
        <f>Vout*Table16[[#This Row],[Iout]]</f>
        <v>128</v>
      </c>
      <c r="BK65" s="684">
        <f>Table16[[#This Row],[Pout]]/(Table16[[#This Row],[Pout]]+Table16[[#This Row],[Total Loss]])</f>
        <v>0.94180663540419374</v>
      </c>
      <c r="BL65"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120.65249539296643</v>
      </c>
      <c r="BM65" s="685">
        <f>IF(Table16[[#This Row],[Vin]]&gt;Vout, Table16[[#This Row],[Total Sync Bu MOSFET Loss]]*ThetaJA_Q2, ThetaJA_Q3*Table16[[#This Row],[Total Sync Bo MOSFET Loss]])</f>
        <v>43.395059305107857</v>
      </c>
      <c r="BN65" s="640"/>
      <c r="BO65" s="292">
        <f>Table16[[#This Row],[EFF, h]]*100</f>
        <v>94.180663540419374</v>
      </c>
      <c r="BP65" s="345">
        <f>Table16[[#This Row],[Total Inductor Loss]]</f>
        <v>1.2711291932891571</v>
      </c>
      <c r="BQ65" s="345">
        <f>Table16[[#This Row],[Total Control Bu MOSFET Loss]]+Table16[[#This Row],[Total Sync Bu MOSFET Loss]]+Table16[[#This Row],[Total Control Bo MOSFET Loss]]+Table16[[#This Row],[Total Sync Bo MOSFET Loss]]+Table16[[#This Row],[Reverse Recovery Loss MOSFET D BUCK]]+Table16[[#This Row],[Reverse Recovery Loss MOSFET D BOOST]]</f>
        <v>3.9573601412625408</v>
      </c>
      <c r="BR65" s="345">
        <f>Table16[[#This Row],[Total Control Bu MOSFET Loss]]+Table16[[#This Row],[Reverse Recovery Loss MOSFET D BUCK]]*0.66</f>
        <v>1.4972715629714846</v>
      </c>
      <c r="BS65" s="345">
        <f>Table16[[#This Row],[Total Sync Bu MOSFET Loss]]+Table16[[#This Row],[Reverse Recovery Loss MOSFET D BUCK]]*0.33</f>
        <v>0.54415045927452832</v>
      </c>
      <c r="BT65" s="345">
        <f xml:space="preserve"> Table16[[#This Row],[Total Control Bo MOSFET Loss]]+Table16[[#This Row],[Reverse Recovery Loss MOSFET D BOOST]]*0.66</f>
        <v>1.0334181400148683</v>
      </c>
      <c r="BU65" s="345">
        <f xml:space="preserve"> Table16[[#This Row],[Total Sync Bo MOSFET Loss]]+Table16[[#This Row],[Reverse Recovery Loss MOSFET D BOOST]]*0.33</f>
        <v>0.8702397686016593</v>
      </c>
      <c r="BV65" s="345">
        <f>Table16[[#This Row],[Isense Shunt Loss]]</f>
        <v>8.3743381246043636E-2</v>
      </c>
      <c r="CB65" s="686"/>
      <c r="CC65" s="686"/>
    </row>
    <row r="66" spans="1:81" ht="13.6" x14ac:dyDescent="0.25">
      <c r="A66" s="644" t="s">
        <v>81</v>
      </c>
      <c r="B66" s="710"/>
      <c r="C66" s="710"/>
      <c r="G66" s="253">
        <v>57</v>
      </c>
      <c r="H66" s="286">
        <f>VIN_min+(VIN_max-VIN_min)*(Table16[[#This Row],[Step]]/200)</f>
        <v>14.549999999999999</v>
      </c>
      <c r="I66" s="292" t="str">
        <f>IF(Mode = 2,IF(Table16[[#This Row],[Vin]]&gt;Vout, "BUCK","BOOST"),IF(Table16[[#This Row],[Vin]]&gt;VIN_BB_to_buck, "BUCK", IF(Table16[[#This Row],[Vin]]&lt;=VIN_boost_to_BB,"BOOST","BUCK-BST")))</f>
        <v>BUCK-BST</v>
      </c>
      <c r="J66" s="253">
        <f>IF(Table16[[#This Row],[Mode]]="BOOST",2, IF(Table16[[#This Row],[Mode]]="BUCK", 1,3))</f>
        <v>3</v>
      </c>
      <c r="K66" s="253">
        <f t="shared" si="0"/>
        <v>8</v>
      </c>
      <c r="L66" s="292">
        <f>Vout*Table16[[#This Row],[Iout]]/(Table16[[#This Row],[Vin]]*Efficiency)</f>
        <v>9.2602640622174004</v>
      </c>
      <c r="M66" s="682">
        <f>MIN(1/Fsw,CHOOSE(Table16[[#This Row],[Mode Digit]],(Vout+(Rdson2+Rs+Rdcr)*Table16[[#This Row],[Iout]])/(Table16[[#This Row],[Vin]]+(Rs+Rdson2-Rdson1)*Table16[[#This Row],[Iout]])/Fsw,(Vout+(Rdson3+Rdcr)*Table16[[#This Row],[Iin]]-Table16[[#This Row],[Vin]])/(Vout+(Rdson3-Rdson4-Rs)*Table16[[#This Row],[Iin]])/Fsw,t1_Ph_II))</f>
        <v>1.5084238313644118E-6</v>
      </c>
      <c r="N66" s="518">
        <f>CHOOSE(Table16[[#This Row],[Mode Digit]],1/Fsw-Table16[[#This Row],[t1_Ph_II]],1/Fsw-Table16[[#This Row],[t1_Ph_II]],(Vout/Fsw-Table16[[#This Row],[Vin]]*t1_Ph_II)/(Table16[[#This Row],[Vin]]+Vout))</f>
        <v>5.9749388801222402E-7</v>
      </c>
      <c r="O66" s="518">
        <f>1/Fsw-(Table16[[#This Row],[t1_Ph_II]]+Table16[[#This Row],[t2_Ph_I]])</f>
        <v>4.0664509469371612E-7</v>
      </c>
      <c r="P66"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11.143174230297459</v>
      </c>
      <c r="Q66" s="292">
        <f>CHOOSE(Table16[[#This Row],[Mode Digit]],Table16[[#This Row],[I_0]]+1/Lf*(Table16[[#This Row],[Vin]]-Vout)*Table16[[#This Row],[t1_Ph_II]],Table16[[#This Row],[I_0]]+1/Lf*Table16[[#This Row],[Vin]]*Table16[[#This Row],[t1_Ph_II]],Table16[[#This Row],[I_0]]+(Table16[[#This Row],[Vin]]-Vout)/L*Table16[[#This Row],[t1_Ph_II]])</f>
        <v>9.9280550328094606</v>
      </c>
      <c r="R66" s="292">
        <f>CHOOSE(Table16[[#This Row],[Mode Digit]],0,0,Table16[[#This Row],[I_1]]+Table16[[#This Row],[Vin]]/L*Table16[[#This Row],[t2_Ph_I]])</f>
        <v>14.757797294241604</v>
      </c>
      <c r="S66" s="292">
        <f>Fsw*(Table16[[#This Row],[I_0]]*Table16[[#This Row],[t1_Ph_II]]+Table16[[#This Row],[I_1]]*Table16[[#This Row],[t2_Ph_I]]+Table16[[#This Row],[I_2]]*Table16[[#This Row],[t3_Ph_III]])</f>
        <v>11.439223523174336</v>
      </c>
      <c r="T66" s="345">
        <f>MIN(1,CHOOSE(Table16[[#This Row],[Mode Digit]],(Vout+(Rdson2+Rs+Rdcr)*Table16[[#This Row],[Iout]])/(Table16[[#This Row],[Vin]]+(Rs+Rdson2-Rdson1)*Table16[[#This Row],[Iout]]),1,Fsw*Table16[[#This Row],[t2_Ph_I]]+Table16[[#This Row],[t1_Ph_II]]))</f>
        <v>0.23780407585269653</v>
      </c>
      <c r="U66" s="345">
        <f>MIN(1,CHOOSE(Table16[[#This Row],[Mode Digit]],0,(Vout+(Rdson3+Rdcr)*Table16[[#This Row],[Iin]]-Table16[[#This Row],[Vin]])/(Vout+(Rdson3-Rdson4-Rs)*Table16[[#This Row],[Iin]]),Fsw*Table16[[#This Row],[t1_Ph_II]]+Table16[[#This Row],[t3_Ph_III]]))</f>
        <v>0.60035309152813054</v>
      </c>
      <c r="V66" s="292">
        <f>MAX(Table16[[#This Row],[I_0]:[I_2]])-MIN(Table16[[#This Row],[I_0]:[I_1]])</f>
        <v>4.829742261432143</v>
      </c>
      <c r="W66"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11.433437953423454</v>
      </c>
      <c r="X66" s="345">
        <f>(Table16[[#This Row],[Irms Lf]]^2*Rdcr*(1+Ltc*Ta-Ltc*25))/(1-Table16[[#This Row],[Irms Lf]]^2*Rdcr*Ltc*ThetaCa)</f>
        <v>0.43279892073896697</v>
      </c>
      <c r="Y66" s="345">
        <f>ABS(7.759*10^-3*Fsw^0.9458*(0.00787*Table16[[#This Row],[Ripple Current pk-pk]])^2.304)</f>
        <v>0.82084609753403548</v>
      </c>
      <c r="Z66" s="345">
        <f>Table16[[#This Row],[DCR    Loss]]+Table16[[#This Row],[Core Loss]]</f>
        <v>1.2536450182730023</v>
      </c>
      <c r="AA66" s="292">
        <f>IF(Table16[[#This Row],[Vin]]&gt;Vout, Table16[[#This Row],[Ripple Current pk-pk]]/SQRT(12), SQRT(Table16[[#This Row],[Duty Cycle BOOST Leg]]/(1-Table16[[#This Row],[Duty Cycle BOOST Leg]]))*SQRT(Table16[[#This Row],[Iout]]^2+(Table16[[#This Row],[Ripple Current pk-pk]]^2)/12))</f>
        <v>9.9529621843841944</v>
      </c>
      <c r="AB66" s="345">
        <f>RCoutEsr*Table16[[#This Row],[Irms Cout]]^2</f>
        <v>0.19812291248756358</v>
      </c>
      <c r="AC66" s="345">
        <f>Table16[[#This Row],[Cout ESR Loss]]</f>
        <v>0.19812291248756358</v>
      </c>
      <c r="AD66" s="345">
        <f>IF(Table16[[#This Row],[Vin]]&gt;Vout, SQRT(Table16[[#This Row],[Duty Cycle BUCK Leg]]*(1-Table16[[#This Row],[Duty Cycle BUCK Leg]]))*SQRT(Table16[[#This Row],[Iout]]^2+(Table16[[#This Row],[Ripple Current pk-pk]]^2)/12), Table16[[#This Row],[Ripple Current pk-pk]]/SQRT(12))</f>
        <v>1.3942264973771799</v>
      </c>
      <c r="AE66" s="345">
        <f>RCinEsr*Table16[[#This Row],[Irms Cin]]^2</f>
        <v>3.8877350519772786E-3</v>
      </c>
      <c r="AF66" s="683">
        <f>Table16[[#This Row],[Cin ESR Loss]]</f>
        <v>3.8877350519772786E-3</v>
      </c>
      <c r="AG66"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10.168750325296369</v>
      </c>
      <c r="AH66" s="345">
        <f>Rdson1*Table16[[#This Row],[Irms BuCtrl]]^2</f>
        <v>0.3619121911237525</v>
      </c>
      <c r="AI66" s="345">
        <f>CHOOSE(Table16[[#This Row],[Mode Digit]], (Table16[[#This Row],[Vin]]*Table16[[#This Row],[Iout]]/2)*(Fsw)*(Tr_buck+Tf_buck), 0, (Table16[[#This Row],[Vin]]*Table16[[#This Row],[Avg IL]]/2)*(Fsw/1)*(Tr_buck+Tf_buck))</f>
        <v>0.62290585917245223</v>
      </c>
      <c r="AJ66" s="253">
        <f>IF(Table16[[#This Row],[Vin]]&gt;Vout, IF(Table16[[#This Row],[Iout]]&gt;Table16[[#This Row],[Ripple Current pk-pk]]/2,0,ABS(Table16[[#This Row],[Iout]]-Table16[[#This Row],[Ripple Current pk-pk]]/2)*Vsd_Q1*Deadtime*Fsw),0)</f>
        <v>0</v>
      </c>
      <c r="AK66" s="345">
        <f>(Table16[[#This Row],[Dead Time Loss BuCtrl]]+Table16[[#This Row],[Transition Loss BuCtrl]]+Table16[[#This Row],[RDS(on) Loss BuCtrl]]*(1+RdsonTopTc*Ta-RdsonTopTc*25))/(1-Table16[[#This Row],[RDS(on) Loss BuCtrl]]*RdsonTopTc*ThetaJA_Q1)</f>
        <v>1.0871122347212063</v>
      </c>
      <c r="AL66" s="345">
        <f>CHOOSE(Table16[[#This Row],[Mode Digit]],SQRT((Fsw*(Table16[[#This Row],[t2_Ph_I]]+0))*((Table16[[#This Row],[I_0]]*Table16[[#This Row],[I_1]]+((Table16[[#This Row],[I_0]]-Table16[[#This Row],[I_1]])^2)/3))),0,SQRT((Fsw*(Table16[[#This Row],[t3_Ph_III]]+0))*((Table16[[#This Row],[I_0]]*Table16[[#This Row],[I_2]]+((Table16[[#This Row],[I_0]]-Table16[[#This Row],[I_2]])^2)/3))))</f>
        <v>5.2268556758886016</v>
      </c>
      <c r="AM66" s="345">
        <f>Rdson2*Table16[[#This Row],[Irms BuSync]]^2</f>
        <v>9.5620070897991113E-2</v>
      </c>
      <c r="AN66"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66" s="345">
        <f>(Table16[[#This Row],[Deadtime Loss BuSync]]+Table16[[#This Row],[RDS(on) Loss BuSync]]*(1+RdsonBotTc*Ta-RdsonBotTc*25))/(1-Table16[[#This Row],[RDS(on) Loss BuSync]]*RdsonBotTc*ThetaJA_Q2)</f>
        <v>0.34294612953528347</v>
      </c>
      <c r="AP66" s="345">
        <f>CHOOSE(Table16[[#This Row],[Mode Digit]],0,SQRT((Fsw*(Table16[[#This Row],[t1_Ph_II]]+0))*((Table16[[#This Row],[I_0]]*Table16[[#This Row],[I_1]]+((Table16[[#This Row],[I_0]]-Table16[[#This Row],[I_1]])^2)/3))),SQRT((Fsw*(Table16[[#This Row],[t2_Ph_I]]+0))*((Table16[[#This Row],[I_1]]*Table16[[#This Row],[I_2]]+((Table16[[#This Row],[I_1]]-Table16[[#This Row],[I_2]])^2)/3))))</f>
        <v>6.0573064079336971</v>
      </c>
      <c r="AQ66" s="345">
        <f>Rdson4*Table16[[#This Row],[Irms BoCtlr]]^2</f>
        <v>0.12841836321858122</v>
      </c>
      <c r="AR66" s="345">
        <f>CHOOSE(Table16[[#This Row],[Mode Digit]], 0, (Vout*Table16[[#This Row],[Iin]]/2)*(Fsw)*(Tr_boost+Tf_boost), (Vout*Iout/2)*(Fsw/1)*(Tr_boost+Tf_boost))</f>
        <v>0.47564320886662292</v>
      </c>
      <c r="AS66" s="253">
        <f>IF(Table16[[#This Row],[Vin]]&gt;Vout, 0, IF(Table16[[#This Row],[Iin]]&gt;Table16[[#This Row],[Ripple Current pk-pk]]/2,0,ABS(Table16[[#This Row],[Iin]]-Table16[[#This Row],[Ripple Current pk-pk]]/2)*Vsd_Q4*Deadtime*Fsw))</f>
        <v>0</v>
      </c>
      <c r="AT66" s="345">
        <f>(Table16[[#This Row],[Dead Time Loss BoCtlr]]+Table16[[#This Row],[Transition Loss BoCtlr]]+Table16[[#This Row],[RDS(on) Loss BoCtlr]]*(1+RdsonTopTc*Ta-RdsonTopTc*25))/(1-Table16[[#This Row],[RDS(on) Loss BoCtlr]]*RdsonTopTc*ThetaJA_Q4)</f>
        <v>0.62492712282879259</v>
      </c>
      <c r="AU66"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9.6970378216849937</v>
      </c>
      <c r="AV66" s="345">
        <f>Rdson3*Table16[[#This Row],[Irms BoSync]]^2</f>
        <v>0.32911389880316239</v>
      </c>
      <c r="AW66"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0.27641888225718936</v>
      </c>
      <c r="AX66" s="345">
        <f>(Table16[[#This Row],[Deadtime Loss BoSync]]+Table16[[#This Row],[RDS(on) Loss BoSync]]*(1+RdsonBotTc*Ta-RdsonBotTc*25))/(1-Table16[[#This Row],[RDS(on) Loss BoSync]]*RdsonBotTc*ThetaJA_Q3)</f>
        <v>0.66219669657203495</v>
      </c>
      <c r="AY66" s="345">
        <f>CHOOSE(Table16[[#This Row],[Mode Digit]], Rdson3*Table16[[#This Row],[Irms Lf]]^2, Rdson1*Table16[[#This Row],[Irms Lf]]^2, 0)</f>
        <v>0</v>
      </c>
      <c r="AZ66" s="345">
        <f>CHOOSE(Table16[[#This Row],[Mode Digit]], 2*Deadtime*Fsw*IF(VfdSky_Q2&gt;0,VfdSky_Q2,0)*Table16[[#This Row],[Iout]], 2*Deadtime*Fsw*IF(VfdSky_Q3&gt;0,VfdSky_Q3,0)*Table16[[#This Row],[Iin]], 2*Deadtime*Fsw*IF(VfdSky_Q2&gt;0,VfdSky_Q2,0)*Table16[[#This Row],[Iout]]+2*Deadtime*Fsw*IF(VfdSky_Q3&gt;0,VfdSky_Q3,0)*Table16[[#This Row],[Iin]])</f>
        <v>0</v>
      </c>
      <c r="BA66" s="345">
        <f>CHOOSE(Table16[[#This Row],[Mode Digit]], IF(QrrSky_Q2&gt;0,QrrSky_Q2,Qrr_Q2)*Fsw*(Table16[[#This Row],[Vin]]-Table16[[#This Row],[Iout]]*Rdson1),0,  IF(QrrSky_Q2&gt;0,QrrSky_Q2,Qrr_Q2)*Fsw*(Table16[[#This Row],[Vin]]-Table16[[#This Row],[Iout]]*Rdson1)+IF(QrrSky_Q3&gt;0,QrrSky_Q3,Qrr_Q3)*Fsw*Vout)</f>
        <v>0.61669701999999993</v>
      </c>
      <c r="BB66" s="345">
        <f>CHOOSE(Table16[[#This Row],[Mode Digit]],0, IF(QrrSky_Q3&gt;0,QrrSky_Q3,Qrr_Q3)*Fsw*Vout,  IF(QrrSky_Q2&gt;0,QrrSky_Q2,Qrr_Q2)*Fsw*(Table16[[#This Row],[Vin]]-Table16[[#This Row],[Iout]]*Rdson1)+IF(QrrSky_Q3&gt;0,QrrSky_Q3,Qrr_Q3)*Fsw*Vout)</f>
        <v>0.61669701999999993</v>
      </c>
      <c r="BC66" s="345">
        <f>CHOOSE(Table16[[#This Row],[Mode Digit]], Rs*Table16[[#This Row],[Irms BuSync]]^2, Rs*Table16[[#This Row],[Irms BoCtlr]]^2, Rs*(Table16[[#This Row],[Irms BuSync]]^2+Table16[[#This Row],[Irms BoCtlr]]^2))</f>
        <v>8.321427552901256E-2</v>
      </c>
      <c r="BD66" s="345">
        <f t="shared" si="1"/>
        <v>0.64</v>
      </c>
      <c r="BE66" s="345">
        <f>IF(Vout&gt;8, Iq*Vout, Iq*Table16[[#This Row],[Vin]])</f>
        <v>4.8000000000000001E-2</v>
      </c>
      <c r="BF66" s="345">
        <f>CHOOSE(Table16[[#This Row],[Mode Digit]], (Qg_Q1+Qg_Q2)*Fsw, (Qg_Q3+Qg_Q4)*Fsw, (Qg_Q1+Qg_Q2+Qg_Q3+Qg_Q4)*Fsw)*IF(Vout&gt;8, Vout, Table16[[#This Row],[Vin]])</f>
        <v>1.7066240000000001</v>
      </c>
      <c r="BG66" s="345">
        <f t="shared" si="2"/>
        <v>0.50594479787234037</v>
      </c>
      <c r="BH66" s="345">
        <f>Table16[[#This Row],[IQ Loss]]+Table16[[#This Row],[Switching Current Loss]]</f>
        <v>1.7546240000000002</v>
      </c>
      <c r="BI66"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7.8840701649988736</v>
      </c>
      <c r="BJ66" s="253">
        <f>Vout*Table16[[#This Row],[Iout]]</f>
        <v>128</v>
      </c>
      <c r="BK66" s="684">
        <f>Table16[[#This Row],[Pout]]/(Table16[[#This Row],[Pout]]+Table16[[#This Row],[Total Loss]])</f>
        <v>0.94197943765280556</v>
      </c>
      <c r="BL66"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120.79087558387151</v>
      </c>
      <c r="BM66" s="685">
        <f>IF(Table16[[#This Row],[Vin]]&gt;Vout, Table16[[#This Row],[Total Sync Bu MOSFET Loss]]*ThetaJA_Q2, ThetaJA_Q3*Table16[[#This Row],[Total Sync Bo MOSFET Loss]])</f>
        <v>43.042785277182269</v>
      </c>
      <c r="BN66" s="640"/>
      <c r="BO66" s="292">
        <f>Table16[[#This Row],[EFF, h]]*100</f>
        <v>94.197943765280556</v>
      </c>
      <c r="BP66" s="345">
        <f>Table16[[#This Row],[Total Inductor Loss]]</f>
        <v>1.2536450182730023</v>
      </c>
      <c r="BQ66" s="345">
        <f>Table16[[#This Row],[Total Control Bu MOSFET Loss]]+Table16[[#This Row],[Total Sync Bu MOSFET Loss]]+Table16[[#This Row],[Total Control Bo MOSFET Loss]]+Table16[[#This Row],[Total Sync Bo MOSFET Loss]]+Table16[[#This Row],[Reverse Recovery Loss MOSFET D BUCK]]+Table16[[#This Row],[Reverse Recovery Loss MOSFET D BOOST]]</f>
        <v>3.9505762236573174</v>
      </c>
      <c r="BR66" s="345">
        <f>Table16[[#This Row],[Total Control Bu MOSFET Loss]]+Table16[[#This Row],[Reverse Recovery Loss MOSFET D BUCK]]*0.66</f>
        <v>1.4941322679212063</v>
      </c>
      <c r="BS66" s="345">
        <f>Table16[[#This Row],[Total Sync Bu MOSFET Loss]]+Table16[[#This Row],[Reverse Recovery Loss MOSFET D BUCK]]*0.33</f>
        <v>0.54645614613528348</v>
      </c>
      <c r="BT66" s="345">
        <f xml:space="preserve"> Table16[[#This Row],[Total Control Bo MOSFET Loss]]+Table16[[#This Row],[Reverse Recovery Loss MOSFET D BOOST]]*0.66</f>
        <v>1.0319471560287925</v>
      </c>
      <c r="BU66" s="345">
        <f xml:space="preserve"> Table16[[#This Row],[Total Sync Bo MOSFET Loss]]+Table16[[#This Row],[Reverse Recovery Loss MOSFET D BOOST]]*0.33</f>
        <v>0.86570671317203496</v>
      </c>
      <c r="BV66" s="345">
        <f>Table16[[#This Row],[Isense Shunt Loss]]</f>
        <v>8.321427552901256E-2</v>
      </c>
      <c r="CB66" s="686"/>
      <c r="CC66" s="686"/>
    </row>
    <row r="67" spans="1:81" ht="13.6" x14ac:dyDescent="0.25">
      <c r="A67" s="678" t="s">
        <v>59</v>
      </c>
      <c r="B67" s="679" t="s">
        <v>8</v>
      </c>
      <c r="C67" s="679" t="s">
        <v>80</v>
      </c>
      <c r="G67" s="253">
        <v>58</v>
      </c>
      <c r="H67" s="286">
        <f>VIN_min+(VIN_max-VIN_min)*(Table16[[#This Row],[Step]]/200)</f>
        <v>14.7</v>
      </c>
      <c r="I67" s="292" t="str">
        <f>IF(Mode = 2,IF(Table16[[#This Row],[Vin]]&gt;Vout, "BUCK","BOOST"),IF(Table16[[#This Row],[Vin]]&gt;VIN_BB_to_buck, "BUCK", IF(Table16[[#This Row],[Vin]]&lt;=VIN_boost_to_BB,"BOOST","BUCK-BST")))</f>
        <v>BUCK-BST</v>
      </c>
      <c r="J67" s="253">
        <f>IF(Table16[[#This Row],[Mode]]="BOOST",2, IF(Table16[[#This Row],[Mode]]="BUCK", 1,3))</f>
        <v>3</v>
      </c>
      <c r="K67" s="253">
        <f t="shared" si="0"/>
        <v>8</v>
      </c>
      <c r="L67" s="292">
        <f>Vout*Table16[[#This Row],[Iout]]/(Table16[[#This Row],[Vin]]*Efficiency)</f>
        <v>9.1657715717866104</v>
      </c>
      <c r="M67" s="682">
        <f>MIN(1/Fsw,CHOOSE(Table16[[#This Row],[Mode Digit]],(Vout+(Rdson2+Rs+Rdcr)*Table16[[#This Row],[Iout]])/(Table16[[#This Row],[Vin]]+(Rs+Rdson2-Rdson1)*Table16[[#This Row],[Iout]])/Fsw,(Vout+(Rdson3+Rdcr)*Table16[[#This Row],[Iin]]-Table16[[#This Row],[Vin]])/(Vout+(Rdson3-Rdson4-Rs)*Table16[[#This Row],[Iin]])/Fsw,t1_Ph_II))</f>
        <v>1.5084238313644118E-6</v>
      </c>
      <c r="N67" s="518">
        <f>CHOOSE(Table16[[#This Row],[Mode Digit]],1/Fsw-Table16[[#This Row],[t1_Ph_II]],1/Fsw-Table16[[#This Row],[t1_Ph_II]],(Vout/Fsw-Table16[[#This Row],[Vin]]*t1_Ph_II)/(Table16[[#This Row],[Vin]]+Vout))</f>
        <v>5.8720438775468338E-7</v>
      </c>
      <c r="O67" s="518">
        <f>1/Fsw-(Table16[[#This Row],[t1_Ph_II]]+Table16[[#This Row],[t2_Ph_I]])</f>
        <v>4.1693459495125665E-7</v>
      </c>
      <c r="P67"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11.014820547367766</v>
      </c>
      <c r="Q67" s="292">
        <f>CHOOSE(Table16[[#This Row],[Mode Digit]],Table16[[#This Row],[I_0]]+1/Lf*(Table16[[#This Row],[Vin]]-Vout)*Table16[[#This Row],[t1_Ph_II]],Table16[[#This Row],[I_0]]+1/Lf*Table16[[#This Row],[Vin]]*Table16[[#This Row],[t1_Ph_II]],Table16[[#This Row],[I_0]]+(Table16[[#This Row],[Vin]]-Vout)/L*Table16[[#This Row],[t1_Ph_II]])</f>
        <v>9.9254033358268003</v>
      </c>
      <c r="R67" s="292">
        <f>CHOOSE(Table16[[#This Row],[Mode Digit]],0,0,Table16[[#This Row],[I_1]]+Table16[[#This Row],[Vin]]/L*Table16[[#This Row],[t2_Ph_I]])</f>
        <v>14.72090583582338</v>
      </c>
      <c r="S67" s="292">
        <f>Fsw*(Table16[[#This Row],[I_0]]*Table16[[#This Row],[t1_Ph_II]]+Table16[[#This Row],[I_1]]*Table16[[#This Row],[t2_Ph_I]]+Table16[[#This Row],[I_2]]*Table16[[#This Row],[t3_Ph_III]])</f>
        <v>11.375203418917888</v>
      </c>
      <c r="T67" s="345">
        <f>MIN(1,CHOOSE(Table16[[#This Row],[Mode Digit]],(Vout+(Rdson2+Rs+Rdcr)*Table16[[#This Row],[Iout]])/(Table16[[#This Row],[Vin]]+(Rs+Rdson2-Rdson1)*Table16[[#This Row],[Iout]]),1,Fsw*Table16[[#This Row],[t2_Ph_I]]+Table16[[#This Row],[t1_Ph_II]]))</f>
        <v>0.23370885475019534</v>
      </c>
      <c r="U67" s="345">
        <f>MIN(1,CHOOSE(Table16[[#This Row],[Mode Digit]],0,(Vout+(Rdson3+Rdcr)*Table16[[#This Row],[Iin]]-Table16[[#This Row],[Vin]])/(Vout+(Rdson3-Rdson4-Rs)*Table16[[#This Row],[Iin]]),Fsw*Table16[[#This Row],[t1_Ph_II]]+Table16[[#This Row],[t3_Ph_III]]))</f>
        <v>0.6003531018176308</v>
      </c>
      <c r="V67" s="292">
        <f>MAX(Table16[[#This Row],[I_0]:[I_2]])-MIN(Table16[[#This Row],[I_0]:[I_1]])</f>
        <v>4.7955024999965801</v>
      </c>
      <c r="W67"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11.378808456238946</v>
      </c>
      <c r="X67" s="345">
        <f>(Table16[[#This Row],[Irms Lf]]^2*Rdcr*(1+Ltc*Ta-Ltc*25))/(1-Table16[[#This Row],[Irms Lf]]^2*Rdcr*Ltc*ThetaCa)</f>
        <v>0.42853148556803911</v>
      </c>
      <c r="Y67" s="345">
        <f>ABS(7.759*10^-3*Fsw^0.9458*(0.00787*Table16[[#This Row],[Ripple Current pk-pk]])^2.304)</f>
        <v>0.80750042813738787</v>
      </c>
      <c r="Z67" s="345">
        <f>Table16[[#This Row],[DCR    Loss]]+Table16[[#This Row],[Core Loss]]</f>
        <v>1.236031913705427</v>
      </c>
      <c r="AA67" s="292">
        <f>IF(Table16[[#This Row],[Vin]]&gt;Vout, Table16[[#This Row],[Ripple Current pk-pk]]/SQRT(12), SQRT(Table16[[#This Row],[Duty Cycle BOOST Leg]]/(1-Table16[[#This Row],[Duty Cycle BOOST Leg]]))*SQRT(Table16[[#This Row],[Iout]]^2+(Table16[[#This Row],[Ripple Current pk-pk]]^2)/12))</f>
        <v>9.9508896119097674</v>
      </c>
      <c r="AB67" s="345">
        <f>RCoutEsr*Table16[[#This Row],[Irms Cout]]^2</f>
        <v>0.19804040813682744</v>
      </c>
      <c r="AC67" s="345">
        <f>Table16[[#This Row],[Cout ESR Loss]]</f>
        <v>0.19804040813682744</v>
      </c>
      <c r="AD67" s="345">
        <f>IF(Table16[[#This Row],[Vin]]&gt;Vout, SQRT(Table16[[#This Row],[Duty Cycle BUCK Leg]]*(1-Table16[[#This Row],[Duty Cycle BUCK Leg]]))*SQRT(Table16[[#This Row],[Iout]]^2+(Table16[[#This Row],[Ripple Current pk-pk]]^2)/12), Table16[[#This Row],[Ripple Current pk-pk]]/SQRT(12))</f>
        <v>1.3843423296362745</v>
      </c>
      <c r="AE67" s="345">
        <f>RCinEsr*Table16[[#This Row],[Irms Cin]]^2</f>
        <v>3.8328073712455752E-3</v>
      </c>
      <c r="AF67" s="683">
        <f>Table16[[#This Row],[Cin ESR Loss]]</f>
        <v>3.8328073712455752E-3</v>
      </c>
      <c r="AG67"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10.090128491893692</v>
      </c>
      <c r="AH67" s="345">
        <f>Rdson1*Table16[[#This Row],[Irms BuCtrl]]^2</f>
        <v>0.35633742544023705</v>
      </c>
      <c r="AI67" s="345">
        <f>CHOOSE(Table16[[#This Row],[Mode Digit]], (Table16[[#This Row],[Vin]]*Table16[[#This Row],[Iout]]/2)*(Fsw)*(Tr_buck+Tf_buck), 0, (Table16[[#This Row],[Vin]]*Table16[[#This Row],[Avg IL]]/2)*(Fsw/1)*(Tr_buck+Tf_buck))</f>
        <v>0.62580551037379306</v>
      </c>
      <c r="AJ67" s="253">
        <f>IF(Table16[[#This Row],[Vin]]&gt;Vout, IF(Table16[[#This Row],[Iout]]&gt;Table16[[#This Row],[Ripple Current pk-pk]]/2,0,ABS(Table16[[#This Row],[Iout]]-Table16[[#This Row],[Ripple Current pk-pk]]/2)*Vsd_Q1*Deadtime*Fsw),0)</f>
        <v>0</v>
      </c>
      <c r="AK67" s="345">
        <f>(Table16[[#This Row],[Dead Time Loss BuCtrl]]+Table16[[#This Row],[Transition Loss BuCtrl]]+Table16[[#This Row],[RDS(on) Loss BuCtrl]]*(1+RdsonTopTc*Ta-RdsonTopTc*25))/(1-Table16[[#This Row],[RDS(on) Loss BuCtrl]]*RdsonTopTc*ThetaJA_Q1)</f>
        <v>1.0824273757304208</v>
      </c>
      <c r="AL67" s="345">
        <f>CHOOSE(Table16[[#This Row],[Mode Digit]],SQRT((Fsw*(Table16[[#This Row],[t2_Ph_I]]+0))*((Table16[[#This Row],[I_0]]*Table16[[#This Row],[I_1]]+((Table16[[#This Row],[I_0]]-Table16[[#This Row],[I_1]])^2)/3))),0,SQRT((Fsw*(Table16[[#This Row],[t3_Ph_III]]+0))*((Table16[[#This Row],[I_0]]*Table16[[#This Row],[I_2]]+((Table16[[#This Row],[I_0]]-Table16[[#This Row],[I_2]])^2)/3))))</f>
        <v>5.2599038870353949</v>
      </c>
      <c r="AM67" s="345">
        <f>Rdson2*Table16[[#This Row],[Irms BuSync]]^2</f>
        <v>9.68330611529752E-2</v>
      </c>
      <c r="AN67"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67" s="345">
        <f>(Table16[[#This Row],[Deadtime Loss BuSync]]+Table16[[#This Row],[RDS(on) Loss BuSync]]*(1+RdsonBotTc*Ta-RdsonBotTc*25))/(1-Table16[[#This Row],[RDS(on) Loss BuSync]]*RdsonBotTc*ThetaJA_Q2)</f>
        <v>0.34430139832636497</v>
      </c>
      <c r="AP67" s="345">
        <f>CHOOSE(Table16[[#This Row],[Mode Digit]],0,SQRT((Fsw*(Table16[[#This Row],[t1_Ph_II]]+0))*((Table16[[#This Row],[I_0]]*Table16[[#This Row],[I_1]]+((Table16[[#This Row],[I_0]]-Table16[[#This Row],[I_1]])^2)/3))),SQRT((Fsw*(Table16[[#This Row],[t2_Ph_I]]+0))*((Table16[[#This Row],[I_1]]*Table16[[#This Row],[I_2]]+((Table16[[#This Row],[I_1]]-Table16[[#This Row],[I_2]])^2)/3))))</f>
        <v>5.9948901329142572</v>
      </c>
      <c r="AQ67" s="345">
        <f>Rdson4*Table16[[#This Row],[Irms BoCtlr]]^2</f>
        <v>0.12578547696999454</v>
      </c>
      <c r="AR67" s="345">
        <f>CHOOSE(Table16[[#This Row],[Mode Digit]], 0, (Vout*Table16[[#This Row],[Iin]]/2)*(Fsw)*(Tr_boost+Tf_boost), (Vout*Iout/2)*(Fsw/1)*(Tr_boost+Tf_boost))</f>
        <v>0.47564320886662292</v>
      </c>
      <c r="AS67" s="253">
        <f>IF(Table16[[#This Row],[Vin]]&gt;Vout, 0, IF(Table16[[#This Row],[Iin]]&gt;Table16[[#This Row],[Ripple Current pk-pk]]/2,0,ABS(Table16[[#This Row],[Iin]]-Table16[[#This Row],[Ripple Current pk-pk]]/2)*Vsd_Q4*Deadtime*Fsw))</f>
        <v>0</v>
      </c>
      <c r="AT67" s="345">
        <f>(Table16[[#This Row],[Dead Time Loss BoCtlr]]+Table16[[#This Row],[Transition Loss BoCtlr]]+Table16[[#This Row],[RDS(on) Loss BoCtlr]]*(1+RdsonTopTc*Ta-RdsonTopTc*25))/(1-Table16[[#This Row],[RDS(on) Loss BoCtlr]]*RdsonTopTc*ThetaJA_Q4)</f>
        <v>0.62176296099550232</v>
      </c>
      <c r="AU67"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9.6715342204875743</v>
      </c>
      <c r="AV67" s="345">
        <f>Rdson3*Table16[[#This Row],[Irms BoSync]]^2</f>
        <v>0.32738500962321765</v>
      </c>
      <c r="AW67"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0.27359828141783027</v>
      </c>
      <c r="AX67" s="345">
        <f>(Table16[[#This Row],[Deadtime Loss BoSync]]+Table16[[#This Row],[RDS(on) Loss BoSync]]*(1+RdsonBotTc*Ta-RdsonBotTc*25))/(1-Table16[[#This Row],[RDS(on) Loss BoSync]]*RdsonBotTc*ThetaJA_Q3)</f>
        <v>0.65689856415539594</v>
      </c>
      <c r="AY67" s="345">
        <f>CHOOSE(Table16[[#This Row],[Mode Digit]], Rdson3*Table16[[#This Row],[Irms Lf]]^2, Rdson1*Table16[[#This Row],[Irms Lf]]^2, 0)</f>
        <v>0</v>
      </c>
      <c r="AZ67" s="345">
        <f>CHOOSE(Table16[[#This Row],[Mode Digit]], 2*Deadtime*Fsw*IF(VfdSky_Q2&gt;0,VfdSky_Q2,0)*Table16[[#This Row],[Iout]], 2*Deadtime*Fsw*IF(VfdSky_Q3&gt;0,VfdSky_Q3,0)*Table16[[#This Row],[Iin]], 2*Deadtime*Fsw*IF(VfdSky_Q2&gt;0,VfdSky_Q2,0)*Table16[[#This Row],[Iout]]+2*Deadtime*Fsw*IF(VfdSky_Q3&gt;0,VfdSky_Q3,0)*Table16[[#This Row],[Iin]])</f>
        <v>0</v>
      </c>
      <c r="BA67" s="345">
        <f>CHOOSE(Table16[[#This Row],[Mode Digit]], IF(QrrSky_Q2&gt;0,QrrSky_Q2,Qrr_Q2)*Fsw*(Table16[[#This Row],[Vin]]-Table16[[#This Row],[Iout]]*Rdson1),0,  IF(QrrSky_Q2&gt;0,QrrSky_Q2,Qrr_Q2)*Fsw*(Table16[[#This Row],[Vin]]-Table16[[#This Row],[Iout]]*Rdson1)+IF(QrrSky_Q3&gt;0,QrrSky_Q3,Qrr_Q3)*Fsw*Vout)</f>
        <v>0.61938351999999997</v>
      </c>
      <c r="BB67" s="345">
        <f>CHOOSE(Table16[[#This Row],[Mode Digit]],0, IF(QrrSky_Q3&gt;0,QrrSky_Q3,Qrr_Q3)*Fsw*Vout,  IF(QrrSky_Q2&gt;0,QrrSky_Q2,Qrr_Q2)*Fsw*(Table16[[#This Row],[Vin]]-Table16[[#This Row],[Iout]]*Rdson1)+IF(QrrSky_Q3&gt;0,QrrSky_Q3,Qrr_Q3)*Fsw*Vout)</f>
        <v>0.61938351999999997</v>
      </c>
      <c r="BC67" s="345">
        <f>CHOOSE(Table16[[#This Row],[Mode Digit]], Rs*Table16[[#This Row],[Irms BuSync]]^2, Rs*Table16[[#This Row],[Irms BoCtlr]]^2, Rs*(Table16[[#This Row],[Irms BuSync]]^2+Table16[[#This Row],[Irms BoCtlr]]^2))</f>
        <v>8.26868855885316E-2</v>
      </c>
      <c r="BD67" s="345">
        <f t="shared" si="1"/>
        <v>0.64</v>
      </c>
      <c r="BE67" s="345">
        <f>IF(Vout&gt;8, Iq*Vout, Iq*Table16[[#This Row],[Vin]])</f>
        <v>4.8000000000000001E-2</v>
      </c>
      <c r="BF67" s="345">
        <f>CHOOSE(Table16[[#This Row],[Mode Digit]], (Qg_Q1+Qg_Q2)*Fsw, (Qg_Q3+Qg_Q4)*Fsw, (Qg_Q1+Qg_Q2+Qg_Q3+Qg_Q4)*Fsw)*IF(Vout&gt;8, Vout, Table16[[#This Row],[Vin]])</f>
        <v>1.7066240000000001</v>
      </c>
      <c r="BG67" s="345">
        <f t="shared" si="2"/>
        <v>0.50594479787234037</v>
      </c>
      <c r="BH67" s="345">
        <f>Table16[[#This Row],[IQ Loss]]+Table16[[#This Row],[Switching Current Loss]]</f>
        <v>1.7546240000000002</v>
      </c>
      <c r="BI67"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7.8593733540097146</v>
      </c>
      <c r="BJ67" s="253">
        <f>Vout*Table16[[#This Row],[Iout]]</f>
        <v>128</v>
      </c>
      <c r="BK67" s="684">
        <f>Table16[[#This Row],[Pout]]/(Table16[[#This Row],[Pout]]+Table16[[#This Row],[Total Loss]])</f>
        <v>0.94215067271412711</v>
      </c>
      <c r="BL67"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120.93445006470763</v>
      </c>
      <c r="BM67" s="685">
        <f>IF(Table16[[#This Row],[Vin]]&gt;Vout, Table16[[#This Row],[Total Sync Bu MOSFET Loss]]*ThetaJA_Q2, ThetaJA_Q3*Table16[[#This Row],[Total Sync Bo MOSFET Loss]])</f>
        <v>42.698406670100738</v>
      </c>
      <c r="BN67" s="640"/>
      <c r="BO67" s="292">
        <f>Table16[[#This Row],[EFF, h]]*100</f>
        <v>94.215067271412707</v>
      </c>
      <c r="BP67" s="345">
        <f>Table16[[#This Row],[Total Inductor Loss]]</f>
        <v>1.236031913705427</v>
      </c>
      <c r="BQ67" s="345">
        <f>Table16[[#This Row],[Total Control Bu MOSFET Loss]]+Table16[[#This Row],[Total Sync Bu MOSFET Loss]]+Table16[[#This Row],[Total Control Bo MOSFET Loss]]+Table16[[#This Row],[Total Sync Bo MOSFET Loss]]+Table16[[#This Row],[Reverse Recovery Loss MOSFET D BUCK]]+Table16[[#This Row],[Reverse Recovery Loss MOSFET D BOOST]]</f>
        <v>3.9441573392076839</v>
      </c>
      <c r="BR67" s="345">
        <f>Table16[[#This Row],[Total Control Bu MOSFET Loss]]+Table16[[#This Row],[Reverse Recovery Loss MOSFET D BUCK]]*0.66</f>
        <v>1.4912204989304207</v>
      </c>
      <c r="BS67" s="345">
        <f>Table16[[#This Row],[Total Sync Bu MOSFET Loss]]+Table16[[#This Row],[Reverse Recovery Loss MOSFET D BUCK]]*0.33</f>
        <v>0.54869795992636494</v>
      </c>
      <c r="BT67" s="345">
        <f xml:space="preserve"> Table16[[#This Row],[Total Control Bo MOSFET Loss]]+Table16[[#This Row],[Reverse Recovery Loss MOSFET D BOOST]]*0.66</f>
        <v>1.0305560841955024</v>
      </c>
      <c r="BU67" s="345">
        <f xml:space="preserve"> Table16[[#This Row],[Total Sync Bo MOSFET Loss]]+Table16[[#This Row],[Reverse Recovery Loss MOSFET D BOOST]]*0.33</f>
        <v>0.86129512575539591</v>
      </c>
      <c r="BV67" s="345">
        <f>Table16[[#This Row],[Isense Shunt Loss]]</f>
        <v>8.26868855885316E-2</v>
      </c>
      <c r="CB67" s="686"/>
      <c r="CC67" s="686"/>
    </row>
    <row r="68" spans="1:81" x14ac:dyDescent="0.2">
      <c r="A68" s="711" t="s">
        <v>239</v>
      </c>
      <c r="B68" s="712" t="e">
        <f>#REF!</f>
        <v>#REF!</v>
      </c>
      <c r="C68" s="255" t="s">
        <v>19</v>
      </c>
      <c r="G68" s="253">
        <v>59</v>
      </c>
      <c r="H68" s="286">
        <f>VIN_min+(VIN_max-VIN_min)*(Table16[[#This Row],[Step]]/200)</f>
        <v>14.85</v>
      </c>
      <c r="I68" s="292" t="str">
        <f>IF(Mode = 2,IF(Table16[[#This Row],[Vin]]&gt;Vout, "BUCK","BOOST"),IF(Table16[[#This Row],[Vin]]&gt;VIN_BB_to_buck, "BUCK", IF(Table16[[#This Row],[Vin]]&lt;=VIN_boost_to_BB,"BOOST","BUCK-BST")))</f>
        <v>BUCK-BST</v>
      </c>
      <c r="J68" s="253">
        <f>IF(Table16[[#This Row],[Mode]]="BOOST",2, IF(Table16[[#This Row],[Mode]]="BUCK", 1,3))</f>
        <v>3</v>
      </c>
      <c r="K68" s="253">
        <f t="shared" si="0"/>
        <v>8</v>
      </c>
      <c r="L68" s="292">
        <f>Vout*Table16[[#This Row],[Iout]]/(Table16[[#This Row],[Vin]]*Efficiency)</f>
        <v>9.0731880205564419</v>
      </c>
      <c r="M68" s="682">
        <f>MIN(1/Fsw,CHOOSE(Table16[[#This Row],[Mode Digit]],(Vout+(Rdson2+Rs+Rdcr)*Table16[[#This Row],[Iout]])/(Table16[[#This Row],[Vin]]+(Rs+Rdson2-Rdson1)*Table16[[#This Row],[Iout]])/Fsw,(Vout+(Rdson3+Rdcr)*Table16[[#This Row],[Iin]]-Table16[[#This Row],[Vin]])/(Vout+(Rdson3-Rdson4-Rs)*Table16[[#This Row],[Iin]])/Fsw,t1_Ph_II))</f>
        <v>1.5084238313644118E-6</v>
      </c>
      <c r="N68" s="518">
        <f>CHOOSE(Table16[[#This Row],[Mode Digit]],1/Fsw-Table16[[#This Row],[t1_Ph_II]],1/Fsw-Table16[[#This Row],[t1_Ph_II]],(Vout/Fsw-Table16[[#This Row],[Vin]]*t1_Ph_II)/(Table16[[#This Row],[Vin]]+Vout))</f>
        <v>5.7701494746723232E-7</v>
      </c>
      <c r="O68" s="518">
        <f>1/Fsw-(Table16[[#This Row],[t1_Ph_II]]+Table16[[#This Row],[t2_Ph_I]])</f>
        <v>4.271240352387076E-7</v>
      </c>
      <c r="P68"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10.888104399484751</v>
      </c>
      <c r="Q68" s="292">
        <f>CHOOSE(Table16[[#This Row],[Mode Digit]],Table16[[#This Row],[I_0]]+1/Lf*(Table16[[#This Row],[Vin]]-Vout)*Table16[[#This Row],[t1_Ph_II]],Table16[[#This Row],[I_0]]+1/Lf*Table16[[#This Row],[Vin]]*Table16[[#This Row],[t1_Ph_II]],Table16[[#This Row],[I_0]]+(Table16[[#This Row],[Vin]]-Vout)/L*Table16[[#This Row],[t1_Ph_II]])</f>
        <v>9.9243891738908214</v>
      </c>
      <c r="R68" s="292">
        <f>CHOOSE(Table16[[#This Row],[Mode Digit]],0,0,Table16[[#This Row],[I_1]]+Table16[[#This Row],[Vin]]/L*Table16[[#This Row],[t2_Ph_I]])</f>
        <v>14.684762490495487</v>
      </c>
      <c r="S68" s="292">
        <f>Fsw*(Table16[[#This Row],[I_0]]*Table16[[#This Row],[t1_Ph_II]]+Table16[[#This Row],[I_1]]*Table16[[#This Row],[t2_Ph_I]]+Table16[[#This Row],[I_2]]*Table16[[#This Row],[t3_Ph_III]])</f>
        <v>11.312199601410677</v>
      </c>
      <c r="T68" s="345">
        <f>MIN(1,CHOOSE(Table16[[#This Row],[Mode Digit]],(Vout+(Rdson2+Rs+Rdcr)*Table16[[#This Row],[Iout]])/(Table16[[#This Row],[Vin]]+(Rs+Rdson2-Rdson1)*Table16[[#This Row],[Iout]]),1,Fsw*Table16[[#This Row],[t2_Ph_I]]+Table16[[#This Row],[t1_Ph_II]]))</f>
        <v>0.22965345751578983</v>
      </c>
      <c r="U68" s="345">
        <f>MIN(1,CHOOSE(Table16[[#This Row],[Mode Digit]],0,(Vout+(Rdson3+Rdcr)*Table16[[#This Row],[Iin]]-Table16[[#This Row],[Vin]])/(Vout+(Rdson3-Rdson4-Rs)*Table16[[#This Row],[Iin]]),Fsw*Table16[[#This Row],[t1_Ph_II]]+Table16[[#This Row],[t3_Ph_III]]))</f>
        <v>0.60035311200707109</v>
      </c>
      <c r="V68" s="292">
        <f>MAX(Table16[[#This Row],[I_0]:[I_2]])-MIN(Table16[[#This Row],[I_0]:[I_1]])</f>
        <v>4.7603733166046656</v>
      </c>
      <c r="W68"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11.325169060346171</v>
      </c>
      <c r="X68" s="345">
        <f>(Table16[[#This Row],[Irms Lf]]^2*Rdcr*(1+Ltc*Ta-Ltc*25))/(1-Table16[[#This Row],[Irms Lf]]^2*Rdcr*Ltc*ThetaCa)</f>
        <v>0.42436399949951747</v>
      </c>
      <c r="Y68" s="345">
        <f>ABS(7.759*10^-3*Fsw^0.9458*(0.00787*Table16[[#This Row],[Ripple Current pk-pk]])^2.304)</f>
        <v>0.79393662506706164</v>
      </c>
      <c r="Z68" s="345">
        <f>Table16[[#This Row],[DCR    Loss]]+Table16[[#This Row],[Core Loss]]</f>
        <v>1.2183006245665791</v>
      </c>
      <c r="AA68" s="292">
        <f>IF(Table16[[#This Row],[Vin]]&gt;Vout, Table16[[#This Row],[Ripple Current pk-pk]]/SQRT(12), SQRT(Table16[[#This Row],[Duty Cycle BOOST Leg]]/(1-Table16[[#This Row],[Duty Cycle BOOST Leg]]))*SQRT(Table16[[#This Row],[Iout]]^2+(Table16[[#This Row],[Ripple Current pk-pk]]^2)/12))</f>
        <v>9.9487780765902656</v>
      </c>
      <c r="AB68" s="345">
        <f>RCoutEsr*Table16[[#This Row],[Irms Cout]]^2</f>
        <v>0.19795637043448622</v>
      </c>
      <c r="AC68" s="345">
        <f>Table16[[#This Row],[Cout ESR Loss]]</f>
        <v>0.19795637043448622</v>
      </c>
      <c r="AD68" s="345">
        <f>IF(Table16[[#This Row],[Vin]]&gt;Vout, SQRT(Table16[[#This Row],[Duty Cycle BUCK Leg]]*(1-Table16[[#This Row],[Duty Cycle BUCK Leg]]))*SQRT(Table16[[#This Row],[Iout]]^2+(Table16[[#This Row],[Ripple Current pk-pk]]^2)/12), Table16[[#This Row],[Ripple Current pk-pk]]/SQRT(12))</f>
        <v>1.3742014078924076</v>
      </c>
      <c r="AE68" s="345">
        <f>RCinEsr*Table16[[#This Row],[Irms Cin]]^2</f>
        <v>3.7768590189069507E-3</v>
      </c>
      <c r="AF68" s="683">
        <f>Table16[[#This Row],[Cin ESR Loss]]</f>
        <v>3.7768590189069507E-3</v>
      </c>
      <c r="AG68"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10.013102455269919</v>
      </c>
      <c r="AH68" s="345">
        <f>Rdson1*Table16[[#This Row],[Irms BuCtrl]]^2</f>
        <v>0.35091777272906371</v>
      </c>
      <c r="AI68" s="345">
        <f>CHOOSE(Table16[[#This Row],[Mode Digit]], (Table16[[#This Row],[Vin]]*Table16[[#This Row],[Iout]]/2)*(Fsw)*(Tr_buck+Tf_buck), 0, (Table16[[#This Row],[Vin]]*Table16[[#This Row],[Avg IL]]/2)*(Fsw/1)*(Tr_buck+Tf_buck))</f>
        <v>0.6286897642446484</v>
      </c>
      <c r="AJ68" s="253">
        <f>IF(Table16[[#This Row],[Vin]]&gt;Vout, IF(Table16[[#This Row],[Iout]]&gt;Table16[[#This Row],[Ripple Current pk-pk]]/2,0,ABS(Table16[[#This Row],[Iout]]-Table16[[#This Row],[Ripple Current pk-pk]]/2)*Vsd_Q1*Deadtime*Fsw),0)</f>
        <v>0</v>
      </c>
      <c r="AK68" s="345">
        <f>(Table16[[#This Row],[Dead Time Loss BuCtrl]]+Table16[[#This Row],[Transition Loss BuCtrl]]+Table16[[#This Row],[RDS(on) Loss BuCtrl]]*(1+RdsonTopTc*Ta-RdsonTopTc*25))/(1-Table16[[#This Row],[RDS(on) Loss BuCtrl]]*RdsonTopTc*ThetaJA_Q1)</f>
        <v>1.0779590324956116</v>
      </c>
      <c r="AL68" s="345">
        <f>CHOOSE(Table16[[#This Row],[Mode Digit]],SQRT((Fsw*(Table16[[#This Row],[t2_Ph_I]]+0))*((Table16[[#This Row],[I_0]]*Table16[[#This Row],[I_1]]+((Table16[[#This Row],[I_0]]-Table16[[#This Row],[I_1]])^2)/3))),0,SQRT((Fsw*(Table16[[#This Row],[t3_Ph_III]]+0))*((Table16[[#This Row],[I_0]]*Table16[[#This Row],[I_2]]+((Table16[[#This Row],[I_0]]-Table16[[#This Row],[I_2]])^2)/3))))</f>
        <v>5.2912412027509852</v>
      </c>
      <c r="AM68" s="345">
        <f>Rdson2*Table16[[#This Row],[Irms BuSync]]^2</f>
        <v>9.799031712991392E-2</v>
      </c>
      <c r="AN68"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68" s="345">
        <f>(Table16[[#This Row],[Deadtime Loss BuSync]]+Table16[[#This Row],[RDS(on) Loss BuSync]]*(1+RdsonBotTc*Ta-RdsonBotTc*25))/(1-Table16[[#This Row],[RDS(on) Loss BuSync]]*RdsonBotTc*ThetaJA_Q2)</f>
        <v>0.34559521310798197</v>
      </c>
      <c r="AP68" s="345">
        <f>CHOOSE(Table16[[#This Row],[Mode Digit]],0,SQRT((Fsw*(Table16[[#This Row],[t1_Ph_II]]+0))*((Table16[[#This Row],[I_0]]*Table16[[#This Row],[I_1]]+((Table16[[#This Row],[I_0]]-Table16[[#This Row],[I_1]])^2)/3))),SQRT((Fsw*(Table16[[#This Row],[t2_Ph_I]]+0))*((Table16[[#This Row],[I_1]]*Table16[[#This Row],[I_2]]+((Table16[[#This Row],[I_1]]-Table16[[#This Row],[I_2]])^2)/3))))</f>
        <v>5.9332605356779151</v>
      </c>
      <c r="AQ68" s="345">
        <f>Rdson4*Table16[[#This Row],[Irms BoCtlr]]^2</f>
        <v>0.12321253204481543</v>
      </c>
      <c r="AR68" s="345">
        <f>CHOOSE(Table16[[#This Row],[Mode Digit]], 0, (Vout*Table16[[#This Row],[Iin]]/2)*(Fsw)*(Tr_boost+Tf_boost), (Vout*Iout/2)*(Fsw/1)*(Tr_boost+Tf_boost))</f>
        <v>0.47564320886662292</v>
      </c>
      <c r="AS68" s="253">
        <f>IF(Table16[[#This Row],[Vin]]&gt;Vout, 0, IF(Table16[[#This Row],[Iin]]&gt;Table16[[#This Row],[Ripple Current pk-pk]]/2,0,ABS(Table16[[#This Row],[Iin]]-Table16[[#This Row],[Ripple Current pk-pk]]/2)*Vsd_Q4*Deadtime*Fsw))</f>
        <v>0</v>
      </c>
      <c r="AT68" s="345">
        <f>(Table16[[#This Row],[Dead Time Loss BoCtlr]]+Table16[[#This Row],[Transition Loss BoCtlr]]+Table16[[#This Row],[RDS(on) Loss BoCtlr]]*(1+RdsonTopTc*Ta-RdsonTopTc*25))/(1-Table16[[#This Row],[RDS(on) Loss BoCtlr]]*RdsonTopTc*ThetaJA_Q4)</f>
        <v>0.61867515946838403</v>
      </c>
      <c r="AU68"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9.6465472403958703</v>
      </c>
      <c r="AV68" s="345">
        <f>Rdson3*Table16[[#This Row],[Irms BoSync]]^2</f>
        <v>0.32569555781416215</v>
      </c>
      <c r="AW68"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0.27083466241360976</v>
      </c>
      <c r="AX68" s="345">
        <f>(Table16[[#This Row],[Deadtime Loss BoSync]]+Table16[[#This Row],[RDS(on) Loss BoSync]]*(1+RdsonBotTc*Ta-RdsonBotTc*25))/(1-Table16[[#This Row],[RDS(on) Loss BoSync]]*RdsonBotTc*ThetaJA_Q3)</f>
        <v>0.6517182744290102</v>
      </c>
      <c r="AY68" s="345">
        <f>CHOOSE(Table16[[#This Row],[Mode Digit]], Rdson3*Table16[[#This Row],[Irms Lf]]^2, Rdson1*Table16[[#This Row],[Irms Lf]]^2, 0)</f>
        <v>0</v>
      </c>
      <c r="AZ68" s="345">
        <f>CHOOSE(Table16[[#This Row],[Mode Digit]], 2*Deadtime*Fsw*IF(VfdSky_Q2&gt;0,VfdSky_Q2,0)*Table16[[#This Row],[Iout]], 2*Deadtime*Fsw*IF(VfdSky_Q3&gt;0,VfdSky_Q3,0)*Table16[[#This Row],[Iin]], 2*Deadtime*Fsw*IF(VfdSky_Q2&gt;0,VfdSky_Q2,0)*Table16[[#This Row],[Iout]]+2*Deadtime*Fsw*IF(VfdSky_Q3&gt;0,VfdSky_Q3,0)*Table16[[#This Row],[Iin]])</f>
        <v>0</v>
      </c>
      <c r="BA68" s="345">
        <f>CHOOSE(Table16[[#This Row],[Mode Digit]], IF(QrrSky_Q2&gt;0,QrrSky_Q2,Qrr_Q2)*Fsw*(Table16[[#This Row],[Vin]]-Table16[[#This Row],[Iout]]*Rdson1),0,  IF(QrrSky_Q2&gt;0,QrrSky_Q2,Qrr_Q2)*Fsw*(Table16[[#This Row],[Vin]]-Table16[[#This Row],[Iout]]*Rdson1)+IF(QrrSky_Q3&gt;0,QrrSky_Q3,Qrr_Q3)*Fsw*Vout)</f>
        <v>0.62207002</v>
      </c>
      <c r="BB68" s="345">
        <f>CHOOSE(Table16[[#This Row],[Mode Digit]],0, IF(QrrSky_Q3&gt;0,QrrSky_Q3,Qrr_Q3)*Fsw*Vout,  IF(QrrSky_Q2&gt;0,QrrSky_Q2,Qrr_Q2)*Fsw*(Table16[[#This Row],[Vin]]-Table16[[#This Row],[Iout]]*Rdson1)+IF(QrrSky_Q3&gt;0,QrrSky_Q3,Qrr_Q3)*Fsw*Vout)</f>
        <v>0.62207002</v>
      </c>
      <c r="BC68" s="345">
        <f>CHOOSE(Table16[[#This Row],[Mode Digit]], Rs*Table16[[#This Row],[Irms BuSync]]^2, Rs*Table16[[#This Row],[Irms BoCtlr]]^2, Rs*(Table16[[#This Row],[Irms BuSync]]^2+Table16[[#This Row],[Irms BoCtlr]]^2))</f>
        <v>8.2161058264899473E-2</v>
      </c>
      <c r="BD68" s="345">
        <f t="shared" si="1"/>
        <v>0.64</v>
      </c>
      <c r="BE68" s="345">
        <f>IF(Vout&gt;8, Iq*Vout, Iq*Table16[[#This Row],[Vin]])</f>
        <v>4.8000000000000001E-2</v>
      </c>
      <c r="BF68" s="345">
        <f>CHOOSE(Table16[[#This Row],[Mode Digit]], (Qg_Q1+Qg_Q2)*Fsw, (Qg_Q3+Qg_Q4)*Fsw, (Qg_Q1+Qg_Q2+Qg_Q3+Qg_Q4)*Fsw)*IF(Vout&gt;8, Vout, Table16[[#This Row],[Vin]])</f>
        <v>1.7066240000000001</v>
      </c>
      <c r="BG68" s="345">
        <f t="shared" si="2"/>
        <v>0.50594479787234037</v>
      </c>
      <c r="BH68" s="345">
        <f>Table16[[#This Row],[IQ Loss]]+Table16[[#This Row],[Switching Current Loss]]</f>
        <v>1.7546240000000002</v>
      </c>
      <c r="BI68"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7.8349066317858584</v>
      </c>
      <c r="BJ68" s="253">
        <f>Vout*Table16[[#This Row],[Iout]]</f>
        <v>128</v>
      </c>
      <c r="BK68" s="684">
        <f>Table16[[#This Row],[Pout]]/(Table16[[#This Row],[Pout]]+Table16[[#This Row],[Total Loss]])</f>
        <v>0.94232037385629963</v>
      </c>
      <c r="BL68"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121.08298796544497</v>
      </c>
      <c r="BM68" s="685">
        <f>IF(Table16[[#This Row],[Vin]]&gt;Vout, Table16[[#This Row],[Total Sync Bu MOSFET Loss]]*ThetaJA_Q2, ThetaJA_Q3*Table16[[#This Row],[Total Sync Bo MOSFET Loss]])</f>
        <v>42.361687837885661</v>
      </c>
      <c r="BN68" s="640"/>
      <c r="BO68" s="292">
        <f>Table16[[#This Row],[EFF, h]]*100</f>
        <v>94.232037385629965</v>
      </c>
      <c r="BP68" s="345">
        <f>Table16[[#This Row],[Total Inductor Loss]]</f>
        <v>1.2183006245665791</v>
      </c>
      <c r="BQ68" s="345">
        <f>Table16[[#This Row],[Total Control Bu MOSFET Loss]]+Table16[[#This Row],[Total Sync Bu MOSFET Loss]]+Table16[[#This Row],[Total Control Bo MOSFET Loss]]+Table16[[#This Row],[Total Sync Bo MOSFET Loss]]+Table16[[#This Row],[Reverse Recovery Loss MOSFET D BUCK]]+Table16[[#This Row],[Reverse Recovery Loss MOSFET D BOOST]]</f>
        <v>3.9380877195009871</v>
      </c>
      <c r="BR68" s="345">
        <f>Table16[[#This Row],[Total Control Bu MOSFET Loss]]+Table16[[#This Row],[Reverse Recovery Loss MOSFET D BUCK]]*0.66</f>
        <v>1.4885252456956117</v>
      </c>
      <c r="BS68" s="345">
        <f>Table16[[#This Row],[Total Sync Bu MOSFET Loss]]+Table16[[#This Row],[Reverse Recovery Loss MOSFET D BUCK]]*0.33</f>
        <v>0.55087831970798196</v>
      </c>
      <c r="BT68" s="345">
        <f xml:space="preserve"> Table16[[#This Row],[Total Control Bo MOSFET Loss]]+Table16[[#This Row],[Reverse Recovery Loss MOSFET D BOOST]]*0.66</f>
        <v>1.029241372668384</v>
      </c>
      <c r="BU68" s="345">
        <f xml:space="preserve"> Table16[[#This Row],[Total Sync Bo MOSFET Loss]]+Table16[[#This Row],[Reverse Recovery Loss MOSFET D BOOST]]*0.33</f>
        <v>0.85700138102901025</v>
      </c>
      <c r="BV68" s="345">
        <f>Table16[[#This Row],[Isense Shunt Loss]]</f>
        <v>8.2161058264899473E-2</v>
      </c>
      <c r="CB68" s="686"/>
      <c r="CC68" s="686"/>
    </row>
    <row r="69" spans="1:81" x14ac:dyDescent="0.2">
      <c r="A69" s="691" t="s">
        <v>82</v>
      </c>
      <c r="B69" s="712" t="e">
        <f>1-B68</f>
        <v>#REF!</v>
      </c>
      <c r="C69" s="255" t="s">
        <v>19</v>
      </c>
      <c r="G69" s="253">
        <v>60</v>
      </c>
      <c r="H69" s="286">
        <f>VIN_min+(VIN_max-VIN_min)*(Table16[[#This Row],[Step]]/200)</f>
        <v>15</v>
      </c>
      <c r="I69" s="292" t="str">
        <f>IF(Mode = 2,IF(Table16[[#This Row],[Vin]]&gt;Vout, "BUCK","BOOST"),IF(Table16[[#This Row],[Vin]]&gt;VIN_BB_to_buck, "BUCK", IF(Table16[[#This Row],[Vin]]&lt;=VIN_boost_to_BB,"BOOST","BUCK-BST")))</f>
        <v>BUCK-BST</v>
      </c>
      <c r="J69" s="253">
        <f>IF(Table16[[#This Row],[Mode]]="BOOST",2, IF(Table16[[#This Row],[Mode]]="BUCK", 1,3))</f>
        <v>3</v>
      </c>
      <c r="K69" s="253">
        <f t="shared" si="0"/>
        <v>8</v>
      </c>
      <c r="L69" s="292">
        <f>Vout*Table16[[#This Row],[Iout]]/(Table16[[#This Row],[Vin]]*Efficiency)</f>
        <v>8.9824561403508767</v>
      </c>
      <c r="M69" s="682">
        <f>MIN(1/Fsw,CHOOSE(Table16[[#This Row],[Mode Digit]],(Vout+(Rdson2+Rs+Rdcr)*Table16[[#This Row],[Iout]])/(Table16[[#This Row],[Vin]]+(Rs+Rdson2-Rdson1)*Table16[[#This Row],[Iout]])/Fsw,(Vout+(Rdson3+Rdcr)*Table16[[#This Row],[Iin]]-Table16[[#This Row],[Vin]])/(Vout+(Rdson3-Rdson4-Rs)*Table16[[#This Row],[Iin]])/Fsw,t1_Ph_II))</f>
        <v>1.5084238313644118E-6</v>
      </c>
      <c r="N69" s="518">
        <f>CHOOSE(Table16[[#This Row],[Mode Digit]],1/Fsw-Table16[[#This Row],[t1_Ph_II]],1/Fsw-Table16[[#This Row],[t1_Ph_II]],(Vout/Fsw-Table16[[#This Row],[Vin]]*t1_Ph_II)/(Table16[[#This Row],[Vin]]+Vout))</f>
        <v>5.6692411466643403E-7</v>
      </c>
      <c r="O69" s="518">
        <f>1/Fsw-(Table16[[#This Row],[t1_Ph_II]]+Table16[[#This Row],[t2_Ph_I]])</f>
        <v>4.37214868039506E-7</v>
      </c>
      <c r="P69"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10.762983546444417</v>
      </c>
      <c r="Q69" s="292">
        <f>CHOOSE(Table16[[#This Row],[Mode Digit]],Table16[[#This Row],[I_0]]+1/Lf*(Table16[[#This Row],[Vin]]-Vout)*Table16[[#This Row],[t1_Ph_II]],Table16[[#This Row],[I_0]]+1/Lf*Table16[[#This Row],[Vin]]*Table16[[#This Row],[t1_Ph_II]],Table16[[#This Row],[I_0]]+(Table16[[#This Row],[Vin]]-Vout)/L*Table16[[#This Row],[t1_Ph_II]])</f>
        <v>9.9249703067975226</v>
      </c>
      <c r="R69" s="292">
        <f>CHOOSE(Table16[[#This Row],[Mode Digit]],0,0,Table16[[#This Row],[I_1]]+Table16[[#This Row],[Vin]]/L*Table16[[#This Row],[t2_Ph_I]])</f>
        <v>14.649337929017806</v>
      </c>
      <c r="S69" s="292">
        <f>Fsw*(Table16[[#This Row],[I_0]]*Table16[[#This Row],[t1_Ph_II]]+Table16[[#This Row],[I_1]]*Table16[[#This Row],[t2_Ph_I]]+Table16[[#This Row],[I_2]]*Table16[[#This Row],[t3_Ph_III]])</f>
        <v>11.250168184261691</v>
      </c>
      <c r="T69" s="345">
        <f>MIN(1,CHOOSE(Table16[[#This Row],[Mode Digit]],(Vout+(Rdson2+Rs+Rdcr)*Table16[[#This Row],[Iout]])/(Table16[[#This Row],[Vin]]+(Rs+Rdson2-Rdson1)*Table16[[#This Row],[Iout]]),1,Fsw*Table16[[#This Row],[t2_Ph_I]]+Table16[[#This Row],[t1_Ph_II]]))</f>
        <v>0.2256373060610721</v>
      </c>
      <c r="U69" s="345">
        <f>MIN(1,CHOOSE(Table16[[#This Row],[Mode Digit]],0,(Vout+(Rdson3+Rdcr)*Table16[[#This Row],[Iin]]-Table16[[#This Row],[Vin]])/(Vout+(Rdson3-Rdson4-Rs)*Table16[[#This Row],[Iin]]),Fsw*Table16[[#This Row],[t1_Ph_II]]+Table16[[#This Row],[t3_Ph_III]]))</f>
        <v>0.60035312209790392</v>
      </c>
      <c r="V69" s="292">
        <f>MAX(Table16[[#This Row],[I_0]:[I_2]])-MIN(Table16[[#This Row],[I_0]:[I_1]])</f>
        <v>4.7243676222202833</v>
      </c>
      <c r="W69"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11.272489023346706</v>
      </c>
      <c r="X69" s="345">
        <f>(Table16[[#This Row],[Irms Lf]]^2*Rdcr*(1+Ltc*Ta-Ltc*25))/(1-Table16[[#This Row],[Irms Lf]]^2*Rdcr*Ltc*ThetaCa)</f>
        <v>0.42029281303520249</v>
      </c>
      <c r="Y69" s="345">
        <f>ABS(7.759*10^-3*Fsw^0.9458*(0.00787*Table16[[#This Row],[Ripple Current pk-pk]])^2.304)</f>
        <v>0.78016918714965844</v>
      </c>
      <c r="Z69" s="345">
        <f>Table16[[#This Row],[DCR    Loss]]+Table16[[#This Row],[Core Loss]]</f>
        <v>1.2004620001848609</v>
      </c>
      <c r="AA69" s="292">
        <f>IF(Table16[[#This Row],[Vin]]&gt;Vout, Table16[[#This Row],[Ripple Current pk-pk]]/SQRT(12), SQRT(Table16[[#This Row],[Duty Cycle BOOST Leg]]/(1-Table16[[#This Row],[Duty Cycle BOOST Leg]]))*SQRT(Table16[[#This Row],[Iout]]^2+(Table16[[#This Row],[Ripple Current pk-pk]]^2)/12))</f>
        <v>9.9466295010070507</v>
      </c>
      <c r="AB69" s="345">
        <f>RCoutEsr*Table16[[#This Row],[Irms Cout]]^2</f>
        <v>0.19787087686060756</v>
      </c>
      <c r="AC69" s="345">
        <f>Table16[[#This Row],[Cout ESR Loss]]</f>
        <v>0.19787087686060756</v>
      </c>
      <c r="AD69" s="345">
        <f>IF(Table16[[#This Row],[Vin]]&gt;Vout, SQRT(Table16[[#This Row],[Duty Cycle BUCK Leg]]*(1-Table16[[#This Row],[Duty Cycle BUCK Leg]]))*SQRT(Table16[[#This Row],[Iout]]^2+(Table16[[#This Row],[Ripple Current pk-pk]]^2)/12), Table16[[#This Row],[Ripple Current pk-pk]]/SQRT(12))</f>
        <v>1.3638074592198164</v>
      </c>
      <c r="AE69" s="345">
        <f>RCinEsr*Table16[[#This Row],[Irms Cin]]^2</f>
        <v>3.7199415716472227E-3</v>
      </c>
      <c r="AF69" s="683">
        <f>Table16[[#This Row],[Cin ESR Loss]]</f>
        <v>3.7199415716472227E-3</v>
      </c>
      <c r="AG69"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9.9376272744962684</v>
      </c>
      <c r="AH69" s="345">
        <f>Rdson1*Table16[[#This Row],[Irms BuCtrl]]^2</f>
        <v>0.34564752546384242</v>
      </c>
      <c r="AI69" s="345">
        <f>CHOOSE(Table16[[#This Row],[Mode Digit]], (Table16[[#This Row],[Vin]]*Table16[[#This Row],[Iout]]/2)*(Fsw)*(Tr_buck+Tf_buck), 0, (Table16[[#This Row],[Vin]]*Table16[[#This Row],[Avg IL]]/2)*(Fsw/1)*(Tr_buck+Tf_buck))</f>
        <v>0.63155786866481567</v>
      </c>
      <c r="AJ69" s="253">
        <f>IF(Table16[[#This Row],[Vin]]&gt;Vout, IF(Table16[[#This Row],[Iout]]&gt;Table16[[#This Row],[Ripple Current pk-pk]]/2,0,ABS(Table16[[#This Row],[Iout]]-Table16[[#This Row],[Ripple Current pk-pk]]/2)*Vsd_Q1*Deadtime*Fsw),0)</f>
        <v>0</v>
      </c>
      <c r="AK69" s="345">
        <f>(Table16[[#This Row],[Dead Time Loss BuCtrl]]+Table16[[#This Row],[Transition Loss BuCtrl]]+Table16[[#This Row],[RDS(on) Loss BuCtrl]]*(1+RdsonTopTc*Ta-RdsonTopTc*25))/(1-Table16[[#This Row],[RDS(on) Loss BuCtrl]]*RdsonTopTc*ThetaJA_Q1)</f>
        <v>1.0736967572077882</v>
      </c>
      <c r="AL69" s="345">
        <f>CHOOSE(Table16[[#This Row],[Mode Digit]],SQRT((Fsw*(Table16[[#This Row],[t2_Ph_I]]+0))*((Table16[[#This Row],[I_0]]*Table16[[#This Row],[I_1]]+((Table16[[#This Row],[I_0]]-Table16[[#This Row],[I_1]])^2)/3))),0,SQRT((Fsw*(Table16[[#This Row],[t3_Ph_III]]+0))*((Table16[[#This Row],[I_0]]*Table16[[#This Row],[I_2]]+((Table16[[#This Row],[I_0]]-Table16[[#This Row],[I_2]])^2)/3))))</f>
        <v>5.3209560169822714</v>
      </c>
      <c r="AM69" s="345">
        <f>Rdson2*Table16[[#This Row],[Irms BuSync]]^2</f>
        <v>9.9094005271309432E-2</v>
      </c>
      <c r="AN69"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69" s="345">
        <f>(Table16[[#This Row],[Deadtime Loss BuSync]]+Table16[[#This Row],[RDS(on) Loss BuSync]]*(1+RdsonBotTc*Ta-RdsonBotTc*25))/(1-Table16[[#This Row],[RDS(on) Loss BuSync]]*RdsonBotTc*ThetaJA_Q2)</f>
        <v>0.34682988346951099</v>
      </c>
      <c r="AP69" s="345">
        <f>CHOOSE(Table16[[#This Row],[Mode Digit]],0,SQRT((Fsw*(Table16[[#This Row],[t1_Ph_II]]+0))*((Table16[[#This Row],[I_0]]*Table16[[#This Row],[I_1]]+((Table16[[#This Row],[I_0]]-Table16[[#This Row],[I_1]])^2)/3))),SQRT((Fsw*(Table16[[#This Row],[t2_Ph_I]]+0))*((Table16[[#This Row],[I_1]]*Table16[[#This Row],[I_2]]+((Table16[[#This Row],[I_1]]-Table16[[#This Row],[I_2]])^2)/3))))</f>
        <v>5.8723802818861799</v>
      </c>
      <c r="AQ69" s="345">
        <f>Rdson4*Table16[[#This Row],[Irms BoCtlr]]^2</f>
        <v>0.12069697561279964</v>
      </c>
      <c r="AR69" s="345">
        <f>CHOOSE(Table16[[#This Row],[Mode Digit]], 0, (Vout*Table16[[#This Row],[Iin]]/2)*(Fsw)*(Tr_boost+Tf_boost), (Vout*Iout/2)*(Fsw/1)*(Tr_boost+Tf_boost))</f>
        <v>0.47564320886662292</v>
      </c>
      <c r="AS69" s="253">
        <f>IF(Table16[[#This Row],[Vin]]&gt;Vout, 0, IF(Table16[[#This Row],[Iin]]&gt;Table16[[#This Row],[Ripple Current pk-pk]]/2,0,ABS(Table16[[#This Row],[Iin]]-Table16[[#This Row],[Ripple Current pk-pk]]/2)*Vsd_Q4*Deadtime*Fsw))</f>
        <v>0</v>
      </c>
      <c r="AT69" s="345">
        <f>(Table16[[#This Row],[Dead Time Loss BoCtlr]]+Table16[[#This Row],[Transition Loss BoCtlr]]+Table16[[#This Row],[RDS(on) Loss BoCtlr]]*(1+RdsonTopTc*Ta-RdsonTopTc*25))/(1-Table16[[#This Row],[RDS(on) Loss BoCtlr]]*RdsonTopTc*ThetaJA_Q4)</f>
        <v>0.61566035357658688</v>
      </c>
      <c r="AU69"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9.6220662337351612</v>
      </c>
      <c r="AV69" s="345">
        <f>Rdson3*Table16[[#This Row],[Irms BoSync]]^2</f>
        <v>0.32404455512235225</v>
      </c>
      <c r="AW69"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0.2681263157894736</v>
      </c>
      <c r="AX69" s="345">
        <f>(Table16[[#This Row],[Deadtime Loss BoSync]]+Table16[[#This Row],[RDS(on) Loss BoSync]]*(1+RdsonBotTc*Ta-RdsonBotTc*25))/(1-Table16[[#This Row],[RDS(on) Loss BoSync]]*RdsonBotTc*ThetaJA_Q3)</f>
        <v>0.64665235645506436</v>
      </c>
      <c r="AY69" s="345">
        <f>CHOOSE(Table16[[#This Row],[Mode Digit]], Rdson3*Table16[[#This Row],[Irms Lf]]^2, Rdson1*Table16[[#This Row],[Irms Lf]]^2, 0)</f>
        <v>0</v>
      </c>
      <c r="AZ69" s="345">
        <f>CHOOSE(Table16[[#This Row],[Mode Digit]], 2*Deadtime*Fsw*IF(VfdSky_Q2&gt;0,VfdSky_Q2,0)*Table16[[#This Row],[Iout]], 2*Deadtime*Fsw*IF(VfdSky_Q3&gt;0,VfdSky_Q3,0)*Table16[[#This Row],[Iin]], 2*Deadtime*Fsw*IF(VfdSky_Q2&gt;0,VfdSky_Q2,0)*Table16[[#This Row],[Iout]]+2*Deadtime*Fsw*IF(VfdSky_Q3&gt;0,VfdSky_Q3,0)*Table16[[#This Row],[Iin]])</f>
        <v>0</v>
      </c>
      <c r="BA69" s="345">
        <f>CHOOSE(Table16[[#This Row],[Mode Digit]], IF(QrrSky_Q2&gt;0,QrrSky_Q2,Qrr_Q2)*Fsw*(Table16[[#This Row],[Vin]]-Table16[[#This Row],[Iout]]*Rdson1),0,  IF(QrrSky_Q2&gt;0,QrrSky_Q2,Qrr_Q2)*Fsw*(Table16[[#This Row],[Vin]]-Table16[[#This Row],[Iout]]*Rdson1)+IF(QrrSky_Q3&gt;0,QrrSky_Q3,Qrr_Q3)*Fsw*Vout)</f>
        <v>0.62475652000000004</v>
      </c>
      <c r="BB69" s="345">
        <f>CHOOSE(Table16[[#This Row],[Mode Digit]],0, IF(QrrSky_Q3&gt;0,QrrSky_Q3,Qrr_Q3)*Fsw*Vout,  IF(QrrSky_Q2&gt;0,QrrSky_Q2,Qrr_Q2)*Fsw*(Table16[[#This Row],[Vin]]-Table16[[#This Row],[Iout]]*Rdson1)+IF(QrrSky_Q3&gt;0,QrrSky_Q3,Qrr_Q3)*Fsw*Vout)</f>
        <v>0.62475652000000004</v>
      </c>
      <c r="BC69" s="345">
        <f>CHOOSE(Table16[[#This Row],[Mode Digit]], Rs*Table16[[#This Row],[Irms BuSync]]^2, Rs*Table16[[#This Row],[Irms BoCtlr]]^2, Rs*(Table16[[#This Row],[Irms BuSync]]^2+Table16[[#This Row],[Irms BoCtlr]]^2))</f>
        <v>8.1636650042669082E-2</v>
      </c>
      <c r="BD69" s="345">
        <f t="shared" si="1"/>
        <v>0.64</v>
      </c>
      <c r="BE69" s="345">
        <f>IF(Vout&gt;8, Iq*Vout, Iq*Table16[[#This Row],[Vin]])</f>
        <v>4.8000000000000001E-2</v>
      </c>
      <c r="BF69" s="345">
        <f>CHOOSE(Table16[[#This Row],[Mode Digit]], (Qg_Q1+Qg_Q2)*Fsw, (Qg_Q3+Qg_Q4)*Fsw, (Qg_Q1+Qg_Q2+Qg_Q3+Qg_Q4)*Fsw)*IF(Vout&gt;8, Vout, Table16[[#This Row],[Vin]])</f>
        <v>1.7066240000000001</v>
      </c>
      <c r="BG69" s="345">
        <f t="shared" si="2"/>
        <v>0.50594479787234037</v>
      </c>
      <c r="BH69" s="345">
        <f>Table16[[#This Row],[IQ Loss]]+Table16[[#This Row],[Switching Current Loss]]</f>
        <v>1.7546240000000002</v>
      </c>
      <c r="BI69"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7.8106658593687346</v>
      </c>
      <c r="BJ69" s="253">
        <f>Vout*Table16[[#This Row],[Iout]]</f>
        <v>128</v>
      </c>
      <c r="BK69" s="684">
        <f>Table16[[#This Row],[Pout]]/(Table16[[#This Row],[Pout]]+Table16[[#This Row],[Total Loss]])</f>
        <v>0.94248856811101545</v>
      </c>
      <c r="BL69"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121.23627058247814</v>
      </c>
      <c r="BM69" s="685">
        <f>IF(Table16[[#This Row],[Vin]]&gt;Vout, Table16[[#This Row],[Total Sync Bu MOSFET Loss]]*ThetaJA_Q2, ThetaJA_Q3*Table16[[#This Row],[Total Sync Bo MOSFET Loss]])</f>
        <v>42.032403169579183</v>
      </c>
      <c r="BN69" s="640"/>
      <c r="BO69" s="292">
        <f>Table16[[#This Row],[EFF, h]]*100</f>
        <v>94.248856811101547</v>
      </c>
      <c r="BP69" s="345">
        <f>Table16[[#This Row],[Total Inductor Loss]]</f>
        <v>1.2004620001848609</v>
      </c>
      <c r="BQ69" s="345">
        <f>Table16[[#This Row],[Total Control Bu MOSFET Loss]]+Table16[[#This Row],[Total Sync Bu MOSFET Loss]]+Table16[[#This Row],[Total Control Bo MOSFET Loss]]+Table16[[#This Row],[Total Sync Bo MOSFET Loss]]+Table16[[#This Row],[Reverse Recovery Loss MOSFET D BUCK]]+Table16[[#This Row],[Reverse Recovery Loss MOSFET D BOOST]]</f>
        <v>3.9323523907089504</v>
      </c>
      <c r="BR69" s="345">
        <f>Table16[[#This Row],[Total Control Bu MOSFET Loss]]+Table16[[#This Row],[Reverse Recovery Loss MOSFET D BUCK]]*0.66</f>
        <v>1.4860360604077882</v>
      </c>
      <c r="BS69" s="345">
        <f>Table16[[#This Row],[Total Sync Bu MOSFET Loss]]+Table16[[#This Row],[Reverse Recovery Loss MOSFET D BUCK]]*0.33</f>
        <v>0.55299953506951105</v>
      </c>
      <c r="BT69" s="345">
        <f xml:space="preserve"> Table16[[#This Row],[Total Control Bo MOSFET Loss]]+Table16[[#This Row],[Reverse Recovery Loss MOSFET D BOOST]]*0.66</f>
        <v>1.027999656776587</v>
      </c>
      <c r="BU69" s="345">
        <f xml:space="preserve"> Table16[[#This Row],[Total Sync Bo MOSFET Loss]]+Table16[[#This Row],[Reverse Recovery Loss MOSFET D BOOST]]*0.33</f>
        <v>0.85282200805506436</v>
      </c>
      <c r="BV69" s="345">
        <f>Table16[[#This Row],[Isense Shunt Loss]]</f>
        <v>8.1636650042669082E-2</v>
      </c>
      <c r="CB69" s="686"/>
      <c r="CC69" s="686"/>
    </row>
    <row r="70" spans="1:81" x14ac:dyDescent="0.2">
      <c r="A70" s="713" t="s">
        <v>240</v>
      </c>
      <c r="B70" s="712">
        <f>Iripple_Vinnom</f>
        <v>4.2290777716166232</v>
      </c>
      <c r="C70" s="255" t="s">
        <v>2</v>
      </c>
      <c r="G70" s="253">
        <v>61</v>
      </c>
      <c r="H70" s="286">
        <f>VIN_min+(VIN_max-VIN_min)*(Table16[[#This Row],[Step]]/200)</f>
        <v>15.15</v>
      </c>
      <c r="I70" s="292" t="str">
        <f>IF(Mode = 2,IF(Table16[[#This Row],[Vin]]&gt;Vout, "BUCK","BOOST"),IF(Table16[[#This Row],[Vin]]&gt;VIN_BB_to_buck, "BUCK", IF(Table16[[#This Row],[Vin]]&lt;=VIN_boost_to_BB,"BOOST","BUCK-BST")))</f>
        <v>BUCK-BST</v>
      </c>
      <c r="J70" s="253">
        <f>IF(Table16[[#This Row],[Mode]]="BOOST",2, IF(Table16[[#This Row],[Mode]]="BUCK", 1,3))</f>
        <v>3</v>
      </c>
      <c r="K70" s="253">
        <f t="shared" si="0"/>
        <v>8</v>
      </c>
      <c r="L70" s="292">
        <f>Vout*Table16[[#This Row],[Iout]]/(Table16[[#This Row],[Vin]]*Efficiency)</f>
        <v>8.8935209310404719</v>
      </c>
      <c r="M70" s="682">
        <f>MIN(1/Fsw,CHOOSE(Table16[[#This Row],[Mode Digit]],(Vout+(Rdson2+Rs+Rdcr)*Table16[[#This Row],[Iout]])/(Table16[[#This Row],[Vin]]+(Rs+Rdson2-Rdson1)*Table16[[#This Row],[Iout]])/Fsw,(Vout+(Rdson3+Rdcr)*Table16[[#This Row],[Iin]]-Table16[[#This Row],[Vin]])/(Vout+(Rdson3-Rdson4-Rs)*Table16[[#This Row],[Iin]])/Fsw,t1_Ph_II))</f>
        <v>1.5084238313644118E-6</v>
      </c>
      <c r="N70" s="518">
        <f>CHOOSE(Table16[[#This Row],[Mode Digit]],1/Fsw-Table16[[#This Row],[t1_Ph_II]],1/Fsw-Table16[[#This Row],[t1_Ph_II]],(Vout/Fsw-Table16[[#This Row],[Vin]]*t1_Ph_II)/(Table16[[#This Row],[Vin]]+Vout))</f>
        <v>5.5693046484606075E-7</v>
      </c>
      <c r="O70" s="518">
        <f>1/Fsw-(Table16[[#This Row],[t1_Ph_II]]+Table16[[#This Row],[t2_Ph_I]])</f>
        <v>4.4720851785987949E-7</v>
      </c>
      <c r="P70"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10.639417289602639</v>
      </c>
      <c r="Q70" s="292">
        <f>CHOOSE(Table16[[#This Row],[Mode Digit]],Table16[[#This Row],[I_0]]+1/Lf*(Table16[[#This Row],[Vin]]-Vout)*Table16[[#This Row],[t1_Ph_II]],Table16[[#This Row],[I_0]]+1/Lf*Table16[[#This Row],[Vin]]*Table16[[#This Row],[t1_Ph_II]],Table16[[#This Row],[I_0]]+(Table16[[#This Row],[Vin]]-Vout)/L*Table16[[#This Row],[t1_Ph_II]])</f>
        <v>9.9271060359027778</v>
      </c>
      <c r="R70" s="292">
        <f>CHOOSE(Table16[[#This Row],[Mode Digit]],0,0,Table16[[#This Row],[I_1]]+Table16[[#This Row],[Vin]]/L*Table16[[#This Row],[t2_Ph_I]])</f>
        <v>14.614604115023788</v>
      </c>
      <c r="S70" s="292">
        <f>Fsw*(Table16[[#This Row],[I_0]]*Table16[[#This Row],[t1_Ph_II]]+Table16[[#This Row],[I_1]]*Table16[[#This Row],[t2_Ph_I]]+Table16[[#This Row],[I_2]]*Table16[[#This Row],[t3_Ph_III]])</f>
        <v>11.189067058770917</v>
      </c>
      <c r="T70" s="345">
        <f>MIN(1,CHOOSE(Table16[[#This Row],[Mode Digit]],(Vout+(Rdson2+Rs+Rdcr)*Table16[[#This Row],[Iout]])/(Table16[[#This Row],[Vin]]+(Rs+Rdson2-Rdson1)*Table16[[#This Row],[Iout]]),1,Fsw*Table16[[#This Row],[t2_Ph_I]]+Table16[[#This Row],[t1_Ph_II]]))</f>
        <v>0.22165983343256354</v>
      </c>
      <c r="U70" s="345">
        <f>MIN(1,CHOOSE(Table16[[#This Row],[Mode Digit]],0,(Vout+(Rdson3+Rdcr)*Table16[[#This Row],[Iin]]-Table16[[#This Row],[Vin]])/(Vout+(Rdson3-Rdson4-Rs)*Table16[[#This Row],[Iin]]),Fsw*Table16[[#This Row],[t1_Ph_II]]+Table16[[#This Row],[t3_Ph_III]]))</f>
        <v>0.60035313209155372</v>
      </c>
      <c r="V70" s="292">
        <f>MAX(Table16[[#This Row],[I_0]:[I_2]])-MIN(Table16[[#This Row],[I_0]:[I_1]])</f>
        <v>4.6874980791210099</v>
      </c>
      <c r="W70"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11.22073890768578</v>
      </c>
      <c r="X70" s="345">
        <f>(Table16[[#This Row],[Irms Lf]]^2*Rdcr*(1+Ltc*Ta-Ltc*25))/(1-Table16[[#This Row],[Irms Lf]]^2*Rdcr*Ltc*ThetaCa)</f>
        <v>0.41631445351808521</v>
      </c>
      <c r="Y70" s="345">
        <f>ABS(7.759*10^-3*Fsw^0.9458*(0.00787*Table16[[#This Row],[Ripple Current pk-pk]])^2.304)</f>
        <v>0.76621252254064565</v>
      </c>
      <c r="Z70" s="345">
        <f>Table16[[#This Row],[DCR    Loss]]+Table16[[#This Row],[Core Loss]]</f>
        <v>1.1825269760587309</v>
      </c>
      <c r="AA70" s="292">
        <f>IF(Table16[[#This Row],[Vin]]&gt;Vout, Table16[[#This Row],[Ripple Current pk-pk]]/SQRT(12), SQRT(Table16[[#This Row],[Duty Cycle BOOST Leg]]/(1-Table16[[#This Row],[Duty Cycle BOOST Leg]]))*SQRT(Table16[[#This Row],[Iout]]^2+(Table16[[#This Row],[Ripple Current pk-pk]]^2)/12))</f>
        <v>9.9444458001929128</v>
      </c>
      <c r="AB70" s="345">
        <f>RCoutEsr*Table16[[#This Row],[Irms Cout]]^2</f>
        <v>0.19778400454594894</v>
      </c>
      <c r="AC70" s="345">
        <f>Table16[[#This Row],[Cout ESR Loss]]</f>
        <v>0.19778400454594894</v>
      </c>
      <c r="AD70" s="345">
        <f>IF(Table16[[#This Row],[Vin]]&gt;Vout, SQRT(Table16[[#This Row],[Duty Cycle BUCK Leg]]*(1-Table16[[#This Row],[Duty Cycle BUCK Leg]]))*SQRT(Table16[[#This Row],[Iout]]^2+(Table16[[#This Row],[Ripple Current pk-pk]]^2)/12), Table16[[#This Row],[Ripple Current pk-pk]]/SQRT(12))</f>
        <v>1.3531641389031845</v>
      </c>
      <c r="AE70" s="345">
        <f>RCinEsr*Table16[[#This Row],[Irms Cin]]^2</f>
        <v>3.6621063736271939E-3</v>
      </c>
      <c r="AF70" s="683">
        <f>Table16[[#This Row],[Cin ESR Loss]]</f>
        <v>3.6621063736271939E-3</v>
      </c>
      <c r="AG70"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9.8636597936417001</v>
      </c>
      <c r="AH70" s="345">
        <f>Rdson1*Table16[[#This Row],[Irms BuCtrl]]^2</f>
        <v>0.34052124583646343</v>
      </c>
      <c r="AI70" s="345">
        <f>CHOOSE(Table16[[#This Row],[Mode Digit]], (Table16[[#This Row],[Vin]]*Table16[[#This Row],[Iout]]/2)*(Fsw)*(Tr_buck+Tf_buck), 0, (Table16[[#This Row],[Vin]]*Table16[[#This Row],[Avg IL]]/2)*(Fsw/1)*(Tr_buck+Tf_buck))</f>
        <v>0.63440907376028688</v>
      </c>
      <c r="AJ70" s="253">
        <f>IF(Table16[[#This Row],[Vin]]&gt;Vout, IF(Table16[[#This Row],[Iout]]&gt;Table16[[#This Row],[Ripple Current pk-pk]]/2,0,ABS(Table16[[#This Row],[Iout]]-Table16[[#This Row],[Ripple Current pk-pk]]/2)*Vsd_Q1*Deadtime*Fsw),0)</f>
        <v>0</v>
      </c>
      <c r="AK70" s="345">
        <f>(Table16[[#This Row],[Dead Time Loss BuCtrl]]+Table16[[#This Row],[Transition Loss BuCtrl]]+Table16[[#This Row],[RDS(on) Loss BuCtrl]]*(1+RdsonTopTc*Ta-RdsonTopTc*25))/(1-Table16[[#This Row],[RDS(on) Loss BuCtrl]]*RdsonTopTc*ThetaJA_Q1)</f>
        <v>1.0696306276104226</v>
      </c>
      <c r="AL70" s="345">
        <f>CHOOSE(Table16[[#This Row],[Mode Digit]],SQRT((Fsw*(Table16[[#This Row],[t2_Ph_I]]+0))*((Table16[[#This Row],[I_0]]*Table16[[#This Row],[I_1]]+((Table16[[#This Row],[I_0]]-Table16[[#This Row],[I_1]])^2)/3))),0,SQRT((Fsw*(Table16[[#This Row],[t3_Ph_III]]+0))*((Table16[[#This Row],[I_0]]*Table16[[#This Row],[I_2]]+((Table16[[#This Row],[I_0]]-Table16[[#This Row],[I_2]])^2)/3))))</f>
        <v>5.3491305003476652</v>
      </c>
      <c r="AM70" s="345">
        <f>Rdson2*Table16[[#This Row],[Irms BuSync]]^2</f>
        <v>0.10014618988412383</v>
      </c>
      <c r="AN70"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70" s="345">
        <f>(Table16[[#This Row],[Deadtime Loss BuSync]]+Table16[[#This Row],[RDS(on) Loss BuSync]]*(1+RdsonBotTc*Ta-RdsonBotTc*25))/(1-Table16[[#This Row],[RDS(on) Loss BuSync]]*RdsonBotTc*ThetaJA_Q2)</f>
        <v>0.34800761543562342</v>
      </c>
      <c r="AP70" s="345">
        <f>CHOOSE(Table16[[#This Row],[Mode Digit]],0,SQRT((Fsw*(Table16[[#This Row],[t1_Ph_II]]+0))*((Table16[[#This Row],[I_0]]*Table16[[#This Row],[I_1]]+((Table16[[#This Row],[I_0]]-Table16[[#This Row],[I_1]])^2)/3))),SQRT((Fsw*(Table16[[#This Row],[t2_Ph_I]]+0))*((Table16[[#This Row],[I_1]]*Table16[[#This Row],[I_2]]+((Table16[[#This Row],[I_1]]-Table16[[#This Row],[I_2]])^2)/3))))</f>
        <v>5.812213275734516</v>
      </c>
      <c r="AQ70" s="345">
        <f>Rdson4*Table16[[#This Row],[Irms BoCtlr]]^2</f>
        <v>0.11823638106918595</v>
      </c>
      <c r="AR70" s="345">
        <f>CHOOSE(Table16[[#This Row],[Mode Digit]], 0, (Vout*Table16[[#This Row],[Iin]]/2)*(Fsw)*(Tr_boost+Tf_boost), (Vout*Iout/2)*(Fsw/1)*(Tr_boost+Tf_boost))</f>
        <v>0.47564320886662292</v>
      </c>
      <c r="AS70" s="253">
        <f>IF(Table16[[#This Row],[Vin]]&gt;Vout, 0, IF(Table16[[#This Row],[Iin]]&gt;Table16[[#This Row],[Ripple Current pk-pk]]/2,0,ABS(Table16[[#This Row],[Iin]]-Table16[[#This Row],[Ripple Current pk-pk]]/2)*Vsd_Q4*Deadtime*Fsw))</f>
        <v>0</v>
      </c>
      <c r="AT70" s="345">
        <f>(Table16[[#This Row],[Dead Time Loss BoCtlr]]+Table16[[#This Row],[Transition Loss BoCtlr]]+Table16[[#This Row],[RDS(on) Loss BoCtlr]]*(1+RdsonTopTc*Ta-RdsonTopTc*25))/(1-Table16[[#This Row],[RDS(on) Loss BoCtlr]]*RdsonTopTc*ThetaJA_Q4)</f>
        <v>0.61271535391463061</v>
      </c>
      <c r="AU70"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9.5980809786034289</v>
      </c>
      <c r="AV70" s="345">
        <f>Rdson3*Table16[[#This Row],[Irms BoSync]]^2</f>
        <v>0.32243105465140137</v>
      </c>
      <c r="AW70"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0.26547159979155804</v>
      </c>
      <c r="AX70" s="345">
        <f>(Table16[[#This Row],[Deadtime Loss BoSync]]+Table16[[#This Row],[RDS(on) Loss BoSync]]*(1+RdsonBotTc*Ta-RdsonBotTc*25))/(1-Table16[[#This Row],[RDS(on) Loss BoSync]]*RdsonBotTc*ThetaJA_Q3)</f>
        <v>0.64169748568267171</v>
      </c>
      <c r="AY70" s="345">
        <f>CHOOSE(Table16[[#This Row],[Mode Digit]], Rdson3*Table16[[#This Row],[Irms Lf]]^2, Rdson1*Table16[[#This Row],[Irms Lf]]^2, 0)</f>
        <v>0</v>
      </c>
      <c r="AZ70" s="345">
        <f>CHOOSE(Table16[[#This Row],[Mode Digit]], 2*Deadtime*Fsw*IF(VfdSky_Q2&gt;0,VfdSky_Q2,0)*Table16[[#This Row],[Iout]], 2*Deadtime*Fsw*IF(VfdSky_Q3&gt;0,VfdSky_Q3,0)*Table16[[#This Row],[Iin]], 2*Deadtime*Fsw*IF(VfdSky_Q2&gt;0,VfdSky_Q2,0)*Table16[[#This Row],[Iout]]+2*Deadtime*Fsw*IF(VfdSky_Q3&gt;0,VfdSky_Q3,0)*Table16[[#This Row],[Iin]])</f>
        <v>0</v>
      </c>
      <c r="BA70" s="345">
        <f>CHOOSE(Table16[[#This Row],[Mode Digit]], IF(QrrSky_Q2&gt;0,QrrSky_Q2,Qrr_Q2)*Fsw*(Table16[[#This Row],[Vin]]-Table16[[#This Row],[Iout]]*Rdson1),0,  IF(QrrSky_Q2&gt;0,QrrSky_Q2,Qrr_Q2)*Fsw*(Table16[[#This Row],[Vin]]-Table16[[#This Row],[Iout]]*Rdson1)+IF(QrrSky_Q3&gt;0,QrrSky_Q3,Qrr_Q3)*Fsw*Vout)</f>
        <v>0.62744301999999996</v>
      </c>
      <c r="BB70" s="345">
        <f>CHOOSE(Table16[[#This Row],[Mode Digit]],0, IF(QrrSky_Q3&gt;0,QrrSky_Q3,Qrr_Q3)*Fsw*Vout,  IF(QrrSky_Q2&gt;0,QrrSky_Q2,Qrr_Q2)*Fsw*(Table16[[#This Row],[Vin]]-Table16[[#This Row],[Iout]]*Rdson1)+IF(QrrSky_Q3&gt;0,QrrSky_Q3,Qrr_Q3)*Fsw*Vout)</f>
        <v>0.62744301999999996</v>
      </c>
      <c r="BC70" s="345">
        <f>CHOOSE(Table16[[#This Row],[Mode Digit]], Rs*Table16[[#This Row],[Irms BuSync]]^2, Rs*Table16[[#This Row],[Irms BoCtlr]]^2, Rs*(Table16[[#This Row],[Irms BuSync]]^2+Table16[[#This Row],[Irms BoCtlr]]^2))</f>
        <v>8.1113526354086474E-2</v>
      </c>
      <c r="BD70" s="345">
        <f t="shared" si="1"/>
        <v>0.64</v>
      </c>
      <c r="BE70" s="345">
        <f>IF(Vout&gt;8, Iq*Vout, Iq*Table16[[#This Row],[Vin]])</f>
        <v>4.8000000000000001E-2</v>
      </c>
      <c r="BF70" s="345">
        <f>CHOOSE(Table16[[#This Row],[Mode Digit]], (Qg_Q1+Qg_Q2)*Fsw, (Qg_Q3+Qg_Q4)*Fsw, (Qg_Q1+Qg_Q2+Qg_Q3+Qg_Q4)*Fsw)*IF(Vout&gt;8, Vout, Table16[[#This Row],[Vin]])</f>
        <v>1.7066240000000001</v>
      </c>
      <c r="BG70" s="345">
        <f t="shared" si="2"/>
        <v>0.50594479787234037</v>
      </c>
      <c r="BH70" s="345">
        <f>Table16[[#This Row],[IQ Loss]]+Table16[[#This Row],[Switching Current Loss]]</f>
        <v>1.7546240000000002</v>
      </c>
      <c r="BI70"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7.7866477359757429</v>
      </c>
      <c r="BJ70" s="253">
        <f>Vout*Table16[[#This Row],[Iout]]</f>
        <v>128</v>
      </c>
      <c r="BK70" s="684">
        <f>Table16[[#This Row],[Pout]]/(Table16[[#This Row],[Pout]]+Table16[[#This Row],[Total Loss]])</f>
        <v>0.94265527674623684</v>
      </c>
      <c r="BL70"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121.39409060445097</v>
      </c>
      <c r="BM70" s="685">
        <f>IF(Table16[[#This Row],[Vin]]&gt;Vout, Table16[[#This Row],[Total Sync Bu MOSFET Loss]]*ThetaJA_Q2, ThetaJA_Q3*Table16[[#This Row],[Total Sync Bo MOSFET Loss]])</f>
        <v>41.710336569373659</v>
      </c>
      <c r="BN70" s="640"/>
      <c r="BO70" s="292">
        <f>Table16[[#This Row],[EFF, h]]*100</f>
        <v>94.265527674623684</v>
      </c>
      <c r="BP70" s="345">
        <f>Table16[[#This Row],[Total Inductor Loss]]</f>
        <v>1.1825269760587309</v>
      </c>
      <c r="BQ70" s="345">
        <f>Table16[[#This Row],[Total Control Bu MOSFET Loss]]+Table16[[#This Row],[Total Sync Bu MOSFET Loss]]+Table16[[#This Row],[Total Control Bo MOSFET Loss]]+Table16[[#This Row],[Total Sync Bo MOSFET Loss]]+Table16[[#This Row],[Reverse Recovery Loss MOSFET D BUCK]]+Table16[[#This Row],[Reverse Recovery Loss MOSFET D BOOST]]</f>
        <v>3.926937122643348</v>
      </c>
      <c r="BR70" s="345">
        <f>Table16[[#This Row],[Total Control Bu MOSFET Loss]]+Table16[[#This Row],[Reverse Recovery Loss MOSFET D BUCK]]*0.66</f>
        <v>1.4837430208104225</v>
      </c>
      <c r="BS70" s="345">
        <f>Table16[[#This Row],[Total Sync Bu MOSFET Loss]]+Table16[[#This Row],[Reverse Recovery Loss MOSFET D BUCK]]*0.33</f>
        <v>0.55506381203562338</v>
      </c>
      <c r="BT70" s="345">
        <f xml:space="preserve"> Table16[[#This Row],[Total Control Bo MOSFET Loss]]+Table16[[#This Row],[Reverse Recovery Loss MOSFET D BOOST]]*0.66</f>
        <v>1.0268277471146305</v>
      </c>
      <c r="BU70" s="345">
        <f xml:space="preserve"> Table16[[#This Row],[Total Sync Bo MOSFET Loss]]+Table16[[#This Row],[Reverse Recovery Loss MOSFET D BOOST]]*0.33</f>
        <v>0.84875368228267167</v>
      </c>
      <c r="BV70" s="345">
        <f>Table16[[#This Row],[Isense Shunt Loss]]</f>
        <v>8.1113526354086474E-2</v>
      </c>
      <c r="CB70" s="686"/>
      <c r="CC70" s="686"/>
    </row>
    <row r="71" spans="1:81" ht="13.6" x14ac:dyDescent="0.25">
      <c r="A71" s="678" t="s">
        <v>63</v>
      </c>
      <c r="B71" s="679" t="s">
        <v>8</v>
      </c>
      <c r="C71" s="681" t="s">
        <v>80</v>
      </c>
      <c r="G71" s="253">
        <v>62</v>
      </c>
      <c r="H71" s="286">
        <f>VIN_min+(VIN_max-VIN_min)*(Table16[[#This Row],[Step]]/200)</f>
        <v>15.3</v>
      </c>
      <c r="I71" s="292" t="str">
        <f>IF(Mode = 2,IF(Table16[[#This Row],[Vin]]&gt;Vout, "BUCK","BOOST"),IF(Table16[[#This Row],[Vin]]&gt;VIN_BB_to_buck, "BUCK", IF(Table16[[#This Row],[Vin]]&lt;=VIN_boost_to_BB,"BOOST","BUCK-BST")))</f>
        <v>BUCK-BST</v>
      </c>
      <c r="J71" s="253">
        <f>IF(Table16[[#This Row],[Mode]]="BOOST",2, IF(Table16[[#This Row],[Mode]]="BUCK", 1,3))</f>
        <v>3</v>
      </c>
      <c r="K71" s="253">
        <f t="shared" si="0"/>
        <v>8</v>
      </c>
      <c r="L71" s="292">
        <f>Vout*Table16[[#This Row],[Iout]]/(Table16[[#This Row],[Vin]]*Efficiency)</f>
        <v>8.8063295493636051</v>
      </c>
      <c r="M71" s="682">
        <f>MIN(1/Fsw,CHOOSE(Table16[[#This Row],[Mode Digit]],(Vout+(Rdson2+Rs+Rdcr)*Table16[[#This Row],[Iout]])/(Table16[[#This Row],[Vin]]+(Rs+Rdson2-Rdson1)*Table16[[#This Row],[Iout]])/Fsw,(Vout+(Rdson3+Rdcr)*Table16[[#This Row],[Iin]]-Table16[[#This Row],[Vin]])/(Vout+(Rdson3-Rdson4-Rs)*Table16[[#This Row],[Iin]])/Fsw,t1_Ph_II))</f>
        <v>1.5084238313644118E-6</v>
      </c>
      <c r="N71" s="518">
        <f>CHOOSE(Table16[[#This Row],[Mode Digit]],1/Fsw-Table16[[#This Row],[t1_Ph_II]],1/Fsw-Table16[[#This Row],[t1_Ph_II]],(Vout/Fsw-Table16[[#This Row],[Vin]]*t1_Ph_II)/(Table16[[#This Row],[Vin]]+Vout))</f>
        <v>5.4703260080671334E-7</v>
      </c>
      <c r="O71" s="518">
        <f>1/Fsw-(Table16[[#This Row],[t1_Ph_II]]+Table16[[#This Row],[t2_Ph_I]])</f>
        <v>4.5710638189922669E-7</v>
      </c>
      <c r="P71"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10.517366399424274</v>
      </c>
      <c r="Q71" s="292">
        <f>CHOOSE(Table16[[#This Row],[Mode Digit]],Table16[[#This Row],[I_0]]+1/Lf*(Table16[[#This Row],[Vin]]-Vout)*Table16[[#This Row],[t1_Ph_II]],Table16[[#This Row],[I_0]]+1/Lf*Table16[[#This Row],[Vin]]*Table16[[#This Row],[t1_Ph_II]],Table16[[#This Row],[I_0]]+(Table16[[#This Row],[Vin]]-Vout)/L*Table16[[#This Row],[t1_Ph_II]])</f>
        <v>9.9307571316714487</v>
      </c>
      <c r="R71" s="292">
        <f>CHOOSE(Table16[[#This Row],[Mode Digit]],0,0,Table16[[#This Row],[I_1]]+Table16[[#This Row],[Vin]]/L*Table16[[#This Row],[t2_Ph_I]])</f>
        <v>14.580534238528511</v>
      </c>
      <c r="S71" s="292">
        <f>Fsw*(Table16[[#This Row],[I_0]]*Table16[[#This Row],[t1_Ph_II]]+Table16[[#This Row],[I_1]]*Table16[[#This Row],[t2_Ph_I]]+Table16[[#This Row],[I_2]]*Table16[[#This Row],[t3_Ph_III]])</f>
        <v>11.128855810945536</v>
      </c>
      <c r="T71" s="345">
        <f>MIN(1,CHOOSE(Table16[[#This Row],[Mode Digit]],(Vout+(Rdson2+Rs+Rdcr)*Table16[[#This Row],[Iout]])/(Table16[[#This Row],[Vin]]+(Rs+Rdson2-Rdson1)*Table16[[#This Row],[Iout]]),1,Fsw*Table16[[#This Row],[t2_Ph_I]]+Table16[[#This Row],[t1_Ph_II]]))</f>
        <v>0.21772048354490328</v>
      </c>
      <c r="U71" s="345">
        <f>MIN(1,CHOOSE(Table16[[#This Row],[Mode Digit]],0,(Vout+(Rdson3+Rdcr)*Table16[[#This Row],[Iin]]-Table16[[#This Row],[Vin]])/(Vout+(Rdson3-Rdson4-Rs)*Table16[[#This Row],[Iin]]),Fsw*Table16[[#This Row],[t1_Ph_II]]+Table16[[#This Row],[t3_Ph_III]]))</f>
        <v>0.60035314198941769</v>
      </c>
      <c r="V71" s="292">
        <f>MAX(Table16[[#This Row],[I_0]:[I_2]])-MIN(Table16[[#This Row],[I_0]:[I_1]])</f>
        <v>4.6497771068570621</v>
      </c>
      <c r="W71"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11.169890514141525</v>
      </c>
      <c r="X71" s="345">
        <f>(Table16[[#This Row],[Irms Lf]]^2*Rdcr*(1+Ltc*Ta-Ltc*25))/(1-Table16[[#This Row],[Irms Lf]]^2*Rdcr*Ltc*ThetaCa)</f>
        <v>0.41242561478654133</v>
      </c>
      <c r="Y71" s="345">
        <f>ABS(7.759*10^-3*Fsw^0.9458*(0.00787*Table16[[#This Row],[Ripple Current pk-pk]])^2.304)</f>
        <v>0.75208094199249631</v>
      </c>
      <c r="Z71" s="345">
        <f>Table16[[#This Row],[DCR    Loss]]+Table16[[#This Row],[Core Loss]]</f>
        <v>1.1645065567790376</v>
      </c>
      <c r="AA71" s="292">
        <f>IF(Table16[[#This Row],[Vin]]&gt;Vout, Table16[[#This Row],[Ripple Current pk-pk]]/SQRT(12), SQRT(Table16[[#This Row],[Duty Cycle BOOST Leg]]/(1-Table16[[#This Row],[Duty Cycle BOOST Leg]]))*SQRT(Table16[[#This Row],[Iout]]^2+(Table16[[#This Row],[Ripple Current pk-pk]]^2)/12))</f>
        <v>9.9422288812184902</v>
      </c>
      <c r="AB71" s="345">
        <f>RCoutEsr*Table16[[#This Row],[Irms Cout]]^2</f>
        <v>0.19769583025307014</v>
      </c>
      <c r="AC71" s="345">
        <f>Table16[[#This Row],[Cout ESR Loss]]</f>
        <v>0.19769583025307014</v>
      </c>
      <c r="AD71" s="345">
        <f>IF(Table16[[#This Row],[Vin]]&gt;Vout, SQRT(Table16[[#This Row],[Duty Cycle BUCK Leg]]*(1-Table16[[#This Row],[Duty Cycle BUCK Leg]]))*SQRT(Table16[[#This Row],[Iout]]^2+(Table16[[#This Row],[Ripple Current pk-pk]]^2)/12), Table16[[#This Row],[Ripple Current pk-pk]]/SQRT(12))</f>
        <v>1.3422750321578421</v>
      </c>
      <c r="AE71" s="345">
        <f>RCinEsr*Table16[[#This Row],[Irms Cin]]^2</f>
        <v>3.6034045239086718E-3</v>
      </c>
      <c r="AF71" s="683">
        <f>Table16[[#This Row],[Cin ESR Loss]]</f>
        <v>3.6034045239086718E-3</v>
      </c>
      <c r="AG71"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9.7911585540989048</v>
      </c>
      <c r="AH71" s="345">
        <f>Rdson1*Table16[[#This Row],[Irms BuCtrl]]^2</f>
        <v>0.33553375041026456</v>
      </c>
      <c r="AI71" s="345">
        <f>CHOOSE(Table16[[#This Row],[Mode Digit]], (Table16[[#This Row],[Vin]]*Table16[[#This Row],[Iout]]/2)*(Fsw)*(Tr_buck+Tf_buck), 0, (Table16[[#This Row],[Vin]]*Table16[[#This Row],[Avg IL]]/2)*(Fsw/1)*(Tr_buck+Tf_buck))</f>
        <v>0.63724263214133192</v>
      </c>
      <c r="AJ71" s="253">
        <f>IF(Table16[[#This Row],[Vin]]&gt;Vout, IF(Table16[[#This Row],[Iout]]&gt;Table16[[#This Row],[Ripple Current pk-pk]]/2,0,ABS(Table16[[#This Row],[Iout]]-Table16[[#This Row],[Ripple Current pk-pk]]/2)*Vsd_Q1*Deadtime*Fsw),0)</f>
        <v>0</v>
      </c>
      <c r="AK71" s="345">
        <f>(Table16[[#This Row],[Dead Time Loss BuCtrl]]+Table16[[#This Row],[Transition Loss BuCtrl]]+Table16[[#This Row],[RDS(on) Loss BuCtrl]]*(1+RdsonTopTc*Ta-RdsonTopTc*25))/(1-Table16[[#This Row],[RDS(on) Loss BuCtrl]]*RdsonTopTc*ThetaJA_Q1)</f>
        <v>1.0657512129366351</v>
      </c>
      <c r="AL71" s="345">
        <f>CHOOSE(Table16[[#This Row],[Mode Digit]],SQRT((Fsw*(Table16[[#This Row],[t2_Ph_I]]+0))*((Table16[[#This Row],[I_0]]*Table16[[#This Row],[I_1]]+((Table16[[#This Row],[I_0]]-Table16[[#This Row],[I_1]])^2)/3))),0,SQRT((Fsw*(Table16[[#This Row],[t3_Ph_III]]+0))*((Table16[[#This Row],[I_0]]*Table16[[#This Row],[I_2]]+((Table16[[#This Row],[I_0]]-Table16[[#This Row],[I_2]])^2)/3))))</f>
        <v>5.3758411682642429</v>
      </c>
      <c r="AM71" s="345">
        <f>Rdson2*Table16[[#This Row],[Irms BuSync]]^2</f>
        <v>0.10114883893241632</v>
      </c>
      <c r="AN71"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71" s="345">
        <f>(Table16[[#This Row],[Deadtime Loss BuSync]]+Table16[[#This Row],[RDS(on) Loss BuSync]]*(1+RdsonBotTc*Ta-RdsonBotTc*25))/(1-Table16[[#This Row],[RDS(on) Loss BuSync]]*RdsonBotTc*ThetaJA_Q2)</f>
        <v>0.34913051700444342</v>
      </c>
      <c r="AP71" s="345">
        <f>CHOOSE(Table16[[#This Row],[Mode Digit]],0,SQRT((Fsw*(Table16[[#This Row],[t1_Ph_II]]+0))*((Table16[[#This Row],[I_0]]*Table16[[#This Row],[I_1]]+((Table16[[#This Row],[I_0]]-Table16[[#This Row],[I_1]])^2)/3))),SQRT((Fsw*(Table16[[#This Row],[t2_Ph_I]]+0))*((Table16[[#This Row],[I_1]]*Table16[[#This Row],[I_2]]+((Table16[[#This Row],[I_1]]-Table16[[#This Row],[I_2]])^2)/3))))</f>
        <v>5.7527245846236168</v>
      </c>
      <c r="AQ71" s="345">
        <f>Rdson4*Table16[[#This Row],[Irms BoCtlr]]^2</f>
        <v>0.11582844051286537</v>
      </c>
      <c r="AR71" s="345">
        <f>CHOOSE(Table16[[#This Row],[Mode Digit]], 0, (Vout*Table16[[#This Row],[Iin]]/2)*(Fsw)*(Tr_boost+Tf_boost), (Vout*Iout/2)*(Fsw/1)*(Tr_boost+Tf_boost))</f>
        <v>0.47564320886662292</v>
      </c>
      <c r="AS71" s="253">
        <f>IF(Table16[[#This Row],[Vin]]&gt;Vout, 0, IF(Table16[[#This Row],[Iin]]&gt;Table16[[#This Row],[Ripple Current pk-pk]]/2,0,ABS(Table16[[#This Row],[Iin]]-Table16[[#This Row],[Ripple Current pk-pk]]/2)*Vsd_Q4*Deadtime*Fsw))</f>
        <v>0</v>
      </c>
      <c r="AT71" s="345">
        <f>(Table16[[#This Row],[Dead Time Loss BoCtlr]]+Table16[[#This Row],[Transition Loss BoCtlr]]+Table16[[#This Row],[RDS(on) Loss BoCtlr]]*(1+RdsonTopTc*Ta-RdsonTopTc*25))/(1-Table16[[#This Row],[RDS(on) Loss BoCtlr]]*RdsonTopTc*ThetaJA_Q4)</f>
        <v>0.60983713531044725</v>
      </c>
      <c r="AU71"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9.5745816593403106</v>
      </c>
      <c r="AV71" s="345">
        <f>Rdson3*Table16[[#This Row],[Irms BoSync]]^2</f>
        <v>0.3208541488298155</v>
      </c>
      <c r="AW71"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0.26286893704850356</v>
      </c>
      <c r="AX71" s="345">
        <f>(Table16[[#This Row],[Deadtime Loss BoSync]]+Table16[[#This Row],[RDS(on) Loss BoSync]]*(1+RdsonBotTc*Ta-RdsonBotTc*25))/(1-Table16[[#This Row],[RDS(on) Loss BoSync]]*RdsonBotTc*ThetaJA_Q3)</f>
        <v>0.63685047644144444</v>
      </c>
      <c r="AY71" s="345">
        <f>CHOOSE(Table16[[#This Row],[Mode Digit]], Rdson3*Table16[[#This Row],[Irms Lf]]^2, Rdson1*Table16[[#This Row],[Irms Lf]]^2, 0)</f>
        <v>0</v>
      </c>
      <c r="AZ71" s="345">
        <f>CHOOSE(Table16[[#This Row],[Mode Digit]], 2*Deadtime*Fsw*IF(VfdSky_Q2&gt;0,VfdSky_Q2,0)*Table16[[#This Row],[Iout]], 2*Deadtime*Fsw*IF(VfdSky_Q3&gt;0,VfdSky_Q3,0)*Table16[[#This Row],[Iin]], 2*Deadtime*Fsw*IF(VfdSky_Q2&gt;0,VfdSky_Q2,0)*Table16[[#This Row],[Iout]]+2*Deadtime*Fsw*IF(VfdSky_Q3&gt;0,VfdSky_Q3,0)*Table16[[#This Row],[Iin]])</f>
        <v>0</v>
      </c>
      <c r="BA71" s="345">
        <f>CHOOSE(Table16[[#This Row],[Mode Digit]], IF(QrrSky_Q2&gt;0,QrrSky_Q2,Qrr_Q2)*Fsw*(Table16[[#This Row],[Vin]]-Table16[[#This Row],[Iout]]*Rdson1),0,  IF(QrrSky_Q2&gt;0,QrrSky_Q2,Qrr_Q2)*Fsw*(Table16[[#This Row],[Vin]]-Table16[[#This Row],[Iout]]*Rdson1)+IF(QrrSky_Q3&gt;0,QrrSky_Q3,Qrr_Q3)*Fsw*Vout)</f>
        <v>0.63012951999999989</v>
      </c>
      <c r="BB71" s="345">
        <f>CHOOSE(Table16[[#This Row],[Mode Digit]],0, IF(QrrSky_Q3&gt;0,QrrSky_Q3,Qrr_Q3)*Fsw*Vout,  IF(QrrSky_Q2&gt;0,QrrSky_Q2,Qrr_Q2)*Fsw*(Table16[[#This Row],[Vin]]-Table16[[#This Row],[Iout]]*Rdson1)+IF(QrrSky_Q3&gt;0,QrrSky_Q3,Qrr_Q3)*Fsw*Vout)</f>
        <v>0.63012951999999989</v>
      </c>
      <c r="BC71" s="345">
        <f>CHOOSE(Table16[[#This Row],[Mode Digit]], Rs*Table16[[#This Row],[Irms BuSync]]^2, Rs*Table16[[#This Row],[Irms BoCtlr]]^2, Rs*(Table16[[#This Row],[Irms BuSync]]^2+Table16[[#This Row],[Irms BoCtlr]]^2))</f>
        <v>8.0591560936818907E-2</v>
      </c>
      <c r="BD71" s="345">
        <f t="shared" si="1"/>
        <v>0.64</v>
      </c>
      <c r="BE71" s="345">
        <f>IF(Vout&gt;8, Iq*Vout, Iq*Table16[[#This Row],[Vin]])</f>
        <v>4.8000000000000001E-2</v>
      </c>
      <c r="BF71" s="345">
        <f>CHOOSE(Table16[[#This Row],[Mode Digit]], (Qg_Q1+Qg_Q2)*Fsw, (Qg_Q3+Qg_Q4)*Fsw, (Qg_Q1+Qg_Q2+Qg_Q3+Qg_Q4)*Fsw)*IF(Vout&gt;8, Vout, Table16[[#This Row],[Vin]])</f>
        <v>1.7066240000000001</v>
      </c>
      <c r="BG71" s="345">
        <f t="shared" si="2"/>
        <v>0.50594479787234037</v>
      </c>
      <c r="BH71" s="345">
        <f>Table16[[#This Row],[IQ Loss]]+Table16[[#This Row],[Switching Current Loss]]</f>
        <v>1.7546240000000002</v>
      </c>
      <c r="BI71"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7.7628497341858038</v>
      </c>
      <c r="BJ71" s="253">
        <f>Vout*Table16[[#This Row],[Iout]]</f>
        <v>128</v>
      </c>
      <c r="BK71" s="684">
        <f>Table16[[#This Row],[Pout]]/(Table16[[#This Row],[Pout]]+Table16[[#This Row],[Total Loss]])</f>
        <v>0.94282051570525427</v>
      </c>
      <c r="BL71"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121.55625139517906</v>
      </c>
      <c r="BM71" s="685">
        <f>IF(Table16[[#This Row],[Vin]]&gt;Vout, Table16[[#This Row],[Total Sync Bu MOSFET Loss]]*ThetaJA_Q2, ThetaJA_Q3*Table16[[#This Row],[Total Sync Bo MOSFET Loss]])</f>
        <v>41.395280968693889</v>
      </c>
      <c r="BN71" s="640"/>
      <c r="BO71" s="292">
        <f>Table16[[#This Row],[EFF, h]]*100</f>
        <v>94.282051570525425</v>
      </c>
      <c r="BP71" s="345">
        <f>Table16[[#This Row],[Total Inductor Loss]]</f>
        <v>1.1645065567790376</v>
      </c>
      <c r="BQ71" s="345">
        <f>Table16[[#This Row],[Total Control Bu MOSFET Loss]]+Table16[[#This Row],[Total Sync Bu MOSFET Loss]]+Table16[[#This Row],[Total Control Bo MOSFET Loss]]+Table16[[#This Row],[Total Sync Bo MOSFET Loss]]+Table16[[#This Row],[Reverse Recovery Loss MOSFET D BUCK]]+Table16[[#This Row],[Reverse Recovery Loss MOSFET D BOOST]]</f>
        <v>3.9218283816929693</v>
      </c>
      <c r="BR71" s="345">
        <f>Table16[[#This Row],[Total Control Bu MOSFET Loss]]+Table16[[#This Row],[Reverse Recovery Loss MOSFET D BUCK]]*0.66</f>
        <v>1.481636696136635</v>
      </c>
      <c r="BS71" s="345">
        <f>Table16[[#This Row],[Total Sync Bu MOSFET Loss]]+Table16[[#This Row],[Reverse Recovery Loss MOSFET D BUCK]]*0.33</f>
        <v>0.55707325860444334</v>
      </c>
      <c r="BT71" s="345">
        <f xml:space="preserve"> Table16[[#This Row],[Total Control Bo MOSFET Loss]]+Table16[[#This Row],[Reverse Recovery Loss MOSFET D BOOST]]*0.66</f>
        <v>1.0257226185104473</v>
      </c>
      <c r="BU71" s="345">
        <f xml:space="preserve"> Table16[[#This Row],[Total Sync Bo MOSFET Loss]]+Table16[[#This Row],[Reverse Recovery Loss MOSFET D BOOST]]*0.33</f>
        <v>0.84479321804144436</v>
      </c>
      <c r="BV71" s="345">
        <f>Table16[[#This Row],[Isense Shunt Loss]]</f>
        <v>8.0591560936818907E-2</v>
      </c>
      <c r="CB71" s="686"/>
      <c r="CC71" s="686"/>
    </row>
    <row r="72" spans="1:81" x14ac:dyDescent="0.2">
      <c r="A72" s="711" t="s">
        <v>91</v>
      </c>
      <c r="B72" s="714">
        <f>(Qgd_Q1+Qgs_Q1/2)*(RdsonDRT+Rgate1)/(Vdd-Vsp_Q1)*1000000000</f>
        <v>6.2488770259638073</v>
      </c>
      <c r="C72" s="255" t="s">
        <v>79</v>
      </c>
      <c r="D72" s="253" t="s">
        <v>644</v>
      </c>
      <c r="G72" s="253">
        <v>63</v>
      </c>
      <c r="H72" s="286">
        <f>VIN_min+(VIN_max-VIN_min)*(Table16[[#This Row],[Step]]/200)</f>
        <v>15.45</v>
      </c>
      <c r="I72" s="292" t="str">
        <f>IF(Mode = 2,IF(Table16[[#This Row],[Vin]]&gt;Vout, "BUCK","BOOST"),IF(Table16[[#This Row],[Vin]]&gt;VIN_BB_to_buck, "BUCK", IF(Table16[[#This Row],[Vin]]&lt;=VIN_boost_to_BB,"BOOST","BUCK-BST")))</f>
        <v>BUCK-BST</v>
      </c>
      <c r="J72" s="253">
        <f>IF(Table16[[#This Row],[Mode]]="BOOST",2, IF(Table16[[#This Row],[Mode]]="BUCK", 1,3))</f>
        <v>3</v>
      </c>
      <c r="K72" s="253">
        <f t="shared" si="0"/>
        <v>8</v>
      </c>
      <c r="L72" s="292">
        <f>Vout*Table16[[#This Row],[Iout]]/(Table16[[#This Row],[Vin]]*Efficiency)</f>
        <v>8.7208312042241527</v>
      </c>
      <c r="M72" s="682">
        <f>MIN(1/Fsw,CHOOSE(Table16[[#This Row],[Mode Digit]],(Vout+(Rdson2+Rs+Rdcr)*Table16[[#This Row],[Iout]])/(Table16[[#This Row],[Vin]]+(Rs+Rdson2-Rdson1)*Table16[[#This Row],[Iout]])/Fsw,(Vout+(Rdson3+Rdcr)*Table16[[#This Row],[Iin]]-Table16[[#This Row],[Vin]])/(Vout+(Rdson3-Rdson4-Rs)*Table16[[#This Row],[Iin]])/Fsw,t1_Ph_II))</f>
        <v>1.5084238313644118E-6</v>
      </c>
      <c r="N72" s="518">
        <f>CHOOSE(Table16[[#This Row],[Mode Digit]],1/Fsw-Table16[[#This Row],[t1_Ph_II]],1/Fsw-Table16[[#This Row],[t1_Ph_II]],(Vout/Fsw-Table16[[#This Row],[Vin]]*t1_Ph_II)/(Table16[[#This Row],[Vin]]+Vout))</f>
        <v>5.3722915200462543E-7</v>
      </c>
      <c r="O72" s="518">
        <f>1/Fsw-(Table16[[#This Row],[t1_Ph_II]]+Table16[[#This Row],[t2_Ph_I]])</f>
        <v>4.6690983070131491E-7</v>
      </c>
      <c r="P72"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10.396793047164438</v>
      </c>
      <c r="Q72" s="292">
        <f>CHOOSE(Table16[[#This Row],[Mode Digit]],Table16[[#This Row],[I_0]]+1/Lf*(Table16[[#This Row],[Vin]]-Vout)*Table16[[#This Row],[t1_Ph_II]],Table16[[#This Row],[I_0]]+1/Lf*Table16[[#This Row],[Vin]]*Table16[[#This Row],[t1_Ph_II]],Table16[[#This Row],[I_0]]+(Table16[[#This Row],[Vin]]-Vout)/L*Table16[[#This Row],[t1_Ph_II]])</f>
        <v>9.9358857653586448</v>
      </c>
      <c r="R72" s="292">
        <f>CHOOSE(Table16[[#This Row],[Mode Digit]],0,0,Table16[[#This Row],[I_1]]+Table16[[#This Row],[Vin]]/L*Table16[[#This Row],[t2_Ph_I]])</f>
        <v>14.547102653398346</v>
      </c>
      <c r="S72" s="292">
        <f>Fsw*(Table16[[#This Row],[I_0]]*Table16[[#This Row],[t1_Ph_II]]+Table16[[#This Row],[I_1]]*Table16[[#This Row],[t2_Ph_I]]+Table16[[#This Row],[I_2]]*Table16[[#This Row],[t3_Ph_III]])</f>
        <v>11.069495643088517</v>
      </c>
      <c r="T72" s="345">
        <f>MIN(1,CHOOSE(Table16[[#This Row],[Mode Digit]],(Vout+(Rdson2+Rs+Rdcr)*Table16[[#This Row],[Iout]])/(Table16[[#This Row],[Vin]]+(Rs+Rdson2-Rdson1)*Table16[[#This Row],[Iout]]),1,Fsw*Table16[[#This Row],[t2_Ph_I]]+Table16[[#This Row],[t1_Ph_II]]))</f>
        <v>0.21381871092167229</v>
      </c>
      <c r="U72" s="345">
        <f>MIN(1,CHOOSE(Table16[[#This Row],[Mode Digit]],0,(Vout+(Rdson3+Rdcr)*Table16[[#This Row],[Iin]]-Table16[[#This Row],[Vin]])/(Vout+(Rdson3-Rdson4-Rs)*Table16[[#This Row],[Iin]]),Fsw*Table16[[#This Row],[t1_Ph_II]]+Table16[[#This Row],[t3_Ph_III]]))</f>
        <v>0.60035315179286652</v>
      </c>
      <c r="V72" s="292">
        <f>MAX(Table16[[#This Row],[I_0]:[I_2]])-MIN(Table16[[#This Row],[I_0]:[I_1]])</f>
        <v>4.6112168880397011</v>
      </c>
      <c r="W72"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11.119916819282253</v>
      </c>
      <c r="X72" s="345">
        <f>(Table16[[#This Row],[Irms Lf]]^2*Rdcr*(1+Ltc*Ta-Ltc*25))/(1-Table16[[#This Row],[Irms Lf]]^2*Rdcr*Ltc*ThetaCa)</f>
        <v>0.40862314753441203</v>
      </c>
      <c r="Y72" s="345">
        <f>ABS(7.759*10^-3*Fsw^0.9458*(0.00787*Table16[[#This Row],[Ripple Current pk-pk]])^2.304)</f>
        <v>0.73778865243977454</v>
      </c>
      <c r="Z72" s="345">
        <f>Table16[[#This Row],[DCR    Loss]]+Table16[[#This Row],[Core Loss]]</f>
        <v>1.1464117999741865</v>
      </c>
      <c r="AA72" s="292">
        <f>IF(Table16[[#This Row],[Vin]]&gt;Vout, Table16[[#This Row],[Ripple Current pk-pk]]/SQRT(12), SQRT(Table16[[#This Row],[Duty Cycle BOOST Leg]]/(1-Table16[[#This Row],[Duty Cycle BOOST Leg]]))*SQRT(Table16[[#This Row],[Iout]]^2+(Table16[[#This Row],[Ripple Current pk-pk]]^2)/12))</f>
        <v>9.9399806428071287</v>
      </c>
      <c r="AB72" s="345">
        <f>RCoutEsr*Table16[[#This Row],[Irms Cout]]^2</f>
        <v>0.19760643035876083</v>
      </c>
      <c r="AC72" s="345">
        <f>Table16[[#This Row],[Cout ESR Loss]]</f>
        <v>0.19760643035876083</v>
      </c>
      <c r="AD72" s="345">
        <f>IF(Table16[[#This Row],[Vin]]&gt;Vout, SQRT(Table16[[#This Row],[Duty Cycle BUCK Leg]]*(1-Table16[[#This Row],[Duty Cycle BUCK Leg]]))*SQRT(Table16[[#This Row],[Iout]]^2+(Table16[[#This Row],[Ripple Current pk-pk]]^2)/12), Table16[[#This Row],[Ripple Current pk-pk]]/SQRT(12))</f>
        <v>1.331143655800735</v>
      </c>
      <c r="AE72" s="345">
        <f>RCinEsr*Table16[[#This Row],[Irms Cin]]^2</f>
        <v>3.5438868647570915E-3</v>
      </c>
      <c r="AF72" s="683">
        <f>Table16[[#This Row],[Cin ESR Loss]]</f>
        <v>3.5438868647570915E-3</v>
      </c>
      <c r="AG72"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9.7200837120049286</v>
      </c>
      <c r="AH72" s="345">
        <f>Rdson1*Table16[[#This Row],[Irms BuCtrl]]^2</f>
        <v>0.33068009578934232</v>
      </c>
      <c r="AI72" s="345">
        <f>CHOOSE(Table16[[#This Row],[Mode Digit]], (Table16[[#This Row],[Vin]]*Table16[[#This Row],[Iout]]/2)*(Fsw)*(Tr_buck+Tf_buck), 0, (Table16[[#This Row],[Vin]]*Table16[[#This Row],[Avg IL]]/2)*(Fsw/1)*(Tr_buck+Tf_buck))</f>
        <v>0.6400577991254548</v>
      </c>
      <c r="AJ72" s="253">
        <f>IF(Table16[[#This Row],[Vin]]&gt;Vout, IF(Table16[[#This Row],[Iout]]&gt;Table16[[#This Row],[Ripple Current pk-pk]]/2,0,ABS(Table16[[#This Row],[Iout]]-Table16[[#This Row],[Ripple Current pk-pk]]/2)*Vsd_Q1*Deadtime*Fsw),0)</f>
        <v>0</v>
      </c>
      <c r="AK72" s="345">
        <f>(Table16[[#This Row],[Dead Time Loss BuCtrl]]+Table16[[#This Row],[Transition Loss BuCtrl]]+Table16[[#This Row],[RDS(on) Loss BuCtrl]]*(1+RdsonTopTc*Ta-RdsonTopTc*25))/(1-Table16[[#This Row],[RDS(on) Loss BuCtrl]]*RdsonTopTc*ThetaJA_Q1)</f>
        <v>1.0620495424682701</v>
      </c>
      <c r="AL72" s="345">
        <f>CHOOSE(Table16[[#This Row],[Mode Digit]],SQRT((Fsw*(Table16[[#This Row],[t2_Ph_I]]+0))*((Table16[[#This Row],[I_0]]*Table16[[#This Row],[I_1]]+((Table16[[#This Row],[I_0]]-Table16[[#This Row],[I_1]])^2)/3))),0,SQRT((Fsw*(Table16[[#This Row],[t3_Ph_III]]+0))*((Table16[[#This Row],[I_0]]*Table16[[#This Row],[I_2]]+((Table16[[#This Row],[I_0]]-Table16[[#This Row],[I_2]])^2)/3))))</f>
        <v>5.4011593847407262</v>
      </c>
      <c r="AM72" s="345">
        <f>Rdson2*Table16[[#This Row],[Irms BuSync]]^2</f>
        <v>0.10210382944780487</v>
      </c>
      <c r="AN72"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72" s="345">
        <f>(Table16[[#This Row],[Deadtime Loss BuSync]]+Table16[[#This Row],[RDS(on) Loss BuSync]]*(1+RdsonBotTc*Ta-RdsonBotTc*25))/(1-Table16[[#This Row],[RDS(on) Loss BuSync]]*RdsonBotTc*ThetaJA_Q2)</f>
        <v>0.35020060334364755</v>
      </c>
      <c r="AP72" s="345">
        <f>CHOOSE(Table16[[#This Row],[Mode Digit]],0,SQRT((Fsw*(Table16[[#This Row],[t1_Ph_II]]+0))*((Table16[[#This Row],[I_0]]*Table16[[#This Row],[I_1]]+((Table16[[#This Row],[I_0]]-Table16[[#This Row],[I_1]])^2)/3))),SQRT((Fsw*(Table16[[#This Row],[t2_Ph_I]]+0))*((Table16[[#This Row],[I_1]]*Table16[[#This Row],[I_2]]+((Table16[[#This Row],[I_1]]-Table16[[#This Row],[I_2]])^2)/3))))</f>
        <v>5.6938803675666545</v>
      </c>
      <c r="AQ72" s="345">
        <f>Rdson4*Table16[[#This Row],[Irms BoCtlr]]^2</f>
        <v>0.11347095774056343</v>
      </c>
      <c r="AR72" s="345">
        <f>CHOOSE(Table16[[#This Row],[Mode Digit]], 0, (Vout*Table16[[#This Row],[Iin]]/2)*(Fsw)*(Tr_boost+Tf_boost), (Vout*Iout/2)*(Fsw/1)*(Tr_boost+Tf_boost))</f>
        <v>0.47564320886662292</v>
      </c>
      <c r="AS72" s="253">
        <f>IF(Table16[[#This Row],[Vin]]&gt;Vout, 0, IF(Table16[[#This Row],[Iin]]&gt;Table16[[#This Row],[Ripple Current pk-pk]]/2,0,ABS(Table16[[#This Row],[Iin]]-Table16[[#This Row],[Ripple Current pk-pk]]/2)*Vsd_Q4*Deadtime*Fsw))</f>
        <v>0</v>
      </c>
      <c r="AT72" s="345">
        <f>(Table16[[#This Row],[Dead Time Loss BoCtlr]]+Table16[[#This Row],[Transition Loss BoCtlr]]+Table16[[#This Row],[RDS(on) Loss BoCtlr]]*(1+RdsonTopTc*Ta-RdsonTopTc*25))/(1-Table16[[#This Row],[RDS(on) Loss BoCtlr]]*RdsonTopTc*ThetaJA_Q4)</f>
        <v>0.60702282659835627</v>
      </c>
      <c r="AU72"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9.5515588480412621</v>
      </c>
      <c r="AV72" s="345">
        <f>Rdson3*Table16[[#This Row],[Irms BoSync]]^2</f>
        <v>0.31931296749658361</v>
      </c>
      <c r="AW72"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0.26031681144609092</v>
      </c>
      <c r="AX72" s="345">
        <f>(Table16[[#This Row],[Deadtime Loss BoSync]]+Table16[[#This Row],[RDS(on) Loss BoSync]]*(1+RdsonBotTc*Ta-RdsonBotTc*25))/(1-Table16[[#This Row],[RDS(on) Loss BoSync]]*RdsonBotTc*ThetaJA_Q3)</f>
        <v>0.63210827489172883</v>
      </c>
      <c r="AY72" s="345">
        <f>CHOOSE(Table16[[#This Row],[Mode Digit]], Rdson3*Table16[[#This Row],[Irms Lf]]^2, Rdson1*Table16[[#This Row],[Irms Lf]]^2, 0)</f>
        <v>0</v>
      </c>
      <c r="AZ72" s="345">
        <f>CHOOSE(Table16[[#This Row],[Mode Digit]], 2*Deadtime*Fsw*IF(VfdSky_Q2&gt;0,VfdSky_Q2,0)*Table16[[#This Row],[Iout]], 2*Deadtime*Fsw*IF(VfdSky_Q3&gt;0,VfdSky_Q3,0)*Table16[[#This Row],[Iin]], 2*Deadtime*Fsw*IF(VfdSky_Q2&gt;0,VfdSky_Q2,0)*Table16[[#This Row],[Iout]]+2*Deadtime*Fsw*IF(VfdSky_Q3&gt;0,VfdSky_Q3,0)*Table16[[#This Row],[Iin]])</f>
        <v>0</v>
      </c>
      <c r="BA72" s="345">
        <f>CHOOSE(Table16[[#This Row],[Mode Digit]], IF(QrrSky_Q2&gt;0,QrrSky_Q2,Qrr_Q2)*Fsw*(Table16[[#This Row],[Vin]]-Table16[[#This Row],[Iout]]*Rdson1),0,  IF(QrrSky_Q2&gt;0,QrrSky_Q2,Qrr_Q2)*Fsw*(Table16[[#This Row],[Vin]]-Table16[[#This Row],[Iout]]*Rdson1)+IF(QrrSky_Q3&gt;0,QrrSky_Q3,Qrr_Q3)*Fsw*Vout)</f>
        <v>0.63281601999999992</v>
      </c>
      <c r="BB72" s="345">
        <f>CHOOSE(Table16[[#This Row],[Mode Digit]],0, IF(QrrSky_Q3&gt;0,QrrSky_Q3,Qrr_Q3)*Fsw*Vout,  IF(QrrSky_Q2&gt;0,QrrSky_Q2,Qrr_Q2)*Fsw*(Table16[[#This Row],[Vin]]-Table16[[#This Row],[Iout]]*Rdson1)+IF(QrrSky_Q3&gt;0,QrrSky_Q3,Qrr_Q3)*Fsw*Vout)</f>
        <v>0.63281601999999992</v>
      </c>
      <c r="BC72" s="345">
        <f>CHOOSE(Table16[[#This Row],[Mode Digit]], Rs*Table16[[#This Row],[Irms BuSync]]^2, Rs*Table16[[#This Row],[Irms BoCtlr]]^2, Rs*(Table16[[#This Row],[Irms BuSync]]^2+Table16[[#This Row],[Irms BoCtlr]]^2))</f>
        <v>8.0070635241393934E-2</v>
      </c>
      <c r="BD72" s="345">
        <f t="shared" si="1"/>
        <v>0.64</v>
      </c>
      <c r="BE72" s="345">
        <f>IF(Vout&gt;8, Iq*Vout, Iq*Table16[[#This Row],[Vin]])</f>
        <v>4.8000000000000001E-2</v>
      </c>
      <c r="BF72" s="345">
        <f>CHOOSE(Table16[[#This Row],[Mode Digit]], (Qg_Q1+Qg_Q2)*Fsw, (Qg_Q3+Qg_Q4)*Fsw, (Qg_Q1+Qg_Q2+Qg_Q3+Qg_Q4)*Fsw)*IF(Vout&gt;8, Vout, Table16[[#This Row],[Vin]])</f>
        <v>1.7066240000000001</v>
      </c>
      <c r="BG72" s="345">
        <f t="shared" si="2"/>
        <v>0.50594479787234037</v>
      </c>
      <c r="BH72" s="345">
        <f>Table16[[#This Row],[IQ Loss]]+Table16[[#This Row],[Switching Current Loss]]</f>
        <v>1.7546240000000002</v>
      </c>
      <c r="BI72"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7.7392700397411005</v>
      </c>
      <c r="BJ72" s="253">
        <f>Vout*Table16[[#This Row],[Iout]]</f>
        <v>128</v>
      </c>
      <c r="BK72" s="684">
        <f>Table16[[#This Row],[Pout]]/(Table16[[#This Row],[Pout]]+Table16[[#This Row],[Total Loss]])</f>
        <v>0.94298429601488776</v>
      </c>
      <c r="BL72"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121.72256632889314</v>
      </c>
      <c r="BM72" s="685">
        <f>IF(Table16[[#This Row],[Vin]]&gt;Vout, Table16[[#This Row],[Total Sync Bu MOSFET Loss]]*ThetaJA_Q2, ThetaJA_Q3*Table16[[#This Row],[Total Sync Bo MOSFET Loss]])</f>
        <v>41.087037867962373</v>
      </c>
      <c r="BN72" s="640"/>
      <c r="BO72" s="292">
        <f>Table16[[#This Row],[EFF, h]]*100</f>
        <v>94.298429601488778</v>
      </c>
      <c r="BP72" s="345">
        <f>Table16[[#This Row],[Total Inductor Loss]]</f>
        <v>1.1464117999741865</v>
      </c>
      <c r="BQ72" s="345">
        <f>Table16[[#This Row],[Total Control Bu MOSFET Loss]]+Table16[[#This Row],[Total Sync Bu MOSFET Loss]]+Table16[[#This Row],[Total Control Bo MOSFET Loss]]+Table16[[#This Row],[Total Sync Bo MOSFET Loss]]+Table16[[#This Row],[Reverse Recovery Loss MOSFET D BUCK]]+Table16[[#This Row],[Reverse Recovery Loss MOSFET D BOOST]]</f>
        <v>3.9170132873020025</v>
      </c>
      <c r="BR72" s="345">
        <f>Table16[[#This Row],[Total Control Bu MOSFET Loss]]+Table16[[#This Row],[Reverse Recovery Loss MOSFET D BUCK]]*0.66</f>
        <v>1.4797081156682701</v>
      </c>
      <c r="BS72" s="345">
        <f>Table16[[#This Row],[Total Sync Bu MOSFET Loss]]+Table16[[#This Row],[Reverse Recovery Loss MOSFET D BUCK]]*0.33</f>
        <v>0.55902988994364755</v>
      </c>
      <c r="BT72" s="345">
        <f xml:space="preserve"> Table16[[#This Row],[Total Control Bo MOSFET Loss]]+Table16[[#This Row],[Reverse Recovery Loss MOSFET D BOOST]]*0.66</f>
        <v>1.0246813997983564</v>
      </c>
      <c r="BU72" s="345">
        <f xml:space="preserve"> Table16[[#This Row],[Total Sync Bo MOSFET Loss]]+Table16[[#This Row],[Reverse Recovery Loss MOSFET D BOOST]]*0.33</f>
        <v>0.84093756149172882</v>
      </c>
      <c r="BV72" s="345">
        <f>Table16[[#This Row],[Isense Shunt Loss]]</f>
        <v>8.0070635241393934E-2</v>
      </c>
      <c r="CB72" s="686"/>
      <c r="CC72" s="686"/>
    </row>
    <row r="73" spans="1:81" x14ac:dyDescent="0.2">
      <c r="A73" s="713" t="s">
        <v>92</v>
      </c>
      <c r="B73" s="714">
        <f>(Qgd_Q1+Qgs_Q1/2)*(RdsonDRT2+Rgate1)/(Vsp_Q1)*1000000000</f>
        <v>12.55770185950413</v>
      </c>
      <c r="C73" s="255" t="s">
        <v>79</v>
      </c>
      <c r="D73" s="253" t="s">
        <v>645</v>
      </c>
      <c r="G73" s="253">
        <v>64</v>
      </c>
      <c r="H73" s="286">
        <f>VIN_min+(VIN_max-VIN_min)*(Table16[[#This Row],[Step]]/200)</f>
        <v>15.6</v>
      </c>
      <c r="I73" s="292" t="str">
        <f>IF(Mode = 2,IF(Table16[[#This Row],[Vin]]&gt;Vout, "BUCK","BOOST"),IF(Table16[[#This Row],[Vin]]&gt;VIN_BB_to_buck, "BUCK", IF(Table16[[#This Row],[Vin]]&lt;=VIN_boost_to_BB,"BOOST","BUCK-BST")))</f>
        <v>BUCK-BST</v>
      </c>
      <c r="J73" s="253">
        <f>IF(Table16[[#This Row],[Mode]]="BOOST",2, IF(Table16[[#This Row],[Mode]]="BUCK", 1,3))</f>
        <v>3</v>
      </c>
      <c r="K73" s="253">
        <f t="shared" ref="K73:K136" si="4">Iout</f>
        <v>8</v>
      </c>
      <c r="L73" s="292">
        <f>Vout*Table16[[#This Row],[Iout]]/(Table16[[#This Row],[Vin]]*Efficiency)</f>
        <v>8.6369770580296912</v>
      </c>
      <c r="M73" s="682">
        <f>MIN(1/Fsw,CHOOSE(Table16[[#This Row],[Mode Digit]],(Vout+(Rdson2+Rs+Rdcr)*Table16[[#This Row],[Iout]])/(Table16[[#This Row],[Vin]]+(Rs+Rdson2-Rdson1)*Table16[[#This Row],[Iout]])/Fsw,(Vout+(Rdson3+Rdcr)*Table16[[#This Row],[Iin]]-Table16[[#This Row],[Vin]])/(Vout+(Rdson3-Rdson4-Rs)*Table16[[#This Row],[Iin]])/Fsw,t1_Ph_II))</f>
        <v>1.5084238313644118E-6</v>
      </c>
      <c r="N73" s="518">
        <f>CHOOSE(Table16[[#This Row],[Mode Digit]],1/Fsw-Table16[[#This Row],[t1_Ph_II]],1/Fsw-Table16[[#This Row],[t1_Ph_II]],(Vout/Fsw-Table16[[#This Row],[Vin]]*t1_Ph_II)/(Table16[[#This Row],[Vin]]+Vout))</f>
        <v>5.275187739190129E-7</v>
      </c>
      <c r="O73" s="518">
        <f>1/Fsw-(Table16[[#This Row],[t1_Ph_II]]+Table16[[#This Row],[t2_Ph_I]])</f>
        <v>4.7662020878692733E-7</v>
      </c>
      <c r="P73"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10.277660740406686</v>
      </c>
      <c r="Q73" s="292">
        <f>CHOOSE(Table16[[#This Row],[Mode Digit]],Table16[[#This Row],[I_0]]+1/Lf*(Table16[[#This Row],[Vin]]-Vout)*Table16[[#This Row],[t1_Ph_II]],Table16[[#This Row],[I_0]]+1/Lf*Table16[[#This Row],[Vin]]*Table16[[#This Row],[t1_Ph_II]],Table16[[#This Row],[I_0]]+(Table16[[#This Row],[Vin]]-Vout)/L*Table16[[#This Row],[t1_Ph_II]])</f>
        <v>9.9424554445479281</v>
      </c>
      <c r="R73" s="292">
        <f>CHOOSE(Table16[[#This Row],[Mode Digit]],0,0,Table16[[#This Row],[I_1]]+Table16[[#This Row],[Vin]]/L*Table16[[#This Row],[t2_Ph_I]])</f>
        <v>14.514284818512706</v>
      </c>
      <c r="S73" s="292">
        <f>Fsw*(Table16[[#This Row],[I_0]]*Table16[[#This Row],[t1_Ph_II]]+Table16[[#This Row],[I_1]]*Table16[[#This Row],[t2_Ph_I]]+Table16[[#This Row],[I_2]]*Table16[[#This Row],[t3_Ph_III]])</f>
        <v>11.010949299665153</v>
      </c>
      <c r="T73" s="345">
        <f>MIN(1,CHOOSE(Table16[[#This Row],[Mode Digit]],(Vout+(Rdson2+Rs+Rdcr)*Table16[[#This Row],[Iout]])/(Table16[[#This Row],[Vin]]+(Rs+Rdson2-Rdson1)*Table16[[#This Row],[Iout]]),1,Fsw*Table16[[#This Row],[t2_Ph_I]]+Table16[[#This Row],[t1_Ph_II]]))</f>
        <v>0.2099539804435985</v>
      </c>
      <c r="U73" s="345">
        <f>MIN(1,CHOOSE(Table16[[#This Row],[Mode Digit]],0,(Vout+(Rdson3+Rdcr)*Table16[[#This Row],[Iin]]-Table16[[#This Row],[Vin]])/(Vout+(Rdson3-Rdson4-Rs)*Table16[[#This Row],[Iin]]),Fsw*Table16[[#This Row],[t1_Ph_II]]+Table16[[#This Row],[t3_Ph_III]]))</f>
        <v>0.60035316150324458</v>
      </c>
      <c r="V73" s="292">
        <f>MAX(Table16[[#This Row],[I_0]:[I_2]])-MIN(Table16[[#This Row],[I_0]:[I_1]])</f>
        <v>4.5718293739647784</v>
      </c>
      <c r="W73"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11.070791916621042</v>
      </c>
      <c r="X73" s="345">
        <f>(Table16[[#This Row],[Irms Lf]]^2*Rdcr*(1+Ltc*Ta-Ltc*25))/(1-Table16[[#This Row],[Irms Lf]]^2*Rdcr*Ltc*ThetaCa)</f>
        <v>0.40490405032211091</v>
      </c>
      <c r="Y73" s="345">
        <f>ABS(7.759*10^-3*Fsw^0.9458*(0.00787*Table16[[#This Row],[Ripple Current pk-pk]])^2.304)</f>
        <v>0.72334975088430431</v>
      </c>
      <c r="Z73" s="345">
        <f>Table16[[#This Row],[DCR    Loss]]+Table16[[#This Row],[Core Loss]]</f>
        <v>1.1282538012064152</v>
      </c>
      <c r="AA73" s="292">
        <f>IF(Table16[[#This Row],[Vin]]&gt;Vout, Table16[[#This Row],[Ripple Current pk-pk]]/SQRT(12), SQRT(Table16[[#This Row],[Duty Cycle BOOST Leg]]/(1-Table16[[#This Row],[Duty Cycle BOOST Leg]]))*SQRT(Table16[[#This Row],[Iout]]^2+(Table16[[#This Row],[Ripple Current pk-pk]]^2)/12))</f>
        <v>9.9377029749765597</v>
      </c>
      <c r="AB73" s="345">
        <f>RCoutEsr*Table16[[#This Row],[Irms Cout]]^2</f>
        <v>0.19751588083771596</v>
      </c>
      <c r="AC73" s="345">
        <f>Table16[[#This Row],[Cout ESR Loss]]</f>
        <v>0.19751588083771596</v>
      </c>
      <c r="AD73" s="345">
        <f>IF(Table16[[#This Row],[Vin]]&gt;Vout, SQRT(Table16[[#This Row],[Duty Cycle BUCK Leg]]*(1-Table16[[#This Row],[Duty Cycle BUCK Leg]]))*SQRT(Table16[[#This Row],[Iout]]^2+(Table16[[#This Row],[Ripple Current pk-pk]]^2)/12), Table16[[#This Row],[Ripple Current pk-pk]]/SQRT(12))</f>
        <v>1.3197734598738016</v>
      </c>
      <c r="AE73" s="345">
        <f>RCinEsr*Table16[[#This Row],[Irms Cin]]^2</f>
        <v>3.4836039707745298E-3</v>
      </c>
      <c r="AF73" s="683">
        <f>Table16[[#This Row],[Cin ESR Loss]]</f>
        <v>3.4836039707745298E-3</v>
      </c>
      <c r="AG73"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9.6503969604138575</v>
      </c>
      <c r="AH73" s="345">
        <f>Rdson1*Table16[[#This Row],[Irms BuCtrl]]^2</f>
        <v>0.32595556522747759</v>
      </c>
      <c r="AI73" s="345">
        <f>CHOOSE(Table16[[#This Row],[Mode Digit]], (Table16[[#This Row],[Vin]]*Table16[[#This Row],[Iout]]/2)*(Fsw)*(Tr_buck+Tf_buck), 0, (Table16[[#This Row],[Vin]]*Table16[[#This Row],[Avg IL]]/2)*(Fsw/1)*(Tr_buck+Tf_buck))</f>
        <v>0.6428538329460014</v>
      </c>
      <c r="AJ73" s="253">
        <f>IF(Table16[[#This Row],[Vin]]&gt;Vout, IF(Table16[[#This Row],[Iout]]&gt;Table16[[#This Row],[Ripple Current pk-pk]]/2,0,ABS(Table16[[#This Row],[Iout]]-Table16[[#This Row],[Ripple Current pk-pk]]/2)*Vsd_Q1*Deadtime*Fsw),0)</f>
        <v>0</v>
      </c>
      <c r="AK73" s="345">
        <f>(Table16[[#This Row],[Dead Time Loss BuCtrl]]+Table16[[#This Row],[Transition Loss BuCtrl]]+Table16[[#This Row],[RDS(on) Loss BuCtrl]]*(1+RdsonTopTc*Ta-RdsonTopTc*25))/(1-Table16[[#This Row],[RDS(on) Loss BuCtrl]]*RdsonTopTc*ThetaJA_Q1)</f>
        <v>1.0585170764853458</v>
      </c>
      <c r="AL73" s="345">
        <f>CHOOSE(Table16[[#This Row],[Mode Digit]],SQRT((Fsw*(Table16[[#This Row],[t2_Ph_I]]+0))*((Table16[[#This Row],[I_0]]*Table16[[#This Row],[I_1]]+((Table16[[#This Row],[I_0]]-Table16[[#This Row],[I_1]])^2)/3))),0,SQRT((Fsw*(Table16[[#This Row],[t3_Ph_III]]+0))*((Table16[[#This Row],[I_0]]*Table16[[#This Row],[I_2]]+((Table16[[#This Row],[I_0]]-Table16[[#This Row],[I_2]])^2)/3))))</f>
        <v>5.4251518105539489</v>
      </c>
      <c r="AM73" s="345">
        <f>Rdson2*Table16[[#This Row],[Irms BuSync]]^2</f>
        <v>0.10301295258644877</v>
      </c>
      <c r="AN73"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73" s="345">
        <f>(Table16[[#This Row],[Deadtime Loss BuSync]]+Table16[[#This Row],[RDS(on) Loss BuSync]]*(1+RdsonBotTc*Ta-RdsonBotTc*25))/(1-Table16[[#This Row],[RDS(on) Loss BuSync]]*RdsonBotTc*ThetaJA_Q2)</f>
        <v>0.35121980166838751</v>
      </c>
      <c r="AP73" s="345">
        <f>CHOOSE(Table16[[#This Row],[Mode Digit]],0,SQRT((Fsw*(Table16[[#This Row],[t1_Ph_II]]+0))*((Table16[[#This Row],[I_0]]*Table16[[#This Row],[I_1]]+((Table16[[#This Row],[I_0]]-Table16[[#This Row],[I_1]])^2)/3))),SQRT((Fsw*(Table16[[#This Row],[t2_Ph_I]]+0))*((Table16[[#This Row],[I_1]]*Table16[[#This Row],[I_2]]+((Table16[[#This Row],[I_1]]-Table16[[#This Row],[I_2]])^2)/3))))</f>
        <v>5.635647807031229</v>
      </c>
      <c r="AQ73" s="345">
        <f>Rdson4*Table16[[#This Row],[Irms BoCtlr]]^2</f>
        <v>0.11116184171713565</v>
      </c>
      <c r="AR73" s="345">
        <f>CHOOSE(Table16[[#This Row],[Mode Digit]], 0, (Vout*Table16[[#This Row],[Iin]]/2)*(Fsw)*(Tr_boost+Tf_boost), (Vout*Iout/2)*(Fsw/1)*(Tr_boost+Tf_boost))</f>
        <v>0.47564320886662292</v>
      </c>
      <c r="AS73" s="253">
        <f>IF(Table16[[#This Row],[Vin]]&gt;Vout, 0, IF(Table16[[#This Row],[Iin]]&gt;Table16[[#This Row],[Ripple Current pk-pk]]/2,0,ABS(Table16[[#This Row],[Iin]]-Table16[[#This Row],[Ripple Current pk-pk]]/2)*Vsd_Q4*Deadtime*Fsw))</f>
        <v>0</v>
      </c>
      <c r="AT73" s="345">
        <f>(Table16[[#This Row],[Dead Time Loss BoCtlr]]+Table16[[#This Row],[Transition Loss BoCtlr]]+Table16[[#This Row],[RDS(on) Loss BoCtlr]]*(1+RdsonTopTc*Ta-RdsonTopTc*25))/(1-Table16[[#This Row],[RDS(on) Loss BoCtlr]]*RdsonTopTc*ThetaJA_Q4)</f>
        <v>0.60426970113035194</v>
      </c>
      <c r="AU73"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9.5290034870507796</v>
      </c>
      <c r="AV73" s="345">
        <f>Rdson3*Table16[[#This Row],[Irms BoSync]]^2</f>
        <v>0.3178066760967907</v>
      </c>
      <c r="AW73"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0.25781376518218624</v>
      </c>
      <c r="AX73" s="345">
        <f>(Table16[[#This Row],[Deadtime Loss BoSync]]+Table16[[#This Row],[RDS(on) Loss BoSync]]*(1+RdsonBotTc*Ta-RdsonBotTc*25))/(1-Table16[[#This Row],[RDS(on) Loss BoSync]]*RdsonBotTc*ThetaJA_Q3)</f>
        <v>0.62746795239939801</v>
      </c>
      <c r="AY73" s="345">
        <f>CHOOSE(Table16[[#This Row],[Mode Digit]], Rdson3*Table16[[#This Row],[Irms Lf]]^2, Rdson1*Table16[[#This Row],[Irms Lf]]^2, 0)</f>
        <v>0</v>
      </c>
      <c r="AZ73" s="345">
        <f>CHOOSE(Table16[[#This Row],[Mode Digit]], 2*Deadtime*Fsw*IF(VfdSky_Q2&gt;0,VfdSky_Q2,0)*Table16[[#This Row],[Iout]], 2*Deadtime*Fsw*IF(VfdSky_Q3&gt;0,VfdSky_Q3,0)*Table16[[#This Row],[Iin]], 2*Deadtime*Fsw*IF(VfdSky_Q2&gt;0,VfdSky_Q2,0)*Table16[[#This Row],[Iout]]+2*Deadtime*Fsw*IF(VfdSky_Q3&gt;0,VfdSky_Q3,0)*Table16[[#This Row],[Iin]])</f>
        <v>0</v>
      </c>
      <c r="BA73" s="345">
        <f>CHOOSE(Table16[[#This Row],[Mode Digit]], IF(QrrSky_Q2&gt;0,QrrSky_Q2,Qrr_Q2)*Fsw*(Table16[[#This Row],[Vin]]-Table16[[#This Row],[Iout]]*Rdson1),0,  IF(QrrSky_Q2&gt;0,QrrSky_Q2,Qrr_Q2)*Fsw*(Table16[[#This Row],[Vin]]-Table16[[#This Row],[Iout]]*Rdson1)+IF(QrrSky_Q3&gt;0,QrrSky_Q3,Qrr_Q3)*Fsw*Vout)</f>
        <v>0.63550251999999996</v>
      </c>
      <c r="BB73" s="345">
        <f>CHOOSE(Table16[[#This Row],[Mode Digit]],0, IF(QrrSky_Q3&gt;0,QrrSky_Q3,Qrr_Q3)*Fsw*Vout,  IF(QrrSky_Q2&gt;0,QrrSky_Q2,Qrr_Q2)*Fsw*(Table16[[#This Row],[Vin]]-Table16[[#This Row],[Iout]]*Rdson1)+IF(QrrSky_Q3&gt;0,QrrSky_Q3,Qrr_Q3)*Fsw*Vout)</f>
        <v>0.63550251999999996</v>
      </c>
      <c r="BC73" s="345">
        <f>CHOOSE(Table16[[#This Row],[Mode Digit]], Rs*Table16[[#This Row],[Irms BuSync]]^2, Rs*Table16[[#This Row],[Irms BoCtlr]]^2, Rs*(Table16[[#This Row],[Irms BuSync]]^2+Table16[[#This Row],[Irms BoCtlr]]^2))</f>
        <v>7.9550637884188494E-2</v>
      </c>
      <c r="BD73" s="345">
        <f t="shared" ref="BD73:BD136" si="5">Rshunt/1000*Iout^2</f>
        <v>0.64</v>
      </c>
      <c r="BE73" s="345">
        <f>IF(Vout&gt;8, Iq*Vout, Iq*Table16[[#This Row],[Vin]])</f>
        <v>4.8000000000000001E-2</v>
      </c>
      <c r="BF73" s="345">
        <f>CHOOSE(Table16[[#This Row],[Mode Digit]], (Qg_Q1+Qg_Q2)*Fsw, (Qg_Q3+Qg_Q4)*Fsw, (Qg_Q1+Qg_Q2+Qg_Q3+Qg_Q4)*Fsw)*IF(Vout&gt;8, Vout, Table16[[#This Row],[Vin]])</f>
        <v>1.7066240000000001</v>
      </c>
      <c r="BG73" s="345">
        <f t="shared" ref="BG73:BG136" si="6">(Vin-Vdd)*Fsw*(Qg_Q1+Qg_Q2)+(RdsonDRT+RdsonDRT2)*Fsw*Qg_Q1*Vdd/(RdsonDRT+2*Rgate1+RdsonDRT2)+(RdsonDRB+RdsonDRB2)*Fsw*Qg_Q2*Vdd/(RdsonDRB+2*Rgate2+RdsonDRB2)</f>
        <v>0.50594479787234037</v>
      </c>
      <c r="BH73" s="345">
        <f>Table16[[#This Row],[IQ Loss]]+Table16[[#This Row],[Switching Current Loss]]</f>
        <v>1.7546240000000002</v>
      </c>
      <c r="BI73"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7.7159074955825773</v>
      </c>
      <c r="BJ73" s="253">
        <f>Vout*Table16[[#This Row],[Iout]]</f>
        <v>128</v>
      </c>
      <c r="BK73" s="684">
        <f>Table16[[#This Row],[Pout]]/(Table16[[#This Row],[Pout]]+Table16[[#This Row],[Total Loss]])</f>
        <v>0.94314662416538231</v>
      </c>
      <c r="BL73"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121.89285817347287</v>
      </c>
      <c r="BM73" s="685">
        <f>IF(Table16[[#This Row],[Vin]]&gt;Vout, Table16[[#This Row],[Total Sync Bu MOSFET Loss]]*ThetaJA_Q2, ThetaJA_Q3*Table16[[#This Row],[Total Sync Bo MOSFET Loss]])</f>
        <v>40.785416905960872</v>
      </c>
      <c r="BN73" s="640"/>
      <c r="BO73" s="292">
        <f>Table16[[#This Row],[EFF, h]]*100</f>
        <v>94.314662416538226</v>
      </c>
      <c r="BP73" s="345">
        <f>Table16[[#This Row],[Total Inductor Loss]]</f>
        <v>1.1282538012064152</v>
      </c>
      <c r="BQ73" s="345">
        <f>Table16[[#This Row],[Total Control Bu MOSFET Loss]]+Table16[[#This Row],[Total Sync Bu MOSFET Loss]]+Table16[[#This Row],[Total Control Bo MOSFET Loss]]+Table16[[#This Row],[Total Sync Bo MOSFET Loss]]+Table16[[#This Row],[Reverse Recovery Loss MOSFET D BUCK]]+Table16[[#This Row],[Reverse Recovery Loss MOSFET D BOOST]]</f>
        <v>3.9124795716834839</v>
      </c>
      <c r="BR73" s="345">
        <f>Table16[[#This Row],[Total Control Bu MOSFET Loss]]+Table16[[#This Row],[Reverse Recovery Loss MOSFET D BUCK]]*0.66</f>
        <v>1.4779487396853457</v>
      </c>
      <c r="BS73" s="345">
        <f>Table16[[#This Row],[Total Sync Bu MOSFET Loss]]+Table16[[#This Row],[Reverse Recovery Loss MOSFET D BUCK]]*0.33</f>
        <v>0.56093563326838747</v>
      </c>
      <c r="BT73" s="345">
        <f xml:space="preserve"> Table16[[#This Row],[Total Control Bo MOSFET Loss]]+Table16[[#This Row],[Reverse Recovery Loss MOSFET D BOOST]]*0.66</f>
        <v>1.0237013643303519</v>
      </c>
      <c r="BU73" s="345">
        <f xml:space="preserve"> Table16[[#This Row],[Total Sync Bo MOSFET Loss]]+Table16[[#This Row],[Reverse Recovery Loss MOSFET D BOOST]]*0.33</f>
        <v>0.83718378399939797</v>
      </c>
      <c r="BV73" s="345">
        <f>Table16[[#This Row],[Isense Shunt Loss]]</f>
        <v>7.9550637884188494E-2</v>
      </c>
      <c r="CB73" s="686"/>
      <c r="CC73" s="686"/>
    </row>
    <row r="74" spans="1:81" ht="13.6" x14ac:dyDescent="0.25">
      <c r="A74" s="678" t="s">
        <v>116</v>
      </c>
      <c r="B74" s="679" t="s">
        <v>8</v>
      </c>
      <c r="C74" s="681" t="s">
        <v>80</v>
      </c>
      <c r="G74" s="253">
        <v>65</v>
      </c>
      <c r="H74" s="286">
        <f>VIN_min+(VIN_max-VIN_min)*(Table16[[#This Row],[Step]]/200)</f>
        <v>15.75</v>
      </c>
      <c r="I74" s="292" t="str">
        <f>IF(Mode = 2,IF(Table16[[#This Row],[Vin]]&gt;Vout, "BUCK","BOOST"),IF(Table16[[#This Row],[Vin]]&gt;VIN_BB_to_buck, "BUCK", IF(Table16[[#This Row],[Vin]]&lt;=VIN_boost_to_BB,"BOOST","BUCK-BST")))</f>
        <v>BUCK-BST</v>
      </c>
      <c r="J74" s="253">
        <f>IF(Table16[[#This Row],[Mode]]="BOOST",2, IF(Table16[[#This Row],[Mode]]="BUCK", 1,3))</f>
        <v>3</v>
      </c>
      <c r="K74" s="253">
        <f t="shared" si="4"/>
        <v>8</v>
      </c>
      <c r="L74" s="292">
        <f>Vout*Table16[[#This Row],[Iout]]/(Table16[[#This Row],[Vin]]*Efficiency)</f>
        <v>8.5547201336675034</v>
      </c>
      <c r="M74" s="682">
        <f>MIN(1/Fsw,CHOOSE(Table16[[#This Row],[Mode Digit]],(Vout+(Rdson2+Rs+Rdcr)*Table16[[#This Row],[Iout]])/(Table16[[#This Row],[Vin]]+(Rs+Rdson2-Rdson1)*Table16[[#This Row],[Iout]])/Fsw,(Vout+(Rdson3+Rdcr)*Table16[[#This Row],[Iin]]-Table16[[#This Row],[Vin]])/(Vout+(Rdson3-Rdson4-Rs)*Table16[[#This Row],[Iin]])/Fsw,t1_Ph_II))</f>
        <v>1.5084238313644118E-6</v>
      </c>
      <c r="N74" s="518">
        <f>CHOOSE(Table16[[#This Row],[Mode Digit]],1/Fsw-Table16[[#This Row],[t1_Ph_II]],1/Fsw-Table16[[#This Row],[t1_Ph_II]],(Vout/Fsw-Table16[[#This Row],[Vin]]*t1_Ph_II)/(Table16[[#This Row],[Vin]]+Vout))</f>
        <v>5.1790014743735895E-7</v>
      </c>
      <c r="O74" s="518">
        <f>1/Fsw-(Table16[[#This Row],[t1_Ph_II]]+Table16[[#This Row],[t2_Ph_I]])</f>
        <v>4.8623883526858107E-7</v>
      </c>
      <c r="P74"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10.159934262203773</v>
      </c>
      <c r="Q74" s="292">
        <f>CHOOSE(Table16[[#This Row],[Mode Digit]],Table16[[#This Row],[I_0]]+1/Lf*(Table16[[#This Row],[Vin]]-Vout)*Table16[[#This Row],[t1_Ph_II]],Table16[[#This Row],[I_0]]+1/Lf*Table16[[#This Row],[Vin]]*Table16[[#This Row],[t1_Ph_II]],Table16[[#This Row],[I_0]]+(Table16[[#This Row],[Vin]]-Vout)/L*Table16[[#This Row],[t1_Ph_II]])</f>
        <v>9.9504309522920487</v>
      </c>
      <c r="R74" s="292">
        <f>CHOOSE(Table16[[#This Row],[Mode Digit]],0,0,Table16[[#This Row],[I_1]]+Table16[[#This Row],[Vin]]/L*Table16[[#This Row],[t2_Ph_I]])</f>
        <v>14.482057242368938</v>
      </c>
      <c r="S74" s="292">
        <f>Fsw*(Table16[[#This Row],[I_0]]*Table16[[#This Row],[t1_Ph_II]]+Table16[[#This Row],[I_1]]*Table16[[#This Row],[t2_Ph_I]]+Table16[[#This Row],[I_2]]*Table16[[#This Row],[t3_Ph_III]])</f>
        <v>10.953180997174904</v>
      </c>
      <c r="T74" s="345">
        <f>MIN(1,CHOOSE(Table16[[#This Row],[Mode Digit]],(Vout+(Rdson2+Rs+Rdcr)*Table16[[#This Row],[Iout]])/(Table16[[#This Row],[Vin]]+(Rs+Rdson2-Rdson1)*Table16[[#This Row],[Iout]]),1,Fsw*Table16[[#This Row],[t2_Ph_I]]+Table16[[#This Row],[t1_Ph_II]]))</f>
        <v>0.20612576710390024</v>
      </c>
      <c r="U74" s="345">
        <f>MIN(1,CHOOSE(Table16[[#This Row],[Mode Digit]],0,(Vout+(Rdson3+Rdcr)*Table16[[#This Row],[Iin]]-Table16[[#This Row],[Vin]])/(Vout+(Rdson3-Rdson4-Rs)*Table16[[#This Row],[Iin]]),Fsw*Table16[[#This Row],[t1_Ph_II]]+Table16[[#This Row],[t3_Ph_III]]))</f>
        <v>0.60035317112187114</v>
      </c>
      <c r="V74" s="292">
        <f>MAX(Table16[[#This Row],[I_0]:[I_2]])-MIN(Table16[[#This Row],[I_0]:[I_1]])</f>
        <v>4.5316262900768898</v>
      </c>
      <c r="W74"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11.022490961217605</v>
      </c>
      <c r="X74" s="345">
        <f>(Table16[[#This Row],[Irms Lf]]^2*Rdcr*(1+Ltc*Ta-Ltc*25))/(1-Table16[[#This Row],[Irms Lf]]^2*Rdcr*Ltc*ThetaCa)</f>
        <v>0.40126546118865847</v>
      </c>
      <c r="Y74" s="345">
        <f>ABS(7.759*10^-3*Fsw^0.9458*(0.00787*Table16[[#This Row],[Ripple Current pk-pk]])^2.304)</f>
        <v>0.70877821856417877</v>
      </c>
      <c r="Z74" s="345">
        <f>Table16[[#This Row],[DCR    Loss]]+Table16[[#This Row],[Core Loss]]</f>
        <v>1.1100436797528372</v>
      </c>
      <c r="AA74" s="292">
        <f>IF(Table16[[#This Row],[Vin]]&gt;Vout, Table16[[#This Row],[Ripple Current pk-pk]]/SQRT(12), SQRT(Table16[[#This Row],[Duty Cycle BOOST Leg]]/(1-Table16[[#This Row],[Duty Cycle BOOST Leg]]))*SQRT(Table16[[#This Row],[Iout]]^2+(Table16[[#This Row],[Ripple Current pk-pk]]^2)/12))</f>
        <v>9.9353977587058324</v>
      </c>
      <c r="AB74" s="345">
        <f>RCoutEsr*Table16[[#This Row],[Irms Cout]]^2</f>
        <v>0.19742425724739376</v>
      </c>
      <c r="AC74" s="345">
        <f>Table16[[#This Row],[Cout ESR Loss]]</f>
        <v>0.19742425724739376</v>
      </c>
      <c r="AD74" s="345">
        <f>IF(Table16[[#This Row],[Vin]]&gt;Vout, SQRT(Table16[[#This Row],[Duty Cycle BUCK Leg]]*(1-Table16[[#This Row],[Duty Cycle BUCK Leg]]))*SQRT(Table16[[#This Row],[Iout]]^2+(Table16[[#This Row],[Ripple Current pk-pk]]^2)/12), Table16[[#This Row],[Ripple Current pk-pk]]/SQRT(12))</f>
        <v>1.3081678292213388</v>
      </c>
      <c r="AE74" s="345">
        <f>RCinEsr*Table16[[#This Row],[Irms Cin]]^2</f>
        <v>3.4226061388193396E-3</v>
      </c>
      <c r="AF74" s="683">
        <f>Table16[[#This Row],[Cin ESR Loss]]</f>
        <v>3.4226061388193396E-3</v>
      </c>
      <c r="AG74"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9.5820614559050199</v>
      </c>
      <c r="AH74" s="345">
        <f>Rdson1*Table16[[#This Row],[Irms BuCtrl]]^2</f>
        <v>0.32135565610659222</v>
      </c>
      <c r="AI74" s="345">
        <f>CHOOSE(Table16[[#This Row],[Mode Digit]], (Table16[[#This Row],[Vin]]*Table16[[#This Row],[Iout]]/2)*(Fsw)*(Tr_buck+Tf_buck), 0, (Table16[[#This Row],[Vin]]*Table16[[#This Row],[Avg IL]]/2)*(Fsw/1)*(Tr_buck+Tf_buck))</f>
        <v>0.64562999494715601</v>
      </c>
      <c r="AJ74" s="253">
        <f>IF(Table16[[#This Row],[Vin]]&gt;Vout, IF(Table16[[#This Row],[Iout]]&gt;Table16[[#This Row],[Ripple Current pk-pk]]/2,0,ABS(Table16[[#This Row],[Iout]]-Table16[[#This Row],[Ripple Current pk-pk]]/2)*Vsd_Q1*Deadtime*Fsw),0)</f>
        <v>0</v>
      </c>
      <c r="AK74" s="345">
        <f>(Table16[[#This Row],[Dead Time Loss BuCtrl]]+Table16[[#This Row],[Transition Loss BuCtrl]]+Table16[[#This Row],[RDS(on) Loss BuCtrl]]*(1+RdsonTopTc*Ta-RdsonTopTc*25))/(1-Table16[[#This Row],[RDS(on) Loss BuCtrl]]*RdsonTopTc*ThetaJA_Q1)</f>
        <v>1.0551456793973486</v>
      </c>
      <c r="AL74" s="345">
        <f>CHOOSE(Table16[[#This Row],[Mode Digit]],SQRT((Fsw*(Table16[[#This Row],[t2_Ph_I]]+0))*((Table16[[#This Row],[I_0]]*Table16[[#This Row],[I_1]]+((Table16[[#This Row],[I_0]]-Table16[[#This Row],[I_1]])^2)/3))),0,SQRT((Fsw*(Table16[[#This Row],[t3_Ph_III]]+0))*((Table16[[#This Row],[I_0]]*Table16[[#This Row],[I_2]]+((Table16[[#This Row],[I_0]]-Table16[[#This Row],[I_2]])^2)/3))))</f>
        <v>5.4478808031548516</v>
      </c>
      <c r="AM74" s="345">
        <f>Rdson2*Table16[[#This Row],[Irms BuSync]]^2</f>
        <v>0.10387791835884103</v>
      </c>
      <c r="AN74"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74" s="345">
        <f>(Table16[[#This Row],[Deadtime Loss BuSync]]+Table16[[#This Row],[RDS(on) Loss BuSync]]*(1+RdsonBotTc*Ta-RdsonBotTc*25))/(1-Table16[[#This Row],[RDS(on) Loss BuSync]]*RdsonBotTc*ThetaJA_Q2)</f>
        <v>0.352189955823067</v>
      </c>
      <c r="AP74" s="345">
        <f>CHOOSE(Table16[[#This Row],[Mode Digit]],0,SQRT((Fsw*(Table16[[#This Row],[t1_Ph_II]]+0))*((Table16[[#This Row],[I_0]]*Table16[[#This Row],[I_1]]+((Table16[[#This Row],[I_0]]-Table16[[#This Row],[I_1]])^2)/3))),SQRT((Fsw*(Table16[[#This Row],[t2_Ph_I]]+0))*((Table16[[#This Row],[I_1]]*Table16[[#This Row],[I_2]]+((Table16[[#This Row],[I_1]]-Table16[[#This Row],[I_2]])^2)/3))))</f>
        <v>5.577995043933325</v>
      </c>
      <c r="AQ74" s="345">
        <f>Rdson4*Table16[[#This Row],[Irms BoCtlr]]^2</f>
        <v>0.10889910048550658</v>
      </c>
      <c r="AR74" s="345">
        <f>CHOOSE(Table16[[#This Row],[Mode Digit]], 0, (Vout*Table16[[#This Row],[Iin]]/2)*(Fsw)*(Tr_boost+Tf_boost), (Vout*Iout/2)*(Fsw/1)*(Tr_boost+Tf_boost))</f>
        <v>0.47564320886662292</v>
      </c>
      <c r="AS74" s="253">
        <f>IF(Table16[[#This Row],[Vin]]&gt;Vout, 0, IF(Table16[[#This Row],[Iin]]&gt;Table16[[#This Row],[Ripple Current pk-pk]]/2,0,ABS(Table16[[#This Row],[Iin]]-Table16[[#This Row],[Ripple Current pk-pk]]/2)*Vsd_Q4*Deadtime*Fsw))</f>
        <v>0</v>
      </c>
      <c r="AT74" s="345">
        <f>(Table16[[#This Row],[Dead Time Loss BoCtlr]]+Table16[[#This Row],[Transition Loss BoCtlr]]+Table16[[#This Row],[RDS(on) Loss BoCtlr]]*(1+RdsonTopTc*Ta-RdsonTopTc*25))/(1-Table16[[#This Row],[RDS(on) Loss BoCtlr]]*RdsonTopTc*ThetaJA_Q4)</f>
        <v>0.60157516796524602</v>
      </c>
      <c r="AU74"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9.5069068723733192</v>
      </c>
      <c r="AV74" s="345">
        <f>Rdson3*Table16[[#This Row],[Irms BoSync]]^2</f>
        <v>0.31633447397992664</v>
      </c>
      <c r="AW74"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0.25535839598997495</v>
      </c>
      <c r="AX74" s="345">
        <f>(Table16[[#This Row],[Deadtime Loss BoSync]]+Table16[[#This Row],[RDS(on) Loss BoSync]]*(1+RdsonBotTc*Ta-RdsonBotTc*25))/(1-Table16[[#This Row],[RDS(on) Loss BoSync]]*RdsonBotTc*ThetaJA_Q3)</f>
        <v>0.62292669930565736</v>
      </c>
      <c r="AY74" s="345">
        <f>CHOOSE(Table16[[#This Row],[Mode Digit]], Rdson3*Table16[[#This Row],[Irms Lf]]^2, Rdson1*Table16[[#This Row],[Irms Lf]]^2, 0)</f>
        <v>0</v>
      </c>
      <c r="AZ74" s="345">
        <f>CHOOSE(Table16[[#This Row],[Mode Digit]], 2*Deadtime*Fsw*IF(VfdSky_Q2&gt;0,VfdSky_Q2,0)*Table16[[#This Row],[Iout]], 2*Deadtime*Fsw*IF(VfdSky_Q3&gt;0,VfdSky_Q3,0)*Table16[[#This Row],[Iin]], 2*Deadtime*Fsw*IF(VfdSky_Q2&gt;0,VfdSky_Q2,0)*Table16[[#This Row],[Iout]]+2*Deadtime*Fsw*IF(VfdSky_Q3&gt;0,VfdSky_Q3,0)*Table16[[#This Row],[Iin]])</f>
        <v>0</v>
      </c>
      <c r="BA74" s="345">
        <f>CHOOSE(Table16[[#This Row],[Mode Digit]], IF(QrrSky_Q2&gt;0,QrrSky_Q2,Qrr_Q2)*Fsw*(Table16[[#This Row],[Vin]]-Table16[[#This Row],[Iout]]*Rdson1),0,  IF(QrrSky_Q2&gt;0,QrrSky_Q2,Qrr_Q2)*Fsw*(Table16[[#This Row],[Vin]]-Table16[[#This Row],[Iout]]*Rdson1)+IF(QrrSky_Q3&gt;0,QrrSky_Q3,Qrr_Q3)*Fsw*Vout)</f>
        <v>0.63818902</v>
      </c>
      <c r="BB74" s="345">
        <f>CHOOSE(Table16[[#This Row],[Mode Digit]],0, IF(QrrSky_Q3&gt;0,QrrSky_Q3,Qrr_Q3)*Fsw*Vout,  IF(QrrSky_Q2&gt;0,QrrSky_Q2,Qrr_Q2)*Fsw*(Table16[[#This Row],[Vin]]-Table16[[#This Row],[Iout]]*Rdson1)+IF(QrrSky_Q3&gt;0,QrrSky_Q3,Qrr_Q3)*Fsw*Vout)</f>
        <v>0.63818902</v>
      </c>
      <c r="BC74" s="345">
        <f>CHOOSE(Table16[[#This Row],[Mode Digit]], Rs*Table16[[#This Row],[Irms BuSync]]^2, Rs*Table16[[#This Row],[Irms BoCtlr]]^2, Rs*(Table16[[#This Row],[Irms BuSync]]^2+Table16[[#This Row],[Irms BoCtlr]]^2))</f>
        <v>7.9031464142186245E-2</v>
      </c>
      <c r="BD74" s="345">
        <f t="shared" si="5"/>
        <v>0.64</v>
      </c>
      <c r="BE74" s="345">
        <f>IF(Vout&gt;8, Iq*Vout, Iq*Table16[[#This Row],[Vin]])</f>
        <v>4.8000000000000001E-2</v>
      </c>
      <c r="BF74" s="345">
        <f>CHOOSE(Table16[[#This Row],[Mode Digit]], (Qg_Q1+Qg_Q2)*Fsw, (Qg_Q3+Qg_Q4)*Fsw, (Qg_Q1+Qg_Q2+Qg_Q3+Qg_Q4)*Fsw)*IF(Vout&gt;8, Vout, Table16[[#This Row],[Vin]])</f>
        <v>1.7066240000000001</v>
      </c>
      <c r="BG74" s="345">
        <f t="shared" si="6"/>
        <v>0.50594479787234037</v>
      </c>
      <c r="BH74" s="345">
        <f>Table16[[#This Row],[IQ Loss]]+Table16[[#This Row],[Switching Current Loss]]</f>
        <v>1.7546240000000002</v>
      </c>
      <c r="BI74"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7.6927615497725563</v>
      </c>
      <c r="BJ74" s="253">
        <f>Vout*Table16[[#This Row],[Iout]]</f>
        <v>128</v>
      </c>
      <c r="BK74" s="684">
        <f>Table16[[#This Row],[Pout]]/(Table16[[#This Row],[Pout]]+Table16[[#This Row],[Total Loss]])</f>
        <v>0.94330750246430173</v>
      </c>
      <c r="BL74"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122.066958517741</v>
      </c>
      <c r="BM74" s="685">
        <f>IF(Table16[[#This Row],[Vin]]&gt;Vout, Table16[[#This Row],[Total Sync Bu MOSFET Loss]]*ThetaJA_Q2, ThetaJA_Q3*Table16[[#This Row],[Total Sync Bo MOSFET Loss]])</f>
        <v>40.490235454867729</v>
      </c>
      <c r="BN74" s="640"/>
      <c r="BO74" s="292">
        <f>Table16[[#This Row],[EFF, h]]*100</f>
        <v>94.330750246430171</v>
      </c>
      <c r="BP74" s="345">
        <f>Table16[[#This Row],[Total Inductor Loss]]</f>
        <v>1.1100436797528372</v>
      </c>
      <c r="BQ74" s="345">
        <f>Table16[[#This Row],[Total Control Bu MOSFET Loss]]+Table16[[#This Row],[Total Sync Bu MOSFET Loss]]+Table16[[#This Row],[Total Control Bo MOSFET Loss]]+Table16[[#This Row],[Total Sync Bo MOSFET Loss]]+Table16[[#This Row],[Reverse Recovery Loss MOSFET D BUCK]]+Table16[[#This Row],[Reverse Recovery Loss MOSFET D BOOST]]</f>
        <v>3.9082155424913192</v>
      </c>
      <c r="BR74" s="345">
        <f>Table16[[#This Row],[Total Control Bu MOSFET Loss]]+Table16[[#This Row],[Reverse Recovery Loss MOSFET D BUCK]]*0.66</f>
        <v>1.4763504325973487</v>
      </c>
      <c r="BS74" s="345">
        <f>Table16[[#This Row],[Total Sync Bu MOSFET Loss]]+Table16[[#This Row],[Reverse Recovery Loss MOSFET D BUCK]]*0.33</f>
        <v>0.56279233242306703</v>
      </c>
      <c r="BT74" s="345">
        <f xml:space="preserve"> Table16[[#This Row],[Total Control Bo MOSFET Loss]]+Table16[[#This Row],[Reverse Recovery Loss MOSFET D BOOST]]*0.66</f>
        <v>1.022779921165246</v>
      </c>
      <c r="BU74" s="345">
        <f xml:space="preserve"> Table16[[#This Row],[Total Sync Bo MOSFET Loss]]+Table16[[#This Row],[Reverse Recovery Loss MOSFET D BOOST]]*0.33</f>
        <v>0.83352907590565739</v>
      </c>
      <c r="BV74" s="345">
        <f>Table16[[#This Row],[Isense Shunt Loss]]</f>
        <v>7.9031464142186245E-2</v>
      </c>
      <c r="CB74" s="686"/>
      <c r="CC74" s="686"/>
    </row>
    <row r="75" spans="1:81" ht="13.6" x14ac:dyDescent="0.25">
      <c r="A75" s="715" t="s">
        <v>117</v>
      </c>
      <c r="B75" s="716">
        <f>BH9</f>
        <v>0.90131200000000011</v>
      </c>
      <c r="C75" s="717" t="s">
        <v>118</v>
      </c>
      <c r="G75" s="253">
        <v>66</v>
      </c>
      <c r="H75" s="286">
        <f>VIN_min+(VIN_max-VIN_min)*(Table16[[#This Row],[Step]]/200)</f>
        <v>15.9</v>
      </c>
      <c r="I75" s="292" t="str">
        <f>IF(Mode = 2,IF(Table16[[#This Row],[Vin]]&gt;Vout, "BUCK","BOOST"),IF(Table16[[#This Row],[Vin]]&gt;VIN_BB_to_buck, "BUCK", IF(Table16[[#This Row],[Vin]]&lt;=VIN_boost_to_BB,"BOOST","BUCK-BST")))</f>
        <v>BUCK-BST</v>
      </c>
      <c r="J75" s="253">
        <f>IF(Table16[[#This Row],[Mode]]="BOOST",2, IF(Table16[[#This Row],[Mode]]="BUCK", 1,3))</f>
        <v>3</v>
      </c>
      <c r="K75" s="253">
        <f t="shared" si="4"/>
        <v>8</v>
      </c>
      <c r="L75" s="292">
        <f>Vout*Table16[[#This Row],[Iout]]/(Table16[[#This Row],[Vin]]*Efficiency)</f>
        <v>8.4740152267461095</v>
      </c>
      <c r="M75" s="682">
        <f>MIN(1/Fsw,CHOOSE(Table16[[#This Row],[Mode Digit]],(Vout+(Rdson2+Rs+Rdcr)*Table16[[#This Row],[Iout]])/(Table16[[#This Row],[Vin]]+(Rs+Rdson2-Rdson1)*Table16[[#This Row],[Iout]])/Fsw,(Vout+(Rdson3+Rdcr)*Table16[[#This Row],[Iin]]-Table16[[#This Row],[Vin]])/(Vout+(Rdson3-Rdson4-Rs)*Table16[[#This Row],[Iin]])/Fsw,t1_Ph_II))</f>
        <v>1.5084238313644118E-6</v>
      </c>
      <c r="N75" s="518">
        <f>CHOOSE(Table16[[#This Row],[Mode Digit]],1/Fsw-Table16[[#This Row],[t1_Ph_II]],1/Fsw-Table16[[#This Row],[t1_Ph_II]],(Vout/Fsw-Table16[[#This Row],[Vin]]*t1_Ph_II)/(Table16[[#This Row],[Vin]]+Vout))</f>
        <v>5.083719782580403E-7</v>
      </c>
      <c r="O75" s="518">
        <f>1/Fsw-(Table16[[#This Row],[t1_Ph_II]]+Table16[[#This Row],[t2_Ph_I]])</f>
        <v>4.9576700444789973E-7</v>
      </c>
      <c r="P75"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10.043579613585685</v>
      </c>
      <c r="Q75" s="292">
        <f>CHOOSE(Table16[[#This Row],[Mode Digit]],Table16[[#This Row],[I_0]]+1/Lf*(Table16[[#This Row],[Vin]]-Vout)*Table16[[#This Row],[t1_Ph_II]],Table16[[#This Row],[I_0]]+1/Lf*Table16[[#This Row],[Vin]]*Table16[[#This Row],[t1_Ph_II]],Table16[[#This Row],[I_0]]+(Table16[[#This Row],[Vin]]-Vout)/L*Table16[[#This Row],[t1_Ph_II]])</f>
        <v>9.9597782896209957</v>
      </c>
      <c r="R75" s="292">
        <f>CHOOSE(Table16[[#This Row],[Mode Digit]],0,0,Table16[[#This Row],[I_1]]+Table16[[#This Row],[Vin]]/L*Table16[[#This Row],[t2_Ph_I]])</f>
        <v>14.450397430900351</v>
      </c>
      <c r="S75" s="292">
        <f>Fsw*(Table16[[#This Row],[I_0]]*Table16[[#This Row],[t1_Ph_II]]+Table16[[#This Row],[I_1]]*Table16[[#This Row],[t2_Ph_I]]+Table16[[#This Row],[I_2]]*Table16[[#This Row],[t3_Ph_III]])</f>
        <v>10.896156357775759</v>
      </c>
      <c r="T75" s="345">
        <f>MIN(1,CHOOSE(Table16[[#This Row],[Mode Digit]],(Vout+(Rdson2+Rs+Rdcr)*Table16[[#This Row],[Iout]])/(Table16[[#This Row],[Vin]]+(Rs+Rdson2-Rdson1)*Table16[[#This Row],[Iout]]),1,Fsw*Table16[[#This Row],[t2_Ph_I]]+Table16[[#This Row],[t1_Ph_II]]))</f>
        <v>0.20233355577053141</v>
      </c>
      <c r="U75" s="345">
        <f>MIN(1,CHOOSE(Table16[[#This Row],[Mode Digit]],0,(Vout+(Rdson3+Rdcr)*Table16[[#This Row],[Iin]]-Table16[[#This Row],[Vin]])/(Vout+(Rdson3-Rdson4-Rs)*Table16[[#This Row],[Iin]]),Fsw*Table16[[#This Row],[t1_Ph_II]]+Table16[[#This Row],[t3_Ph_III]]))</f>
        <v>0.60035318065004029</v>
      </c>
      <c r="V75" s="292">
        <f>MAX(Table16[[#This Row],[I_0]:[I_2]])-MIN(Table16[[#This Row],[I_0]:[I_1]])</f>
        <v>4.490619141279355</v>
      </c>
      <c r="W75"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10.974990117496459</v>
      </c>
      <c r="X75" s="345">
        <f>(Table16[[#This Row],[Irms Lf]]^2*Rdcr*(1+Ltc*Ta-Ltc*25))/(1-Table16[[#This Row],[Irms Lf]]^2*Rdcr*Ltc*ThetaCa)</f>
        <v>0.39770464981887188</v>
      </c>
      <c r="Y75" s="345">
        <f>ABS(7.759*10^-3*Fsw^0.9458*(0.00787*Table16[[#This Row],[Ripple Current pk-pk]])^2.304)</f>
        <v>0.69408791539096659</v>
      </c>
      <c r="Z75" s="345">
        <f>Table16[[#This Row],[DCR    Loss]]+Table16[[#This Row],[Core Loss]]</f>
        <v>1.0917925652098384</v>
      </c>
      <c r="AA75" s="292">
        <f>IF(Table16[[#This Row],[Vin]]&gt;Vout, Table16[[#This Row],[Ripple Current pk-pk]]/SQRT(12), SQRT(Table16[[#This Row],[Duty Cycle BOOST Leg]]/(1-Table16[[#This Row],[Duty Cycle BOOST Leg]]))*SQRT(Table16[[#This Row],[Iout]]^2+(Table16[[#This Row],[Ripple Current pk-pk]]^2)/12))</f>
        <v>9.9330668656259338</v>
      </c>
      <c r="AB75" s="345">
        <f>RCoutEsr*Table16[[#This Row],[Irms Cout]]^2</f>
        <v>0.19733163471399165</v>
      </c>
      <c r="AC75" s="345">
        <f>Table16[[#This Row],[Cout ESR Loss]]</f>
        <v>0.19733163471399165</v>
      </c>
      <c r="AD75" s="345">
        <f>IF(Table16[[#This Row],[Vin]]&gt;Vout, SQRT(Table16[[#This Row],[Duty Cycle BUCK Leg]]*(1-Table16[[#This Row],[Duty Cycle BUCK Leg]]))*SQRT(Table16[[#This Row],[Iout]]^2+(Table16[[#This Row],[Ripple Current pk-pk]]^2)/12), Table16[[#This Row],[Ripple Current pk-pk]]/SQRT(12))</f>
        <v>1.296330085022861</v>
      </c>
      <c r="AE75" s="345">
        <f>RCinEsr*Table16[[#This Row],[Irms Cin]]^2</f>
        <v>3.3609433786707561E-3</v>
      </c>
      <c r="AF75" s="683">
        <f>Table16[[#This Row],[Cin ESR Loss]]</f>
        <v>3.3609433786707561E-3</v>
      </c>
      <c r="AG75"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9.5150417493341308</v>
      </c>
      <c r="AH75" s="345">
        <f>Rdson1*Table16[[#This Row],[Irms BuCtrl]]^2</f>
        <v>0.31687606822050035</v>
      </c>
      <c r="AI75" s="345">
        <f>CHOOSE(Table16[[#This Row],[Mode Digit]], (Table16[[#This Row],[Vin]]*Table16[[#This Row],[Iout]]/2)*(Fsw)*(Tr_buck+Tf_buck), 0, (Table16[[#This Row],[Vin]]*Table16[[#This Row],[Avg IL]]/2)*(Fsw/1)*(Tr_buck+Tf_buck))</f>
        <v>0.64838554976602569</v>
      </c>
      <c r="AJ75" s="253">
        <f>IF(Table16[[#This Row],[Vin]]&gt;Vout, IF(Table16[[#This Row],[Iout]]&gt;Table16[[#This Row],[Ripple Current pk-pk]]/2,0,ABS(Table16[[#This Row],[Iout]]-Table16[[#This Row],[Ripple Current pk-pk]]/2)*Vsd_Q1*Deadtime*Fsw),0)</f>
        <v>0</v>
      </c>
      <c r="AK75" s="345">
        <f>(Table16[[#This Row],[Dead Time Loss BuCtrl]]+Table16[[#This Row],[Transition Loss BuCtrl]]+Table16[[#This Row],[RDS(on) Loss BuCtrl]]*(1+RdsonTopTc*Ta-RdsonTopTc*25))/(1-Table16[[#This Row],[RDS(on) Loss BuCtrl]]*RdsonTopTc*ThetaJA_Q1)</f>
        <v>1.0519275948682998</v>
      </c>
      <c r="AL75" s="345">
        <f>CHOOSE(Table16[[#This Row],[Mode Digit]],SQRT((Fsw*(Table16[[#This Row],[t2_Ph_I]]+0))*((Table16[[#This Row],[I_0]]*Table16[[#This Row],[I_1]]+((Table16[[#This Row],[I_0]]-Table16[[#This Row],[I_1]])^2)/3))),0,SQRT((Fsw*(Table16[[#This Row],[t3_Ph_III]]+0))*((Table16[[#This Row],[I_0]]*Table16[[#This Row],[I_2]]+((Table16[[#This Row],[I_0]]-Table16[[#This Row],[I_2]])^2)/3))))</f>
        <v>5.4694047745228573</v>
      </c>
      <c r="AM75" s="345">
        <f>Rdson2*Table16[[#This Row],[Irms BuSync]]^2</f>
        <v>0.104700360056507</v>
      </c>
      <c r="AN75"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75" s="345">
        <f>(Table16[[#This Row],[Deadtime Loss BuSync]]+Table16[[#This Row],[RDS(on) Loss BuSync]]*(1+RdsonBotTc*Ta-RdsonBotTc*25))/(1-Table16[[#This Row],[RDS(on) Loss BuSync]]*RdsonBotTc*ThetaJA_Q2)</f>
        <v>0.35311283058730336</v>
      </c>
      <c r="AP75" s="345">
        <f>CHOOSE(Table16[[#This Row],[Mode Digit]],0,SQRT((Fsw*(Table16[[#This Row],[t1_Ph_II]]+0))*((Table16[[#This Row],[I_0]]*Table16[[#This Row],[I_1]]+((Table16[[#This Row],[I_0]]-Table16[[#This Row],[I_1]])^2)/3))),SQRT((Fsw*(Table16[[#This Row],[t2_Ph_I]]+0))*((Table16[[#This Row],[I_1]]*Table16[[#This Row],[I_2]]+((Table16[[#This Row],[I_1]]-Table16[[#This Row],[I_2]])^2)/3))))</f>
        <v>5.5208911155171103</v>
      </c>
      <c r="AQ75" s="345">
        <f>Rdson4*Table16[[#This Row],[Irms BoCtlr]]^2</f>
        <v>0.10668083548288518</v>
      </c>
      <c r="AR75" s="345">
        <f>CHOOSE(Table16[[#This Row],[Mode Digit]], 0, (Vout*Table16[[#This Row],[Iin]]/2)*(Fsw)*(Tr_boost+Tf_boost), (Vout*Iout/2)*(Fsw/1)*(Tr_boost+Tf_boost))</f>
        <v>0.47564320886662292</v>
      </c>
      <c r="AS75" s="253">
        <f>IF(Table16[[#This Row],[Vin]]&gt;Vout, 0, IF(Table16[[#This Row],[Iin]]&gt;Table16[[#This Row],[Ripple Current pk-pk]]/2,0,ABS(Table16[[#This Row],[Iin]]-Table16[[#This Row],[Ripple Current pk-pk]]/2)*Vsd_Q4*Deadtime*Fsw))</f>
        <v>0</v>
      </c>
      <c r="AT75" s="345">
        <f>(Table16[[#This Row],[Dead Time Loss BoCtlr]]+Table16[[#This Row],[Transition Loss BoCtlr]]+Table16[[#This Row],[RDS(on) Loss BoCtlr]]*(1+RdsonTopTc*Ta-RdsonTopTc*25))/(1-Table16[[#This Row],[RDS(on) Loss BoCtlr]]*RdsonTopTc*ThetaJA_Q4)</f>
        <v>0.5989367636807359</v>
      </c>
      <c r="AU75"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9.4852606379450197</v>
      </c>
      <c r="AV75" s="345">
        <f>Rdson3*Table16[[#This Row],[Irms BoSync]]^2</f>
        <v>0.31489559279412205</v>
      </c>
      <c r="AW75"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0.25294935451837131</v>
      </c>
      <c r="AX75" s="345">
        <f>(Table16[[#This Row],[Deadtime Loss BoSync]]+Table16[[#This Row],[RDS(on) Loss BoSync]]*(1+RdsonBotTc*Ta-RdsonBotTc*25))/(1-Table16[[#This Row],[RDS(on) Loss BoSync]]*RdsonBotTc*ThetaJA_Q3)</f>
        <v>0.61848181906464816</v>
      </c>
      <c r="AY75" s="345">
        <f>CHOOSE(Table16[[#This Row],[Mode Digit]], Rdson3*Table16[[#This Row],[Irms Lf]]^2, Rdson1*Table16[[#This Row],[Irms Lf]]^2, 0)</f>
        <v>0</v>
      </c>
      <c r="AZ75" s="345">
        <f>CHOOSE(Table16[[#This Row],[Mode Digit]], 2*Deadtime*Fsw*IF(VfdSky_Q2&gt;0,VfdSky_Q2,0)*Table16[[#This Row],[Iout]], 2*Deadtime*Fsw*IF(VfdSky_Q3&gt;0,VfdSky_Q3,0)*Table16[[#This Row],[Iin]], 2*Deadtime*Fsw*IF(VfdSky_Q2&gt;0,VfdSky_Q2,0)*Table16[[#This Row],[Iout]]+2*Deadtime*Fsw*IF(VfdSky_Q3&gt;0,VfdSky_Q3,0)*Table16[[#This Row],[Iin]])</f>
        <v>0</v>
      </c>
      <c r="BA75" s="345">
        <f>CHOOSE(Table16[[#This Row],[Mode Digit]], IF(QrrSky_Q2&gt;0,QrrSky_Q2,Qrr_Q2)*Fsw*(Table16[[#This Row],[Vin]]-Table16[[#This Row],[Iout]]*Rdson1),0,  IF(QrrSky_Q2&gt;0,QrrSky_Q2,Qrr_Q2)*Fsw*(Table16[[#This Row],[Vin]]-Table16[[#This Row],[Iout]]*Rdson1)+IF(QrrSky_Q3&gt;0,QrrSky_Q3,Qrr_Q3)*Fsw*Vout)</f>
        <v>0.64087552000000003</v>
      </c>
      <c r="BB75" s="345">
        <f>CHOOSE(Table16[[#This Row],[Mode Digit]],0, IF(QrrSky_Q3&gt;0,QrrSky_Q3,Qrr_Q3)*Fsw*Vout,  IF(QrrSky_Q2&gt;0,QrrSky_Q2,Qrr_Q2)*Fsw*(Table16[[#This Row],[Vin]]-Table16[[#This Row],[Iout]]*Rdson1)+IF(QrrSky_Q3&gt;0,QrrSky_Q3,Qrr_Q3)*Fsw*Vout)</f>
        <v>0.64087552000000003</v>
      </c>
      <c r="BC75" s="345">
        <f>CHOOSE(Table16[[#This Row],[Mode Digit]], Rs*Table16[[#This Row],[Irms BuSync]]^2, Rs*Table16[[#This Row],[Irms BoCtlr]]^2, Rs*(Table16[[#This Row],[Irms BuSync]]^2+Table16[[#This Row],[Irms BoCtlr]]^2))</f>
        <v>7.8513015486059948E-2</v>
      </c>
      <c r="BD75" s="345">
        <f t="shared" si="5"/>
        <v>0.64</v>
      </c>
      <c r="BE75" s="345">
        <f>IF(Vout&gt;8, Iq*Vout, Iq*Table16[[#This Row],[Vin]])</f>
        <v>4.8000000000000001E-2</v>
      </c>
      <c r="BF75" s="345">
        <f>CHOOSE(Table16[[#This Row],[Mode Digit]], (Qg_Q1+Qg_Q2)*Fsw, (Qg_Q3+Qg_Q4)*Fsw, (Qg_Q1+Qg_Q2+Qg_Q3+Qg_Q4)*Fsw)*IF(Vout&gt;8, Vout, Table16[[#This Row],[Vin]])</f>
        <v>1.7066240000000001</v>
      </c>
      <c r="BG75" s="345">
        <f t="shared" si="6"/>
        <v>0.50594479787234037</v>
      </c>
      <c r="BH75" s="345">
        <f>Table16[[#This Row],[IQ Loss]]+Table16[[#This Row],[Switching Current Loss]]</f>
        <v>1.7546240000000002</v>
      </c>
      <c r="BI75"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7.6698322069895477</v>
      </c>
      <c r="BJ75" s="253">
        <f>Vout*Table16[[#This Row],[Iout]]</f>
        <v>128</v>
      </c>
      <c r="BK75" s="684">
        <f>Table16[[#This Row],[Pout]]/(Table16[[#This Row],[Pout]]+Table16[[#This Row],[Total Loss]])</f>
        <v>0.94346692936652421</v>
      </c>
      <c r="BL75"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122.24470723924783</v>
      </c>
      <c r="BM75" s="685">
        <f>IF(Table16[[#This Row],[Vin]]&gt;Vout, Table16[[#This Row],[Total Sync Bu MOSFET Loss]]*ThetaJA_Q2, ThetaJA_Q3*Table16[[#This Row],[Total Sync Bo MOSFET Loss]])</f>
        <v>40.201318239202131</v>
      </c>
      <c r="BN75" s="640"/>
      <c r="BO75" s="292">
        <f>Table16[[#This Row],[EFF, h]]*100</f>
        <v>94.346692936652417</v>
      </c>
      <c r="BP75" s="345">
        <f>Table16[[#This Row],[Total Inductor Loss]]</f>
        <v>1.0917925652098384</v>
      </c>
      <c r="BQ75" s="345">
        <f>Table16[[#This Row],[Total Control Bu MOSFET Loss]]+Table16[[#This Row],[Total Sync Bu MOSFET Loss]]+Table16[[#This Row],[Total Control Bo MOSFET Loss]]+Table16[[#This Row],[Total Sync Bo MOSFET Loss]]+Table16[[#This Row],[Reverse Recovery Loss MOSFET D BUCK]]+Table16[[#This Row],[Reverse Recovery Loss MOSFET D BOOST]]</f>
        <v>3.9042100482009872</v>
      </c>
      <c r="BR75" s="345">
        <f>Table16[[#This Row],[Total Control Bu MOSFET Loss]]+Table16[[#This Row],[Reverse Recovery Loss MOSFET D BUCK]]*0.66</f>
        <v>1.4749054380682998</v>
      </c>
      <c r="BS75" s="345">
        <f>Table16[[#This Row],[Total Sync Bu MOSFET Loss]]+Table16[[#This Row],[Reverse Recovery Loss MOSFET D BUCK]]*0.33</f>
        <v>0.56460175218730335</v>
      </c>
      <c r="BT75" s="345">
        <f xml:space="preserve"> Table16[[#This Row],[Total Control Bo MOSFET Loss]]+Table16[[#This Row],[Reverse Recovery Loss MOSFET D BOOST]]*0.66</f>
        <v>1.0219146068807359</v>
      </c>
      <c r="BU75" s="345">
        <f xml:space="preserve"> Table16[[#This Row],[Total Sync Bo MOSFET Loss]]+Table16[[#This Row],[Reverse Recovery Loss MOSFET D BOOST]]*0.33</f>
        <v>0.82997074066464815</v>
      </c>
      <c r="BV75" s="345">
        <f>Table16[[#This Row],[Isense Shunt Loss]]</f>
        <v>7.8513015486059948E-2</v>
      </c>
      <c r="CB75" s="686"/>
      <c r="CC75" s="686"/>
    </row>
    <row r="76" spans="1:81" ht="13.6" x14ac:dyDescent="0.25">
      <c r="A76" s="715" t="s">
        <v>121</v>
      </c>
      <c r="B76" s="718">
        <f>B75*B62</f>
        <v>27.039360000000002</v>
      </c>
      <c r="C76" s="255" t="s">
        <v>600</v>
      </c>
      <c r="G76" s="253">
        <v>67</v>
      </c>
      <c r="H76" s="286">
        <f>VIN_min+(VIN_max-VIN_min)*(Table16[[#This Row],[Step]]/200)</f>
        <v>16.05</v>
      </c>
      <c r="I76" s="292" t="str">
        <f>IF(Mode = 2,IF(Table16[[#This Row],[Vin]]&gt;Vout, "BUCK","BOOST"),IF(Table16[[#This Row],[Vin]]&gt;VIN_BB_to_buck, "BUCK", IF(Table16[[#This Row],[Vin]]&lt;=VIN_boost_to_BB,"BOOST","BUCK-BST")))</f>
        <v>BUCK-BST</v>
      </c>
      <c r="J76" s="253">
        <f>IF(Table16[[#This Row],[Mode]]="BOOST",2, IF(Table16[[#This Row],[Mode]]="BUCK", 1,3))</f>
        <v>3</v>
      </c>
      <c r="K76" s="253">
        <f t="shared" si="4"/>
        <v>8</v>
      </c>
      <c r="L76" s="292">
        <f>Vout*Table16[[#This Row],[Iout]]/(Table16[[#This Row],[Vin]]*Efficiency)</f>
        <v>8.3948188227578289</v>
      </c>
      <c r="M76" s="682">
        <f>MIN(1/Fsw,CHOOSE(Table16[[#This Row],[Mode Digit]],(Vout+(Rdson2+Rs+Rdcr)*Table16[[#This Row],[Iout]])/(Table16[[#This Row],[Vin]]+(Rs+Rdson2-Rdson1)*Table16[[#This Row],[Iout]])/Fsw,(Vout+(Rdson3+Rdcr)*Table16[[#This Row],[Iin]]-Table16[[#This Row],[Vin]])/(Vout+(Rdson3-Rdson4-Rs)*Table16[[#This Row],[Iin]])/Fsw,t1_Ph_II))</f>
        <v>1.5084238313644118E-6</v>
      </c>
      <c r="N76" s="518">
        <f>CHOOSE(Table16[[#This Row],[Mode Digit]],1/Fsw-Table16[[#This Row],[t1_Ph_II]],1/Fsw-Table16[[#This Row],[t1_Ph_II]],(Vout/Fsw-Table16[[#This Row],[Vin]]*t1_Ph_II)/(Table16[[#This Row],[Vin]]+Vout))</f>
        <v>4.9893299630972929E-7</v>
      </c>
      <c r="O76" s="518">
        <f>1/Fsw-(Table16[[#This Row],[t1_Ph_II]]+Table16[[#This Row],[t2_Ph_I]])</f>
        <v>5.0520598639621084E-7</v>
      </c>
      <c r="P76"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9.9285639592172359</v>
      </c>
      <c r="Q76" s="292">
        <f>CHOOSE(Table16[[#This Row],[Mode Digit]],Table16[[#This Row],[I_0]]+1/Lf*(Table16[[#This Row],[Vin]]-Vout)*Table16[[#This Row],[t1_Ph_II]],Table16[[#This Row],[I_0]]+1/Lf*Table16[[#This Row],[Vin]]*Table16[[#This Row],[t1_Ph_II]],Table16[[#This Row],[I_0]]+(Table16[[#This Row],[Vin]]-Vout)/L*Table16[[#This Row],[t1_Ph_II]])</f>
        <v>9.9704646211995804</v>
      </c>
      <c r="R76" s="292">
        <f>CHOOSE(Table16[[#This Row],[Mode Digit]],0,0,Table16[[#This Row],[I_1]]+Table16[[#This Row],[Vin]]/L*Table16[[#This Row],[t2_Ph_I]])</f>
        <v>14.419283838294668</v>
      </c>
      <c r="S76" s="292">
        <f>Fsw*(Table16[[#This Row],[I_0]]*Table16[[#This Row],[t1_Ph_II]]+Table16[[#This Row],[I_1]]*Table16[[#This Row],[t2_Ph_I]]+Table16[[#This Row],[I_2]]*Table16[[#This Row],[t3_Ph_III]])</f>
        <v>10.839842346426739</v>
      </c>
      <c r="T76" s="345">
        <f>MIN(1,CHOOSE(Table16[[#This Row],[Mode Digit]],(Vout+(Rdson2+Rs+Rdcr)*Table16[[#This Row],[Iout]])/(Table16[[#This Row],[Vin]]+(Rs+Rdson2-Rdson1)*Table16[[#This Row],[Iout]]),1,Fsw*Table16[[#This Row],[t2_Ph_I]]+Table16[[#This Row],[t1_Ph_II]]))</f>
        <v>0.19857684095510364</v>
      </c>
      <c r="U76" s="345">
        <f>MIN(1,CHOOSE(Table16[[#This Row],[Mode Digit]],0,(Vout+(Rdson3+Rdcr)*Table16[[#This Row],[Iin]]-Table16[[#This Row],[Vin]])/(Vout+(Rdson3-Rdson4-Rs)*Table16[[#This Row],[Iin]]),Fsw*Table16[[#This Row],[t1_Ph_II]]+Table16[[#This Row],[t3_Ph_III]]))</f>
        <v>0.60035319008902222</v>
      </c>
      <c r="V76" s="292">
        <f>MAX(Table16[[#This Row],[I_0]:[I_2]])-MIN(Table16[[#This Row],[I_0]:[I_1]])</f>
        <v>4.4907198790774316</v>
      </c>
      <c r="W76"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10.92826651006787</v>
      </c>
      <c r="X76" s="345">
        <f>(Table16[[#This Row],[Irms Lf]]^2*Rdcr*(1+Ltc*Ta-Ltc*25))/(1-Table16[[#This Row],[Irms Lf]]^2*Rdcr*Ltc*ThetaCa)</f>
        <v>0.39421901022384137</v>
      </c>
      <c r="Y76" s="345">
        <f>ABS(7.759*10^-3*Fsw^0.9458*(0.00787*Table16[[#This Row],[Ripple Current pk-pk]])^2.304)</f>
        <v>0.6941237901952565</v>
      </c>
      <c r="Z76" s="345">
        <f>Table16[[#This Row],[DCR    Loss]]+Table16[[#This Row],[Core Loss]]</f>
        <v>1.0883428004190978</v>
      </c>
      <c r="AA76" s="292">
        <f>IF(Table16[[#This Row],[Vin]]&gt;Vout, Table16[[#This Row],[Ripple Current pk-pk]]/SQRT(12), SQRT(Table16[[#This Row],[Duty Cycle BOOST Leg]]/(1-Table16[[#This Row],[Duty Cycle BOOST Leg]]))*SQRT(Table16[[#This Row],[Iout]]^2+(Table16[[#This Row],[Ripple Current pk-pk]]^2)/12))</f>
        <v>1.2963591655202795</v>
      </c>
      <c r="AB76" s="345">
        <f>RCoutEsr*Table16[[#This Row],[Irms Cout]]^2</f>
        <v>3.3610941720568712E-3</v>
      </c>
      <c r="AC76" s="345">
        <f>Table16[[#This Row],[Cout ESR Loss]]</f>
        <v>3.3610941720568712E-3</v>
      </c>
      <c r="AD76" s="345">
        <f>IF(Table16[[#This Row],[Vin]]&gt;Vout, SQRT(Table16[[#This Row],[Duty Cycle BUCK Leg]]*(1-Table16[[#This Row],[Duty Cycle BUCK Leg]]))*SQRT(Table16[[#This Row],[Iout]]^2+(Table16[[#This Row],[Ripple Current pk-pk]]^2)/12), Table16[[#This Row],[Ripple Current pk-pk]]/SQRT(12))</f>
        <v>3.2330589519513975</v>
      </c>
      <c r="AE76" s="345">
        <f>RCinEsr*Table16[[#This Row],[Irms Cin]]^2</f>
        <v>2.0905340373586139E-2</v>
      </c>
      <c r="AF76" s="683">
        <f>Table16[[#This Row],[Cin ESR Loss]]</f>
        <v>2.0905340373586139E-2</v>
      </c>
      <c r="AG76"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9.4493037204566797</v>
      </c>
      <c r="AH76" s="345">
        <f>Rdson1*Table16[[#This Row],[Irms BuCtrl]]^2</f>
        <v>0.31251269280502758</v>
      </c>
      <c r="AI76" s="345">
        <f>CHOOSE(Table16[[#This Row],[Mode Digit]], (Table16[[#This Row],[Vin]]*Table16[[#This Row],[Iout]]/2)*(Fsw)*(Tr_buck+Tf_buck), 0, (Table16[[#This Row],[Vin]]*Table16[[#This Row],[Avg IL]]/2)*(Fsw/1)*(Tr_buck+Tf_buck))</f>
        <v>0.65111976550247863</v>
      </c>
      <c r="AJ76" s="253">
        <f>IF(Table16[[#This Row],[Vin]]&gt;Vout, IF(Table16[[#This Row],[Iout]]&gt;Table16[[#This Row],[Ripple Current pk-pk]]/2,0,ABS(Table16[[#This Row],[Iout]]-Table16[[#This Row],[Ripple Current pk-pk]]/2)*Vsd_Q1*Deadtime*Fsw),0)</f>
        <v>0</v>
      </c>
      <c r="AK76" s="345">
        <f>(Table16[[#This Row],[Dead Time Loss BuCtrl]]+Table16[[#This Row],[Transition Loss BuCtrl]]+Table16[[#This Row],[RDS(on) Loss BuCtrl]]*(1+RdsonTopTc*Ta-RdsonTopTc*25))/(1-Table16[[#This Row],[RDS(on) Loss BuCtrl]]*RdsonTopTc*ThetaJA_Q1)</f>
        <v>1.0488554227657425</v>
      </c>
      <c r="AL76" s="345">
        <f>CHOOSE(Table16[[#This Row],[Mode Digit]],SQRT((Fsw*(Table16[[#This Row],[t2_Ph_I]]+0))*((Table16[[#This Row],[I_0]]*Table16[[#This Row],[I_1]]+((Table16[[#This Row],[I_0]]-Table16[[#This Row],[I_1]])^2)/3))),0,SQRT((Fsw*(Table16[[#This Row],[t3_Ph_III]]+0))*((Table16[[#This Row],[I_0]]*Table16[[#This Row],[I_2]]+((Table16[[#This Row],[I_0]]-Table16[[#This Row],[I_2]])^2)/3))))</f>
        <v>5.4897785122566187</v>
      </c>
      <c r="AM76" s="345">
        <f>Rdson2*Table16[[#This Row],[Irms BuSync]]^2</f>
        <v>0.10548183839772073</v>
      </c>
      <c r="AN76"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76" s="345">
        <f>(Table16[[#This Row],[Deadtime Loss BuSync]]+Table16[[#This Row],[RDS(on) Loss BuSync]]*(1+RdsonBotTc*Ta-RdsonBotTc*25))/(1-Table16[[#This Row],[RDS(on) Loss BuSync]]*RdsonBotTc*ThetaJA_Q2)</f>
        <v>0.35399011572485339</v>
      </c>
      <c r="AP76" s="345">
        <f>CHOOSE(Table16[[#This Row],[Mode Digit]],0,SQRT((Fsw*(Table16[[#This Row],[t1_Ph_II]]+0))*((Table16[[#This Row],[I_0]]*Table16[[#This Row],[I_1]]+((Table16[[#This Row],[I_0]]-Table16[[#This Row],[I_1]])^2)/3))),SQRT((Fsw*(Table16[[#This Row],[t2_Ph_I]]+0))*((Table16[[#This Row],[I_1]]*Table16[[#This Row],[I_2]]+((Table16[[#This Row],[I_1]]-Table16[[#This Row],[I_2]])^2)/3))))</f>
        <v>5.4643058958691189</v>
      </c>
      <c r="AQ76" s="345">
        <f>Rdson4*Table16[[#This Row],[Irms BoCtlr]]^2</f>
        <v>0.10450523623270505</v>
      </c>
      <c r="AR76" s="345">
        <f>CHOOSE(Table16[[#This Row],[Mode Digit]], 0, (Vout*Table16[[#This Row],[Iin]]/2)*(Fsw)*(Tr_boost+Tf_boost), (Vout*Iout/2)*(Fsw/1)*(Tr_boost+Tf_boost))</f>
        <v>0.47564320886662292</v>
      </c>
      <c r="AS76" s="253">
        <f>IF(Table16[[#This Row],[Vin]]&gt;Vout, 0, IF(Table16[[#This Row],[Iin]]&gt;Table16[[#This Row],[Ripple Current pk-pk]]/2,0,ABS(Table16[[#This Row],[Iin]]-Table16[[#This Row],[Ripple Current pk-pk]]/2)*Vsd_Q4*Deadtime*Fsw))</f>
        <v>0</v>
      </c>
      <c r="AT76" s="345">
        <f>(Table16[[#This Row],[Dead Time Loss BoCtlr]]+Table16[[#This Row],[Transition Loss BoCtlr]]+Table16[[#This Row],[RDS(on) Loss BoCtlr]]*(1+RdsonTopTc*Ta-RdsonTopTc*25))/(1-Table16[[#This Row],[RDS(on) Loss BoCtlr]]*RdsonTopTc*ThetaJA_Q4)</f>
        <v>0.59635214475845222</v>
      </c>
      <c r="AU76"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9.4640567407133034</v>
      </c>
      <c r="AV76" s="345">
        <f>Rdson3*Table16[[#This Row],[Irms BoSync]]^2</f>
        <v>0.31348929497004324</v>
      </c>
      <c r="AW76"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0.25058534185932113</v>
      </c>
      <c r="AX76" s="345">
        <f>(Table16[[#This Row],[Deadtime Loss BoSync]]+Table16[[#This Row],[RDS(on) Loss BoSync]]*(1+RdsonBotTc*Ta-RdsonBotTc*25))/(1-Table16[[#This Row],[RDS(on) Loss BoSync]]*RdsonBotTc*ThetaJA_Q3)</f>
        <v>0.61413072272375357</v>
      </c>
      <c r="AY76" s="345">
        <f>CHOOSE(Table16[[#This Row],[Mode Digit]], Rdson3*Table16[[#This Row],[Irms Lf]]^2, Rdson1*Table16[[#This Row],[Irms Lf]]^2, 0)</f>
        <v>0</v>
      </c>
      <c r="AZ76" s="345">
        <f>CHOOSE(Table16[[#This Row],[Mode Digit]], 2*Deadtime*Fsw*IF(VfdSky_Q2&gt;0,VfdSky_Q2,0)*Table16[[#This Row],[Iout]], 2*Deadtime*Fsw*IF(VfdSky_Q3&gt;0,VfdSky_Q3,0)*Table16[[#This Row],[Iin]], 2*Deadtime*Fsw*IF(VfdSky_Q2&gt;0,VfdSky_Q2,0)*Table16[[#This Row],[Iout]]+2*Deadtime*Fsw*IF(VfdSky_Q3&gt;0,VfdSky_Q3,0)*Table16[[#This Row],[Iin]])</f>
        <v>0</v>
      </c>
      <c r="BA76" s="345">
        <f>CHOOSE(Table16[[#This Row],[Mode Digit]], IF(QrrSky_Q2&gt;0,QrrSky_Q2,Qrr_Q2)*Fsw*(Table16[[#This Row],[Vin]]-Table16[[#This Row],[Iout]]*Rdson1),0,  IF(QrrSky_Q2&gt;0,QrrSky_Q2,Qrr_Q2)*Fsw*(Table16[[#This Row],[Vin]]-Table16[[#This Row],[Iout]]*Rdson1)+IF(QrrSky_Q3&gt;0,QrrSky_Q3,Qrr_Q3)*Fsw*Vout)</f>
        <v>0.64356202000000007</v>
      </c>
      <c r="BB76" s="345">
        <f>CHOOSE(Table16[[#This Row],[Mode Digit]],0, IF(QrrSky_Q3&gt;0,QrrSky_Q3,Qrr_Q3)*Fsw*Vout,  IF(QrrSky_Q2&gt;0,QrrSky_Q2,Qrr_Q2)*Fsw*(Table16[[#This Row],[Vin]]-Table16[[#This Row],[Iout]]*Rdson1)+IF(QrrSky_Q3&gt;0,QrrSky_Q3,Qrr_Q3)*Fsw*Vout)</f>
        <v>0.64356202000000007</v>
      </c>
      <c r="BC76" s="345">
        <f>CHOOSE(Table16[[#This Row],[Mode Digit]], Rs*Table16[[#This Row],[Irms BuSync]]^2, Rs*Table16[[#This Row],[Irms BoCtlr]]^2, Rs*(Table16[[#This Row],[Irms BuSync]]^2+Table16[[#This Row],[Irms BoCtlr]]^2))</f>
        <v>7.7995199148443856E-2</v>
      </c>
      <c r="BD76" s="345">
        <f t="shared" si="5"/>
        <v>0.64</v>
      </c>
      <c r="BE76" s="345">
        <f>IF(Vout&gt;8, Iq*Vout, Iq*Table16[[#This Row],[Vin]])</f>
        <v>4.8000000000000001E-2</v>
      </c>
      <c r="BF76" s="345">
        <f>CHOOSE(Table16[[#This Row],[Mode Digit]], (Qg_Q1+Qg_Q2)*Fsw, (Qg_Q3+Qg_Q4)*Fsw, (Qg_Q1+Qg_Q2+Qg_Q3+Qg_Q4)*Fsw)*IF(Vout&gt;8, Vout, Table16[[#This Row],[Vin]])</f>
        <v>1.7066240000000001</v>
      </c>
      <c r="BG76" s="345">
        <f t="shared" si="6"/>
        <v>0.50594479787234037</v>
      </c>
      <c r="BH76" s="345">
        <f>Table16[[#This Row],[IQ Loss]]+Table16[[#This Row],[Switching Current Loss]]</f>
        <v>1.7546240000000002</v>
      </c>
      <c r="BI76"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7.4856808800859866</v>
      </c>
      <c r="BJ76" s="253">
        <f>Vout*Table16[[#This Row],[Iout]]</f>
        <v>128</v>
      </c>
      <c r="BK76" s="684">
        <f>Table16[[#This Row],[Pout]]/(Table16[[#This Row],[Pout]]+Table16[[#This Row],[Total Loss]])</f>
        <v>0.9447492839725895</v>
      </c>
      <c r="BL76"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110.00713377977327</v>
      </c>
      <c r="BM76" s="685">
        <f>IF(Table16[[#This Row],[Vin]]&gt;Vout, Table16[[#This Row],[Total Sync Bu MOSFET Loss]]*ThetaJA_Q2, ThetaJA_Q3*Table16[[#This Row],[Total Sync Bo MOSFET Loss]])</f>
        <v>23.009357522115472</v>
      </c>
      <c r="BN76" s="640"/>
      <c r="BO76" s="292">
        <f>Table16[[#This Row],[EFF, h]]*100</f>
        <v>94.47492839725895</v>
      </c>
      <c r="BP76" s="345">
        <f>Table16[[#This Row],[Total Inductor Loss]]</f>
        <v>1.0883428004190978</v>
      </c>
      <c r="BQ76" s="345">
        <f>Table16[[#This Row],[Total Control Bu MOSFET Loss]]+Table16[[#This Row],[Total Sync Bu MOSFET Loss]]+Table16[[#This Row],[Total Control Bo MOSFET Loss]]+Table16[[#This Row],[Total Sync Bo MOSFET Loss]]+Table16[[#This Row],[Reverse Recovery Loss MOSFET D BUCK]]+Table16[[#This Row],[Reverse Recovery Loss MOSFET D BOOST]]</f>
        <v>3.9004524459728018</v>
      </c>
      <c r="BR76" s="345">
        <f>Table16[[#This Row],[Total Control Bu MOSFET Loss]]+Table16[[#This Row],[Reverse Recovery Loss MOSFET D BUCK]]*0.66</f>
        <v>1.4736063559657426</v>
      </c>
      <c r="BS76" s="345">
        <f>Table16[[#This Row],[Total Sync Bu MOSFET Loss]]+Table16[[#This Row],[Reverse Recovery Loss MOSFET D BUCK]]*0.33</f>
        <v>0.56636558232485346</v>
      </c>
      <c r="BT76" s="345">
        <f xml:space="preserve"> Table16[[#This Row],[Total Control Bo MOSFET Loss]]+Table16[[#This Row],[Reverse Recovery Loss MOSFET D BOOST]]*0.66</f>
        <v>1.0211030779584522</v>
      </c>
      <c r="BU76" s="345">
        <f xml:space="preserve"> Table16[[#This Row],[Total Sync Bo MOSFET Loss]]+Table16[[#This Row],[Reverse Recovery Loss MOSFET D BOOST]]*0.33</f>
        <v>0.82650618932375364</v>
      </c>
      <c r="BV76" s="345">
        <f>Table16[[#This Row],[Isense Shunt Loss]]</f>
        <v>7.7995199148443856E-2</v>
      </c>
      <c r="CB76" s="686"/>
      <c r="CC76" s="686"/>
    </row>
    <row r="77" spans="1:81" ht="13.6" x14ac:dyDescent="0.25">
      <c r="A77" s="715" t="s">
        <v>241</v>
      </c>
      <c r="B77" s="718">
        <f>(Qg_Q1+Qg_Q2)*Fsw+Iq</f>
        <v>5.6332000000000007E-2</v>
      </c>
      <c r="C77" s="255" t="s">
        <v>2</v>
      </c>
      <c r="G77" s="253">
        <v>68</v>
      </c>
      <c r="H77" s="286">
        <f>VIN_min+(VIN_max-VIN_min)*(Table16[[#This Row],[Step]]/200)</f>
        <v>16.200000000000003</v>
      </c>
      <c r="I77" s="292" t="str">
        <f>IF(Mode = 2,IF(Table16[[#This Row],[Vin]]&gt;Vout, "BUCK","BOOST"),IF(Table16[[#This Row],[Vin]]&gt;VIN_BB_to_buck, "BUCK", IF(Table16[[#This Row],[Vin]]&lt;=VIN_boost_to_BB,"BOOST","BUCK-BST")))</f>
        <v>BUCK-BST</v>
      </c>
      <c r="J77" s="253">
        <f>IF(Table16[[#This Row],[Mode]]="BOOST",2, IF(Table16[[#This Row],[Mode]]="BUCK", 1,3))</f>
        <v>3</v>
      </c>
      <c r="K77" s="253">
        <f t="shared" si="4"/>
        <v>8</v>
      </c>
      <c r="L77" s="292">
        <f>Vout*Table16[[#This Row],[Iout]]/(Table16[[#This Row],[Vin]]*Efficiency)</f>
        <v>8.3170890188434043</v>
      </c>
      <c r="M77" s="682">
        <f>MIN(1/Fsw,CHOOSE(Table16[[#This Row],[Mode Digit]],(Vout+(Rdson2+Rs+Rdcr)*Table16[[#This Row],[Iout]])/(Table16[[#This Row],[Vin]]+(Rs+Rdson2-Rdson1)*Table16[[#This Row],[Iout]])/Fsw,(Vout+(Rdson3+Rdcr)*Table16[[#This Row],[Iin]]-Table16[[#This Row],[Vin]])/(Vout+(Rdson3-Rdson4-Rs)*Table16[[#This Row],[Iin]])/Fsw,t1_Ph_II))</f>
        <v>1.5084238313644118E-6</v>
      </c>
      <c r="N77" s="518">
        <f>CHOOSE(Table16[[#This Row],[Mode Digit]],1/Fsw-Table16[[#This Row],[t1_Ph_II]],1/Fsw-Table16[[#This Row],[t1_Ph_II]],(Vout/Fsw-Table16[[#This Row],[Vin]]*t1_Ph_II)/(Table16[[#This Row],[Vin]]+Vout))</f>
        <v>4.8958195518702341E-7</v>
      </c>
      <c r="O77" s="518">
        <f>1/Fsw-(Table16[[#This Row],[t1_Ph_II]]+Table16[[#This Row],[t2_Ph_I]])</f>
        <v>5.1455702751891672E-7</v>
      </c>
      <c r="P77"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9.8148555760034029</v>
      </c>
      <c r="Q77" s="292">
        <f>CHOOSE(Table16[[#This Row],[Mode Digit]],Table16[[#This Row],[I_0]]+1/Lf*(Table16[[#This Row],[Vin]]-Vout)*Table16[[#This Row],[t1_Ph_II]],Table16[[#This Row],[I_0]]+1/Lf*Table16[[#This Row],[Vin]]*Table16[[#This Row],[t1_Ph_II]],Table16[[#This Row],[I_0]]+(Table16[[#This Row],[Vin]]-Vout)/L*Table16[[#This Row],[t1_Ph_II]])</f>
        <v>9.9824582239327846</v>
      </c>
      <c r="R77" s="292">
        <f>CHOOSE(Table16[[#This Row],[Mode Digit]],0,0,Table16[[#This Row],[I_1]]+Table16[[#This Row],[Vin]]/L*Table16[[#This Row],[t2_Ph_I]])</f>
        <v>14.388695820615995</v>
      </c>
      <c r="S77" s="292">
        <f>Fsw*(Table16[[#This Row],[I_0]]*Table16[[#This Row],[t1_Ph_II]]+Table16[[#This Row],[I_1]]*Table16[[#This Row],[t2_Ph_I]]+Table16[[#This Row],[I_2]]*Table16[[#This Row],[t3_Ph_III]])</f>
        <v>10.784207211330855</v>
      </c>
      <c r="T77" s="345">
        <f>MIN(1,CHOOSE(Table16[[#This Row],[Mode Digit]],(Vout+(Rdson2+Rs+Rdcr)*Table16[[#This Row],[Iout]])/(Table16[[#This Row],[Vin]]+(Rs+Rdson2-Rdson1)*Table16[[#This Row],[Iout]]),1,Fsw*Table16[[#This Row],[t2_Ph_I]]+Table16[[#This Row],[t1_Ph_II]]))</f>
        <v>0.19485512658826667</v>
      </c>
      <c r="U77" s="345">
        <f>MIN(1,CHOOSE(Table16[[#This Row],[Mode Digit]],0,(Vout+(Rdson3+Rdcr)*Table16[[#This Row],[Iin]]-Table16[[#This Row],[Vin]])/(Vout+(Rdson3-Rdson4-Rs)*Table16[[#This Row],[Iin]]),Fsw*Table16[[#This Row],[t1_Ph_II]]+Table16[[#This Row],[t3_Ph_III]]))</f>
        <v>0.60035319944006338</v>
      </c>
      <c r="V77" s="292">
        <f>MAX(Table16[[#This Row],[I_0]:[I_2]])-MIN(Table16[[#This Row],[I_0]:[I_1]])</f>
        <v>4.5738402446125921</v>
      </c>
      <c r="W77"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10.882298177353835</v>
      </c>
      <c r="X77" s="345">
        <f>(Table16[[#This Row],[Irms Lf]]^2*Rdcr*(1+Ltc*Ta-Ltc*25))/(1-Table16[[#This Row],[Irms Lf]]^2*Rdcr*Ltc*ThetaCa)</f>
        <v>0.39080605389635387</v>
      </c>
      <c r="Y77" s="345">
        <f>ABS(7.759*10^-3*Fsw^0.9458*(0.00787*Table16[[#This Row],[Ripple Current pk-pk]])^2.304)</f>
        <v>0.72408299648302277</v>
      </c>
      <c r="Z77" s="345">
        <f>Table16[[#This Row],[DCR    Loss]]+Table16[[#This Row],[Core Loss]]</f>
        <v>1.1148890503793767</v>
      </c>
      <c r="AA77" s="292">
        <f>IF(Table16[[#This Row],[Vin]]&gt;Vout, Table16[[#This Row],[Ripple Current pk-pk]]/SQRT(12), SQRT(Table16[[#This Row],[Duty Cycle BOOST Leg]]/(1-Table16[[#This Row],[Duty Cycle BOOST Leg]]))*SQRT(Table16[[#This Row],[Iout]]^2+(Table16[[#This Row],[Ripple Current pk-pk]]^2)/12))</f>
        <v>1.3203539482287119</v>
      </c>
      <c r="AB77" s="345">
        <f>RCoutEsr*Table16[[#This Row],[Irms Cout]]^2</f>
        <v>3.4866690972062959E-3</v>
      </c>
      <c r="AC77" s="345">
        <f>Table16[[#This Row],[Cout ESR Loss]]</f>
        <v>3.4866690972062959E-3</v>
      </c>
      <c r="AD77" s="345">
        <f>IF(Table16[[#This Row],[Vin]]&gt;Vout, SQRT(Table16[[#This Row],[Duty Cycle BUCK Leg]]*(1-Table16[[#This Row],[Duty Cycle BUCK Leg]]))*SQRT(Table16[[#This Row],[Iout]]^2+(Table16[[#This Row],[Ripple Current pk-pk]]^2)/12), Table16[[#This Row],[Ripple Current pk-pk]]/SQRT(12))</f>
        <v>3.2115803959435882</v>
      </c>
      <c r="AE77" s="345">
        <f>RCinEsr*Table16[[#This Row],[Irms Cin]]^2</f>
        <v>2.0628497279218352E-2</v>
      </c>
      <c r="AF77" s="683">
        <f>Table16[[#This Row],[Cin ESR Loss]]</f>
        <v>2.0628497279218352E-2</v>
      </c>
      <c r="AG77"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9.3848145161728542</v>
      </c>
      <c r="AH77" s="345">
        <f>Rdson1*Table16[[#This Row],[Irms BuCtrl]]^2</f>
        <v>0.30826160226039057</v>
      </c>
      <c r="AI77" s="345">
        <f>CHOOSE(Table16[[#This Row],[Mode Digit]], (Table16[[#This Row],[Vin]]*Table16[[#This Row],[Iout]]/2)*(Fsw)*(Tr_buck+Tf_buck), 0, (Table16[[#This Row],[Vin]]*Table16[[#This Row],[Avg IL]]/2)*(Fsw/1)*(Tr_buck+Tf_buck))</f>
        <v>0.65383191387736661</v>
      </c>
      <c r="AJ77" s="253">
        <f>IF(Table16[[#This Row],[Vin]]&gt;Vout, IF(Table16[[#This Row],[Iout]]&gt;Table16[[#This Row],[Ripple Current pk-pk]]/2,0,ABS(Table16[[#This Row],[Iout]]-Table16[[#This Row],[Ripple Current pk-pk]]/2)*Vsd_Q1*Deadtime*Fsw),0)</f>
        <v>0</v>
      </c>
      <c r="AK77" s="345">
        <f>(Table16[[#This Row],[Dead Time Loss BuCtrl]]+Table16[[#This Row],[Transition Loss BuCtrl]]+Table16[[#This Row],[RDS(on) Loss BuCtrl]]*(1+RdsonTopTc*Ta-RdsonTopTc*25))/(1-Table16[[#This Row],[RDS(on) Loss BuCtrl]]*RdsonTopTc*ThetaJA_Q1)</f>
        <v>1.0459220977800785</v>
      </c>
      <c r="AL77" s="345">
        <f>CHOOSE(Table16[[#This Row],[Mode Digit]],SQRT((Fsw*(Table16[[#This Row],[t2_Ph_I]]+0))*((Table16[[#This Row],[I_0]]*Table16[[#This Row],[I_1]]+((Table16[[#This Row],[I_0]]-Table16[[#This Row],[I_1]])^2)/3))),0,SQRT((Fsw*(Table16[[#This Row],[t3_Ph_III]]+0))*((Table16[[#This Row],[I_0]]*Table16[[#This Row],[I_2]]+((Table16[[#This Row],[I_0]]-Table16[[#This Row],[I_2]])^2)/3))))</f>
        <v>5.5090534684163179</v>
      </c>
      <c r="AM77" s="345">
        <f>Rdson2*Table16[[#This Row],[Irms BuSync]]^2</f>
        <v>0.10622384541254452</v>
      </c>
      <c r="AN77"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77" s="345">
        <f>(Table16[[#This Row],[Deadtime Loss BuSync]]+Table16[[#This Row],[RDS(on) Loss BuSync]]*(1+RdsonBotTc*Ta-RdsonBotTc*25))/(1-Table16[[#This Row],[RDS(on) Loss BuSync]]*RdsonBotTc*ThetaJA_Q2)</f>
        <v>0.35482342979286158</v>
      </c>
      <c r="AP77" s="345">
        <f>CHOOSE(Table16[[#This Row],[Mode Digit]],0,SQRT((Fsw*(Table16[[#This Row],[t1_Ph_II]]+0))*((Table16[[#This Row],[I_0]]*Table16[[#This Row],[I_1]]+((Table16[[#This Row],[I_0]]-Table16[[#This Row],[I_1]])^2)/3))),SQRT((Fsw*(Table16[[#This Row],[t2_Ph_I]]+0))*((Table16[[#This Row],[I_1]]*Table16[[#This Row],[I_2]]+((Table16[[#This Row],[I_1]]-Table16[[#This Row],[I_2]])^2)/3))))</f>
        <v>5.4082100388282566</v>
      </c>
      <c r="AQ77" s="345">
        <f>Rdson4*Table16[[#This Row],[Irms BoCtlr]]^2</f>
        <v>0.10237057538428956</v>
      </c>
      <c r="AR77" s="345">
        <f>CHOOSE(Table16[[#This Row],[Mode Digit]], 0, (Vout*Table16[[#This Row],[Iin]]/2)*(Fsw)*(Tr_boost+Tf_boost), (Vout*Iout/2)*(Fsw/1)*(Tr_boost+Tf_boost))</f>
        <v>0.47564320886662292</v>
      </c>
      <c r="AS77" s="253">
        <f>IF(Table16[[#This Row],[Vin]]&gt;Vout, 0, IF(Table16[[#This Row],[Iin]]&gt;Table16[[#This Row],[Ripple Current pk-pk]]/2,0,ABS(Table16[[#This Row],[Iin]]-Table16[[#This Row],[Ripple Current pk-pk]]/2)*Vsd_Q4*Deadtime*Fsw))</f>
        <v>0</v>
      </c>
      <c r="AT77" s="345">
        <f>(Table16[[#This Row],[Dead Time Loss BoCtlr]]+Table16[[#This Row],[Transition Loss BoCtlr]]+Table16[[#This Row],[RDS(on) Loss BoCtlr]]*(1+RdsonTopTc*Ta-RdsonTopTc*25))/(1-Table16[[#This Row],[RDS(on) Loss BoCtlr]]*RdsonTopTc*ThetaJA_Q4)</f>
        <v>0.59381908049650789</v>
      </c>
      <c r="AU77"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9.4432874464751873</v>
      </c>
      <c r="AV77" s="345">
        <f>Rdson3*Table16[[#This Row],[Irms BoSync]]^2</f>
        <v>0.31211487228864554</v>
      </c>
      <c r="AW77"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0.24826510721247558</v>
      </c>
      <c r="AX77" s="345">
        <f>(Table16[[#This Row],[Deadtime Loss BoSync]]+Table16[[#This Row],[RDS(on) Loss BoSync]]*(1+RdsonBotTc*Ta-RdsonBotTc*25))/(1-Table16[[#This Row],[RDS(on) Loss BoSync]]*RdsonBotTc*ThetaJA_Q3)</f>
        <v>0.60987092372345197</v>
      </c>
      <c r="AY77" s="345">
        <f>CHOOSE(Table16[[#This Row],[Mode Digit]], Rdson3*Table16[[#This Row],[Irms Lf]]^2, Rdson1*Table16[[#This Row],[Irms Lf]]^2, 0)</f>
        <v>0</v>
      </c>
      <c r="AZ77" s="345">
        <f>CHOOSE(Table16[[#This Row],[Mode Digit]], 2*Deadtime*Fsw*IF(VfdSky_Q2&gt;0,VfdSky_Q2,0)*Table16[[#This Row],[Iout]], 2*Deadtime*Fsw*IF(VfdSky_Q3&gt;0,VfdSky_Q3,0)*Table16[[#This Row],[Iin]], 2*Deadtime*Fsw*IF(VfdSky_Q2&gt;0,VfdSky_Q2,0)*Table16[[#This Row],[Iout]]+2*Deadtime*Fsw*IF(VfdSky_Q3&gt;0,VfdSky_Q3,0)*Table16[[#This Row],[Iin]])</f>
        <v>0</v>
      </c>
      <c r="BA77" s="345">
        <f>CHOOSE(Table16[[#This Row],[Mode Digit]], IF(QrrSky_Q2&gt;0,QrrSky_Q2,Qrr_Q2)*Fsw*(Table16[[#This Row],[Vin]]-Table16[[#This Row],[Iout]]*Rdson1),0,  IF(QrrSky_Q2&gt;0,QrrSky_Q2,Qrr_Q2)*Fsw*(Table16[[#This Row],[Vin]]-Table16[[#This Row],[Iout]]*Rdson1)+IF(QrrSky_Q3&gt;0,QrrSky_Q3,Qrr_Q3)*Fsw*Vout)</f>
        <v>0.6462485200000001</v>
      </c>
      <c r="BB77" s="345">
        <f>CHOOSE(Table16[[#This Row],[Mode Digit]],0, IF(QrrSky_Q3&gt;0,QrrSky_Q3,Qrr_Q3)*Fsw*Vout,  IF(QrrSky_Q2&gt;0,QrrSky_Q2,Qrr_Q2)*Fsw*(Table16[[#This Row],[Vin]]-Table16[[#This Row],[Iout]]*Rdson1)+IF(QrrSky_Q3&gt;0,QrrSky_Q3,Qrr_Q3)*Fsw*Vout)</f>
        <v>0.6462485200000001</v>
      </c>
      <c r="BC77" s="345">
        <f>CHOOSE(Table16[[#This Row],[Mode Digit]], Rs*Table16[[#This Row],[Irms BuSync]]^2, Rs*Table16[[#This Row],[Irms BoCtlr]]^2, Rs*(Table16[[#This Row],[Irms BuSync]]^2+Table16[[#This Row],[Irms BoCtlr]]^2))</f>
        <v>7.7477927724538362E-2</v>
      </c>
      <c r="BD77" s="345">
        <f t="shared" si="5"/>
        <v>0.64</v>
      </c>
      <c r="BE77" s="345">
        <f>IF(Vout&gt;8, Iq*Vout, Iq*Table16[[#This Row],[Vin]])</f>
        <v>4.8000000000000001E-2</v>
      </c>
      <c r="BF77" s="345">
        <f>CHOOSE(Table16[[#This Row],[Mode Digit]], (Qg_Q1+Qg_Q2)*Fsw, (Qg_Q3+Qg_Q4)*Fsw, (Qg_Q1+Qg_Q2+Qg_Q3+Qg_Q4)*Fsw)*IF(Vout&gt;8, Vout, Table16[[#This Row],[Vin]])</f>
        <v>1.7066240000000001</v>
      </c>
      <c r="BG77" s="345">
        <f t="shared" si="6"/>
        <v>0.50594479787234037</v>
      </c>
      <c r="BH77" s="345">
        <f>Table16[[#This Row],[IQ Loss]]+Table16[[#This Row],[Switching Current Loss]]</f>
        <v>1.7546240000000002</v>
      </c>
      <c r="BI77"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7.5080387162732389</v>
      </c>
      <c r="BJ77" s="253">
        <f>Vout*Table16[[#This Row],[Iout]]</f>
        <v>128</v>
      </c>
      <c r="BK77" s="684">
        <f>Table16[[#This Row],[Pout]]/(Table16[[#This Row],[Pout]]+Table16[[#This Row],[Total Loss]])</f>
        <v>0.94459340724432173</v>
      </c>
      <c r="BL77"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109.99109015570511</v>
      </c>
      <c r="BM77" s="685">
        <f>IF(Table16[[#This Row],[Vin]]&gt;Vout, Table16[[#This Row],[Total Sync Bu MOSFET Loss]]*ThetaJA_Q2, ThetaJA_Q3*Table16[[#This Row],[Total Sync Bo MOSFET Loss]])</f>
        <v>23.063522936536003</v>
      </c>
      <c r="BN77" s="640"/>
      <c r="BO77" s="292">
        <f>Table16[[#This Row],[EFF, h]]*100</f>
        <v>94.459340724432167</v>
      </c>
      <c r="BP77" s="345">
        <f>Table16[[#This Row],[Total Inductor Loss]]</f>
        <v>1.1148890503793767</v>
      </c>
      <c r="BQ77" s="345">
        <f>Table16[[#This Row],[Total Control Bu MOSFET Loss]]+Table16[[#This Row],[Total Sync Bu MOSFET Loss]]+Table16[[#This Row],[Total Control Bo MOSFET Loss]]+Table16[[#This Row],[Total Sync Bo MOSFET Loss]]+Table16[[#This Row],[Reverse Recovery Loss MOSFET D BUCK]]+Table16[[#This Row],[Reverse Recovery Loss MOSFET D BOOST]]</f>
        <v>3.8969325717929006</v>
      </c>
      <c r="BR77" s="345">
        <f>Table16[[#This Row],[Total Control Bu MOSFET Loss]]+Table16[[#This Row],[Reverse Recovery Loss MOSFET D BUCK]]*0.66</f>
        <v>1.4724461209800785</v>
      </c>
      <c r="BS77" s="345">
        <f>Table16[[#This Row],[Total Sync Bu MOSFET Loss]]+Table16[[#This Row],[Reverse Recovery Loss MOSFET D BUCK]]*0.33</f>
        <v>0.56808544139286166</v>
      </c>
      <c r="BT77" s="345">
        <f xml:space="preserve"> Table16[[#This Row],[Total Control Bo MOSFET Loss]]+Table16[[#This Row],[Reverse Recovery Loss MOSFET D BOOST]]*0.66</f>
        <v>1.020343103696508</v>
      </c>
      <c r="BU77" s="345">
        <f xml:space="preserve"> Table16[[#This Row],[Total Sync Bo MOSFET Loss]]+Table16[[#This Row],[Reverse Recovery Loss MOSFET D BOOST]]*0.33</f>
        <v>0.823132935323452</v>
      </c>
      <c r="BV77" s="345">
        <f>Table16[[#This Row],[Isense Shunt Loss]]</f>
        <v>7.7477927724538362E-2</v>
      </c>
      <c r="CB77" s="686"/>
      <c r="CC77" s="686"/>
    </row>
    <row r="78" spans="1:81" ht="13.6" x14ac:dyDescent="0.25">
      <c r="A78" s="715" t="s">
        <v>242</v>
      </c>
      <c r="B78" s="716">
        <f>Qrr_Q2*Fsw</f>
        <v>1.7909999999999999E-2</v>
      </c>
      <c r="C78" s="255" t="s">
        <v>2</v>
      </c>
      <c r="G78" s="253">
        <v>69</v>
      </c>
      <c r="H78" s="286">
        <f>VIN_min+(VIN_max-VIN_min)*(Table16[[#This Row],[Step]]/200)</f>
        <v>16.350000000000001</v>
      </c>
      <c r="I78" s="292" t="str">
        <f>IF(Mode = 2,IF(Table16[[#This Row],[Vin]]&gt;Vout, "BUCK","BOOST"),IF(Table16[[#This Row],[Vin]]&gt;VIN_BB_to_buck, "BUCK", IF(Table16[[#This Row],[Vin]]&lt;=VIN_boost_to_BB,"BOOST","BUCK-BST")))</f>
        <v>BUCK-BST</v>
      </c>
      <c r="J78" s="253">
        <f>IF(Table16[[#This Row],[Mode]]="BOOST",2, IF(Table16[[#This Row],[Mode]]="BUCK", 1,3))</f>
        <v>3</v>
      </c>
      <c r="K78" s="253">
        <f t="shared" si="4"/>
        <v>8</v>
      </c>
      <c r="L78" s="292">
        <f>Vout*Table16[[#This Row],[Iout]]/(Table16[[#This Row],[Vin]]*Efficiency)</f>
        <v>8.2407854498631892</v>
      </c>
      <c r="M78" s="682">
        <f>MIN(1/Fsw,CHOOSE(Table16[[#This Row],[Mode Digit]],(Vout+(Rdson2+Rs+Rdcr)*Table16[[#This Row],[Iout]])/(Table16[[#This Row],[Vin]]+(Rs+Rdson2-Rdson1)*Table16[[#This Row],[Iout]])/Fsw,(Vout+(Rdson3+Rdcr)*Table16[[#This Row],[Iin]]-Table16[[#This Row],[Vin]])/(Vout+(Rdson3-Rdson4-Rs)*Table16[[#This Row],[Iin]])/Fsw,t1_Ph_II))</f>
        <v>1.5084238313644118E-6</v>
      </c>
      <c r="N78" s="518">
        <f>CHOOSE(Table16[[#This Row],[Mode Digit]],1/Fsw-Table16[[#This Row],[t1_Ph_II]],1/Fsw-Table16[[#This Row],[t1_Ph_II]],(Vout/Fsw-Table16[[#This Row],[Vin]]*t1_Ph_II)/(Table16[[#This Row],[Vin]]+Vout))</f>
        <v>4.803176316017773E-7</v>
      </c>
      <c r="O78" s="518">
        <f>1/Fsw-(Table16[[#This Row],[t1_Ph_II]]+Table16[[#This Row],[t2_Ph_I]])</f>
        <v>5.2382135110416262E-7</v>
      </c>
      <c r="P78"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9.7024238044554814</v>
      </c>
      <c r="Q78" s="292">
        <f>CHOOSE(Table16[[#This Row],[Mode Digit]],Table16[[#This Row],[I_0]]+1/Lf*(Table16[[#This Row],[Vin]]-Vout)*Table16[[#This Row],[t1_Ph_II]],Table16[[#This Row],[I_0]]+1/Lf*Table16[[#This Row],[Vin]]*Table16[[#This Row],[t1_Ph_II]],Table16[[#This Row],[I_0]]+(Table16[[#This Row],[Vin]]-Vout)/L*Table16[[#This Row],[t1_Ph_II]])</f>
        <v>9.9957284383318967</v>
      </c>
      <c r="R78" s="292">
        <f>CHOOSE(Table16[[#This Row],[Mode Digit]],0,0,Table16[[#This Row],[I_1]]+Table16[[#This Row],[Vin]]/L*Table16[[#This Row],[t2_Ph_I]])</f>
        <v>14.358613592048041</v>
      </c>
      <c r="S78" s="292">
        <f>Fsw*(Table16[[#This Row],[I_0]]*Table16[[#This Row],[t1_Ph_II]]+Table16[[#This Row],[I_1]]*Table16[[#This Row],[t2_Ph_I]]+Table16[[#This Row],[I_2]]*Table16[[#This Row],[t3_Ph_III]])</f>
        <v>10.729220427476445</v>
      </c>
      <c r="T78" s="345">
        <f>MIN(1,CHOOSE(Table16[[#This Row],[Mode Digit]],(Vout+(Rdson2+Rs+Rdcr)*Table16[[#This Row],[Iout]])/(Table16[[#This Row],[Vin]]+(Rs+Rdson2-Rdson1)*Table16[[#This Row],[Iout]]),1,Fsw*Table16[[#This Row],[t2_Ph_I]]+Table16[[#This Row],[t1_Ph_II]]))</f>
        <v>0.19116792580133873</v>
      </c>
      <c r="U78" s="345">
        <f>MIN(1,CHOOSE(Table16[[#This Row],[Mode Digit]],0,(Vout+(Rdson3+Rdcr)*Table16[[#This Row],[Iin]]-Table16[[#This Row],[Vin]])/(Vout+(Rdson3-Rdson4-Rs)*Table16[[#This Row],[Iin]]),Fsw*Table16[[#This Row],[t1_Ph_II]]+Table16[[#This Row],[t3_Ph_III]]))</f>
        <v>0.60035320870438691</v>
      </c>
      <c r="V78" s="292">
        <f>MAX(Table16[[#This Row],[I_0]:[I_2]])-MIN(Table16[[#This Row],[I_0]:[I_1]])</f>
        <v>4.6561897875925595</v>
      </c>
      <c r="W78"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10.837064027836217</v>
      </c>
      <c r="X78" s="345">
        <f>(Table16[[#This Row],[Irms Lf]]^2*Rdcr*(1+Ltc*Ta-Ltc*25))/(1-Table16[[#This Row],[Irms Lf]]^2*Rdcr*Ltc*ThetaCa)</f>
        <v>0.38746340340614532</v>
      </c>
      <c r="Y78" s="345">
        <f>ABS(7.759*10^-3*Fsw^0.9458*(0.00787*Table16[[#This Row],[Ripple Current pk-pk]])^2.304)</f>
        <v>0.75447285255978291</v>
      </c>
      <c r="Z78" s="345">
        <f>Table16[[#This Row],[DCR    Loss]]+Table16[[#This Row],[Core Loss]]</f>
        <v>1.1419362559659283</v>
      </c>
      <c r="AA78" s="292">
        <f>IF(Table16[[#This Row],[Vin]]&gt;Vout, Table16[[#This Row],[Ripple Current pk-pk]]/SQRT(12), SQRT(Table16[[#This Row],[Duty Cycle BOOST Leg]]/(1-Table16[[#This Row],[Duty Cycle BOOST Leg]]))*SQRT(Table16[[#This Row],[Iout]]^2+(Table16[[#This Row],[Ripple Current pk-pk]]^2)/12))</f>
        <v>1.3441262136322754</v>
      </c>
      <c r="AB78" s="345">
        <f>RCoutEsr*Table16[[#This Row],[Irms Cout]]^2</f>
        <v>3.6133505563468744E-3</v>
      </c>
      <c r="AC78" s="345">
        <f>Table16[[#This Row],[Cout ESR Loss]]</f>
        <v>3.6133505563468744E-3</v>
      </c>
      <c r="AD78" s="345">
        <f>IF(Table16[[#This Row],[Vin]]&gt;Vout, SQRT(Table16[[#This Row],[Duty Cycle BUCK Leg]]*(1-Table16[[#This Row],[Duty Cycle BUCK Leg]]))*SQRT(Table16[[#This Row],[Iout]]^2+(Table16[[#This Row],[Ripple Current pk-pk]]^2)/12), Table16[[#This Row],[Ripple Current pk-pk]]/SQRT(12))</f>
        <v>3.1898603568690387</v>
      </c>
      <c r="AE78" s="345">
        <f>RCinEsr*Table16[[#This Row],[Irms Cin]]^2</f>
        <v>2.0350418192649343E-2</v>
      </c>
      <c r="AF78" s="683">
        <f>Table16[[#This Row],[Cin ESR Loss]]</f>
        <v>2.0350418192649343E-2</v>
      </c>
      <c r="AG78"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9.3215424921617966</v>
      </c>
      <c r="AH78" s="345">
        <f>Rdson1*Table16[[#This Row],[Irms BuCtrl]]^2</f>
        <v>0.30411904051612287</v>
      </c>
      <c r="AI78" s="345">
        <f>CHOOSE(Table16[[#This Row],[Mode Digit]], (Table16[[#This Row],[Vin]]*Table16[[#This Row],[Iout]]/2)*(Fsw)*(Tr_buck+Tf_buck), 0, (Table16[[#This Row],[Vin]]*Table16[[#This Row],[Avg IL]]/2)*(Fsw/1)*(Tr_buck+Tf_buck))</f>
        <v>0.65652127037973029</v>
      </c>
      <c r="AJ78" s="253">
        <f>IF(Table16[[#This Row],[Vin]]&gt;Vout, IF(Table16[[#This Row],[Iout]]&gt;Table16[[#This Row],[Ripple Current pk-pk]]/2,0,ABS(Table16[[#This Row],[Iout]]-Table16[[#This Row],[Ripple Current pk-pk]]/2)*Vsd_Q1*Deadtime*Fsw),0)</f>
        <v>0</v>
      </c>
      <c r="AK78" s="345">
        <f>(Table16[[#This Row],[Dead Time Loss BuCtrl]]+Table16[[#This Row],[Transition Loss BuCtrl]]+Table16[[#This Row],[RDS(on) Loss BuCtrl]]*(1+RdsonTopTc*Ta-RdsonTopTc*25))/(1-Table16[[#This Row],[RDS(on) Loss BuCtrl]]*RdsonTopTc*ThetaJA_Q1)</f>
        <v>1.0431208695752188</v>
      </c>
      <c r="AL78" s="345">
        <f>CHOOSE(Table16[[#This Row],[Mode Digit]],SQRT((Fsw*(Table16[[#This Row],[t2_Ph_I]]+0))*((Table16[[#This Row],[I_0]]*Table16[[#This Row],[I_1]]+((Table16[[#This Row],[I_0]]-Table16[[#This Row],[I_1]])^2)/3))),0,SQRT((Fsw*(Table16[[#This Row],[t3_Ph_III]]+0))*((Table16[[#This Row],[I_0]]*Table16[[#This Row],[I_2]]+((Table16[[#This Row],[I_0]]-Table16[[#This Row],[I_2]])^2)/3))))</f>
        <v>5.5272780199881195</v>
      </c>
      <c r="AM78" s="345">
        <f>Rdson2*Table16[[#This Row],[Irms BuSync]]^2</f>
        <v>0.10692780808585325</v>
      </c>
      <c r="AN78"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78" s="345">
        <f>(Table16[[#This Row],[Deadtime Loss BuSync]]+Table16[[#This Row],[RDS(on) Loss BuSync]]*(1+RdsonBotTc*Ta-RdsonBotTc*25))/(1-Table16[[#This Row],[RDS(on) Loss BuSync]]*RdsonBotTc*ThetaJA_Q2)</f>
        <v>0.35561432372748253</v>
      </c>
      <c r="AP78" s="345">
        <f>CHOOSE(Table16[[#This Row],[Mode Digit]],0,SQRT((Fsw*(Table16[[#This Row],[t1_Ph_II]]+0))*((Table16[[#This Row],[I_0]]*Table16[[#This Row],[I_1]]+((Table16[[#This Row],[I_0]]-Table16[[#This Row],[I_1]])^2)/3))),SQRT((Fsw*(Table16[[#This Row],[t2_Ph_I]]+0))*((Table16[[#This Row],[I_1]]*Table16[[#This Row],[I_2]]+((Table16[[#This Row],[I_1]]-Table16[[#This Row],[I_2]])^2)/3))))</f>
        <v>5.3525749230644157</v>
      </c>
      <c r="AQ78" s="345">
        <f>Rdson4*Table16[[#This Row],[Irms BoCtlr]]^2</f>
        <v>0.10027520407456313</v>
      </c>
      <c r="AR78" s="345">
        <f>CHOOSE(Table16[[#This Row],[Mode Digit]], 0, (Vout*Table16[[#This Row],[Iin]]/2)*(Fsw)*(Tr_boost+Tf_boost), (Vout*Iout/2)*(Fsw/1)*(Tr_boost+Tf_boost))</f>
        <v>0.47564320886662292</v>
      </c>
      <c r="AS78" s="253">
        <f>IF(Table16[[#This Row],[Vin]]&gt;Vout, 0, IF(Table16[[#This Row],[Iin]]&gt;Table16[[#This Row],[Ripple Current pk-pk]]/2,0,ABS(Table16[[#This Row],[Iin]]-Table16[[#This Row],[Ripple Current pk-pk]]/2)*Vsd_Q4*Deadtime*Fsw))</f>
        <v>0</v>
      </c>
      <c r="AT78" s="345">
        <f>(Table16[[#This Row],[Dead Time Loss BoCtlr]]+Table16[[#This Row],[Transition Loss BoCtlr]]+Table16[[#This Row],[RDS(on) Loss BoCtlr]]*(1+RdsonTopTc*Ta-RdsonTopTc*25))/(1-Table16[[#This Row],[RDS(on) Loss BoCtlr]]*RdsonTopTc*ThetaJA_Q4)</f>
        <v>0.59133544640811109</v>
      </c>
      <c r="AU78"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9.422945316428601</v>
      </c>
      <c r="AV78" s="345">
        <f>Rdson3*Table16[[#This Row],[Irms BoSync]]^2</f>
        <v>0.31077164452741302</v>
      </c>
      <c r="AW78"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0.24598744567841616</v>
      </c>
      <c r="AX78" s="345">
        <f>(Table16[[#This Row],[Deadtime Loss BoSync]]+Table16[[#This Row],[RDS(on) Loss BoSync]]*(1+RdsonBotTc*Ta-RdsonBotTc*25))/(1-Table16[[#This Row],[RDS(on) Loss BoSync]]*RdsonBotTc*ThetaJA_Q3)</f>
        <v>0.60570003299533925</v>
      </c>
      <c r="AY78" s="345">
        <f>CHOOSE(Table16[[#This Row],[Mode Digit]], Rdson3*Table16[[#This Row],[Irms Lf]]^2, Rdson1*Table16[[#This Row],[Irms Lf]]^2, 0)</f>
        <v>0</v>
      </c>
      <c r="AZ78" s="345">
        <f>CHOOSE(Table16[[#This Row],[Mode Digit]], 2*Deadtime*Fsw*IF(VfdSky_Q2&gt;0,VfdSky_Q2,0)*Table16[[#This Row],[Iout]], 2*Deadtime*Fsw*IF(VfdSky_Q3&gt;0,VfdSky_Q3,0)*Table16[[#This Row],[Iin]], 2*Deadtime*Fsw*IF(VfdSky_Q2&gt;0,VfdSky_Q2,0)*Table16[[#This Row],[Iout]]+2*Deadtime*Fsw*IF(VfdSky_Q3&gt;0,VfdSky_Q3,0)*Table16[[#This Row],[Iin]])</f>
        <v>0</v>
      </c>
      <c r="BA78" s="345">
        <f>CHOOSE(Table16[[#This Row],[Mode Digit]], IF(QrrSky_Q2&gt;0,QrrSky_Q2,Qrr_Q2)*Fsw*(Table16[[#This Row],[Vin]]-Table16[[#This Row],[Iout]]*Rdson1),0,  IF(QrrSky_Q2&gt;0,QrrSky_Q2,Qrr_Q2)*Fsw*(Table16[[#This Row],[Vin]]-Table16[[#This Row],[Iout]]*Rdson1)+IF(QrrSky_Q3&gt;0,QrrSky_Q3,Qrr_Q3)*Fsw*Vout)</f>
        <v>0.64893502000000003</v>
      </c>
      <c r="BB78" s="345">
        <f>CHOOSE(Table16[[#This Row],[Mode Digit]],0, IF(QrrSky_Q3&gt;0,QrrSky_Q3,Qrr_Q3)*Fsw*Vout,  IF(QrrSky_Q2&gt;0,QrrSky_Q2,Qrr_Q2)*Fsw*(Table16[[#This Row],[Vin]]-Table16[[#This Row],[Iout]]*Rdson1)+IF(QrrSky_Q3&gt;0,QrrSky_Q3,Qrr_Q3)*Fsw*Vout)</f>
        <v>0.64893502000000003</v>
      </c>
      <c r="BC78" s="345">
        <f>CHOOSE(Table16[[#This Row],[Mode Digit]], Rs*Table16[[#This Row],[Irms BuSync]]^2, Rs*Table16[[#This Row],[Irms BoCtlr]]^2, Rs*(Table16[[#This Row],[Irms BuSync]]^2+Table16[[#This Row],[Irms BoCtlr]]^2))</f>
        <v>7.6961118802440373E-2</v>
      </c>
      <c r="BD78" s="345">
        <f t="shared" si="5"/>
        <v>0.64</v>
      </c>
      <c r="BE78" s="345">
        <f>IF(Vout&gt;8, Iq*Vout, Iq*Table16[[#This Row],[Vin]])</f>
        <v>4.8000000000000001E-2</v>
      </c>
      <c r="BF78" s="345">
        <f>CHOOSE(Table16[[#This Row],[Mode Digit]], (Qg_Q1+Qg_Q2)*Fsw, (Qg_Q3+Qg_Q4)*Fsw, (Qg_Q1+Qg_Q2+Qg_Q3+Qg_Q4)*Fsw)*IF(Vout&gt;8, Vout, Table16[[#This Row],[Vin]])</f>
        <v>1.7066240000000001</v>
      </c>
      <c r="BG78" s="345">
        <f t="shared" si="6"/>
        <v>0.50594479787234037</v>
      </c>
      <c r="BH78" s="345">
        <f>Table16[[#This Row],[IQ Loss]]+Table16[[#This Row],[Switching Current Loss]]</f>
        <v>1.7546240000000002</v>
      </c>
      <c r="BI78"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7.5311258562235155</v>
      </c>
      <c r="BJ78" s="253">
        <f>Vout*Table16[[#This Row],[Iout]]</f>
        <v>128</v>
      </c>
      <c r="BK78" s="684">
        <f>Table16[[#This Row],[Pout]]/(Table16[[#This Row],[Pout]]+Table16[[#This Row],[Total Loss]])</f>
        <v>0.94443249985089905</v>
      </c>
      <c r="BL78"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109.98363282238921</v>
      </c>
      <c r="BM78" s="685">
        <f>IF(Table16[[#This Row],[Vin]]&gt;Vout, Table16[[#This Row],[Total Sync Bu MOSFET Loss]]*ThetaJA_Q2, ThetaJA_Q3*Table16[[#This Row],[Total Sync Bo MOSFET Loss]])</f>
        <v>23.114931042286365</v>
      </c>
      <c r="BN78" s="640"/>
      <c r="BO78" s="292">
        <f>Table16[[#This Row],[EFF, h]]*100</f>
        <v>94.443249985089906</v>
      </c>
      <c r="BP78" s="345">
        <f>Table16[[#This Row],[Total Inductor Loss]]</f>
        <v>1.1419362559659283</v>
      </c>
      <c r="BQ78" s="345">
        <f>Table16[[#This Row],[Total Control Bu MOSFET Loss]]+Table16[[#This Row],[Total Sync Bu MOSFET Loss]]+Table16[[#This Row],[Total Control Bo MOSFET Loss]]+Table16[[#This Row],[Total Sync Bo MOSFET Loss]]+Table16[[#This Row],[Reverse Recovery Loss MOSFET D BUCK]]+Table16[[#This Row],[Reverse Recovery Loss MOSFET D BOOST]]</f>
        <v>3.8936407127061519</v>
      </c>
      <c r="BR78" s="345">
        <f>Table16[[#This Row],[Total Control Bu MOSFET Loss]]+Table16[[#This Row],[Reverse Recovery Loss MOSFET D BUCK]]*0.66</f>
        <v>1.4714179827752187</v>
      </c>
      <c r="BS78" s="345">
        <f>Table16[[#This Row],[Total Sync Bu MOSFET Loss]]+Table16[[#This Row],[Reverse Recovery Loss MOSFET D BUCK]]*0.33</f>
        <v>0.56976288032748257</v>
      </c>
      <c r="BT78" s="345">
        <f xml:space="preserve"> Table16[[#This Row],[Total Control Bo MOSFET Loss]]+Table16[[#This Row],[Reverse Recovery Loss MOSFET D BOOST]]*0.66</f>
        <v>1.0196325596081111</v>
      </c>
      <c r="BU78" s="345">
        <f xml:space="preserve"> Table16[[#This Row],[Total Sync Bo MOSFET Loss]]+Table16[[#This Row],[Reverse Recovery Loss MOSFET D BOOST]]*0.33</f>
        <v>0.81984858959533924</v>
      </c>
      <c r="BV78" s="345">
        <f>Table16[[#This Row],[Isense Shunt Loss]]</f>
        <v>7.6961118802440373E-2</v>
      </c>
      <c r="CB78" s="686"/>
      <c r="CC78" s="686"/>
    </row>
    <row r="79" spans="1:81" ht="13.6" x14ac:dyDescent="0.25">
      <c r="A79" s="715" t="s">
        <v>243</v>
      </c>
      <c r="B79" s="716" t="e">
        <f>C79/Vin</f>
        <v>#NAME?</v>
      </c>
      <c r="C79" s="255" t="e">
        <f>Deadtime*Fsw*(Iripple_Vinnom/2)*(VsdTop+VsdBot)</f>
        <v>#NAME?</v>
      </c>
      <c r="G79" s="253">
        <v>70</v>
      </c>
      <c r="H79" s="286">
        <f>VIN_min+(VIN_max-VIN_min)*(Table16[[#This Row],[Step]]/200)</f>
        <v>16.5</v>
      </c>
      <c r="I79" s="292" t="str">
        <f>IF(Mode = 2,IF(Table16[[#This Row],[Vin]]&gt;Vout, "BUCK","BOOST"),IF(Table16[[#This Row],[Vin]]&gt;VIN_BB_to_buck, "BUCK", IF(Table16[[#This Row],[Vin]]&lt;=VIN_boost_to_BB,"BOOST","BUCK-BST")))</f>
        <v>BUCK-BST</v>
      </c>
      <c r="J79" s="253">
        <f>IF(Table16[[#This Row],[Mode]]="BOOST",2, IF(Table16[[#This Row],[Mode]]="BUCK", 1,3))</f>
        <v>3</v>
      </c>
      <c r="K79" s="253">
        <f t="shared" si="4"/>
        <v>8</v>
      </c>
      <c r="L79" s="292">
        <f>Vout*Table16[[#This Row],[Iout]]/(Table16[[#This Row],[Vin]]*Efficiency)</f>
        <v>8.1658692185007986</v>
      </c>
      <c r="M79" s="682">
        <f>MIN(1/Fsw,CHOOSE(Table16[[#This Row],[Mode Digit]],(Vout+(Rdson2+Rs+Rdcr)*Table16[[#This Row],[Iout]])/(Table16[[#This Row],[Vin]]+(Rs+Rdson2-Rdson1)*Table16[[#This Row],[Iout]])/Fsw,(Vout+(Rdson3+Rdcr)*Table16[[#This Row],[Iin]]-Table16[[#This Row],[Vin]])/(Vout+(Rdson3-Rdson4-Rs)*Table16[[#This Row],[Iin]])/Fsw,t1_Ph_II))</f>
        <v>1.5084238313644118E-6</v>
      </c>
      <c r="N79" s="518">
        <f>CHOOSE(Table16[[#This Row],[Mode Digit]],1/Fsw-Table16[[#This Row],[t1_Ph_II]],1/Fsw-Table16[[#This Row],[t1_Ph_II]],(Vout/Fsw-Table16[[#This Row],[Vin]]*t1_Ph_II)/(Table16[[#This Row],[Vin]]+Vout))</f>
        <v>4.7113882484962571E-7</v>
      </c>
      <c r="O79" s="518">
        <f>1/Fsw-(Table16[[#This Row],[t1_Ph_II]]+Table16[[#This Row],[t2_Ph_I]])</f>
        <v>5.3300015785631458E-7</v>
      </c>
      <c r="P79"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9.5912390026444978</v>
      </c>
      <c r="Q79" s="292">
        <f>CHOOSE(Table16[[#This Row],[Mode Digit]],Table16[[#This Row],[I_0]]+1/Lf*(Table16[[#This Row],[Vin]]-Vout)*Table16[[#This Row],[t1_Ph_II]],Table16[[#This Row],[I_0]]+1/Lf*Table16[[#This Row],[Vin]]*Table16[[#This Row],[t1_Ph_II]],Table16[[#This Row],[I_0]]+(Table16[[#This Row],[Vin]]-Vout)/L*Table16[[#This Row],[t1_Ph_II]])</f>
        <v>10.010245622467945</v>
      </c>
      <c r="R79" s="292">
        <f>CHOOSE(Table16[[#This Row],[Mode Digit]],0,0,Table16[[#This Row],[I_1]]+Table16[[#This Row],[Vin]]/L*Table16[[#This Row],[t2_Ph_I]])</f>
        <v>14.329018183589515</v>
      </c>
      <c r="S79" s="292">
        <f>Fsw*(Table16[[#This Row],[I_0]]*Table16[[#This Row],[t1_Ph_II]]+Table16[[#This Row],[I_1]]*Table16[[#This Row],[t2_Ph_I]]+Table16[[#This Row],[I_2]]*Table16[[#This Row],[t3_Ph_III]])</f>
        <v>10.674852643088855</v>
      </c>
      <c r="T79" s="345">
        <f>MIN(1,CHOOSE(Table16[[#This Row],[Mode Digit]],(Vout+(Rdson2+Rs+Rdcr)*Table16[[#This Row],[Iout]])/(Table16[[#This Row],[Vin]]+(Rs+Rdson2-Rdson1)*Table16[[#This Row],[Iout]]),1,Fsw*Table16[[#This Row],[t2_Ph_I]]+Table16[[#This Row],[t1_Ph_II]]))</f>
        <v>0.1875147607139824</v>
      </c>
      <c r="U79" s="345">
        <f>MIN(1,CHOOSE(Table16[[#This Row],[Mode Digit]],0,(Vout+(Rdson3+Rdcr)*Table16[[#This Row],[Iin]]-Table16[[#This Row],[Vin]])/(Vout+(Rdson3-Rdson4-Rs)*Table16[[#This Row],[Iin]]),Fsw*Table16[[#This Row],[t1_Ph_II]]+Table16[[#This Row],[t3_Ph_III]]))</f>
        <v>0.60035321788319373</v>
      </c>
      <c r="V79" s="292">
        <f>MAX(Table16[[#This Row],[I_0]:[I_2]])-MIN(Table16[[#This Row],[I_0]:[I_1]])</f>
        <v>4.7377791809450169</v>
      </c>
      <c r="W79"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10.792543798757352</v>
      </c>
      <c r="X79" s="345">
        <f>(Table16[[#This Row],[Irms Lf]]^2*Rdcr*(1+Ltc*Ta-Ltc*25))/(1-Table16[[#This Row],[Irms Lf]]^2*Rdcr*Ltc*ThetaCa)</f>
        <v>0.38418878640276083</v>
      </c>
      <c r="Y79" s="345">
        <f>ABS(7.759*10^-3*Fsw^0.9458*(0.00787*Table16[[#This Row],[Ripple Current pk-pk]])^2.304)</f>
        <v>0.78528141454642031</v>
      </c>
      <c r="Z79" s="345">
        <f>Table16[[#This Row],[DCR    Loss]]+Table16[[#This Row],[Core Loss]]</f>
        <v>1.1694702009491811</v>
      </c>
      <c r="AA79" s="292">
        <f>IF(Table16[[#This Row],[Vin]]&gt;Vout, Table16[[#This Row],[Ripple Current pk-pk]]/SQRT(12), SQRT(Table16[[#This Row],[Duty Cycle BOOST Leg]]/(1-Table16[[#This Row],[Duty Cycle BOOST Leg]]))*SQRT(Table16[[#This Row],[Iout]]^2+(Table16[[#This Row],[Ripple Current pk-pk]]^2)/12))</f>
        <v>1.3676790427398051</v>
      </c>
      <c r="AB79" s="345">
        <f>RCoutEsr*Table16[[#This Row],[Irms Cout]]^2</f>
        <v>3.7410919278993396E-3</v>
      </c>
      <c r="AC79" s="345">
        <f>Table16[[#This Row],[Cout ESR Loss]]</f>
        <v>3.7410919278993396E-3</v>
      </c>
      <c r="AD79" s="345">
        <f>IF(Table16[[#This Row],[Vin]]&gt;Vout, SQRT(Table16[[#This Row],[Duty Cycle BUCK Leg]]*(1-Table16[[#This Row],[Duty Cycle BUCK Leg]]))*SQRT(Table16[[#This Row],[Iout]]^2+(Table16[[#This Row],[Ripple Current pk-pk]]^2)/12), Table16[[#This Row],[Ripple Current pk-pk]]/SQRT(12))</f>
        <v>3.1678973559009442</v>
      </c>
      <c r="AE79" s="345">
        <f>RCinEsr*Table16[[#This Row],[Irms Cin]]^2</f>
        <v>2.0071147315048391E-2</v>
      </c>
      <c r="AF79" s="683">
        <f>Table16[[#This Row],[Cin ESR Loss]]</f>
        <v>2.0071147315048391E-2</v>
      </c>
      <c r="AG79"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9.2594571576897948</v>
      </c>
      <c r="AH79" s="345">
        <f>Rdson1*Table16[[#This Row],[Irms BuCtrl]]^2</f>
        <v>0.30008141399282473</v>
      </c>
      <c r="AI79" s="345">
        <f>CHOOSE(Table16[[#This Row],[Mode Digit]], (Table16[[#This Row],[Vin]]*Table16[[#This Row],[Iout]]/2)*(Fsw)*(Tr_buck+Tf_buck), 0, (Table16[[#This Row],[Vin]]*Table16[[#This Row],[Avg IL]]/2)*(Fsw/1)*(Tr_buck+Tf_buck))</f>
        <v>0.65918711440355882</v>
      </c>
      <c r="AJ79" s="253">
        <f>IF(Table16[[#This Row],[Vin]]&gt;Vout, IF(Table16[[#This Row],[Iout]]&gt;Table16[[#This Row],[Ripple Current pk-pk]]/2,0,ABS(Table16[[#This Row],[Iout]]-Table16[[#This Row],[Ripple Current pk-pk]]/2)*Vsd_Q1*Deadtime*Fsw),0)</f>
        <v>0</v>
      </c>
      <c r="AK79" s="345">
        <f>(Table16[[#This Row],[Dead Time Loss BuCtrl]]+Table16[[#This Row],[Transition Loss BuCtrl]]+Table16[[#This Row],[RDS(on) Loss BuCtrl]]*(1+RdsonTopTc*Ta-RdsonTopTc*25))/(1-Table16[[#This Row],[RDS(on) Loss BuCtrl]]*RdsonTopTc*ThetaJA_Q1)</f>
        <v>1.0404452843445349</v>
      </c>
      <c r="AL79" s="345">
        <f>CHOOSE(Table16[[#This Row],[Mode Digit]],SQRT((Fsw*(Table16[[#This Row],[t2_Ph_I]]+0))*((Table16[[#This Row],[I_0]]*Table16[[#This Row],[I_1]]+((Table16[[#This Row],[I_0]]-Table16[[#This Row],[I_1]])^2)/3))),0,SQRT((Fsw*(Table16[[#This Row],[t3_Ph_III]]+0))*((Table16[[#This Row],[I_0]]*Table16[[#This Row],[I_2]]+((Table16[[#This Row],[I_0]]-Table16[[#This Row],[I_2]])^2)/3))))</f>
        <v>5.544497704301353</v>
      </c>
      <c r="AM79" s="345">
        <f>Rdson2*Table16[[#This Row],[Irms BuSync]]^2</f>
        <v>0.10759509177551041</v>
      </c>
      <c r="AN79"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79" s="345">
        <f>(Table16[[#This Row],[Deadtime Loss BuSync]]+Table16[[#This Row],[RDS(on) Loss BuSync]]*(1+RdsonBotTc*Ta-RdsonBotTc*25))/(1-Table16[[#This Row],[RDS(on) Loss BuSync]]*RdsonBotTc*ThetaJA_Q2)</f>
        <v>0.3563642842207338</v>
      </c>
      <c r="AP79" s="345">
        <f>CHOOSE(Table16[[#This Row],[Mode Digit]],0,SQRT((Fsw*(Table16[[#This Row],[t1_Ph_II]]+0))*((Table16[[#This Row],[I_0]]*Table16[[#This Row],[I_1]]+((Table16[[#This Row],[I_0]]-Table16[[#This Row],[I_1]])^2)/3))),SQRT((Fsw*(Table16[[#This Row],[t2_Ph_I]]+0))*((Table16[[#This Row],[I_1]]*Table16[[#This Row],[I_2]]+((Table16[[#This Row],[I_1]]-Table16[[#This Row],[I_2]])^2)/3))))</f>
        <v>5.2973725991081002</v>
      </c>
      <c r="AQ79" s="345">
        <f>Rdson4*Table16[[#This Row],[Irms BoCtlr]]^2</f>
        <v>9.8217547588234588E-2</v>
      </c>
      <c r="AR79" s="345">
        <f>CHOOSE(Table16[[#This Row],[Mode Digit]], 0, (Vout*Table16[[#This Row],[Iin]]/2)*(Fsw)*(Tr_boost+Tf_boost), (Vout*Iout/2)*(Fsw/1)*(Tr_boost+Tf_boost))</f>
        <v>0.47564320886662292</v>
      </c>
      <c r="AS79" s="253">
        <f>IF(Table16[[#This Row],[Vin]]&gt;Vout, 0, IF(Table16[[#This Row],[Iin]]&gt;Table16[[#This Row],[Ripple Current pk-pk]]/2,0,ABS(Table16[[#This Row],[Iin]]-Table16[[#This Row],[Ripple Current pk-pk]]/2)*Vsd_Q4*Deadtime*Fsw))</f>
        <v>0</v>
      </c>
      <c r="AT79" s="345">
        <f>(Table16[[#This Row],[Dead Time Loss BoCtlr]]+Table16[[#This Row],[Transition Loss BoCtlr]]+Table16[[#This Row],[RDS(on) Loss BoCtlr]]*(1+RdsonTopTc*Ta-RdsonTopTc*25))/(1-Table16[[#This Row],[RDS(on) Loss BoCtlr]]*RdsonTopTc*ThetaJA_Q4)</f>
        <v>0.58889921806843837</v>
      </c>
      <c r="AU79"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9.4030231943941534</v>
      </c>
      <c r="AV79" s="345">
        <f>Rdson3*Table16[[#This Row],[Irms BoSync]]^2</f>
        <v>0.3094589581801005</v>
      </c>
      <c r="AW79"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0.2437511961722488</v>
      </c>
      <c r="AX79" s="345">
        <f>(Table16[[#This Row],[Deadtime Loss BoSync]]+Table16[[#This Row],[RDS(on) Loss BoSync]]*(1+RdsonBotTc*Ta-RdsonBotTc*25))/(1-Table16[[#This Row],[RDS(on) Loss BoSync]]*RdsonBotTc*ThetaJA_Q3)</f>
        <v>0.60161575433855918</v>
      </c>
      <c r="AY79" s="345">
        <f>CHOOSE(Table16[[#This Row],[Mode Digit]], Rdson3*Table16[[#This Row],[Irms Lf]]^2, Rdson1*Table16[[#This Row],[Irms Lf]]^2, 0)</f>
        <v>0</v>
      </c>
      <c r="AZ79" s="345">
        <f>CHOOSE(Table16[[#This Row],[Mode Digit]], 2*Deadtime*Fsw*IF(VfdSky_Q2&gt;0,VfdSky_Q2,0)*Table16[[#This Row],[Iout]], 2*Deadtime*Fsw*IF(VfdSky_Q3&gt;0,VfdSky_Q3,0)*Table16[[#This Row],[Iin]], 2*Deadtime*Fsw*IF(VfdSky_Q2&gt;0,VfdSky_Q2,0)*Table16[[#This Row],[Iout]]+2*Deadtime*Fsw*IF(VfdSky_Q3&gt;0,VfdSky_Q3,0)*Table16[[#This Row],[Iin]])</f>
        <v>0</v>
      </c>
      <c r="BA79" s="345">
        <f>CHOOSE(Table16[[#This Row],[Mode Digit]], IF(QrrSky_Q2&gt;0,QrrSky_Q2,Qrr_Q2)*Fsw*(Table16[[#This Row],[Vin]]-Table16[[#This Row],[Iout]]*Rdson1),0,  IF(QrrSky_Q2&gt;0,QrrSky_Q2,Qrr_Q2)*Fsw*(Table16[[#This Row],[Vin]]-Table16[[#This Row],[Iout]]*Rdson1)+IF(QrrSky_Q3&gt;0,QrrSky_Q3,Qrr_Q3)*Fsw*Vout)</f>
        <v>0.65162151999999995</v>
      </c>
      <c r="BB79" s="345">
        <f>CHOOSE(Table16[[#This Row],[Mode Digit]],0, IF(QrrSky_Q3&gt;0,QrrSky_Q3,Qrr_Q3)*Fsw*Vout,  IF(QrrSky_Q2&gt;0,QrrSky_Q2,Qrr_Q2)*Fsw*(Table16[[#This Row],[Vin]]-Table16[[#This Row],[Iout]]*Rdson1)+IF(QrrSky_Q3&gt;0,QrrSky_Q3,Qrr_Q3)*Fsw*Vout)</f>
        <v>0.65162151999999995</v>
      </c>
      <c r="BC79" s="345">
        <f>CHOOSE(Table16[[#This Row],[Mode Digit]], Rs*Table16[[#This Row],[Irms BuSync]]^2, Rs*Table16[[#This Row],[Irms BoCtlr]]^2, Rs*(Table16[[#This Row],[Irms BuSync]]^2+Table16[[#This Row],[Irms BoCtlr]]^2))</f>
        <v>7.644469462081957E-2</v>
      </c>
      <c r="BD79" s="345">
        <f t="shared" si="5"/>
        <v>0.64</v>
      </c>
      <c r="BE79" s="345">
        <f>IF(Vout&gt;8, Iq*Vout, Iq*Table16[[#This Row],[Vin]])</f>
        <v>4.8000000000000001E-2</v>
      </c>
      <c r="BF79" s="345">
        <f>CHOOSE(Table16[[#This Row],[Mode Digit]], (Qg_Q1+Qg_Q2)*Fsw, (Qg_Q3+Qg_Q4)*Fsw, (Qg_Q1+Qg_Q2+Qg_Q3+Qg_Q4)*Fsw)*IF(Vout&gt;8, Vout, Table16[[#This Row],[Vin]])</f>
        <v>1.7066240000000001</v>
      </c>
      <c r="BG79" s="345">
        <f t="shared" si="6"/>
        <v>0.50594479787234037</v>
      </c>
      <c r="BH79" s="345">
        <f>Table16[[#This Row],[IQ Loss]]+Table16[[#This Row],[Switching Current Loss]]</f>
        <v>1.7546240000000002</v>
      </c>
      <c r="BI79"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7.554918715785214</v>
      </c>
      <c r="BJ79" s="253">
        <f>Vout*Table16[[#This Row],[Iout]]</f>
        <v>128</v>
      </c>
      <c r="BK79" s="684">
        <f>Table16[[#This Row],[Pout]]/(Table16[[#This Row],[Pout]]+Table16[[#This Row],[Total Loss]])</f>
        <v>0.94426673124547078</v>
      </c>
      <c r="BL79"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109.98434228239476</v>
      </c>
      <c r="BM79" s="685">
        <f>IF(Table16[[#This Row],[Vin]]&gt;Vout, Table16[[#This Row],[Total Sync Bu MOSFET Loss]]*ThetaJA_Q2, ThetaJA_Q3*Table16[[#This Row],[Total Sync Bo MOSFET Loss]])</f>
        <v>23.163678474347698</v>
      </c>
      <c r="BN79" s="640"/>
      <c r="BO79" s="292">
        <f>Table16[[#This Row],[EFF, h]]*100</f>
        <v>94.426673124547079</v>
      </c>
      <c r="BP79" s="345">
        <f>Table16[[#This Row],[Total Inductor Loss]]</f>
        <v>1.1694702009491811</v>
      </c>
      <c r="BQ79" s="345">
        <f>Table16[[#This Row],[Total Control Bu MOSFET Loss]]+Table16[[#This Row],[Total Sync Bu MOSFET Loss]]+Table16[[#This Row],[Total Control Bo MOSFET Loss]]+Table16[[#This Row],[Total Sync Bo MOSFET Loss]]+Table16[[#This Row],[Reverse Recovery Loss MOSFET D BUCK]]+Table16[[#This Row],[Reverse Recovery Loss MOSFET D BOOST]]</f>
        <v>3.8905675809722657</v>
      </c>
      <c r="BR79" s="345">
        <f>Table16[[#This Row],[Total Control Bu MOSFET Loss]]+Table16[[#This Row],[Reverse Recovery Loss MOSFET D BUCK]]*0.66</f>
        <v>1.4705154875445348</v>
      </c>
      <c r="BS79" s="345">
        <f>Table16[[#This Row],[Total Sync Bu MOSFET Loss]]+Table16[[#This Row],[Reverse Recovery Loss MOSFET D BUCK]]*0.33</f>
        <v>0.5713993858207338</v>
      </c>
      <c r="BT79" s="345">
        <f xml:space="preserve"> Table16[[#This Row],[Total Control Bo MOSFET Loss]]+Table16[[#This Row],[Reverse Recovery Loss MOSFET D BOOST]]*0.66</f>
        <v>1.0189694212684384</v>
      </c>
      <c r="BU79" s="345">
        <f xml:space="preserve"> Table16[[#This Row],[Total Sync Bo MOSFET Loss]]+Table16[[#This Row],[Reverse Recovery Loss MOSFET D BOOST]]*0.33</f>
        <v>0.81665085593855924</v>
      </c>
      <c r="BV79" s="345">
        <f>Table16[[#This Row],[Isense Shunt Loss]]</f>
        <v>7.644469462081957E-2</v>
      </c>
      <c r="CB79" s="686"/>
      <c r="CC79" s="686"/>
    </row>
    <row r="80" spans="1:81" ht="13.6" x14ac:dyDescent="0.25">
      <c r="A80" s="715" t="s">
        <v>49</v>
      </c>
      <c r="B80" s="716" t="e">
        <f>SUM(B77:B79)</f>
        <v>#NAME?</v>
      </c>
      <c r="C80" s="255" t="s">
        <v>2</v>
      </c>
      <c r="G80" s="253">
        <v>71</v>
      </c>
      <c r="H80" s="286">
        <f>VIN_min+(VIN_max-VIN_min)*(Table16[[#This Row],[Step]]/200)</f>
        <v>16.649999999999999</v>
      </c>
      <c r="I80" s="292" t="str">
        <f>IF(Mode = 2,IF(Table16[[#This Row],[Vin]]&gt;Vout, "BUCK","BOOST"),IF(Table16[[#This Row],[Vin]]&gt;VIN_BB_to_buck, "BUCK", IF(Table16[[#This Row],[Vin]]&lt;=VIN_boost_to_BB,"BOOST","BUCK-BST")))</f>
        <v>BUCK-BST</v>
      </c>
      <c r="J80" s="253">
        <f>IF(Table16[[#This Row],[Mode]]="BOOST",2, IF(Table16[[#This Row],[Mode]]="BUCK", 1,3))</f>
        <v>3</v>
      </c>
      <c r="K80" s="253">
        <f t="shared" si="4"/>
        <v>8</v>
      </c>
      <c r="L80" s="292">
        <f>Vout*Table16[[#This Row],[Iout]]/(Table16[[#This Row],[Vin]]*Efficiency)</f>
        <v>8.0923028291449359</v>
      </c>
      <c r="M80" s="682">
        <f>MIN(1/Fsw,CHOOSE(Table16[[#This Row],[Mode Digit]],(Vout+(Rdson2+Rs+Rdcr)*Table16[[#This Row],[Iout]])/(Table16[[#This Row],[Vin]]+(Rs+Rdson2-Rdson1)*Table16[[#This Row],[Iout]])/Fsw,(Vout+(Rdson3+Rdcr)*Table16[[#This Row],[Iin]]-Table16[[#This Row],[Vin]])/(Vout+(Rdson3-Rdson4-Rs)*Table16[[#This Row],[Iin]])/Fsw,t1_Ph_II))</f>
        <v>1.5084238313644118E-6</v>
      </c>
      <c r="N80" s="518">
        <f>CHOOSE(Table16[[#This Row],[Mode Digit]],1/Fsw-Table16[[#This Row],[t1_Ph_II]],1/Fsw-Table16[[#This Row],[t1_Ph_II]],(Vout/Fsw-Table16[[#This Row],[Vin]]*t1_Ph_II)/(Table16[[#This Row],[Vin]]+Vout))</f>
        <v>4.6204435629121522E-7</v>
      </c>
      <c r="O80" s="518">
        <f>1/Fsw-(Table16[[#This Row],[t1_Ph_II]]+Table16[[#This Row],[t2_Ph_I]])</f>
        <v>5.4209462641472475E-7</v>
      </c>
      <c r="P80"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9.4812725025807989</v>
      </c>
      <c r="Q80" s="292">
        <f>CHOOSE(Table16[[#This Row],[Mode Digit]],Table16[[#This Row],[I_0]]+1/Lf*(Table16[[#This Row],[Vin]]-Vout)*Table16[[#This Row],[t1_Ph_II]],Table16[[#This Row],[I_0]]+1/Lf*Table16[[#This Row],[Vin]]*Table16[[#This Row],[t1_Ph_II]],Table16[[#This Row],[I_0]]+(Table16[[#This Row],[Vin]]-Vout)/L*Table16[[#This Row],[t1_Ph_II]])</f>
        <v>10.02598110835128</v>
      </c>
      <c r="R80" s="292">
        <f>CHOOSE(Table16[[#This Row],[Mode Digit]],0,0,Table16[[#This Row],[I_1]]+Table16[[#This Row],[Vin]]/L*Table16[[#This Row],[t2_Ph_I]])</f>
        <v>14.29989140404502</v>
      </c>
      <c r="S80" s="292">
        <f>Fsw*(Table16[[#This Row],[I_0]]*Table16[[#This Row],[t1_Ph_II]]+Table16[[#This Row],[I_1]]*Table16[[#This Row],[t2_Ph_I]]+Table16[[#This Row],[I_2]]*Table16[[#This Row],[t3_Ph_III]])</f>
        <v>10.621075628817586</v>
      </c>
      <c r="T80" s="345">
        <f>MIN(1,CHOOSE(Table16[[#This Row],[Mode Digit]],(Vout+(Rdson2+Rs+Rdcr)*Table16[[#This Row],[Iout]])/(Table16[[#This Row],[Vin]]+(Rs+Rdson2-Rdson1)*Table16[[#This Row],[Iout]]),1,Fsw*Table16[[#This Row],[t2_Ph_I]]+Table16[[#This Row],[t1_Ph_II]]))</f>
        <v>0.18389516222773503</v>
      </c>
      <c r="U80" s="345">
        <f>MIN(1,CHOOSE(Table16[[#This Row],[Mode Digit]],0,(Vout+(Rdson3+Rdcr)*Table16[[#This Row],[Iin]]-Table16[[#This Row],[Vin]])/(Vout+(Rdson3-Rdson4-Rs)*Table16[[#This Row],[Iin]]),Fsw*Table16[[#This Row],[t1_Ph_II]]+Table16[[#This Row],[t3_Ph_III]]))</f>
        <v>0.60035322697766225</v>
      </c>
      <c r="V80" s="292">
        <f>MAX(Table16[[#This Row],[I_0]:[I_2]])-MIN(Table16[[#This Row],[I_0]:[I_1]])</f>
        <v>4.8186189014642213</v>
      </c>
      <c r="W80"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10.748718017115872</v>
      </c>
      <c r="X80" s="345">
        <f>(Table16[[#This Row],[Irms Lf]]^2*Rdcr*(1+Ltc*Ta-Ltc*25))/(1-Table16[[#This Row],[Irms Lf]]^2*Rdcr*Ltc*ThetaCa)</f>
        <v>0.3809800299964467</v>
      </c>
      <c r="Y80" s="345">
        <f>ABS(7.759*10^-3*Fsw^0.9458*(0.00787*Table16[[#This Row],[Ripple Current pk-pk]])^2.304)</f>
        <v>0.81649695374014053</v>
      </c>
      <c r="Z80" s="345">
        <f>Table16[[#This Row],[DCR    Loss]]+Table16[[#This Row],[Core Loss]]</f>
        <v>1.1974769837365873</v>
      </c>
      <c r="AA80" s="292">
        <f>IF(Table16[[#This Row],[Vin]]&gt;Vout, Table16[[#This Row],[Ripple Current pk-pk]]/SQRT(12), SQRT(Table16[[#This Row],[Duty Cycle BOOST Leg]]/(1-Table16[[#This Row],[Duty Cycle BOOST Leg]]))*SQRT(Table16[[#This Row],[Iout]]^2+(Table16[[#This Row],[Ripple Current pk-pk]]^2)/12))</f>
        <v>1.3910154599412936</v>
      </c>
      <c r="AB80" s="345">
        <f>RCoutEsr*Table16[[#This Row],[Irms Cout]]^2</f>
        <v>3.8698480195913771E-3</v>
      </c>
      <c r="AC80" s="345">
        <f>Table16[[#This Row],[Cout ESR Loss]]</f>
        <v>3.8698480195913771E-3</v>
      </c>
      <c r="AD80" s="345">
        <f>IF(Table16[[#This Row],[Vin]]&gt;Vout, SQRT(Table16[[#This Row],[Duty Cycle BUCK Leg]]*(1-Table16[[#This Row],[Duty Cycle BUCK Leg]]))*SQRT(Table16[[#This Row],[Iout]]^2+(Table16[[#This Row],[Ripple Current pk-pk]]^2)/12), Table16[[#This Row],[Ripple Current pk-pk]]/SQRT(12))</f>
        <v>3.145689721579775</v>
      </c>
      <c r="AE80" s="345">
        <f>RCinEsr*Table16[[#This Row],[Irms Cin]]^2</f>
        <v>1.9790727648905285E-2</v>
      </c>
      <c r="AF80" s="683">
        <f>Table16[[#This Row],[Cin ESR Loss]]</f>
        <v>1.9790727648905285E-2</v>
      </c>
      <c r="AG80"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9.1985291233925803</v>
      </c>
      <c r="AH80" s="345">
        <f>Rdson1*Table16[[#This Row],[Irms BuCtrl]]^2</f>
        <v>0.29614528311865518</v>
      </c>
      <c r="AI80" s="345">
        <f>CHOOSE(Table16[[#This Row],[Mode Digit]], (Table16[[#This Row],[Vin]]*Table16[[#This Row],[Iout]]/2)*(Fsw)*(Tr_buck+Tf_buck), 0, (Table16[[#This Row],[Vin]]*Table16[[#This Row],[Avg IL]]/2)*(Fsw/1)*(Tr_buck+Tf_buck))</f>
        <v>0.66182872937463644</v>
      </c>
      <c r="AJ80" s="253">
        <f>IF(Table16[[#This Row],[Vin]]&gt;Vout, IF(Table16[[#This Row],[Iout]]&gt;Table16[[#This Row],[Ripple Current pk-pk]]/2,0,ABS(Table16[[#This Row],[Iout]]-Table16[[#This Row],[Ripple Current pk-pk]]/2)*Vsd_Q1*Deadtime*Fsw),0)</f>
        <v>0</v>
      </c>
      <c r="AK80" s="345">
        <f>(Table16[[#This Row],[Dead Time Loss BuCtrl]]+Table16[[#This Row],[Transition Loss BuCtrl]]+Table16[[#This Row],[RDS(on) Loss BuCtrl]]*(1+RdsonTopTc*Ta-RdsonTopTc*25))/(1-Table16[[#This Row],[RDS(on) Loss BuCtrl]]*RdsonTopTc*ThetaJA_Q1)</f>
        <v>1.0378891676577575</v>
      </c>
      <c r="AL80" s="345">
        <f>CHOOSE(Table16[[#This Row],[Mode Digit]],SQRT((Fsw*(Table16[[#This Row],[t2_Ph_I]]+0))*((Table16[[#This Row],[I_0]]*Table16[[#This Row],[I_1]]+((Table16[[#This Row],[I_0]]-Table16[[#This Row],[I_1]])^2)/3))),0,SQRT((Fsw*(Table16[[#This Row],[t3_Ph_III]]+0))*((Table16[[#This Row],[I_0]]*Table16[[#This Row],[I_2]]+((Table16[[#This Row],[I_0]]-Table16[[#This Row],[I_2]])^2)/3))))</f>
        <v>5.5607554322744592</v>
      </c>
      <c r="AM80" s="345">
        <f>Rdson2*Table16[[#This Row],[Irms BuSync]]^2</f>
        <v>0.10822700342149467</v>
      </c>
      <c r="AN80"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80" s="345">
        <f>(Table16[[#This Row],[Deadtime Loss BuSync]]+Table16[[#This Row],[RDS(on) Loss BuSync]]*(1+RdsonBotTc*Ta-RdsonBotTc*25))/(1-Table16[[#This Row],[RDS(on) Loss BuSync]]*RdsonBotTc*ThetaJA_Q2)</f>
        <v>0.35707473690233377</v>
      </c>
      <c r="AP80" s="345">
        <f>CHOOSE(Table16[[#This Row],[Mode Digit]],0,SQRT((Fsw*(Table16[[#This Row],[t1_Ph_II]]+0))*((Table16[[#This Row],[I_0]]*Table16[[#This Row],[I_1]]+((Table16[[#This Row],[I_0]]-Table16[[#This Row],[I_1]])^2)/3))),SQRT((Fsw*(Table16[[#This Row],[t2_Ph_I]]+0))*((Table16[[#This Row],[I_1]]*Table16[[#This Row],[I_2]]+((Table16[[#This Row],[I_1]]-Table16[[#This Row],[I_2]])^2)/3))))</f>
        <v>5.2425757381217375</v>
      </c>
      <c r="AQ80" s="345">
        <f>Rdson4*Table16[[#This Row],[Irms BoCtlr]]^2</f>
        <v>9.6196101294799385E-2</v>
      </c>
      <c r="AR80" s="345">
        <f>CHOOSE(Table16[[#This Row],[Mode Digit]], 0, (Vout*Table16[[#This Row],[Iin]]/2)*(Fsw)*(Tr_boost+Tf_boost), (Vout*Iout/2)*(Fsw/1)*(Tr_boost+Tf_boost))</f>
        <v>0.47564320886662292</v>
      </c>
      <c r="AS80" s="253">
        <f>IF(Table16[[#This Row],[Vin]]&gt;Vout, 0, IF(Table16[[#This Row],[Iin]]&gt;Table16[[#This Row],[Ripple Current pk-pk]]/2,0,ABS(Table16[[#This Row],[Iin]]-Table16[[#This Row],[Ripple Current pk-pk]]/2)*Vsd_Q4*Deadtime*Fsw))</f>
        <v>0</v>
      </c>
      <c r="AT80" s="345">
        <f>(Table16[[#This Row],[Dead Time Loss BoCtlr]]+Table16[[#This Row],[Transition Loss BoCtlr]]+Table16[[#This Row],[RDS(on) Loss BoCtlr]]*(1+RdsonTopTc*Ta-RdsonTopTc*25))/(1-Table16[[#This Row],[RDS(on) Loss BoCtlr]]*RdsonTopTc*ThetaJA_Q4)</f>
        <v>0.58650846537525103</v>
      </c>
      <c r="AU80"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9.3835141946676188</v>
      </c>
      <c r="AV80" s="345">
        <f>Rdson3*Table16[[#This Row],[Irms BoSync]]^2</f>
        <v>0.30817618524535045</v>
      </c>
      <c r="AW80"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0.24155523944997628</v>
      </c>
      <c r="AX80" s="345">
        <f>(Table16[[#This Row],[Deadtime Loss BoSync]]+Table16[[#This Row],[RDS(on) Loss BoSync]]*(1+RdsonBotTc*Ta-RdsonBotTc*25))/(1-Table16[[#This Row],[RDS(on) Loss BoSync]]*RdsonBotTc*ThetaJA_Q3)</f>
        <v>0.59761588005635768</v>
      </c>
      <c r="AY80" s="345">
        <f>CHOOSE(Table16[[#This Row],[Mode Digit]], Rdson3*Table16[[#This Row],[Irms Lf]]^2, Rdson1*Table16[[#This Row],[Irms Lf]]^2, 0)</f>
        <v>0</v>
      </c>
      <c r="AZ80" s="345">
        <f>CHOOSE(Table16[[#This Row],[Mode Digit]], 2*Deadtime*Fsw*IF(VfdSky_Q2&gt;0,VfdSky_Q2,0)*Table16[[#This Row],[Iout]], 2*Deadtime*Fsw*IF(VfdSky_Q3&gt;0,VfdSky_Q3,0)*Table16[[#This Row],[Iin]], 2*Deadtime*Fsw*IF(VfdSky_Q2&gt;0,VfdSky_Q2,0)*Table16[[#This Row],[Iout]]+2*Deadtime*Fsw*IF(VfdSky_Q3&gt;0,VfdSky_Q3,0)*Table16[[#This Row],[Iin]])</f>
        <v>0</v>
      </c>
      <c r="BA80" s="345">
        <f>CHOOSE(Table16[[#This Row],[Mode Digit]], IF(QrrSky_Q2&gt;0,QrrSky_Q2,Qrr_Q2)*Fsw*(Table16[[#This Row],[Vin]]-Table16[[#This Row],[Iout]]*Rdson1),0,  IF(QrrSky_Q2&gt;0,QrrSky_Q2,Qrr_Q2)*Fsw*(Table16[[#This Row],[Vin]]-Table16[[#This Row],[Iout]]*Rdson1)+IF(QrrSky_Q3&gt;0,QrrSky_Q3,Qrr_Q3)*Fsw*Vout)</f>
        <v>0.65430801999999999</v>
      </c>
      <c r="BB80" s="345">
        <f>CHOOSE(Table16[[#This Row],[Mode Digit]],0, IF(QrrSky_Q3&gt;0,QrrSky_Q3,Qrr_Q3)*Fsw*Vout,  IF(QrrSky_Q2&gt;0,QrrSky_Q2,Qrr_Q2)*Fsw*(Table16[[#This Row],[Vin]]-Table16[[#This Row],[Iout]]*Rdson1)+IF(QrrSky_Q3&gt;0,QrrSky_Q3,Qrr_Q3)*Fsw*Vout)</f>
        <v>0.65430801999999999</v>
      </c>
      <c r="BC80" s="345">
        <f>CHOOSE(Table16[[#This Row],[Mode Digit]], Rs*Table16[[#This Row],[Irms BuSync]]^2, Rs*Table16[[#This Row],[Irms BoCtlr]]^2, Rs*(Table16[[#This Row],[Irms BuSync]]^2+Table16[[#This Row],[Irms BoCtlr]]^2))</f>
        <v>7.5928581751766366E-2</v>
      </c>
      <c r="BD80" s="345">
        <f t="shared" si="5"/>
        <v>0.64</v>
      </c>
      <c r="BE80" s="345">
        <f>IF(Vout&gt;8, Iq*Vout, Iq*Table16[[#This Row],[Vin]])</f>
        <v>4.8000000000000001E-2</v>
      </c>
      <c r="BF80" s="345">
        <f>CHOOSE(Table16[[#This Row],[Mode Digit]], (Qg_Q1+Qg_Q2)*Fsw, (Qg_Q3+Qg_Q4)*Fsw, (Qg_Q1+Qg_Q2+Qg_Q3+Qg_Q4)*Fsw)*IF(Vout&gt;8, Vout, Table16[[#This Row],[Vin]])</f>
        <v>1.7066240000000001</v>
      </c>
      <c r="BG80" s="345">
        <f t="shared" si="6"/>
        <v>0.50594479787234037</v>
      </c>
      <c r="BH80" s="345">
        <f>Table16[[#This Row],[IQ Loss]]+Table16[[#This Row],[Switching Current Loss]]</f>
        <v>1.7546240000000002</v>
      </c>
      <c r="BI80"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7.5793944311485495</v>
      </c>
      <c r="BJ80" s="253">
        <f>Vout*Table16[[#This Row],[Iout]]</f>
        <v>128</v>
      </c>
      <c r="BK80" s="684">
        <f>Table16[[#This Row],[Pout]]/(Table16[[#This Row],[Pout]]+Table16[[#This Row],[Total Loss]])</f>
        <v>0.94409626578618766</v>
      </c>
      <c r="BL80"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109.99281719775423</v>
      </c>
      <c r="BM80" s="685">
        <f>IF(Table16[[#This Row],[Vin]]&gt;Vout, Table16[[#This Row],[Total Sync Bu MOSFET Loss]]*ThetaJA_Q2, ThetaJA_Q3*Table16[[#This Row],[Total Sync Bo MOSFET Loss]])</f>
        <v>23.209857898651695</v>
      </c>
      <c r="BN80" s="640"/>
      <c r="BO80" s="292">
        <f>Table16[[#This Row],[EFF, h]]*100</f>
        <v>94.40962657861877</v>
      </c>
      <c r="BP80" s="345">
        <f>Table16[[#This Row],[Total Inductor Loss]]</f>
        <v>1.1974769837365873</v>
      </c>
      <c r="BQ80" s="345">
        <f>Table16[[#This Row],[Total Control Bu MOSFET Loss]]+Table16[[#This Row],[Total Sync Bu MOSFET Loss]]+Table16[[#This Row],[Total Control Bo MOSFET Loss]]+Table16[[#This Row],[Total Sync Bo MOSFET Loss]]+Table16[[#This Row],[Reverse Recovery Loss MOSFET D BUCK]]+Table16[[#This Row],[Reverse Recovery Loss MOSFET D BOOST]]</f>
        <v>3.8877042899917003</v>
      </c>
      <c r="BR80" s="345">
        <f>Table16[[#This Row],[Total Control Bu MOSFET Loss]]+Table16[[#This Row],[Reverse Recovery Loss MOSFET D BUCK]]*0.66</f>
        <v>1.4697324608577575</v>
      </c>
      <c r="BS80" s="345">
        <f>Table16[[#This Row],[Total Sync Bu MOSFET Loss]]+Table16[[#This Row],[Reverse Recovery Loss MOSFET D BUCK]]*0.33</f>
        <v>0.57299638350233373</v>
      </c>
      <c r="BT80" s="345">
        <f xml:space="preserve"> Table16[[#This Row],[Total Control Bo MOSFET Loss]]+Table16[[#This Row],[Reverse Recovery Loss MOSFET D BOOST]]*0.66</f>
        <v>1.0183517585752511</v>
      </c>
      <c r="BU80" s="345">
        <f xml:space="preserve"> Table16[[#This Row],[Total Sync Bo MOSFET Loss]]+Table16[[#This Row],[Reverse Recovery Loss MOSFET D BOOST]]*0.33</f>
        <v>0.8135375266563577</v>
      </c>
      <c r="BV80" s="345">
        <f>Table16[[#This Row],[Isense Shunt Loss]]</f>
        <v>7.5928581751766366E-2</v>
      </c>
      <c r="CB80" s="686"/>
      <c r="CC80" s="686"/>
    </row>
    <row r="81" spans="1:81" ht="13.6" x14ac:dyDescent="0.25">
      <c r="A81" s="706"/>
      <c r="G81" s="253">
        <v>72</v>
      </c>
      <c r="H81" s="286">
        <f>VIN_min+(VIN_max-VIN_min)*(Table16[[#This Row],[Step]]/200)</f>
        <v>16.799999999999997</v>
      </c>
      <c r="I81" s="292" t="str">
        <f>IF(Mode = 2,IF(Table16[[#This Row],[Vin]]&gt;Vout, "BUCK","BOOST"),IF(Table16[[#This Row],[Vin]]&gt;VIN_BB_to_buck, "BUCK", IF(Table16[[#This Row],[Vin]]&lt;=VIN_boost_to_BB,"BOOST","BUCK-BST")))</f>
        <v>BUCK-BST</v>
      </c>
      <c r="J81" s="253">
        <f>IF(Table16[[#This Row],[Mode]]="BOOST",2, IF(Table16[[#This Row],[Mode]]="BUCK", 1,3))</f>
        <v>3</v>
      </c>
      <c r="K81" s="253">
        <f t="shared" si="4"/>
        <v>8</v>
      </c>
      <c r="L81" s="292">
        <f>Vout*Table16[[#This Row],[Iout]]/(Table16[[#This Row],[Vin]]*Efficiency)</f>
        <v>8.0200501253132845</v>
      </c>
      <c r="M81" s="682">
        <f>MIN(1/Fsw,CHOOSE(Table16[[#This Row],[Mode Digit]],(Vout+(Rdson2+Rs+Rdcr)*Table16[[#This Row],[Iout]])/(Table16[[#This Row],[Vin]]+(Rs+Rdson2-Rdson1)*Table16[[#This Row],[Iout]])/Fsw,(Vout+(Rdson3+Rdcr)*Table16[[#This Row],[Iin]]-Table16[[#This Row],[Vin]])/(Vout+(Rdson3-Rdson4-Rs)*Table16[[#This Row],[Iin]])/Fsw,t1_Ph_II))</f>
        <v>1.5084238313644118E-6</v>
      </c>
      <c r="N81" s="518">
        <f>CHOOSE(Table16[[#This Row],[Mode Digit]],1/Fsw-Table16[[#This Row],[t1_Ph_II]],1/Fsw-Table16[[#This Row],[t1_Ph_II]],(Vout/Fsw-Table16[[#This Row],[Vin]]*t1_Ph_II)/(Table16[[#This Row],[Vin]]+Vout))</f>
        <v>4.5303306884766826E-7</v>
      </c>
      <c r="O81" s="518">
        <f>1/Fsw-(Table16[[#This Row],[t1_Ph_II]]+Table16[[#This Row],[t2_Ph_I]])</f>
        <v>5.5110591385827208E-7</v>
      </c>
      <c r="P81"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9.3724965688702433</v>
      </c>
      <c r="Q81" s="292">
        <f>CHOOSE(Table16[[#This Row],[Mode Digit]],Table16[[#This Row],[I_0]]+1/Lf*(Table16[[#This Row],[Vin]]-Vout)*Table16[[#This Row],[t1_Ph_II]],Table16[[#This Row],[I_0]]+1/Lf*Table16[[#This Row],[Vin]]*Table16[[#This Row],[t1_Ph_II]],Table16[[#This Row],[I_0]]+(Table16[[#This Row],[Vin]]-Vout)/L*Table16[[#This Row],[t1_Ph_II]])</f>
        <v>10.042907160587758</v>
      </c>
      <c r="R81" s="292">
        <f>CHOOSE(Table16[[#This Row],[Mode Digit]],0,0,Table16[[#This Row],[I_1]]+Table16[[#This Row],[Vin]]/L*Table16[[#This Row],[t2_Ph_I]])</f>
        <v>14.271215803165994</v>
      </c>
      <c r="S81" s="292">
        <f>Fsw*(Table16[[#This Row],[I_0]]*Table16[[#This Row],[t1_Ph_II]]+Table16[[#This Row],[I_1]]*Table16[[#This Row],[t2_Ph_I]]+Table16[[#This Row],[I_2]]*Table16[[#This Row],[t3_Ph_III]])</f>
        <v>10.567862229496203</v>
      </c>
      <c r="T81" s="345">
        <f>MIN(1,CHOOSE(Table16[[#This Row],[Mode Digit]],(Vout+(Rdson2+Rs+Rdcr)*Table16[[#This Row],[Iout]])/(Table16[[#This Row],[Vin]]+(Rs+Rdson2-Rdson1)*Table16[[#This Row],[Iout]]),1,Fsw*Table16[[#This Row],[t2_Ph_I]]+Table16[[#This Row],[t1_Ph_II]]))</f>
        <v>0.18030866982520333</v>
      </c>
      <c r="U81" s="345">
        <f>MIN(1,CHOOSE(Table16[[#This Row],[Mode Digit]],0,(Vout+(Rdson3+Rdcr)*Table16[[#This Row],[Iin]]-Table16[[#This Row],[Vin]])/(Vout+(Rdson3-Rdson4-Rs)*Table16[[#This Row],[Iin]]),Fsw*Table16[[#This Row],[t1_Ph_II]]+Table16[[#This Row],[t3_Ph_III]]))</f>
        <v>0.60035323598894974</v>
      </c>
      <c r="V81" s="292">
        <f>MAX(Table16[[#This Row],[I_0]:[I_2]])-MIN(Table16[[#This Row],[I_0]:[I_1]])</f>
        <v>4.8987192342957506</v>
      </c>
      <c r="W81"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10.705567962811928</v>
      </c>
      <c r="X81" s="345">
        <f>(Table16[[#This Row],[Irms Lf]]^2*Rdcr*(1+Ltc*Ta-Ltc*25))/(1-Table16[[#This Row],[Irms Lf]]^2*Rdcr*Ltc*ThetaCa)</f>
        <v>0.37783505548991742</v>
      </c>
      <c r="Y81" s="345">
        <f>ABS(7.759*10^-3*Fsw^0.9458*(0.00787*Table16[[#This Row],[Ripple Current pk-pk]])^2.304)</f>
        <v>0.84810795663536676</v>
      </c>
      <c r="Z81" s="345">
        <f>Table16[[#This Row],[DCR    Loss]]+Table16[[#This Row],[Core Loss]]</f>
        <v>1.2259430121252841</v>
      </c>
      <c r="AA81" s="292">
        <f>IF(Table16[[#This Row],[Vin]]&gt;Vout, Table16[[#This Row],[Ripple Current pk-pk]]/SQRT(12), SQRT(Table16[[#This Row],[Duty Cycle BOOST Leg]]/(1-Table16[[#This Row],[Duty Cycle BOOST Leg]]))*SQRT(Table16[[#This Row],[Iout]]^2+(Table16[[#This Row],[Ripple Current pk-pk]]^2)/12))</f>
        <v>1.4141384343025245</v>
      </c>
      <c r="AB81" s="345">
        <f>RCoutEsr*Table16[[#This Row],[Irms Cout]]^2</f>
        <v>3.999575022743191E-3</v>
      </c>
      <c r="AC81" s="345">
        <f>Table16[[#This Row],[Cout ESR Loss]]</f>
        <v>3.999575022743191E-3</v>
      </c>
      <c r="AD81" s="345">
        <f>IF(Table16[[#This Row],[Vin]]&gt;Vout, SQRT(Table16[[#This Row],[Duty Cycle BUCK Leg]]*(1-Table16[[#This Row],[Duty Cycle BUCK Leg]]))*SQRT(Table16[[#This Row],[Iout]]^2+(Table16[[#This Row],[Ripple Current pk-pk]]^2)/12), Table16[[#This Row],[Ripple Current pk-pk]]/SQRT(12))</f>
        <v>3.1232355850707783</v>
      </c>
      <c r="AE81" s="345">
        <f>RCinEsr*Table16[[#This Row],[Irms Cin]]^2</f>
        <v>1.9509201039704813E-2</v>
      </c>
      <c r="AF81" s="683">
        <f>Table16[[#This Row],[Cin ESR Loss]]</f>
        <v>1.9509201039704813E-2</v>
      </c>
      <c r="AG81"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9.1387300518461689</v>
      </c>
      <c r="AH81" s="345">
        <f>Rdson1*Table16[[#This Row],[Irms BuCtrl]]^2</f>
        <v>0.29230735436180699</v>
      </c>
      <c r="AI81" s="345">
        <f>CHOOSE(Table16[[#This Row],[Mode Digit]], (Table16[[#This Row],[Vin]]*Table16[[#This Row],[Iout]]/2)*(Fsw)*(Tr_buck+Tf_buck), 0, (Table16[[#This Row],[Vin]]*Table16[[#This Row],[Avg IL]]/2)*(Fsw/1)*(Tr_buck+Tf_buck))</f>
        <v>0.66444540286799969</v>
      </c>
      <c r="AJ81" s="253">
        <f>IF(Table16[[#This Row],[Vin]]&gt;Vout, IF(Table16[[#This Row],[Iout]]&gt;Table16[[#This Row],[Ripple Current pk-pk]]/2,0,ABS(Table16[[#This Row],[Iout]]-Table16[[#This Row],[Ripple Current pk-pk]]/2)*Vsd_Q1*Deadtime*Fsw),0)</f>
        <v>0</v>
      </c>
      <c r="AK81" s="345">
        <f>(Table16[[#This Row],[Dead Time Loss BuCtrl]]+Table16[[#This Row],[Transition Loss BuCtrl]]+Table16[[#This Row],[RDS(on) Loss BuCtrl]]*(1+RdsonTopTc*Ta-RdsonTopTc*25))/(1-Table16[[#This Row],[RDS(on) Loss BuCtrl]]*RdsonTopTc*ThetaJA_Q1)</f>
        <v>1.035446608494943</v>
      </c>
      <c r="AL81" s="345">
        <f>CHOOSE(Table16[[#This Row],[Mode Digit]],SQRT((Fsw*(Table16[[#This Row],[t2_Ph_I]]+0))*((Table16[[#This Row],[I_0]]*Table16[[#This Row],[I_1]]+((Table16[[#This Row],[I_0]]-Table16[[#This Row],[I_1]])^2)/3))),0,SQRT((Fsw*(Table16[[#This Row],[t3_Ph_III]]+0))*((Table16[[#This Row],[I_0]]*Table16[[#This Row],[I_2]]+((Table16[[#This Row],[I_0]]-Table16[[#This Row],[I_2]])^2)/3))))</f>
        <v>5.5760916819819997</v>
      </c>
      <c r="AM81" s="345">
        <f>Rdson2*Table16[[#This Row],[Irms BuSync]]^2</f>
        <v>0.10882479456054096</v>
      </c>
      <c r="AN81"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81" s="345">
        <f>(Table16[[#This Row],[Deadtime Loss BuSync]]+Table16[[#This Row],[RDS(on) Loss BuSync]]*(1+RdsonBotTc*Ta-RdsonBotTc*25))/(1-Table16[[#This Row],[RDS(on) Loss BuSync]]*RdsonBotTc*ThetaJA_Q2)</f>
        <v>0.35774704933927742</v>
      </c>
      <c r="AP81" s="345">
        <f>CHOOSE(Table16[[#This Row],[Mode Digit]],0,SQRT((Fsw*(Table16[[#This Row],[t1_Ph_II]]+0))*((Table16[[#This Row],[I_0]]*Table16[[#This Row],[I_1]]+((Table16[[#This Row],[I_0]]-Table16[[#This Row],[I_1]])^2)/3))),SQRT((Fsw*(Table16[[#This Row],[t2_Ph_I]]+0))*((Table16[[#This Row],[I_1]]*Table16[[#This Row],[I_2]]+((Table16[[#This Row],[I_1]]-Table16[[#This Row],[I_2]])^2)/3))))</f>
        <v>5.1881575822099935</v>
      </c>
      <c r="AQ81" s="345">
        <f>Rdson4*Table16[[#This Row],[Irms BoCtlr]]^2</f>
        <v>9.420942684245065E-2</v>
      </c>
      <c r="AR81" s="345">
        <f>CHOOSE(Table16[[#This Row],[Mode Digit]], 0, (Vout*Table16[[#This Row],[Iin]]/2)*(Fsw)*(Tr_boost+Tf_boost), (Vout*Iout/2)*(Fsw/1)*(Tr_boost+Tf_boost))</f>
        <v>0.47564320886662292</v>
      </c>
      <c r="AS81" s="253">
        <f>IF(Table16[[#This Row],[Vin]]&gt;Vout, 0, IF(Table16[[#This Row],[Iin]]&gt;Table16[[#This Row],[Ripple Current pk-pk]]/2,0,ABS(Table16[[#This Row],[Iin]]-Table16[[#This Row],[Ripple Current pk-pk]]/2)*Vsd_Q4*Deadtime*Fsw))</f>
        <v>0</v>
      </c>
      <c r="AT81" s="345">
        <f>(Table16[[#This Row],[Dead Time Loss BoCtlr]]+Table16[[#This Row],[Transition Loss BoCtlr]]+Table16[[#This Row],[RDS(on) Loss BoCtlr]]*(1+RdsonTopTc*Ta-RdsonTopTc*25))/(1-Table16[[#This Row],[RDS(on) Loss BoCtlr]]*RdsonTopTc*ThetaJA_Q4)</f>
        <v>0.5841613471917092</v>
      </c>
      <c r="AU81"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9.3644116904663104</v>
      </c>
      <c r="AV81" s="345">
        <f>Rdson3*Table16[[#This Row],[Irms BoSync]]^2</f>
        <v>0.30692272207989735</v>
      </c>
      <c r="AW81"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0.2393984962406015</v>
      </c>
      <c r="AX81" s="345">
        <f>(Table16[[#This Row],[Deadtime Loss BoSync]]+Table16[[#This Row],[RDS(on) Loss BoSync]]*(1+RdsonBotTc*Ta-RdsonBotTc*25))/(1-Table16[[#This Row],[RDS(on) Loss BoSync]]*RdsonBotTc*ThetaJA_Q3)</f>
        <v>0.59369828683585524</v>
      </c>
      <c r="AY81" s="345">
        <f>CHOOSE(Table16[[#This Row],[Mode Digit]], Rdson3*Table16[[#This Row],[Irms Lf]]^2, Rdson1*Table16[[#This Row],[Irms Lf]]^2, 0)</f>
        <v>0</v>
      </c>
      <c r="AZ81" s="345">
        <f>CHOOSE(Table16[[#This Row],[Mode Digit]], 2*Deadtime*Fsw*IF(VfdSky_Q2&gt;0,VfdSky_Q2,0)*Table16[[#This Row],[Iout]], 2*Deadtime*Fsw*IF(VfdSky_Q3&gt;0,VfdSky_Q3,0)*Table16[[#This Row],[Iin]], 2*Deadtime*Fsw*IF(VfdSky_Q2&gt;0,VfdSky_Q2,0)*Table16[[#This Row],[Iout]]+2*Deadtime*Fsw*IF(VfdSky_Q3&gt;0,VfdSky_Q3,0)*Table16[[#This Row],[Iin]])</f>
        <v>0</v>
      </c>
      <c r="BA81" s="345">
        <f>CHOOSE(Table16[[#This Row],[Mode Digit]], IF(QrrSky_Q2&gt;0,QrrSky_Q2,Qrr_Q2)*Fsw*(Table16[[#This Row],[Vin]]-Table16[[#This Row],[Iout]]*Rdson1),0,  IF(QrrSky_Q2&gt;0,QrrSky_Q2,Qrr_Q2)*Fsw*(Table16[[#This Row],[Vin]]-Table16[[#This Row],[Iout]]*Rdson1)+IF(QrrSky_Q3&gt;0,QrrSky_Q3,Qrr_Q3)*Fsw*Vout)</f>
        <v>0.65699451999999992</v>
      </c>
      <c r="BB81" s="345">
        <f>CHOOSE(Table16[[#This Row],[Mode Digit]],0, IF(QrrSky_Q3&gt;0,QrrSky_Q3,Qrr_Q3)*Fsw*Vout,  IF(QrrSky_Q2&gt;0,QrrSky_Q2,Qrr_Q2)*Fsw*(Table16[[#This Row],[Vin]]-Table16[[#This Row],[Iout]]*Rdson1)+IF(QrrSky_Q3&gt;0,QrrSky_Q3,Qrr_Q3)*Fsw*Vout)</f>
        <v>0.65699451999999992</v>
      </c>
      <c r="BC81" s="345">
        <f>CHOOSE(Table16[[#This Row],[Mode Digit]], Rs*Table16[[#This Row],[Irms BuSync]]^2, Rs*Table16[[#This Row],[Irms BoCtlr]]^2, Rs*(Table16[[#This Row],[Irms BuSync]]^2+Table16[[#This Row],[Irms BoCtlr]]^2))</f>
        <v>7.5412710806825461E-2</v>
      </c>
      <c r="BD81" s="345">
        <f t="shared" si="5"/>
        <v>0.64</v>
      </c>
      <c r="BE81" s="345">
        <f>IF(Vout&gt;8, Iq*Vout, Iq*Table16[[#This Row],[Vin]])</f>
        <v>4.8000000000000001E-2</v>
      </c>
      <c r="BF81" s="345">
        <f>CHOOSE(Table16[[#This Row],[Mode Digit]], (Qg_Q1+Qg_Q2)*Fsw, (Qg_Q3+Qg_Q4)*Fsw, (Qg_Q1+Qg_Q2+Qg_Q3+Qg_Q4)*Fsw)*IF(Vout&gt;8, Vout, Table16[[#This Row],[Vin]])</f>
        <v>1.7066240000000001</v>
      </c>
      <c r="BG81" s="345">
        <f t="shared" si="6"/>
        <v>0.50594479787234037</v>
      </c>
      <c r="BH81" s="345">
        <f>Table16[[#This Row],[IQ Loss]]+Table16[[#This Row],[Switching Current Loss]]</f>
        <v>1.7546240000000002</v>
      </c>
      <c r="BI81"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7.6045308308563424</v>
      </c>
      <c r="BJ81" s="253">
        <f>Vout*Table16[[#This Row],[Iout]]</f>
        <v>128</v>
      </c>
      <c r="BK81" s="684">
        <f>Table16[[#This Row],[Pout]]/(Table16[[#This Row],[Pout]]+Table16[[#This Row],[Total Loss]])</f>
        <v>0.94392126292342182</v>
      </c>
      <c r="BL81"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110.00867335217129</v>
      </c>
      <c r="BM81" s="685">
        <f>IF(Table16[[#This Row],[Vin]]&gt;Vout, Table16[[#This Row],[Total Sync Bu MOSFET Loss]]*ThetaJA_Q2, ThetaJA_Q3*Table16[[#This Row],[Total Sync Bo MOSFET Loss]])</f>
        <v>23.253558207053032</v>
      </c>
      <c r="BN81" s="640"/>
      <c r="BO81" s="292">
        <f>Table16[[#This Row],[EFF, h]]*100</f>
        <v>94.392126292342184</v>
      </c>
      <c r="BP81" s="345">
        <f>Table16[[#This Row],[Total Inductor Loss]]</f>
        <v>1.2259430121252841</v>
      </c>
      <c r="BQ81" s="345">
        <f>Table16[[#This Row],[Total Control Bu MOSFET Loss]]+Table16[[#This Row],[Total Sync Bu MOSFET Loss]]+Table16[[#This Row],[Total Control Bo MOSFET Loss]]+Table16[[#This Row],[Total Sync Bo MOSFET Loss]]+Table16[[#This Row],[Reverse Recovery Loss MOSFET D BUCK]]+Table16[[#This Row],[Reverse Recovery Loss MOSFET D BOOST]]</f>
        <v>3.885042331861785</v>
      </c>
      <c r="BR81" s="345">
        <f>Table16[[#This Row],[Total Control Bu MOSFET Loss]]+Table16[[#This Row],[Reverse Recovery Loss MOSFET D BUCK]]*0.66</f>
        <v>1.4690629916949429</v>
      </c>
      <c r="BS81" s="345">
        <f>Table16[[#This Row],[Total Sync Bu MOSFET Loss]]+Table16[[#This Row],[Reverse Recovery Loss MOSFET D BUCK]]*0.33</f>
        <v>0.57455524093927735</v>
      </c>
      <c r="BT81" s="345">
        <f xml:space="preserve"> Table16[[#This Row],[Total Control Bo MOSFET Loss]]+Table16[[#This Row],[Reverse Recovery Loss MOSFET D BOOST]]*0.66</f>
        <v>1.017777730391709</v>
      </c>
      <c r="BU81" s="345">
        <f xml:space="preserve"> Table16[[#This Row],[Total Sync Bo MOSFET Loss]]+Table16[[#This Row],[Reverse Recovery Loss MOSFET D BOOST]]*0.33</f>
        <v>0.81050647843585522</v>
      </c>
      <c r="BV81" s="345">
        <f>Table16[[#This Row],[Isense Shunt Loss]]</f>
        <v>7.5412710806825461E-2</v>
      </c>
      <c r="CB81" s="686"/>
      <c r="CC81" s="686"/>
    </row>
    <row r="82" spans="1:81" ht="13.6" x14ac:dyDescent="0.25">
      <c r="A82" s="706"/>
      <c r="G82" s="253">
        <v>73</v>
      </c>
      <c r="H82" s="286">
        <f>VIN_min+(VIN_max-VIN_min)*(Table16[[#This Row],[Step]]/200)</f>
        <v>16.95</v>
      </c>
      <c r="I82" s="292" t="str">
        <f>IF(Mode = 2,IF(Table16[[#This Row],[Vin]]&gt;Vout, "BUCK","BOOST"),IF(Table16[[#This Row],[Vin]]&gt;VIN_BB_to_buck, "BUCK", IF(Table16[[#This Row],[Vin]]&lt;=VIN_boost_to_BB,"BOOST","BUCK-BST")))</f>
        <v>BUCK-BST</v>
      </c>
      <c r="J82" s="253">
        <f>IF(Table16[[#This Row],[Mode]]="BOOST",2, IF(Table16[[#This Row],[Mode]]="BUCK", 1,3))</f>
        <v>3</v>
      </c>
      <c r="K82" s="253">
        <f t="shared" si="4"/>
        <v>8</v>
      </c>
      <c r="L82" s="292">
        <f>Vout*Table16[[#This Row],[Iout]]/(Table16[[#This Row],[Vin]]*Efficiency)</f>
        <v>7.9490762303990063</v>
      </c>
      <c r="M82" s="682">
        <f>MIN(1/Fsw,CHOOSE(Table16[[#This Row],[Mode Digit]],(Vout+(Rdson2+Rs+Rdcr)*Table16[[#This Row],[Iout]])/(Table16[[#This Row],[Vin]]+(Rs+Rdson2-Rdson1)*Table16[[#This Row],[Iout]])/Fsw,(Vout+(Rdson3+Rdcr)*Table16[[#This Row],[Iin]]-Table16[[#This Row],[Vin]])/(Vout+(Rdson3-Rdson4-Rs)*Table16[[#This Row],[Iin]])/Fsw,t1_Ph_II))</f>
        <v>1.5084238313644118E-6</v>
      </c>
      <c r="N82" s="518">
        <f>CHOOSE(Table16[[#This Row],[Mode Digit]],1/Fsw-Table16[[#This Row],[t1_Ph_II]],1/Fsw-Table16[[#This Row],[t1_Ph_II]],(Vout/Fsw-Table16[[#This Row],[Vin]]*t1_Ph_II)/(Table16[[#This Row],[Vin]]+Vout))</f>
        <v>4.4410382650982857E-7</v>
      </c>
      <c r="O82" s="518">
        <f>1/Fsw-(Table16[[#This Row],[t1_Ph_II]]+Table16[[#This Row],[t2_Ph_I]])</f>
        <v>5.6003515619611161E-7</v>
      </c>
      <c r="P82"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9.2648843595077768</v>
      </c>
      <c r="Q82" s="292">
        <f>CHOOSE(Table16[[#This Row],[Mode Digit]],Table16[[#This Row],[I_0]]+1/Lf*(Table16[[#This Row],[Vin]]-Vout)*Table16[[#This Row],[t1_Ph_II]],Table16[[#This Row],[I_0]]+1/Lf*Table16[[#This Row],[Vin]]*Table16[[#This Row],[t1_Ph_II]],Table16[[#This Row],[I_0]]+(Table16[[#This Row],[Vin]]-Vout)/L*Table16[[#This Row],[t1_Ph_II]])</f>
        <v>10.060996937172327</v>
      </c>
      <c r="R82" s="292">
        <f>CHOOSE(Table16[[#This Row],[Mode Digit]],0,0,Table16[[#This Row],[I_1]]+Table16[[#This Row],[Vin]]/L*Table16[[#This Row],[t2_Ph_I]])</f>
        <v>14.242974636806546</v>
      </c>
      <c r="S82" s="292">
        <f>Fsw*(Table16[[#This Row],[I_0]]*Table16[[#This Row],[t1_Ph_II]]+Table16[[#This Row],[I_1]]*Table16[[#This Row],[t2_Ph_I]]+Table16[[#This Row],[I_2]]*Table16[[#This Row],[t3_Ph_III]])</f>
        <v>10.515186318323137</v>
      </c>
      <c r="T82" s="345">
        <f>MIN(1,CHOOSE(Table16[[#This Row],[Mode Digit]],(Vout+(Rdson2+Rs+Rdcr)*Table16[[#This Row],[Iout]])/(Table16[[#This Row],[Vin]]+(Rs+Rdson2-Rdson1)*Table16[[#This Row],[Iout]]),1,Fsw*Table16[[#This Row],[t2_Ph_I]]+Table16[[#This Row],[t1_Ph_II]]))</f>
        <v>0.17675483137474315</v>
      </c>
      <c r="U82" s="345">
        <f>MIN(1,CHOOSE(Table16[[#This Row],[Mode Digit]],0,(Vout+(Rdson3+Rdcr)*Table16[[#This Row],[Iin]]-Table16[[#This Row],[Vin]])/(Vout+(Rdson3-Rdson4-Rs)*Table16[[#This Row],[Iin]]),Fsw*Table16[[#This Row],[t1_Ph_II]]+Table16[[#This Row],[t3_Ph_III]]))</f>
        <v>0.60035324491819209</v>
      </c>
      <c r="V82" s="292">
        <f>MAX(Table16[[#This Row],[I_0]:[I_2]])-MIN(Table16[[#This Row],[I_0]:[I_1]])</f>
        <v>4.9780902772987687</v>
      </c>
      <c r="W82"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10.663075633806161</v>
      </c>
      <c r="X82" s="345">
        <f>(Table16[[#This Row],[Irms Lf]]^2*Rdcr*(1+Ltc*Ta-Ltc*25))/(1-Table16[[#This Row],[Irms Lf]]^2*Rdcr*Ltc*ThetaCa)</f>
        <v>0.37475187343600108</v>
      </c>
      <c r="Y82" s="345">
        <f>ABS(7.759*10^-3*Fsw^0.9458*(0.00787*Table16[[#This Row],[Ripple Current pk-pk]])^2.304)</f>
        <v>0.88010312452972284</v>
      </c>
      <c r="Z82" s="345">
        <f>Table16[[#This Row],[DCR    Loss]]+Table16[[#This Row],[Core Loss]]</f>
        <v>1.254854997965724</v>
      </c>
      <c r="AA82" s="292">
        <f>IF(Table16[[#This Row],[Vin]]&gt;Vout, Table16[[#This Row],[Ripple Current pk-pk]]/SQRT(12), SQRT(Table16[[#This Row],[Duty Cycle BOOST Leg]]/(1-Table16[[#This Row],[Duty Cycle BOOST Leg]]))*SQRT(Table16[[#This Row],[Iout]]^2+(Table16[[#This Row],[Ripple Current pk-pk]]^2)/12))</f>
        <v>1.4370508808243516</v>
      </c>
      <c r="AB82" s="345">
        <f>RCoutEsr*Table16[[#This Row],[Irms Cout]]^2</f>
        <v>4.1302304681560898E-3</v>
      </c>
      <c r="AC82" s="345">
        <f>Table16[[#This Row],[Cout ESR Loss]]</f>
        <v>4.1302304681560898E-3</v>
      </c>
      <c r="AD82" s="345">
        <f>IF(Table16[[#This Row],[Vin]]&gt;Vout, SQRT(Table16[[#This Row],[Duty Cycle BUCK Leg]]*(1-Table16[[#This Row],[Duty Cycle BUCK Leg]]))*SQRT(Table16[[#This Row],[Iout]]^2+(Table16[[#This Row],[Ripple Current pk-pk]]^2)/12), Table16[[#This Row],[Ripple Current pk-pk]]/SQRT(12))</f>
        <v>3.1005328748227403</v>
      </c>
      <c r="AE82" s="345">
        <f>RCinEsr*Table16[[#This Row],[Irms Cin]]^2</f>
        <v>1.9226608215713134E-2</v>
      </c>
      <c r="AF82" s="683">
        <f>Table16[[#This Row],[Cin ESR Loss]]</f>
        <v>1.9226608215713134E-2</v>
      </c>
      <c r="AG82"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9.0800326107538236</v>
      </c>
      <c r="AH82" s="345">
        <f>Rdson1*Table16[[#This Row],[Irms BuCtrl]]^2</f>
        <v>0.28856447274323516</v>
      </c>
      <c r="AI82" s="345">
        <f>CHOOSE(Table16[[#This Row],[Mode Digit]], (Table16[[#This Row],[Vin]]*Table16[[#This Row],[Iout]]/2)*(Fsw)*(Tr_buck+Tf_buck), 0, (Table16[[#This Row],[Vin]]*Table16[[#This Row],[Avg IL]]/2)*(Fsw/1)*(Tr_buck+Tf_buck))</f>
        <v>0.66703642671648089</v>
      </c>
      <c r="AJ82" s="253">
        <f>IF(Table16[[#This Row],[Vin]]&gt;Vout, IF(Table16[[#This Row],[Iout]]&gt;Table16[[#This Row],[Ripple Current pk-pk]]/2,0,ABS(Table16[[#This Row],[Iout]]-Table16[[#This Row],[Ripple Current pk-pk]]/2)*Vsd_Q1*Deadtime*Fsw),0)</f>
        <v>0</v>
      </c>
      <c r="AK82" s="345">
        <f>(Table16[[#This Row],[Dead Time Loss BuCtrl]]+Table16[[#This Row],[Transition Loss BuCtrl]]+Table16[[#This Row],[RDS(on) Loss BuCtrl]]*(1+RdsonTopTc*Ta-RdsonTopTc*25))/(1-Table16[[#This Row],[RDS(on) Loss BuCtrl]]*RdsonTopTc*ThetaJA_Q1)</f>
        <v>1.0331119443730288</v>
      </c>
      <c r="AL82" s="345">
        <f>CHOOSE(Table16[[#This Row],[Mode Digit]],SQRT((Fsw*(Table16[[#This Row],[t2_Ph_I]]+0))*((Table16[[#This Row],[I_0]]*Table16[[#This Row],[I_1]]+((Table16[[#This Row],[I_0]]-Table16[[#This Row],[I_1]])^2)/3))),0,SQRT((Fsw*(Table16[[#This Row],[t3_Ph_III]]+0))*((Table16[[#This Row],[I_0]]*Table16[[#This Row],[I_2]]+((Table16[[#This Row],[I_0]]-Table16[[#This Row],[I_2]])^2)/3))))</f>
        <v>5.5905446747090535</v>
      </c>
      <c r="AM82" s="345">
        <f>Rdson2*Table16[[#This Row],[Irms BuSync]]^2</f>
        <v>0.10938966415971216</v>
      </c>
      <c r="AN82"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82" s="345">
        <f>(Table16[[#This Row],[Deadtime Loss BuSync]]+Table16[[#This Row],[RDS(on) Loss BuSync]]*(1+RdsonBotTc*Ta-RdsonBotTc*25))/(1-Table16[[#This Row],[RDS(on) Loss BuSync]]*RdsonBotTc*ThetaJA_Q2)</f>
        <v>0.35838253386496277</v>
      </c>
      <c r="AP82" s="345">
        <f>CHOOSE(Table16[[#This Row],[Mode Digit]],0,SQRT((Fsw*(Table16[[#This Row],[t1_Ph_II]]+0))*((Table16[[#This Row],[I_0]]*Table16[[#This Row],[I_1]]+((Table16[[#This Row],[I_0]]-Table16[[#This Row],[I_1]])^2)/3))),SQRT((Fsw*(Table16[[#This Row],[t2_Ph_I]]+0))*((Table16[[#This Row],[I_1]]*Table16[[#This Row],[I_2]]+((Table16[[#This Row],[I_1]]-Table16[[#This Row],[I_2]])^2)/3))))</f>
        <v>5.1340918960717188</v>
      </c>
      <c r="AQ82" s="345">
        <f>Rdson4*Table16[[#This Row],[Irms BoCtlr]]^2</f>
        <v>9.2256148590582537E-2</v>
      </c>
      <c r="AR82" s="345">
        <f>CHOOSE(Table16[[#This Row],[Mode Digit]], 0, (Vout*Table16[[#This Row],[Iin]]/2)*(Fsw)*(Tr_boost+Tf_boost), (Vout*Iout/2)*(Fsw/1)*(Tr_boost+Tf_boost))</f>
        <v>0.47564320886662292</v>
      </c>
      <c r="AS82" s="253">
        <f>IF(Table16[[#This Row],[Vin]]&gt;Vout, 0, IF(Table16[[#This Row],[Iin]]&gt;Table16[[#This Row],[Ripple Current pk-pk]]/2,0,ABS(Table16[[#This Row],[Iin]]-Table16[[#This Row],[Ripple Current pk-pk]]/2)*Vsd_Q4*Deadtime*Fsw))</f>
        <v>0</v>
      </c>
      <c r="AT82" s="345">
        <f>(Table16[[#This Row],[Dead Time Loss BoCtlr]]+Table16[[#This Row],[Transition Loss BoCtlr]]+Table16[[#This Row],[RDS(on) Loss BoCtlr]]*(1+RdsonTopTc*Ta-RdsonTopTc*25))/(1-Table16[[#This Row],[RDS(on) Loss BoCtlr]]*RdsonTopTc*ThetaJA_Q4)</f>
        <v>0.5818561063425246</v>
      </c>
      <c r="AU82"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9.3457093029347629</v>
      </c>
      <c r="AV82" s="345">
        <f>Rdson3*Table16[[#This Row],[Irms BoSync]]^2</f>
        <v>0.30569798831236483</v>
      </c>
      <c r="AW82"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0.23727992547741031</v>
      </c>
      <c r="AX82" s="345">
        <f>(Table16[[#This Row],[Deadtime Loss BoSync]]+Table16[[#This Row],[RDS(on) Loss BoSync]]*(1+RdsonBotTc*Ta-RdsonBotTc*25))/(1-Table16[[#This Row],[RDS(on) Loss BoSync]]*RdsonBotTc*ThetaJA_Q3)</f>
        <v>0.58986093185535748</v>
      </c>
      <c r="AY82" s="345">
        <f>CHOOSE(Table16[[#This Row],[Mode Digit]], Rdson3*Table16[[#This Row],[Irms Lf]]^2, Rdson1*Table16[[#This Row],[Irms Lf]]^2, 0)</f>
        <v>0</v>
      </c>
      <c r="AZ82" s="345">
        <f>CHOOSE(Table16[[#This Row],[Mode Digit]], 2*Deadtime*Fsw*IF(VfdSky_Q2&gt;0,VfdSky_Q2,0)*Table16[[#This Row],[Iout]], 2*Deadtime*Fsw*IF(VfdSky_Q3&gt;0,VfdSky_Q3,0)*Table16[[#This Row],[Iin]], 2*Deadtime*Fsw*IF(VfdSky_Q2&gt;0,VfdSky_Q2,0)*Table16[[#This Row],[Iout]]+2*Deadtime*Fsw*IF(VfdSky_Q3&gt;0,VfdSky_Q3,0)*Table16[[#This Row],[Iin]])</f>
        <v>0</v>
      </c>
      <c r="BA82" s="345">
        <f>CHOOSE(Table16[[#This Row],[Mode Digit]], IF(QrrSky_Q2&gt;0,QrrSky_Q2,Qrr_Q2)*Fsw*(Table16[[#This Row],[Vin]]-Table16[[#This Row],[Iout]]*Rdson1),0,  IF(QrrSky_Q2&gt;0,QrrSky_Q2,Qrr_Q2)*Fsw*(Table16[[#This Row],[Vin]]-Table16[[#This Row],[Iout]]*Rdson1)+IF(QrrSky_Q3&gt;0,QrrSky_Q3,Qrr_Q3)*Fsw*Vout)</f>
        <v>0.65968101999999995</v>
      </c>
      <c r="BB82" s="345">
        <f>CHOOSE(Table16[[#This Row],[Mode Digit]],0, IF(QrrSky_Q3&gt;0,QrrSky_Q3,Qrr_Q3)*Fsw*Vout,  IF(QrrSky_Q2&gt;0,QrrSky_Q2,Qrr_Q2)*Fsw*(Table16[[#This Row],[Vin]]-Table16[[#This Row],[Iout]]*Rdson1)+IF(QrrSky_Q3&gt;0,QrrSky_Q3,Qrr_Q3)*Fsw*Vout)</f>
        <v>0.65968101999999995</v>
      </c>
      <c r="BC82" s="345">
        <f>CHOOSE(Table16[[#This Row],[Mode Digit]], Rs*Table16[[#This Row],[Irms BuSync]]^2, Rs*Table16[[#This Row],[Irms BoCtlr]]^2, Rs*(Table16[[#This Row],[Irms BuSync]]^2+Table16[[#This Row],[Irms BoCtlr]]^2))</f>
        <v>7.4897016164395161E-2</v>
      </c>
      <c r="BD82" s="345">
        <f t="shared" si="5"/>
        <v>0.64</v>
      </c>
      <c r="BE82" s="345">
        <f>IF(Vout&gt;8, Iq*Vout, Iq*Table16[[#This Row],[Vin]])</f>
        <v>4.8000000000000001E-2</v>
      </c>
      <c r="BF82" s="345">
        <f>CHOOSE(Table16[[#This Row],[Mode Digit]], (Qg_Q1+Qg_Q2)*Fsw, (Qg_Q3+Qg_Q4)*Fsw, (Qg_Q1+Qg_Q2+Qg_Q3+Qg_Q4)*Fsw)*IF(Vout&gt;8, Vout, Table16[[#This Row],[Vin]])</f>
        <v>1.7066240000000001</v>
      </c>
      <c r="BG82" s="345">
        <f t="shared" si="6"/>
        <v>0.50594479787234037</v>
      </c>
      <c r="BH82" s="345">
        <f>Table16[[#This Row],[IQ Loss]]+Table16[[#This Row],[Switching Current Loss]]</f>
        <v>1.7546240000000002</v>
      </c>
      <c r="BI82"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7.6303064092498616</v>
      </c>
      <c r="BJ82" s="253">
        <f>Vout*Table16[[#This Row],[Iout]]</f>
        <v>128</v>
      </c>
      <c r="BK82" s="684">
        <f>Table16[[#This Row],[Pout]]/(Table16[[#This Row],[Pout]]+Table16[[#This Row],[Total Loss]])</f>
        <v>0.94374187737786097</v>
      </c>
      <c r="BL82"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110.03154268424687</v>
      </c>
      <c r="BM82" s="685">
        <f>IF(Table16[[#This Row],[Vin]]&gt;Vout, Table16[[#This Row],[Total Sync Bu MOSFET Loss]]*ThetaJA_Q2, ThetaJA_Q3*Table16[[#This Row],[Total Sync Bo MOSFET Loss]])</f>
        <v>23.294864701222579</v>
      </c>
      <c r="BN82" s="640"/>
      <c r="BO82" s="292">
        <f>Table16[[#This Row],[EFF, h]]*100</f>
        <v>94.374187737786102</v>
      </c>
      <c r="BP82" s="345">
        <f>Table16[[#This Row],[Total Inductor Loss]]</f>
        <v>1.254854997965724</v>
      </c>
      <c r="BQ82" s="345">
        <f>Table16[[#This Row],[Total Control Bu MOSFET Loss]]+Table16[[#This Row],[Total Sync Bu MOSFET Loss]]+Table16[[#This Row],[Total Control Bo MOSFET Loss]]+Table16[[#This Row],[Total Sync Bo MOSFET Loss]]+Table16[[#This Row],[Reverse Recovery Loss MOSFET D BUCK]]+Table16[[#This Row],[Reverse Recovery Loss MOSFET D BOOST]]</f>
        <v>3.8825735564358737</v>
      </c>
      <c r="BR82" s="345">
        <f>Table16[[#This Row],[Total Control Bu MOSFET Loss]]+Table16[[#This Row],[Reverse Recovery Loss MOSFET D BUCK]]*0.66</f>
        <v>1.4685014175730289</v>
      </c>
      <c r="BS82" s="345">
        <f>Table16[[#This Row],[Total Sync Bu MOSFET Loss]]+Table16[[#This Row],[Reverse Recovery Loss MOSFET D BUCK]]*0.33</f>
        <v>0.57607727046496282</v>
      </c>
      <c r="BT82" s="345">
        <f xml:space="preserve"> Table16[[#This Row],[Total Control Bo MOSFET Loss]]+Table16[[#This Row],[Reverse Recovery Loss MOSFET D BOOST]]*0.66</f>
        <v>1.0172455795425246</v>
      </c>
      <c r="BU82" s="345">
        <f xml:space="preserve"> Table16[[#This Row],[Total Sync Bo MOSFET Loss]]+Table16[[#This Row],[Reverse Recovery Loss MOSFET D BOOST]]*0.33</f>
        <v>0.80755566845535753</v>
      </c>
      <c r="BV82" s="345">
        <f>Table16[[#This Row],[Isense Shunt Loss]]</f>
        <v>7.4897016164395161E-2</v>
      </c>
      <c r="CB82" s="686"/>
      <c r="CC82" s="686"/>
    </row>
    <row r="83" spans="1:81" ht="13.6" x14ac:dyDescent="0.25">
      <c r="A83" s="706"/>
      <c r="G83" s="253">
        <v>74</v>
      </c>
      <c r="H83" s="286">
        <f>VIN_min+(VIN_max-VIN_min)*(Table16[[#This Row],[Step]]/200)</f>
        <v>17.100000000000001</v>
      </c>
      <c r="I83" s="292" t="str">
        <f>IF(Mode = 2,IF(Table16[[#This Row],[Vin]]&gt;Vout, "BUCK","BOOST"),IF(Table16[[#This Row],[Vin]]&gt;VIN_BB_to_buck, "BUCK", IF(Table16[[#This Row],[Vin]]&lt;=VIN_boost_to_BB,"BOOST","BUCK-BST")))</f>
        <v>BUCK-BST</v>
      </c>
      <c r="J83" s="253">
        <f>IF(Table16[[#This Row],[Mode]]="BOOST",2, IF(Table16[[#This Row],[Mode]]="BUCK", 1,3))</f>
        <v>3</v>
      </c>
      <c r="K83" s="253">
        <f t="shared" si="4"/>
        <v>8</v>
      </c>
      <c r="L83" s="292">
        <f>Vout*Table16[[#This Row],[Iout]]/(Table16[[#This Row],[Vin]]*Efficiency)</f>
        <v>7.8793474915358566</v>
      </c>
      <c r="M83" s="682">
        <f>MIN(1/Fsw,CHOOSE(Table16[[#This Row],[Mode Digit]],(Vout+(Rdson2+Rs+Rdcr)*Table16[[#This Row],[Iout]])/(Table16[[#This Row],[Vin]]+(Rs+Rdson2-Rdson1)*Table16[[#This Row],[Iout]])/Fsw,(Vout+(Rdson3+Rdcr)*Table16[[#This Row],[Iin]]-Table16[[#This Row],[Vin]])/(Vout+(Rdson3-Rdson4-Rs)*Table16[[#This Row],[Iin]])/Fsw,t1_Ph_II))</f>
        <v>1.5084238313644118E-6</v>
      </c>
      <c r="N83" s="518">
        <f>CHOOSE(Table16[[#This Row],[Mode Digit]],1/Fsw-Table16[[#This Row],[t1_Ph_II]],1/Fsw-Table16[[#This Row],[t1_Ph_II]],(Vout/Fsw-Table16[[#This Row],[Vin]]*t1_Ph_II)/(Table16[[#This Row],[Vin]]+Vout))</f>
        <v>4.3525551386085157E-7</v>
      </c>
      <c r="O83" s="518">
        <f>1/Fsw-(Table16[[#This Row],[t1_Ph_II]]+Table16[[#This Row],[t2_Ph_I]])</f>
        <v>5.6888346884508851E-7</v>
      </c>
      <c r="P83"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9.1584098886790475</v>
      </c>
      <c r="Q83" s="292">
        <f>CHOOSE(Table16[[#This Row],[Mode Digit]],Table16[[#This Row],[I_0]]+1/Lf*(Table16[[#This Row],[Vin]]-Vout)*Table16[[#This Row],[t1_Ph_II]],Table16[[#This Row],[I_0]]+1/Lf*Table16[[#This Row],[Vin]]*Table16[[#This Row],[t1_Ph_II]],Table16[[#This Row],[I_0]]+(Table16[[#This Row],[Vin]]-Vout)/L*Table16[[#This Row],[t1_Ph_II]])</f>
        <v>10.080224452290633</v>
      </c>
      <c r="R83" s="292">
        <f>CHOOSE(Table16[[#This Row],[Mode Digit]],0,0,Table16[[#This Row],[I_1]]+Table16[[#This Row],[Vin]]/L*Table16[[#This Row],[t2_Ph_I]])</f>
        <v>14.215151833968722</v>
      </c>
      <c r="S83" s="292">
        <f>Fsw*(Table16[[#This Row],[I_0]]*Table16[[#This Row],[t1_Ph_II]]+Table16[[#This Row],[I_1]]*Table16[[#This Row],[t2_Ph_I]]+Table16[[#This Row],[I_2]]*Table16[[#This Row],[t3_Ph_III]])</f>
        <v>10.463022753322139</v>
      </c>
      <c r="T83" s="345">
        <f>MIN(1,CHOOSE(Table16[[#This Row],[Mode Digit]],(Vout+(Rdson2+Rs+Rdcr)*Table16[[#This Row],[Iout]])/(Table16[[#This Row],[Vin]]+(Rs+Rdson2-Rdson1)*Table16[[#This Row],[Iout]]),1,Fsw*Table16[[#This Row],[t2_Ph_I]]+Table16[[#This Row],[t1_Ph_II]]))</f>
        <v>0.1732332029404503</v>
      </c>
      <c r="U83" s="345">
        <f>MIN(1,CHOOSE(Table16[[#This Row],[Mode Digit]],0,(Vout+(Rdson3+Rdcr)*Table16[[#This Row],[Iin]]-Table16[[#This Row],[Vin]])/(Vout+(Rdson3-Rdson4-Rs)*Table16[[#This Row],[Iin]]),Fsw*Table16[[#This Row],[t1_Ph_II]]+Table16[[#This Row],[t3_Ph_III]]))</f>
        <v>0.60035325376650472</v>
      </c>
      <c r="V83" s="292">
        <f>MAX(Table16[[#This Row],[I_0]:[I_2]])-MIN(Table16[[#This Row],[I_0]:[I_1]])</f>
        <v>5.0567419452896747</v>
      </c>
      <c r="W83"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10.621223713166684</v>
      </c>
      <c r="X83" s="345">
        <f>(Table16[[#This Row],[Irms Lf]]^2*Rdcr*(1+Ltc*Ta-Ltc*25))/(1-Table16[[#This Row],[Irms Lf]]^2*Rdcr*Ltc*ThetaCa)</f>
        <v>0.37172857899819034</v>
      </c>
      <c r="Y83" s="345">
        <f>ABS(7.759*10^-3*Fsw^0.9458*(0.00787*Table16[[#This Row],[Ripple Current pk-pk]])^2.304)</f>
        <v>0.91247137276231582</v>
      </c>
      <c r="Z83" s="345">
        <f>Table16[[#This Row],[DCR    Loss]]+Table16[[#This Row],[Core Loss]]</f>
        <v>1.2841999517605061</v>
      </c>
      <c r="AA83" s="292">
        <f>IF(Table16[[#This Row],[Vin]]&gt;Vout, Table16[[#This Row],[Ripple Current pk-pk]]/SQRT(12), SQRT(Table16[[#This Row],[Duty Cycle BOOST Leg]]/(1-Table16[[#This Row],[Duty Cycle BOOST Leg]]))*SQRT(Table16[[#This Row],[Iout]]^2+(Table16[[#This Row],[Ripple Current pk-pk]]^2)/12))</f>
        <v>1.4597556616677327</v>
      </c>
      <c r="AB83" s="345">
        <f>RCoutEsr*Table16[[#This Row],[Irms Cout]]^2</f>
        <v>4.2617731835420001E-3</v>
      </c>
      <c r="AC83" s="345">
        <f>Table16[[#This Row],[Cout ESR Loss]]</f>
        <v>4.2617731835420001E-3</v>
      </c>
      <c r="AD83" s="345">
        <f>IF(Table16[[#This Row],[Vin]]&gt;Vout, SQRT(Table16[[#This Row],[Duty Cycle BUCK Leg]]*(1-Table16[[#This Row],[Duty Cycle BUCK Leg]]))*SQRT(Table16[[#This Row],[Iout]]^2+(Table16[[#This Row],[Ripple Current pk-pk]]^2)/12), Table16[[#This Row],[Ripple Current pk-pk]]/SQRT(12))</f>
        <v>3.0775793105927787</v>
      </c>
      <c r="AE83" s="345">
        <f>RCinEsr*Table16[[#This Row],[Irms Cin]]^2</f>
        <v>1.8942988825977444E-2</v>
      </c>
      <c r="AF83" s="683">
        <f>Table16[[#This Row],[Cin ESR Loss]]</f>
        <v>1.8942988825977444E-2</v>
      </c>
      <c r="AG83"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9.0224104285888025</v>
      </c>
      <c r="AH83" s="345">
        <f>Rdson1*Table16[[#This Row],[Irms BuCtrl]]^2</f>
        <v>0.28491361479667793</v>
      </c>
      <c r="AI83" s="345">
        <f>CHOOSE(Table16[[#This Row],[Mode Digit]], (Table16[[#This Row],[Vin]]*Table16[[#This Row],[Iout]]/2)*(Fsw)*(Tr_buck+Tf_buck), 0, (Table16[[#This Row],[Vin]]*Table16[[#This Row],[Avg IL]]/2)*(Fsw/1)*(Tr_buck+Tf_buck))</f>
        <v>0.66960109711080906</v>
      </c>
      <c r="AJ83" s="253">
        <f>IF(Table16[[#This Row],[Vin]]&gt;Vout, IF(Table16[[#This Row],[Iout]]&gt;Table16[[#This Row],[Ripple Current pk-pk]]/2,0,ABS(Table16[[#This Row],[Iout]]-Table16[[#This Row],[Ripple Current pk-pk]]/2)*Vsd_Q1*Deadtime*Fsw),0)</f>
        <v>0</v>
      </c>
      <c r="AK83" s="345">
        <f>(Table16[[#This Row],[Dead Time Loss BuCtrl]]+Table16[[#This Row],[Transition Loss BuCtrl]]+Table16[[#This Row],[RDS(on) Loss BuCtrl]]*(1+RdsonTopTc*Ta-RdsonTopTc*25))/(1-Table16[[#This Row],[RDS(on) Loss BuCtrl]]*RdsonTopTc*ThetaJA_Q1)</f>
        <v>1.0308797474789659</v>
      </c>
      <c r="AL83" s="345">
        <f>CHOOSE(Table16[[#This Row],[Mode Digit]],SQRT((Fsw*(Table16[[#This Row],[t2_Ph_I]]+0))*((Table16[[#This Row],[I_0]]*Table16[[#This Row],[I_1]]+((Table16[[#This Row],[I_0]]-Table16[[#This Row],[I_1]])^2)/3))),0,SQRT((Fsw*(Table16[[#This Row],[t3_Ph_III]]+0))*((Table16[[#This Row],[I_0]]*Table16[[#This Row],[I_2]]+((Table16[[#This Row],[I_0]]-Table16[[#This Row],[I_2]])^2)/3))))</f>
        <v>5.6041505353823506</v>
      </c>
      <c r="AM83" s="345">
        <f>Rdson2*Table16[[#This Row],[Irms BuSync]]^2</f>
        <v>0.10992276128129201</v>
      </c>
      <c r="AN83"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83" s="345">
        <f>(Table16[[#This Row],[Deadtime Loss BuSync]]+Table16[[#This Row],[RDS(on) Loss BuSync]]*(1+RdsonBotTc*Ta-RdsonBotTc*25))/(1-Table16[[#This Row],[RDS(on) Loss BuSync]]*RdsonBotTc*ThetaJA_Q2)</f>
        <v>0.3589824502488399</v>
      </c>
      <c r="AP83" s="345">
        <f>CHOOSE(Table16[[#This Row],[Mode Digit]],0,SQRT((Fsw*(Table16[[#This Row],[t1_Ph_II]]+0))*((Table16[[#This Row],[I_0]]*Table16[[#This Row],[I_1]]+((Table16[[#This Row],[I_0]]-Table16[[#This Row],[I_1]])^2)/3))),SQRT((Fsw*(Table16[[#This Row],[t2_Ph_I]]+0))*((Table16[[#This Row],[I_1]]*Table16[[#This Row],[I_2]]+((Table16[[#This Row],[I_1]]-Table16[[#This Row],[I_2]])^2)/3))))</f>
        <v>5.0803529197999726</v>
      </c>
      <c r="AQ83" s="345">
        <f>Rdson4*Table16[[#This Row],[Irms BoCtlr]]^2</f>
        <v>9.0334950264020372E-2</v>
      </c>
      <c r="AR83" s="345">
        <f>CHOOSE(Table16[[#This Row],[Mode Digit]], 0, (Vout*Table16[[#This Row],[Iin]]/2)*(Fsw)*(Tr_boost+Tf_boost), (Vout*Iout/2)*(Fsw/1)*(Tr_boost+Tf_boost))</f>
        <v>0.47564320886662292</v>
      </c>
      <c r="AS83" s="253">
        <f>IF(Table16[[#This Row],[Vin]]&gt;Vout, 0, IF(Table16[[#This Row],[Iin]]&gt;Table16[[#This Row],[Ripple Current pk-pk]]/2,0,ABS(Table16[[#This Row],[Iin]]-Table16[[#This Row],[Ripple Current pk-pk]]/2)*Vsd_Q4*Deadtime*Fsw))</f>
        <v>0</v>
      </c>
      <c r="AT83" s="345">
        <f>(Table16[[#This Row],[Dead Time Loss BoCtlr]]+Table16[[#This Row],[Transition Loss BoCtlr]]+Table16[[#This Row],[RDS(on) Loss BoCtlr]]*(1+RdsonTopTc*Ta-RdsonTopTc*25))/(1-Table16[[#This Row],[RDS(on) Loss BoCtlr]]*RdsonTopTc*ThetaJA_Q4)</f>
        <v>0.57959106493702817</v>
      </c>
      <c r="AU83"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9.327400890677648</v>
      </c>
      <c r="AV83" s="345">
        <f>Rdson3*Table16[[#This Row],[Irms BoSync]]^2</f>
        <v>0.30450142581394968</v>
      </c>
      <c r="AW83"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0.23519852262234528</v>
      </c>
      <c r="AX83" s="345">
        <f>(Table16[[#This Row],[Deadtime Loss BoSync]]+Table16[[#This Row],[RDS(on) Loss BoSync]]*(1+RdsonBotTc*Ta-RdsonBotTc*25))/(1-Table16[[#This Row],[RDS(on) Loss BoSync]]*RdsonBotTc*ThetaJA_Q3)</f>
        <v>0.58610184910468277</v>
      </c>
      <c r="AY83" s="345">
        <f>CHOOSE(Table16[[#This Row],[Mode Digit]], Rdson3*Table16[[#This Row],[Irms Lf]]^2, Rdson1*Table16[[#This Row],[Irms Lf]]^2, 0)</f>
        <v>0</v>
      </c>
      <c r="AZ83" s="345">
        <f>CHOOSE(Table16[[#This Row],[Mode Digit]], 2*Deadtime*Fsw*IF(VfdSky_Q2&gt;0,VfdSky_Q2,0)*Table16[[#This Row],[Iout]], 2*Deadtime*Fsw*IF(VfdSky_Q3&gt;0,VfdSky_Q3,0)*Table16[[#This Row],[Iin]], 2*Deadtime*Fsw*IF(VfdSky_Q2&gt;0,VfdSky_Q2,0)*Table16[[#This Row],[Iout]]+2*Deadtime*Fsw*IF(VfdSky_Q3&gt;0,VfdSky_Q3,0)*Table16[[#This Row],[Iin]])</f>
        <v>0</v>
      </c>
      <c r="BA83" s="345">
        <f>CHOOSE(Table16[[#This Row],[Mode Digit]], IF(QrrSky_Q2&gt;0,QrrSky_Q2,Qrr_Q2)*Fsw*(Table16[[#This Row],[Vin]]-Table16[[#This Row],[Iout]]*Rdson1),0,  IF(QrrSky_Q2&gt;0,QrrSky_Q2,Qrr_Q2)*Fsw*(Table16[[#This Row],[Vin]]-Table16[[#This Row],[Iout]]*Rdson1)+IF(QrrSky_Q3&gt;0,QrrSky_Q3,Qrr_Q3)*Fsw*Vout)</f>
        <v>0.66236751999999999</v>
      </c>
      <c r="BB83" s="345">
        <f>CHOOSE(Table16[[#This Row],[Mode Digit]],0, IF(QrrSky_Q3&gt;0,QrrSky_Q3,Qrr_Q3)*Fsw*Vout,  IF(QrrSky_Q2&gt;0,QrrSky_Q2,Qrr_Q2)*Fsw*(Table16[[#This Row],[Vin]]-Table16[[#This Row],[Iout]]*Rdson1)+IF(QrrSky_Q3&gt;0,QrrSky_Q3,Qrr_Q3)*Fsw*Vout)</f>
        <v>0.66236751999999999</v>
      </c>
      <c r="BC83" s="345">
        <f>CHOOSE(Table16[[#This Row],[Mode Digit]], Rs*Table16[[#This Row],[Irms BuSync]]^2, Rs*Table16[[#This Row],[Irms BoCtlr]]^2, Rs*(Table16[[#This Row],[Irms BuSync]]^2+Table16[[#This Row],[Irms BoCtlr]]^2))</f>
        <v>7.4381435716830313E-2</v>
      </c>
      <c r="BD83" s="345">
        <f t="shared" si="5"/>
        <v>0.64</v>
      </c>
      <c r="BE83" s="345">
        <f>IF(Vout&gt;8, Iq*Vout, Iq*Table16[[#This Row],[Vin]])</f>
        <v>4.8000000000000001E-2</v>
      </c>
      <c r="BF83" s="345">
        <f>CHOOSE(Table16[[#This Row],[Mode Digit]], (Qg_Q1+Qg_Q2)*Fsw, (Qg_Q3+Qg_Q4)*Fsw, (Qg_Q1+Qg_Q2+Qg_Q3+Qg_Q4)*Fsw)*IF(Vout&gt;8, Vout, Table16[[#This Row],[Vin]])</f>
        <v>1.7066240000000001</v>
      </c>
      <c r="BG83" s="345">
        <f t="shared" si="6"/>
        <v>0.50594479787234037</v>
      </c>
      <c r="BH83" s="345">
        <f>Table16[[#This Row],[IQ Loss]]+Table16[[#This Row],[Switching Current Loss]]</f>
        <v>1.7546240000000002</v>
      </c>
      <c r="BI83"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7.6567003012563726</v>
      </c>
      <c r="BJ83" s="253">
        <f>Vout*Table16[[#This Row],[Iout]]</f>
        <v>128</v>
      </c>
      <c r="BK83" s="684">
        <f>Table16[[#This Row],[Pout]]/(Table16[[#This Row],[Pout]]+Table16[[#This Row],[Total Loss]])</f>
        <v>0.94355825931006043</v>
      </c>
      <c r="BL83"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110.06107238613279</v>
      </c>
      <c r="BM83" s="685">
        <f>IF(Table16[[#This Row],[Vin]]&gt;Vout, Table16[[#This Row],[Total Sync Bu MOSFET Loss]]*ThetaJA_Q2, ThetaJA_Q3*Table16[[#This Row],[Total Sync Bo MOSFET Loss]])</f>
        <v>23.333859266174592</v>
      </c>
      <c r="BN83" s="640"/>
      <c r="BO83" s="292">
        <f>Table16[[#This Row],[EFF, h]]*100</f>
        <v>94.355825931006038</v>
      </c>
      <c r="BP83" s="345">
        <f>Table16[[#This Row],[Total Inductor Loss]]</f>
        <v>1.2841999517605061</v>
      </c>
      <c r="BQ83" s="345">
        <f>Table16[[#This Row],[Total Control Bu MOSFET Loss]]+Table16[[#This Row],[Total Sync Bu MOSFET Loss]]+Table16[[#This Row],[Total Control Bo MOSFET Loss]]+Table16[[#This Row],[Total Sync Bo MOSFET Loss]]+Table16[[#This Row],[Reverse Recovery Loss MOSFET D BUCK]]+Table16[[#This Row],[Reverse Recovery Loss MOSFET D BOOST]]</f>
        <v>3.880290151769517</v>
      </c>
      <c r="BR83" s="345">
        <f>Table16[[#This Row],[Total Control Bu MOSFET Loss]]+Table16[[#This Row],[Reverse Recovery Loss MOSFET D BUCK]]*0.66</f>
        <v>1.468042310678966</v>
      </c>
      <c r="BS83" s="345">
        <f>Table16[[#This Row],[Total Sync Bu MOSFET Loss]]+Table16[[#This Row],[Reverse Recovery Loss MOSFET D BUCK]]*0.33</f>
        <v>0.57756373184883991</v>
      </c>
      <c r="BT83" s="345">
        <f xml:space="preserve"> Table16[[#This Row],[Total Control Bo MOSFET Loss]]+Table16[[#This Row],[Reverse Recovery Loss MOSFET D BOOST]]*0.66</f>
        <v>1.0167536281370282</v>
      </c>
      <c r="BU83" s="345">
        <f xml:space="preserve"> Table16[[#This Row],[Total Sync Bo MOSFET Loss]]+Table16[[#This Row],[Reverse Recovery Loss MOSFET D BOOST]]*0.33</f>
        <v>0.80468313070468278</v>
      </c>
      <c r="BV83" s="345">
        <f>Table16[[#This Row],[Isense Shunt Loss]]</f>
        <v>7.4381435716830313E-2</v>
      </c>
      <c r="CB83" s="686"/>
      <c r="CC83" s="686"/>
    </row>
    <row r="84" spans="1:81" x14ac:dyDescent="0.2">
      <c r="G84" s="253">
        <v>75</v>
      </c>
      <c r="H84" s="286">
        <f>VIN_min+(VIN_max-VIN_min)*(Table16[[#This Row],[Step]]/200)</f>
        <v>17.25</v>
      </c>
      <c r="I84" s="292" t="str">
        <f>IF(Mode = 2,IF(Table16[[#This Row],[Vin]]&gt;Vout, "BUCK","BOOST"),IF(Table16[[#This Row],[Vin]]&gt;VIN_BB_to_buck, "BUCK", IF(Table16[[#This Row],[Vin]]&lt;=VIN_boost_to_BB,"BOOST","BUCK-BST")))</f>
        <v>BUCK-BST</v>
      </c>
      <c r="J84" s="253">
        <f>IF(Table16[[#This Row],[Mode]]="BOOST",2, IF(Table16[[#This Row],[Mode]]="BUCK", 1,3))</f>
        <v>3</v>
      </c>
      <c r="K84" s="253">
        <f t="shared" si="4"/>
        <v>8</v>
      </c>
      <c r="L84" s="292">
        <f>Vout*Table16[[#This Row],[Iout]]/(Table16[[#This Row],[Vin]]*Efficiency)</f>
        <v>7.8108314263920677</v>
      </c>
      <c r="M84" s="682">
        <f>MIN(1/Fsw,CHOOSE(Table16[[#This Row],[Mode Digit]],(Vout+(Rdson2+Rs+Rdcr)*Table16[[#This Row],[Iout]])/(Table16[[#This Row],[Vin]]+(Rs+Rdson2-Rdson1)*Table16[[#This Row],[Iout]])/Fsw,(Vout+(Rdson3+Rdcr)*Table16[[#This Row],[Iin]]-Table16[[#This Row],[Vin]])/(Vout+(Rdson3-Rdson4-Rs)*Table16[[#This Row],[Iin]])/Fsw,t1_Ph_II))</f>
        <v>1.5084238313644118E-6</v>
      </c>
      <c r="N84" s="518">
        <f>CHOOSE(Table16[[#This Row],[Mode Digit]],1/Fsw-Table16[[#This Row],[t1_Ph_II]],1/Fsw-Table16[[#This Row],[t1_Ph_II]],(Vout/Fsw-Table16[[#This Row],[Vin]]*t1_Ph_II)/(Table16[[#This Row],[Vin]]+Vout))</f>
        <v>4.2648703561171517E-7</v>
      </c>
      <c r="O84" s="518">
        <f>1/Fsw-(Table16[[#This Row],[t1_Ph_II]]+Table16[[#This Row],[t2_Ph_I]])</f>
        <v>5.7765194709422507E-7</v>
      </c>
      <c r="P84"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9.053047991449521</v>
      </c>
      <c r="Q84" s="292">
        <f>CHOOSE(Table16[[#This Row],[Mode Digit]],Table16[[#This Row],[I_0]]+1/Lf*(Table16[[#This Row],[Vin]]-Vout)*Table16[[#This Row],[t1_Ph_II]],Table16[[#This Row],[I_0]]+1/Lf*Table16[[#This Row],[Vin]]*Table16[[#This Row],[t1_Ph_II]],Table16[[#This Row],[I_0]]+(Table16[[#This Row],[Vin]]-Vout)/L*Table16[[#This Row],[t1_Ph_II]])</f>
        <v>10.10056454100814</v>
      </c>
      <c r="R84" s="292">
        <f>CHOOSE(Table16[[#This Row],[Mode Digit]],0,0,Table16[[#This Row],[I_1]]+Table16[[#This Row],[Vin]]/L*Table16[[#This Row],[t2_Ph_I]])</f>
        <v>14.18773196562041</v>
      </c>
      <c r="S84" s="292">
        <f>Fsw*(Table16[[#This Row],[I_0]]*Table16[[#This Row],[t1_Ph_II]]+Table16[[#This Row],[I_1]]*Table16[[#This Row],[t2_Ph_I]]+Table16[[#This Row],[I_2]]*Table16[[#This Row],[t3_Ph_III]])</f>
        <v>10.411347335950301</v>
      </c>
      <c r="T84" s="345">
        <f>MIN(1,CHOOSE(Table16[[#This Row],[Mode Digit]],(Vout+(Rdson2+Rs+Rdcr)*Table16[[#This Row],[Iout]])/(Table16[[#This Row],[Vin]]+(Rs+Rdson2-Rdson1)*Table16[[#This Row],[Iout]]),1,Fsw*Table16[[#This Row],[t2_Ph_I]]+Table16[[#This Row],[t1_Ph_II]]))</f>
        <v>0.16974334859729401</v>
      </c>
      <c r="U84" s="345">
        <f>MIN(1,CHOOSE(Table16[[#This Row],[Mode Digit]],0,(Vout+(Rdson3+Rdcr)*Table16[[#This Row],[Iin]]-Table16[[#This Row],[Vin]])/(Vout+(Rdson3-Rdson4-Rs)*Table16[[#This Row],[Iin]]),Fsw*Table16[[#This Row],[t1_Ph_II]]+Table16[[#This Row],[t3_Ph_III]]))</f>
        <v>0.60035326253498289</v>
      </c>
      <c r="V84" s="292">
        <f>MAX(Table16[[#This Row],[I_0]:[I_2]])-MIN(Table16[[#This Row],[I_0]:[I_1]])</f>
        <v>5.1346839741708887</v>
      </c>
      <c r="W84"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10.579995537886932</v>
      </c>
      <c r="X84" s="345">
        <f>(Table16[[#This Row],[Irms Lf]]^2*Rdcr*(1+Ltc*Ta-Ltc*25))/(1-Table16[[#This Row],[Irms Lf]]^2*Rdcr*Ltc*ThetaCa)</f>
        <v>0.36876334759291823</v>
      </c>
      <c r="Y84" s="345">
        <f>ABS(7.759*10^-3*Fsw^0.9458*(0.00787*Table16[[#This Row],[Ripple Current pk-pk]])^2.304)</f>
        <v>0.94520182962670563</v>
      </c>
      <c r="Z84" s="345">
        <f>Table16[[#This Row],[DCR    Loss]]+Table16[[#This Row],[Core Loss]]</f>
        <v>1.3139651772196239</v>
      </c>
      <c r="AA84" s="292">
        <f>IF(Table16[[#This Row],[Vin]]&gt;Vout, Table16[[#This Row],[Ripple Current pk-pk]]/SQRT(12), SQRT(Table16[[#This Row],[Duty Cycle BOOST Leg]]/(1-Table16[[#This Row],[Duty Cycle BOOST Leg]]))*SQRT(Table16[[#This Row],[Iout]]^2+(Table16[[#This Row],[Ripple Current pk-pk]]^2)/12))</f>
        <v>1.48225558734561</v>
      </c>
      <c r="AB84" s="345">
        <f>RCoutEsr*Table16[[#This Row],[Irms Cout]]^2</f>
        <v>4.3941632524345589E-3</v>
      </c>
      <c r="AC84" s="345">
        <f>Table16[[#This Row],[Cout ESR Loss]]</f>
        <v>4.3941632524345589E-3</v>
      </c>
      <c r="AD84" s="345">
        <f>IF(Table16[[#This Row],[Vin]]&gt;Vout, SQRT(Table16[[#This Row],[Duty Cycle BUCK Leg]]*(1-Table16[[#This Row],[Duty Cycle BUCK Leg]]))*SQRT(Table16[[#This Row],[Iout]]^2+(Table16[[#This Row],[Ripple Current pk-pk]]^2)/12), Table16[[#This Row],[Ripple Current pk-pk]]/SQRT(12))</f>
        <v>3.0543723967973162</v>
      </c>
      <c r="AE84" s="345">
        <f>RCinEsr*Table16[[#This Row],[Irms Cin]]^2</f>
        <v>1.8658381476634765E-2</v>
      </c>
      <c r="AF84" s="683">
        <f>Table16[[#This Row],[Cin ESR Loss]]</f>
        <v>1.8658381476634765E-2</v>
      </c>
      <c r="AG84"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8.9658380525437327</v>
      </c>
      <c r="AH84" s="345">
        <f>Rdson1*Table16[[#This Row],[Irms BuCtrl]]^2</f>
        <v>0.28135188194554417</v>
      </c>
      <c r="AI84" s="345">
        <f>CHOOSE(Table16[[#This Row],[Mode Digit]], (Table16[[#This Row],[Vin]]*Table16[[#This Row],[Iout]]/2)*(Fsw)*(Tr_buck+Tf_buck), 0, (Table16[[#This Row],[Vin]]*Table16[[#This Row],[Avg IL]]/2)*(Fsw/1)*(Tr_buck+Tf_buck))</f>
        <v>0.67213871469170461</v>
      </c>
      <c r="AJ84" s="253">
        <f>IF(Table16[[#This Row],[Vin]]&gt;Vout, IF(Table16[[#This Row],[Iout]]&gt;Table16[[#This Row],[Ripple Current pk-pk]]/2,0,ABS(Table16[[#This Row],[Iout]]-Table16[[#This Row],[Ripple Current pk-pk]]/2)*Vsd_Q1*Deadtime*Fsw),0)</f>
        <v>0</v>
      </c>
      <c r="AK84" s="345">
        <f>(Table16[[#This Row],[Dead Time Loss BuCtrl]]+Table16[[#This Row],[Transition Loss BuCtrl]]+Table16[[#This Row],[RDS(on) Loss BuCtrl]]*(1+RdsonTopTc*Ta-RdsonTopTc*25))/(1-Table16[[#This Row],[RDS(on) Loss BuCtrl]]*RdsonTopTc*ThetaJA_Q1)</f>
        <v>1.0287448117310312</v>
      </c>
      <c r="AL84" s="345">
        <f>CHOOSE(Table16[[#This Row],[Mode Digit]],SQRT((Fsw*(Table16[[#This Row],[t2_Ph_I]]+0))*((Table16[[#This Row],[I_0]]*Table16[[#This Row],[I_1]]+((Table16[[#This Row],[I_0]]-Table16[[#This Row],[I_1]])^2)/3))),0,SQRT((Fsw*(Table16[[#This Row],[t3_Ph_III]]+0))*((Table16[[#This Row],[I_0]]*Table16[[#This Row],[I_2]]+((Table16[[#This Row],[I_0]]-Table16[[#This Row],[I_2]])^2)/3))))</f>
        <v>5.616943439030357</v>
      </c>
      <c r="AM84" s="345">
        <f>Rdson2*Table16[[#This Row],[Irms BuSync]]^2</f>
        <v>0.11042518759043161</v>
      </c>
      <c r="AN84"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84" s="345">
        <f>(Table16[[#This Row],[Deadtime Loss BuSync]]+Table16[[#This Row],[RDS(on) Loss BuSync]]*(1+RdsonBotTc*Ta-RdsonBotTc*25))/(1-Table16[[#This Row],[RDS(on) Loss BuSync]]*RdsonBotTc*ThetaJA_Q2)</f>
        <v>0.35954800821675797</v>
      </c>
      <c r="AP84" s="345">
        <f>CHOOSE(Table16[[#This Row],[Mode Digit]],0,SQRT((Fsw*(Table16[[#This Row],[t1_Ph_II]]+0))*((Table16[[#This Row],[I_0]]*Table16[[#This Row],[I_1]]+((Table16[[#This Row],[I_0]]-Table16[[#This Row],[I_1]])^2)/3))),SQRT((Fsw*(Table16[[#This Row],[t2_Ph_I]]+0))*((Table16[[#This Row],[I_1]]*Table16[[#This Row],[I_2]]+((Table16[[#This Row],[I_1]]-Table16[[#This Row],[I_2]])^2)/3))))</f>
        <v>5.0269153226388958</v>
      </c>
      <c r="AQ84" s="345">
        <f>Rdson4*Table16[[#This Row],[Irms BoCtlr]]^2</f>
        <v>8.8444571813435999E-2</v>
      </c>
      <c r="AR84" s="345">
        <f>CHOOSE(Table16[[#This Row],[Mode Digit]], 0, (Vout*Table16[[#This Row],[Iin]]/2)*(Fsw)*(Tr_boost+Tf_boost), (Vout*Iout/2)*(Fsw/1)*(Tr_boost+Tf_boost))</f>
        <v>0.47564320886662292</v>
      </c>
      <c r="AS84" s="253">
        <f>IF(Table16[[#This Row],[Vin]]&gt;Vout, 0, IF(Table16[[#This Row],[Iin]]&gt;Table16[[#This Row],[Ripple Current pk-pk]]/2,0,ABS(Table16[[#This Row],[Iin]]-Table16[[#This Row],[Ripple Current pk-pk]]/2)*Vsd_Q4*Deadtime*Fsw))</f>
        <v>0</v>
      </c>
      <c r="AT84" s="345">
        <f>(Table16[[#This Row],[Dead Time Loss BoCtlr]]+Table16[[#This Row],[Transition Loss BoCtlr]]+Table16[[#This Row],[RDS(on) Loss BoCtlr]]*(1+RdsonTopTc*Ta-RdsonTopTc*25))/(1-Table16[[#This Row],[RDS(on) Loss BoCtlr]]*RdsonTopTc*ThetaJA_Q4)</f>
        <v>0.57736461999493549</v>
      </c>
      <c r="AU84"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9.3094805397898348</v>
      </c>
      <c r="AV84" s="345">
        <f>Rdson3*Table16[[#This Row],[Irms BoSync]]^2</f>
        <v>0.30333249772253973</v>
      </c>
      <c r="AW84"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0.23315331807780318</v>
      </c>
      <c r="AX84" s="345">
        <f>(Table16[[#This Row],[Deadtime Loss BoSync]]+Table16[[#This Row],[RDS(on) Loss BoSync]]*(1+RdsonBotTc*Ta-RdsonBotTc*25))/(1-Table16[[#This Row],[RDS(on) Loss BoSync]]*RdsonBotTc*ThetaJA_Q3)</f>
        <v>0.5824191459050313</v>
      </c>
      <c r="AY84" s="345">
        <f>CHOOSE(Table16[[#This Row],[Mode Digit]], Rdson3*Table16[[#This Row],[Irms Lf]]^2, Rdson1*Table16[[#This Row],[Irms Lf]]^2, 0)</f>
        <v>0</v>
      </c>
      <c r="AZ84" s="345">
        <f>CHOOSE(Table16[[#This Row],[Mode Digit]], 2*Deadtime*Fsw*IF(VfdSky_Q2&gt;0,VfdSky_Q2,0)*Table16[[#This Row],[Iout]], 2*Deadtime*Fsw*IF(VfdSky_Q3&gt;0,VfdSky_Q3,0)*Table16[[#This Row],[Iin]], 2*Deadtime*Fsw*IF(VfdSky_Q2&gt;0,VfdSky_Q2,0)*Table16[[#This Row],[Iout]]+2*Deadtime*Fsw*IF(VfdSky_Q3&gt;0,VfdSky_Q3,0)*Table16[[#This Row],[Iin]])</f>
        <v>0</v>
      </c>
      <c r="BA84" s="345">
        <f>CHOOSE(Table16[[#This Row],[Mode Digit]], IF(QrrSky_Q2&gt;0,QrrSky_Q2,Qrr_Q2)*Fsw*(Table16[[#This Row],[Vin]]-Table16[[#This Row],[Iout]]*Rdson1),0,  IF(QrrSky_Q2&gt;0,QrrSky_Q2,Qrr_Q2)*Fsw*(Table16[[#This Row],[Vin]]-Table16[[#This Row],[Iout]]*Rdson1)+IF(QrrSky_Q3&gt;0,QrrSky_Q3,Qrr_Q3)*Fsw*Vout)</f>
        <v>0.66505401999999991</v>
      </c>
      <c r="BB84" s="345">
        <f>CHOOSE(Table16[[#This Row],[Mode Digit]],0, IF(QrrSky_Q3&gt;0,QrrSky_Q3,Qrr_Q3)*Fsw*Vout,  IF(QrrSky_Q2&gt;0,QrrSky_Q2,Qrr_Q2)*Fsw*(Table16[[#This Row],[Vin]]-Table16[[#This Row],[Iout]]*Rdson1)+IF(QrrSky_Q3&gt;0,QrrSky_Q3,Qrr_Q3)*Fsw*Vout)</f>
        <v>0.66505401999999991</v>
      </c>
      <c r="BC84" s="345">
        <f>CHOOSE(Table16[[#This Row],[Mode Digit]], Rs*Table16[[#This Row],[Irms BuSync]]^2, Rs*Table16[[#This Row],[Irms BoCtlr]]^2, Rs*(Table16[[#This Row],[Irms BuSync]]^2+Table16[[#This Row],[Irms BoCtlr]]^2))</f>
        <v>7.3865910635722259E-2</v>
      </c>
      <c r="BD84" s="345">
        <f t="shared" si="5"/>
        <v>0.64</v>
      </c>
      <c r="BE84" s="345">
        <f>IF(Vout&gt;8, Iq*Vout, Iq*Table16[[#This Row],[Vin]])</f>
        <v>4.8000000000000001E-2</v>
      </c>
      <c r="BF84" s="345">
        <f>CHOOSE(Table16[[#This Row],[Mode Digit]], (Qg_Q1+Qg_Q2)*Fsw, (Qg_Q3+Qg_Q4)*Fsw, (Qg_Q1+Qg_Q2+Qg_Q3+Qg_Q4)*Fsw)*IF(Vout&gt;8, Vout, Table16[[#This Row],[Vin]])</f>
        <v>1.7066240000000001</v>
      </c>
      <c r="BG84" s="345">
        <f t="shared" si="6"/>
        <v>0.50594479787234037</v>
      </c>
      <c r="BH84" s="345">
        <f>Table16[[#This Row],[IQ Loss]]+Table16[[#This Row],[Switching Current Loss]]</f>
        <v>1.7546240000000002</v>
      </c>
      <c r="BI84"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7.6836922584321705</v>
      </c>
      <c r="BJ84" s="253">
        <f>Vout*Table16[[#This Row],[Iout]]</f>
        <v>128</v>
      </c>
      <c r="BK84" s="684">
        <f>Table16[[#This Row],[Pout]]/(Table16[[#This Row],[Pout]]+Table16[[#This Row],[Total Loss]])</f>
        <v>0.94337055448198381</v>
      </c>
      <c r="BL84"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110.09692406251702</v>
      </c>
      <c r="BM84" s="685">
        <f>IF(Table16[[#This Row],[Vin]]&gt;Vout, Table16[[#This Row],[Total Sync Bu MOSFET Loss]]*ThetaJA_Q2, ThetaJA_Q3*Table16[[#This Row],[Total Sync Bo MOSFET Loss]])</f>
        <v>23.370620534089269</v>
      </c>
      <c r="BN84" s="640"/>
      <c r="BO84" s="292">
        <f>Table16[[#This Row],[EFF, h]]*100</f>
        <v>94.337055448198385</v>
      </c>
      <c r="BP84" s="345">
        <f>Table16[[#This Row],[Total Inductor Loss]]</f>
        <v>1.3139651772196239</v>
      </c>
      <c r="BQ84" s="345">
        <f>Table16[[#This Row],[Total Control Bu MOSFET Loss]]+Table16[[#This Row],[Total Sync Bu MOSFET Loss]]+Table16[[#This Row],[Total Control Bo MOSFET Loss]]+Table16[[#This Row],[Total Sync Bo MOSFET Loss]]+Table16[[#This Row],[Reverse Recovery Loss MOSFET D BUCK]]+Table16[[#This Row],[Reverse Recovery Loss MOSFET D BOOST]]</f>
        <v>3.8781846258477559</v>
      </c>
      <c r="BR84" s="345">
        <f>Table16[[#This Row],[Total Control Bu MOSFET Loss]]+Table16[[#This Row],[Reverse Recovery Loss MOSFET D BUCK]]*0.66</f>
        <v>1.4676804649310311</v>
      </c>
      <c r="BS84" s="345">
        <f>Table16[[#This Row],[Total Sync Bu MOSFET Loss]]+Table16[[#This Row],[Reverse Recovery Loss MOSFET D BUCK]]*0.33</f>
        <v>0.579015834816758</v>
      </c>
      <c r="BT84" s="345">
        <f xml:space="preserve"> Table16[[#This Row],[Total Control Bo MOSFET Loss]]+Table16[[#This Row],[Reverse Recovery Loss MOSFET D BOOST]]*0.66</f>
        <v>1.0163002731949353</v>
      </c>
      <c r="BU84" s="345">
        <f xml:space="preserve"> Table16[[#This Row],[Total Sync Bo MOSFET Loss]]+Table16[[#This Row],[Reverse Recovery Loss MOSFET D BOOST]]*0.33</f>
        <v>0.80188697250503127</v>
      </c>
      <c r="BV84" s="345">
        <f>Table16[[#This Row],[Isense Shunt Loss]]</f>
        <v>7.3865910635722259E-2</v>
      </c>
      <c r="CB84" s="686"/>
      <c r="CC84" s="686"/>
    </row>
    <row r="85" spans="1:81" x14ac:dyDescent="0.2">
      <c r="G85" s="253">
        <v>76</v>
      </c>
      <c r="H85" s="286">
        <f>VIN_min+(VIN_max-VIN_min)*(Table16[[#This Row],[Step]]/200)</f>
        <v>17.399999999999999</v>
      </c>
      <c r="I85" s="292" t="str">
        <f>IF(Mode = 2,IF(Table16[[#This Row],[Vin]]&gt;Vout, "BUCK","BOOST"),IF(Table16[[#This Row],[Vin]]&gt;VIN_BB_to_buck, "BUCK", IF(Table16[[#This Row],[Vin]]&lt;=VIN_boost_to_BB,"BOOST","BUCK-BST")))</f>
        <v>BUCK-BST</v>
      </c>
      <c r="J85" s="253">
        <f>IF(Table16[[#This Row],[Mode]]="BOOST",2, IF(Table16[[#This Row],[Mode]]="BUCK", 1,3))</f>
        <v>3</v>
      </c>
      <c r="K85" s="253">
        <f t="shared" si="4"/>
        <v>8</v>
      </c>
      <c r="L85" s="292">
        <f>Vout*Table16[[#This Row],[Iout]]/(Table16[[#This Row],[Vin]]*Efficiency)</f>
        <v>7.7434966727162742</v>
      </c>
      <c r="M85" s="682">
        <f>MIN(1/Fsw,CHOOSE(Table16[[#This Row],[Mode Digit]],(Vout+(Rdson2+Rs+Rdcr)*Table16[[#This Row],[Iout]])/(Table16[[#This Row],[Vin]]+(Rs+Rdson2-Rdson1)*Table16[[#This Row],[Iout]])/Fsw,(Vout+(Rdson3+Rdcr)*Table16[[#This Row],[Iin]]-Table16[[#This Row],[Vin]])/(Vout+(Rdson3-Rdson4-Rs)*Table16[[#This Row],[Iin]])/Fsw,t1_Ph_II))</f>
        <v>1.5084238313644118E-6</v>
      </c>
      <c r="N85" s="518">
        <f>CHOOSE(Table16[[#This Row],[Mode Digit]],1/Fsw-Table16[[#This Row],[t1_Ph_II]],1/Fsw-Table16[[#This Row],[t1_Ph_II]],(Vout/Fsw-Table16[[#This Row],[Vin]]*t1_Ph_II)/(Table16[[#This Row],[Vin]]+Vout))</f>
        <v>4.1779731614924752E-7</v>
      </c>
      <c r="O85" s="518">
        <f>1/Fsw-(Table16[[#This Row],[t1_Ph_II]]+Table16[[#This Row],[t2_Ph_I]])</f>
        <v>5.8634166655669245E-7</v>
      </c>
      <c r="P85"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8.9487742902288527</v>
      </c>
      <c r="Q85" s="292">
        <f>CHOOSE(Table16[[#This Row],[Mode Digit]],Table16[[#This Row],[I_0]]+1/Lf*(Table16[[#This Row],[Vin]]-Vout)*Table16[[#This Row],[t1_Ph_II]],Table16[[#This Row],[I_0]]+1/Lf*Table16[[#This Row],[Vin]]*Table16[[#This Row],[t1_Ph_II]],Table16[[#This Row],[I_0]]+(Table16[[#This Row],[Vin]]-Vout)/L*Table16[[#This Row],[t1_Ph_II]])</f>
        <v>10.121992825734505</v>
      </c>
      <c r="R85" s="292">
        <f>CHOOSE(Table16[[#This Row],[Mode Digit]],0,0,Table16[[#This Row],[I_1]]+Table16[[#This Row],[Vin]]/L*Table16[[#This Row],[t2_Ph_I]])</f>
        <v>14.160700215177231</v>
      </c>
      <c r="S85" s="292">
        <f>Fsw*(Table16[[#This Row],[I_0]]*Table16[[#This Row],[t1_Ph_II]]+Table16[[#This Row],[I_1]]*Table16[[#This Row],[t2_Ph_I]]+Table16[[#This Row],[I_2]]*Table16[[#This Row],[t3_Ph_III]])</f>
        <v>10.360136771730492</v>
      </c>
      <c r="T85" s="345">
        <f>MIN(1,CHOOSE(Table16[[#This Row],[Mode Digit]],(Vout+(Rdson2+Rs+Rdcr)*Table16[[#This Row],[Iout]])/(Table16[[#This Row],[Vin]]+(Rs+Rdson2-Rdson1)*Table16[[#This Row],[Iout]]),1,Fsw*Table16[[#This Row],[t2_Ph_I]]+Table16[[#This Row],[t1_Ph_II]]))</f>
        <v>0.16628484025123189</v>
      </c>
      <c r="U85" s="345">
        <f>MIN(1,CHOOSE(Table16[[#This Row],[Mode Digit]],0,(Vout+(Rdson3+Rdcr)*Table16[[#This Row],[Iin]]-Table16[[#This Row],[Vin]])/(Vout+(Rdson3-Rdson4-Rs)*Table16[[#This Row],[Iin]]),Fsw*Table16[[#This Row],[t1_Ph_II]]+Table16[[#This Row],[t3_Ph_III]]))</f>
        <v>0.60035327122470239</v>
      </c>
      <c r="V85" s="292">
        <f>MAX(Table16[[#This Row],[I_0]:[I_2]])-MIN(Table16[[#This Row],[I_0]:[I_1]])</f>
        <v>5.2119259249483783</v>
      </c>
      <c r="W85"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10.539375069365512</v>
      </c>
      <c r="X85" s="345">
        <f>(Table16[[#This Row],[Irms Lf]]^2*Rdcr*(1+Ltc*Ta-Ltc*25))/(1-Table16[[#This Row],[Irms Lf]]^2*Rdcr*Ltc*ThetaCa)</f>
        <v>0.36585443079404995</v>
      </c>
      <c r="Y85" s="345">
        <f>ABS(7.759*10^-3*Fsw^0.9458*(0.00787*Table16[[#This Row],[Ripple Current pk-pk]])^2.304)</f>
        <v>0.97828383499655869</v>
      </c>
      <c r="Z85" s="345">
        <f>Table16[[#This Row],[DCR    Loss]]+Table16[[#This Row],[Core Loss]]</f>
        <v>1.3441382657906087</v>
      </c>
      <c r="AA85" s="292">
        <f>IF(Table16[[#This Row],[Vin]]&gt;Vout, Table16[[#This Row],[Ripple Current pk-pk]]/SQRT(12), SQRT(Table16[[#This Row],[Duty Cycle BOOST Leg]]/(1-Table16[[#This Row],[Duty Cycle BOOST Leg]]))*SQRT(Table16[[#This Row],[Iout]]^2+(Table16[[#This Row],[Ripple Current pk-pk]]^2)/12))</f>
        <v>1.5045534178826678</v>
      </c>
      <c r="AB85" s="345">
        <f>RCoutEsr*Table16[[#This Row],[Irms Cout]]^2</f>
        <v>4.5273619745248355E-3</v>
      </c>
      <c r="AC85" s="345">
        <f>Table16[[#This Row],[Cout ESR Loss]]</f>
        <v>4.5273619745248355E-3</v>
      </c>
      <c r="AD85" s="345">
        <f>IF(Table16[[#This Row],[Vin]]&gt;Vout, SQRT(Table16[[#This Row],[Duty Cycle BUCK Leg]]*(1-Table16[[#This Row],[Duty Cycle BUCK Leg]]))*SQRT(Table16[[#This Row],[Iout]]^2+(Table16[[#This Row],[Ripple Current pk-pk]]^2)/12), Table16[[#This Row],[Ripple Current pk-pk]]/SQRT(12))</f>
        <v>3.0309094151442122</v>
      </c>
      <c r="AE85" s="345">
        <f>RCinEsr*Table16[[#This Row],[Irms Cin]]^2</f>
        <v>1.8372823765619661E-2</v>
      </c>
      <c r="AF85" s="683">
        <f>Table16[[#This Row],[Cin ESR Loss]]</f>
        <v>1.8372823765619661E-2</v>
      </c>
      <c r="AG85"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8.910290908647692</v>
      </c>
      <c r="AH85" s="345">
        <f>Rdson1*Table16[[#This Row],[Irms BuCtrl]]^2</f>
        <v>0.27787649426855399</v>
      </c>
      <c r="AI85" s="345">
        <f>CHOOSE(Table16[[#This Row],[Mode Digit]], (Table16[[#This Row],[Vin]]*Table16[[#This Row],[Iout]]/2)*(Fsw)*(Tr_buck+Tf_buck), 0, (Table16[[#This Row],[Vin]]*Table16[[#This Row],[Avg IL]]/2)*(Fsw/1)*(Tr_buck+Tf_buck))</f>
        <v>0.67464858463438226</v>
      </c>
      <c r="AJ85" s="253">
        <f>IF(Table16[[#This Row],[Vin]]&gt;Vout, IF(Table16[[#This Row],[Iout]]&gt;Table16[[#This Row],[Ripple Current pk-pk]]/2,0,ABS(Table16[[#This Row],[Iout]]-Table16[[#This Row],[Ripple Current pk-pk]]/2)*Vsd_Q1*Deadtime*Fsw),0)</f>
        <v>0</v>
      </c>
      <c r="AK85" s="345">
        <f>(Table16[[#This Row],[Dead Time Loss BuCtrl]]+Table16[[#This Row],[Transition Loss BuCtrl]]+Table16[[#This Row],[RDS(on) Loss BuCtrl]]*(1+RdsonTopTc*Ta-RdsonTopTc*25))/(1-Table16[[#This Row],[RDS(on) Loss BuCtrl]]*RdsonTopTc*ThetaJA_Q1)</f>
        <v>1.026702140696796</v>
      </c>
      <c r="AL85" s="345">
        <f>CHOOSE(Table16[[#This Row],[Mode Digit]],SQRT((Fsw*(Table16[[#This Row],[t2_Ph_I]]+0))*((Table16[[#This Row],[I_0]]*Table16[[#This Row],[I_1]]+((Table16[[#This Row],[I_0]]-Table16[[#This Row],[I_1]])^2)/3))),0,SQRT((Fsw*(Table16[[#This Row],[t3_Ph_III]]+0))*((Table16[[#This Row],[I_0]]*Table16[[#This Row],[I_2]]+((Table16[[#This Row],[I_0]]-Table16[[#This Row],[I_2]])^2)/3))))</f>
        <v>5.6289557447215346</v>
      </c>
      <c r="AM85" s="345">
        <f>Rdson2*Table16[[#This Row],[Irms BuSync]]^2</f>
        <v>0.11089799971611748</v>
      </c>
      <c r="AN85"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85" s="345">
        <f>(Table16[[#This Row],[Deadtime Loss BuSync]]+Table16[[#This Row],[RDS(on) Loss BuSync]]*(1+RdsonBotTc*Ta-RdsonBotTc*25))/(1-Table16[[#This Row],[RDS(on) Loss BuSync]]*RdsonBotTc*ThetaJA_Q2)</f>
        <v>0.36008036983146835</v>
      </c>
      <c r="AP85" s="345">
        <f>CHOOSE(Table16[[#This Row],[Mode Digit]],0,SQRT((Fsw*(Table16[[#This Row],[t1_Ph_II]]+0))*((Table16[[#This Row],[I_0]]*Table16[[#This Row],[I_1]]+((Table16[[#This Row],[I_0]]-Table16[[#This Row],[I_1]])^2)/3))),SQRT((Fsw*(Table16[[#This Row],[t2_Ph_I]]+0))*((Table16[[#This Row],[I_1]]*Table16[[#This Row],[I_2]]+((Table16[[#This Row],[I_1]]-Table16[[#This Row],[I_2]])^2)/3))))</f>
        <v>4.9737541575071571</v>
      </c>
      <c r="AQ85" s="345">
        <f>Rdson4*Table16[[#This Row],[Irms BoCtlr]]^2</f>
        <v>8.6583806467619054E-2</v>
      </c>
      <c r="AR85" s="345">
        <f>CHOOSE(Table16[[#This Row],[Mode Digit]], 0, (Vout*Table16[[#This Row],[Iin]]/2)*(Fsw)*(Tr_boost+Tf_boost), (Vout*Iout/2)*(Fsw/1)*(Tr_boost+Tf_boost))</f>
        <v>0.47564320886662292</v>
      </c>
      <c r="AS85" s="253">
        <f>IF(Table16[[#This Row],[Vin]]&gt;Vout, 0, IF(Table16[[#This Row],[Iin]]&gt;Table16[[#This Row],[Ripple Current pk-pk]]/2,0,ABS(Table16[[#This Row],[Iin]]-Table16[[#This Row],[Ripple Current pk-pk]]/2)*Vsd_Q4*Deadtime*Fsw))</f>
        <v>0</v>
      </c>
      <c r="AT85" s="345">
        <f>(Table16[[#This Row],[Dead Time Loss BoCtlr]]+Table16[[#This Row],[Transition Loss BoCtlr]]+Table16[[#This Row],[RDS(on) Loss BoCtlr]]*(1+RdsonTopTc*Ta-RdsonTopTc*25))/(1-Table16[[#This Row],[RDS(on) Loss BoCtlr]]*RdsonTopTc*ThetaJA_Q4)</f>
        <v>0.57517523935260073</v>
      </c>
      <c r="AU85"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9.2919425543555505</v>
      </c>
      <c r="AV85" s="345">
        <f>Rdson3*Table16[[#This Row],[Irms BoSync]]^2</f>
        <v>0.30219068751705241</v>
      </c>
      <c r="AW85"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0.23114337568058074</v>
      </c>
      <c r="AX85" s="345">
        <f>(Table16[[#This Row],[Deadtime Loss BoSync]]+Table16[[#This Row],[RDS(on) Loss BoSync]]*(1+RdsonBotTc*Ta-RdsonBotTc*25))/(1-Table16[[#This Row],[RDS(on) Loss BoSync]]*RdsonBotTc*ThetaJA_Q3)</f>
        <v>0.57881099961588589</v>
      </c>
      <c r="AY85" s="345">
        <f>CHOOSE(Table16[[#This Row],[Mode Digit]], Rdson3*Table16[[#This Row],[Irms Lf]]^2, Rdson1*Table16[[#This Row],[Irms Lf]]^2, 0)</f>
        <v>0</v>
      </c>
      <c r="AZ85" s="345">
        <f>CHOOSE(Table16[[#This Row],[Mode Digit]], 2*Deadtime*Fsw*IF(VfdSky_Q2&gt;0,VfdSky_Q2,0)*Table16[[#This Row],[Iout]], 2*Deadtime*Fsw*IF(VfdSky_Q3&gt;0,VfdSky_Q3,0)*Table16[[#This Row],[Iin]], 2*Deadtime*Fsw*IF(VfdSky_Q2&gt;0,VfdSky_Q2,0)*Table16[[#This Row],[Iout]]+2*Deadtime*Fsw*IF(VfdSky_Q3&gt;0,VfdSky_Q3,0)*Table16[[#This Row],[Iin]])</f>
        <v>0</v>
      </c>
      <c r="BA85" s="345">
        <f>CHOOSE(Table16[[#This Row],[Mode Digit]], IF(QrrSky_Q2&gt;0,QrrSky_Q2,Qrr_Q2)*Fsw*(Table16[[#This Row],[Vin]]-Table16[[#This Row],[Iout]]*Rdson1),0,  IF(QrrSky_Q2&gt;0,QrrSky_Q2,Qrr_Q2)*Fsw*(Table16[[#This Row],[Vin]]-Table16[[#This Row],[Iout]]*Rdson1)+IF(QrrSky_Q3&gt;0,QrrSky_Q3,Qrr_Q3)*Fsw*Vout)</f>
        <v>0.66774051999999995</v>
      </c>
      <c r="BB85" s="345">
        <f>CHOOSE(Table16[[#This Row],[Mode Digit]],0, IF(QrrSky_Q3&gt;0,QrrSky_Q3,Qrr_Q3)*Fsw*Vout,  IF(QrrSky_Q2&gt;0,QrrSky_Q2,Qrr_Q2)*Fsw*(Table16[[#This Row],[Vin]]-Table16[[#This Row],[Iout]]*Rdson1)+IF(QrrSky_Q3&gt;0,QrrSky_Q3,Qrr_Q3)*Fsw*Vout)</f>
        <v>0.66774051999999995</v>
      </c>
      <c r="BC85" s="345">
        <f>CHOOSE(Table16[[#This Row],[Mode Digit]], Rs*Table16[[#This Row],[Irms BuSync]]^2, Rs*Table16[[#This Row],[Irms BoCtlr]]^2, Rs*(Table16[[#This Row],[Irms BuSync]]^2+Table16[[#This Row],[Irms BoCtlr]]^2))</f>
        <v>7.335038515395928E-2</v>
      </c>
      <c r="BD85" s="345">
        <f t="shared" si="5"/>
        <v>0.64</v>
      </c>
      <c r="BE85" s="345">
        <f>IF(Vout&gt;8, Iq*Vout, Iq*Table16[[#This Row],[Vin]])</f>
        <v>4.8000000000000001E-2</v>
      </c>
      <c r="BF85" s="345">
        <f>CHOOSE(Table16[[#This Row],[Mode Digit]], (Qg_Q1+Qg_Q2)*Fsw, (Qg_Q3+Qg_Q4)*Fsw, (Qg_Q1+Qg_Q2+Qg_Q3+Qg_Q4)*Fsw)*IF(Vout&gt;8, Vout, Table16[[#This Row],[Vin]])</f>
        <v>1.7066240000000001</v>
      </c>
      <c r="BG85" s="345">
        <f t="shared" si="6"/>
        <v>0.50594479787234037</v>
      </c>
      <c r="BH85" s="345">
        <f>Table16[[#This Row],[IQ Loss]]+Table16[[#This Row],[Switching Current Loss]]</f>
        <v>1.7546240000000002</v>
      </c>
      <c r="BI85"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7.7112626261814619</v>
      </c>
      <c r="BJ85" s="253">
        <f>Vout*Table16[[#This Row],[Iout]]</f>
        <v>128</v>
      </c>
      <c r="BK85" s="684">
        <f>Table16[[#This Row],[Pout]]/(Table16[[#This Row],[Pout]]+Table16[[#This Row],[Total Loss]])</f>
        <v>0.94317890441103458</v>
      </c>
      <c r="BL85"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110.13877294529173</v>
      </c>
      <c r="BM85" s="685">
        <f>IF(Table16[[#This Row],[Vin]]&gt;Vout, Table16[[#This Row],[Total Sync Bu MOSFET Loss]]*ThetaJA_Q2, ThetaJA_Q3*Table16[[#This Row],[Total Sync Bo MOSFET Loss]])</f>
        <v>23.405224039045443</v>
      </c>
      <c r="BN85" s="640"/>
      <c r="BO85" s="292">
        <f>Table16[[#This Row],[EFF, h]]*100</f>
        <v>94.317890441103458</v>
      </c>
      <c r="BP85" s="345">
        <f>Table16[[#This Row],[Total Inductor Loss]]</f>
        <v>1.3441382657906087</v>
      </c>
      <c r="BQ85" s="345">
        <f>Table16[[#This Row],[Total Control Bu MOSFET Loss]]+Table16[[#This Row],[Total Sync Bu MOSFET Loss]]+Table16[[#This Row],[Total Control Bo MOSFET Loss]]+Table16[[#This Row],[Total Sync Bo MOSFET Loss]]+Table16[[#This Row],[Reverse Recovery Loss MOSFET D BUCK]]+Table16[[#This Row],[Reverse Recovery Loss MOSFET D BOOST]]</f>
        <v>3.8762497894967503</v>
      </c>
      <c r="BR85" s="345">
        <f>Table16[[#This Row],[Total Control Bu MOSFET Loss]]+Table16[[#This Row],[Reverse Recovery Loss MOSFET D BUCK]]*0.66</f>
        <v>1.4674108838967959</v>
      </c>
      <c r="BS85" s="345">
        <f>Table16[[#This Row],[Total Sync Bu MOSFET Loss]]+Table16[[#This Row],[Reverse Recovery Loss MOSFET D BUCK]]*0.33</f>
        <v>0.58043474143146834</v>
      </c>
      <c r="BT85" s="345">
        <f xml:space="preserve"> Table16[[#This Row],[Total Control Bo MOSFET Loss]]+Table16[[#This Row],[Reverse Recovery Loss MOSFET D BOOST]]*0.66</f>
        <v>1.0158839825526007</v>
      </c>
      <c r="BU85" s="345">
        <f xml:space="preserve"> Table16[[#This Row],[Total Sync Bo MOSFET Loss]]+Table16[[#This Row],[Reverse Recovery Loss MOSFET D BOOST]]*0.33</f>
        <v>0.79916537121588593</v>
      </c>
      <c r="BV85" s="345">
        <f>Table16[[#This Row],[Isense Shunt Loss]]</f>
        <v>7.335038515395928E-2</v>
      </c>
      <c r="CB85" s="686"/>
      <c r="CC85" s="686"/>
    </row>
    <row r="86" spans="1:81" x14ac:dyDescent="0.2">
      <c r="G86" s="253">
        <v>77</v>
      </c>
      <c r="H86" s="286">
        <f>VIN_min+(VIN_max-VIN_min)*(Table16[[#This Row],[Step]]/200)</f>
        <v>17.55</v>
      </c>
      <c r="I86" s="292" t="str">
        <f>IF(Mode = 2,IF(Table16[[#This Row],[Vin]]&gt;Vout, "BUCK","BOOST"),IF(Table16[[#This Row],[Vin]]&gt;VIN_BB_to_buck, "BUCK", IF(Table16[[#This Row],[Vin]]&lt;=VIN_boost_to_BB,"BOOST","BUCK-BST")))</f>
        <v>BUCK-BST</v>
      </c>
      <c r="J86" s="253">
        <f>IF(Table16[[#This Row],[Mode]]="BOOST",2, IF(Table16[[#This Row],[Mode]]="BUCK", 1,3))</f>
        <v>3</v>
      </c>
      <c r="K86" s="253">
        <f t="shared" si="4"/>
        <v>8</v>
      </c>
      <c r="L86" s="292">
        <f>Vout*Table16[[#This Row],[Iout]]/(Table16[[#This Row],[Vin]]*Efficiency)</f>
        <v>7.6773129404708351</v>
      </c>
      <c r="M86" s="682">
        <f>MIN(1/Fsw,CHOOSE(Table16[[#This Row],[Mode Digit]],(Vout+(Rdson2+Rs+Rdcr)*Table16[[#This Row],[Iout]])/(Table16[[#This Row],[Vin]]+(Rs+Rdson2-Rdson1)*Table16[[#This Row],[Iout]])/Fsw,(Vout+(Rdson3+Rdcr)*Table16[[#This Row],[Iin]]-Table16[[#This Row],[Vin]])/(Vout+(Rdson3-Rdson4-Rs)*Table16[[#This Row],[Iin]])/Fsw,t1_Ph_II))</f>
        <v>1.5084238313644118E-6</v>
      </c>
      <c r="N86" s="518">
        <f>CHOOSE(Table16[[#This Row],[Mode Digit]],1/Fsw-Table16[[#This Row],[t1_Ph_II]],1/Fsw-Table16[[#This Row],[t1_Ph_II]],(Vout/Fsw-Table16[[#This Row],[Vin]]*t1_Ph_II)/(Table16[[#This Row],[Vin]]+Vout))</f>
        <v>4.0918529909628024E-7</v>
      </c>
      <c r="O86" s="518">
        <f>1/Fsw-(Table16[[#This Row],[t1_Ph_II]]+Table16[[#This Row],[t2_Ph_I]])</f>
        <v>5.9495368360966005E-7</v>
      </c>
      <c r="P86"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8.8455651629059435</v>
      </c>
      <c r="Q86" s="292">
        <f>CHOOSE(Table16[[#This Row],[Mode Digit]],Table16[[#This Row],[I_0]]+1/Lf*(Table16[[#This Row],[Vin]]-Vout)*Table16[[#This Row],[t1_Ph_II]],Table16[[#This Row],[I_0]]+1/Lf*Table16[[#This Row],[Vin]]*Table16[[#This Row],[t1_Ph_II]],Table16[[#This Row],[I_0]]+(Table16[[#This Row],[Vin]]-Vout)/L*Table16[[#This Row],[t1_Ph_II]])</f>
        <v>10.144485684358632</v>
      </c>
      <c r="R86" s="292">
        <f>CHOOSE(Table16[[#This Row],[Mode Digit]],0,0,Table16[[#This Row],[I_1]]+Table16[[#This Row],[Vin]]/L*Table16[[#This Row],[t2_Ph_I]])</f>
        <v>14.134042350547364</v>
      </c>
      <c r="S86" s="292">
        <f>Fsw*(Table16[[#This Row],[I_0]]*Table16[[#This Row],[t1_Ph_II]]+Table16[[#This Row],[I_1]]*Table16[[#This Row],[t2_Ph_I]]+Table16[[#This Row],[I_2]]*Table16[[#This Row],[t3_Ph_III]])</f>
        <v>10.309368632793186</v>
      </c>
      <c r="T86" s="345">
        <f>MIN(1,CHOOSE(Table16[[#This Row],[Mode Digit]],(Vout+(Rdson2+Rs+Rdcr)*Table16[[#This Row],[Iout]])/(Table16[[#This Row],[Vin]]+(Rs+Rdson2-Rdson1)*Table16[[#This Row],[Iout]]),1,Fsw*Table16[[#This Row],[t2_Ph_I]]+Table16[[#This Row],[t1_Ph_II]]))</f>
        <v>0.16285725746415092</v>
      </c>
      <c r="U86" s="345">
        <f>MIN(1,CHOOSE(Table16[[#This Row],[Mode Digit]],0,(Vout+(Rdson3+Rdcr)*Table16[[#This Row],[Iin]]-Table16[[#This Row],[Vin]])/(Vout+(Rdson3-Rdson4-Rs)*Table16[[#This Row],[Iin]]),Fsw*Table16[[#This Row],[t1_Ph_II]]+Table16[[#This Row],[t3_Ph_III]]))</f>
        <v>0.60035327983671949</v>
      </c>
      <c r="V86" s="292">
        <f>MAX(Table16[[#This Row],[I_0]:[I_2]])-MIN(Table16[[#This Row],[I_0]:[I_1]])</f>
        <v>5.2884771876414209</v>
      </c>
      <c r="W86"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10.499346865446757</v>
      </c>
      <c r="X86" s="345">
        <f>(Table16[[#This Row],[Irms Lf]]^2*Rdcr*(1+Ltc*Ta-Ltc*25))/(1-Table16[[#This Row],[Irms Lf]]^2*Rdcr*Ltc*ThetaCa)</f>
        <v>0.36300015248159712</v>
      </c>
      <c r="Y86" s="345">
        <f>ABS(7.759*10^-3*Fsw^0.9458*(0.00787*Table16[[#This Row],[Ripple Current pk-pk]])^2.304)</f>
        <v>1.0117069386981699</v>
      </c>
      <c r="Z86" s="345">
        <f>Table16[[#This Row],[DCR    Loss]]+Table16[[#This Row],[Core Loss]]</f>
        <v>1.374707091179767</v>
      </c>
      <c r="AA86" s="292">
        <f>IF(Table16[[#This Row],[Vin]]&gt;Vout, Table16[[#This Row],[Ripple Current pk-pk]]/SQRT(12), SQRT(Table16[[#This Row],[Duty Cycle BOOST Leg]]/(1-Table16[[#This Row],[Duty Cycle BOOST Leg]]))*SQRT(Table16[[#This Row],[Iout]]^2+(Table16[[#This Row],[Ripple Current pk-pk]]^2)/12))</f>
        <v>1.5266518639439848</v>
      </c>
      <c r="AB86" s="345">
        <f>RCoutEsr*Table16[[#This Row],[Irms Cout]]^2</f>
        <v>4.6613318273672861E-3</v>
      </c>
      <c r="AC86" s="345">
        <f>Table16[[#This Row],[Cout ESR Loss]]</f>
        <v>4.6613318273672861E-3</v>
      </c>
      <c r="AD86" s="345">
        <f>IF(Table16[[#This Row],[Vin]]&gt;Vout, SQRT(Table16[[#This Row],[Duty Cycle BUCK Leg]]*(1-Table16[[#This Row],[Duty Cycle BUCK Leg]]))*SQRT(Table16[[#This Row],[Iout]]^2+(Table16[[#This Row],[Ripple Current pk-pk]]^2)/12), Table16[[#This Row],[Ripple Current pk-pk]]/SQRT(12))</f>
        <v>3.0071874164953138</v>
      </c>
      <c r="AE86" s="345">
        <f>RCinEsr*Table16[[#This Row],[Irms Cin]]^2</f>
        <v>1.8086352315855522E-2</v>
      </c>
      <c r="AF86" s="683">
        <f>Table16[[#This Row],[Cin ESR Loss]]</f>
        <v>1.8086352315855522E-2</v>
      </c>
      <c r="AG86"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8.8557452639216763</v>
      </c>
      <c r="AH86" s="345">
        <f>Rdson1*Table16[[#This Row],[Irms BuCtrl]]^2</f>
        <v>0.27448478462814918</v>
      </c>
      <c r="AI86" s="345">
        <f>CHOOSE(Table16[[#This Row],[Mode Digit]], (Table16[[#This Row],[Vin]]*Table16[[#This Row],[Iout]]/2)*(Fsw)*(Tr_buck+Tf_buck), 0, (Table16[[#This Row],[Vin]]*Table16[[#This Row],[Avg IL]]/2)*(Fsw/1)*(Tr_buck+Tf_buck))</f>
        <v>0.6771300167258657</v>
      </c>
      <c r="AJ86" s="253">
        <f>IF(Table16[[#This Row],[Vin]]&gt;Vout, IF(Table16[[#This Row],[Iout]]&gt;Table16[[#This Row],[Ripple Current pk-pk]]/2,0,ABS(Table16[[#This Row],[Iout]]-Table16[[#This Row],[Ripple Current pk-pk]]/2)*Vsd_Q1*Deadtime*Fsw),0)</f>
        <v>0</v>
      </c>
      <c r="AK86" s="345">
        <f>(Table16[[#This Row],[Dead Time Loss BuCtrl]]+Table16[[#This Row],[Transition Loss BuCtrl]]+Table16[[#This Row],[RDS(on) Loss BuCtrl]]*(1+RdsonTopTc*Ta-RdsonTopTc*25))/(1-Table16[[#This Row],[RDS(on) Loss BuCtrl]]*RdsonTopTc*ThetaJA_Q1)</f>
        <v>1.0247469363024411</v>
      </c>
      <c r="AL86" s="345">
        <f>CHOOSE(Table16[[#This Row],[Mode Digit]],SQRT((Fsw*(Table16[[#This Row],[t2_Ph_I]]+0))*((Table16[[#This Row],[I_0]]*Table16[[#This Row],[I_1]]+((Table16[[#This Row],[I_0]]-Table16[[#This Row],[I_1]])^2)/3))),0,SQRT((Fsw*(Table16[[#This Row],[t3_Ph_III]]+0))*((Table16[[#This Row],[I_0]]*Table16[[#This Row],[I_2]]+((Table16[[#This Row],[I_0]]-Table16[[#This Row],[I_2]])^2)/3))))</f>
        <v>5.6402181182553068</v>
      </c>
      <c r="AM86" s="345">
        <f>Rdson2*Table16[[#This Row],[Irms BuSync]]^2</f>
        <v>0.11134221147523403</v>
      </c>
      <c r="AN86"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86" s="345">
        <f>(Table16[[#This Row],[Deadtime Loss BuSync]]+Table16[[#This Row],[RDS(on) Loss BuSync]]*(1+RdsonBotTc*Ta-RdsonBotTc*25))/(1-Table16[[#This Row],[RDS(on) Loss BuSync]]*RdsonBotTc*ThetaJA_Q2)</f>
        <v>0.36058065174207127</v>
      </c>
      <c r="AP86" s="345">
        <f>CHOOSE(Table16[[#This Row],[Mode Digit]],0,SQRT((Fsw*(Table16[[#This Row],[t1_Ph_II]]+0))*((Table16[[#This Row],[I_0]]*Table16[[#This Row],[I_1]]+((Table16[[#This Row],[I_0]]-Table16[[#This Row],[I_1]])^2)/3))),SQRT((Fsw*(Table16[[#This Row],[t2_Ph_I]]+0))*((Table16[[#This Row],[I_1]]*Table16[[#This Row],[I_2]]+((Table16[[#This Row],[I_1]]-Table16[[#This Row],[I_2]])^2)/3))))</f>
        <v>4.9208448160970431</v>
      </c>
      <c r="AQ86" s="345">
        <f>Rdson4*Table16[[#This Row],[Irms BoCtlr]]^2</f>
        <v>8.4751497964382E-2</v>
      </c>
      <c r="AR86" s="345">
        <f>CHOOSE(Table16[[#This Row],[Mode Digit]], 0, (Vout*Table16[[#This Row],[Iin]]/2)*(Fsw)*(Tr_boost+Tf_boost), (Vout*Iout/2)*(Fsw/1)*(Tr_boost+Tf_boost))</f>
        <v>0.47564320886662292</v>
      </c>
      <c r="AS86" s="253">
        <f>IF(Table16[[#This Row],[Vin]]&gt;Vout, 0, IF(Table16[[#This Row],[Iin]]&gt;Table16[[#This Row],[Ripple Current pk-pk]]/2,0,ABS(Table16[[#This Row],[Iin]]-Table16[[#This Row],[Ripple Current pk-pk]]/2)*Vsd_Q4*Deadtime*Fsw))</f>
        <v>0</v>
      </c>
      <c r="AT86" s="345">
        <f>(Table16[[#This Row],[Dead Time Loss BoCtlr]]+Table16[[#This Row],[Transition Loss BoCtlr]]+Table16[[#This Row],[RDS(on) Loss BoCtlr]]*(1+RdsonTopTc*Ta-RdsonTopTc*25))/(1-Table16[[#This Row],[RDS(on) Loss BoCtlr]]*RdsonTopTc*ThetaJA_Q4)</f>
        <v>0.57302145782936587</v>
      </c>
      <c r="AU86"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9.2747814473904171</v>
      </c>
      <c r="AV86" s="345">
        <f>Rdson3*Table16[[#This Row],[Irms BoSync]]^2</f>
        <v>0.3010754981390012</v>
      </c>
      <c r="AW86"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0.22916779127305439</v>
      </c>
      <c r="AX86" s="345">
        <f>(Table16[[#This Row],[Deadtime Loss BoSync]]+Table16[[#This Row],[RDS(on) Loss BoSync]]*(1+RdsonBotTc*Ta-RdsonBotTc*25))/(1-Table16[[#This Row],[RDS(on) Loss BoSync]]*RdsonBotTc*ThetaJA_Q3)</f>
        <v>0.5752756545173271</v>
      </c>
      <c r="AY86" s="345">
        <f>CHOOSE(Table16[[#This Row],[Mode Digit]], Rdson3*Table16[[#This Row],[Irms Lf]]^2, Rdson1*Table16[[#This Row],[Irms Lf]]^2, 0)</f>
        <v>0</v>
      </c>
      <c r="AZ86" s="345">
        <f>CHOOSE(Table16[[#This Row],[Mode Digit]], 2*Deadtime*Fsw*IF(VfdSky_Q2&gt;0,VfdSky_Q2,0)*Table16[[#This Row],[Iout]], 2*Deadtime*Fsw*IF(VfdSky_Q3&gt;0,VfdSky_Q3,0)*Table16[[#This Row],[Iin]], 2*Deadtime*Fsw*IF(VfdSky_Q2&gt;0,VfdSky_Q2,0)*Table16[[#This Row],[Iout]]+2*Deadtime*Fsw*IF(VfdSky_Q3&gt;0,VfdSky_Q3,0)*Table16[[#This Row],[Iin]])</f>
        <v>0</v>
      </c>
      <c r="BA86" s="345">
        <f>CHOOSE(Table16[[#This Row],[Mode Digit]], IF(QrrSky_Q2&gt;0,QrrSky_Q2,Qrr_Q2)*Fsw*(Table16[[#This Row],[Vin]]-Table16[[#This Row],[Iout]]*Rdson1),0,  IF(QrrSky_Q2&gt;0,QrrSky_Q2,Qrr_Q2)*Fsw*(Table16[[#This Row],[Vin]]-Table16[[#This Row],[Iout]]*Rdson1)+IF(QrrSky_Q3&gt;0,QrrSky_Q3,Qrr_Q3)*Fsw*Vout)</f>
        <v>0.67042701999999998</v>
      </c>
      <c r="BB86" s="345">
        <f>CHOOSE(Table16[[#This Row],[Mode Digit]],0, IF(QrrSky_Q3&gt;0,QrrSky_Q3,Qrr_Q3)*Fsw*Vout,  IF(QrrSky_Q2&gt;0,QrrSky_Q2,Qrr_Q2)*Fsw*(Table16[[#This Row],[Vin]]-Table16[[#This Row],[Iout]]*Rdson1)+IF(QrrSky_Q3&gt;0,QrrSky_Q3,Qrr_Q3)*Fsw*Vout)</f>
        <v>0.67042701999999998</v>
      </c>
      <c r="BC86" s="345">
        <f>CHOOSE(Table16[[#This Row],[Mode Digit]], Rs*Table16[[#This Row],[Irms BuSync]]^2, Rs*Table16[[#This Row],[Irms BoCtlr]]^2, Rs*(Table16[[#This Row],[Irms BuSync]]^2+Table16[[#This Row],[Irms BoCtlr]]^2))</f>
        <v>7.2834806363285945E-2</v>
      </c>
      <c r="BD86" s="345">
        <f t="shared" si="5"/>
        <v>0.64</v>
      </c>
      <c r="BE86" s="345">
        <f>IF(Vout&gt;8, Iq*Vout, Iq*Table16[[#This Row],[Vin]])</f>
        <v>4.8000000000000001E-2</v>
      </c>
      <c r="BF86" s="345">
        <f>CHOOSE(Table16[[#This Row],[Mode Digit]], (Qg_Q1+Qg_Q2)*Fsw, (Qg_Q3+Qg_Q4)*Fsw, (Qg_Q1+Qg_Q2+Qg_Q3+Qg_Q4)*Fsw)*IF(Vout&gt;8, Vout, Table16[[#This Row],[Vin]])</f>
        <v>1.7066240000000001</v>
      </c>
      <c r="BG86" s="345">
        <f t="shared" si="6"/>
        <v>0.50594479787234037</v>
      </c>
      <c r="BH86" s="345">
        <f>Table16[[#This Row],[IQ Loss]]+Table16[[#This Row],[Switching Current Loss]]</f>
        <v>1.7546240000000002</v>
      </c>
      <c r="BI86"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7.7393923220774807</v>
      </c>
      <c r="BJ86" s="253">
        <f>Vout*Table16[[#This Row],[Iout]]</f>
        <v>128</v>
      </c>
      <c r="BK86" s="684">
        <f>Table16[[#This Row],[Pout]]/(Table16[[#This Row],[Pout]]+Table16[[#This Row],[Total Loss]])</f>
        <v>0.94298344651703059</v>
      </c>
      <c r="BL86"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110.18630715965867</v>
      </c>
      <c r="BM86" s="685">
        <f>IF(Table16[[#This Row],[Vin]]&gt;Vout, Table16[[#This Row],[Total Sync Bu MOSFET Loss]]*ThetaJA_Q2, ThetaJA_Q3*Table16[[#This Row],[Total Sync Bo MOSFET Loss]])</f>
        <v>23.437742363234634</v>
      </c>
      <c r="BN86" s="640"/>
      <c r="BO86" s="292">
        <f>Table16[[#This Row],[EFF, h]]*100</f>
        <v>94.298344651703061</v>
      </c>
      <c r="BP86" s="345">
        <f>Table16[[#This Row],[Total Inductor Loss]]</f>
        <v>1.374707091179767</v>
      </c>
      <c r="BQ86" s="345">
        <f>Table16[[#This Row],[Total Control Bu MOSFET Loss]]+Table16[[#This Row],[Total Sync Bu MOSFET Loss]]+Table16[[#This Row],[Total Control Bo MOSFET Loss]]+Table16[[#This Row],[Total Sync Bo MOSFET Loss]]+Table16[[#This Row],[Reverse Recovery Loss MOSFET D BUCK]]+Table16[[#This Row],[Reverse Recovery Loss MOSFET D BOOST]]</f>
        <v>3.8744787403912051</v>
      </c>
      <c r="BR86" s="345">
        <f>Table16[[#This Row],[Total Control Bu MOSFET Loss]]+Table16[[#This Row],[Reverse Recovery Loss MOSFET D BUCK]]*0.66</f>
        <v>1.4672287695024411</v>
      </c>
      <c r="BS86" s="345">
        <f>Table16[[#This Row],[Total Sync Bu MOSFET Loss]]+Table16[[#This Row],[Reverse Recovery Loss MOSFET D BUCK]]*0.33</f>
        <v>0.58182156834207133</v>
      </c>
      <c r="BT86" s="345">
        <f xml:space="preserve"> Table16[[#This Row],[Total Control Bo MOSFET Loss]]+Table16[[#This Row],[Reverse Recovery Loss MOSFET D BOOST]]*0.66</f>
        <v>1.0155032910293658</v>
      </c>
      <c r="BU86" s="345">
        <f xml:space="preserve"> Table16[[#This Row],[Total Sync Bo MOSFET Loss]]+Table16[[#This Row],[Reverse Recovery Loss MOSFET D BOOST]]*0.33</f>
        <v>0.7965165711173271</v>
      </c>
      <c r="BV86" s="345">
        <f>Table16[[#This Row],[Isense Shunt Loss]]</f>
        <v>7.2834806363285945E-2</v>
      </c>
      <c r="CB86" s="686"/>
      <c r="CC86" s="686"/>
    </row>
    <row r="87" spans="1:81" x14ac:dyDescent="0.2">
      <c r="G87" s="253">
        <v>78</v>
      </c>
      <c r="H87" s="286">
        <f>VIN_min+(VIN_max-VIN_min)*(Table16[[#This Row],[Step]]/200)</f>
        <v>17.700000000000003</v>
      </c>
      <c r="I87" s="292" t="str">
        <f>IF(Mode = 2,IF(Table16[[#This Row],[Vin]]&gt;Vout, "BUCK","BOOST"),IF(Table16[[#This Row],[Vin]]&gt;VIN_BB_to_buck, "BUCK", IF(Table16[[#This Row],[Vin]]&lt;=VIN_boost_to_BB,"BOOST","BUCK-BST")))</f>
        <v>BUCK-BST</v>
      </c>
      <c r="J87" s="253">
        <f>IF(Table16[[#This Row],[Mode]]="BOOST",2, IF(Table16[[#This Row],[Mode]]="BUCK", 1,3))</f>
        <v>3</v>
      </c>
      <c r="K87" s="253">
        <f t="shared" si="4"/>
        <v>8</v>
      </c>
      <c r="L87" s="292">
        <f>Vout*Table16[[#This Row],[Iout]]/(Table16[[#This Row],[Vin]]*Efficiency)</f>
        <v>7.6122509663990483</v>
      </c>
      <c r="M87" s="682">
        <f>MIN(1/Fsw,CHOOSE(Table16[[#This Row],[Mode Digit]],(Vout+(Rdson2+Rs+Rdcr)*Table16[[#This Row],[Iout]])/(Table16[[#This Row],[Vin]]+(Rs+Rdson2-Rdson1)*Table16[[#This Row],[Iout]])/Fsw,(Vout+(Rdson3+Rdcr)*Table16[[#This Row],[Iin]]-Table16[[#This Row],[Vin]])/(Vout+(Rdson3-Rdson4-Rs)*Table16[[#This Row],[Iin]])/Fsw,t1_Ph_II))</f>
        <v>1.5084238313644118E-6</v>
      </c>
      <c r="N87" s="518">
        <f>CHOOSE(Table16[[#This Row],[Mode Digit]],1/Fsw-Table16[[#This Row],[t1_Ph_II]],1/Fsw-Table16[[#This Row],[t1_Ph_II]],(Vout/Fsw-Table16[[#This Row],[Vin]]*t1_Ph_II)/(Table16[[#This Row],[Vin]]+Vout))</f>
        <v>4.006499468835471E-7</v>
      </c>
      <c r="O87" s="518">
        <f>1/Fsw-(Table16[[#This Row],[t1_Ph_II]]+Table16[[#This Row],[t2_Ph_I]])</f>
        <v>6.0348903582239314E-7</v>
      </c>
      <c r="P87"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8.7433977125570319</v>
      </c>
      <c r="Q87" s="292">
        <f>CHOOSE(Table16[[#This Row],[Mode Digit]],Table16[[#This Row],[I_0]]+1/Lf*(Table16[[#This Row],[Vin]]-Vout)*Table16[[#This Row],[t1_Ph_II]],Table16[[#This Row],[I_0]]+1/Lf*Table16[[#This Row],[Vin]]*Table16[[#This Row],[t1_Ph_II]],Table16[[#This Row],[I_0]]+(Table16[[#This Row],[Vin]]-Vout)/L*Table16[[#This Row],[t1_Ph_II]])</f>
        <v>10.168020219956757</v>
      </c>
      <c r="R87" s="292">
        <f>CHOOSE(Table16[[#This Row],[Mode Digit]],0,0,Table16[[#This Row],[I_1]]+Table16[[#This Row],[Vin]]/L*Table16[[#This Row],[t2_Ph_I]])</f>
        <v>14.107744697644971</v>
      </c>
      <c r="S87" s="292">
        <f>Fsw*(Table16[[#This Row],[I_0]]*Table16[[#This Row],[t1_Ph_II]]+Table16[[#This Row],[I_1]]*Table16[[#This Row],[t2_Ph_I]]+Table16[[#This Row],[I_2]]*Table16[[#This Row],[t3_Ph_III]])</f>
        <v>10.259021322220015</v>
      </c>
      <c r="T87" s="345">
        <f>MIN(1,CHOOSE(Table16[[#This Row],[Mode Digit]],(Vout+(Rdson2+Rs+Rdcr)*Table16[[#This Row],[Iout]])/(Table16[[#This Row],[Vin]]+(Rs+Rdson2-Rdson1)*Table16[[#This Row],[Iout]]),1,Fsw*Table16[[#This Row],[t2_Ph_I]]+Table16[[#This Row],[t1_Ph_II]]))</f>
        <v>0.15946018728348313</v>
      </c>
      <c r="U87" s="345">
        <f>MIN(1,CHOOSE(Table16[[#This Row],[Mode Digit]],0,(Vout+(Rdson3+Rdcr)*Table16[[#This Row],[Iin]]-Table16[[#This Row],[Vin]])/(Vout+(Rdson3-Rdson4-Rs)*Table16[[#This Row],[Iin]]),Fsw*Table16[[#This Row],[t1_Ph_II]]+Table16[[#This Row],[t3_Ph_III]]))</f>
        <v>0.60035328837207169</v>
      </c>
      <c r="V87" s="292">
        <f>MAX(Table16[[#This Row],[I_0]:[I_2]])-MIN(Table16[[#This Row],[I_0]:[I_1]])</f>
        <v>5.3643469850879395</v>
      </c>
      <c r="W87"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10.459896053927467</v>
      </c>
      <c r="X87" s="345">
        <f>(Table16[[#This Row],[Irms Lf]]^2*Rdcr*(1+Ltc*Ta-Ltc*25))/(1-Table16[[#This Row],[Irms Lf]]^2*Rdcr*Ltc*ThetaCa)</f>
        <v>0.36019890521803444</v>
      </c>
      <c r="Y87" s="345">
        <f>ABS(7.759*10^-3*Fsw^0.9458*(0.00787*Table16[[#This Row],[Ripple Current pk-pk]])^2.304)</f>
        <v>1.0454608986605305</v>
      </c>
      <c r="Z87" s="345">
        <f>Table16[[#This Row],[DCR    Loss]]+Table16[[#This Row],[Core Loss]]</f>
        <v>1.405659803878565</v>
      </c>
      <c r="AA87" s="292">
        <f>IF(Table16[[#This Row],[Vin]]&gt;Vout, Table16[[#This Row],[Ripple Current pk-pk]]/SQRT(12), SQRT(Table16[[#This Row],[Duty Cycle BOOST Leg]]/(1-Table16[[#This Row],[Duty Cycle BOOST Leg]]))*SQRT(Table16[[#This Row],[Iout]]^2+(Table16[[#This Row],[Ripple Current pk-pk]]^2)/12))</f>
        <v>1.5485535879335397</v>
      </c>
      <c r="AB87" s="345">
        <f>RCoutEsr*Table16[[#This Row],[Irms Cout]]^2</f>
        <v>4.7960364294036776E-3</v>
      </c>
      <c r="AC87" s="345">
        <f>Table16[[#This Row],[Cout ESR Loss]]</f>
        <v>4.7960364294036776E-3</v>
      </c>
      <c r="AD87" s="345">
        <f>IF(Table16[[#This Row],[Vin]]&gt;Vout, SQRT(Table16[[#This Row],[Duty Cycle BUCK Leg]]*(1-Table16[[#This Row],[Duty Cycle BUCK Leg]]))*SQRT(Table16[[#This Row],[Iout]]^2+(Table16[[#This Row],[Ripple Current pk-pk]]^2)/12), Table16[[#This Row],[Ripple Current pk-pk]]/SQRT(12))</f>
        <v>2.9832032119023615</v>
      </c>
      <c r="AE87" s="345">
        <f>RCinEsr*Table16[[#This Row],[Irms Cin]]^2</f>
        <v>1.7799002807009131E-2</v>
      </c>
      <c r="AF87" s="683">
        <f>Table16[[#This Row],[Cin ESR Loss]]</f>
        <v>1.7799002807009131E-2</v>
      </c>
      <c r="AG87"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8.80217819045175</v>
      </c>
      <c r="AH87" s="345">
        <f>Rdson1*Table16[[#This Row],[Irms BuCtrl]]^2</f>
        <v>0.27117419313762559</v>
      </c>
      <c r="AI87" s="345">
        <f>CHOOSE(Table16[[#This Row],[Mode Digit]], (Table16[[#This Row],[Vin]]*Table16[[#This Row],[Iout]]/2)*(Fsw)*(Tr_buck+Tf_buck), 0, (Table16[[#This Row],[Vin]]*Table16[[#This Row],[Avg IL]]/2)*(Fsw/1)*(Tr_buck+Tf_buck))</f>
        <v>0.6795823254354828</v>
      </c>
      <c r="AJ87" s="253">
        <f>IF(Table16[[#This Row],[Vin]]&gt;Vout, IF(Table16[[#This Row],[Iout]]&gt;Table16[[#This Row],[Ripple Current pk-pk]]/2,0,ABS(Table16[[#This Row],[Iout]]-Table16[[#This Row],[Ripple Current pk-pk]]/2)*Vsd_Q1*Deadtime*Fsw),0)</f>
        <v>0</v>
      </c>
      <c r="AK87" s="345">
        <f>(Table16[[#This Row],[Dead Time Loss BuCtrl]]+Table16[[#This Row],[Transition Loss BuCtrl]]+Table16[[#This Row],[RDS(on) Loss BuCtrl]]*(1+RdsonTopTc*Ta-RdsonTopTc*25))/(1-Table16[[#This Row],[RDS(on) Loss BuCtrl]]*RdsonTopTc*ThetaJA_Q1)</f>
        <v>1.0228745882736945</v>
      </c>
      <c r="AL87" s="345">
        <f>CHOOSE(Table16[[#This Row],[Mode Digit]],SQRT((Fsw*(Table16[[#This Row],[t2_Ph_I]]+0))*((Table16[[#This Row],[I_0]]*Table16[[#This Row],[I_1]]+((Table16[[#This Row],[I_0]]-Table16[[#This Row],[I_1]])^2)/3))),0,SQRT((Fsw*(Table16[[#This Row],[t3_Ph_III]]+0))*((Table16[[#This Row],[I_0]]*Table16[[#This Row],[I_2]]+((Table16[[#This Row],[I_0]]-Table16[[#This Row],[I_2]])^2)/3))))</f>
        <v>5.6507596447294519</v>
      </c>
      <c r="AM87" s="345">
        <f>Rdson2*Table16[[#This Row],[Irms BuSync]]^2</f>
        <v>0.11175879596876022</v>
      </c>
      <c r="AN87"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87" s="345">
        <f>(Table16[[#This Row],[Deadtime Loss BuSync]]+Table16[[#This Row],[RDS(on) Loss BuSync]]*(1+RdsonBotTc*Ta-RdsonBotTc*25))/(1-Table16[[#This Row],[RDS(on) Loss BuSync]]*RdsonBotTc*ThetaJA_Q2)</f>
        <v>0.36104992731057822</v>
      </c>
      <c r="AP87" s="345">
        <f>CHOOSE(Table16[[#This Row],[Mode Digit]],0,SQRT((Fsw*(Table16[[#This Row],[t1_Ph_II]]+0))*((Table16[[#This Row],[I_0]]*Table16[[#This Row],[I_1]]+((Table16[[#This Row],[I_0]]-Table16[[#This Row],[I_1]])^2)/3))),SQRT((Fsw*(Table16[[#This Row],[t2_Ph_I]]+0))*((Table16[[#This Row],[I_1]]*Table16[[#This Row],[I_2]]+((Table16[[#This Row],[I_1]]-Table16[[#This Row],[I_2]])^2)/3))))</f>
        <v>4.8681629843559628</v>
      </c>
      <c r="AQ87" s="345">
        <f>Rdson4*Table16[[#This Row],[Irms BoCtlr]]^2</f>
        <v>8.2946537947887436E-2</v>
      </c>
      <c r="AR87" s="345">
        <f>CHOOSE(Table16[[#This Row],[Mode Digit]], 0, (Vout*Table16[[#This Row],[Iin]]/2)*(Fsw)*(Tr_boost+Tf_boost), (Vout*Iout/2)*(Fsw/1)*(Tr_boost+Tf_boost))</f>
        <v>0.47564320886662292</v>
      </c>
      <c r="AS87" s="253">
        <f>IF(Table16[[#This Row],[Vin]]&gt;Vout, 0, IF(Table16[[#This Row],[Iin]]&gt;Table16[[#This Row],[Ripple Current pk-pk]]/2,0,ABS(Table16[[#This Row],[Iin]]-Table16[[#This Row],[Ripple Current pk-pk]]/2)*Vsd_Q4*Deadtime*Fsw))</f>
        <v>0</v>
      </c>
      <c r="AT87" s="345">
        <f>(Table16[[#This Row],[Dead Time Loss BoCtlr]]+Table16[[#This Row],[Transition Loss BoCtlr]]+Table16[[#This Row],[RDS(on) Loss BoCtlr]]*(1+RdsonTopTc*Ta-RdsonTopTc*25))/(1-Table16[[#This Row],[RDS(on) Loss BoCtlr]]*RdsonTopTc*ThetaJA_Q4)</f>
        <v>0.57090187363527245</v>
      </c>
      <c r="AU87"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9.2579919322018114</v>
      </c>
      <c r="AV87" s="345">
        <f>Rdson3*Table16[[#This Row],[Irms BoSync]]^2</f>
        <v>0.29998645115849842</v>
      </c>
      <c r="AW87"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0.22722569134701154</v>
      </c>
      <c r="AX87" s="345">
        <f>(Table16[[#This Row],[Deadtime Loss BoSync]]+Table16[[#This Row],[RDS(on) Loss BoSync]]*(1+RdsonBotTc*Ta-RdsonBotTc*25))/(1-Table16[[#This Row],[RDS(on) Loss BoSync]]*RdsonBotTc*ThetaJA_Q3)</f>
        <v>0.5718114188569593</v>
      </c>
      <c r="AY87" s="345">
        <f>CHOOSE(Table16[[#This Row],[Mode Digit]], Rdson3*Table16[[#This Row],[Irms Lf]]^2, Rdson1*Table16[[#This Row],[Irms Lf]]^2, 0)</f>
        <v>0</v>
      </c>
      <c r="AZ87" s="345">
        <f>CHOOSE(Table16[[#This Row],[Mode Digit]], 2*Deadtime*Fsw*IF(VfdSky_Q2&gt;0,VfdSky_Q2,0)*Table16[[#This Row],[Iout]], 2*Deadtime*Fsw*IF(VfdSky_Q3&gt;0,VfdSky_Q3,0)*Table16[[#This Row],[Iin]], 2*Deadtime*Fsw*IF(VfdSky_Q2&gt;0,VfdSky_Q2,0)*Table16[[#This Row],[Iout]]+2*Deadtime*Fsw*IF(VfdSky_Q3&gt;0,VfdSky_Q3,0)*Table16[[#This Row],[Iin]])</f>
        <v>0</v>
      </c>
      <c r="BA87" s="345">
        <f>CHOOSE(Table16[[#This Row],[Mode Digit]], IF(QrrSky_Q2&gt;0,QrrSky_Q2,Qrr_Q2)*Fsw*(Table16[[#This Row],[Vin]]-Table16[[#This Row],[Iout]]*Rdson1),0,  IF(QrrSky_Q2&gt;0,QrrSky_Q2,Qrr_Q2)*Fsw*(Table16[[#This Row],[Vin]]-Table16[[#This Row],[Iout]]*Rdson1)+IF(QrrSky_Q3&gt;0,QrrSky_Q3,Qrr_Q3)*Fsw*Vout)</f>
        <v>0.67311352000000002</v>
      </c>
      <c r="BB87" s="345">
        <f>CHOOSE(Table16[[#This Row],[Mode Digit]],0, IF(QrrSky_Q3&gt;0,QrrSky_Q3,Qrr_Q3)*Fsw*Vout,  IF(QrrSky_Q2&gt;0,QrrSky_Q2,Qrr_Q2)*Fsw*(Table16[[#This Row],[Vin]]-Table16[[#This Row],[Iout]]*Rdson1)+IF(QrrSky_Q3&gt;0,QrrSky_Q3,Qrr_Q3)*Fsw*Vout)</f>
        <v>0.67311352000000002</v>
      </c>
      <c r="BC87" s="345">
        <f>CHOOSE(Table16[[#This Row],[Mode Digit]], Rs*Table16[[#This Row],[Irms BuSync]]^2, Rs*Table16[[#This Row],[Irms BoCtlr]]^2, Rs*(Table16[[#This Row],[Irms BuSync]]^2+Table16[[#This Row],[Irms BoCtlr]]^2))</f>
        <v>7.2319124026183415E-2</v>
      </c>
      <c r="BD87" s="345">
        <f t="shared" si="5"/>
        <v>0.64</v>
      </c>
      <c r="BE87" s="345">
        <f>IF(Vout&gt;8, Iq*Vout, Iq*Table16[[#This Row],[Vin]])</f>
        <v>4.8000000000000001E-2</v>
      </c>
      <c r="BF87" s="345">
        <f>CHOOSE(Table16[[#This Row],[Mode Digit]], (Qg_Q1+Qg_Q2)*Fsw, (Qg_Q3+Qg_Q4)*Fsw, (Qg_Q1+Qg_Q2+Qg_Q3+Qg_Q4)*Fsw)*IF(Vout&gt;8, Vout, Table16[[#This Row],[Vin]])</f>
        <v>1.7066240000000001</v>
      </c>
      <c r="BG87" s="345">
        <f t="shared" si="6"/>
        <v>0.50594479787234037</v>
      </c>
      <c r="BH87" s="345">
        <f>Table16[[#This Row],[IQ Loss]]+Table16[[#This Row],[Switching Current Loss]]</f>
        <v>1.7546240000000002</v>
      </c>
      <c r="BI87"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7.7680628152176654</v>
      </c>
      <c r="BJ87" s="253">
        <f>Vout*Table16[[#This Row],[Iout]]</f>
        <v>128</v>
      </c>
      <c r="BK87" s="684">
        <f>Table16[[#This Row],[Pout]]/(Table16[[#This Row],[Pout]]+Table16[[#This Row],[Total Loss]])</f>
        <v>0.94278431426255149</v>
      </c>
      <c r="BL87"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110.23922703779014</v>
      </c>
      <c r="BM87" s="685">
        <f>IF(Table16[[#This Row],[Vin]]&gt;Vout, Table16[[#This Row],[Total Sync Bu MOSFET Loss]]*ThetaJA_Q2, ThetaJA_Q3*Table16[[#This Row],[Total Sync Bo MOSFET Loss]])</f>
        <v>23.468245275187584</v>
      </c>
      <c r="BN87" s="640"/>
      <c r="BO87" s="292">
        <f>Table16[[#This Row],[EFF, h]]*100</f>
        <v>94.278431426255153</v>
      </c>
      <c r="BP87" s="345">
        <f>Table16[[#This Row],[Total Inductor Loss]]</f>
        <v>1.405659803878565</v>
      </c>
      <c r="BQ87" s="345">
        <f>Table16[[#This Row],[Total Control Bu MOSFET Loss]]+Table16[[#This Row],[Total Sync Bu MOSFET Loss]]+Table16[[#This Row],[Total Control Bo MOSFET Loss]]+Table16[[#This Row],[Total Sync Bo MOSFET Loss]]+Table16[[#This Row],[Reverse Recovery Loss MOSFET D BUCK]]+Table16[[#This Row],[Reverse Recovery Loss MOSFET D BOOST]]</f>
        <v>3.8728648480765049</v>
      </c>
      <c r="BR87" s="345">
        <f>Table16[[#This Row],[Total Control Bu MOSFET Loss]]+Table16[[#This Row],[Reverse Recovery Loss MOSFET D BUCK]]*0.66</f>
        <v>1.4671295114736944</v>
      </c>
      <c r="BS87" s="345">
        <f>Table16[[#This Row],[Total Sync Bu MOSFET Loss]]+Table16[[#This Row],[Reverse Recovery Loss MOSFET D BUCK]]*0.33</f>
        <v>0.58317738891057824</v>
      </c>
      <c r="BT87" s="345">
        <f xml:space="preserve"> Table16[[#This Row],[Total Control Bo MOSFET Loss]]+Table16[[#This Row],[Reverse Recovery Loss MOSFET D BOOST]]*0.66</f>
        <v>1.0151567968352726</v>
      </c>
      <c r="BU87" s="345">
        <f xml:space="preserve"> Table16[[#This Row],[Total Sync Bo MOSFET Loss]]+Table16[[#This Row],[Reverse Recovery Loss MOSFET D BOOST]]*0.33</f>
        <v>0.79393888045695937</v>
      </c>
      <c r="BV87" s="345">
        <f>Table16[[#This Row],[Isense Shunt Loss]]</f>
        <v>7.2319124026183415E-2</v>
      </c>
      <c r="CB87" s="686"/>
      <c r="CC87" s="686"/>
    </row>
    <row r="88" spans="1:81" x14ac:dyDescent="0.2">
      <c r="G88" s="253">
        <v>79</v>
      </c>
      <c r="H88" s="286">
        <f>VIN_min+(VIN_max-VIN_min)*(Table16[[#This Row],[Step]]/200)</f>
        <v>17.850000000000001</v>
      </c>
      <c r="I88" s="292" t="str">
        <f>IF(Mode = 2,IF(Table16[[#This Row],[Vin]]&gt;Vout, "BUCK","BOOST"),IF(Table16[[#This Row],[Vin]]&gt;VIN_BB_to_buck, "BUCK", IF(Table16[[#This Row],[Vin]]&lt;=VIN_boost_to_BB,"BOOST","BUCK-BST")))</f>
        <v>BUCK-BST</v>
      </c>
      <c r="J88" s="253">
        <f>IF(Table16[[#This Row],[Mode]]="BOOST",2, IF(Table16[[#This Row],[Mode]]="BUCK", 1,3))</f>
        <v>3</v>
      </c>
      <c r="K88" s="253">
        <f t="shared" si="4"/>
        <v>8</v>
      </c>
      <c r="L88" s="292">
        <f>Vout*Table16[[#This Row],[Iout]]/(Table16[[#This Row],[Vin]]*Efficiency)</f>
        <v>7.5482824708830902</v>
      </c>
      <c r="M88" s="682">
        <f>MIN(1/Fsw,CHOOSE(Table16[[#This Row],[Mode Digit]],(Vout+(Rdson2+Rs+Rdcr)*Table16[[#This Row],[Iout]])/(Table16[[#This Row],[Vin]]+(Rs+Rdson2-Rdson1)*Table16[[#This Row],[Iout]])/Fsw,(Vout+(Rdson3+Rdcr)*Table16[[#This Row],[Iin]]-Table16[[#This Row],[Vin]])/(Vout+(Rdson3-Rdson4-Rs)*Table16[[#This Row],[Iin]])/Fsw,t1_Ph_II))</f>
        <v>1.5084238313644118E-6</v>
      </c>
      <c r="N88" s="518">
        <f>CHOOSE(Table16[[#This Row],[Mode Digit]],1/Fsw-Table16[[#This Row],[t1_Ph_II]],1/Fsw-Table16[[#This Row],[t1_Ph_II]],(Vout/Fsw-Table16[[#This Row],[Vin]]*t1_Ph_II)/(Table16[[#This Row],[Vin]]+Vout))</f>
        <v>3.9219024033296536E-7</v>
      </c>
      <c r="O88" s="518">
        <f>1/Fsw-(Table16[[#This Row],[t1_Ph_II]]+Table16[[#This Row],[t2_Ph_I]])</f>
        <v>6.1194874237297488E-7</v>
      </c>
      <c r="P88"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8.6422497386357637</v>
      </c>
      <c r="Q88" s="292">
        <f>CHOOSE(Table16[[#This Row],[Mode Digit]],Table16[[#This Row],[I_0]]+1/Lf*(Table16[[#This Row],[Vin]]-Vout)*Table16[[#This Row],[t1_Ph_II]],Table16[[#This Row],[I_0]]+1/Lf*Table16[[#This Row],[Vin]]*Table16[[#This Row],[t1_Ph_II]],Table16[[#This Row],[I_0]]+(Table16[[#This Row],[Vin]]-Vout)/L*Table16[[#This Row],[t1_Ph_II]])</f>
        <v>10.192574231982521</v>
      </c>
      <c r="R88" s="292">
        <f>CHOOSE(Table16[[#This Row],[Mode Digit]],0,0,Table16[[#This Row],[I_1]]+Table16[[#This Row],[Vin]]/L*Table16[[#This Row],[t2_Ph_I]])</f>
        <v>14.081794115284428</v>
      </c>
      <c r="S88" s="292">
        <f>Fsw*(Table16[[#This Row],[I_0]]*Table16[[#This Row],[t1_Ph_II]]+Table16[[#This Row],[I_1]]*Table16[[#This Row],[t2_Ph_I]]+Table16[[#This Row],[I_2]]*Table16[[#This Row],[t3_Ph_III]])</f>
        <v>10.209074040088494</v>
      </c>
      <c r="T88" s="345">
        <f>MIN(1,CHOOSE(Table16[[#This Row],[Mode Digit]],(Vout+(Rdson2+Rs+Rdcr)*Table16[[#This Row],[Iout]])/(Table16[[#This Row],[Vin]]+(Rs+Rdson2-Rdson1)*Table16[[#This Row],[Iout]]),1,Fsw*Table16[[#This Row],[t2_Ph_I]]+Table16[[#This Row],[t1_Ph_II]]))</f>
        <v>0.15609322407635159</v>
      </c>
      <c r="U88" s="345">
        <f>MIN(1,CHOOSE(Table16[[#This Row],[Mode Digit]],0,(Vout+(Rdson3+Rdcr)*Table16[[#This Row],[Iin]]-Table16[[#This Row],[Vin]])/(Vout+(Rdson3-Rdson4-Rs)*Table16[[#This Row],[Iin]]),Fsw*Table16[[#This Row],[t1_Ph_II]]+Table16[[#This Row],[t3_Ph_III]]))</f>
        <v>0.60035329683177818</v>
      </c>
      <c r="V88" s="292">
        <f>MAX(Table16[[#This Row],[I_0]:[I_2]])-MIN(Table16[[#This Row],[I_0]:[I_1]])</f>
        <v>5.439544376648664</v>
      </c>
      <c r="W88"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10.421008307441934</v>
      </c>
      <c r="X88" s="345">
        <f>(Table16[[#This Row],[Irms Lf]]^2*Rdcr*(1+Ltc*Ta-Ltc*25))/(1-Table16[[#This Row],[Irms Lf]]^2*Rdcr*Ltc*ThetaCa)</f>
        <v>0.35744914683687817</v>
      </c>
      <c r="Y88" s="345">
        <f>ABS(7.759*10^-3*Fsw^0.9458*(0.00787*Table16[[#This Row],[Ripple Current pk-pk]])^2.304)</f>
        <v>1.0795356788705996</v>
      </c>
      <c r="Z88" s="345">
        <f>Table16[[#This Row],[DCR    Loss]]+Table16[[#This Row],[Core Loss]]</f>
        <v>1.4369848257074778</v>
      </c>
      <c r="AA88" s="292">
        <f>IF(Table16[[#This Row],[Vin]]&gt;Vout, Table16[[#This Row],[Ripple Current pk-pk]]/SQRT(12), SQRT(Table16[[#This Row],[Duty Cycle BOOST Leg]]/(1-Table16[[#This Row],[Duty Cycle BOOST Leg]]))*SQRT(Table16[[#This Row],[Iout]]^2+(Table16[[#This Row],[Ripple Current pk-pk]]^2)/12))</f>
        <v>1.5702612050635107</v>
      </c>
      <c r="AB88" s="345">
        <f>RCoutEsr*Table16[[#This Row],[Irms Cout]]^2</f>
        <v>4.9314405042550176E-3</v>
      </c>
      <c r="AC88" s="345">
        <f>Table16[[#This Row],[Cout ESR Loss]]</f>
        <v>4.9314405042550176E-3</v>
      </c>
      <c r="AD88" s="345">
        <f>IF(Table16[[#This Row],[Vin]]&gt;Vout, SQRT(Table16[[#This Row],[Duty Cycle BUCK Leg]]*(1-Table16[[#This Row],[Duty Cycle BUCK Leg]]))*SQRT(Table16[[#This Row],[Iout]]^2+(Table16[[#This Row],[Ripple Current pk-pk]]^2)/12), Table16[[#This Row],[Ripple Current pk-pk]]/SQRT(12))</f>
        <v>2.9589533627520597</v>
      </c>
      <c r="AE88" s="345">
        <f>RCinEsr*Table16[[#This Row],[Irms Cin]]^2</f>
        <v>1.7510810005883441E-2</v>
      </c>
      <c r="AF88" s="683">
        <f>Table16[[#This Row],[Cin ESR Loss]]</f>
        <v>1.7510810005883441E-2</v>
      </c>
      <c r="AG88"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8.749567531267429</v>
      </c>
      <c r="AH88" s="345">
        <f>Rdson1*Table16[[#This Row],[Irms BuCtrl]]^2</f>
        <v>0.26794226194473225</v>
      </c>
      <c r="AI88" s="345">
        <f>CHOOSE(Table16[[#This Row],[Mode Digit]], (Table16[[#This Row],[Vin]]*Table16[[#This Row],[Iout]]/2)*(Fsw)*(Tr_buck+Tf_buck), 0, (Table16[[#This Row],[Vin]]*Table16[[#This Row],[Avg IL]]/2)*(Fsw/1)*(Tr_buck+Tf_buck))</f>
        <v>0.68200482997890766</v>
      </c>
      <c r="AJ88" s="253">
        <f>IF(Table16[[#This Row],[Vin]]&gt;Vout, IF(Table16[[#This Row],[Iout]]&gt;Table16[[#This Row],[Ripple Current pk-pk]]/2,0,ABS(Table16[[#This Row],[Iout]]-Table16[[#This Row],[Ripple Current pk-pk]]/2)*Vsd_Q1*Deadtime*Fsw),0)</f>
        <v>0</v>
      </c>
      <c r="AK88" s="345">
        <f>(Table16[[#This Row],[Dead Time Loss BuCtrl]]+Table16[[#This Row],[Transition Loss BuCtrl]]+Table16[[#This Row],[RDS(on) Loss BuCtrl]]*(1+RdsonTopTc*Ta-RdsonTopTc*25))/(1-Table16[[#This Row],[RDS(on) Loss BuCtrl]]*RdsonTopTc*ThetaJA_Q1)</f>
        <v>1.0210806642537678</v>
      </c>
      <c r="AL88" s="345">
        <f>CHOOSE(Table16[[#This Row],[Mode Digit]],SQRT((Fsw*(Table16[[#This Row],[t2_Ph_I]]+0))*((Table16[[#This Row],[I_0]]*Table16[[#This Row],[I_1]]+((Table16[[#This Row],[I_0]]-Table16[[#This Row],[I_1]])^2)/3))),0,SQRT((Fsw*(Table16[[#This Row],[t3_Ph_III]]+0))*((Table16[[#This Row],[I_0]]*Table16[[#This Row],[I_2]]+((Table16[[#This Row],[I_0]]-Table16[[#This Row],[I_2]])^2)/3))))</f>
        <v>5.6606079319773235</v>
      </c>
      <c r="AM88" s="345">
        <f>Rdson2*Table16[[#This Row],[Irms BuSync]]^2</f>
        <v>0.11214868755847608</v>
      </c>
      <c r="AN88"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88" s="345">
        <f>(Table16[[#This Row],[Deadtime Loss BuSync]]+Table16[[#This Row],[RDS(on) Loss BuSync]]*(1+RdsonBotTc*Ta-RdsonBotTc*25))/(1-Table16[[#This Row],[RDS(on) Loss BuSync]]*RdsonBotTc*ThetaJA_Q2)</f>
        <v>0.36148922862319655</v>
      </c>
      <c r="AP88" s="345">
        <f>CHOOSE(Table16[[#This Row],[Mode Digit]],0,SQRT((Fsw*(Table16[[#This Row],[t1_Ph_II]]+0))*((Table16[[#This Row],[I_0]]*Table16[[#This Row],[I_1]]+((Table16[[#This Row],[I_0]]-Table16[[#This Row],[I_1]])^2)/3))),SQRT((Fsw*(Table16[[#This Row],[t2_Ph_I]]+0))*((Table16[[#This Row],[I_1]]*Table16[[#This Row],[I_2]]+((Table16[[#This Row],[I_1]]-Table16[[#This Row],[I_2]])^2)/3))))</f>
        <v>4.8156845981532461</v>
      </c>
      <c r="AQ88" s="345">
        <f>Rdson4*Table16[[#This Row],[Irms BoCtlr]]^2</f>
        <v>8.1167863521116365E-2</v>
      </c>
      <c r="AR88" s="345">
        <f>CHOOSE(Table16[[#This Row],[Mode Digit]], 0, (Vout*Table16[[#This Row],[Iin]]/2)*(Fsw)*(Tr_boost+Tf_boost), (Vout*Iout/2)*(Fsw/1)*(Tr_boost+Tf_boost))</f>
        <v>0.47564320886662292</v>
      </c>
      <c r="AS88" s="253">
        <f>IF(Table16[[#This Row],[Vin]]&gt;Vout, 0, IF(Table16[[#This Row],[Iin]]&gt;Table16[[#This Row],[Ripple Current pk-pk]]/2,0,ABS(Table16[[#This Row],[Iin]]-Table16[[#This Row],[Ripple Current pk-pk]]/2)*Vsd_Q4*Deadtime*Fsw))</f>
        <v>0</v>
      </c>
      <c r="AT88" s="345">
        <f>(Table16[[#This Row],[Dead Time Loss BoCtlr]]+Table16[[#This Row],[Transition Loss BoCtlr]]+Table16[[#This Row],[RDS(on) Loss BoCtlr]]*(1+RdsonTopTc*Ta-RdsonTopTc*25))/(1-Table16[[#This Row],[RDS(on) Loss BoCtlr]]*RdsonTopTc*ThetaJA_Q4)</f>
        <v>0.56881514500290775</v>
      </c>
      <c r="AU88"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9.2415689141445778</v>
      </c>
      <c r="AV88" s="345">
        <f>Rdson3*Table16[[#This Row],[Irms BoSync]]^2</f>
        <v>0.29892308598209189</v>
      </c>
      <c r="AW88"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0.22531623175586021</v>
      </c>
      <c r="AX88" s="345">
        <f>(Table16[[#This Row],[Deadtime Loss BoSync]]+Table16[[#This Row],[RDS(on) Loss BoSync]]*(1+RdsonBotTc*Ta-RdsonBotTc*25))/(1-Table16[[#This Row],[RDS(on) Loss BoSync]]*RdsonBotTc*ThetaJA_Q3)</f>
        <v>0.56841666205140395</v>
      </c>
      <c r="AY88" s="345">
        <f>CHOOSE(Table16[[#This Row],[Mode Digit]], Rdson3*Table16[[#This Row],[Irms Lf]]^2, Rdson1*Table16[[#This Row],[Irms Lf]]^2, 0)</f>
        <v>0</v>
      </c>
      <c r="AZ88" s="345">
        <f>CHOOSE(Table16[[#This Row],[Mode Digit]], 2*Deadtime*Fsw*IF(VfdSky_Q2&gt;0,VfdSky_Q2,0)*Table16[[#This Row],[Iout]], 2*Deadtime*Fsw*IF(VfdSky_Q3&gt;0,VfdSky_Q3,0)*Table16[[#This Row],[Iin]], 2*Deadtime*Fsw*IF(VfdSky_Q2&gt;0,VfdSky_Q2,0)*Table16[[#This Row],[Iout]]+2*Deadtime*Fsw*IF(VfdSky_Q3&gt;0,VfdSky_Q3,0)*Table16[[#This Row],[Iin]])</f>
        <v>0</v>
      </c>
      <c r="BA88" s="345">
        <f>CHOOSE(Table16[[#This Row],[Mode Digit]], IF(QrrSky_Q2&gt;0,QrrSky_Q2,Qrr_Q2)*Fsw*(Table16[[#This Row],[Vin]]-Table16[[#This Row],[Iout]]*Rdson1),0,  IF(QrrSky_Q2&gt;0,QrrSky_Q2,Qrr_Q2)*Fsw*(Table16[[#This Row],[Vin]]-Table16[[#This Row],[Iout]]*Rdson1)+IF(QrrSky_Q3&gt;0,QrrSky_Q3,Qrr_Q3)*Fsw*Vout)</f>
        <v>0.67580002000000006</v>
      </c>
      <c r="BB88" s="345">
        <f>CHOOSE(Table16[[#This Row],[Mode Digit]],0, IF(QrrSky_Q3&gt;0,QrrSky_Q3,Qrr_Q3)*Fsw*Vout,  IF(QrrSky_Q2&gt;0,QrrSky_Q2,Qrr_Q2)*Fsw*(Table16[[#This Row],[Vin]]-Table16[[#This Row],[Iout]]*Rdson1)+IF(QrrSky_Q3&gt;0,QrrSky_Q3,Qrr_Q3)*Fsw*Vout)</f>
        <v>0.67580002000000006</v>
      </c>
      <c r="BC88" s="345">
        <f>CHOOSE(Table16[[#This Row],[Mode Digit]], Rs*Table16[[#This Row],[Irms BuSync]]^2, Rs*Table16[[#This Row],[Irms BoCtlr]]^2, Rs*(Table16[[#This Row],[Irms BuSync]]^2+Table16[[#This Row],[Irms BoCtlr]]^2))</f>
        <v>7.1803290400991482E-2</v>
      </c>
      <c r="BD88" s="345">
        <f t="shared" si="5"/>
        <v>0.64</v>
      </c>
      <c r="BE88" s="345">
        <f>IF(Vout&gt;8, Iq*Vout, Iq*Table16[[#This Row],[Vin]])</f>
        <v>4.8000000000000001E-2</v>
      </c>
      <c r="BF88" s="345">
        <f>CHOOSE(Table16[[#This Row],[Mode Digit]], (Qg_Q1+Qg_Q2)*Fsw, (Qg_Q3+Qg_Q4)*Fsw, (Qg_Q1+Qg_Q2+Qg_Q3+Qg_Q4)*Fsw)*IF(Vout&gt;8, Vout, Table16[[#This Row],[Vin]])</f>
        <v>1.7066240000000001</v>
      </c>
      <c r="BG88" s="345">
        <f t="shared" si="6"/>
        <v>0.50594479787234037</v>
      </c>
      <c r="BH88" s="345">
        <f>Table16[[#This Row],[IQ Loss]]+Table16[[#This Row],[Switching Current Loss]]</f>
        <v>1.7546240000000002</v>
      </c>
      <c r="BI88"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7.7972561065498835</v>
      </c>
      <c r="BJ88" s="253">
        <f>Vout*Table16[[#This Row],[Iout]]</f>
        <v>128</v>
      </c>
      <c r="BK88" s="684">
        <f>Table16[[#This Row],[Pout]]/(Table16[[#This Row],[Pout]]+Table16[[#This Row],[Total Loss]])</f>
        <v>0.94258163728704525</v>
      </c>
      <c r="BL88"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110.29724447649491</v>
      </c>
      <c r="BM88" s="685">
        <f>IF(Table16[[#This Row],[Vin]]&gt;Vout, Table16[[#This Row],[Total Sync Bu MOSFET Loss]]*ThetaJA_Q2, ThetaJA_Q3*Table16[[#This Row],[Total Sync Bo MOSFET Loss]])</f>
        <v>23.496799860507775</v>
      </c>
      <c r="BN88" s="640"/>
      <c r="BO88" s="292">
        <f>Table16[[#This Row],[EFF, h]]*100</f>
        <v>94.258163728704531</v>
      </c>
      <c r="BP88" s="345">
        <f>Table16[[#This Row],[Total Inductor Loss]]</f>
        <v>1.4369848257074778</v>
      </c>
      <c r="BQ88" s="345">
        <f>Table16[[#This Row],[Total Control Bu MOSFET Loss]]+Table16[[#This Row],[Total Sync Bu MOSFET Loss]]+Table16[[#This Row],[Total Control Bo MOSFET Loss]]+Table16[[#This Row],[Total Sync Bo MOSFET Loss]]+Table16[[#This Row],[Reverse Recovery Loss MOSFET D BUCK]]+Table16[[#This Row],[Reverse Recovery Loss MOSFET D BOOST]]</f>
        <v>3.8714017399312759</v>
      </c>
      <c r="BR88" s="345">
        <f>Table16[[#This Row],[Total Control Bu MOSFET Loss]]+Table16[[#This Row],[Reverse Recovery Loss MOSFET D BUCK]]*0.66</f>
        <v>1.4671086774537678</v>
      </c>
      <c r="BS88" s="345">
        <f>Table16[[#This Row],[Total Sync Bu MOSFET Loss]]+Table16[[#This Row],[Reverse Recovery Loss MOSFET D BUCK]]*0.33</f>
        <v>0.58450323522319658</v>
      </c>
      <c r="BT88" s="345">
        <f xml:space="preserve"> Table16[[#This Row],[Total Control Bo MOSFET Loss]]+Table16[[#This Row],[Reverse Recovery Loss MOSFET D BOOST]]*0.66</f>
        <v>1.0148431582029078</v>
      </c>
      <c r="BU88" s="345">
        <f xml:space="preserve"> Table16[[#This Row],[Total Sync Bo MOSFET Loss]]+Table16[[#This Row],[Reverse Recovery Loss MOSFET D BOOST]]*0.33</f>
        <v>0.79143066865140399</v>
      </c>
      <c r="BV88" s="345">
        <f>Table16[[#This Row],[Isense Shunt Loss]]</f>
        <v>7.1803290400991482E-2</v>
      </c>
      <c r="CB88" s="686"/>
      <c r="CC88" s="686"/>
    </row>
    <row r="89" spans="1:81" x14ac:dyDescent="0.2">
      <c r="G89" s="253">
        <v>80</v>
      </c>
      <c r="H89" s="286">
        <f>VIN_min+(VIN_max-VIN_min)*(Table16[[#This Row],[Step]]/200)</f>
        <v>18</v>
      </c>
      <c r="I89" s="292" t="str">
        <f>IF(Mode = 2,IF(Table16[[#This Row],[Vin]]&gt;Vout, "BUCK","BOOST"),IF(Table16[[#This Row],[Vin]]&gt;VIN_BB_to_buck, "BUCK", IF(Table16[[#This Row],[Vin]]&lt;=VIN_boost_to_BB,"BOOST","BUCK-BST")))</f>
        <v>BUCK-BST</v>
      </c>
      <c r="J89" s="253">
        <f>IF(Table16[[#This Row],[Mode]]="BOOST",2, IF(Table16[[#This Row],[Mode]]="BUCK", 1,3))</f>
        <v>3</v>
      </c>
      <c r="K89" s="253">
        <f t="shared" si="4"/>
        <v>8</v>
      </c>
      <c r="L89" s="292">
        <f>Vout*Table16[[#This Row],[Iout]]/(Table16[[#This Row],[Vin]]*Efficiency)</f>
        <v>7.4853801169590657</v>
      </c>
      <c r="M89" s="682">
        <f>MIN(1/Fsw,CHOOSE(Table16[[#This Row],[Mode Digit]],(Vout+(Rdson2+Rs+Rdcr)*Table16[[#This Row],[Iout]])/(Table16[[#This Row],[Vin]]+(Rs+Rdson2-Rdson1)*Table16[[#This Row],[Iout]])/Fsw,(Vout+(Rdson3+Rdcr)*Table16[[#This Row],[Iin]]-Table16[[#This Row],[Vin]])/(Vout+(Rdson3-Rdson4-Rs)*Table16[[#This Row],[Iin]])/Fsw,t1_Ph_II))</f>
        <v>1.5084238313644118E-6</v>
      </c>
      <c r="N89" s="518">
        <f>CHOOSE(Table16[[#This Row],[Mode Digit]],1/Fsw-Table16[[#This Row],[t1_Ph_II]],1/Fsw-Table16[[#This Row],[t1_Ph_II]],(Vout/Fsw-Table16[[#This Row],[Vin]]*t1_Ph_II)/(Table16[[#This Row],[Vin]]+Vout))</f>
        <v>3.8380517825194759E-7</v>
      </c>
      <c r="O89" s="518">
        <f>1/Fsw-(Table16[[#This Row],[t1_Ph_II]]+Table16[[#This Row],[t2_Ph_I]])</f>
        <v>6.2033380445399254E-7</v>
      </c>
      <c r="P89"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8.5420997095601923</v>
      </c>
      <c r="Q89" s="292">
        <f>CHOOSE(Table16[[#This Row],[Mode Digit]],Table16[[#This Row],[I_0]]+1/Lf*(Table16[[#This Row],[Vin]]-Vout)*Table16[[#This Row],[t1_Ph_II]],Table16[[#This Row],[I_0]]+1/Lf*Table16[[#This Row],[Vin]]*Table16[[#This Row],[t1_Ph_II]],Table16[[#This Row],[I_0]]+(Table16[[#This Row],[Vin]]-Vout)/L*Table16[[#This Row],[t1_Ph_II]])</f>
        <v>10.218126188853983</v>
      </c>
      <c r="R89" s="292">
        <f>CHOOSE(Table16[[#This Row],[Mode Digit]],0,0,Table16[[#This Row],[I_1]]+Table16[[#This Row],[Vin]]/L*Table16[[#This Row],[t2_Ph_I]])</f>
        <v>14.056177971373458</v>
      </c>
      <c r="S89" s="292">
        <f>Fsw*(Table16[[#This Row],[I_0]]*Table16[[#This Row],[t1_Ph_II]]+Table16[[#This Row],[I_1]]*Table16[[#This Row],[t2_Ph_I]]+Table16[[#This Row],[I_2]]*Table16[[#This Row],[t3_Ph_III]])</f>
        <v>10.159506751123704</v>
      </c>
      <c r="T89" s="345">
        <f>MIN(1,CHOOSE(Table16[[#This Row],[Mode Digit]],(Vout+(Rdson2+Rs+Rdcr)*Table16[[#This Row],[Iout]])/(Table16[[#This Row],[Vin]]+(Rs+Rdson2-Rdson1)*Table16[[#This Row],[Iout]]),1,Fsw*Table16[[#This Row],[t2_Ph_I]]+Table16[[#This Row],[t1_Ph_II]]))</f>
        <v>0.15275596936810651</v>
      </c>
      <c r="U89" s="345">
        <f>MIN(1,CHOOSE(Table16[[#This Row],[Mode Digit]],0,(Vout+(Rdson3+Rdcr)*Table16[[#This Row],[Iin]]-Table16[[#This Row],[Vin]])/(Vout+(Rdson3-Rdson4-Rs)*Table16[[#This Row],[Iin]]),Fsw*Table16[[#This Row],[t1_Ph_II]]+Table16[[#This Row],[t3_Ph_III]]))</f>
        <v>0.60035330521684027</v>
      </c>
      <c r="V89" s="292">
        <f>MAX(Table16[[#This Row],[I_0]:[I_2]])-MIN(Table16[[#This Row],[I_0]:[I_1]])</f>
        <v>5.5140782618132658</v>
      </c>
      <c r="W89"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10.382669819643162</v>
      </c>
      <c r="X89" s="345">
        <f>(Table16[[#This Row],[Irms Lf]]^2*Rdcr*(1+Ltc*Ta-Ltc*25))/(1-Table16[[#This Row],[Irms Lf]]^2*Rdcr*Ltc*ThetaCa)</f>
        <v>0.35474939722934118</v>
      </c>
      <c r="Y89" s="345">
        <f>ABS(7.759*10^-3*Fsw^0.9458*(0.00787*Table16[[#This Row],[Ripple Current pk-pk]])^2.304)</f>
        <v>1.1139214471586243</v>
      </c>
      <c r="Z89" s="345">
        <f>Table16[[#This Row],[DCR    Loss]]+Table16[[#This Row],[Core Loss]]</f>
        <v>1.4686708443879655</v>
      </c>
      <c r="AA89" s="292">
        <f>IF(Table16[[#This Row],[Vin]]&gt;Vout, Table16[[#This Row],[Ripple Current pk-pk]]/SQRT(12), SQRT(Table16[[#This Row],[Duty Cycle BOOST Leg]]/(1-Table16[[#This Row],[Duty Cycle BOOST Leg]]))*SQRT(Table16[[#This Row],[Iout]]^2+(Table16[[#This Row],[Ripple Current pk-pk]]^2)/12))</f>
        <v>1.5917772843952764</v>
      </c>
      <c r="AB89" s="345">
        <f>RCoutEsr*Table16[[#This Row],[Irms Cout]]^2</f>
        <v>5.0675098462336018E-3</v>
      </c>
      <c r="AC89" s="345">
        <f>Table16[[#This Row],[Cout ESR Loss]]</f>
        <v>5.0675098462336018E-3</v>
      </c>
      <c r="AD89" s="345">
        <f>IF(Table16[[#This Row],[Vin]]&gt;Vout, SQRT(Table16[[#This Row],[Duty Cycle BUCK Leg]]*(1-Table16[[#This Row],[Duty Cycle BUCK Leg]]))*SQRT(Table16[[#This Row],[Iout]]^2+(Table16[[#This Row],[Ripple Current pk-pk]]^2)/12), Table16[[#This Row],[Ripple Current pk-pk]]/SQRT(12))</f>
        <v>2.9344341699482044</v>
      </c>
      <c r="AE89" s="345">
        <f>RCinEsr*Table16[[#This Row],[Irms Cin]]^2</f>
        <v>1.7221807795519215E-2</v>
      </c>
      <c r="AF89" s="683">
        <f>Table16[[#This Row],[Cin ESR Loss]]</f>
        <v>1.7221807795519215E-2</v>
      </c>
      <c r="AG89"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8.6978918679202497</v>
      </c>
      <c r="AH89" s="345">
        <f>Rdson1*Table16[[#This Row],[Irms BuCtrl]]^2</f>
        <v>0.26478663031111627</v>
      </c>
      <c r="AI89" s="345">
        <f>CHOOSE(Table16[[#This Row],[Mode Digit]], (Table16[[#This Row],[Vin]]*Table16[[#This Row],[Iout]]/2)*(Fsw)*(Tr_buck+Tf_buck), 0, (Table16[[#This Row],[Vin]]*Table16[[#This Row],[Avg IL]]/2)*(Fsw/1)*(Tr_buck+Tf_buck))</f>
        <v>0.684396854376083</v>
      </c>
      <c r="AJ89" s="253">
        <f>IF(Table16[[#This Row],[Vin]]&gt;Vout, IF(Table16[[#This Row],[Iout]]&gt;Table16[[#This Row],[Ripple Current pk-pk]]/2,0,ABS(Table16[[#This Row],[Iout]]-Table16[[#This Row],[Ripple Current pk-pk]]/2)*Vsd_Q1*Deadtime*Fsw),0)</f>
        <v>0</v>
      </c>
      <c r="AK89" s="345">
        <f>(Table16[[#This Row],[Dead Time Loss BuCtrl]]+Table16[[#This Row],[Transition Loss BuCtrl]]+Table16[[#This Row],[RDS(on) Loss BuCtrl]]*(1+RdsonTopTc*Ta-RdsonTopTc*25))/(1-Table16[[#This Row],[RDS(on) Loss BuCtrl]]*RdsonTopTc*ThetaJA_Q1)</f>
        <v>1.0193609005482382</v>
      </c>
      <c r="AL89" s="345">
        <f>CHOOSE(Table16[[#This Row],[Mode Digit]],SQRT((Fsw*(Table16[[#This Row],[t2_Ph_I]]+0))*((Table16[[#This Row],[I_0]]*Table16[[#This Row],[I_1]]+((Table16[[#This Row],[I_0]]-Table16[[#This Row],[I_1]])^2)/3))),0,SQRT((Fsw*(Table16[[#This Row],[t3_Ph_III]]+0))*((Table16[[#This Row],[I_0]]*Table16[[#This Row],[I_2]]+((Table16[[#This Row],[I_0]]-Table16[[#This Row],[I_2]])^2)/3))))</f>
        <v>5.6697892057549879</v>
      </c>
      <c r="AM89" s="345">
        <f>Rdson2*Table16[[#This Row],[Irms BuSync]]^2</f>
        <v>0.11251278373193523</v>
      </c>
      <c r="AN89"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89" s="345">
        <f>(Table16[[#This Row],[Deadtime Loss BuSync]]+Table16[[#This Row],[RDS(on) Loss BuSync]]*(1+RdsonBotTc*Ta-RdsonBotTc*25))/(1-Table16[[#This Row],[RDS(on) Loss BuSync]]*RdsonBotTc*ThetaJA_Q2)</f>
        <v>0.36189954839341426</v>
      </c>
      <c r="AP89" s="345">
        <f>CHOOSE(Table16[[#This Row],[Mode Digit]],0,SQRT((Fsw*(Table16[[#This Row],[t1_Ph_II]]+0))*((Table16[[#This Row],[I_0]]*Table16[[#This Row],[I_1]]+((Table16[[#This Row],[I_0]]-Table16[[#This Row],[I_1]])^2)/3))),SQRT((Fsw*(Table16[[#This Row],[t2_Ph_I]]+0))*((Table16[[#This Row],[I_1]]*Table16[[#This Row],[I_2]]+((Table16[[#This Row],[I_1]]-Table16[[#This Row],[I_2]])^2)/3))))</f>
        <v>4.7633857989293311</v>
      </c>
      <c r="AQ89" s="345">
        <f>Rdson4*Table16[[#This Row],[Irms BoCtlr]]^2</f>
        <v>7.9414454943045679E-2</v>
      </c>
      <c r="AR89" s="345">
        <f>CHOOSE(Table16[[#This Row],[Mode Digit]], 0, (Vout*Table16[[#This Row],[Iin]]/2)*(Fsw)*(Tr_boost+Tf_boost), (Vout*Iout/2)*(Fsw/1)*(Tr_boost+Tf_boost))</f>
        <v>0.47564320886662292</v>
      </c>
      <c r="AS89" s="253">
        <f>IF(Table16[[#This Row],[Vin]]&gt;Vout, 0, IF(Table16[[#This Row],[Iin]]&gt;Table16[[#This Row],[Ripple Current pk-pk]]/2,0,ABS(Table16[[#This Row],[Iin]]-Table16[[#This Row],[Ripple Current pk-pk]]/2)*Vsd_Q4*Deadtime*Fsw))</f>
        <v>0</v>
      </c>
      <c r="AT89" s="345">
        <f>(Table16[[#This Row],[Dead Time Loss BoCtlr]]+Table16[[#This Row],[Transition Loss BoCtlr]]+Table16[[#This Row],[RDS(on) Loss BoCtlr]]*(1+RdsonTopTc*Ta-RdsonTopTc*25))/(1-Table16[[#This Row],[RDS(on) Loss BoCtlr]]*RdsonTopTc*ThetaJA_Q4)</f>
        <v>0.5667599870275315</v>
      </c>
      <c r="AU89"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9.2255074827506025</v>
      </c>
      <c r="AV89" s="345">
        <f>Rdson3*Table16[[#This Row],[Irms BoSync]]^2</f>
        <v>0.29788495910000579</v>
      </c>
      <c r="AW89"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0.22343859649122808</v>
      </c>
      <c r="AX89" s="345">
        <f>(Table16[[#This Row],[Deadtime Loss BoSync]]+Table16[[#This Row],[RDS(on) Loss BoSync]]*(1+RdsonBotTc*Ta-RdsonBotTc*25))/(1-Table16[[#This Row],[RDS(on) Loss BoSync]]*RdsonBotTc*ThetaJA_Q3)</f>
        <v>0.56508981203300734</v>
      </c>
      <c r="AY89" s="345">
        <f>CHOOSE(Table16[[#This Row],[Mode Digit]], Rdson3*Table16[[#This Row],[Irms Lf]]^2, Rdson1*Table16[[#This Row],[Irms Lf]]^2, 0)</f>
        <v>0</v>
      </c>
      <c r="AZ89" s="345">
        <f>CHOOSE(Table16[[#This Row],[Mode Digit]], 2*Deadtime*Fsw*IF(VfdSky_Q2&gt;0,VfdSky_Q2,0)*Table16[[#This Row],[Iout]], 2*Deadtime*Fsw*IF(VfdSky_Q3&gt;0,VfdSky_Q3,0)*Table16[[#This Row],[Iin]], 2*Deadtime*Fsw*IF(VfdSky_Q2&gt;0,VfdSky_Q2,0)*Table16[[#This Row],[Iout]]+2*Deadtime*Fsw*IF(VfdSky_Q3&gt;0,VfdSky_Q3,0)*Table16[[#This Row],[Iin]])</f>
        <v>0</v>
      </c>
      <c r="BA89" s="345">
        <f>CHOOSE(Table16[[#This Row],[Mode Digit]], IF(QrrSky_Q2&gt;0,QrrSky_Q2,Qrr_Q2)*Fsw*(Table16[[#This Row],[Vin]]-Table16[[#This Row],[Iout]]*Rdson1),0,  IF(QrrSky_Q2&gt;0,QrrSky_Q2,Qrr_Q2)*Fsw*(Table16[[#This Row],[Vin]]-Table16[[#This Row],[Iout]]*Rdson1)+IF(QrrSky_Q3&gt;0,QrrSky_Q3,Qrr_Q3)*Fsw*Vout)</f>
        <v>0.67848651999999998</v>
      </c>
      <c r="BB89" s="345">
        <f>CHOOSE(Table16[[#This Row],[Mode Digit]],0, IF(QrrSky_Q3&gt;0,QrrSky_Q3,Qrr_Q3)*Fsw*Vout,  IF(QrrSky_Q2&gt;0,QrrSky_Q2,Qrr_Q2)*Fsw*(Table16[[#This Row],[Vin]]-Table16[[#This Row],[Iout]]*Rdson1)+IF(QrrSky_Q3&gt;0,QrrSky_Q3,Qrr_Q3)*Fsw*Vout)</f>
        <v>0.67848651999999998</v>
      </c>
      <c r="BC89" s="345">
        <f>CHOOSE(Table16[[#This Row],[Mode Digit]], Rs*Table16[[#This Row],[Irms BuSync]]^2, Rs*Table16[[#This Row],[Irms BoCtlr]]^2, Rs*(Table16[[#This Row],[Irms BuSync]]^2+Table16[[#This Row],[Irms BoCtlr]]^2))</f>
        <v>7.1287260079278617E-2</v>
      </c>
      <c r="BD89" s="345">
        <f t="shared" si="5"/>
        <v>0.64</v>
      </c>
      <c r="BE89" s="345">
        <f>IF(Vout&gt;8, Iq*Vout, Iq*Table16[[#This Row],[Vin]])</f>
        <v>4.8000000000000001E-2</v>
      </c>
      <c r="BF89" s="345">
        <f>CHOOSE(Table16[[#This Row],[Mode Digit]], (Qg_Q1+Qg_Q2)*Fsw, (Qg_Q3+Qg_Q4)*Fsw, (Qg_Q1+Qg_Q2+Qg_Q3+Qg_Q4)*Fsw)*IF(Vout&gt;8, Vout, Table16[[#This Row],[Vin]])</f>
        <v>1.7066240000000001</v>
      </c>
      <c r="BG89" s="345">
        <f t="shared" si="6"/>
        <v>0.50594479787234037</v>
      </c>
      <c r="BH89" s="345">
        <f>Table16[[#This Row],[IQ Loss]]+Table16[[#This Row],[Switching Current Loss]]</f>
        <v>1.7546240000000002</v>
      </c>
      <c r="BI89"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7.8269547101111874</v>
      </c>
      <c r="BJ89" s="253">
        <f>Vout*Table16[[#This Row],[Iout]]</f>
        <v>128</v>
      </c>
      <c r="BK89" s="684">
        <f>Table16[[#This Row],[Pout]]/(Table16[[#This Row],[Pout]]+Table16[[#This Row],[Total Loss]])</f>
        <v>0.94237554153506664</v>
      </c>
      <c r="BL89"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110.3600823356355</v>
      </c>
      <c r="BM89" s="685">
        <f>IF(Table16[[#This Row],[Vin]]&gt;Vout, Table16[[#This Row],[Total Sync Bu MOSFET Loss]]*ThetaJA_Q2, ThetaJA_Q3*Table16[[#This Row],[Total Sync Bo MOSFET Loss]])</f>
        <v>23.523470645571926</v>
      </c>
      <c r="BN89" s="640"/>
      <c r="BO89" s="292">
        <f>Table16[[#This Row],[EFF, h]]*100</f>
        <v>94.237554153506665</v>
      </c>
      <c r="BP89" s="345">
        <f>Table16[[#This Row],[Total Inductor Loss]]</f>
        <v>1.4686708443879655</v>
      </c>
      <c r="BQ89" s="345">
        <f>Table16[[#This Row],[Total Control Bu MOSFET Loss]]+Table16[[#This Row],[Total Sync Bu MOSFET Loss]]+Table16[[#This Row],[Total Control Bo MOSFET Loss]]+Table16[[#This Row],[Total Sync Bo MOSFET Loss]]+Table16[[#This Row],[Reverse Recovery Loss MOSFET D BUCK]]+Table16[[#This Row],[Reverse Recovery Loss MOSFET D BOOST]]</f>
        <v>3.8700832880021911</v>
      </c>
      <c r="BR89" s="345">
        <f>Table16[[#This Row],[Total Control Bu MOSFET Loss]]+Table16[[#This Row],[Reverse Recovery Loss MOSFET D BUCK]]*0.66</f>
        <v>1.4671620037482382</v>
      </c>
      <c r="BS89" s="345">
        <f>Table16[[#This Row],[Total Sync Bu MOSFET Loss]]+Table16[[#This Row],[Reverse Recovery Loss MOSFET D BUCK]]*0.33</f>
        <v>0.58580009999341431</v>
      </c>
      <c r="BT89" s="345">
        <f xml:space="preserve"> Table16[[#This Row],[Total Control Bo MOSFET Loss]]+Table16[[#This Row],[Reverse Recovery Loss MOSFET D BOOST]]*0.66</f>
        <v>1.0145610902275315</v>
      </c>
      <c r="BU89" s="345">
        <f xml:space="preserve"> Table16[[#This Row],[Total Sync Bo MOSFET Loss]]+Table16[[#This Row],[Reverse Recovery Loss MOSFET D BOOST]]*0.33</f>
        <v>0.78899036363300734</v>
      </c>
      <c r="BV89" s="345">
        <f>Table16[[#This Row],[Isense Shunt Loss]]</f>
        <v>7.1287260079278617E-2</v>
      </c>
      <c r="CB89" s="686"/>
      <c r="CC89" s="686"/>
    </row>
    <row r="90" spans="1:81" x14ac:dyDescent="0.2">
      <c r="G90" s="253">
        <v>81</v>
      </c>
      <c r="H90" s="286">
        <f>VIN_min+(VIN_max-VIN_min)*(Table16[[#This Row],[Step]]/200)</f>
        <v>18.149999999999999</v>
      </c>
      <c r="I90" s="292" t="str">
        <f>IF(Mode = 2,IF(Table16[[#This Row],[Vin]]&gt;Vout, "BUCK","BOOST"),IF(Table16[[#This Row],[Vin]]&gt;VIN_BB_to_buck, "BUCK", IF(Table16[[#This Row],[Vin]]&lt;=VIN_boost_to_BB,"BOOST","BUCK-BST")))</f>
        <v>BUCK-BST</v>
      </c>
      <c r="J90" s="253">
        <f>IF(Table16[[#This Row],[Mode]]="BOOST",2, IF(Table16[[#This Row],[Mode]]="BUCK", 1,3))</f>
        <v>3</v>
      </c>
      <c r="K90" s="253">
        <f t="shared" si="4"/>
        <v>8</v>
      </c>
      <c r="L90" s="292">
        <f>Vout*Table16[[#This Row],[Iout]]/(Table16[[#This Row],[Vin]]*Efficiency)</f>
        <v>7.423517471364363</v>
      </c>
      <c r="M90" s="682">
        <f>MIN(1/Fsw,CHOOSE(Table16[[#This Row],[Mode Digit]],(Vout+(Rdson2+Rs+Rdcr)*Table16[[#This Row],[Iout]])/(Table16[[#This Row],[Vin]]+(Rs+Rdson2-Rdson1)*Table16[[#This Row],[Iout]])/Fsw,(Vout+(Rdson3+Rdcr)*Table16[[#This Row],[Iin]]-Table16[[#This Row],[Vin]])/(Vout+(Rdson3-Rdson4-Rs)*Table16[[#This Row],[Iin]])/Fsw,t1_Ph_II))</f>
        <v>1.5084238313644118E-6</v>
      </c>
      <c r="N90" s="518">
        <f>CHOOSE(Table16[[#This Row],[Mode Digit]],1/Fsw-Table16[[#This Row],[t1_Ph_II]],1/Fsw-Table16[[#This Row],[t1_Ph_II]],(Vout/Fsw-Table16[[#This Row],[Vin]]*t1_Ph_II)/(Table16[[#This Row],[Vin]]+Vout))</f>
        <v>3.7549377703840588E-7</v>
      </c>
      <c r="O90" s="518">
        <f>1/Fsw-(Table16[[#This Row],[t1_Ph_II]]+Table16[[#This Row],[t2_Ph_I]])</f>
        <v>6.2864520566753415E-7</v>
      </c>
      <c r="P90"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8.4429267366171867</v>
      </c>
      <c r="Q90" s="292">
        <f>CHOOSE(Table16[[#This Row],[Mode Digit]],Table16[[#This Row],[I_0]]+1/Lf*(Table16[[#This Row],[Vin]]-Vout)*Table16[[#This Row],[t1_Ph_II]],Table16[[#This Row],[I_0]]+1/Lf*Table16[[#This Row],[Vin]]*Table16[[#This Row],[t1_Ph_II]],Table16[[#This Row],[I_0]]+(Table16[[#This Row],[Vin]]-Vout)/L*Table16[[#This Row],[t1_Ph_II]])</f>
        <v>10.244655201858011</v>
      </c>
      <c r="R90" s="292">
        <f>CHOOSE(Table16[[#This Row],[Mode Digit]],0,0,Table16[[#This Row],[I_1]]+Table16[[#This Row],[Vin]]/L*Table16[[#This Row],[t2_Ph_I]])</f>
        <v>14.030884120328603</v>
      </c>
      <c r="S90" s="292">
        <f>Fsw*(Table16[[#This Row],[I_0]]*Table16[[#This Row],[t1_Ph_II]]+Table16[[#This Row],[I_1]]*Table16[[#This Row],[t2_Ph_I]]+Table16[[#This Row],[I_2]]*Table16[[#This Row],[t3_Ph_III]])</f>
        <v>10.110300153868703</v>
      </c>
      <c r="T90" s="345">
        <f>MIN(1,CHOOSE(Table16[[#This Row],[Mode Digit]],(Vout+(Rdson2+Rs+Rdcr)*Table16[[#This Row],[Iout]])/(Table16[[#This Row],[Vin]]+(Rs+Rdson2-Rdson1)*Table16[[#This Row],[Iout]]),1,Fsw*Table16[[#This Row],[t2_Ph_I]]+Table16[[#This Row],[t1_Ph_II]]))</f>
        <v>0.14944803168511692</v>
      </c>
      <c r="U90" s="345">
        <f>MIN(1,CHOOSE(Table16[[#This Row],[Mode Digit]],0,(Vout+(Rdson3+Rdcr)*Table16[[#This Row],[Iin]]-Table16[[#This Row],[Vin]])/(Vout+(Rdson3-Rdson4-Rs)*Table16[[#This Row],[Iin]]),Fsw*Table16[[#This Row],[t1_Ph_II]]+Table16[[#This Row],[t3_Ph_III]]))</f>
        <v>0.60035331352824151</v>
      </c>
      <c r="V90" s="292">
        <f>MAX(Table16[[#This Row],[I_0]:[I_2]])-MIN(Table16[[#This Row],[I_0]:[I_1]])</f>
        <v>5.5879573837114158</v>
      </c>
      <c r="W90"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10.344867282603678</v>
      </c>
      <c r="X90" s="345">
        <f>(Table16[[#This Row],[Irms Lf]]^2*Rdcr*(1+Ltc*Ta-Ltc*25))/(1-Table16[[#This Row],[Irms Lf]]^2*Rdcr*Ltc*ThetaCa)</f>
        <v>0.35209823531593371</v>
      </c>
      <c r="Y90" s="345">
        <f>ABS(7.759*10^-3*Fsw^0.9458*(0.00787*Table16[[#This Row],[Ripple Current pk-pk]])^2.304)</f>
        <v>1.1486085728358908</v>
      </c>
      <c r="Z90" s="345">
        <f>Table16[[#This Row],[DCR    Loss]]+Table16[[#This Row],[Core Loss]]</f>
        <v>1.5007068081518244</v>
      </c>
      <c r="AA90" s="292">
        <f>IF(Table16[[#This Row],[Vin]]&gt;Vout, Table16[[#This Row],[Ripple Current pk-pk]]/SQRT(12), SQRT(Table16[[#This Row],[Duty Cycle BOOST Leg]]/(1-Table16[[#This Row],[Duty Cycle BOOST Leg]]))*SQRT(Table16[[#This Row],[Iout]]^2+(Table16[[#This Row],[Ripple Current pk-pk]]^2)/12))</f>
        <v>1.6131043498529716</v>
      </c>
      <c r="AB90" s="345">
        <f>RCoutEsr*Table16[[#This Row],[Irms Cout]]^2</f>
        <v>5.2042112870291559E-3</v>
      </c>
      <c r="AC90" s="345">
        <f>Table16[[#This Row],[Cout ESR Loss]]</f>
        <v>5.2042112870291559E-3</v>
      </c>
      <c r="AD90" s="345">
        <f>IF(Table16[[#This Row],[Vin]]&gt;Vout, SQRT(Table16[[#This Row],[Duty Cycle BUCK Leg]]*(1-Table16[[#This Row],[Duty Cycle BUCK Leg]]))*SQRT(Table16[[#This Row],[Iout]]^2+(Table16[[#This Row],[Ripple Current pk-pk]]^2)/12), Table16[[#This Row],[Ripple Current pk-pk]]/SQRT(12))</f>
        <v>2.9096416620498147</v>
      </c>
      <c r="AE90" s="345">
        <f>RCinEsr*Table16[[#This Row],[Irms Cin]]^2</f>
        <v>1.6932029203072015E-2</v>
      </c>
      <c r="AF90" s="683">
        <f>Table16[[#This Row],[Cin ESR Loss]]</f>
        <v>1.6932029203072015E-2</v>
      </c>
      <c r="AG90"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8.6471304896644519</v>
      </c>
      <c r="AH90" s="345">
        <f>Rdson1*Table16[[#This Row],[Irms BuCtrl]]^2</f>
        <v>0.26170502996849604</v>
      </c>
      <c r="AI90" s="345">
        <f>CHOOSE(Table16[[#This Row],[Mode Digit]], (Table16[[#This Row],[Vin]]*Table16[[#This Row],[Iout]]/2)*(Fsw)*(Tr_buck+Tf_buck), 0, (Table16[[#This Row],[Vin]]*Table16[[#This Row],[Avg IL]]/2)*(Fsw/1)*(Tr_buck+Tf_buck))</f>
        <v>0.68675772750334929</v>
      </c>
      <c r="AJ90" s="253">
        <f>IF(Table16[[#This Row],[Vin]]&gt;Vout, IF(Table16[[#This Row],[Iout]]&gt;Table16[[#This Row],[Ripple Current pk-pk]]/2,0,ABS(Table16[[#This Row],[Iout]]-Table16[[#This Row],[Ripple Current pk-pk]]/2)*Vsd_Q1*Deadtime*Fsw),0)</f>
        <v>0</v>
      </c>
      <c r="AK90" s="345">
        <f>(Table16[[#This Row],[Dead Time Loss BuCtrl]]+Table16[[#This Row],[Transition Loss BuCtrl]]+Table16[[#This Row],[RDS(on) Loss BuCtrl]]*(1+RdsonTopTc*Ta-RdsonTopTc*25))/(1-Table16[[#This Row],[RDS(on) Loss BuCtrl]]*RdsonTopTc*ThetaJA_Q1)</f>
        <v>1.017711193451001</v>
      </c>
      <c r="AL90" s="345">
        <f>CHOOSE(Table16[[#This Row],[Mode Digit]],SQRT((Fsw*(Table16[[#This Row],[t2_Ph_I]]+0))*((Table16[[#This Row],[I_0]]*Table16[[#This Row],[I_1]]+((Table16[[#This Row],[I_0]]-Table16[[#This Row],[I_1]])^2)/3))),0,SQRT((Fsw*(Table16[[#This Row],[t3_Ph_III]]+0))*((Table16[[#This Row],[I_0]]*Table16[[#This Row],[I_2]]+((Table16[[#This Row],[I_0]]-Table16[[#This Row],[I_2]])^2)/3))))</f>
        <v>5.6783283974598922</v>
      </c>
      <c r="AM90" s="345">
        <f>Rdson2*Table16[[#This Row],[Irms BuSync]]^2</f>
        <v>0.112851946862898</v>
      </c>
      <c r="AN90"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90" s="345">
        <f>(Table16[[#This Row],[Deadtime Loss BuSync]]+Table16[[#This Row],[RDS(on) Loss BuSync]]*(1+RdsonBotTc*Ta-RdsonBotTc*25))/(1-Table16[[#This Row],[RDS(on) Loss BuSync]]*RdsonBotTc*ThetaJA_Q2)</f>
        <v>0.36228184176348011</v>
      </c>
      <c r="AP90" s="345">
        <f>CHOOSE(Table16[[#This Row],[Mode Digit]],0,SQRT((Fsw*(Table16[[#This Row],[t1_Ph_II]]+0))*((Table16[[#This Row],[I_0]]*Table16[[#This Row],[I_1]]+((Table16[[#This Row],[I_0]]-Table16[[#This Row],[I_1]])^2)/3))),SQRT((Fsw*(Table16[[#This Row],[t2_Ph_I]]+0))*((Table16[[#This Row],[I_1]]*Table16[[#This Row],[I_2]]+((Table16[[#This Row],[I_1]]-Table16[[#This Row],[I_2]])^2)/3))))</f>
        <v>4.7112428891166109</v>
      </c>
      <c r="AQ90" s="345">
        <f>Rdson4*Table16[[#This Row],[Irms BoCtlr]]^2</f>
        <v>7.7685333460881412E-2</v>
      </c>
      <c r="AR90" s="345">
        <f>CHOOSE(Table16[[#This Row],[Mode Digit]], 0, (Vout*Table16[[#This Row],[Iin]]/2)*(Fsw)*(Tr_boost+Tf_boost), (Vout*Iout/2)*(Fsw/1)*(Tr_boost+Tf_boost))</f>
        <v>0.47564320886662292</v>
      </c>
      <c r="AS90" s="253">
        <f>IF(Table16[[#This Row],[Vin]]&gt;Vout, 0, IF(Table16[[#This Row],[Iin]]&gt;Table16[[#This Row],[Ripple Current pk-pk]]/2,0,ABS(Table16[[#This Row],[Iin]]-Table16[[#This Row],[Ripple Current pk-pk]]/2)*Vsd_Q4*Deadtime*Fsw))</f>
        <v>0</v>
      </c>
      <c r="AT90" s="345">
        <f>(Table16[[#This Row],[Dead Time Loss BoCtlr]]+Table16[[#This Row],[Transition Loss BoCtlr]]+Table16[[#This Row],[RDS(on) Loss BoCtlr]]*(1+RdsonTopTc*Ta-RdsonTopTc*25))/(1-Table16[[#This Row],[RDS(on) Loss BoCtlr]]*RdsonTopTc*ThetaJA_Q4)</f>
        <v>0.56473516870088425</v>
      </c>
      <c r="AU90"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9.2098029042120206</v>
      </c>
      <c r="AV90" s="345">
        <f>Rdson3*Table16[[#This Row],[Irms BoSync]]^2</f>
        <v>0.29687164337051258</v>
      </c>
      <c r="AW90"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0.22159199652022621</v>
      </c>
      <c r="AX90" s="345">
        <f>(Table16[[#This Row],[Deadtime Loss BoSync]]+Table16[[#This Row],[RDS(on) Loss BoSync]]*(1+RdsonBotTc*Ta-RdsonBotTc*25))/(1-Table16[[#This Row],[RDS(on) Loss BoSync]]*RdsonBotTc*ThetaJA_Q3)</f>
        <v>0.56182935273304813</v>
      </c>
      <c r="AY90" s="345">
        <f>CHOOSE(Table16[[#This Row],[Mode Digit]], Rdson3*Table16[[#This Row],[Irms Lf]]^2, Rdson1*Table16[[#This Row],[Irms Lf]]^2, 0)</f>
        <v>0</v>
      </c>
      <c r="AZ90" s="345">
        <f>CHOOSE(Table16[[#This Row],[Mode Digit]], 2*Deadtime*Fsw*IF(VfdSky_Q2&gt;0,VfdSky_Q2,0)*Table16[[#This Row],[Iout]], 2*Deadtime*Fsw*IF(VfdSky_Q3&gt;0,VfdSky_Q3,0)*Table16[[#This Row],[Iin]], 2*Deadtime*Fsw*IF(VfdSky_Q2&gt;0,VfdSky_Q2,0)*Table16[[#This Row],[Iout]]+2*Deadtime*Fsw*IF(VfdSky_Q3&gt;0,VfdSky_Q3,0)*Table16[[#This Row],[Iin]])</f>
        <v>0</v>
      </c>
      <c r="BA90" s="345">
        <f>CHOOSE(Table16[[#This Row],[Mode Digit]], IF(QrrSky_Q2&gt;0,QrrSky_Q2,Qrr_Q2)*Fsw*(Table16[[#This Row],[Vin]]-Table16[[#This Row],[Iout]]*Rdson1),0,  IF(QrrSky_Q2&gt;0,QrrSky_Q2,Qrr_Q2)*Fsw*(Table16[[#This Row],[Vin]]-Table16[[#This Row],[Iout]]*Rdson1)+IF(QrrSky_Q3&gt;0,QrrSky_Q3,Qrr_Q3)*Fsw*Vout)</f>
        <v>0.68117301999999991</v>
      </c>
      <c r="BB90" s="345">
        <f>CHOOSE(Table16[[#This Row],[Mode Digit]],0, IF(QrrSky_Q3&gt;0,QrrSky_Q3,Qrr_Q3)*Fsw*Vout,  IF(QrrSky_Q2&gt;0,QrrSky_Q2,Qrr_Q2)*Fsw*(Table16[[#This Row],[Vin]]-Table16[[#This Row],[Iout]]*Rdson1)+IF(QrrSky_Q3&gt;0,QrrSky_Q3,Qrr_Q3)*Fsw*Vout)</f>
        <v>0.68117301999999991</v>
      </c>
      <c r="BC90" s="345">
        <f>CHOOSE(Table16[[#This Row],[Mode Digit]], Rs*Table16[[#This Row],[Irms BuSync]]^2, Rs*Table16[[#This Row],[Irms BoCtlr]]^2, Rs*(Table16[[#This Row],[Irms BuSync]]^2+Table16[[#This Row],[Irms BoCtlr]]^2))</f>
        <v>7.0770989834546633E-2</v>
      </c>
      <c r="BD90" s="345">
        <f t="shared" si="5"/>
        <v>0.64</v>
      </c>
      <c r="BE90" s="345">
        <f>IF(Vout&gt;8, Iq*Vout, Iq*Table16[[#This Row],[Vin]])</f>
        <v>4.8000000000000001E-2</v>
      </c>
      <c r="BF90" s="345">
        <f>CHOOSE(Table16[[#This Row],[Mode Digit]], (Qg_Q1+Qg_Q2)*Fsw, (Qg_Q3+Qg_Q4)*Fsw, (Qg_Q1+Qg_Q2+Qg_Q3+Qg_Q4)*Fsw)*IF(Vout&gt;8, Vout, Table16[[#This Row],[Vin]])</f>
        <v>1.7066240000000001</v>
      </c>
      <c r="BG90" s="345">
        <f t="shared" si="6"/>
        <v>0.50594479787234037</v>
      </c>
      <c r="BH90" s="345">
        <f>Table16[[#This Row],[IQ Loss]]+Table16[[#This Row],[Switching Current Loss]]</f>
        <v>1.7546240000000002</v>
      </c>
      <c r="BI90"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7.8571416351248855</v>
      </c>
      <c r="BJ90" s="253">
        <f>Vout*Table16[[#This Row],[Iout]]</f>
        <v>128</v>
      </c>
      <c r="BK90" s="684">
        <f>Table16[[#This Row],[Pout]]/(Table16[[#This Row],[Pout]]+Table16[[#This Row],[Total Loss]])</f>
        <v>0.94216614937897769</v>
      </c>
      <c r="BL90"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110.42747387431506</v>
      </c>
      <c r="BM90" s="685">
        <f>IF(Table16[[#This Row],[Vin]]&gt;Vout, Table16[[#This Row],[Total Sync Bu MOSFET Loss]]*ThetaJA_Q2, ThetaJA_Q3*Table16[[#This Row],[Total Sync Bo MOSFET Loss]])</f>
        <v>23.548319714626206</v>
      </c>
      <c r="BN90" s="640"/>
      <c r="BO90" s="292">
        <f>Table16[[#This Row],[EFF, h]]*100</f>
        <v>94.216614937897774</v>
      </c>
      <c r="BP90" s="345">
        <f>Table16[[#This Row],[Total Inductor Loss]]</f>
        <v>1.5007068081518244</v>
      </c>
      <c r="BQ90" s="345">
        <f>Table16[[#This Row],[Total Control Bu MOSFET Loss]]+Table16[[#This Row],[Total Sync Bu MOSFET Loss]]+Table16[[#This Row],[Total Control Bo MOSFET Loss]]+Table16[[#This Row],[Total Sync Bo MOSFET Loss]]+Table16[[#This Row],[Reverse Recovery Loss MOSFET D BUCK]]+Table16[[#This Row],[Reverse Recovery Loss MOSFET D BOOST]]</f>
        <v>3.8689035966484138</v>
      </c>
      <c r="BR90" s="345">
        <f>Table16[[#This Row],[Total Control Bu MOSFET Loss]]+Table16[[#This Row],[Reverse Recovery Loss MOSFET D BUCK]]*0.66</f>
        <v>1.4672853866510009</v>
      </c>
      <c r="BS90" s="345">
        <f>Table16[[#This Row],[Total Sync Bu MOSFET Loss]]+Table16[[#This Row],[Reverse Recovery Loss MOSFET D BUCK]]*0.33</f>
        <v>0.58706893836348006</v>
      </c>
      <c r="BT90" s="345">
        <f xml:space="preserve"> Table16[[#This Row],[Total Control Bo MOSFET Loss]]+Table16[[#This Row],[Reverse Recovery Loss MOSFET D BOOST]]*0.66</f>
        <v>1.0143093619008843</v>
      </c>
      <c r="BU90" s="345">
        <f xml:space="preserve"> Table16[[#This Row],[Total Sync Bo MOSFET Loss]]+Table16[[#This Row],[Reverse Recovery Loss MOSFET D BOOST]]*0.33</f>
        <v>0.78661644933304808</v>
      </c>
      <c r="BV90" s="345">
        <f>Table16[[#This Row],[Isense Shunt Loss]]</f>
        <v>7.0770989834546633E-2</v>
      </c>
      <c r="CB90" s="686"/>
      <c r="CC90" s="686"/>
    </row>
    <row r="91" spans="1:81" x14ac:dyDescent="0.2">
      <c r="G91" s="253">
        <v>82</v>
      </c>
      <c r="H91" s="286">
        <f>VIN_min+(VIN_max-VIN_min)*(Table16[[#This Row],[Step]]/200)</f>
        <v>18.299999999999997</v>
      </c>
      <c r="I91" s="292" t="str">
        <f>IF(Mode = 2,IF(Table16[[#This Row],[Vin]]&gt;Vout, "BUCK","BOOST"),IF(Table16[[#This Row],[Vin]]&gt;VIN_BB_to_buck, "BUCK", IF(Table16[[#This Row],[Vin]]&lt;=VIN_boost_to_BB,"BOOST","BUCK-BST")))</f>
        <v>BUCK-BST</v>
      </c>
      <c r="J91" s="253">
        <f>IF(Table16[[#This Row],[Mode]]="BOOST",2, IF(Table16[[#This Row],[Mode]]="BUCK", 1,3))</f>
        <v>3</v>
      </c>
      <c r="K91" s="253">
        <f t="shared" si="4"/>
        <v>8</v>
      </c>
      <c r="L91" s="292">
        <f>Vout*Table16[[#This Row],[Iout]]/(Table16[[#This Row],[Vin]]*Efficiency)</f>
        <v>7.3626689675007198</v>
      </c>
      <c r="M91" s="682">
        <f>MIN(1/Fsw,CHOOSE(Table16[[#This Row],[Mode Digit]],(Vout+(Rdson2+Rs+Rdcr)*Table16[[#This Row],[Iout]])/(Table16[[#This Row],[Vin]]+(Rs+Rdson2-Rdson1)*Table16[[#This Row],[Iout]])/Fsw,(Vout+(Rdson3+Rdcr)*Table16[[#This Row],[Iin]]-Table16[[#This Row],[Vin]])/(Vout+(Rdson3-Rdson4-Rs)*Table16[[#This Row],[Iin]])/Fsw,t1_Ph_II))</f>
        <v>1.5084238313644118E-6</v>
      </c>
      <c r="N91" s="518">
        <f>CHOOSE(Table16[[#This Row],[Mode Digit]],1/Fsw-Table16[[#This Row],[t1_Ph_II]],1/Fsw-Table16[[#This Row],[t1_Ph_II]],(Vout/Fsw-Table16[[#This Row],[Vin]]*t1_Ph_II)/(Table16[[#This Row],[Vin]]+Vout))</f>
        <v>3.6725507029611952E-7</v>
      </c>
      <c r="O91" s="518">
        <f>1/Fsw-(Table16[[#This Row],[t1_Ph_II]]+Table16[[#This Row],[t2_Ph_I]])</f>
        <v>6.3688391240982066E-7</v>
      </c>
      <c r="P91"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8.344710549109994</v>
      </c>
      <c r="Q91" s="292">
        <f>CHOOSE(Table16[[#This Row],[Mode Digit]],Table16[[#This Row],[I_0]]+1/Lf*(Table16[[#This Row],[Vin]]-Vout)*Table16[[#This Row],[t1_Ph_II]],Table16[[#This Row],[I_0]]+1/Lf*Table16[[#This Row],[Vin]]*Table16[[#This Row],[t1_Ph_II]],Table16[[#This Row],[I_0]]+(Table16[[#This Row],[Vin]]-Vout)/L*Table16[[#This Row],[t1_Ph_II]])</f>
        <v>10.27214100029785</v>
      </c>
      <c r="R91" s="292">
        <f>CHOOSE(Table16[[#This Row],[Mode Digit]],0,0,Table16[[#This Row],[I_1]]+Table16[[#This Row],[Vin]]/L*Table16[[#This Row],[t2_Ph_I]])</f>
        <v>14.005900881641731</v>
      </c>
      <c r="S91" s="292">
        <f>Fsw*(Table16[[#This Row],[I_0]]*Table16[[#This Row],[t1_Ph_II]]+Table16[[#This Row],[I_1]]*Table16[[#This Row],[t2_Ph_I]]+Table16[[#This Row],[I_2]]*Table16[[#This Row],[t3_Ph_III]])</f>
        <v>10.06143565129109</v>
      </c>
      <c r="T91" s="345">
        <f>MIN(1,CHOOSE(Table16[[#This Row],[Mode Digit]],(Vout+(Rdson2+Rs+Rdcr)*Table16[[#This Row],[Iout]])/(Table16[[#This Row],[Vin]]+(Rs+Rdson2-Rdson1)*Table16[[#This Row],[Iout]]),1,Fsw*Table16[[#This Row],[t2_Ph_I]]+Table16[[#This Row],[t1_Ph_II]]))</f>
        <v>0.14616902640168694</v>
      </c>
      <c r="U91" s="345">
        <f>MIN(1,CHOOSE(Table16[[#This Row],[Mode Digit]],0,(Vout+(Rdson3+Rdcr)*Table16[[#This Row],[Iin]]-Table16[[#This Row],[Vin]])/(Vout+(Rdson3-Rdson4-Rs)*Table16[[#This Row],[Iin]]),Fsw*Table16[[#This Row],[t1_Ph_II]]+Table16[[#This Row],[t3_Ph_III]]))</f>
        <v>0.60035332176694822</v>
      </c>
      <c r="V91" s="292">
        <f>MAX(Table16[[#This Row],[I_0]:[I_2]])-MIN(Table16[[#This Row],[I_0]:[I_1]])</f>
        <v>5.6611903325317368</v>
      </c>
      <c r="W91"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10.307587865364543</v>
      </c>
      <c r="X91" s="345">
        <f>(Table16[[#This Row],[Irms Lf]]^2*Rdcr*(1+Ltc*Ta-Ltc*25))/(1-Table16[[#This Row],[Irms Lf]]^2*Rdcr*Ltc*ThetaCa)</f>
        <v>0.34949429619087385</v>
      </c>
      <c r="Y91" s="345">
        <f>ABS(7.759*10^-3*Fsw^0.9458*(0.00787*Table16[[#This Row],[Ripple Current pk-pk]])^2.304)</f>
        <v>1.1835876242051064</v>
      </c>
      <c r="Z91" s="345">
        <f>Table16[[#This Row],[DCR    Loss]]+Table16[[#This Row],[Core Loss]]</f>
        <v>1.5330819203959802</v>
      </c>
      <c r="AA91" s="292">
        <f>IF(Table16[[#This Row],[Vin]]&gt;Vout, Table16[[#This Row],[Ripple Current pk-pk]]/SQRT(12), SQRT(Table16[[#This Row],[Duty Cycle BOOST Leg]]/(1-Table16[[#This Row],[Duty Cycle BOOST Leg]]))*SQRT(Table16[[#This Row],[Iout]]^2+(Table16[[#This Row],[Ripple Current pk-pk]]^2)/12))</f>
        <v>1.6342448812104526</v>
      </c>
      <c r="AB91" s="345">
        <f>RCoutEsr*Table16[[#This Row],[Irms Cout]]^2</f>
        <v>5.3415126635251338E-3</v>
      </c>
      <c r="AC91" s="345">
        <f>Table16[[#This Row],[Cout ESR Loss]]</f>
        <v>5.3415126635251338E-3</v>
      </c>
      <c r="AD91" s="345">
        <f>IF(Table16[[#This Row],[Vin]]&gt;Vout, SQRT(Table16[[#This Row],[Duty Cycle BUCK Leg]]*(1-Table16[[#This Row],[Duty Cycle BUCK Leg]]))*SQRT(Table16[[#This Row],[Iout]]^2+(Table16[[#This Row],[Ripple Current pk-pk]]^2)/12), Table16[[#This Row],[Ripple Current pk-pk]]/SQRT(12))</f>
        <v>2.8845715822741664</v>
      </c>
      <c r="AE91" s="345">
        <f>RCinEsr*Table16[[#This Row],[Irms Cin]]^2</f>
        <v>1.6641506426527376E-2</v>
      </c>
      <c r="AF91" s="683">
        <f>Table16[[#This Row],[Cin ESR Loss]]</f>
        <v>1.6641506426527376E-2</v>
      </c>
      <c r="AG91"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8.5972633641481728</v>
      </c>
      <c r="AH91" s="345">
        <f>Rdson1*Table16[[#This Row],[Irms BuCtrl]]^2</f>
        <v>0.25869528073383524</v>
      </c>
      <c r="AI91" s="345">
        <f>CHOOSE(Table16[[#This Row],[Mode Digit]], (Table16[[#This Row],[Vin]]*Table16[[#This Row],[Iout]]/2)*(Fsw)*(Tr_buck+Tf_buck), 0, (Table16[[#This Row],[Vin]]*Table16[[#This Row],[Avg IL]]/2)*(Fsw/1)*(Tr_buck+Tf_buck))</f>
        <v>0.68908678314008864</v>
      </c>
      <c r="AJ91" s="253">
        <f>IF(Table16[[#This Row],[Vin]]&gt;Vout, IF(Table16[[#This Row],[Iout]]&gt;Table16[[#This Row],[Ripple Current pk-pk]]/2,0,ABS(Table16[[#This Row],[Iout]]-Table16[[#This Row],[Ripple Current pk-pk]]/2)*Vsd_Q1*Deadtime*Fsw),0)</f>
        <v>0</v>
      </c>
      <c r="AK91" s="345">
        <f>(Table16[[#This Row],[Dead Time Loss BuCtrl]]+Table16[[#This Row],[Transition Loss BuCtrl]]+Table16[[#This Row],[RDS(on) Loss BuCtrl]]*(1+RdsonTopTc*Ta-RdsonTopTc*25))/(1-Table16[[#This Row],[RDS(on) Loss BuCtrl]]*RdsonTopTc*ThetaJA_Q1)</f>
        <v>1.0161275911092056</v>
      </c>
      <c r="AL91" s="345">
        <f>CHOOSE(Table16[[#This Row],[Mode Digit]],SQRT((Fsw*(Table16[[#This Row],[t2_Ph_I]]+0))*((Table16[[#This Row],[I_0]]*Table16[[#This Row],[I_1]]+((Table16[[#This Row],[I_0]]-Table16[[#This Row],[I_1]])^2)/3))),0,SQRT((Fsw*(Table16[[#This Row],[t3_Ph_III]]+0))*((Table16[[#This Row],[I_0]]*Table16[[#This Row],[I_2]]+((Table16[[#This Row],[I_0]]-Table16[[#This Row],[I_2]])^2)/3))))</f>
        <v>5.6862492250767556</v>
      </c>
      <c r="AM91" s="345">
        <f>Rdson2*Table16[[#This Row],[Irms BuSync]]^2</f>
        <v>0.11316700587390101</v>
      </c>
      <c r="AN91"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91" s="345">
        <f>(Table16[[#This Row],[Deadtime Loss BuSync]]+Table16[[#This Row],[RDS(on) Loss BuSync]]*(1+RdsonBotTc*Ta-RdsonBotTc*25))/(1-Table16[[#This Row],[RDS(on) Loss BuSync]]*RdsonBotTc*ThetaJA_Q2)</f>
        <v>0.36263702801042796</v>
      </c>
      <c r="AP91" s="345">
        <f>CHOOSE(Table16[[#This Row],[Mode Digit]],0,SQRT((Fsw*(Table16[[#This Row],[t1_Ph_II]]+0))*((Table16[[#This Row],[I_0]]*Table16[[#This Row],[I_1]]+((Table16[[#This Row],[I_0]]-Table16[[#This Row],[I_1]])^2)/3))),SQRT((Fsw*(Table16[[#This Row],[t2_Ph_I]]+0))*((Table16[[#This Row],[I_1]]*Table16[[#This Row],[I_2]]+((Table16[[#This Row],[I_1]]-Table16[[#This Row],[I_2]])^2)/3))))</f>
        <v>4.6592322871113261</v>
      </c>
      <c r="AQ91" s="345">
        <f>Rdson4*Table16[[#This Row],[Irms BoCtlr]]^2</f>
        <v>7.5979559268412239E-2</v>
      </c>
      <c r="AR91" s="345">
        <f>CHOOSE(Table16[[#This Row],[Mode Digit]], 0, (Vout*Table16[[#This Row],[Iin]]/2)*(Fsw)*(Tr_boost+Tf_boost), (Vout*Iout/2)*(Fsw/1)*(Tr_boost+Tf_boost))</f>
        <v>0.47564320886662292</v>
      </c>
      <c r="AS91" s="253">
        <f>IF(Table16[[#This Row],[Vin]]&gt;Vout, 0, IF(Table16[[#This Row],[Iin]]&gt;Table16[[#This Row],[Ripple Current pk-pk]]/2,0,ABS(Table16[[#This Row],[Iin]]-Table16[[#This Row],[Ripple Current pk-pk]]/2)*Vsd_Q4*Deadtime*Fsw))</f>
        <v>0</v>
      </c>
      <c r="AT91" s="345">
        <f>(Table16[[#This Row],[Dead Time Loss BoCtlr]]+Table16[[#This Row],[Transition Loss BoCtlr]]+Table16[[#This Row],[RDS(on) Loss BoCtlr]]*(1+RdsonTopTc*Ta-RdsonTopTc*25))/(1-Table16[[#This Row],[RDS(on) Loss BoCtlr]]*RdsonTopTc*ThetaJA_Q4)</f>
        <v>0.56273951012521661</v>
      </c>
      <c r="AU91"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9.1944506141992921</v>
      </c>
      <c r="AV91" s="345">
        <f>Rdson3*Table16[[#This Row],[Irms BoSync]]^2</f>
        <v>0.29588272733932408</v>
      </c>
      <c r="AW91"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0.21977566867989645</v>
      </c>
      <c r="AX91" s="345">
        <f>(Table16[[#This Row],[Deadtime Loss BoSync]]+Table16[[#This Row],[RDS(on) Loss BoSync]]*(1+RdsonBotTc*Ta-RdsonBotTc*25))/(1-Table16[[#This Row],[RDS(on) Loss BoSync]]*RdsonBotTc*ThetaJA_Q3)</f>
        <v>0.55863382169334042</v>
      </c>
      <c r="AY91" s="345">
        <f>CHOOSE(Table16[[#This Row],[Mode Digit]], Rdson3*Table16[[#This Row],[Irms Lf]]^2, Rdson1*Table16[[#This Row],[Irms Lf]]^2, 0)</f>
        <v>0</v>
      </c>
      <c r="AZ91" s="345">
        <f>CHOOSE(Table16[[#This Row],[Mode Digit]], 2*Deadtime*Fsw*IF(VfdSky_Q2&gt;0,VfdSky_Q2,0)*Table16[[#This Row],[Iout]], 2*Deadtime*Fsw*IF(VfdSky_Q3&gt;0,VfdSky_Q3,0)*Table16[[#This Row],[Iin]], 2*Deadtime*Fsw*IF(VfdSky_Q2&gt;0,VfdSky_Q2,0)*Table16[[#This Row],[Iout]]+2*Deadtime*Fsw*IF(VfdSky_Q3&gt;0,VfdSky_Q3,0)*Table16[[#This Row],[Iin]])</f>
        <v>0</v>
      </c>
      <c r="BA91" s="345">
        <f>CHOOSE(Table16[[#This Row],[Mode Digit]], IF(QrrSky_Q2&gt;0,QrrSky_Q2,Qrr_Q2)*Fsw*(Table16[[#This Row],[Vin]]-Table16[[#This Row],[Iout]]*Rdson1),0,  IF(QrrSky_Q2&gt;0,QrrSky_Q2,Qrr_Q2)*Fsw*(Table16[[#This Row],[Vin]]-Table16[[#This Row],[Iout]]*Rdson1)+IF(QrrSky_Q3&gt;0,QrrSky_Q3,Qrr_Q3)*Fsw*Vout)</f>
        <v>0.68385951999999994</v>
      </c>
      <c r="BB91" s="345">
        <f>CHOOSE(Table16[[#This Row],[Mode Digit]],0, IF(QrrSky_Q3&gt;0,QrrSky_Q3,Qrr_Q3)*Fsw*Vout,  IF(QrrSky_Q2&gt;0,QrrSky_Q2,Qrr_Q2)*Fsw*(Table16[[#This Row],[Vin]]-Table16[[#This Row],[Iout]]*Rdson1)+IF(QrrSky_Q3&gt;0,QrrSky_Q3,Qrr_Q3)*Fsw*Vout)</f>
        <v>0.68385951999999994</v>
      </c>
      <c r="BC91" s="345">
        <f>CHOOSE(Table16[[#This Row],[Mode Digit]], Rs*Table16[[#This Row],[Irms BuSync]]^2, Rs*Table16[[#This Row],[Irms BoCtlr]]^2, Rs*(Table16[[#This Row],[Irms BuSync]]^2+Table16[[#This Row],[Irms BoCtlr]]^2))</f>
        <v>7.0254438481430634E-2</v>
      </c>
      <c r="BD91" s="345">
        <f t="shared" si="5"/>
        <v>0.64</v>
      </c>
      <c r="BE91" s="345">
        <f>IF(Vout&gt;8, Iq*Vout, Iq*Table16[[#This Row],[Vin]])</f>
        <v>4.8000000000000001E-2</v>
      </c>
      <c r="BF91" s="345">
        <f>CHOOSE(Table16[[#This Row],[Mode Digit]], (Qg_Q1+Qg_Q2)*Fsw, (Qg_Q3+Qg_Q4)*Fsw, (Qg_Q1+Qg_Q2+Qg_Q3+Qg_Q4)*Fsw)*IF(Vout&gt;8, Vout, Table16[[#This Row],[Vin]])</f>
        <v>1.7066240000000001</v>
      </c>
      <c r="BG91" s="345">
        <f t="shared" si="6"/>
        <v>0.50594479787234037</v>
      </c>
      <c r="BH91" s="345">
        <f>Table16[[#This Row],[IQ Loss]]+Table16[[#This Row],[Switching Current Loss]]</f>
        <v>1.7546240000000002</v>
      </c>
      <c r="BI91"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7.8878003689056539</v>
      </c>
      <c r="BJ91" s="253">
        <f>Vout*Table16[[#This Row],[Iout]]</f>
        <v>128</v>
      </c>
      <c r="BK91" s="684">
        <f>Table16[[#This Row],[Pout]]/(Table16[[#This Row],[Pout]]+Table16[[#This Row],[Total Loss]])</f>
        <v>0.94195357973642957</v>
      </c>
      <c r="BL91"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110.49916222209836</v>
      </c>
      <c r="BM91" s="685">
        <f>IF(Table16[[#This Row],[Vin]]&gt;Vout, Table16[[#This Row],[Total Sync Bu MOSFET Loss]]*ThetaJA_Q2, ThetaJA_Q3*Table16[[#This Row],[Total Sync Bo MOSFET Loss]])</f>
        <v>23.571406820677819</v>
      </c>
      <c r="BN91" s="640"/>
      <c r="BO91" s="292">
        <f>Table16[[#This Row],[EFF, h]]*100</f>
        <v>94.195357973642956</v>
      </c>
      <c r="BP91" s="345">
        <f>Table16[[#This Row],[Total Inductor Loss]]</f>
        <v>1.5330819203959802</v>
      </c>
      <c r="BQ91" s="345">
        <f>Table16[[#This Row],[Total Control Bu MOSFET Loss]]+Table16[[#This Row],[Total Sync Bu MOSFET Loss]]+Table16[[#This Row],[Total Control Bo MOSFET Loss]]+Table16[[#This Row],[Total Sync Bo MOSFET Loss]]+Table16[[#This Row],[Reverse Recovery Loss MOSFET D BUCK]]+Table16[[#This Row],[Reverse Recovery Loss MOSFET D BOOST]]</f>
        <v>3.8678569909381908</v>
      </c>
      <c r="BR91" s="345">
        <f>Table16[[#This Row],[Total Control Bu MOSFET Loss]]+Table16[[#This Row],[Reverse Recovery Loss MOSFET D BUCK]]*0.66</f>
        <v>1.4674748743092056</v>
      </c>
      <c r="BS91" s="345">
        <f>Table16[[#This Row],[Total Sync Bu MOSFET Loss]]+Table16[[#This Row],[Reverse Recovery Loss MOSFET D BUCK]]*0.33</f>
        <v>0.58831066961042799</v>
      </c>
      <c r="BT91" s="345">
        <f xml:space="preserve"> Table16[[#This Row],[Total Control Bo MOSFET Loss]]+Table16[[#This Row],[Reverse Recovery Loss MOSFET D BOOST]]*0.66</f>
        <v>1.0140867933252167</v>
      </c>
      <c r="BU91" s="345">
        <f xml:space="preserve"> Table16[[#This Row],[Total Sync Bo MOSFET Loss]]+Table16[[#This Row],[Reverse Recovery Loss MOSFET D BOOST]]*0.33</f>
        <v>0.78430746329334045</v>
      </c>
      <c r="BV91" s="345">
        <f>Table16[[#This Row],[Isense Shunt Loss]]</f>
        <v>7.0254438481430634E-2</v>
      </c>
      <c r="CB91" s="686"/>
      <c r="CC91" s="686"/>
    </row>
    <row r="92" spans="1:81" x14ac:dyDescent="0.2">
      <c r="G92" s="253">
        <v>83</v>
      </c>
      <c r="H92" s="286">
        <f>VIN_min+(VIN_max-VIN_min)*(Table16[[#This Row],[Step]]/200)</f>
        <v>18.45</v>
      </c>
      <c r="I92" s="292" t="str">
        <f>IF(Mode = 2,IF(Table16[[#This Row],[Vin]]&gt;Vout, "BUCK","BOOST"),IF(Table16[[#This Row],[Vin]]&gt;VIN_BB_to_buck, "BUCK", IF(Table16[[#This Row],[Vin]]&lt;=VIN_boost_to_BB,"BOOST","BUCK-BST")))</f>
        <v>BUCK-BST</v>
      </c>
      <c r="J92" s="253">
        <f>IF(Table16[[#This Row],[Mode]]="BOOST",2, IF(Table16[[#This Row],[Mode]]="BUCK", 1,3))</f>
        <v>3</v>
      </c>
      <c r="K92" s="253">
        <f t="shared" si="4"/>
        <v>8</v>
      </c>
      <c r="L92" s="292">
        <f>Vout*Table16[[#This Row],[Iout]]/(Table16[[#This Row],[Vin]]*Efficiency)</f>
        <v>7.3028098702039657</v>
      </c>
      <c r="M92" s="682">
        <f>MIN(1/Fsw,CHOOSE(Table16[[#This Row],[Mode Digit]],(Vout+(Rdson2+Rs+Rdcr)*Table16[[#This Row],[Iout]])/(Table16[[#This Row],[Vin]]+(Rs+Rdson2-Rdson1)*Table16[[#This Row],[Iout]])/Fsw,(Vout+(Rdson3+Rdcr)*Table16[[#This Row],[Iin]]-Table16[[#This Row],[Vin]])/(Vout+(Rdson3-Rdson4-Rs)*Table16[[#This Row],[Iin]])/Fsw,t1_Ph_II))</f>
        <v>1.5084238313644118E-6</v>
      </c>
      <c r="N92" s="518">
        <f>CHOOSE(Table16[[#This Row],[Mode Digit]],1/Fsw-Table16[[#This Row],[t1_Ph_II]],1/Fsw-Table16[[#This Row],[t1_Ph_II]],(Vout/Fsw-Table16[[#This Row],[Vin]]*t1_Ph_II)/(Table16[[#This Row],[Vin]]+Vout))</f>
        <v>3.5908810846015196E-7</v>
      </c>
      <c r="O92" s="518">
        <f>1/Fsw-(Table16[[#This Row],[t1_Ph_II]]+Table16[[#This Row],[t2_Ph_I]])</f>
        <v>6.4505087424578807E-7</v>
      </c>
      <c r="P92"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8.2474314706793503</v>
      </c>
      <c r="Q92" s="292">
        <f>CHOOSE(Table16[[#This Row],[Mode Digit]],Table16[[#This Row],[I_0]]+1/Lf*(Table16[[#This Row],[Vin]]-Vout)*Table16[[#This Row],[t1_Ph_II]],Table16[[#This Row],[I_0]]+1/Lf*Table16[[#This Row],[Vin]]*Table16[[#This Row],[t1_Ph_II]],Table16[[#This Row],[I_0]]+(Table16[[#This Row],[Vin]]-Vout)/L*Table16[[#This Row],[t1_Ph_II]])</f>
        <v>10.300563907814244</v>
      </c>
      <c r="R92" s="292">
        <f>CHOOSE(Table16[[#This Row],[Mode Digit]],0,0,Table16[[#This Row],[I_1]]+Table16[[#This Row],[Vin]]/L*Table16[[#This Row],[t2_Ph_I]])</f>
        <v>13.981217019530801</v>
      </c>
      <c r="S92" s="292">
        <f>Fsw*(Table16[[#This Row],[I_0]]*Table16[[#This Row],[t1_Ph_II]]+Table16[[#This Row],[I_1]]*Table16[[#This Row],[t2_Ph_I]]+Table16[[#This Row],[I_2]]*Table16[[#This Row],[t3_Ph_III]])</f>
        <v>10.012895322748141</v>
      </c>
      <c r="T92" s="345">
        <f>MIN(1,CHOOSE(Table16[[#This Row],[Mode Digit]],(Vout+(Rdson2+Rs+Rdcr)*Table16[[#This Row],[Iout]])/(Table16[[#This Row],[Vin]]+(Rs+Rdson2-Rdson1)*Table16[[#This Row],[Iout]]),1,Fsw*Table16[[#This Row],[t2_Ph_I]]+Table16[[#This Row],[t1_Ph_II]]))</f>
        <v>0.14291857559097185</v>
      </c>
      <c r="U92" s="345">
        <f>MIN(1,CHOOSE(Table16[[#This Row],[Mode Digit]],0,(Vout+(Rdson3+Rdcr)*Table16[[#This Row],[Iin]]-Table16[[#This Row],[Vin]])/(Vout+(Rdson3-Rdson4-Rs)*Table16[[#This Row],[Iin]]),Fsw*Table16[[#This Row],[t1_Ph_II]]+Table16[[#This Row],[t3_Ph_III]]))</f>
        <v>0.60035332993391011</v>
      </c>
      <c r="V92" s="292">
        <f>MAX(Table16[[#This Row],[I_0]:[I_2]])-MIN(Table16[[#This Row],[I_0]:[I_1]])</f>
        <v>5.7337855488514506</v>
      </c>
      <c r="W92"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10.270819193565703</v>
      </c>
      <c r="X92" s="345">
        <f>(Table16[[#This Row],[Irms Lf]]^2*Rdcr*(1+Ltc*Ta-Ltc*25))/(1-Table16[[#This Row],[Irms Lf]]^2*Rdcr*Ltc*ThetaCa)</f>
        <v>0.34693626842804481</v>
      </c>
      <c r="Y92" s="345">
        <f>ABS(7.759*10^-3*Fsw^0.9458*(0.00787*Table16[[#This Row],[Ripple Current pk-pk]])^2.304)</f>
        <v>1.2188493659615758</v>
      </c>
      <c r="Z92" s="345">
        <f>Table16[[#This Row],[DCR    Loss]]+Table16[[#This Row],[Core Loss]]</f>
        <v>1.5657856343896206</v>
      </c>
      <c r="AA92" s="292">
        <f>IF(Table16[[#This Row],[Vin]]&gt;Vout, Table16[[#This Row],[Ripple Current pk-pk]]/SQRT(12), SQRT(Table16[[#This Row],[Duty Cycle BOOST Leg]]/(1-Table16[[#This Row],[Duty Cycle BOOST Leg]]))*SQRT(Table16[[#This Row],[Iout]]^2+(Table16[[#This Row],[Ripple Current pk-pk]]^2)/12))</f>
        <v>1.6552013150524856</v>
      </c>
      <c r="AB92" s="345">
        <f>RCoutEsr*Table16[[#This Row],[Irms Cout]]^2</f>
        <v>5.4793827867029559E-3</v>
      </c>
      <c r="AC92" s="345">
        <f>Table16[[#This Row],[Cout ESR Loss]]</f>
        <v>5.4793827867029559E-3</v>
      </c>
      <c r="AD92" s="345">
        <f>IF(Table16[[#This Row],[Vin]]&gt;Vout, SQRT(Table16[[#This Row],[Duty Cycle BUCK Leg]]*(1-Table16[[#This Row],[Duty Cycle BUCK Leg]]))*SQRT(Table16[[#This Row],[Iout]]^2+(Table16[[#This Row],[Ripple Current pk-pk]]^2)/12), Table16[[#This Row],[Ripple Current pk-pk]]/SQRT(12))</f>
        <v>2.8592193742622332</v>
      </c>
      <c r="AE92" s="345">
        <f>RCinEsr*Table16[[#This Row],[Irms Cin]]^2</f>
        <v>1.6350270860313033E-2</v>
      </c>
      <c r="AF92" s="683">
        <f>Table16[[#This Row],[Cin ESR Loss]]</f>
        <v>1.6350270860313033E-2</v>
      </c>
      <c r="AG92"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8.5482711095294093</v>
      </c>
      <c r="AH92" s="345">
        <f>Rdson1*Table16[[#This Row],[Irms BuCtrl]]^2</f>
        <v>0.25575528636705308</v>
      </c>
      <c r="AI92" s="345">
        <f>CHOOSE(Table16[[#This Row],[Mode Digit]], (Table16[[#This Row],[Vin]]*Table16[[#This Row],[Iout]]/2)*(Fsw)*(Tr_buck+Tf_buck), 0, (Table16[[#This Row],[Vin]]*Table16[[#This Row],[Avg IL]]/2)*(Fsw/1)*(Tr_buck+Tf_buck))</f>
        <v>0.69138336001017542</v>
      </c>
      <c r="AJ92" s="253">
        <f>IF(Table16[[#This Row],[Vin]]&gt;Vout, IF(Table16[[#This Row],[Iout]]&gt;Table16[[#This Row],[Ripple Current pk-pk]]/2,0,ABS(Table16[[#This Row],[Iout]]-Table16[[#This Row],[Ripple Current pk-pk]]/2)*Vsd_Q1*Deadtime*Fsw),0)</f>
        <v>0</v>
      </c>
      <c r="AK92" s="345">
        <f>(Table16[[#This Row],[Dead Time Loss BuCtrl]]+Table16[[#This Row],[Transition Loss BuCtrl]]+Table16[[#This Row],[RDS(on) Loss BuCtrl]]*(1+RdsonTopTc*Ta-RdsonTopTc*25))/(1-Table16[[#This Row],[RDS(on) Loss BuCtrl]]*RdsonTopTc*ThetaJA_Q1)</f>
        <v>1.0146062858885074</v>
      </c>
      <c r="AL92" s="345">
        <f>CHOOSE(Table16[[#This Row],[Mode Digit]],SQRT((Fsw*(Table16[[#This Row],[t2_Ph_I]]+0))*((Table16[[#This Row],[I_0]]*Table16[[#This Row],[I_1]]+((Table16[[#This Row],[I_0]]-Table16[[#This Row],[I_1]])^2)/3))),0,SQRT((Fsw*(Table16[[#This Row],[t3_Ph_III]]+0))*((Table16[[#This Row],[I_0]]*Table16[[#This Row],[I_2]]+((Table16[[#This Row],[I_0]]-Table16[[#This Row],[I_2]])^2)/3))))</f>
        <v>5.6935742679710852</v>
      </c>
      <c r="AM92" s="345">
        <f>Rdson2*Table16[[#This Row],[Irms BuSync]]^2</f>
        <v>0.11345875780715868</v>
      </c>
      <c r="AN92"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92" s="345">
        <f>(Table16[[#This Row],[Deadtime Loss BuSync]]+Table16[[#This Row],[RDS(on) Loss BuSync]]*(1+RdsonBotTc*Ta-RdsonBotTc*25))/(1-Table16[[#This Row],[RDS(on) Loss BuSync]]*RdsonBotTc*ThetaJA_Q2)</f>
        <v>0.36296599216237496</v>
      </c>
      <c r="AP92" s="345">
        <f>CHOOSE(Table16[[#This Row],[Mode Digit]],0,SQRT((Fsw*(Table16[[#This Row],[t1_Ph_II]]+0))*((Table16[[#This Row],[I_0]]*Table16[[#This Row],[I_1]]+((Table16[[#This Row],[I_0]]-Table16[[#This Row],[I_1]])^2)/3))),SQRT((Fsw*(Table16[[#This Row],[t2_Ph_I]]+0))*((Table16[[#This Row],[I_1]]*Table16[[#This Row],[I_2]]+((Table16[[#This Row],[I_1]]-Table16[[#This Row],[I_2]])^2)/3))))</f>
        <v>4.6073304815634737</v>
      </c>
      <c r="AQ92" s="345">
        <f>Rdson4*Table16[[#This Row],[Irms BoCtlr]]^2</f>
        <v>7.4296229582203679E-2</v>
      </c>
      <c r="AR92" s="345">
        <f>CHOOSE(Table16[[#This Row],[Mode Digit]], 0, (Vout*Table16[[#This Row],[Iin]]/2)*(Fsw)*(Tr_boost+Tf_boost), (Vout*Iout/2)*(Fsw/1)*(Tr_boost+Tf_boost))</f>
        <v>0.47564320886662292</v>
      </c>
      <c r="AS92" s="253">
        <f>IF(Table16[[#This Row],[Vin]]&gt;Vout, 0, IF(Table16[[#This Row],[Iin]]&gt;Table16[[#This Row],[Ripple Current pk-pk]]/2,0,ABS(Table16[[#This Row],[Iin]]-Table16[[#This Row],[Ripple Current pk-pk]]/2)*Vsd_Q4*Deadtime*Fsw))</f>
        <v>0</v>
      </c>
      <c r="AT92" s="345">
        <f>(Table16[[#This Row],[Dead Time Loss BoCtlr]]+Table16[[#This Row],[Transition Loss BoCtlr]]+Table16[[#This Row],[RDS(on) Loss BoCtlr]]*(1+RdsonTopTc*Ta-RdsonTopTc*25))/(1-Table16[[#This Row],[RDS(on) Loss BoCtlr]]*RdsonTopTc*ThetaJA_Q4)</f>
        <v>0.56077187989512911</v>
      </c>
      <c r="AU92"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9.179446210996268</v>
      </c>
      <c r="AV92" s="345">
        <f>Rdson3*Table16[[#This Row],[Irms BoSync]]^2</f>
        <v>0.29491781459200811</v>
      </c>
      <c r="AW92"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0.21798887462558833</v>
      </c>
      <c r="AX92" s="345">
        <f>(Table16[[#This Row],[Deadtime Loss BoSync]]+Table16[[#This Row],[RDS(on) Loss BoSync]]*(1+RdsonBotTc*Ta-RdsonBotTc*25))/(1-Table16[[#This Row],[RDS(on) Loss BoSync]]*RdsonBotTc*ThetaJA_Q3)</f>
        <v>0.55550180779864688</v>
      </c>
      <c r="AY92" s="345">
        <f>CHOOSE(Table16[[#This Row],[Mode Digit]], Rdson3*Table16[[#This Row],[Irms Lf]]^2, Rdson1*Table16[[#This Row],[Irms Lf]]^2, 0)</f>
        <v>0</v>
      </c>
      <c r="AZ92" s="345">
        <f>CHOOSE(Table16[[#This Row],[Mode Digit]], 2*Deadtime*Fsw*IF(VfdSky_Q2&gt;0,VfdSky_Q2,0)*Table16[[#This Row],[Iout]], 2*Deadtime*Fsw*IF(VfdSky_Q3&gt;0,VfdSky_Q3,0)*Table16[[#This Row],[Iin]], 2*Deadtime*Fsw*IF(VfdSky_Q2&gt;0,VfdSky_Q2,0)*Table16[[#This Row],[Iout]]+2*Deadtime*Fsw*IF(VfdSky_Q3&gt;0,VfdSky_Q3,0)*Table16[[#This Row],[Iin]])</f>
        <v>0</v>
      </c>
      <c r="BA92" s="345">
        <f>CHOOSE(Table16[[#This Row],[Mode Digit]], IF(QrrSky_Q2&gt;0,QrrSky_Q2,Qrr_Q2)*Fsw*(Table16[[#This Row],[Vin]]-Table16[[#This Row],[Iout]]*Rdson1),0,  IF(QrrSky_Q2&gt;0,QrrSky_Q2,Qrr_Q2)*Fsw*(Table16[[#This Row],[Vin]]-Table16[[#This Row],[Iout]]*Rdson1)+IF(QrrSky_Q3&gt;0,QrrSky_Q3,Qrr_Q3)*Fsw*Vout)</f>
        <v>0.68654601999999998</v>
      </c>
      <c r="BB92" s="345">
        <f>CHOOSE(Table16[[#This Row],[Mode Digit]],0, IF(QrrSky_Q3&gt;0,QrrSky_Q3,Qrr_Q3)*Fsw*Vout,  IF(QrrSky_Q2&gt;0,QrrSky_Q2,Qrr_Q2)*Fsw*(Table16[[#This Row],[Vin]]-Table16[[#This Row],[Iout]]*Rdson1)+IF(QrrSky_Q3&gt;0,QrrSky_Q3,Qrr_Q3)*Fsw*Vout)</f>
        <v>0.68654601999999998</v>
      </c>
      <c r="BC92" s="345">
        <f>CHOOSE(Table16[[#This Row],[Mode Digit]], Rs*Table16[[#This Row],[Irms BuSync]]^2, Rs*Table16[[#This Row],[Irms BoCtlr]]^2, Rs*(Table16[[#This Row],[Irms BuSync]]^2+Table16[[#This Row],[Irms BoCtlr]]^2))</f>
        <v>6.9737566744620311E-2</v>
      </c>
      <c r="BD92" s="345">
        <f t="shared" si="5"/>
        <v>0.64</v>
      </c>
      <c r="BE92" s="345">
        <f>IF(Vout&gt;8, Iq*Vout, Iq*Table16[[#This Row],[Vin]])</f>
        <v>4.8000000000000001E-2</v>
      </c>
      <c r="BF92" s="345">
        <f>CHOOSE(Table16[[#This Row],[Mode Digit]], (Qg_Q1+Qg_Q2)*Fsw, (Qg_Q3+Qg_Q4)*Fsw, (Qg_Q1+Qg_Q2+Qg_Q3+Qg_Q4)*Fsw)*IF(Vout&gt;8, Vout, Table16[[#This Row],[Vin]])</f>
        <v>1.7066240000000001</v>
      </c>
      <c r="BG92" s="345">
        <f t="shared" si="6"/>
        <v>0.50594479787234037</v>
      </c>
      <c r="BH92" s="345">
        <f>Table16[[#This Row],[IQ Loss]]+Table16[[#This Row],[Switching Current Loss]]</f>
        <v>1.7546240000000002</v>
      </c>
      <c r="BI92"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7.9189148605259145</v>
      </c>
      <c r="BJ92" s="253">
        <f>Vout*Table16[[#This Row],[Iout]]</f>
        <v>128</v>
      </c>
      <c r="BK92" s="684">
        <f>Table16[[#This Row],[Pout]]/(Table16[[#This Row],[Pout]]+Table16[[#This Row],[Total Loss]])</f>
        <v>0.94173794818291512</v>
      </c>
      <c r="BL92"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110.57489988275299</v>
      </c>
      <c r="BM92" s="685">
        <f>IF(Table16[[#This Row],[Vin]]&gt;Vout, Table16[[#This Row],[Total Sync Bu MOSFET Loss]]*ThetaJA_Q2, ThetaJA_Q3*Table16[[#This Row],[Total Sync Bo MOSFET Loss]])</f>
        <v>23.592789490554374</v>
      </c>
      <c r="BN92" s="640"/>
      <c r="BO92" s="292">
        <f>Table16[[#This Row],[EFF, h]]*100</f>
        <v>94.173794818291512</v>
      </c>
      <c r="BP92" s="345">
        <f>Table16[[#This Row],[Total Inductor Loss]]</f>
        <v>1.5657856343896206</v>
      </c>
      <c r="BQ92" s="345">
        <f>Table16[[#This Row],[Total Control Bu MOSFET Loss]]+Table16[[#This Row],[Total Sync Bu MOSFET Loss]]+Table16[[#This Row],[Total Control Bo MOSFET Loss]]+Table16[[#This Row],[Total Sync Bo MOSFET Loss]]+Table16[[#This Row],[Reverse Recovery Loss MOSFET D BUCK]]+Table16[[#This Row],[Reverse Recovery Loss MOSFET D BOOST]]</f>
        <v>3.8669380057446583</v>
      </c>
      <c r="BR92" s="345">
        <f>Table16[[#This Row],[Total Control Bu MOSFET Loss]]+Table16[[#This Row],[Reverse Recovery Loss MOSFET D BUCK]]*0.66</f>
        <v>1.4677266590885074</v>
      </c>
      <c r="BS92" s="345">
        <f>Table16[[#This Row],[Total Sync Bu MOSFET Loss]]+Table16[[#This Row],[Reverse Recovery Loss MOSFET D BUCK]]*0.33</f>
        <v>0.5895261787623749</v>
      </c>
      <c r="BT92" s="345">
        <f xml:space="preserve"> Table16[[#This Row],[Total Control Bo MOSFET Loss]]+Table16[[#This Row],[Reverse Recovery Loss MOSFET D BOOST]]*0.66</f>
        <v>1.0138922530951291</v>
      </c>
      <c r="BU92" s="345">
        <f xml:space="preserve"> Table16[[#This Row],[Total Sync Bo MOSFET Loss]]+Table16[[#This Row],[Reverse Recovery Loss MOSFET D BOOST]]*0.33</f>
        <v>0.78206199439864688</v>
      </c>
      <c r="BV92" s="345">
        <f>Table16[[#This Row],[Isense Shunt Loss]]</f>
        <v>6.9737566744620311E-2</v>
      </c>
      <c r="CB92" s="686"/>
      <c r="CC92" s="686"/>
    </row>
    <row r="93" spans="1:81" x14ac:dyDescent="0.2">
      <c r="G93" s="253">
        <v>84</v>
      </c>
      <c r="H93" s="286">
        <f>VIN_min+(VIN_max-VIN_min)*(Table16[[#This Row],[Step]]/200)</f>
        <v>18.600000000000001</v>
      </c>
      <c r="I93" s="292" t="str">
        <f>IF(Mode = 2,IF(Table16[[#This Row],[Vin]]&gt;Vout, "BUCK","BOOST"),IF(Table16[[#This Row],[Vin]]&gt;VIN_BB_to_buck, "BUCK", IF(Table16[[#This Row],[Vin]]&lt;=VIN_boost_to_BB,"BOOST","BUCK-BST")))</f>
        <v>BUCK-BST</v>
      </c>
      <c r="J93" s="253">
        <f>IF(Table16[[#This Row],[Mode]]="BOOST",2, IF(Table16[[#This Row],[Mode]]="BUCK", 1,3))</f>
        <v>3</v>
      </c>
      <c r="K93" s="253">
        <f t="shared" si="4"/>
        <v>8</v>
      </c>
      <c r="L93" s="292">
        <f>Vout*Table16[[#This Row],[Iout]]/(Table16[[#This Row],[Vin]]*Efficiency)</f>
        <v>7.2439162422184484</v>
      </c>
      <c r="M93" s="682">
        <f>MIN(1/Fsw,CHOOSE(Table16[[#This Row],[Mode Digit]],(Vout+(Rdson2+Rs+Rdcr)*Table16[[#This Row],[Iout]])/(Table16[[#This Row],[Vin]]+(Rs+Rdson2-Rdson1)*Table16[[#This Row],[Iout]])/Fsw,(Vout+(Rdson3+Rdcr)*Table16[[#This Row],[Iin]]-Table16[[#This Row],[Vin]])/(Vout+(Rdson3-Rdson4-Rs)*Table16[[#This Row],[Iin]])/Fsw,t1_Ph_II))</f>
        <v>1.5084238313644118E-6</v>
      </c>
      <c r="N93" s="518">
        <f>CHOOSE(Table16[[#This Row],[Mode Digit]],1/Fsw-Table16[[#This Row],[t1_Ph_II]],1/Fsw-Table16[[#This Row],[t1_Ph_II]],(Vout/Fsw-Table16[[#This Row],[Vin]]*t1_Ph_II)/(Table16[[#This Row],[Vin]]+Vout))</f>
        <v>3.5099195843201068E-7</v>
      </c>
      <c r="O93" s="518">
        <f>1/Fsw-(Table16[[#This Row],[t1_Ph_II]]+Table16[[#This Row],[t2_Ph_I]])</f>
        <v>6.5314702427392945E-7</v>
      </c>
      <c r="P93"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8.1510703967331111</v>
      </c>
      <c r="Q93" s="292">
        <f>CHOOSE(Table16[[#This Row],[Mode Digit]],Table16[[#This Row],[I_0]]+1/Lf*(Table16[[#This Row],[Vin]]-Vout)*Table16[[#This Row],[t1_Ph_II]],Table16[[#This Row],[I_0]]+1/Lf*Table16[[#This Row],[Vin]]*Table16[[#This Row],[t1_Ph_II]],Table16[[#This Row],[I_0]]+(Table16[[#This Row],[Vin]]-Vout)/L*Table16[[#This Row],[t1_Ph_II]])</f>
        <v>10.32990481981504</v>
      </c>
      <c r="R93" s="292">
        <f>CHOOSE(Table16[[#This Row],[Mode Digit]],0,0,Table16[[#This Row],[I_1]]+Table16[[#This Row],[Vin]]/L*Table16[[#This Row],[t2_Ph_I]])</f>
        <v>13.956821723612483</v>
      </c>
      <c r="S93" s="292">
        <f>Fsw*(Table16[[#This Row],[I_0]]*Table16[[#This Row],[t1_Ph_II]]+Table16[[#This Row],[I_1]]*Table16[[#This Row],[t2_Ph_I]]+Table16[[#This Row],[I_2]]*Table16[[#This Row],[t3_Ph_III]])</f>
        <v>9.9646618972378604</v>
      </c>
      <c r="T93" s="345">
        <f>MIN(1,CHOOSE(Table16[[#This Row],[Mode Digit]],(Vout+(Rdson2+Rs+Rdcr)*Table16[[#This Row],[Iout]])/(Table16[[#This Row],[Vin]]+(Rs+Rdson2-Rdson1)*Table16[[#This Row],[Iout]]),1,Fsw*Table16[[#This Row],[t2_Ph_I]]+Table16[[#This Row],[t1_Ph_II]]))</f>
        <v>0.13969630787977161</v>
      </c>
      <c r="U93" s="345">
        <f>MIN(1,CHOOSE(Table16[[#This Row],[Mode Digit]],0,(Vout+(Rdson3+Rdcr)*Table16[[#This Row],[Iin]]-Table16[[#This Row],[Vin]])/(Vout+(Rdson3-Rdson4-Rs)*Table16[[#This Row],[Iin]]),Fsw*Table16[[#This Row],[t1_Ph_II]]+Table16[[#This Row],[t3_Ph_III]]))</f>
        <v>0.60035333803006008</v>
      </c>
      <c r="V93" s="292">
        <f>MAX(Table16[[#This Row],[I_0]:[I_2]])-MIN(Table16[[#This Row],[I_0]:[I_1]])</f>
        <v>5.8057513268793723</v>
      </c>
      <c r="W93"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10.234549330095318</v>
      </c>
      <c r="X93" s="345">
        <f>(Table16[[#This Row],[Irms Lf]]^2*Rdcr*(1+Ltc*Ta-Ltc*25))/(1-Table16[[#This Row],[Irms Lf]]^2*Rdcr*Ltc*ThetaCa)</f>
        <v>0.34442289153807026</v>
      </c>
      <c r="Y93" s="345">
        <f>ABS(7.759*10^-3*Fsw^0.9458*(0.00787*Table16[[#This Row],[Ripple Current pk-pk]])^2.304)</f>
        <v>1.2543847565015156</v>
      </c>
      <c r="Z93" s="345">
        <f>Table16[[#This Row],[DCR    Loss]]+Table16[[#This Row],[Core Loss]]</f>
        <v>1.5988076480395859</v>
      </c>
      <c r="AA93" s="292">
        <f>IF(Table16[[#This Row],[Vin]]&gt;Vout, Table16[[#This Row],[Ripple Current pk-pk]]/SQRT(12), SQRT(Table16[[#This Row],[Duty Cycle BOOST Leg]]/(1-Table16[[#This Row],[Duty Cycle BOOST Leg]]))*SQRT(Table16[[#This Row],[Iout]]^2+(Table16[[#This Row],[Ripple Current pk-pk]]^2)/12))</f>
        <v>1.6759760457109163</v>
      </c>
      <c r="AB93" s="345">
        <f>RCoutEsr*Table16[[#This Row],[Irms Cout]]^2</f>
        <v>5.6177914115935991E-3</v>
      </c>
      <c r="AC93" s="345">
        <f>Table16[[#This Row],[Cout ESR Loss]]</f>
        <v>5.6177914115935991E-3</v>
      </c>
      <c r="AD93" s="345">
        <f>IF(Table16[[#This Row],[Vin]]&gt;Vout, SQRT(Table16[[#This Row],[Duty Cycle BUCK Leg]]*(1-Table16[[#This Row],[Duty Cycle BUCK Leg]]))*SQRT(Table16[[#This Row],[Iout]]^2+(Table16[[#This Row],[Ripple Current pk-pk]]^2)/12), Table16[[#This Row],[Ripple Current pk-pk]]/SQRT(12))</f>
        <v>2.8335801664911595</v>
      </c>
      <c r="AE93" s="345">
        <f>RCinEsr*Table16[[#This Row],[Irms Cin]]^2</f>
        <v>1.6058353119864133E-2</v>
      </c>
      <c r="AF93" s="683">
        <f>Table16[[#This Row],[Cin ESR Loss]]</f>
        <v>1.6058353119864133E-2</v>
      </c>
      <c r="AG93"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8.5001349679366154</v>
      </c>
      <c r="AH93" s="345">
        <f>Rdson1*Table16[[#This Row],[Irms BuCtrl]]^2</f>
        <v>0.25288303065598583</v>
      </c>
      <c r="AI93" s="345">
        <f>CHOOSE(Table16[[#This Row],[Mode Digit]], (Table16[[#This Row],[Vin]]*Table16[[#This Row],[Iout]]/2)*(Fsw)*(Tr_buck+Tf_buck), 0, (Table16[[#This Row],[Vin]]*Table16[[#This Row],[Avg IL]]/2)*(Fsw/1)*(Tr_buck+Tf_buck))</f>
        <v>0.69364680181850802</v>
      </c>
      <c r="AJ93" s="253">
        <f>IF(Table16[[#This Row],[Vin]]&gt;Vout, IF(Table16[[#This Row],[Iout]]&gt;Table16[[#This Row],[Ripple Current pk-pk]]/2,0,ABS(Table16[[#This Row],[Iout]]-Table16[[#This Row],[Ripple Current pk-pk]]/2)*Vsd_Q1*Deadtime*Fsw),0)</f>
        <v>0</v>
      </c>
      <c r="AK93" s="345">
        <f>(Table16[[#This Row],[Dead Time Loss BuCtrl]]+Table16[[#This Row],[Transition Loss BuCtrl]]+Table16[[#This Row],[RDS(on) Loss BuCtrl]]*(1+RdsonTopTc*Ta-RdsonTopTc*25))/(1-Table16[[#This Row],[RDS(on) Loss BuCtrl]]*RdsonTopTc*ThetaJA_Q1)</f>
        <v>1.0131436072031008</v>
      </c>
      <c r="AL93" s="345">
        <f>CHOOSE(Table16[[#This Row],[Mode Digit]],SQRT((Fsw*(Table16[[#This Row],[t2_Ph_I]]+0))*((Table16[[#This Row],[I_0]]*Table16[[#This Row],[I_1]]+((Table16[[#This Row],[I_0]]-Table16[[#This Row],[I_1]])^2)/3))),0,SQRT((Fsw*(Table16[[#This Row],[t3_Ph_III]]+0))*((Table16[[#This Row],[I_0]]*Table16[[#This Row],[I_2]]+((Table16[[#This Row],[I_0]]-Table16[[#This Row],[I_2]])^2)/3))))</f>
        <v>5.7003250360848483</v>
      </c>
      <c r="AM93" s="345">
        <f>Rdson2*Table16[[#This Row],[Irms BuSync]]^2</f>
        <v>0.11372796930955505</v>
      </c>
      <c r="AN93"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93" s="345">
        <f>(Table16[[#This Row],[Deadtime Loss BuSync]]+Table16[[#This Row],[RDS(on) Loss BuSync]]*(1+RdsonBotTc*Ta-RdsonBotTc*25))/(1-Table16[[#This Row],[RDS(on) Loss BuSync]]*RdsonBotTc*ThetaJA_Q2)</f>
        <v>0.3632695865304425</v>
      </c>
      <c r="AP93" s="345">
        <f>CHOOSE(Table16[[#This Row],[Mode Digit]],0,SQRT((Fsw*(Table16[[#This Row],[t1_Ph_II]]+0))*((Table16[[#This Row],[I_0]]*Table16[[#This Row],[I_1]]+((Table16[[#This Row],[I_0]]-Table16[[#This Row],[I_1]])^2)/3))),SQRT((Fsw*(Table16[[#This Row],[t2_Ph_I]]+0))*((Table16[[#This Row],[I_1]]*Table16[[#This Row],[I_2]]+((Table16[[#This Row],[I_1]]-Table16[[#This Row],[I_2]])^2)/3))))</f>
        <v>4.5555139847365922</v>
      </c>
      <c r="AQ93" s="345">
        <f>Rdson4*Table16[[#This Row],[Irms BoCtlr]]^2</f>
        <v>7.2634476827957331E-2</v>
      </c>
      <c r="AR93" s="345">
        <f>CHOOSE(Table16[[#This Row],[Mode Digit]], 0, (Vout*Table16[[#This Row],[Iin]]/2)*(Fsw)*(Tr_boost+Tf_boost), (Vout*Iout/2)*(Fsw/1)*(Tr_boost+Tf_boost))</f>
        <v>0.47564320886662292</v>
      </c>
      <c r="AS93" s="253">
        <f>IF(Table16[[#This Row],[Vin]]&gt;Vout, 0, IF(Table16[[#This Row],[Iin]]&gt;Table16[[#This Row],[Ripple Current pk-pk]]/2,0,ABS(Table16[[#This Row],[Iin]]-Table16[[#This Row],[Ripple Current pk-pk]]/2)*Vsd_Q4*Deadtime*Fsw))</f>
        <v>0</v>
      </c>
      <c r="AT93" s="345">
        <f>(Table16[[#This Row],[Dead Time Loss BoCtlr]]+Table16[[#This Row],[Transition Loss BoCtlr]]+Table16[[#This Row],[RDS(on) Loss BoCtlr]]*(1+RdsonTopTc*Ta-RdsonTopTc*25))/(1-Table16[[#This Row],[RDS(on) Loss BoCtlr]]*RdsonTopTc*ThetaJA_Q4)</f>
        <v>0.5588311926357632</v>
      </c>
      <c r="AU93"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9.1647854489357172</v>
      </c>
      <c r="AV93" s="345">
        <f>Rdson3*Table16[[#This Row],[Irms BoSync]]^2</f>
        <v>0.29397652313758349</v>
      </c>
      <c r="AW93"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0.21623089983022065</v>
      </c>
      <c r="AX93" s="345">
        <f>(Table16[[#This Row],[Deadtime Loss BoSync]]+Table16[[#This Row],[RDS(on) Loss BoSync]]*(1+RdsonBotTc*Ta-RdsonBotTc*25))/(1-Table16[[#This Row],[RDS(on) Loss BoSync]]*RdsonBotTc*ThetaJA_Q3)</f>
        <v>0.55243194912285021</v>
      </c>
      <c r="AY93" s="345">
        <f>CHOOSE(Table16[[#This Row],[Mode Digit]], Rdson3*Table16[[#This Row],[Irms Lf]]^2, Rdson1*Table16[[#This Row],[Irms Lf]]^2, 0)</f>
        <v>0</v>
      </c>
      <c r="AZ93" s="345">
        <f>CHOOSE(Table16[[#This Row],[Mode Digit]], 2*Deadtime*Fsw*IF(VfdSky_Q2&gt;0,VfdSky_Q2,0)*Table16[[#This Row],[Iout]], 2*Deadtime*Fsw*IF(VfdSky_Q3&gt;0,VfdSky_Q3,0)*Table16[[#This Row],[Iin]], 2*Deadtime*Fsw*IF(VfdSky_Q2&gt;0,VfdSky_Q2,0)*Table16[[#This Row],[Iout]]+2*Deadtime*Fsw*IF(VfdSky_Q3&gt;0,VfdSky_Q3,0)*Table16[[#This Row],[Iin]])</f>
        <v>0</v>
      </c>
      <c r="BA93" s="345">
        <f>CHOOSE(Table16[[#This Row],[Mode Digit]], IF(QrrSky_Q2&gt;0,QrrSky_Q2,Qrr_Q2)*Fsw*(Table16[[#This Row],[Vin]]-Table16[[#This Row],[Iout]]*Rdson1),0,  IF(QrrSky_Q2&gt;0,QrrSky_Q2,Qrr_Q2)*Fsw*(Table16[[#This Row],[Vin]]-Table16[[#This Row],[Iout]]*Rdson1)+IF(QrrSky_Q3&gt;0,QrrSky_Q3,Qrr_Q3)*Fsw*Vout)</f>
        <v>0.68923252000000002</v>
      </c>
      <c r="BB93" s="345">
        <f>CHOOSE(Table16[[#This Row],[Mode Digit]],0, IF(QrrSky_Q3&gt;0,QrrSky_Q3,Qrr_Q3)*Fsw*Vout,  IF(QrrSky_Q2&gt;0,QrrSky_Q2,Qrr_Q2)*Fsw*(Table16[[#This Row],[Vin]]-Table16[[#This Row],[Iout]]*Rdson1)+IF(QrrSky_Q3&gt;0,QrrSky_Q3,Qrr_Q3)*Fsw*Vout)</f>
        <v>0.68923252000000002</v>
      </c>
      <c r="BC93" s="345">
        <f>CHOOSE(Table16[[#This Row],[Mode Digit]], Rs*Table16[[#This Row],[Irms BuSync]]^2, Rs*Table16[[#This Row],[Irms BoCtlr]]^2, Rs*(Table16[[#This Row],[Irms BuSync]]^2+Table16[[#This Row],[Irms BoCtlr]]^2))</f>
        <v>6.9220337136790308E-2</v>
      </c>
      <c r="BD93" s="345">
        <f t="shared" si="5"/>
        <v>0.64</v>
      </c>
      <c r="BE93" s="345">
        <f>IF(Vout&gt;8, Iq*Vout, Iq*Table16[[#This Row],[Vin]])</f>
        <v>4.8000000000000001E-2</v>
      </c>
      <c r="BF93" s="345">
        <f>CHOOSE(Table16[[#This Row],[Mode Digit]], (Qg_Q1+Qg_Q2)*Fsw, (Qg_Q3+Qg_Q4)*Fsw, (Qg_Q1+Qg_Q2+Qg_Q3+Qg_Q4)*Fsw)*IF(Vout&gt;8, Vout, Table16[[#This Row],[Vin]])</f>
        <v>1.7066240000000001</v>
      </c>
      <c r="BG93" s="345">
        <f t="shared" si="6"/>
        <v>0.50594479787234037</v>
      </c>
      <c r="BH93" s="345">
        <f>Table16[[#This Row],[IQ Loss]]+Table16[[#This Row],[Switching Current Loss]]</f>
        <v>1.7546240000000002</v>
      </c>
      <c r="BI93"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7.9504695051999903</v>
      </c>
      <c r="BJ93" s="253">
        <f>Vout*Table16[[#This Row],[Iout]]</f>
        <v>128</v>
      </c>
      <c r="BK93" s="684">
        <f>Table16[[#This Row],[Pout]]/(Table16[[#This Row],[Pout]]+Table16[[#This Row],[Total Loss]])</f>
        <v>0.94151936705966377</v>
      </c>
      <c r="BL93"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110.65444826820155</v>
      </c>
      <c r="BM93" s="685">
        <f>IF(Table16[[#This Row],[Vin]]&gt;Vout, Table16[[#This Row],[Total Sync Bu MOSFET Loss]]*ThetaJA_Q2, ThetaJA_Q3*Table16[[#This Row],[Total Sync Bo MOSFET Loss]])</f>
        <v>23.612523124478763</v>
      </c>
      <c r="BN93" s="640"/>
      <c r="BO93" s="292">
        <f>Table16[[#This Row],[EFF, h]]*100</f>
        <v>94.151936705966378</v>
      </c>
      <c r="BP93" s="345">
        <f>Table16[[#This Row],[Total Inductor Loss]]</f>
        <v>1.5988076480395859</v>
      </c>
      <c r="BQ93" s="345">
        <f>Table16[[#This Row],[Total Control Bu MOSFET Loss]]+Table16[[#This Row],[Total Sync Bu MOSFET Loss]]+Table16[[#This Row],[Total Control Bo MOSFET Loss]]+Table16[[#This Row],[Total Sync Bo MOSFET Loss]]+Table16[[#This Row],[Reverse Recovery Loss MOSFET D BUCK]]+Table16[[#This Row],[Reverse Recovery Loss MOSFET D BOOST]]</f>
        <v>3.8661413754921568</v>
      </c>
      <c r="BR93" s="345">
        <f>Table16[[#This Row],[Total Control Bu MOSFET Loss]]+Table16[[#This Row],[Reverse Recovery Loss MOSFET D BUCK]]*0.66</f>
        <v>1.4680370704031009</v>
      </c>
      <c r="BS93" s="345">
        <f>Table16[[#This Row],[Total Sync Bu MOSFET Loss]]+Table16[[#This Row],[Reverse Recovery Loss MOSFET D BUCK]]*0.33</f>
        <v>0.59071631813044245</v>
      </c>
      <c r="BT93" s="345">
        <f xml:space="preserve"> Table16[[#This Row],[Total Control Bo MOSFET Loss]]+Table16[[#This Row],[Reverse Recovery Loss MOSFET D BOOST]]*0.66</f>
        <v>1.0137246558357633</v>
      </c>
      <c r="BU93" s="345">
        <f xml:space="preserve"> Table16[[#This Row],[Total Sync Bo MOSFET Loss]]+Table16[[#This Row],[Reverse Recovery Loss MOSFET D BOOST]]*0.33</f>
        <v>0.77987868072285016</v>
      </c>
      <c r="BV93" s="345">
        <f>Table16[[#This Row],[Isense Shunt Loss]]</f>
        <v>6.9220337136790308E-2</v>
      </c>
      <c r="CB93" s="686"/>
      <c r="CC93" s="686"/>
    </row>
    <row r="94" spans="1:81" x14ac:dyDescent="0.2">
      <c r="G94" s="253">
        <v>85</v>
      </c>
      <c r="H94" s="286">
        <f>VIN_min+(VIN_max-VIN_min)*(Table16[[#This Row],[Step]]/200)</f>
        <v>18.75</v>
      </c>
      <c r="I94" s="292" t="str">
        <f>IF(Mode = 2,IF(Table16[[#This Row],[Vin]]&gt;Vout, "BUCK","BOOST"),IF(Table16[[#This Row],[Vin]]&gt;VIN_BB_to_buck, "BUCK", IF(Table16[[#This Row],[Vin]]&lt;=VIN_boost_to_BB,"BOOST","BUCK-BST")))</f>
        <v>BUCK-BST</v>
      </c>
      <c r="J94" s="253">
        <f>IF(Table16[[#This Row],[Mode]]="BOOST",2, IF(Table16[[#This Row],[Mode]]="BUCK", 1,3))</f>
        <v>3</v>
      </c>
      <c r="K94" s="253">
        <f t="shared" si="4"/>
        <v>8</v>
      </c>
      <c r="L94" s="292">
        <f>Vout*Table16[[#This Row],[Iout]]/(Table16[[#This Row],[Vin]]*Efficiency)</f>
        <v>7.1859649122807019</v>
      </c>
      <c r="M94" s="682">
        <f>MIN(1/Fsw,CHOOSE(Table16[[#This Row],[Mode Digit]],(Vout+(Rdson2+Rs+Rdcr)*Table16[[#This Row],[Iout]])/(Table16[[#This Row],[Vin]]+(Rs+Rdson2-Rdson1)*Table16[[#This Row],[Iout]])/Fsw,(Vout+(Rdson3+Rdcr)*Table16[[#This Row],[Iin]]-Table16[[#This Row],[Vin]])/(Vout+(Rdson3-Rdson4-Rs)*Table16[[#This Row],[Iin]])/Fsw,t1_Ph_II))</f>
        <v>1.5084238313644118E-6</v>
      </c>
      <c r="N94" s="518">
        <f>CHOOSE(Table16[[#This Row],[Mode Digit]],1/Fsw-Table16[[#This Row],[t1_Ph_II]],1/Fsw-Table16[[#This Row],[t1_Ph_II]],(Vout/Fsw-Table16[[#This Row],[Vin]]*t1_Ph_II)/(Table16[[#This Row],[Vin]]+Vout))</f>
        <v>3.4296570322425635E-7</v>
      </c>
      <c r="O94" s="518">
        <f>1/Fsw-(Table16[[#This Row],[t1_Ph_II]]+Table16[[#This Row],[t2_Ph_I]])</f>
        <v>6.6117327948168378E-7</v>
      </c>
      <c r="P94"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8.0556087729234278</v>
      </c>
      <c r="Q94" s="292">
        <f>CHOOSE(Table16[[#This Row],[Mode Digit]],Table16[[#This Row],[I_0]]+1/Lf*(Table16[[#This Row],[Vin]]-Vout)*Table16[[#This Row],[t1_Ph_II]],Table16[[#This Row],[I_0]]+1/Lf*Table16[[#This Row],[Vin]]*Table16[[#This Row],[t1_Ph_II]],Table16[[#This Row],[I_0]]+(Table16[[#This Row],[Vin]]-Vout)/L*Table16[[#This Row],[t1_Ph_II]])</f>
        <v>10.36014518195239</v>
      </c>
      <c r="R94" s="292">
        <f>CHOOSE(Table16[[#This Row],[Mode Digit]],0,0,Table16[[#This Row],[I_1]]+Table16[[#This Row],[Vin]]/L*Table16[[#This Row],[t2_Ph_I]])</f>
        <v>13.932704590538393</v>
      </c>
      <c r="S94" s="292">
        <f>Fsw*(Table16[[#This Row],[I_0]]*Table16[[#This Row],[t1_Ph_II]]+Table16[[#This Row],[I_1]]*Table16[[#This Row],[t2_Ph_I]]+Table16[[#This Row],[I_2]]*Table16[[#This Row],[t3_Ph_III]])</f>
        <v>9.9167187278676874</v>
      </c>
      <c r="T94" s="345">
        <f>MIN(1,CHOOSE(Table16[[#This Row],[Mode Digit]],(Vout+(Rdson2+Rs+Rdcr)*Table16[[#This Row],[Iout]])/(Table16[[#This Row],[Vin]]+(Rs+Rdson2-Rdson1)*Table16[[#This Row],[Iout]]),1,Fsw*Table16[[#This Row],[t2_Ph_I]]+Table16[[#This Row],[t1_Ph_II]]))</f>
        <v>0.13650185830708539</v>
      </c>
      <c r="U94" s="345">
        <f>MIN(1,CHOOSE(Table16[[#This Row],[Mode Digit]],0,(Vout+(Rdson3+Rdcr)*Table16[[#This Row],[Iin]]-Table16[[#This Row],[Vin]])/(Vout+(Rdson3-Rdson4-Rs)*Table16[[#This Row],[Iin]]),Fsw*Table16[[#This Row],[t1_Ph_II]]+Table16[[#This Row],[t3_Ph_III]]))</f>
        <v>0.6003533460563153</v>
      </c>
      <c r="V94" s="292">
        <f>MAX(Table16[[#This Row],[I_0]:[I_2]])-MIN(Table16[[#This Row],[I_0]:[I_1]])</f>
        <v>5.8770958176149648</v>
      </c>
      <c r="W94"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10.198766756699705</v>
      </c>
      <c r="X94" s="345">
        <f>(Table16[[#This Row],[Irms Lf]]^2*Rdcr*(1+Ltc*Ta-Ltc*25))/(1-Table16[[#This Row],[Irms Lf]]^2*Rdcr*Ltc*ThetaCa)</f>
        <v>0.34195295356683469</v>
      </c>
      <c r="Y94" s="345">
        <f>ABS(7.759*10^-3*Fsw^0.9458*(0.00787*Table16[[#This Row],[Ripple Current pk-pk]])^2.304)</f>
        <v>1.2901849451523426</v>
      </c>
      <c r="Z94" s="345">
        <f>Table16[[#This Row],[DCR    Loss]]+Table16[[#This Row],[Core Loss]]</f>
        <v>1.6321378987191772</v>
      </c>
      <c r="AA94" s="292">
        <f>IF(Table16[[#This Row],[Vin]]&gt;Vout, Table16[[#This Row],[Ripple Current pk-pk]]/SQRT(12), SQRT(Table16[[#This Row],[Duty Cycle BOOST Leg]]/(1-Table16[[#This Row],[Duty Cycle BOOST Leg]]))*SQRT(Table16[[#This Row],[Iout]]^2+(Table16[[#This Row],[Ripple Current pk-pk]]^2)/12))</f>
        <v>1.6965714261766118</v>
      </c>
      <c r="AB94" s="345">
        <f>RCoutEsr*Table16[[#This Row],[Irms Cout]]^2</f>
        <v>5.7567092082378857E-3</v>
      </c>
      <c r="AC94" s="345">
        <f>Table16[[#This Row],[Cout ESR Loss]]</f>
        <v>5.7567092082378857E-3</v>
      </c>
      <c r="AD94" s="345">
        <f>IF(Table16[[#This Row],[Vin]]&gt;Vout, SQRT(Table16[[#This Row],[Duty Cycle BUCK Leg]]*(1-Table16[[#This Row],[Duty Cycle BUCK Leg]]))*SQRT(Table16[[#This Row],[Iout]]^2+(Table16[[#This Row],[Ripple Current pk-pk]]^2)/12), Table16[[#This Row],[Ripple Current pk-pk]]/SQRT(12))</f>
        <v>2.8076487552037004</v>
      </c>
      <c r="AE94" s="345">
        <f>RCinEsr*Table16[[#This Row],[Irms Cin]]^2</f>
        <v>1.5765783065193776E-2</v>
      </c>
      <c r="AF94" s="683">
        <f>Table16[[#This Row],[Cin ESR Loss]]</f>
        <v>1.5765783065193776E-2</v>
      </c>
      <c r="AG94"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8.4528367801989237</v>
      </c>
      <c r="AH94" s="345">
        <f>Rdson1*Table16[[#This Row],[Irms BuCtrl]]^2</f>
        <v>0.25007657371439301</v>
      </c>
      <c r="AI94" s="345">
        <f>CHOOSE(Table16[[#This Row],[Mode Digit]], (Table16[[#This Row],[Vin]]*Table16[[#This Row],[Iout]]/2)*(Fsw)*(Tr_buck+Tf_buck), 0, (Table16[[#This Row],[Vin]]*Table16[[#This Row],[Avg IL]]/2)*(Fsw/1)*(Tr_buck+Tf_buck))</f>
        <v>0.69587645728289138</v>
      </c>
      <c r="AJ94" s="253">
        <f>IF(Table16[[#This Row],[Vin]]&gt;Vout, IF(Table16[[#This Row],[Iout]]&gt;Table16[[#This Row],[Ripple Current pk-pk]]/2,0,ABS(Table16[[#This Row],[Iout]]-Table16[[#This Row],[Ripple Current pk-pk]]/2)*Vsd_Q1*Deadtime*Fsw),0)</f>
        <v>0</v>
      </c>
      <c r="AK94" s="345">
        <f>(Table16[[#This Row],[Dead Time Loss BuCtrl]]+Table16[[#This Row],[Transition Loss BuCtrl]]+Table16[[#This Row],[RDS(on) Loss BuCtrl]]*(1+RdsonTopTc*Ta-RdsonTopTc*25))/(1-Table16[[#This Row],[RDS(on) Loss BuCtrl]]*RdsonTopTc*ThetaJA_Q1)</f>
        <v>1.0117360147778502</v>
      </c>
      <c r="AL94" s="345">
        <f>CHOOSE(Table16[[#This Row],[Mode Digit]],SQRT((Fsw*(Table16[[#This Row],[t2_Ph_I]]+0))*((Table16[[#This Row],[I_0]]*Table16[[#This Row],[I_1]]+((Table16[[#This Row],[I_0]]-Table16[[#This Row],[I_1]])^2)/3))),0,SQRT((Fsw*(Table16[[#This Row],[t3_Ph_III]]+0))*((Table16[[#This Row],[I_0]]*Table16[[#This Row],[I_2]]+((Table16[[#This Row],[I_0]]-Table16[[#This Row],[I_2]])^2)/3))))</f>
        <v>5.706522034030824</v>
      </c>
      <c r="AM94" s="345">
        <f>Rdson2*Table16[[#This Row],[Irms BuSync]]^2</f>
        <v>0.11397537803707754</v>
      </c>
      <c r="AN94"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94" s="345">
        <f>(Table16[[#This Row],[Deadtime Loss BuSync]]+Table16[[#This Row],[RDS(on) Loss BuSync]]*(1+RdsonBotTc*Ta-RdsonBotTc*25))/(1-Table16[[#This Row],[RDS(on) Loss BuSync]]*RdsonBotTc*ThetaJA_Q2)</f>
        <v>0.36354863216129341</v>
      </c>
      <c r="AP94" s="345">
        <f>CHOOSE(Table16[[#This Row],[Mode Digit]],0,SQRT((Fsw*(Table16[[#This Row],[t1_Ph_II]]+0))*((Table16[[#This Row],[I_0]]*Table16[[#This Row],[I_1]]+((Table16[[#This Row],[I_0]]-Table16[[#This Row],[I_1]])^2)/3))),SQRT((Fsw*(Table16[[#This Row],[t2_Ph_I]]+0))*((Table16[[#This Row],[I_1]]*Table16[[#This Row],[I_2]]+((Table16[[#This Row],[I_1]]-Table16[[#This Row],[I_2]])^2)/3))))</f>
        <v>4.5037592846711725</v>
      </c>
      <c r="AQ94" s="345">
        <f>Rdson4*Table16[[#This Row],[Irms BoCtlr]]^2</f>
        <v>7.0993466929916274E-2</v>
      </c>
      <c r="AR94" s="345">
        <f>CHOOSE(Table16[[#This Row],[Mode Digit]], 0, (Vout*Table16[[#This Row],[Iin]]/2)*(Fsw)*(Tr_boost+Tf_boost), (Vout*Iout/2)*(Fsw/1)*(Tr_boost+Tf_boost))</f>
        <v>0.47564320886662292</v>
      </c>
      <c r="AS94" s="253">
        <f>IF(Table16[[#This Row],[Vin]]&gt;Vout, 0, IF(Table16[[#This Row],[Iin]]&gt;Table16[[#This Row],[Ripple Current pk-pk]]/2,0,ABS(Table16[[#This Row],[Iin]]-Table16[[#This Row],[Ripple Current pk-pk]]/2)*Vsd_Q4*Deadtime*Fsw))</f>
        <v>0</v>
      </c>
      <c r="AT94" s="345">
        <f>(Table16[[#This Row],[Dead Time Loss BoCtlr]]+Table16[[#This Row],[Transition Loss BoCtlr]]+Table16[[#This Row],[RDS(on) Loss BoCtlr]]*(1+RdsonTopTc*Ta-RdsonTopTc*25))/(1-Table16[[#This Row],[RDS(on) Loss BoCtlr]]*RdsonTopTc*ThetaJA_Q4)</f>
        <v>0.55691640668675868</v>
      </c>
      <c r="AU94"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9.1504642321196599</v>
      </c>
      <c r="AV94" s="345">
        <f>Rdson3*Table16[[#This Row],[Irms BoSync]]^2</f>
        <v>0.29305848482155433</v>
      </c>
      <c r="AW94"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0.21450105263157893</v>
      </c>
      <c r="AX94" s="345">
        <f>(Table16[[#This Row],[Deadtime Loss BoSync]]+Table16[[#This Row],[RDS(on) Loss BoSync]]*(1+RdsonBotTc*Ta-RdsonBotTc*25))/(1-Table16[[#This Row],[RDS(on) Loss BoSync]]*RdsonBotTc*ThetaJA_Q3)</f>
        <v>0.54942293088228389</v>
      </c>
      <c r="AY94" s="345">
        <f>CHOOSE(Table16[[#This Row],[Mode Digit]], Rdson3*Table16[[#This Row],[Irms Lf]]^2, Rdson1*Table16[[#This Row],[Irms Lf]]^2, 0)</f>
        <v>0</v>
      </c>
      <c r="AZ94" s="345">
        <f>CHOOSE(Table16[[#This Row],[Mode Digit]], 2*Deadtime*Fsw*IF(VfdSky_Q2&gt;0,VfdSky_Q2,0)*Table16[[#This Row],[Iout]], 2*Deadtime*Fsw*IF(VfdSky_Q3&gt;0,VfdSky_Q3,0)*Table16[[#This Row],[Iin]], 2*Deadtime*Fsw*IF(VfdSky_Q2&gt;0,VfdSky_Q2,0)*Table16[[#This Row],[Iout]]+2*Deadtime*Fsw*IF(VfdSky_Q3&gt;0,VfdSky_Q3,0)*Table16[[#This Row],[Iin]])</f>
        <v>0</v>
      </c>
      <c r="BA94" s="345">
        <f>CHOOSE(Table16[[#This Row],[Mode Digit]], IF(QrrSky_Q2&gt;0,QrrSky_Q2,Qrr_Q2)*Fsw*(Table16[[#This Row],[Vin]]-Table16[[#This Row],[Iout]]*Rdson1),0,  IF(QrrSky_Q2&gt;0,QrrSky_Q2,Qrr_Q2)*Fsw*(Table16[[#This Row],[Vin]]-Table16[[#This Row],[Iout]]*Rdson1)+IF(QrrSky_Q3&gt;0,QrrSky_Q3,Qrr_Q3)*Fsw*Vout)</f>
        <v>0.69191902000000005</v>
      </c>
      <c r="BB94" s="345">
        <f>CHOOSE(Table16[[#This Row],[Mode Digit]],0, IF(QrrSky_Q3&gt;0,QrrSky_Q3,Qrr_Q3)*Fsw*Vout,  IF(QrrSky_Q2&gt;0,QrrSky_Q2,Qrr_Q2)*Fsw*(Table16[[#This Row],[Vin]]-Table16[[#This Row],[Iout]]*Rdson1)+IF(QrrSky_Q3&gt;0,QrrSky_Q3,Qrr_Q3)*Fsw*Vout)</f>
        <v>0.69191902000000005</v>
      </c>
      <c r="BC94" s="345">
        <f>CHOOSE(Table16[[#This Row],[Mode Digit]], Rs*Table16[[#This Row],[Irms BuSync]]^2, Rs*Table16[[#This Row],[Irms BoCtlr]]^2, Rs*(Table16[[#This Row],[Irms BuSync]]^2+Table16[[#This Row],[Irms BoCtlr]]^2))</f>
        <v>6.8702713844883412E-2</v>
      </c>
      <c r="BD94" s="345">
        <f t="shared" si="5"/>
        <v>0.64</v>
      </c>
      <c r="BE94" s="345">
        <f>IF(Vout&gt;8, Iq*Vout, Iq*Table16[[#This Row],[Vin]])</f>
        <v>4.8000000000000001E-2</v>
      </c>
      <c r="BF94" s="345">
        <f>CHOOSE(Table16[[#This Row],[Mode Digit]], (Qg_Q1+Qg_Q2)*Fsw, (Qg_Q3+Qg_Q4)*Fsw, (Qg_Q1+Qg_Q2+Qg_Q3+Qg_Q4)*Fsw)*IF(Vout&gt;8, Vout, Table16[[#This Row],[Vin]])</f>
        <v>1.7066240000000001</v>
      </c>
      <c r="BG94" s="345">
        <f t="shared" si="6"/>
        <v>0.50594479787234037</v>
      </c>
      <c r="BH94" s="345">
        <f>Table16[[#This Row],[IQ Loss]]+Table16[[#This Row],[Switching Current Loss]]</f>
        <v>1.7546240000000002</v>
      </c>
      <c r="BI94"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7.982449129345679</v>
      </c>
      <c r="BJ94" s="253">
        <f>Vout*Table16[[#This Row],[Iout]]</f>
        <v>128</v>
      </c>
      <c r="BK94" s="684">
        <f>Table16[[#This Row],[Pout]]/(Table16[[#This Row],[Pout]]+Table16[[#This Row],[Total Loss]])</f>
        <v>0.94129794557713242</v>
      </c>
      <c r="BL94"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110.73757726056027</v>
      </c>
      <c r="BM94" s="685">
        <f>IF(Table16[[#This Row],[Vin]]&gt;Vout, Table16[[#This Row],[Total Sync Bu MOSFET Loss]]*ThetaJA_Q2, ThetaJA_Q3*Table16[[#This Row],[Total Sync Bo MOSFET Loss]])</f>
        <v>23.630661090484072</v>
      </c>
      <c r="BN94" s="640"/>
      <c r="BO94" s="292">
        <f>Table16[[#This Row],[EFF, h]]*100</f>
        <v>94.12979455771324</v>
      </c>
      <c r="BP94" s="345">
        <f>Table16[[#This Row],[Total Inductor Loss]]</f>
        <v>1.6321378987191772</v>
      </c>
      <c r="BQ94" s="345">
        <f>Table16[[#This Row],[Total Control Bu MOSFET Loss]]+Table16[[#This Row],[Total Sync Bu MOSFET Loss]]+Table16[[#This Row],[Total Control Bo MOSFET Loss]]+Table16[[#This Row],[Total Sync Bo MOSFET Loss]]+Table16[[#This Row],[Reverse Recovery Loss MOSFET D BUCK]]+Table16[[#This Row],[Reverse Recovery Loss MOSFET D BOOST]]</f>
        <v>3.8654620245081865</v>
      </c>
      <c r="BR94" s="345">
        <f>Table16[[#This Row],[Total Control Bu MOSFET Loss]]+Table16[[#This Row],[Reverse Recovery Loss MOSFET D BUCK]]*0.66</f>
        <v>1.4684025679778503</v>
      </c>
      <c r="BS94" s="345">
        <f>Table16[[#This Row],[Total Sync Bu MOSFET Loss]]+Table16[[#This Row],[Reverse Recovery Loss MOSFET D BUCK]]*0.33</f>
        <v>0.59188190876129343</v>
      </c>
      <c r="BT94" s="345">
        <f xml:space="preserve"> Table16[[#This Row],[Total Control Bo MOSFET Loss]]+Table16[[#This Row],[Reverse Recovery Loss MOSFET D BOOST]]*0.66</f>
        <v>1.0135829598867587</v>
      </c>
      <c r="BU94" s="345">
        <f xml:space="preserve"> Table16[[#This Row],[Total Sync Bo MOSFET Loss]]+Table16[[#This Row],[Reverse Recovery Loss MOSFET D BOOST]]*0.33</f>
        <v>0.77775620748228391</v>
      </c>
      <c r="BV94" s="345">
        <f>Table16[[#This Row],[Isense Shunt Loss]]</f>
        <v>6.8702713844883412E-2</v>
      </c>
      <c r="CB94" s="686"/>
      <c r="CC94" s="686"/>
    </row>
    <row r="95" spans="1:81" x14ac:dyDescent="0.2">
      <c r="G95" s="253">
        <v>86</v>
      </c>
      <c r="H95" s="286">
        <f>VIN_min+(VIN_max-VIN_min)*(Table16[[#This Row],[Step]]/200)</f>
        <v>18.899999999999999</v>
      </c>
      <c r="I95" s="292" t="str">
        <f>IF(Mode = 2,IF(Table16[[#This Row],[Vin]]&gt;Vout, "BUCK","BOOST"),IF(Table16[[#This Row],[Vin]]&gt;VIN_BB_to_buck, "BUCK", IF(Table16[[#This Row],[Vin]]&lt;=VIN_boost_to_BB,"BOOST","BUCK-BST")))</f>
        <v>BUCK-BST</v>
      </c>
      <c r="J95" s="253">
        <f>IF(Table16[[#This Row],[Mode]]="BOOST",2, IF(Table16[[#This Row],[Mode]]="BUCK", 1,3))</f>
        <v>3</v>
      </c>
      <c r="K95" s="253">
        <f t="shared" si="4"/>
        <v>8</v>
      </c>
      <c r="L95" s="292">
        <f>Vout*Table16[[#This Row],[Iout]]/(Table16[[#This Row],[Vin]]*Efficiency)</f>
        <v>7.1289334447229189</v>
      </c>
      <c r="M95" s="682">
        <f>MIN(1/Fsw,CHOOSE(Table16[[#This Row],[Mode Digit]],(Vout+(Rdson2+Rs+Rdcr)*Table16[[#This Row],[Iout]])/(Table16[[#This Row],[Vin]]+(Rs+Rdson2-Rdson1)*Table16[[#This Row],[Iout]])/Fsw,(Vout+(Rdson3+Rdcr)*Table16[[#This Row],[Iin]]-Table16[[#This Row],[Vin]])/(Vout+(Rdson3-Rdson4-Rs)*Table16[[#This Row],[Iin]])/Fsw,t1_Ph_II))</f>
        <v>1.5084238313644118E-6</v>
      </c>
      <c r="N95" s="518">
        <f>CHOOSE(Table16[[#This Row],[Mode Digit]],1/Fsw-Table16[[#This Row],[t1_Ph_II]],1/Fsw-Table16[[#This Row],[t1_Ph_II]],(Vout/Fsw-Table16[[#This Row],[Vin]]*t1_Ph_II)/(Table16[[#This Row],[Vin]]+Vout))</f>
        <v>3.3500844161427649E-7</v>
      </c>
      <c r="O95" s="518">
        <f>1/Fsw-(Table16[[#This Row],[t1_Ph_II]]+Table16[[#This Row],[t2_Ph_I]])</f>
        <v>6.6913054109166359E-7</v>
      </c>
      <c r="P95"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7.9610285746143097</v>
      </c>
      <c r="Q95" s="292">
        <f>CHOOSE(Table16[[#This Row],[Mode Digit]],Table16[[#This Row],[I_0]]+1/Lf*(Table16[[#This Row],[Vin]]-Vout)*Table16[[#This Row],[t1_Ph_II]],Table16[[#This Row],[I_0]]+1/Lf*Table16[[#This Row],[Vin]]*Table16[[#This Row],[t1_Ph_II]],Table16[[#This Row],[I_0]]+(Table16[[#This Row],[Vin]]-Vout)/L*Table16[[#This Row],[t1_Ph_II]])</f>
        <v>10.391266969590305</v>
      </c>
      <c r="R95" s="292">
        <f>CHOOSE(Table16[[#This Row],[Mode Digit]],0,0,Table16[[#This Row],[I_1]]+Table16[[#This Row],[Vin]]/L*Table16[[#This Row],[t2_Ph_I]])</f>
        <v>13.908855606540207</v>
      </c>
      <c r="S95" s="292">
        <f>Fsw*(Table16[[#This Row],[I_0]]*Table16[[#This Row],[t1_Ph_II]]+Table16[[#This Row],[I_1]]*Table16[[#This Row],[t2_Ph_I]]+Table16[[#This Row],[I_2]]*Table16[[#This Row],[t3_Ph_III]])</f>
        <v>9.869049767476735</v>
      </c>
      <c r="T95" s="345">
        <f>MIN(1,CHOOSE(Table16[[#This Row],[Mode Digit]],(Vout+(Rdson2+Rs+Rdcr)*Table16[[#This Row],[Iout]])/(Table16[[#This Row],[Vin]]+(Rs+Rdson2-Rdson1)*Table16[[#This Row],[Iout]]),1,Fsw*Table16[[#This Row],[t2_Ph_I]]+Table16[[#This Row],[t1_Ph_II]]))</f>
        <v>0.1333348681863134</v>
      </c>
      <c r="U95" s="345">
        <f>MIN(1,CHOOSE(Table16[[#This Row],[Mode Digit]],0,(Vout+(Rdson3+Rdcr)*Table16[[#This Row],[Iin]]-Table16[[#This Row],[Vin]])/(Vout+(Rdson3-Rdson4-Rs)*Table16[[#This Row],[Iin]]),Fsw*Table16[[#This Row],[t1_Ph_II]]+Table16[[#This Row],[t3_Ph_III]]))</f>
        <v>0.60035335401357692</v>
      </c>
      <c r="V95" s="292">
        <f>MAX(Table16[[#This Row],[I_0]:[I_2]])-MIN(Table16[[#This Row],[I_0]:[I_1]])</f>
        <v>5.9478270319258977</v>
      </c>
      <c r="W95"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10.163460356499264</v>
      </c>
      <c r="X95" s="345">
        <f>(Table16[[#This Row],[Irms Lf]]^2*Rdcr*(1+Ltc*Ta-Ltc*25))/(1-Table16[[#This Row],[Irms Lf]]^2*Rdcr*Ltc*ThetaCa)</f>
        <v>0.33952528882646149</v>
      </c>
      <c r="Y95" s="345">
        <f>ABS(7.759*10^-3*Fsw^0.9458*(0.00787*Table16[[#This Row],[Ripple Current pk-pk]])^2.304)</f>
        <v>1.3262412693381571</v>
      </c>
      <c r="Z95" s="345">
        <f>Table16[[#This Row],[DCR    Loss]]+Table16[[#This Row],[Core Loss]]</f>
        <v>1.6657665581646186</v>
      </c>
      <c r="AA95" s="292">
        <f>IF(Table16[[#This Row],[Vin]]&gt;Vout, Table16[[#This Row],[Ripple Current pk-pk]]/SQRT(12), SQRT(Table16[[#This Row],[Duty Cycle BOOST Leg]]/(1-Table16[[#This Row],[Duty Cycle BOOST Leg]]))*SQRT(Table16[[#This Row],[Iout]]^2+(Table16[[#This Row],[Ripple Current pk-pk]]^2)/12))</f>
        <v>1.716989768987875</v>
      </c>
      <c r="AB95" s="345">
        <f>RCoutEsr*Table16[[#This Row],[Irms Cout]]^2</f>
        <v>5.8961077336180728E-3</v>
      </c>
      <c r="AC95" s="345">
        <f>Table16[[#This Row],[Cout ESR Loss]]</f>
        <v>5.8961077336180728E-3</v>
      </c>
      <c r="AD95" s="345">
        <f>IF(Table16[[#This Row],[Vin]]&gt;Vout, SQRT(Table16[[#This Row],[Duty Cycle BUCK Leg]]*(1-Table16[[#This Row],[Duty Cycle BUCK Leg]]))*SQRT(Table16[[#This Row],[Iout]]^2+(Table16[[#This Row],[Ripple Current pk-pk]]^2)/12), Table16[[#This Row],[Ripple Current pk-pk]]/SQRT(12))</f>
        <v>2.7814195857078672</v>
      </c>
      <c r="AE95" s="345">
        <f>RCinEsr*Table16[[#This Row],[Irms Cin]]^2</f>
        <v>1.5472589823518646E-2</v>
      </c>
      <c r="AF95" s="683">
        <f>Table16[[#This Row],[Cin ESR Loss]]</f>
        <v>1.5472589823518646E-2</v>
      </c>
      <c r="AG95"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8.4063589617756769</v>
      </c>
      <c r="AH95" s="345">
        <f>Rdson1*Table16[[#This Row],[Irms BuCtrl]]^2</f>
        <v>0.24733404847979182</v>
      </c>
      <c r="AI95" s="345">
        <f>CHOOSE(Table16[[#This Row],[Mode Digit]], (Table16[[#This Row],[Vin]]*Table16[[#This Row],[Iout]]/2)*(Fsw)*(Tr_buck+Tf_buck), 0, (Table16[[#This Row],[Vin]]*Table16[[#This Row],[Avg IL]]/2)*(Fsw/1)*(Tr_buck+Tf_buck))</f>
        <v>0.69807168016151655</v>
      </c>
      <c r="AJ95" s="253">
        <f>IF(Table16[[#This Row],[Vin]]&gt;Vout, IF(Table16[[#This Row],[Iout]]&gt;Table16[[#This Row],[Ripple Current pk-pk]]/2,0,ABS(Table16[[#This Row],[Iout]]-Table16[[#This Row],[Ripple Current pk-pk]]/2)*Vsd_Q1*Deadtime*Fsw),0)</f>
        <v>0</v>
      </c>
      <c r="AK95" s="345">
        <f>(Table16[[#This Row],[Dead Time Loss BuCtrl]]+Table16[[#This Row],[Transition Loss BuCtrl]]+Table16[[#This Row],[RDS(on) Loss BuCtrl]]*(1+RdsonTopTc*Ta-RdsonTopTc*25))/(1-Table16[[#This Row],[RDS(on) Loss BuCtrl]]*RdsonTopTc*ThetaJA_Q1)</f>
        <v>1.0103800923124122</v>
      </c>
      <c r="AL95" s="345">
        <f>CHOOSE(Table16[[#This Row],[Mode Digit]],SQRT((Fsw*(Table16[[#This Row],[t2_Ph_I]]+0))*((Table16[[#This Row],[I_0]]*Table16[[#This Row],[I_1]]+((Table16[[#This Row],[I_0]]-Table16[[#This Row],[I_1]])^2)/3))),0,SQRT((Fsw*(Table16[[#This Row],[t3_Ph_III]]+0))*((Table16[[#This Row],[I_0]]*Table16[[#This Row],[I_2]]+((Table16[[#This Row],[I_0]]-Table16[[#This Row],[I_2]])^2)/3))))</f>
        <v>5.7121848205311023</v>
      </c>
      <c r="AM95" s="345">
        <f>Rdson2*Table16[[#This Row],[Irms BuSync]]^2</f>
        <v>0.11420169398367079</v>
      </c>
      <c r="AN95"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95" s="345">
        <f>(Table16[[#This Row],[Deadtime Loss BuSync]]+Table16[[#This Row],[RDS(on) Loss BuSync]]*(1+RdsonBotTc*Ta-RdsonBotTc*25))/(1-Table16[[#This Row],[RDS(on) Loss BuSync]]*RdsonBotTc*ThetaJA_Q2)</f>
        <v>0.36380392021494701</v>
      </c>
      <c r="AP95" s="345">
        <f>CHOOSE(Table16[[#This Row],[Mode Digit]],0,SQRT((Fsw*(Table16[[#This Row],[t1_Ph_II]]+0))*((Table16[[#This Row],[I_0]]*Table16[[#This Row],[I_1]]+((Table16[[#This Row],[I_0]]-Table16[[#This Row],[I_1]])^2)/3))),SQRT((Fsw*(Table16[[#This Row],[t2_Ph_I]]+0))*((Table16[[#This Row],[I_1]]*Table16[[#This Row],[I_2]]+((Table16[[#This Row],[I_1]]-Table16[[#This Row],[I_2]])^2)/3))))</f>
        <v>4.4520427958637638</v>
      </c>
      <c r="AQ95" s="345">
        <f>Rdson4*Table16[[#This Row],[Irms BoCtlr]]^2</f>
        <v>6.937239769670854E-2</v>
      </c>
      <c r="AR95" s="345">
        <f>CHOOSE(Table16[[#This Row],[Mode Digit]], 0, (Vout*Table16[[#This Row],[Iin]]/2)*(Fsw)*(Tr_boost+Tf_boost), (Vout*Iout/2)*(Fsw/1)*(Tr_boost+Tf_boost))</f>
        <v>0.47564320886662292</v>
      </c>
      <c r="AS95" s="253">
        <f>IF(Table16[[#This Row],[Vin]]&gt;Vout, 0, IF(Table16[[#This Row],[Iin]]&gt;Table16[[#This Row],[Ripple Current pk-pk]]/2,0,ABS(Table16[[#This Row],[Iin]]-Table16[[#This Row],[Ripple Current pk-pk]]/2)*Vsd_Q4*Deadtime*Fsw))</f>
        <v>0</v>
      </c>
      <c r="AT95" s="345">
        <f>(Table16[[#This Row],[Dead Time Loss BoCtlr]]+Table16[[#This Row],[Transition Loss BoCtlr]]+Table16[[#This Row],[RDS(on) Loss BoCtlr]]*(1+RdsonTopTc*Ta-RdsonTopTc*25))/(1-Table16[[#This Row],[RDS(on) Loss BoCtlr]]*RdsonTopTc*ThetaJA_Q4)</f>
        <v>0.55502652192219337</v>
      </c>
      <c r="AU95"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9.1364786084097922</v>
      </c>
      <c r="AV95" s="345">
        <f>Rdson3*Table16[[#This Row],[Irms BoSync]]^2</f>
        <v>0.2921633447667541</v>
      </c>
      <c r="AW95"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0.2127986633249791</v>
      </c>
      <c r="AX95" s="345">
        <f>(Table16[[#This Row],[Deadtime Loss BoSync]]+Table16[[#This Row],[RDS(on) Loss BoSync]]*(1+RdsonBotTc*Ta-RdsonBotTc*25))/(1-Table16[[#This Row],[RDS(on) Loss BoSync]]*RdsonBotTc*ThetaJA_Q3)</f>
        <v>0.54647348349005997</v>
      </c>
      <c r="AY95" s="345">
        <f>CHOOSE(Table16[[#This Row],[Mode Digit]], Rdson3*Table16[[#This Row],[Irms Lf]]^2, Rdson1*Table16[[#This Row],[Irms Lf]]^2, 0)</f>
        <v>0</v>
      </c>
      <c r="AZ95" s="345">
        <f>CHOOSE(Table16[[#This Row],[Mode Digit]], 2*Deadtime*Fsw*IF(VfdSky_Q2&gt;0,VfdSky_Q2,0)*Table16[[#This Row],[Iout]], 2*Deadtime*Fsw*IF(VfdSky_Q3&gt;0,VfdSky_Q3,0)*Table16[[#This Row],[Iin]], 2*Deadtime*Fsw*IF(VfdSky_Q2&gt;0,VfdSky_Q2,0)*Table16[[#This Row],[Iout]]+2*Deadtime*Fsw*IF(VfdSky_Q3&gt;0,VfdSky_Q3,0)*Table16[[#This Row],[Iin]])</f>
        <v>0</v>
      </c>
      <c r="BA95" s="345">
        <f>CHOOSE(Table16[[#This Row],[Mode Digit]], IF(QrrSky_Q2&gt;0,QrrSky_Q2,Qrr_Q2)*Fsw*(Table16[[#This Row],[Vin]]-Table16[[#This Row],[Iout]]*Rdson1),0,  IF(QrrSky_Q2&gt;0,QrrSky_Q2,Qrr_Q2)*Fsw*(Table16[[#This Row],[Vin]]-Table16[[#This Row],[Iout]]*Rdson1)+IF(QrrSky_Q3&gt;0,QrrSky_Q3,Qrr_Q3)*Fsw*Vout)</f>
        <v>0.69460551999999998</v>
      </c>
      <c r="BB95" s="345">
        <f>CHOOSE(Table16[[#This Row],[Mode Digit]],0, IF(QrrSky_Q3&gt;0,QrrSky_Q3,Qrr_Q3)*Fsw*Vout,  IF(QrrSky_Q2&gt;0,QrrSky_Q2,Qrr_Q2)*Fsw*(Table16[[#This Row],[Vin]]-Table16[[#This Row],[Iout]]*Rdson1)+IF(QrrSky_Q3&gt;0,QrrSky_Q3,Qrr_Q3)*Fsw*Vout)</f>
        <v>0.69460551999999998</v>
      </c>
      <c r="BC95" s="345">
        <f>CHOOSE(Table16[[#This Row],[Mode Digit]], Rs*Table16[[#This Row],[Irms BuSync]]^2, Rs*Table16[[#This Row],[Irms BoCtlr]]^2, Rs*(Table16[[#This Row],[Irms BuSync]]^2+Table16[[#This Row],[Irms BoCtlr]]^2))</f>
        <v>6.8184662624140885E-2</v>
      </c>
      <c r="BD95" s="345">
        <f t="shared" si="5"/>
        <v>0.64</v>
      </c>
      <c r="BE95" s="345">
        <f>IF(Vout&gt;8, Iq*Vout, Iq*Table16[[#This Row],[Vin]])</f>
        <v>4.8000000000000001E-2</v>
      </c>
      <c r="BF95" s="345">
        <f>CHOOSE(Table16[[#This Row],[Mode Digit]], (Qg_Q1+Qg_Q2)*Fsw, (Qg_Q3+Qg_Q4)*Fsw, (Qg_Q1+Qg_Q2+Qg_Q3+Qg_Q4)*Fsw)*IF(Vout&gt;8, Vout, Table16[[#This Row],[Vin]])</f>
        <v>1.7066240000000001</v>
      </c>
      <c r="BG95" s="345">
        <f t="shared" si="6"/>
        <v>0.50594479787234037</v>
      </c>
      <c r="BH95" s="345">
        <f>Table16[[#This Row],[IQ Loss]]+Table16[[#This Row],[Switching Current Loss]]</f>
        <v>1.7546240000000002</v>
      </c>
      <c r="BI95"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8.0148389762855086</v>
      </c>
      <c r="BJ95" s="253">
        <f>Vout*Table16[[#This Row],[Iout]]</f>
        <v>128</v>
      </c>
      <c r="BK95" s="684">
        <f>Table16[[#This Row],[Pout]]/(Table16[[#This Row],[Pout]]+Table16[[#This Row],[Total Loss]])</f>
        <v>0.94107378991432744</v>
      </c>
      <c r="BL95"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110.82406480030679</v>
      </c>
      <c r="BM95" s="685">
        <f>IF(Table16[[#This Row],[Vin]]&gt;Vout, Table16[[#This Row],[Total Sync Bu MOSFET Loss]]*ThetaJA_Q2, ThetaJA_Q3*Table16[[#This Row],[Total Sync Bo MOSFET Loss]])</f>
        <v>23.647254813971557</v>
      </c>
      <c r="BN95" s="640"/>
      <c r="BO95" s="292">
        <f>Table16[[#This Row],[EFF, h]]*100</f>
        <v>94.107378991432739</v>
      </c>
      <c r="BP95" s="345">
        <f>Table16[[#This Row],[Total Inductor Loss]]</f>
        <v>1.6657665581646186</v>
      </c>
      <c r="BQ95" s="345">
        <f>Table16[[#This Row],[Total Control Bu MOSFET Loss]]+Table16[[#This Row],[Total Sync Bu MOSFET Loss]]+Table16[[#This Row],[Total Control Bo MOSFET Loss]]+Table16[[#This Row],[Total Sync Bo MOSFET Loss]]+Table16[[#This Row],[Reverse Recovery Loss MOSFET D BUCK]]+Table16[[#This Row],[Reverse Recovery Loss MOSFET D BOOST]]</f>
        <v>3.8648950579396129</v>
      </c>
      <c r="BR95" s="345">
        <f>Table16[[#This Row],[Total Control Bu MOSFET Loss]]+Table16[[#This Row],[Reverse Recovery Loss MOSFET D BUCK]]*0.66</f>
        <v>1.4688197355124122</v>
      </c>
      <c r="BS95" s="345">
        <f>Table16[[#This Row],[Total Sync Bu MOSFET Loss]]+Table16[[#This Row],[Reverse Recovery Loss MOSFET D BUCK]]*0.33</f>
        <v>0.59302374181494699</v>
      </c>
      <c r="BT95" s="345">
        <f xml:space="preserve"> Table16[[#This Row],[Total Control Bo MOSFET Loss]]+Table16[[#This Row],[Reverse Recovery Loss MOSFET D BOOST]]*0.66</f>
        <v>1.0134661651221935</v>
      </c>
      <c r="BU95" s="345">
        <f xml:space="preserve"> Table16[[#This Row],[Total Sync Bo MOSFET Loss]]+Table16[[#This Row],[Reverse Recovery Loss MOSFET D BOOST]]*0.33</f>
        <v>0.77569330509005996</v>
      </c>
      <c r="BV95" s="345">
        <f>Table16[[#This Row],[Isense Shunt Loss]]</f>
        <v>6.8184662624140885E-2</v>
      </c>
      <c r="CB95" s="686"/>
      <c r="CC95" s="686"/>
    </row>
    <row r="96" spans="1:81" x14ac:dyDescent="0.2">
      <c r="G96" s="253">
        <v>87</v>
      </c>
      <c r="H96" s="286">
        <f>VIN_min+(VIN_max-VIN_min)*(Table16[[#This Row],[Step]]/200)</f>
        <v>19.05</v>
      </c>
      <c r="I96" s="292" t="str">
        <f>IF(Mode = 2,IF(Table16[[#This Row],[Vin]]&gt;Vout, "BUCK","BOOST"),IF(Table16[[#This Row],[Vin]]&gt;VIN_BB_to_buck, "BUCK", IF(Table16[[#This Row],[Vin]]&lt;=VIN_boost_to_BB,"BOOST","BUCK-BST")))</f>
        <v>BUCK-BST</v>
      </c>
      <c r="J96" s="253">
        <f>IF(Table16[[#This Row],[Mode]]="BOOST",2, IF(Table16[[#This Row],[Mode]]="BUCK", 1,3))</f>
        <v>3</v>
      </c>
      <c r="K96" s="253">
        <f t="shared" si="4"/>
        <v>8</v>
      </c>
      <c r="L96" s="292">
        <f>Vout*Table16[[#This Row],[Iout]]/(Table16[[#This Row],[Vin]]*Efficiency)</f>
        <v>7.0728001105125013</v>
      </c>
      <c r="M96" s="682">
        <f>MIN(1/Fsw,CHOOSE(Table16[[#This Row],[Mode Digit]],(Vout+(Rdson2+Rs+Rdcr)*Table16[[#This Row],[Iout]])/(Table16[[#This Row],[Vin]]+(Rs+Rdson2-Rdson1)*Table16[[#This Row],[Iout]])/Fsw,(Vout+(Rdson3+Rdcr)*Table16[[#This Row],[Iin]]-Table16[[#This Row],[Vin]])/(Vout+(Rdson3-Rdson4-Rs)*Table16[[#This Row],[Iin]])/Fsw,t1_Ph_II))</f>
        <v>1.5084238313644118E-6</v>
      </c>
      <c r="N96" s="518">
        <f>CHOOSE(Table16[[#This Row],[Mode Digit]],1/Fsw-Table16[[#This Row],[t1_Ph_II]],1/Fsw-Table16[[#This Row],[t1_Ph_II]],(Vout/Fsw-Table16[[#This Row],[Vin]]*t1_Ph_II)/(Table16[[#This Row],[Vin]]+Vout))</f>
        <v>3.2711928780694964E-7</v>
      </c>
      <c r="O96" s="518">
        <f>1/Fsw-(Table16[[#This Row],[t1_Ph_II]]+Table16[[#This Row],[t2_Ph_I]])</f>
        <v>6.7701969489899049E-7</v>
      </c>
      <c r="P96"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7.8673122872860706</v>
      </c>
      <c r="Q96" s="292">
        <f>CHOOSE(Table16[[#This Row],[Mode Digit]],Table16[[#This Row],[I_0]]+1/Lf*(Table16[[#This Row],[Vin]]-Vout)*Table16[[#This Row],[t1_Ph_II]],Table16[[#This Row],[I_0]]+1/Lf*Table16[[#This Row],[Vin]]*Table16[[#This Row],[t1_Ph_II]],Table16[[#This Row],[I_0]]+(Table16[[#This Row],[Vin]]-Vout)/L*Table16[[#This Row],[t1_Ph_II]])</f>
        <v>10.423252668209102</v>
      </c>
      <c r="R96" s="292">
        <f>CHOOSE(Table16[[#This Row],[Mode Digit]],0,0,Table16[[#This Row],[I_1]]+Table16[[#This Row],[Vin]]/L*Table16[[#This Row],[t2_Ph_I]])</f>
        <v>13.885265130832652</v>
      </c>
      <c r="S96" s="292">
        <f>Fsw*(Table16[[#This Row],[I_0]]*Table16[[#This Row],[t1_Ph_II]]+Table16[[#This Row],[I_1]]*Table16[[#This Row],[t2_Ph_I]]+Table16[[#This Row],[I_2]]*Table16[[#This Row],[t3_Ph_III]])</f>
        <v>9.8216395453513865</v>
      </c>
      <c r="T96" s="345">
        <f>MIN(1,CHOOSE(Table16[[#This Row],[Mode Digit]],(Vout+(Rdson2+Rs+Rdcr)*Table16[[#This Row],[Iout]])/(Table16[[#This Row],[Vin]]+(Rs+Rdson2-Rdson1)*Table16[[#This Row],[Iout]]),1,Fsw*Table16[[#This Row],[t2_Ph_I]]+Table16[[#This Row],[t1_Ph_II]]))</f>
        <v>0.13019498497099732</v>
      </c>
      <c r="U96" s="345">
        <f>MIN(1,CHOOSE(Table16[[#This Row],[Mode Digit]],0,(Vout+(Rdson3+Rdcr)*Table16[[#This Row],[Iin]]-Table16[[#This Row],[Vin]])/(Vout+(Rdson3-Rdson4-Rs)*Table16[[#This Row],[Iin]]),Fsw*Table16[[#This Row],[t1_Ph_II]]+Table16[[#This Row],[t3_Ph_III]]))</f>
        <v>0.6003533619027307</v>
      </c>
      <c r="V96" s="292">
        <f>MAX(Table16[[#This Row],[I_0]:[I_2]])-MIN(Table16[[#This Row],[I_0]:[I_1]])</f>
        <v>6.0179528435465812</v>
      </c>
      <c r="W96"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10.128619397359339</v>
      </c>
      <c r="X96" s="345">
        <f>(Table16[[#This Row],[Irms Lf]]^2*Rdcr*(1+Ltc*Ta-Ltc*25))/(1-Table16[[#This Row],[Irms Lf]]^2*Rdcr*Ltc*ThetaCa)</f>
        <v>0.33713877575041529</v>
      </c>
      <c r="Y96" s="345">
        <f>ABS(7.759*10^-3*Fsw^0.9458*(0.00787*Table16[[#This Row],[Ripple Current pk-pk]])^2.304)</f>
        <v>1.3625452516924503</v>
      </c>
      <c r="Z96" s="345">
        <f>Table16[[#This Row],[DCR    Loss]]+Table16[[#This Row],[Core Loss]]</f>
        <v>1.6996840274428657</v>
      </c>
      <c r="AA96" s="292">
        <f>IF(Table16[[#This Row],[Vin]]&gt;Vout, Table16[[#This Row],[Ripple Current pk-pk]]/SQRT(12), SQRT(Table16[[#This Row],[Duty Cycle BOOST Leg]]/(1-Table16[[#This Row],[Duty Cycle BOOST Leg]]))*SQRT(Table16[[#This Row],[Iout]]^2+(Table16[[#This Row],[Ripple Current pk-pk]]^2)/12))</f>
        <v>1.7372333470960464</v>
      </c>
      <c r="AB96" s="345">
        <f>RCoutEsr*Table16[[#This Row],[Irms Cout]]^2</f>
        <v>6.035959404525065E-3</v>
      </c>
      <c r="AC96" s="345">
        <f>Table16[[#This Row],[Cout ESR Loss]]</f>
        <v>6.035959404525065E-3</v>
      </c>
      <c r="AD96" s="345">
        <f>IF(Table16[[#This Row],[Vin]]&gt;Vout, SQRT(Table16[[#This Row],[Duty Cycle BUCK Leg]]*(1-Table16[[#This Row],[Duty Cycle BUCK Leg]]))*SQRT(Table16[[#This Row],[Iout]]^2+(Table16[[#This Row],[Ripple Current pk-pk]]^2)/12), Table16[[#This Row],[Ripple Current pk-pk]]/SQRT(12))</f>
        <v>2.7548867318808479</v>
      </c>
      <c r="AE96" s="345">
        <f>RCinEsr*Table16[[#This Row],[Irms Cin]]^2</f>
        <v>1.5178801810986277E-2</v>
      </c>
      <c r="AF96" s="683">
        <f>Table16[[#This Row],[Cin ESR Loss]]</f>
        <v>1.5178801810986277E-2</v>
      </c>
      <c r="AG96"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8.3606844798194704</v>
      </c>
      <c r="AH96" s="345">
        <f>Rdson1*Table16[[#This Row],[Irms BuCtrl]]^2</f>
        <v>0.24465365739882958</v>
      </c>
      <c r="AI96" s="345">
        <f>CHOOSE(Table16[[#This Row],[Mode Digit]], (Table16[[#This Row],[Vin]]*Table16[[#This Row],[Iout]]/2)*(Fsw)*(Tr_buck+Tf_buck), 0, (Table16[[#This Row],[Vin]]*Table16[[#This Row],[Avg IL]]/2)*(Fsw/1)*(Tr_buck+Tf_buck))</f>
        <v>0.70023182927627958</v>
      </c>
      <c r="AJ96" s="253">
        <f>IF(Table16[[#This Row],[Vin]]&gt;Vout, IF(Table16[[#This Row],[Iout]]&gt;Table16[[#This Row],[Ripple Current pk-pk]]/2,0,ABS(Table16[[#This Row],[Iout]]-Table16[[#This Row],[Ripple Current pk-pk]]/2)*Vsd_Q1*Deadtime*Fsw),0)</f>
        <v>0</v>
      </c>
      <c r="AK96" s="345">
        <f>(Table16[[#This Row],[Dead Time Loss BuCtrl]]+Table16[[#This Row],[Transition Loss BuCtrl]]+Table16[[#This Row],[RDS(on) Loss BuCtrl]]*(1+RdsonTopTc*Ta-RdsonTopTc*25))/(1-Table16[[#This Row],[RDS(on) Loss BuCtrl]]*RdsonTopTc*ThetaJA_Q1)</f>
        <v>1.0090725415196211</v>
      </c>
      <c r="AL96" s="345">
        <f>CHOOSE(Table16[[#This Row],[Mode Digit]],SQRT((Fsw*(Table16[[#This Row],[t2_Ph_I]]+0))*((Table16[[#This Row],[I_0]]*Table16[[#This Row],[I_1]]+((Table16[[#This Row],[I_0]]-Table16[[#This Row],[I_1]])^2)/3))),0,SQRT((Fsw*(Table16[[#This Row],[t3_Ph_III]]+0))*((Table16[[#This Row],[I_0]]*Table16[[#This Row],[I_2]]+((Table16[[#This Row],[I_0]]-Table16[[#This Row],[I_2]])^2)/3))))</f>
        <v>5.7173320636000904</v>
      </c>
      <c r="AM96" s="345">
        <f>Rdson2*Table16[[#This Row],[Irms BuSync]]^2</f>
        <v>0.11440760073914383</v>
      </c>
      <c r="AN96"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96" s="345">
        <f>(Table16[[#This Row],[Deadtime Loss BuSync]]+Table16[[#This Row],[RDS(on) Loss BuSync]]*(1+RdsonBotTc*Ta-RdsonBotTc*25))/(1-Table16[[#This Row],[RDS(on) Loss BuSync]]*RdsonBotTc*ThetaJA_Q2)</f>
        <v>0.36403621327223001</v>
      </c>
      <c r="AP96" s="345">
        <f>CHOOSE(Table16[[#This Row],[Mode Digit]],0,SQRT((Fsw*(Table16[[#This Row],[t1_Ph_II]]+0))*((Table16[[#This Row],[I_0]]*Table16[[#This Row],[I_1]]+((Table16[[#This Row],[I_0]]-Table16[[#This Row],[I_1]])^2)/3))),SQRT((Fsw*(Table16[[#This Row],[t2_Ph_I]]+0))*((Table16[[#This Row],[I_1]]*Table16[[#This Row],[I_2]]+((Table16[[#This Row],[I_1]]-Table16[[#This Row],[I_2]])^2)/3))))</f>
        <v>4.4003408081482558</v>
      </c>
      <c r="AQ96" s="345">
        <f>Rdson4*Table16[[#This Row],[Irms BoCtlr]]^2</f>
        <v>6.7770497297491961E-2</v>
      </c>
      <c r="AR96" s="345">
        <f>CHOOSE(Table16[[#This Row],[Mode Digit]], 0, (Vout*Table16[[#This Row],[Iin]]/2)*(Fsw)*(Tr_boost+Tf_boost), (Vout*Iout/2)*(Fsw/1)*(Tr_boost+Tf_boost))</f>
        <v>0.47564320886662292</v>
      </c>
      <c r="AS96" s="253">
        <f>IF(Table16[[#This Row],[Vin]]&gt;Vout, 0, IF(Table16[[#This Row],[Iin]]&gt;Table16[[#This Row],[Ripple Current pk-pk]]/2,0,ABS(Table16[[#This Row],[Iin]]-Table16[[#This Row],[Ripple Current pk-pk]]/2)*Vsd_Q4*Deadtime*Fsw))</f>
        <v>0</v>
      </c>
      <c r="AT96" s="345">
        <f>(Table16[[#This Row],[Dead Time Loss BoCtlr]]+Table16[[#This Row],[Transition Loss BoCtlr]]+Table16[[#This Row],[RDS(on) Loss BoCtlr]]*(1+RdsonTopTc*Ta-RdsonTopTc*25))/(1-Table16[[#This Row],[RDS(on) Loss BoCtlr]]*RdsonTopTc*ThetaJA_Q4)</f>
        <v>0.5531605776974553</v>
      </c>
      <c r="AU96"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9.1228247636742967</v>
      </c>
      <c r="AV96" s="345">
        <f>Rdson3*Table16[[#This Row],[Irms BoSync]]^2</f>
        <v>0.2912907608404815</v>
      </c>
      <c r="AW96"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0.21112308329879811</v>
      </c>
      <c r="AX96" s="345">
        <f>(Table16[[#This Row],[Deadtime Loss BoSync]]+Table16[[#This Row],[RDS(on) Loss BoSync]]*(1+RdsonBotTc*Ta-RdsonBotTc*25))/(1-Table16[[#This Row],[RDS(on) Loss BoSync]]*RdsonBotTc*ThetaJA_Q3)</f>
        <v>0.54358238070563825</v>
      </c>
      <c r="AY96" s="345">
        <f>CHOOSE(Table16[[#This Row],[Mode Digit]], Rdson3*Table16[[#This Row],[Irms Lf]]^2, Rdson1*Table16[[#This Row],[Irms Lf]]^2, 0)</f>
        <v>0</v>
      </c>
      <c r="AZ96" s="345">
        <f>CHOOSE(Table16[[#This Row],[Mode Digit]], 2*Deadtime*Fsw*IF(VfdSky_Q2&gt;0,VfdSky_Q2,0)*Table16[[#This Row],[Iout]], 2*Deadtime*Fsw*IF(VfdSky_Q3&gt;0,VfdSky_Q3,0)*Table16[[#This Row],[Iin]], 2*Deadtime*Fsw*IF(VfdSky_Q2&gt;0,VfdSky_Q2,0)*Table16[[#This Row],[Iout]]+2*Deadtime*Fsw*IF(VfdSky_Q3&gt;0,VfdSky_Q3,0)*Table16[[#This Row],[Iin]])</f>
        <v>0</v>
      </c>
      <c r="BA96" s="345">
        <f>CHOOSE(Table16[[#This Row],[Mode Digit]], IF(QrrSky_Q2&gt;0,QrrSky_Q2,Qrr_Q2)*Fsw*(Table16[[#This Row],[Vin]]-Table16[[#This Row],[Iout]]*Rdson1),0,  IF(QrrSky_Q2&gt;0,QrrSky_Q2,Qrr_Q2)*Fsw*(Table16[[#This Row],[Vin]]-Table16[[#This Row],[Iout]]*Rdson1)+IF(QrrSky_Q3&gt;0,QrrSky_Q3,Qrr_Q3)*Fsw*Vout)</f>
        <v>0.69729202000000001</v>
      </c>
      <c r="BB96" s="345">
        <f>CHOOSE(Table16[[#This Row],[Mode Digit]],0, IF(QrrSky_Q3&gt;0,QrrSky_Q3,Qrr_Q3)*Fsw*Vout,  IF(QrrSky_Q2&gt;0,QrrSky_Q2,Qrr_Q2)*Fsw*(Table16[[#This Row],[Vin]]-Table16[[#This Row],[Iout]]*Rdson1)+IF(QrrSky_Q3&gt;0,QrrSky_Q3,Qrr_Q3)*Fsw*Vout)</f>
        <v>0.69729202000000001</v>
      </c>
      <c r="BC96" s="345">
        <f>CHOOSE(Table16[[#This Row],[Mode Digit]], Rs*Table16[[#This Row],[Irms BuSync]]^2, Rs*Table16[[#This Row],[Irms BoCtlr]]^2, Rs*(Table16[[#This Row],[Irms BuSync]]^2+Table16[[#This Row],[Irms BoCtlr]]^2))</f>
        <v>6.7666150699321873E-2</v>
      </c>
      <c r="BD96" s="345">
        <f t="shared" si="5"/>
        <v>0.64</v>
      </c>
      <c r="BE96" s="345">
        <f>IF(Vout&gt;8, Iq*Vout, Iq*Table16[[#This Row],[Vin]])</f>
        <v>4.8000000000000001E-2</v>
      </c>
      <c r="BF96" s="345">
        <f>CHOOSE(Table16[[#This Row],[Mode Digit]], (Qg_Q1+Qg_Q2)*Fsw, (Qg_Q3+Qg_Q4)*Fsw, (Qg_Q1+Qg_Q2+Qg_Q3+Qg_Q4)*Fsw)*IF(Vout&gt;8, Vout, Table16[[#This Row],[Vin]])</f>
        <v>1.7066240000000001</v>
      </c>
      <c r="BG96" s="345">
        <f t="shared" si="6"/>
        <v>0.50594479787234037</v>
      </c>
      <c r="BH96" s="345">
        <f>Table16[[#This Row],[IQ Loss]]+Table16[[#This Row],[Switching Current Loss]]</f>
        <v>1.7546240000000002</v>
      </c>
      <c r="BI96"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8.0476246925526436</v>
      </c>
      <c r="BJ96" s="253">
        <f>Vout*Table16[[#This Row],[Iout]]</f>
        <v>128</v>
      </c>
      <c r="BK96" s="684">
        <f>Table16[[#This Row],[Pout]]/(Table16[[#This Row],[Pout]]+Table16[[#This Row],[Total Loss]])</f>
        <v>0.94084700331417714</v>
      </c>
      <c r="BL96"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110.91369649877538</v>
      </c>
      <c r="BM96" s="685">
        <f>IF(Table16[[#This Row],[Vin]]&gt;Vout, Table16[[#This Row],[Total Sync Bu MOSFET Loss]]*ThetaJA_Q2, ThetaJA_Q3*Table16[[#This Row],[Total Sync Bo MOSFET Loss]])</f>
        <v>23.66235386269495</v>
      </c>
      <c r="BN96" s="640"/>
      <c r="BO96" s="292">
        <f>Table16[[#This Row],[EFF, h]]*100</f>
        <v>94.084700331417707</v>
      </c>
      <c r="BP96" s="345">
        <f>Table16[[#This Row],[Total Inductor Loss]]</f>
        <v>1.6996840274428657</v>
      </c>
      <c r="BQ96" s="345">
        <f>Table16[[#This Row],[Total Control Bu MOSFET Loss]]+Table16[[#This Row],[Total Sync Bu MOSFET Loss]]+Table16[[#This Row],[Total Control Bo MOSFET Loss]]+Table16[[#This Row],[Total Sync Bo MOSFET Loss]]+Table16[[#This Row],[Reverse Recovery Loss MOSFET D BUCK]]+Table16[[#This Row],[Reverse Recovery Loss MOSFET D BOOST]]</f>
        <v>3.8644357531949445</v>
      </c>
      <c r="BR96" s="345">
        <f>Table16[[#This Row],[Total Control Bu MOSFET Loss]]+Table16[[#This Row],[Reverse Recovery Loss MOSFET D BUCK]]*0.66</f>
        <v>1.4692852747196212</v>
      </c>
      <c r="BS96" s="345">
        <f>Table16[[#This Row],[Total Sync Bu MOSFET Loss]]+Table16[[#This Row],[Reverse Recovery Loss MOSFET D BUCK]]*0.33</f>
        <v>0.59414257987223007</v>
      </c>
      <c r="BT96" s="345">
        <f xml:space="preserve"> Table16[[#This Row],[Total Control Bo MOSFET Loss]]+Table16[[#This Row],[Reverse Recovery Loss MOSFET D BOOST]]*0.66</f>
        <v>1.0133733108974554</v>
      </c>
      <c r="BU96" s="345">
        <f xml:space="preserve"> Table16[[#This Row],[Total Sync Bo MOSFET Loss]]+Table16[[#This Row],[Reverse Recovery Loss MOSFET D BOOST]]*0.33</f>
        <v>0.7736887473056383</v>
      </c>
      <c r="BV96" s="345">
        <f>Table16[[#This Row],[Isense Shunt Loss]]</f>
        <v>6.7666150699321873E-2</v>
      </c>
      <c r="CB96" s="686"/>
      <c r="CC96" s="686"/>
    </row>
    <row r="97" spans="7:81" x14ac:dyDescent="0.2">
      <c r="G97" s="253">
        <v>88</v>
      </c>
      <c r="H97" s="286">
        <f>VIN_min+(VIN_max-VIN_min)*(Table16[[#This Row],[Step]]/200)</f>
        <v>19.2</v>
      </c>
      <c r="I97" s="292" t="str">
        <f>IF(Mode = 2,IF(Table16[[#This Row],[Vin]]&gt;Vout, "BUCK","BOOST"),IF(Table16[[#This Row],[Vin]]&gt;VIN_BB_to_buck, "BUCK", IF(Table16[[#This Row],[Vin]]&lt;=VIN_boost_to_BB,"BOOST","BUCK-BST")))</f>
        <v>BUCK-BST</v>
      </c>
      <c r="J97" s="253">
        <f>IF(Table16[[#This Row],[Mode]]="BOOST",2, IF(Table16[[#This Row],[Mode]]="BUCK", 1,3))</f>
        <v>3</v>
      </c>
      <c r="K97" s="253">
        <f t="shared" si="4"/>
        <v>8</v>
      </c>
      <c r="L97" s="292">
        <f>Vout*Table16[[#This Row],[Iout]]/(Table16[[#This Row],[Vin]]*Efficiency)</f>
        <v>7.0175438596491233</v>
      </c>
      <c r="M97" s="682">
        <f>MIN(1/Fsw,CHOOSE(Table16[[#This Row],[Mode Digit]],(Vout+(Rdson2+Rs+Rdcr)*Table16[[#This Row],[Iout]])/(Table16[[#This Row],[Vin]]+(Rs+Rdson2-Rdson1)*Table16[[#This Row],[Iout]])/Fsw,(Vout+(Rdson3+Rdcr)*Table16[[#This Row],[Iin]]-Table16[[#This Row],[Vin]])/(Vout+(Rdson3-Rdson4-Rs)*Table16[[#This Row],[Iin]])/Fsw,t1_Ph_II))</f>
        <v>1.5084238313644118E-6</v>
      </c>
      <c r="N97" s="518">
        <f>CHOOSE(Table16[[#This Row],[Mode Digit]],1/Fsw-Table16[[#This Row],[t1_Ph_II]],1/Fsw-Table16[[#This Row],[t1_Ph_II]],(Vout/Fsw-Table16[[#This Row],[Vin]]*t1_Ph_II)/(Table16[[#This Row],[Vin]]+Vout))</f>
        <v>3.1929737110593539E-7</v>
      </c>
      <c r="O97" s="518">
        <f>1/Fsw-(Table16[[#This Row],[t1_Ph_II]]+Table16[[#This Row],[t2_Ph_I]])</f>
        <v>6.8484161160000474E-7</v>
      </c>
      <c r="P97"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7.7744428878263667</v>
      </c>
      <c r="Q97" s="292">
        <f>CHOOSE(Table16[[#This Row],[Mode Digit]],Table16[[#This Row],[I_0]]+1/Lf*(Table16[[#This Row],[Vin]]-Vout)*Table16[[#This Row],[t1_Ph_II]],Table16[[#This Row],[I_0]]+1/Lf*Table16[[#This Row],[Vin]]*Table16[[#This Row],[t1_Ph_II]],Table16[[#This Row],[I_0]]+(Table16[[#This Row],[Vin]]-Vout)/L*Table16[[#This Row],[t1_Ph_II]])</f>
        <v>10.456085254696431</v>
      </c>
      <c r="R97" s="292">
        <f>CHOOSE(Table16[[#This Row],[Mode Digit]],0,0,Table16[[#This Row],[I_1]]+Table16[[#This Row],[Vin]]/L*Table16[[#This Row],[t2_Ph_I]])</f>
        <v>13.861923879826408</v>
      </c>
      <c r="S97" s="292">
        <f>Fsw*(Table16[[#This Row],[I_0]]*Table16[[#This Row],[t1_Ph_II]]+Table16[[#This Row],[I_1]]*Table16[[#This Row],[t2_Ph_I]]+Table16[[#This Row],[I_2]]*Table16[[#This Row],[t3_Ph_III]])</f>
        <v>9.774473144977545</v>
      </c>
      <c r="T97" s="345">
        <f>MIN(1,CHOOSE(Table16[[#This Row],[Mode Digit]],(Vout+(Rdson2+Rs+Rdcr)*Table16[[#This Row],[Iout]])/(Table16[[#This Row],[Vin]]+(Rs+Rdson2-Rdson1)*Table16[[#This Row],[Iout]]),1,Fsw*Table16[[#This Row],[t2_Ph_I]]+Table16[[#This Row],[t1_Ph_II]]))</f>
        <v>0.12708186212399367</v>
      </c>
      <c r="U97" s="345">
        <f>MIN(1,CHOOSE(Table16[[#This Row],[Mode Digit]],0,(Vout+(Rdson3+Rdcr)*Table16[[#This Row],[Iin]]-Table16[[#This Row],[Vin]])/(Vout+(Rdson3-Rdson4-Rs)*Table16[[#This Row],[Iin]]),Fsw*Table16[[#This Row],[t1_Ph_II]]+Table16[[#This Row],[t3_Ph_III]]))</f>
        <v>0.60035336972464748</v>
      </c>
      <c r="V97" s="292">
        <f>MAX(Table16[[#This Row],[I_0]:[I_2]])-MIN(Table16[[#This Row],[I_0]:[I_1]])</f>
        <v>6.0874809920000414</v>
      </c>
      <c r="W97"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10.094233516068041</v>
      </c>
      <c r="X97" s="345">
        <f>(Table16[[#This Row],[Irms Lf]]^2*Rdcr*(1+Ltc*Ta-Ltc*25))/(1-Table16[[#This Row],[Irms Lf]]^2*Rdcr*Ltc*ThetaCa)</f>
        <v>0.33479233486496773</v>
      </c>
      <c r="Y97" s="345">
        <f>ABS(7.759*10^-3*Fsw^0.9458*(0.00787*Table16[[#This Row],[Ripple Current pk-pk]])^2.304)</f>
        <v>1.3990885971288305</v>
      </c>
      <c r="Z97" s="345">
        <f>Table16[[#This Row],[DCR    Loss]]+Table16[[#This Row],[Core Loss]]</f>
        <v>1.7338809319937982</v>
      </c>
      <c r="AA97" s="292">
        <f>IF(Table16[[#This Row],[Vin]]&gt;Vout, Table16[[#This Row],[Ripple Current pk-pk]]/SQRT(12), SQRT(Table16[[#This Row],[Duty Cycle BOOST Leg]]/(1-Table16[[#This Row],[Duty Cycle BOOST Leg]]))*SQRT(Table16[[#This Row],[Iout]]^2+(Table16[[#This Row],[Ripple Current pk-pk]]^2)/12))</f>
        <v>1.757304394708977</v>
      </c>
      <c r="AB97" s="345">
        <f>RCoutEsr*Table16[[#This Row],[Irms Cout]]^2</f>
        <v>6.1762374713269681E-3</v>
      </c>
      <c r="AC97" s="345">
        <f>Table16[[#This Row],[Cout ESR Loss]]</f>
        <v>6.1762374713269681E-3</v>
      </c>
      <c r="AD97" s="345">
        <f>IF(Table16[[#This Row],[Vin]]&gt;Vout, SQRT(Table16[[#This Row],[Duty Cycle BUCK Leg]]*(1-Table16[[#This Row],[Duty Cycle BUCK Leg]]))*SQRT(Table16[[#This Row],[Iout]]^2+(Table16[[#This Row],[Ripple Current pk-pk]]^2)/12), Table16[[#This Row],[Ripple Current pk-pk]]/SQRT(12))</f>
        <v>2.7280438736893857</v>
      </c>
      <c r="AE97" s="345">
        <f>RCinEsr*Table16[[#This Row],[Irms Cin]]^2</f>
        <v>1.4884446753548379E-2</v>
      </c>
      <c r="AF97" s="683">
        <f>Table16[[#This Row],[Cin ESR Loss]]</f>
        <v>1.4884446753548379E-2</v>
      </c>
      <c r="AG97"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8.3157968313109372</v>
      </c>
      <c r="AH97" s="345">
        <f>Rdson1*Table16[[#This Row],[Irms BuCtrl]]^2</f>
        <v>0.24203366928874356</v>
      </c>
      <c r="AI97" s="345">
        <f>CHOOSE(Table16[[#This Row],[Mode Digit]], (Table16[[#This Row],[Vin]]*Table16[[#This Row],[Iout]]/2)*(Fsw)*(Tr_buck+Tf_buck), 0, (Table16[[#This Row],[Vin]]*Table16[[#This Row],[Avg IL]]/2)*(Fsw/1)*(Tr_buck+Tf_buck))</f>
        <v>0.70235626853216082</v>
      </c>
      <c r="AJ97" s="253">
        <f>IF(Table16[[#This Row],[Vin]]&gt;Vout, IF(Table16[[#This Row],[Iout]]&gt;Table16[[#This Row],[Ripple Current pk-pk]]/2,0,ABS(Table16[[#This Row],[Iout]]-Table16[[#This Row],[Ripple Current pk-pk]]/2)*Vsd_Q1*Deadtime*Fsw),0)</f>
        <v>0</v>
      </c>
      <c r="AK97" s="345">
        <f>(Table16[[#This Row],[Dead Time Loss BuCtrl]]+Table16[[#This Row],[Transition Loss BuCtrl]]+Table16[[#This Row],[RDS(on) Loss BuCtrl]]*(1+RdsonTopTc*Ta-RdsonTopTc*25))/(1-Table16[[#This Row],[RDS(on) Loss BuCtrl]]*RdsonTopTc*ThetaJA_Q1)</f>
        <v>1.0078101765125504</v>
      </c>
      <c r="AL97" s="345">
        <f>CHOOSE(Table16[[#This Row],[Mode Digit]],SQRT((Fsw*(Table16[[#This Row],[t2_Ph_I]]+0))*((Table16[[#This Row],[I_0]]*Table16[[#This Row],[I_1]]+((Table16[[#This Row],[I_0]]-Table16[[#This Row],[I_1]])^2)/3))),0,SQRT((Fsw*(Table16[[#This Row],[t3_Ph_III]]+0))*((Table16[[#This Row],[I_0]]*Table16[[#This Row],[I_2]]+((Table16[[#This Row],[I_0]]-Table16[[#This Row],[I_2]])^2)/3))))</f>
        <v>5.7219815918325274</v>
      </c>
      <c r="AM97" s="345">
        <f>Rdson2*Table16[[#This Row],[Irms BuSync]]^2</f>
        <v>0.11459375668044608</v>
      </c>
      <c r="AN97"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97" s="345">
        <f>(Table16[[#This Row],[Deadtime Loss BuSync]]+Table16[[#This Row],[RDS(on) Loss BuSync]]*(1+RdsonBotTc*Ta-RdsonBotTc*25))/(1-Table16[[#This Row],[RDS(on) Loss BuSync]]*RdsonBotTc*ThetaJA_Q2)</f>
        <v>0.36424624657593713</v>
      </c>
      <c r="AP97" s="345">
        <f>CHOOSE(Table16[[#This Row],[Mode Digit]],0,SQRT((Fsw*(Table16[[#This Row],[t1_Ph_II]]+0))*((Table16[[#This Row],[I_0]]*Table16[[#This Row],[I_1]]+((Table16[[#This Row],[I_0]]-Table16[[#This Row],[I_1]])^2)/3))),SQRT((Fsw*(Table16[[#This Row],[t2_Ph_I]]+0))*((Table16[[#This Row],[I_1]]*Table16[[#This Row],[I_2]]+((Table16[[#This Row],[I_1]]-Table16[[#This Row],[I_2]])^2)/3))))</f>
        <v>4.3486294334355629</v>
      </c>
      <c r="AQ97" s="345">
        <f>Rdson4*Table16[[#This Row],[Irms BoCtlr]]^2</f>
        <v>6.6187022822697367E-2</v>
      </c>
      <c r="AR97" s="345">
        <f>CHOOSE(Table16[[#This Row],[Mode Digit]], 0, (Vout*Table16[[#This Row],[Iin]]/2)*(Fsw)*(Tr_boost+Tf_boost), (Vout*Iout/2)*(Fsw/1)*(Tr_boost+Tf_boost))</f>
        <v>0.47564320886662292</v>
      </c>
      <c r="AS97" s="253">
        <f>IF(Table16[[#This Row],[Vin]]&gt;Vout, 0, IF(Table16[[#This Row],[Iin]]&gt;Table16[[#This Row],[Ripple Current pk-pk]]/2,0,ABS(Table16[[#This Row],[Iin]]-Table16[[#This Row],[Ripple Current pk-pk]]/2)*Vsd_Q4*Deadtime*Fsw))</f>
        <v>0</v>
      </c>
      <c r="AT97" s="345">
        <f>(Table16[[#This Row],[Dead Time Loss BoCtlr]]+Table16[[#This Row],[Transition Loss BoCtlr]]+Table16[[#This Row],[RDS(on) Loss BoCtlr]]*(1+RdsonTopTc*Ta-RdsonTopTc*25))/(1-Table16[[#This Row],[RDS(on) Loss BoCtlr]]*RdsonTopTc*ThetaJA_Q4)</f>
        <v>0.551317650914668</v>
      </c>
      <c r="AU97"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9.109499016277967</v>
      </c>
      <c r="AV97" s="345">
        <f>Rdson3*Table16[[#This Row],[Irms BoSync]]^2</f>
        <v>0.29044040314649233</v>
      </c>
      <c r="AW97"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0.20947368421052628</v>
      </c>
      <c r="AX97" s="345">
        <f>(Table16[[#This Row],[Deadtime Loss BoSync]]+Table16[[#This Row],[RDS(on) Loss BoSync]]*(1+RdsonBotTc*Ta-RdsonBotTc*25))/(1-Table16[[#This Row],[RDS(on) Loss BoSync]]*RdsonBotTc*ThetaJA_Q3)</f>
        <v>0.54074843787424698</v>
      </c>
      <c r="AY97" s="345">
        <f>CHOOSE(Table16[[#This Row],[Mode Digit]], Rdson3*Table16[[#This Row],[Irms Lf]]^2, Rdson1*Table16[[#This Row],[Irms Lf]]^2, 0)</f>
        <v>0</v>
      </c>
      <c r="AZ97" s="345">
        <f>CHOOSE(Table16[[#This Row],[Mode Digit]], 2*Deadtime*Fsw*IF(VfdSky_Q2&gt;0,VfdSky_Q2,0)*Table16[[#This Row],[Iout]], 2*Deadtime*Fsw*IF(VfdSky_Q3&gt;0,VfdSky_Q3,0)*Table16[[#This Row],[Iin]], 2*Deadtime*Fsw*IF(VfdSky_Q2&gt;0,VfdSky_Q2,0)*Table16[[#This Row],[Iout]]+2*Deadtime*Fsw*IF(VfdSky_Q3&gt;0,VfdSky_Q3,0)*Table16[[#This Row],[Iin]])</f>
        <v>0</v>
      </c>
      <c r="BA97" s="345">
        <f>CHOOSE(Table16[[#This Row],[Mode Digit]], IF(QrrSky_Q2&gt;0,QrrSky_Q2,Qrr_Q2)*Fsw*(Table16[[#This Row],[Vin]]-Table16[[#This Row],[Iout]]*Rdson1),0,  IF(QrrSky_Q2&gt;0,QrrSky_Q2,Qrr_Q2)*Fsw*(Table16[[#This Row],[Vin]]-Table16[[#This Row],[Iout]]*Rdson1)+IF(QrrSky_Q3&gt;0,QrrSky_Q3,Qrr_Q3)*Fsw*Vout)</f>
        <v>0.69997851999999994</v>
      </c>
      <c r="BB97" s="345">
        <f>CHOOSE(Table16[[#This Row],[Mode Digit]],0, IF(QrrSky_Q3&gt;0,QrrSky_Q3,Qrr_Q3)*Fsw*Vout,  IF(QrrSky_Q2&gt;0,QrrSky_Q2,Qrr_Q2)*Fsw*(Table16[[#This Row],[Vin]]-Table16[[#This Row],[Iout]]*Rdson1)+IF(QrrSky_Q3&gt;0,QrrSky_Q3,Qrr_Q3)*Fsw*Vout)</f>
        <v>0.69997851999999994</v>
      </c>
      <c r="BC97" s="345">
        <f>CHOOSE(Table16[[#This Row],[Mode Digit]], Rs*Table16[[#This Row],[Irms BuSync]]^2, Rs*Table16[[#This Row],[Irms BoCtlr]]^2, Rs*(Table16[[#This Row],[Irms BuSync]]^2+Table16[[#This Row],[Irms BoCtlr]]^2))</f>
        <v>6.7147146672596136E-2</v>
      </c>
      <c r="BD97" s="345">
        <f t="shared" si="5"/>
        <v>0.64</v>
      </c>
      <c r="BE97" s="345">
        <f>IF(Vout&gt;8, Iq*Vout, Iq*Table16[[#This Row],[Vin]])</f>
        <v>4.8000000000000001E-2</v>
      </c>
      <c r="BF97" s="345">
        <f>CHOOSE(Table16[[#This Row],[Mode Digit]], (Qg_Q1+Qg_Q2)*Fsw, (Qg_Q3+Qg_Q4)*Fsw, (Qg_Q1+Qg_Q2+Qg_Q3+Qg_Q4)*Fsw)*IF(Vout&gt;8, Vout, Table16[[#This Row],[Vin]])</f>
        <v>1.7066240000000001</v>
      </c>
      <c r="BG97" s="345">
        <f t="shared" si="6"/>
        <v>0.50594479787234037</v>
      </c>
      <c r="BH97" s="345">
        <f>Table16[[#This Row],[IQ Loss]]+Table16[[#This Row],[Switching Current Loss]]</f>
        <v>1.7546240000000002</v>
      </c>
      <c r="BI97"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8.080792314768674</v>
      </c>
      <c r="BJ97" s="253">
        <f>Vout*Table16[[#This Row],[Iout]]</f>
        <v>128</v>
      </c>
      <c r="BK97" s="684">
        <f>Table16[[#This Row],[Pout]]/(Table16[[#This Row],[Pout]]+Table16[[#This Row],[Total Loss]])</f>
        <v>0.94061768617515851</v>
      </c>
      <c r="BL97"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111.00626527331578</v>
      </c>
      <c r="BM97" s="685">
        <f>IF(Table16[[#This Row],[Vin]]&gt;Vout, Table16[[#This Row],[Total Sync Bu MOSFET Loss]]*ThetaJA_Q2, ThetaJA_Q3*Table16[[#This Row],[Total Sync Bo MOSFET Loss]])</f>
        <v>23.676006027435914</v>
      </c>
      <c r="BN97" s="640"/>
      <c r="BO97" s="292">
        <f>Table16[[#This Row],[EFF, h]]*100</f>
        <v>94.061768617515852</v>
      </c>
      <c r="BP97" s="345">
        <f>Table16[[#This Row],[Total Inductor Loss]]</f>
        <v>1.7338809319937982</v>
      </c>
      <c r="BQ97" s="345">
        <f>Table16[[#This Row],[Total Control Bu MOSFET Loss]]+Table16[[#This Row],[Total Sync Bu MOSFET Loss]]+Table16[[#This Row],[Total Control Bo MOSFET Loss]]+Table16[[#This Row],[Total Sync Bo MOSFET Loss]]+Table16[[#This Row],[Reverse Recovery Loss MOSFET D BUCK]]+Table16[[#This Row],[Reverse Recovery Loss MOSFET D BOOST]]</f>
        <v>3.8640795518774027</v>
      </c>
      <c r="BR97" s="345">
        <f>Table16[[#This Row],[Total Control Bu MOSFET Loss]]+Table16[[#This Row],[Reverse Recovery Loss MOSFET D BUCK]]*0.66</f>
        <v>1.4697959997125505</v>
      </c>
      <c r="BS97" s="345">
        <f>Table16[[#This Row],[Total Sync Bu MOSFET Loss]]+Table16[[#This Row],[Reverse Recovery Loss MOSFET D BUCK]]*0.33</f>
        <v>0.59523915817593709</v>
      </c>
      <c r="BT97" s="345">
        <f xml:space="preserve"> Table16[[#This Row],[Total Control Bo MOSFET Loss]]+Table16[[#This Row],[Reverse Recovery Loss MOSFET D BOOST]]*0.66</f>
        <v>1.013303474114668</v>
      </c>
      <c r="BU97" s="345">
        <f xml:space="preserve"> Table16[[#This Row],[Total Sync Bo MOSFET Loss]]+Table16[[#This Row],[Reverse Recovery Loss MOSFET D BOOST]]*0.33</f>
        <v>0.771741349474247</v>
      </c>
      <c r="BV97" s="345">
        <f>Table16[[#This Row],[Isense Shunt Loss]]</f>
        <v>6.7147146672596136E-2</v>
      </c>
      <c r="CB97" s="686"/>
      <c r="CC97" s="686"/>
    </row>
    <row r="98" spans="7:81" x14ac:dyDescent="0.2">
      <c r="G98" s="253">
        <v>89</v>
      </c>
      <c r="H98" s="286">
        <f>VIN_min+(VIN_max-VIN_min)*(Table16[[#This Row],[Step]]/200)</f>
        <v>19.350000000000001</v>
      </c>
      <c r="I98" s="292" t="str">
        <f>IF(Mode = 2,IF(Table16[[#This Row],[Vin]]&gt;Vout, "BUCK","BOOST"),IF(Table16[[#This Row],[Vin]]&gt;VIN_BB_to_buck, "BUCK", IF(Table16[[#This Row],[Vin]]&lt;=VIN_boost_to_BB,"BOOST","BUCK-BST")))</f>
        <v>BUCK-BST</v>
      </c>
      <c r="J98" s="253">
        <f>IF(Table16[[#This Row],[Mode]]="BOOST",2, IF(Table16[[#This Row],[Mode]]="BUCK", 1,3))</f>
        <v>3</v>
      </c>
      <c r="K98" s="253">
        <f t="shared" si="4"/>
        <v>8</v>
      </c>
      <c r="L98" s="292">
        <f>Vout*Table16[[#This Row],[Iout]]/(Table16[[#This Row],[Vin]]*Efficiency)</f>
        <v>6.963144294845641</v>
      </c>
      <c r="M98" s="682">
        <f>MIN(1/Fsw,CHOOSE(Table16[[#This Row],[Mode Digit]],(Vout+(Rdson2+Rs+Rdcr)*Table16[[#This Row],[Iout]])/(Table16[[#This Row],[Vin]]+(Rs+Rdson2-Rdson1)*Table16[[#This Row],[Iout]])/Fsw,(Vout+(Rdson3+Rdcr)*Table16[[#This Row],[Iin]]-Table16[[#This Row],[Vin]])/(Vout+(Rdson3-Rdson4-Rs)*Table16[[#This Row],[Iin]])/Fsw,t1_Ph_II))</f>
        <v>1.5084238313644118E-6</v>
      </c>
      <c r="N98" s="518">
        <f>CHOOSE(Table16[[#This Row],[Mode Digit]],1/Fsw-Table16[[#This Row],[t1_Ph_II]],1/Fsw-Table16[[#This Row],[t1_Ph_II]],(Vout/Fsw-Table16[[#This Row],[Vin]]*t1_Ph_II)/(Table16[[#This Row],[Vin]]+Vout))</f>
        <v>3.1154183559333126E-7</v>
      </c>
      <c r="O98" s="518">
        <f>1/Fsw-(Table16[[#This Row],[t1_Ph_II]]+Table16[[#This Row],[t2_Ph_I]])</f>
        <v>6.9259714711260887E-7</v>
      </c>
      <c r="P98"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7.6824038266606269</v>
      </c>
      <c r="Q98" s="292">
        <f>CHOOSE(Table16[[#This Row],[Mode Digit]],Table16[[#This Row],[I_0]]+1/Lf*(Table16[[#This Row],[Vin]]-Vout)*Table16[[#This Row],[t1_Ph_II]],Table16[[#This Row],[I_0]]+1/Lf*Table16[[#This Row],[Vin]]*Table16[[#This Row],[t1_Ph_II]],Table16[[#This Row],[I_0]]+(Table16[[#This Row],[Vin]]-Vout)/L*Table16[[#This Row],[t1_Ph_II]])</f>
        <v>10.489748179477727</v>
      </c>
      <c r="R98" s="292">
        <f>CHOOSE(Table16[[#This Row],[Mode Digit]],0,0,Table16[[#This Row],[I_1]]+Table16[[#This Row],[Vin]]/L*Table16[[#This Row],[t2_Ph_I]])</f>
        <v>13.838822912106039</v>
      </c>
      <c r="S98" s="292">
        <f>Fsw*(Table16[[#This Row],[I_0]]*Table16[[#This Row],[t1_Ph_II]]+Table16[[#This Row],[I_1]]*Table16[[#This Row],[t2_Ph_I]]+Table16[[#This Row],[I_2]]*Table16[[#This Row],[t3_Ph_III]])</f>
        <v>9.7275361827762978</v>
      </c>
      <c r="T98" s="345">
        <f>MIN(1,CHOOSE(Table16[[#This Row],[Mode Digit]],(Vout+(Rdson2+Rs+Rdcr)*Table16[[#This Row],[Iout]])/(Table16[[#This Row],[Vin]]+(Rs+Rdson2-Rdson1)*Table16[[#This Row],[Iout]]),1,Fsw*Table16[[#This Row],[t2_Ph_I]]+Table16[[#This Row],[t1_Ph_II]]))</f>
        <v>0.12399515898997721</v>
      </c>
      <c r="U98" s="345">
        <f>MIN(1,CHOOSE(Table16[[#This Row],[Mode Digit]],0,(Vout+(Rdson3+Rdcr)*Table16[[#This Row],[Iin]]-Table16[[#This Row],[Vin]])/(Vout+(Rdson3-Rdson4-Rs)*Table16[[#This Row],[Iin]]),Fsw*Table16[[#This Row],[t1_Ph_II]]+Table16[[#This Row],[t3_Ph_III]]))</f>
        <v>0.60035337748018291</v>
      </c>
      <c r="V98" s="292">
        <f>MAX(Table16[[#This Row],[I_0]:[I_2]])-MIN(Table16[[#This Row],[I_0]:[I_1]])</f>
        <v>6.1564190854454122</v>
      </c>
      <c r="W98"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10.060292703276271</v>
      </c>
      <c r="X98" s="345">
        <f>(Table16[[#This Row],[Irms Lf]]^2*Rdcr*(1+Ltc*Ta-Ltc*25))/(1-Table16[[#This Row],[Irms Lf]]^2*Rdcr*Ltc*ThetaCa)</f>
        <v>0.33248492686982412</v>
      </c>
      <c r="Y98" s="345">
        <f>ABS(7.759*10^-3*Fsw^0.9458*(0.00787*Table16[[#This Row],[Ripple Current pk-pk]])^2.304)</f>
        <v>1.435863189879456</v>
      </c>
      <c r="Z98" s="345">
        <f>Table16[[#This Row],[DCR    Loss]]+Table16[[#This Row],[Core Loss]]</f>
        <v>1.7683481167492801</v>
      </c>
      <c r="AA98" s="292">
        <f>IF(Table16[[#This Row],[Vin]]&gt;Vout, Table16[[#This Row],[Ripple Current pk-pk]]/SQRT(12), SQRT(Table16[[#This Row],[Duty Cycle BOOST Leg]]/(1-Table16[[#This Row],[Duty Cycle BOOST Leg]]))*SQRT(Table16[[#This Row],[Iout]]^2+(Table16[[#This Row],[Ripple Current pk-pk]]^2)/12))</f>
        <v>1.7772051081130293</v>
      </c>
      <c r="AB98" s="345">
        <f>RCoutEsr*Table16[[#This Row],[Irms Cout]]^2</f>
        <v>6.3169159926060887E-3</v>
      </c>
      <c r="AC98" s="345">
        <f>Table16[[#This Row],[Cout ESR Loss]]</f>
        <v>6.3169159926060887E-3</v>
      </c>
      <c r="AD98" s="345">
        <f>IF(Table16[[#This Row],[Vin]]&gt;Vout, SQRT(Table16[[#This Row],[Duty Cycle BUCK Leg]]*(1-Table16[[#This Row],[Duty Cycle BUCK Leg]]))*SQRT(Table16[[#This Row],[Iout]]^2+(Table16[[#This Row],[Ripple Current pk-pk]]^2)/12), Table16[[#This Row],[Ripple Current pk-pk]]/SQRT(12))</f>
        <v>2.7008842725135032</v>
      </c>
      <c r="AE98" s="345">
        <f>RCinEsr*Table16[[#This Row],[Irms Cin]]^2</f>
        <v>1.458955170702159E-2</v>
      </c>
      <c r="AF98" s="683">
        <f>Table16[[#This Row],[Cin ESR Loss]]</f>
        <v>1.458955170702159E-2</v>
      </c>
      <c r="AG98"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8.2716800222073825</v>
      </c>
      <c r="AH98" s="345">
        <f>Rdson1*Table16[[#This Row],[Irms BuCtrl]]^2</f>
        <v>0.23947241636424654</v>
      </c>
      <c r="AI98" s="345">
        <f>CHOOSE(Table16[[#This Row],[Mode Digit]], (Table16[[#This Row],[Vin]]*Table16[[#This Row],[Iout]]/2)*(Fsw)*(Tr_buck+Tf_buck), 0, (Table16[[#This Row],[Vin]]*Table16[[#This Row],[Avg IL]]/2)*(Fsw/1)*(Tr_buck+Tf_buck))</f>
        <v>0.70444436693288925</v>
      </c>
      <c r="AJ98" s="253">
        <f>IF(Table16[[#This Row],[Vin]]&gt;Vout, IF(Table16[[#This Row],[Iout]]&gt;Table16[[#This Row],[Ripple Current pk-pk]]/2,0,ABS(Table16[[#This Row],[Iout]]-Table16[[#This Row],[Ripple Current pk-pk]]/2)*Vsd_Q1*Deadtime*Fsw),0)</f>
        <v>0</v>
      </c>
      <c r="AK98" s="345">
        <f>(Table16[[#This Row],[Dead Time Loss BuCtrl]]+Table16[[#This Row],[Transition Loss BuCtrl]]+Table16[[#This Row],[RDS(on) Loss BuCtrl]]*(1+RdsonTopTc*Ta-RdsonTopTc*25))/(1-Table16[[#This Row],[RDS(on) Loss BuCtrl]]*RdsonTopTc*ThetaJA_Q1)</f>
        <v>1.0065899185166549</v>
      </c>
      <c r="AL98" s="345">
        <f>CHOOSE(Table16[[#This Row],[Mode Digit]],SQRT((Fsw*(Table16[[#This Row],[t2_Ph_I]]+0))*((Table16[[#This Row],[I_0]]*Table16[[#This Row],[I_1]]+((Table16[[#This Row],[I_0]]-Table16[[#This Row],[I_1]])^2)/3))),0,SQRT((Fsw*(Table16[[#This Row],[t3_Ph_III]]+0))*((Table16[[#This Row],[I_0]]*Table16[[#This Row],[I_2]]+((Table16[[#This Row],[I_0]]-Table16[[#This Row],[I_2]])^2)/3))))</f>
        <v>5.7261504421215719</v>
      </c>
      <c r="AM98" s="345">
        <f>Rdson2*Table16[[#This Row],[Irms BuSync]]^2</f>
        <v>0.11476079610033176</v>
      </c>
      <c r="AN98"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98" s="345">
        <f>(Table16[[#This Row],[Deadtime Loss BuSync]]+Table16[[#This Row],[RDS(on) Loss BuSync]]*(1+RdsonBotTc*Ta-RdsonBotTc*25))/(1-Table16[[#This Row],[RDS(on) Loss BuSync]]*RdsonBotTc*ThetaJA_Q2)</f>
        <v>0.36443472920951175</v>
      </c>
      <c r="AP98" s="345">
        <f>CHOOSE(Table16[[#This Row],[Mode Digit]],0,SQRT((Fsw*(Table16[[#This Row],[t1_Ph_II]]+0))*((Table16[[#This Row],[I_0]]*Table16[[#This Row],[I_1]]+((Table16[[#This Row],[I_0]]-Table16[[#This Row],[I_1]])^2)/3))),SQRT((Fsw*(Table16[[#This Row],[t2_Ph_I]]+0))*((Table16[[#This Row],[I_1]]*Table16[[#This Row],[I_2]]+((Table16[[#This Row],[I_1]]-Table16[[#This Row],[I_2]])^2)/3))))</f>
        <v>4.2968845499324138</v>
      </c>
      <c r="AQ98" s="345">
        <f>Rdson4*Table16[[#This Row],[Irms BoCtlr]]^2</f>
        <v>6.4621258924067587E-2</v>
      </c>
      <c r="AR98" s="345">
        <f>CHOOSE(Table16[[#This Row],[Mode Digit]], 0, (Vout*Table16[[#This Row],[Iin]]/2)*(Fsw)*(Tr_boost+Tf_boost), (Vout*Iout/2)*(Fsw/1)*(Tr_boost+Tf_boost))</f>
        <v>0.47564320886662292</v>
      </c>
      <c r="AS98" s="253">
        <f>IF(Table16[[#This Row],[Vin]]&gt;Vout, 0, IF(Table16[[#This Row],[Iin]]&gt;Table16[[#This Row],[Ripple Current pk-pk]]/2,0,ABS(Table16[[#This Row],[Iin]]-Table16[[#This Row],[Ripple Current pk-pk]]/2)*Vsd_Q4*Deadtime*Fsw))</f>
        <v>0</v>
      </c>
      <c r="AT98" s="345">
        <f>(Table16[[#This Row],[Dead Time Loss BoCtlr]]+Table16[[#This Row],[Transition Loss BoCtlr]]+Table16[[#This Row],[RDS(on) Loss BoCtlr]]*(1+RdsonTopTc*Ta-RdsonTopTc*25))/(1-Table16[[#This Row],[RDS(on) Loss BoCtlr]]*RdsonTopTc*ThetaJA_Q4)</f>
        <v>0.54949685419890903</v>
      </c>
      <c r="AU98"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9.0964978118035038</v>
      </c>
      <c r="AV98" s="345">
        <f>Rdson3*Table16[[#This Row],[Irms BoSync]]^2</f>
        <v>0.28961195354051078</v>
      </c>
      <c r="AW98"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0.20784985720114235</v>
      </c>
      <c r="AX98" s="345">
        <f>(Table16[[#This Row],[Deadtime Loss BoSync]]+Table16[[#This Row],[RDS(on) Loss BoSync]]*(1+RdsonBotTc*Ta-RdsonBotTc*25))/(1-Table16[[#This Row],[RDS(on) Loss BoSync]]*RdsonBotTc*ThetaJA_Q3)</f>
        <v>0.53797051025111597</v>
      </c>
      <c r="AY98" s="345">
        <f>CHOOSE(Table16[[#This Row],[Mode Digit]], Rdson3*Table16[[#This Row],[Irms Lf]]^2, Rdson1*Table16[[#This Row],[Irms Lf]]^2, 0)</f>
        <v>0</v>
      </c>
      <c r="AZ98" s="345">
        <f>CHOOSE(Table16[[#This Row],[Mode Digit]], 2*Deadtime*Fsw*IF(VfdSky_Q2&gt;0,VfdSky_Q2,0)*Table16[[#This Row],[Iout]], 2*Deadtime*Fsw*IF(VfdSky_Q3&gt;0,VfdSky_Q3,0)*Table16[[#This Row],[Iin]], 2*Deadtime*Fsw*IF(VfdSky_Q2&gt;0,VfdSky_Q2,0)*Table16[[#This Row],[Iout]]+2*Deadtime*Fsw*IF(VfdSky_Q3&gt;0,VfdSky_Q3,0)*Table16[[#This Row],[Iin]])</f>
        <v>0</v>
      </c>
      <c r="BA98" s="345">
        <f>CHOOSE(Table16[[#This Row],[Mode Digit]], IF(QrrSky_Q2&gt;0,QrrSky_Q2,Qrr_Q2)*Fsw*(Table16[[#This Row],[Vin]]-Table16[[#This Row],[Iout]]*Rdson1),0,  IF(QrrSky_Q2&gt;0,QrrSky_Q2,Qrr_Q2)*Fsw*(Table16[[#This Row],[Vin]]-Table16[[#This Row],[Iout]]*Rdson1)+IF(QrrSky_Q3&gt;0,QrrSky_Q3,Qrr_Q3)*Fsw*Vout)</f>
        <v>0.70266501999999997</v>
      </c>
      <c r="BB98" s="345">
        <f>CHOOSE(Table16[[#This Row],[Mode Digit]],0, IF(QrrSky_Q3&gt;0,QrrSky_Q3,Qrr_Q3)*Fsw*Vout,  IF(QrrSky_Q2&gt;0,QrrSky_Q2,Qrr_Q2)*Fsw*(Table16[[#This Row],[Vin]]-Table16[[#This Row],[Iout]]*Rdson1)+IF(QrrSky_Q3&gt;0,QrrSky_Q3,Qrr_Q3)*Fsw*Vout)</f>
        <v>0.70266501999999997</v>
      </c>
      <c r="BC98" s="345">
        <f>CHOOSE(Table16[[#This Row],[Mode Digit]], Rs*Table16[[#This Row],[Irms BuSync]]^2, Rs*Table16[[#This Row],[Irms BoCtlr]]^2, Rs*(Table16[[#This Row],[Irms BuSync]]^2+Table16[[#This Row],[Irms BoCtlr]]^2))</f>
        <v>6.6627620437634039E-2</v>
      </c>
      <c r="BD98" s="345">
        <f t="shared" si="5"/>
        <v>0.64</v>
      </c>
      <c r="BE98" s="345">
        <f>IF(Vout&gt;8, Iq*Vout, Iq*Table16[[#This Row],[Vin]])</f>
        <v>4.8000000000000001E-2</v>
      </c>
      <c r="BF98" s="345">
        <f>CHOOSE(Table16[[#This Row],[Mode Digit]], (Qg_Q1+Qg_Q2)*Fsw, (Qg_Q3+Qg_Q4)*Fsw, (Qg_Q1+Qg_Q2+Qg_Q3+Qg_Q4)*Fsw)*IF(Vout&gt;8, Vout, Table16[[#This Row],[Vin]])</f>
        <v>1.7066240000000001</v>
      </c>
      <c r="BG98" s="345">
        <f t="shared" si="6"/>
        <v>0.50594479787234037</v>
      </c>
      <c r="BH98" s="345">
        <f>Table16[[#This Row],[IQ Loss]]+Table16[[#This Row],[Switching Current Loss]]</f>
        <v>1.7546240000000002</v>
      </c>
      <c r="BI98"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8.1143282570627324</v>
      </c>
      <c r="BJ98" s="253">
        <f>Vout*Table16[[#This Row],[Iout]]</f>
        <v>128</v>
      </c>
      <c r="BK98" s="684">
        <f>Table16[[#This Row],[Pout]]/(Table16[[#This Row],[Pout]]+Table16[[#This Row],[Total Loss]])</f>
        <v>0.94038593613937405</v>
      </c>
      <c r="BL98"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111.10157100358256</v>
      </c>
      <c r="BM98" s="685">
        <f>IF(Table16[[#This Row],[Vin]]&gt;Vout, Table16[[#This Row],[Total Sync Bu MOSFET Loss]]*ThetaJA_Q2, ThetaJA_Q3*Table16[[#This Row],[Total Sync Bo MOSFET Loss]])</f>
        <v>23.688257398618266</v>
      </c>
      <c r="BN98" s="640"/>
      <c r="BO98" s="292">
        <f>Table16[[#This Row],[EFF, h]]*100</f>
        <v>94.038593613937408</v>
      </c>
      <c r="BP98" s="345">
        <f>Table16[[#This Row],[Total Inductor Loss]]</f>
        <v>1.7683481167492801</v>
      </c>
      <c r="BQ98" s="345">
        <f>Table16[[#This Row],[Total Control Bu MOSFET Loss]]+Table16[[#This Row],[Total Sync Bu MOSFET Loss]]+Table16[[#This Row],[Total Control Bo MOSFET Loss]]+Table16[[#This Row],[Total Sync Bo MOSFET Loss]]+Table16[[#This Row],[Reverse Recovery Loss MOSFET D BUCK]]+Table16[[#This Row],[Reverse Recovery Loss MOSFET D BOOST]]</f>
        <v>3.8638220521761917</v>
      </c>
      <c r="BR98" s="345">
        <f>Table16[[#This Row],[Total Control Bu MOSFET Loss]]+Table16[[#This Row],[Reverse Recovery Loss MOSFET D BUCK]]*0.66</f>
        <v>1.4703488317166549</v>
      </c>
      <c r="BS98" s="345">
        <f>Table16[[#This Row],[Total Sync Bu MOSFET Loss]]+Table16[[#This Row],[Reverse Recovery Loss MOSFET D BUCK]]*0.33</f>
        <v>0.59631418580951179</v>
      </c>
      <c r="BT98" s="345">
        <f xml:space="preserve"> Table16[[#This Row],[Total Control Bo MOSFET Loss]]+Table16[[#This Row],[Reverse Recovery Loss MOSFET D BOOST]]*0.66</f>
        <v>1.0132557673989091</v>
      </c>
      <c r="BU98" s="345">
        <f xml:space="preserve"> Table16[[#This Row],[Total Sync Bo MOSFET Loss]]+Table16[[#This Row],[Reverse Recovery Loss MOSFET D BOOST]]*0.33</f>
        <v>0.76984996685111595</v>
      </c>
      <c r="BV98" s="345">
        <f>Table16[[#This Row],[Isense Shunt Loss]]</f>
        <v>6.6627620437634039E-2</v>
      </c>
      <c r="CB98" s="686"/>
      <c r="CC98" s="686"/>
    </row>
    <row r="99" spans="7:81" x14ac:dyDescent="0.2">
      <c r="G99" s="253">
        <v>90</v>
      </c>
      <c r="H99" s="286">
        <f>VIN_min+(VIN_max-VIN_min)*(Table16[[#This Row],[Step]]/200)</f>
        <v>19.5</v>
      </c>
      <c r="I99" s="292" t="str">
        <f>IF(Mode = 2,IF(Table16[[#This Row],[Vin]]&gt;Vout, "BUCK","BOOST"),IF(Table16[[#This Row],[Vin]]&gt;VIN_BB_to_buck, "BUCK", IF(Table16[[#This Row],[Vin]]&lt;=VIN_boost_to_BB,"BOOST","BUCK-BST")))</f>
        <v>BUCK-BST</v>
      </c>
      <c r="J99" s="253">
        <f>IF(Table16[[#This Row],[Mode]]="BOOST",2, IF(Table16[[#This Row],[Mode]]="BUCK", 1,3))</f>
        <v>3</v>
      </c>
      <c r="K99" s="253">
        <f t="shared" si="4"/>
        <v>8</v>
      </c>
      <c r="L99" s="292">
        <f>Vout*Table16[[#This Row],[Iout]]/(Table16[[#This Row],[Vin]]*Efficiency)</f>
        <v>6.9095816464237521</v>
      </c>
      <c r="M99" s="682">
        <f>MIN(1/Fsw,CHOOSE(Table16[[#This Row],[Mode Digit]],(Vout+(Rdson2+Rs+Rdcr)*Table16[[#This Row],[Iout]])/(Table16[[#This Row],[Vin]]+(Rs+Rdson2-Rdson1)*Table16[[#This Row],[Iout]])/Fsw,(Vout+(Rdson3+Rdcr)*Table16[[#This Row],[Iin]]-Table16[[#This Row],[Vin]])/(Vout+(Rdson3-Rdson4-Rs)*Table16[[#This Row],[Iin]])/Fsw,t1_Ph_II))</f>
        <v>1.5084238313644118E-6</v>
      </c>
      <c r="N99" s="518">
        <f>CHOOSE(Table16[[#This Row],[Mode Digit]],1/Fsw-Table16[[#This Row],[t1_Ph_II]],1/Fsw-Table16[[#This Row],[t1_Ph_II]],(Vout/Fsw-Table16[[#This Row],[Vin]]*t1_Ph_II)/(Table16[[#This Row],[Vin]]+Vout))</f>
        <v>3.0385183981745356E-7</v>
      </c>
      <c r="O99" s="518">
        <f>1/Fsw-(Table16[[#This Row],[t1_Ph_II]]+Table16[[#This Row],[t2_Ph_I]])</f>
        <v>7.0028714288848657E-7</v>
      </c>
      <c r="P99"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7.5911790106776715</v>
      </c>
      <c r="Q99" s="292">
        <f>CHOOSE(Table16[[#This Row],[Mode Digit]],Table16[[#This Row],[I_0]]+1/Lf*(Table16[[#This Row],[Vin]]-Vout)*Table16[[#This Row],[t1_Ph_II]],Table16[[#This Row],[I_0]]+1/Lf*Table16[[#This Row],[Vin]]*Table16[[#This Row],[t1_Ph_II]],Table16[[#This Row],[I_0]]+(Table16[[#This Row],[Vin]]-Vout)/L*Table16[[#This Row],[t1_Ph_II]])</f>
        <v>10.524225349441805</v>
      </c>
      <c r="R99" s="292">
        <f>CHOOSE(Table16[[#This Row],[Mode Digit]],0,0,Table16[[#This Row],[I_1]]+Table16[[#This Row],[Vin]]/L*Table16[[#This Row],[t2_Ph_I]])</f>
        <v>13.815953614130885</v>
      </c>
      <c r="S99" s="292">
        <f>Fsw*(Table16[[#This Row],[I_0]]*Table16[[#This Row],[t1_Ph_II]]+Table16[[#This Row],[I_1]]*Table16[[#This Row],[t2_Ph_I]]+Table16[[#This Row],[I_2]]*Table16[[#This Row],[t3_Ph_III]])</f>
        <v>9.6808147877728672</v>
      </c>
      <c r="T99" s="345">
        <f>MIN(1,CHOOSE(Table16[[#This Row],[Mode Digit]],(Vout+(Rdson2+Rs+Rdcr)*Table16[[#This Row],[Iout]])/(Table16[[#This Row],[Vin]]+(Rs+Rdson2-Rdson1)*Table16[[#This Row],[Iout]]),1,Fsw*Table16[[#This Row],[t2_Ph_I]]+Table16[[#This Row],[t1_Ph_II]]))</f>
        <v>0.12093454067117788</v>
      </c>
      <c r="U99" s="345">
        <f>MIN(1,CHOOSE(Table16[[#This Row],[Mode Digit]],0,(Vout+(Rdson3+Rdcr)*Table16[[#This Row],[Iin]]-Table16[[#This Row],[Vin]])/(Vout+(Rdson3-Rdson4-Rs)*Table16[[#This Row],[Iin]]),Fsw*Table16[[#This Row],[t1_Ph_II]]+Table16[[#This Row],[t3_Ph_III]]))</f>
        <v>0.60035338517017878</v>
      </c>
      <c r="V99" s="292">
        <f>MAX(Table16[[#This Row],[I_0]:[I_2]])-MIN(Table16[[#This Row],[I_0]:[I_1]])</f>
        <v>6.2247746034532137</v>
      </c>
      <c r="W99"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10.02678728915784</v>
      </c>
      <c r="X99" s="345">
        <f>(Table16[[#This Row],[Irms Lf]]^2*Rdcr*(1+Ltc*Ta-Ltc*25))/(1-Table16[[#This Row],[Irms Lf]]^2*Rdcr*Ltc*ThetaCa)</f>
        <v>0.33021555082120058</v>
      </c>
      <c r="Y99" s="345">
        <f>ABS(7.759*10^-3*Fsw^0.9458*(0.00787*Table16[[#This Row],[Ripple Current pk-pk]])^2.304)</f>
        <v>1.4728610905099406</v>
      </c>
      <c r="Z99" s="345">
        <f>Table16[[#This Row],[DCR    Loss]]+Table16[[#This Row],[Core Loss]]</f>
        <v>1.8030766413311412</v>
      </c>
      <c r="AA99" s="292">
        <f>IF(Table16[[#This Row],[Vin]]&gt;Vout, Table16[[#This Row],[Ripple Current pk-pk]]/SQRT(12), SQRT(Table16[[#This Row],[Duty Cycle BOOST Leg]]/(1-Table16[[#This Row],[Duty Cycle BOOST Leg]]))*SQRT(Table16[[#This Row],[Iout]]^2+(Table16[[#This Row],[Ripple Current pk-pk]]^2)/12))</f>
        <v>1.7969376464742295</v>
      </c>
      <c r="AB99" s="345">
        <f>RCoutEsr*Table16[[#This Row],[Irms Cout]]^2</f>
        <v>6.457969810632686E-3</v>
      </c>
      <c r="AC99" s="345">
        <f>Table16[[#This Row],[Cout ESR Loss]]</f>
        <v>6.457969810632686E-3</v>
      </c>
      <c r="AD99" s="345">
        <f>IF(Table16[[#This Row],[Vin]]&gt;Vout, SQRT(Table16[[#This Row],[Duty Cycle BUCK Leg]]*(1-Table16[[#This Row],[Duty Cycle BUCK Leg]]))*SQRT(Table16[[#This Row],[Iout]]^2+(Table16[[#This Row],[Ripple Current pk-pk]]^2)/12), Table16[[#This Row],[Ripple Current pk-pk]]/SQRT(12))</f>
        <v>2.6734007440314036</v>
      </c>
      <c r="AE99" s="345">
        <f>RCinEsr*Table16[[#This Row],[Irms Cin]]^2</f>
        <v>1.4294143076375325E-2</v>
      </c>
      <c r="AF99" s="683">
        <f>Table16[[#This Row],[Cin ESR Loss]]</f>
        <v>1.4294143076375325E-2</v>
      </c>
      <c r="AG99"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8.2283185475509306</v>
      </c>
      <c r="AH99" s="345">
        <f>Rdson1*Table16[[#This Row],[Irms BuCtrl]]^2</f>
        <v>0.23696829141989731</v>
      </c>
      <c r="AI99" s="345">
        <f>CHOOSE(Table16[[#This Row],[Mode Digit]], (Table16[[#This Row],[Vin]]*Table16[[#This Row],[Iout]]/2)*(Fsw)*(Tr_buck+Tf_buck), 0, (Table16[[#This Row],[Vin]]*Table16[[#This Row],[Avg IL]]/2)*(Fsw/1)*(Tr_buck+Tf_buck))</f>
        <v>0.70649549859308813</v>
      </c>
      <c r="AJ99" s="253">
        <f>IF(Table16[[#This Row],[Vin]]&gt;Vout, IF(Table16[[#This Row],[Iout]]&gt;Table16[[#This Row],[Ripple Current pk-pk]]/2,0,ABS(Table16[[#This Row],[Iout]]-Table16[[#This Row],[Ripple Current pk-pk]]/2)*Vsd_Q1*Deadtime*Fsw),0)</f>
        <v>0</v>
      </c>
      <c r="AK99" s="345">
        <f>(Table16[[#This Row],[Dead Time Loss BuCtrl]]+Table16[[#This Row],[Transition Loss BuCtrl]]+Table16[[#This Row],[RDS(on) Loss BuCtrl]]*(1+RdsonTopTc*Ta-RdsonTopTc*25))/(1-Table16[[#This Row],[RDS(on) Loss BuCtrl]]*RdsonTopTc*ThetaJA_Q1)</f>
        <v>1.0054087908851832</v>
      </c>
      <c r="AL99" s="345">
        <f>CHOOSE(Table16[[#This Row],[Mode Digit]],SQRT((Fsw*(Table16[[#This Row],[t2_Ph_I]]+0))*((Table16[[#This Row],[I_0]]*Table16[[#This Row],[I_1]]+((Table16[[#This Row],[I_0]]-Table16[[#This Row],[I_1]])^2)/3))),0,SQRT((Fsw*(Table16[[#This Row],[t3_Ph_III]]+0))*((Table16[[#This Row],[I_0]]*Table16[[#This Row],[I_2]]+((Table16[[#This Row],[I_0]]-Table16[[#This Row],[I_2]])^2)/3))))</f>
        <v>5.7298549041006739</v>
      </c>
      <c r="AM99" s="345">
        <f>Rdson2*Table16[[#This Row],[Irms BuSync]]^2</f>
        <v>0.11490933027716291</v>
      </c>
      <c r="AN99"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99" s="345">
        <f>(Table16[[#This Row],[Deadtime Loss BuSync]]+Table16[[#This Row],[RDS(on) Loss BuSync]]*(1+RdsonBotTc*Ta-RdsonBotTc*25))/(1-Table16[[#This Row],[RDS(on) Loss BuSync]]*RdsonBotTc*ThetaJA_Q2)</f>
        <v>0.36460234521681312</v>
      </c>
      <c r="AP99" s="345">
        <f>CHOOSE(Table16[[#This Row],[Mode Digit]],0,SQRT((Fsw*(Table16[[#This Row],[t1_Ph_II]]+0))*((Table16[[#This Row],[I_0]]*Table16[[#This Row],[I_1]]+((Table16[[#This Row],[I_0]]-Table16[[#This Row],[I_1]])^2)/3))),SQRT((Fsw*(Table16[[#This Row],[t2_Ph_I]]+0))*((Table16[[#This Row],[I_1]]*Table16[[#This Row],[I_2]]+((Table16[[#This Row],[I_1]]-Table16[[#This Row],[I_2]])^2)/3))))</f>
        <v>4.2450817434182548</v>
      </c>
      <c r="AQ99" s="345">
        <f>Rdson4*Table16[[#This Row],[Irms BoCtlr]]^2</f>
        <v>6.3072516529060388E-2</v>
      </c>
      <c r="AR99" s="345">
        <f>CHOOSE(Table16[[#This Row],[Mode Digit]], 0, (Vout*Table16[[#This Row],[Iin]]/2)*(Fsw)*(Tr_boost+Tf_boost), (Vout*Iout/2)*(Fsw/1)*(Tr_boost+Tf_boost))</f>
        <v>0.47564320886662292</v>
      </c>
      <c r="AS99" s="253">
        <f>IF(Table16[[#This Row],[Vin]]&gt;Vout, 0, IF(Table16[[#This Row],[Iin]]&gt;Table16[[#This Row],[Ripple Current pk-pk]]/2,0,ABS(Table16[[#This Row],[Iin]]-Table16[[#This Row],[Ripple Current pk-pk]]/2)*Vsd_Q4*Deadtime*Fsw))</f>
        <v>0</v>
      </c>
      <c r="AT99" s="345">
        <f>(Table16[[#This Row],[Dead Time Loss BoCtlr]]+Table16[[#This Row],[Transition Loss BoCtlr]]+Table16[[#This Row],[RDS(on) Loss BoCtlr]]*(1+RdsonTopTc*Ta-RdsonTopTc*25))/(1-Table16[[#This Row],[RDS(on) Loss BoCtlr]]*RdsonTopTc*ThetaJA_Q4)</f>
        <v>0.54769733417802857</v>
      </c>
      <c r="AU99"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9.0838177179924866</v>
      </c>
      <c r="AV99" s="345">
        <f>Rdson3*Table16[[#This Row],[Irms BoSync]]^2</f>
        <v>0.28880510516799979</v>
      </c>
      <c r="AW99"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0.20625101214574895</v>
      </c>
      <c r="AX99" s="345">
        <f>(Table16[[#This Row],[Deadtime Loss BoSync]]+Table16[[#This Row],[RDS(on) Loss BoSync]]*(1+RdsonBotTc*Ta-RdsonBotTc*25))/(1-Table16[[#This Row],[RDS(on) Loss BoSync]]*RdsonBotTc*ThetaJA_Q3)</f>
        <v>0.53524749140580252</v>
      </c>
      <c r="AY99" s="345">
        <f>CHOOSE(Table16[[#This Row],[Mode Digit]], Rdson3*Table16[[#This Row],[Irms Lf]]^2, Rdson1*Table16[[#This Row],[Irms Lf]]^2, 0)</f>
        <v>0</v>
      </c>
      <c r="AZ99" s="345">
        <f>CHOOSE(Table16[[#This Row],[Mode Digit]], 2*Deadtime*Fsw*IF(VfdSky_Q2&gt;0,VfdSky_Q2,0)*Table16[[#This Row],[Iout]], 2*Deadtime*Fsw*IF(VfdSky_Q3&gt;0,VfdSky_Q3,0)*Table16[[#This Row],[Iin]], 2*Deadtime*Fsw*IF(VfdSky_Q2&gt;0,VfdSky_Q2,0)*Table16[[#This Row],[Iout]]+2*Deadtime*Fsw*IF(VfdSky_Q3&gt;0,VfdSky_Q3,0)*Table16[[#This Row],[Iin]])</f>
        <v>0</v>
      </c>
      <c r="BA99" s="345">
        <f>CHOOSE(Table16[[#This Row],[Mode Digit]], IF(QrrSky_Q2&gt;0,QrrSky_Q2,Qrr_Q2)*Fsw*(Table16[[#This Row],[Vin]]-Table16[[#This Row],[Iout]]*Rdson1),0,  IF(QrrSky_Q2&gt;0,QrrSky_Q2,Qrr_Q2)*Fsw*(Table16[[#This Row],[Vin]]-Table16[[#This Row],[Iout]]*Rdson1)+IF(QrrSky_Q3&gt;0,QrrSky_Q3,Qrr_Q3)*Fsw*Vout)</f>
        <v>0.70535152000000001</v>
      </c>
      <c r="BB99" s="345">
        <f>CHOOSE(Table16[[#This Row],[Mode Digit]],0, IF(QrrSky_Q3&gt;0,QrrSky_Q3,Qrr_Q3)*Fsw*Vout,  IF(QrrSky_Q2&gt;0,QrrSky_Q2,Qrr_Q2)*Fsw*(Table16[[#This Row],[Vin]]-Table16[[#This Row],[Iout]]*Rdson1)+IF(QrrSky_Q3&gt;0,QrrSky_Q3,Qrr_Q3)*Fsw*Vout)</f>
        <v>0.70535152000000001</v>
      </c>
      <c r="BC99" s="345">
        <f>CHOOSE(Table16[[#This Row],[Mode Digit]], Rs*Table16[[#This Row],[Irms BuSync]]^2, Rs*Table16[[#This Row],[Irms BoCtlr]]^2, Rs*(Table16[[#This Row],[Irms BuSync]]^2+Table16[[#This Row],[Irms BoCtlr]]^2))</f>
        <v>6.6107543099454366E-2</v>
      </c>
      <c r="BD99" s="345">
        <f t="shared" si="5"/>
        <v>0.64</v>
      </c>
      <c r="BE99" s="345">
        <f>IF(Vout&gt;8, Iq*Vout, Iq*Table16[[#This Row],[Vin]])</f>
        <v>4.8000000000000001E-2</v>
      </c>
      <c r="BF99" s="345">
        <f>CHOOSE(Table16[[#This Row],[Mode Digit]], (Qg_Q1+Qg_Q2)*Fsw, (Qg_Q3+Qg_Q4)*Fsw, (Qg_Q1+Qg_Q2+Qg_Q3+Qg_Q4)*Fsw)*IF(Vout&gt;8, Vout, Table16[[#This Row],[Vin]])</f>
        <v>1.7066240000000001</v>
      </c>
      <c r="BG99" s="345">
        <f t="shared" si="6"/>
        <v>0.50594479787234037</v>
      </c>
      <c r="BH99" s="345">
        <f>Table16[[#This Row],[IQ Loss]]+Table16[[#This Row],[Switching Current Loss]]</f>
        <v>1.7546240000000002</v>
      </c>
      <c r="BI99"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8.148219299003431</v>
      </c>
      <c r="BJ99" s="253">
        <f>Vout*Table16[[#This Row],[Iout]]</f>
        <v>128</v>
      </c>
      <c r="BK99" s="684">
        <f>Table16[[#This Row],[Pout]]/(Table16[[#This Row],[Pout]]+Table16[[#This Row],[Total Loss]])</f>
        <v>0.94015184817725272</v>
      </c>
      <c r="BL99"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111.1994202075369</v>
      </c>
      <c r="BM99" s="685">
        <f>IF(Table16[[#This Row],[Vin]]&gt;Vout, Table16[[#This Row],[Total Sync Bu MOSFET Loss]]*ThetaJA_Q2, ThetaJA_Q3*Table16[[#This Row],[Total Sync Bo MOSFET Loss]])</f>
        <v>23.699152439092853</v>
      </c>
      <c r="BN99" s="640"/>
      <c r="BO99" s="292">
        <f>Table16[[#This Row],[EFF, h]]*100</f>
        <v>94.01518481772527</v>
      </c>
      <c r="BP99" s="345">
        <f>Table16[[#This Row],[Total Inductor Loss]]</f>
        <v>1.8030766413311412</v>
      </c>
      <c r="BQ99" s="345">
        <f>Table16[[#This Row],[Total Control Bu MOSFET Loss]]+Table16[[#This Row],[Total Sync Bu MOSFET Loss]]+Table16[[#This Row],[Total Control Bo MOSFET Loss]]+Table16[[#This Row],[Total Sync Bo MOSFET Loss]]+Table16[[#This Row],[Reverse Recovery Loss MOSFET D BUCK]]+Table16[[#This Row],[Reverse Recovery Loss MOSFET D BOOST]]</f>
        <v>3.8636590016858268</v>
      </c>
      <c r="BR99" s="345">
        <f>Table16[[#This Row],[Total Control Bu MOSFET Loss]]+Table16[[#This Row],[Reverse Recovery Loss MOSFET D BUCK]]*0.66</f>
        <v>1.4709407940851833</v>
      </c>
      <c r="BS99" s="345">
        <f>Table16[[#This Row],[Total Sync Bu MOSFET Loss]]+Table16[[#This Row],[Reverse Recovery Loss MOSFET D BUCK]]*0.33</f>
        <v>0.59736834681681317</v>
      </c>
      <c r="BT99" s="345">
        <f xml:space="preserve"> Table16[[#This Row],[Total Control Bo MOSFET Loss]]+Table16[[#This Row],[Reverse Recovery Loss MOSFET D BOOST]]*0.66</f>
        <v>1.0132293373780286</v>
      </c>
      <c r="BU99" s="345">
        <f xml:space="preserve"> Table16[[#This Row],[Total Sync Bo MOSFET Loss]]+Table16[[#This Row],[Reverse Recovery Loss MOSFET D BOOST]]*0.33</f>
        <v>0.76801349300580257</v>
      </c>
      <c r="BV99" s="345">
        <f>Table16[[#This Row],[Isense Shunt Loss]]</f>
        <v>6.6107543099454366E-2</v>
      </c>
      <c r="CB99" s="686"/>
      <c r="CC99" s="686"/>
    </row>
    <row r="100" spans="7:81" x14ac:dyDescent="0.2">
      <c r="G100" s="253">
        <v>91</v>
      </c>
      <c r="H100" s="286">
        <f>VIN_min+(VIN_max-VIN_min)*(Table16[[#This Row],[Step]]/200)</f>
        <v>19.649999999999999</v>
      </c>
      <c r="I100" s="292" t="str">
        <f>IF(Mode = 2,IF(Table16[[#This Row],[Vin]]&gt;Vout, "BUCK","BOOST"),IF(Table16[[#This Row],[Vin]]&gt;VIN_BB_to_buck, "BUCK", IF(Table16[[#This Row],[Vin]]&lt;=VIN_boost_to_BB,"BOOST","BUCK-BST")))</f>
        <v>BUCK-BST</v>
      </c>
      <c r="J100" s="253">
        <f>IF(Table16[[#This Row],[Mode]]="BOOST",2, IF(Table16[[#This Row],[Mode]]="BUCK", 1,3))</f>
        <v>3</v>
      </c>
      <c r="K100" s="253">
        <f t="shared" si="4"/>
        <v>8</v>
      </c>
      <c r="L100" s="292">
        <f>Vout*Table16[[#This Row],[Iout]]/(Table16[[#This Row],[Vin]]*Efficiency)</f>
        <v>6.8568367483594495</v>
      </c>
      <c r="M100" s="682">
        <f>MIN(1/Fsw,CHOOSE(Table16[[#This Row],[Mode Digit]],(Vout+(Rdson2+Rs+Rdcr)*Table16[[#This Row],[Iout]])/(Table16[[#This Row],[Vin]]+(Rs+Rdson2-Rdson1)*Table16[[#This Row],[Iout]])/Fsw,(Vout+(Rdson3+Rdcr)*Table16[[#This Row],[Iin]]-Table16[[#This Row],[Vin]])/(Vout+(Rdson3-Rdson4-Rs)*Table16[[#This Row],[Iin]])/Fsw,t1_Ph_II))</f>
        <v>1.5084238313644118E-6</v>
      </c>
      <c r="N100" s="518">
        <f>CHOOSE(Table16[[#This Row],[Mode Digit]],1/Fsw-Table16[[#This Row],[t1_Ph_II]],1/Fsw-Table16[[#This Row],[t1_Ph_II]],(Vout/Fsw-Table16[[#This Row],[Vin]]*t1_Ph_II)/(Table16[[#This Row],[Vin]]+Vout))</f>
        <v>2.9622655648849761E-7</v>
      </c>
      <c r="O100" s="518">
        <f>1/Fsw-(Table16[[#This Row],[t1_Ph_II]]+Table16[[#This Row],[t2_Ph_I]])</f>
        <v>7.0791242621744247E-7</v>
      </c>
      <c r="P100"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7.5007527869087962</v>
      </c>
      <c r="Q100" s="292">
        <f>CHOOSE(Table16[[#This Row],[Mode Digit]],Table16[[#This Row],[I_0]]+1/Lf*(Table16[[#This Row],[Vin]]-Vout)*Table16[[#This Row],[t1_Ph_II]],Table16[[#This Row],[I_0]]+1/Lf*Table16[[#This Row],[Vin]]*Table16[[#This Row],[t1_Ph_II]],Table16[[#This Row],[I_0]]+(Table16[[#This Row],[Vin]]-Vout)/L*Table16[[#This Row],[t1_Ph_II]])</f>
        <v>10.559501111619962</v>
      </c>
      <c r="R100" s="292">
        <f>CHOOSE(Table16[[#This Row],[Mode Digit]],0,0,Table16[[#This Row],[I_1]]+Table16[[#This Row],[Vin]]/L*Table16[[#This Row],[t2_Ph_I]])</f>
        <v>13.793307686619393</v>
      </c>
      <c r="S100" s="292">
        <f>Fsw*(Table16[[#This Row],[I_0]]*Table16[[#This Row],[t1_Ph_II]]+Table16[[#This Row],[I_1]]*Table16[[#This Row],[t2_Ph_I]]+Table16[[#This Row],[I_2]]*Table16[[#This Row],[t3_Ph_III]])</f>
        <v>9.6342955821515801</v>
      </c>
      <c r="T100" s="345">
        <f>MIN(1,CHOOSE(Table16[[#This Row],[Mode Digit]],(Vout+(Rdson2+Rs+Rdcr)*Table16[[#This Row],[Iout]])/(Table16[[#This Row],[Vin]]+(Rs+Rdson2-Rdson1)*Table16[[#This Row],[Iout]]),1,Fsw*Table16[[#This Row],[t2_Ph_I]]+Table16[[#This Row],[t1_Ph_II]]))</f>
        <v>0.11789967790625341</v>
      </c>
      <c r="U100" s="345">
        <f>MIN(1,CHOOSE(Table16[[#This Row],[Mode Digit]],0,(Vout+(Rdson3+Rdcr)*Table16[[#This Row],[Iin]]-Table16[[#This Row],[Vin]])/(Vout+(Rdson3-Rdson4-Rs)*Table16[[#This Row],[Iin]]),Fsw*Table16[[#This Row],[t1_Ph_II]]+Table16[[#This Row],[t3_Ph_III]]))</f>
        <v>0.60035339279546207</v>
      </c>
      <c r="V100" s="292">
        <f>MAX(Table16[[#This Row],[I_0]:[I_2]])-MIN(Table16[[#This Row],[I_0]:[I_1]])</f>
        <v>6.2925548997105967</v>
      </c>
      <c r="W100"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9.9937079297502027</v>
      </c>
      <c r="X100" s="345">
        <f>(Table16[[#This Row],[Irms Lf]]^2*Rdcr*(1+Ltc*Ta-Ltc*25))/(1-Table16[[#This Row],[Irms Lf]]^2*Rdcr*Ltc*ThetaCa)</f>
        <v>0.32798324241110438</v>
      </c>
      <c r="Y100" s="345">
        <f>ABS(7.759*10^-3*Fsw^0.9458*(0.00787*Table16[[#This Row],[Ripple Current pk-pk]])^2.304)</f>
        <v>1.5100745329185972</v>
      </c>
      <c r="Z100" s="345">
        <f>Table16[[#This Row],[DCR    Loss]]+Table16[[#This Row],[Core Loss]]</f>
        <v>1.8380577753297016</v>
      </c>
      <c r="AA100" s="292">
        <f>IF(Table16[[#This Row],[Vin]]&gt;Vout, Table16[[#This Row],[Ripple Current pk-pk]]/SQRT(12), SQRT(Table16[[#This Row],[Duty Cycle BOOST Leg]]/(1-Table16[[#This Row],[Duty Cycle BOOST Leg]]))*SQRT(Table16[[#This Row],[Iout]]^2+(Table16[[#This Row],[Ripple Current pk-pk]]^2)/12))</f>
        <v>1.816504132619206</v>
      </c>
      <c r="AB100" s="345">
        <f>RCoutEsr*Table16[[#This Row],[Irms Cout]]^2</f>
        <v>6.5993745276453084E-3</v>
      </c>
      <c r="AC100" s="345">
        <f>Table16[[#This Row],[Cout ESR Loss]]</f>
        <v>6.5993745276453084E-3</v>
      </c>
      <c r="AD100" s="345">
        <f>IF(Table16[[#This Row],[Vin]]&gt;Vout, SQRT(Table16[[#This Row],[Duty Cycle BUCK Leg]]*(1-Table16[[#This Row],[Duty Cycle BUCK Leg]]))*SQRT(Table16[[#This Row],[Iout]]^2+(Table16[[#This Row],[Ripple Current pk-pk]]^2)/12), Table16[[#This Row],[Ripple Current pk-pk]]/SQRT(12))</f>
        <v>2.64558562838964</v>
      </c>
      <c r="AE100" s="345">
        <f>RCinEsr*Table16[[#This Row],[Irms Cin]]^2</f>
        <v>1.3998246634283612E-2</v>
      </c>
      <c r="AF100" s="683">
        <f>Table16[[#This Row],[Cin ESR Loss]]</f>
        <v>1.3998246634283612E-2</v>
      </c>
      <c r="AG100"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8.1856973724851354</v>
      </c>
      <c r="AH100" s="345">
        <f>Rdson1*Table16[[#This Row],[Irms BuCtrl]]^2</f>
        <v>0.23451974515868518</v>
      </c>
      <c r="AI100" s="345">
        <f>CHOOSE(Table16[[#This Row],[Mode Digit]], (Table16[[#This Row],[Vin]]*Table16[[#This Row],[Iout]]/2)*(Fsw)*(Tr_buck+Tf_buck), 0, (Table16[[#This Row],[Vin]]*Table16[[#This Row],[Avg IL]]/2)*(Fsw/1)*(Tr_buck+Tf_buck))</f>
        <v>0.70850904274710225</v>
      </c>
      <c r="AJ100" s="253">
        <f>IF(Table16[[#This Row],[Vin]]&gt;Vout, IF(Table16[[#This Row],[Iout]]&gt;Table16[[#This Row],[Ripple Current pk-pk]]/2,0,ABS(Table16[[#This Row],[Iout]]-Table16[[#This Row],[Ripple Current pk-pk]]/2)*Vsd_Q1*Deadtime*Fsw),0)</f>
        <v>0</v>
      </c>
      <c r="AK100" s="345">
        <f>(Table16[[#This Row],[Dead Time Loss BuCtrl]]+Table16[[#This Row],[Transition Loss BuCtrl]]+Table16[[#This Row],[RDS(on) Loss BuCtrl]]*(1+RdsonTopTc*Ta-RdsonTopTc*25))/(1-Table16[[#This Row],[RDS(on) Loss BuCtrl]]*RdsonTopTc*ThetaJA_Q1)</f>
        <v>1.0042639143977072</v>
      </c>
      <c r="AL100" s="345">
        <f>CHOOSE(Table16[[#This Row],[Mode Digit]],SQRT((Fsw*(Table16[[#This Row],[t2_Ph_I]]+0))*((Table16[[#This Row],[I_0]]*Table16[[#This Row],[I_1]]+((Table16[[#This Row],[I_0]]-Table16[[#This Row],[I_1]])^2)/3))),0,SQRT((Fsw*(Table16[[#This Row],[t3_Ph_III]]+0))*((Table16[[#This Row],[I_0]]*Table16[[#This Row],[I_2]]+((Table16[[#This Row],[I_0]]-Table16[[#This Row],[I_2]])^2)/3))))</f>
        <v>5.7331105615749314</v>
      </c>
      <c r="AM100" s="345">
        <f>Rdson2*Table16[[#This Row],[Irms BuSync]]^2</f>
        <v>0.11503994848934708</v>
      </c>
      <c r="AN100"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00" s="345">
        <f>(Table16[[#This Row],[Deadtime Loss BuSync]]+Table16[[#This Row],[RDS(on) Loss BuSync]]*(1+RdsonBotTc*Ta-RdsonBotTc*25))/(1-Table16[[#This Row],[RDS(on) Loss BuSync]]*RdsonBotTc*ThetaJA_Q2)</f>
        <v>0.36474975466630871</v>
      </c>
      <c r="AP100" s="345">
        <f>CHOOSE(Table16[[#This Row],[Mode Digit]],0,SQRT((Fsw*(Table16[[#This Row],[t1_Ph_II]]+0))*((Table16[[#This Row],[I_0]]*Table16[[#This Row],[I_1]]+((Table16[[#This Row],[I_0]]-Table16[[#This Row],[I_1]])^2)/3))),SQRT((Fsw*(Table16[[#This Row],[t2_Ph_I]]+0))*((Table16[[#This Row],[I_1]]*Table16[[#This Row],[I_2]]+((Table16[[#This Row],[I_1]]-Table16[[#This Row],[I_2]])^2)/3))))</f>
        <v>4.1931962451102018</v>
      </c>
      <c r="AQ100" s="345">
        <f>Rdson4*Table16[[#This Row],[Irms BoCtlr]]^2</f>
        <v>6.1540131625022039E-2</v>
      </c>
      <c r="AR100" s="345">
        <f>CHOOSE(Table16[[#This Row],[Mode Digit]], 0, (Vout*Table16[[#This Row],[Iin]]/2)*(Fsw)*(Tr_boost+Tf_boost), (Vout*Iout/2)*(Fsw/1)*(Tr_boost+Tf_boost))</f>
        <v>0.47564320886662292</v>
      </c>
      <c r="AS100" s="253">
        <f>IF(Table16[[#This Row],[Vin]]&gt;Vout, 0, IF(Table16[[#This Row],[Iin]]&gt;Table16[[#This Row],[Ripple Current pk-pk]]/2,0,ABS(Table16[[#This Row],[Iin]]-Table16[[#This Row],[Ripple Current pk-pk]]/2)*Vsd_Q4*Deadtime*Fsw))</f>
        <v>0</v>
      </c>
      <c r="AT100" s="345">
        <f>(Table16[[#This Row],[Dead Time Loss BoCtlr]]+Table16[[#This Row],[Transition Loss BoCtlr]]+Table16[[#This Row],[RDS(on) Loss BoCtlr]]*(1+RdsonTopTc*Ta-RdsonTopTc*25))/(1-Table16[[#This Row],[RDS(on) Loss BoCtlr]]*RdsonTopTc*ThetaJA_Q4)</f>
        <v>0.54591826985939429</v>
      </c>
      <c r="AU100"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9.0714554198951873</v>
      </c>
      <c r="AV100" s="345">
        <f>Rdson3*Table16[[#This Row],[Irms BoSync]]^2</f>
        <v>0.28801956202301016</v>
      </c>
      <c r="AW100"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0.20467657693852953</v>
      </c>
      <c r="AX100" s="345">
        <f>(Table16[[#This Row],[Deadtime Loss BoSync]]+Table16[[#This Row],[RDS(on) Loss BoSync]]*(1+RdsonBotTc*Ta-RdsonBotTc*25))/(1-Table16[[#This Row],[RDS(on) Loss BoSync]]*RdsonBotTc*ThetaJA_Q3)</f>
        <v>0.5325783117021885</v>
      </c>
      <c r="AY100" s="345">
        <f>CHOOSE(Table16[[#This Row],[Mode Digit]], Rdson3*Table16[[#This Row],[Irms Lf]]^2, Rdson1*Table16[[#This Row],[Irms Lf]]^2, 0)</f>
        <v>0</v>
      </c>
      <c r="AZ100" s="345">
        <f>CHOOSE(Table16[[#This Row],[Mode Digit]], 2*Deadtime*Fsw*IF(VfdSky_Q2&gt;0,VfdSky_Q2,0)*Table16[[#This Row],[Iout]], 2*Deadtime*Fsw*IF(VfdSky_Q3&gt;0,VfdSky_Q3,0)*Table16[[#This Row],[Iin]], 2*Deadtime*Fsw*IF(VfdSky_Q2&gt;0,VfdSky_Q2,0)*Table16[[#This Row],[Iout]]+2*Deadtime*Fsw*IF(VfdSky_Q3&gt;0,VfdSky_Q3,0)*Table16[[#This Row],[Iin]])</f>
        <v>0</v>
      </c>
      <c r="BA100" s="345">
        <f>CHOOSE(Table16[[#This Row],[Mode Digit]], IF(QrrSky_Q2&gt;0,QrrSky_Q2,Qrr_Q2)*Fsw*(Table16[[#This Row],[Vin]]-Table16[[#This Row],[Iout]]*Rdson1),0,  IF(QrrSky_Q2&gt;0,QrrSky_Q2,Qrr_Q2)*Fsw*(Table16[[#This Row],[Vin]]-Table16[[#This Row],[Iout]]*Rdson1)+IF(QrrSky_Q3&gt;0,QrrSky_Q3,Qrr_Q3)*Fsw*Vout)</f>
        <v>0.70803801999999993</v>
      </c>
      <c r="BB100" s="345">
        <f>CHOOSE(Table16[[#This Row],[Mode Digit]],0, IF(QrrSky_Q3&gt;0,QrrSky_Q3,Qrr_Q3)*Fsw*Vout,  IF(QrrSky_Q2&gt;0,QrrSky_Q2,Qrr_Q2)*Fsw*(Table16[[#This Row],[Vin]]-Table16[[#This Row],[Iout]]*Rdson1)+IF(QrrSky_Q3&gt;0,QrrSky_Q3,Qrr_Q3)*Fsw*Vout)</f>
        <v>0.70803801999999993</v>
      </c>
      <c r="BC100" s="345">
        <f>CHOOSE(Table16[[#This Row],[Mode Digit]], Rs*Table16[[#This Row],[Irms BuSync]]^2, Rs*Table16[[#This Row],[Irms BoCtlr]]^2, Rs*(Table16[[#This Row],[Irms BuSync]]^2+Table16[[#This Row],[Irms BoCtlr]]^2))</f>
        <v>6.5586886899622804E-2</v>
      </c>
      <c r="BD100" s="345">
        <f t="shared" si="5"/>
        <v>0.64</v>
      </c>
      <c r="BE100" s="345">
        <f>IF(Vout&gt;8, Iq*Vout, Iq*Table16[[#This Row],[Vin]])</f>
        <v>4.8000000000000001E-2</v>
      </c>
      <c r="BF100" s="345">
        <f>CHOOSE(Table16[[#This Row],[Mode Digit]], (Qg_Q1+Qg_Q2)*Fsw, (Qg_Q3+Qg_Q4)*Fsw, (Qg_Q1+Qg_Q2+Qg_Q3+Qg_Q4)*Fsw)*IF(Vout&gt;8, Vout, Table16[[#This Row],[Vin]])</f>
        <v>1.7066240000000001</v>
      </c>
      <c r="BG100" s="345">
        <f t="shared" si="6"/>
        <v>0.50594479787234037</v>
      </c>
      <c r="BH100" s="345">
        <f>Table16[[#This Row],[IQ Loss]]+Table16[[#This Row],[Switching Current Loss]]</f>
        <v>1.7546240000000002</v>
      </c>
      <c r="BI100"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8.1824525740168514</v>
      </c>
      <c r="BJ100" s="253">
        <f>Vout*Table16[[#This Row],[Iout]]</f>
        <v>128</v>
      </c>
      <c r="BK100" s="684">
        <f>Table16[[#This Row],[Pout]]/(Table16[[#This Row],[Pout]]+Table16[[#This Row],[Total Loss]])</f>
        <v>0.93991551466904599</v>
      </c>
      <c r="BL100"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111.29962573585097</v>
      </c>
      <c r="BM100" s="685">
        <f>IF(Table16[[#This Row],[Vin]]&gt;Vout, Table16[[#This Row],[Total Sync Bu MOSFET Loss]]*ThetaJA_Q2, ThetaJA_Q3*Table16[[#This Row],[Total Sync Bo MOSFET Loss]])</f>
        <v>23.708734053310067</v>
      </c>
      <c r="BN100" s="640"/>
      <c r="BO100" s="292">
        <f>Table16[[#This Row],[EFF, h]]*100</f>
        <v>93.991551466904596</v>
      </c>
      <c r="BP100" s="345">
        <f>Table16[[#This Row],[Total Inductor Loss]]</f>
        <v>1.8380577753297016</v>
      </c>
      <c r="BQ100" s="345">
        <f>Table16[[#This Row],[Total Control Bu MOSFET Loss]]+Table16[[#This Row],[Total Sync Bu MOSFET Loss]]+Table16[[#This Row],[Total Control Bo MOSFET Loss]]+Table16[[#This Row],[Total Sync Bo MOSFET Loss]]+Table16[[#This Row],[Reverse Recovery Loss MOSFET D BUCK]]+Table16[[#This Row],[Reverse Recovery Loss MOSFET D BOOST]]</f>
        <v>3.8635862906255989</v>
      </c>
      <c r="BR100" s="345">
        <f>Table16[[#This Row],[Total Control Bu MOSFET Loss]]+Table16[[#This Row],[Reverse Recovery Loss MOSFET D BUCK]]*0.66</f>
        <v>1.4715690075977073</v>
      </c>
      <c r="BS100" s="345">
        <f>Table16[[#This Row],[Total Sync Bu MOSFET Loss]]+Table16[[#This Row],[Reverse Recovery Loss MOSFET D BUCK]]*0.33</f>
        <v>0.59840230126630867</v>
      </c>
      <c r="BT100" s="345">
        <f xml:space="preserve"> Table16[[#This Row],[Total Control Bo MOSFET Loss]]+Table16[[#This Row],[Reverse Recovery Loss MOSFET D BOOST]]*0.66</f>
        <v>1.0132233630593943</v>
      </c>
      <c r="BU100" s="345">
        <f xml:space="preserve"> Table16[[#This Row],[Total Sync Bo MOSFET Loss]]+Table16[[#This Row],[Reverse Recovery Loss MOSFET D BOOST]]*0.33</f>
        <v>0.76623085830218851</v>
      </c>
      <c r="BV100" s="345">
        <f>Table16[[#This Row],[Isense Shunt Loss]]</f>
        <v>6.5586886899622804E-2</v>
      </c>
      <c r="CB100" s="686"/>
      <c r="CC100" s="686"/>
    </row>
    <row r="101" spans="7:81" x14ac:dyDescent="0.2">
      <c r="G101" s="253">
        <v>92</v>
      </c>
      <c r="H101" s="286">
        <f>VIN_min+(VIN_max-VIN_min)*(Table16[[#This Row],[Step]]/200)</f>
        <v>19.8</v>
      </c>
      <c r="I101" s="292" t="str">
        <f>IF(Mode = 2,IF(Table16[[#This Row],[Vin]]&gt;Vout, "BUCK","BOOST"),IF(Table16[[#This Row],[Vin]]&gt;VIN_BB_to_buck, "BUCK", IF(Table16[[#This Row],[Vin]]&lt;=VIN_boost_to_BB,"BOOST","BUCK-BST")))</f>
        <v>BUCK-BST</v>
      </c>
      <c r="J101" s="253">
        <f>IF(Table16[[#This Row],[Mode]]="BOOST",2, IF(Table16[[#This Row],[Mode]]="BUCK", 1,3))</f>
        <v>3</v>
      </c>
      <c r="K101" s="253">
        <f t="shared" si="4"/>
        <v>8</v>
      </c>
      <c r="L101" s="292">
        <f>Vout*Table16[[#This Row],[Iout]]/(Table16[[#This Row],[Vin]]*Efficiency)</f>
        <v>6.8048910154173319</v>
      </c>
      <c r="M101" s="682">
        <f>MIN(1/Fsw,CHOOSE(Table16[[#This Row],[Mode Digit]],(Vout+(Rdson2+Rs+Rdcr)*Table16[[#This Row],[Iout]])/(Table16[[#This Row],[Vin]]+(Rs+Rdson2-Rdson1)*Table16[[#This Row],[Iout]])/Fsw,(Vout+(Rdson3+Rdcr)*Table16[[#This Row],[Iin]]-Table16[[#This Row],[Vin]])/(Vout+(Rdson3-Rdson4-Rs)*Table16[[#This Row],[Iin]])/Fsw,t1_Ph_II))</f>
        <v>1.5084238313644118E-6</v>
      </c>
      <c r="N101" s="518">
        <f>CHOOSE(Table16[[#This Row],[Mode Digit]],1/Fsw-Table16[[#This Row],[t1_Ph_II]],1/Fsw-Table16[[#This Row],[t1_Ph_II]],(Vout/Fsw-Table16[[#This Row],[Vin]]*t1_Ph_II)/(Table16[[#This Row],[Vin]]+Vout))</f>
        <v>2.8866517218185137E-7</v>
      </c>
      <c r="O101" s="518">
        <f>1/Fsw-(Table16[[#This Row],[t1_Ph_II]]+Table16[[#This Row],[t2_Ph_I]])</f>
        <v>7.1547381052408876E-7</v>
      </c>
      <c r="P101"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7.4111099269212497</v>
      </c>
      <c r="Q101" s="292">
        <f>CHOOSE(Table16[[#This Row],[Mode Digit]],Table16[[#This Row],[I_0]]+1/Lf*(Table16[[#This Row],[Vin]]-Vout)*Table16[[#This Row],[t1_Ph_II]],Table16[[#This Row],[I_0]]+1/Lf*Table16[[#This Row],[Vin]]*Table16[[#This Row],[t1_Ph_II]],Table16[[#This Row],[I_0]]+(Table16[[#This Row],[Vin]]-Vout)/L*Table16[[#This Row],[t1_Ph_II]])</f>
        <v>10.595560237579452</v>
      </c>
      <c r="R101" s="292">
        <f>CHOOSE(Table16[[#This Row],[Mode Digit]],0,0,Table16[[#This Row],[I_1]]+Table16[[#This Row],[Vin]]/L*Table16[[#This Row],[t2_Ph_I]])</f>
        <v>13.770877131579816</v>
      </c>
      <c r="S101" s="292">
        <f>Fsw*(Table16[[#This Row],[I_0]]*Table16[[#This Row],[t1_Ph_II]]+Table16[[#This Row],[I_1]]*Table16[[#This Row],[t2_Ph_I]]+Table16[[#This Row],[I_2]]*Table16[[#This Row],[t3_Ph_III]])</f>
        <v>9.5879656626524206</v>
      </c>
      <c r="T101" s="345">
        <f>MIN(1,CHOOSE(Table16[[#This Row],[Mode Digit]],(Vout+(Rdson2+Rs+Rdcr)*Table16[[#This Row],[Iout]])/(Table16[[#This Row],[Vin]]+(Rs+Rdson2-Rdson1)*Table16[[#This Row],[Iout]]),1,Fsw*Table16[[#This Row],[t2_Ph_I]]+Table16[[#This Row],[t1_Ph_II]]))</f>
        <v>0.11489024695220822</v>
      </c>
      <c r="U101" s="345">
        <f>MIN(1,CHOOSE(Table16[[#This Row],[Mode Digit]],0,(Vout+(Rdson3+Rdcr)*Table16[[#This Row],[Iin]]-Table16[[#This Row],[Vin]])/(Vout+(Rdson3-Rdson4-Rs)*Table16[[#This Row],[Iin]]),Fsw*Table16[[#This Row],[t1_Ph_II]]+Table16[[#This Row],[t3_Ph_III]]))</f>
        <v>0.60035340035684637</v>
      </c>
      <c r="V101" s="292">
        <f>MAX(Table16[[#This Row],[I_0]:[I_2]])-MIN(Table16[[#This Row],[I_0]:[I_1]])</f>
        <v>6.3597672046585663</v>
      </c>
      <c r="W101"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9.9610455939388718</v>
      </c>
      <c r="X101" s="345">
        <f>(Table16[[#This Row],[Irms Lf]]^2*Rdcr*(1+Ltc*Ta-Ltc*25))/(1-Table16[[#This Row],[Irms Lf]]^2*Rdcr*Ltc*ThetaCa)</f>
        <v>0.32578707233700255</v>
      </c>
      <c r="Y101" s="345">
        <f>ABS(7.759*10^-3*Fsw^0.9458*(0.00787*Table16[[#This Row],[Ripple Current pk-pk]])^2.304)</f>
        <v>1.547495921327068</v>
      </c>
      <c r="Z101" s="345">
        <f>Table16[[#This Row],[DCR    Loss]]+Table16[[#This Row],[Core Loss]]</f>
        <v>1.8732829936640707</v>
      </c>
      <c r="AA101" s="292">
        <f>IF(Table16[[#This Row],[Vin]]&gt;Vout, Table16[[#This Row],[Ripple Current pk-pk]]/SQRT(12), SQRT(Table16[[#This Row],[Duty Cycle BOOST Leg]]/(1-Table16[[#This Row],[Duty Cycle BOOST Leg]]))*SQRT(Table16[[#This Row],[Iout]]^2+(Table16[[#This Row],[Ripple Current pk-pk]]^2)/12))</f>
        <v>1.8359066537964885</v>
      </c>
      <c r="AB101" s="345">
        <f>RCoutEsr*Table16[[#This Row],[Irms Cout]]^2</f>
        <v>6.7411064829084391E-3</v>
      </c>
      <c r="AC101" s="345">
        <f>Table16[[#This Row],[Cout ESR Loss]]</f>
        <v>6.7411064829084391E-3</v>
      </c>
      <c r="AD101" s="345">
        <f>IF(Table16[[#This Row],[Vin]]&gt;Vout, SQRT(Table16[[#This Row],[Duty Cycle BUCK Leg]]*(1-Table16[[#This Row],[Duty Cycle BUCK Leg]]))*SQRT(Table16[[#This Row],[Iout]]^2+(Table16[[#This Row],[Ripple Current pk-pk]]^2)/12), Table16[[#This Row],[Ripple Current pk-pk]]/SQRT(12))</f>
        <v>2.6174307573435751</v>
      </c>
      <c r="AE101" s="345">
        <f>RCinEsr*Table16[[#This Row],[Irms Cin]]^2</f>
        <v>1.3701887538976323E-2</v>
      </c>
      <c r="AF101" s="683">
        <f>Table16[[#This Row],[Cin ESR Loss]]</f>
        <v>1.3701887538976323E-2</v>
      </c>
      <c r="AG101"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8.1438019141321387</v>
      </c>
      <c r="AH101" s="345">
        <f>Rdson1*Table16[[#This Row],[Irms BuCtrl]]^2</f>
        <v>0.23212528365817803</v>
      </c>
      <c r="AI101" s="345">
        <f>CHOOSE(Table16[[#This Row],[Mode Digit]], (Table16[[#This Row],[Vin]]*Table16[[#This Row],[Iout]]/2)*(Fsw)*(Tr_buck+Tf_buck), 0, (Table16[[#This Row],[Vin]]*Table16[[#This Row],[Avg IL]]/2)*(Fsw/1)*(Tr_buck+Tf_buck))</f>
        <v>0.71048438375468981</v>
      </c>
      <c r="AJ101" s="253">
        <f>IF(Table16[[#This Row],[Vin]]&gt;Vout, IF(Table16[[#This Row],[Iout]]&gt;Table16[[#This Row],[Ripple Current pk-pk]]/2,0,ABS(Table16[[#This Row],[Iout]]-Table16[[#This Row],[Ripple Current pk-pk]]/2)*Vsd_Q1*Deadtime*Fsw),0)</f>
        <v>0</v>
      </c>
      <c r="AK101" s="345">
        <f>(Table16[[#This Row],[Dead Time Loss BuCtrl]]+Table16[[#This Row],[Transition Loss BuCtrl]]+Table16[[#This Row],[RDS(on) Loss BuCtrl]]*(1+RdsonTopTc*Ta-RdsonTopTc*25))/(1-Table16[[#This Row],[RDS(on) Loss BuCtrl]]*RdsonTopTc*ThetaJA_Q1)</f>
        <v>1.0031525028231276</v>
      </c>
      <c r="AL101" s="345">
        <f>CHOOSE(Table16[[#This Row],[Mode Digit]],SQRT((Fsw*(Table16[[#This Row],[t2_Ph_I]]+0))*((Table16[[#This Row],[I_0]]*Table16[[#This Row],[I_1]]+((Table16[[#This Row],[I_0]]-Table16[[#This Row],[I_1]])^2)/3))),0,SQRT((Fsw*(Table16[[#This Row],[t3_Ph_III]]+0))*((Table16[[#This Row],[I_0]]*Table16[[#This Row],[I_2]]+((Table16[[#This Row],[I_0]]-Table16[[#This Row],[I_2]])^2)/3))))</f>
        <v>5.735932331182676</v>
      </c>
      <c r="AM101" s="345">
        <f>Rdson2*Table16[[#This Row],[Irms BuSync]]^2</f>
        <v>0.11515321897767355</v>
      </c>
      <c r="AN101"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01" s="345">
        <f>(Table16[[#This Row],[Deadtime Loss BuSync]]+Table16[[#This Row],[RDS(on) Loss BuSync]]*(1+RdsonBotTc*Ta-RdsonBotTc*25))/(1-Table16[[#This Row],[RDS(on) Loss BuSync]]*RdsonBotTc*ThetaJA_Q2)</f>
        <v>0.36487759466281966</v>
      </c>
      <c r="AP101" s="345">
        <f>CHOOSE(Table16[[#This Row],[Mode Digit]],0,SQRT((Fsw*(Table16[[#This Row],[t1_Ph_II]]+0))*((Table16[[#This Row],[I_0]]*Table16[[#This Row],[I_1]]+((Table16[[#This Row],[I_0]]-Table16[[#This Row],[I_1]])^2)/3))),SQRT((Fsw*(Table16[[#This Row],[t2_Ph_I]]+0))*((Table16[[#This Row],[I_1]]*Table16[[#This Row],[I_2]]+((Table16[[#This Row],[I_1]]-Table16[[#This Row],[I_2]])^2)/3))))</f>
        <v>4.141202865588566</v>
      </c>
      <c r="AQ101" s="345">
        <f>Rdson4*Table16[[#This Row],[Irms BoCtlr]]^2</f>
        <v>6.0023464108856325E-2</v>
      </c>
      <c r="AR101" s="345">
        <f>CHOOSE(Table16[[#This Row],[Mode Digit]], 0, (Vout*Table16[[#This Row],[Iin]]/2)*(Fsw)*(Tr_boost+Tf_boost), (Vout*Iout/2)*(Fsw/1)*(Tr_boost+Tf_boost))</f>
        <v>0.47564320886662292</v>
      </c>
      <c r="AS101" s="253">
        <f>IF(Table16[[#This Row],[Vin]]&gt;Vout, 0, IF(Table16[[#This Row],[Iin]]&gt;Table16[[#This Row],[Ripple Current pk-pk]]/2,0,ABS(Table16[[#This Row],[Iin]]-Table16[[#This Row],[Ripple Current pk-pk]]/2)*Vsd_Q4*Deadtime*Fsw))</f>
        <v>0</v>
      </c>
      <c r="AT101" s="345">
        <f>(Table16[[#This Row],[Dead Time Loss BoCtlr]]+Table16[[#This Row],[Transition Loss BoCtlr]]+Table16[[#This Row],[RDS(on) Loss BoCtlr]]*(1+RdsonTopTc*Ta-RdsonTopTc*25))/(1-Table16[[#This Row],[RDS(on) Loss BoCtlr]]*RdsonTopTc*ThetaJA_Q4)</f>
        <v>0.54415887109737471</v>
      </c>
      <c r="AU101"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9.0594077152190291</v>
      </c>
      <c r="AV101" s="345">
        <f>Rdson3*Table16[[#This Row],[Irms BoSync]]^2</f>
        <v>0.28725503852699524</v>
      </c>
      <c r="AW101"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0.20312599681020732</v>
      </c>
      <c r="AX101" s="345">
        <f>(Table16[[#This Row],[Deadtime Loss BoSync]]+Table16[[#This Row],[RDS(on) Loss BoSync]]*(1+RdsonBotTc*Ta-RdsonBotTc*25))/(1-Table16[[#This Row],[RDS(on) Loss BoSync]]*RdsonBotTc*ThetaJA_Q3)</f>
        <v>0.52996193685000148</v>
      </c>
      <c r="AY101" s="345">
        <f>CHOOSE(Table16[[#This Row],[Mode Digit]], Rdson3*Table16[[#This Row],[Irms Lf]]^2, Rdson1*Table16[[#This Row],[Irms Lf]]^2, 0)</f>
        <v>0</v>
      </c>
      <c r="AZ101" s="345">
        <f>CHOOSE(Table16[[#This Row],[Mode Digit]], 2*Deadtime*Fsw*IF(VfdSky_Q2&gt;0,VfdSky_Q2,0)*Table16[[#This Row],[Iout]], 2*Deadtime*Fsw*IF(VfdSky_Q3&gt;0,VfdSky_Q3,0)*Table16[[#This Row],[Iin]], 2*Deadtime*Fsw*IF(VfdSky_Q2&gt;0,VfdSky_Q2,0)*Table16[[#This Row],[Iout]]+2*Deadtime*Fsw*IF(VfdSky_Q3&gt;0,VfdSky_Q3,0)*Table16[[#This Row],[Iin]])</f>
        <v>0</v>
      </c>
      <c r="BA101" s="345">
        <f>CHOOSE(Table16[[#This Row],[Mode Digit]], IF(QrrSky_Q2&gt;0,QrrSky_Q2,Qrr_Q2)*Fsw*(Table16[[#This Row],[Vin]]-Table16[[#This Row],[Iout]]*Rdson1),0,  IF(QrrSky_Q2&gt;0,QrrSky_Q2,Qrr_Q2)*Fsw*(Table16[[#This Row],[Vin]]-Table16[[#This Row],[Iout]]*Rdson1)+IF(QrrSky_Q3&gt;0,QrrSky_Q3,Qrr_Q3)*Fsw*Vout)</f>
        <v>0.71072451999999997</v>
      </c>
      <c r="BB101" s="345">
        <f>CHOOSE(Table16[[#This Row],[Mode Digit]],0, IF(QrrSky_Q3&gt;0,QrrSky_Q3,Qrr_Q3)*Fsw*Vout,  IF(QrrSky_Q2&gt;0,QrrSky_Q2,Qrr_Q2)*Fsw*(Table16[[#This Row],[Vin]]-Table16[[#This Row],[Iout]]*Rdson1)+IF(QrrSky_Q3&gt;0,QrrSky_Q3,Qrr_Q3)*Fsw*Vout)</f>
        <v>0.71072451999999997</v>
      </c>
      <c r="BC101" s="345">
        <f>CHOOSE(Table16[[#This Row],[Mode Digit]], Rs*Table16[[#This Row],[Irms BuSync]]^2, Rs*Table16[[#This Row],[Irms BoCtlr]]^2, Rs*(Table16[[#This Row],[Irms BuSync]]^2+Table16[[#This Row],[Irms BoCtlr]]^2))</f>
        <v>6.5065625146425388E-2</v>
      </c>
      <c r="BD101" s="345">
        <f t="shared" si="5"/>
        <v>0.64</v>
      </c>
      <c r="BE101" s="345">
        <f>IF(Vout&gt;8, Iq*Vout, Iq*Table16[[#This Row],[Vin]])</f>
        <v>4.8000000000000001E-2</v>
      </c>
      <c r="BF101" s="345">
        <f>CHOOSE(Table16[[#This Row],[Mode Digit]], (Qg_Q1+Qg_Q2)*Fsw, (Qg_Q3+Qg_Q4)*Fsw, (Qg_Q1+Qg_Q2+Qg_Q3+Qg_Q4)*Fsw)*IF(Vout&gt;8, Vout, Table16[[#This Row],[Vin]])</f>
        <v>1.7066240000000001</v>
      </c>
      <c r="BG101" s="345">
        <f t="shared" si="6"/>
        <v>0.50594479787234037</v>
      </c>
      <c r="BH101" s="345">
        <f>Table16[[#This Row],[IQ Loss]]+Table16[[#This Row],[Switching Current Loss]]</f>
        <v>1.7546240000000002</v>
      </c>
      <c r="BI101"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8.2170155582657038</v>
      </c>
      <c r="BJ101" s="253">
        <f>Vout*Table16[[#This Row],[Iout]]</f>
        <v>128</v>
      </c>
      <c r="BK101" s="684">
        <f>Table16[[#This Row],[Pout]]/(Table16[[#This Row],[Pout]]+Table16[[#This Row],[Total Loss]])</f>
        <v>0.93967702548327425</v>
      </c>
      <c r="BL101"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111.40200648350329</v>
      </c>
      <c r="BM101" s="685">
        <f>IF(Table16[[#This Row],[Vin]]&gt;Vout, Table16[[#This Row],[Total Sync Bu MOSFET Loss]]*ThetaJA_Q2, ThetaJA_Q3*Table16[[#This Row],[Total Sync Bo MOSFET Loss]])</f>
        <v>23.717043653083277</v>
      </c>
      <c r="BN101" s="640"/>
      <c r="BO101" s="292">
        <f>Table16[[#This Row],[EFF, h]]*100</f>
        <v>93.967702548327424</v>
      </c>
      <c r="BP101" s="345">
        <f>Table16[[#This Row],[Total Inductor Loss]]</f>
        <v>1.8732829936640707</v>
      </c>
      <c r="BQ101" s="345">
        <f>Table16[[#This Row],[Total Control Bu MOSFET Loss]]+Table16[[#This Row],[Total Sync Bu MOSFET Loss]]+Table16[[#This Row],[Total Control Bo MOSFET Loss]]+Table16[[#This Row],[Total Sync Bo MOSFET Loss]]+Table16[[#This Row],[Reverse Recovery Loss MOSFET D BUCK]]+Table16[[#This Row],[Reverse Recovery Loss MOSFET D BOOST]]</f>
        <v>3.8635999454333234</v>
      </c>
      <c r="BR101" s="345">
        <f>Table16[[#This Row],[Total Control Bu MOSFET Loss]]+Table16[[#This Row],[Reverse Recovery Loss MOSFET D BUCK]]*0.66</f>
        <v>1.4722306860231276</v>
      </c>
      <c r="BS101" s="345">
        <f>Table16[[#This Row],[Total Sync Bu MOSFET Loss]]+Table16[[#This Row],[Reverse Recovery Loss MOSFET D BUCK]]*0.33</f>
        <v>0.59941668626281963</v>
      </c>
      <c r="BT101" s="345">
        <f xml:space="preserve"> Table16[[#This Row],[Total Control Bo MOSFET Loss]]+Table16[[#This Row],[Reverse Recovery Loss MOSFET D BOOST]]*0.66</f>
        <v>1.0132370542973748</v>
      </c>
      <c r="BU101" s="345">
        <f xml:space="preserve"> Table16[[#This Row],[Total Sync Bo MOSFET Loss]]+Table16[[#This Row],[Reverse Recovery Loss MOSFET D BOOST]]*0.33</f>
        <v>0.76450102845000145</v>
      </c>
      <c r="BV101" s="345">
        <f>Table16[[#This Row],[Isense Shunt Loss]]</f>
        <v>6.5065625146425388E-2</v>
      </c>
      <c r="CB101" s="686"/>
      <c r="CC101" s="686"/>
    </row>
    <row r="102" spans="7:81" x14ac:dyDescent="0.2">
      <c r="G102" s="253">
        <v>93</v>
      </c>
      <c r="H102" s="286">
        <f>VIN_min+(VIN_max-VIN_min)*(Table16[[#This Row],[Step]]/200)</f>
        <v>19.950000000000003</v>
      </c>
      <c r="I102" s="292" t="str">
        <f>IF(Mode = 2,IF(Table16[[#This Row],[Vin]]&gt;Vout, "BUCK","BOOST"),IF(Table16[[#This Row],[Vin]]&gt;VIN_BB_to_buck, "BUCK", IF(Table16[[#This Row],[Vin]]&lt;=VIN_boost_to_BB,"BOOST","BUCK-BST")))</f>
        <v>BUCK-BST</v>
      </c>
      <c r="J102" s="253">
        <f>IF(Table16[[#This Row],[Mode]]="BOOST",2, IF(Table16[[#This Row],[Mode]]="BUCK", 1,3))</f>
        <v>3</v>
      </c>
      <c r="K102" s="253">
        <f t="shared" si="4"/>
        <v>8</v>
      </c>
      <c r="L102" s="292">
        <f>Vout*Table16[[#This Row],[Iout]]/(Table16[[#This Row],[Vin]]*Efficiency)</f>
        <v>6.7537264213164487</v>
      </c>
      <c r="M102" s="682">
        <f>MIN(1/Fsw,CHOOSE(Table16[[#This Row],[Mode Digit]],(Vout+(Rdson2+Rs+Rdcr)*Table16[[#This Row],[Iout]])/(Table16[[#This Row],[Vin]]+(Rs+Rdson2-Rdson1)*Table16[[#This Row],[Iout]])/Fsw,(Vout+(Rdson3+Rdcr)*Table16[[#This Row],[Iin]]-Table16[[#This Row],[Vin]])/(Vout+(Rdson3-Rdson4-Rs)*Table16[[#This Row],[Iin]])/Fsw,t1_Ph_II))</f>
        <v>1.5084238313644118E-6</v>
      </c>
      <c r="N102" s="518">
        <f>CHOOSE(Table16[[#This Row],[Mode Digit]],1/Fsw-Table16[[#This Row],[t1_Ph_II]],1/Fsw-Table16[[#This Row],[t1_Ph_II]],(Vout/Fsw-Table16[[#This Row],[Vin]]*t1_Ph_II)/(Table16[[#This Row],[Vin]]+Vout))</f>
        <v>2.8116688704883479E-7</v>
      </c>
      <c r="O102" s="518">
        <f>1/Fsw-(Table16[[#This Row],[t1_Ph_II]]+Table16[[#This Row],[t2_Ph_I]])</f>
        <v>7.2297209565710529E-7</v>
      </c>
      <c r="P102"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7.3222356118893099</v>
      </c>
      <c r="Q102" s="292">
        <f>CHOOSE(Table16[[#This Row],[Mode Digit]],Table16[[#This Row],[I_0]]+1/Lf*(Table16[[#This Row],[Vin]]-Vout)*Table16[[#This Row],[t1_Ph_II]],Table16[[#This Row],[I_0]]+1/Lf*Table16[[#This Row],[Vin]]*Table16[[#This Row],[t1_Ph_II]],Table16[[#This Row],[I_0]]+(Table16[[#This Row],[Vin]]-Vout)/L*Table16[[#This Row],[t1_Ph_II]])</f>
        <v>10.632387908494549</v>
      </c>
      <c r="R102" s="292">
        <f>CHOOSE(Table16[[#This Row],[Mode Digit]],0,0,Table16[[#This Row],[I_1]]+Table16[[#This Row],[Vin]]/L*Table16[[#This Row],[t2_Ph_I]])</f>
        <v>13.748654239952469</v>
      </c>
      <c r="S102" s="292">
        <f>Fsw*(Table16[[#This Row],[I_0]]*Table16[[#This Row],[t1_Ph_II]]+Table16[[#This Row],[I_1]]*Table16[[#This Row],[t2_Ph_I]]+Table16[[#This Row],[I_2]]*Table16[[#This Row],[t3_Ph_III]])</f>
        <v>9.5418125827672124</v>
      </c>
      <c r="T102" s="345">
        <f>MIN(1,CHOOSE(Table16[[#This Row],[Mode Digit]],(Vout+(Rdson2+Rs+Rdcr)*Table16[[#This Row],[Iout]])/(Table16[[#This Row],[Vin]]+(Rs+Rdson2-Rdson1)*Table16[[#This Row],[Iout]]),1,Fsw*Table16[[#This Row],[t2_Ph_I]]+Table16[[#This Row],[t1_Ph_II]]))</f>
        <v>0.11190592946926761</v>
      </c>
      <c r="U102" s="345">
        <f>MIN(1,CHOOSE(Table16[[#This Row],[Mode Digit]],0,(Vout+(Rdson3+Rdcr)*Table16[[#This Row],[Iin]]-Table16[[#This Row],[Vin]])/(Vout+(Rdson3-Rdson4-Rs)*Table16[[#This Row],[Iin]]),Fsw*Table16[[#This Row],[t1_Ph_II]]+Table16[[#This Row],[t3_Ph_III]]))</f>
        <v>0.60035340785513147</v>
      </c>
      <c r="V102" s="292">
        <f>MAX(Table16[[#This Row],[I_0]:[I_2]])-MIN(Table16[[#This Row],[I_0]:[I_1]])</f>
        <v>6.4264186280631588</v>
      </c>
      <c r="W102"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9.9287915510506775</v>
      </c>
      <c r="X102" s="345">
        <f>(Table16[[#This Row],[Irms Lf]]^2*Rdcr*(1+Ltc*Ta-Ltc*25))/(1-Table16[[#This Row],[Irms Lf]]^2*Rdcr*Ltc*ThetaCa)</f>
        <v>0.32362614475645357</v>
      </c>
      <c r="Y102" s="345">
        <f>ABS(7.759*10^-3*Fsw^0.9458*(0.00787*Table16[[#This Row],[Ripple Current pk-pk]])^2.304)</f>
        <v>1.5851178272686488</v>
      </c>
      <c r="Z102" s="345">
        <f>Table16[[#This Row],[DCR    Loss]]+Table16[[#This Row],[Core Loss]]</f>
        <v>1.9087439720251025</v>
      </c>
      <c r="AA102" s="292">
        <f>IF(Table16[[#This Row],[Vin]]&gt;Vout, Table16[[#This Row],[Ripple Current pk-pk]]/SQRT(12), SQRT(Table16[[#This Row],[Duty Cycle BOOST Leg]]/(1-Table16[[#This Row],[Duty Cycle BOOST Leg]]))*SQRT(Table16[[#This Row],[Iout]]^2+(Table16[[#This Row],[Ripple Current pk-pk]]^2)/12))</f>
        <v>1.8551472624187453</v>
      </c>
      <c r="AB102" s="345">
        <f>RCoutEsr*Table16[[#This Row],[Irms Cout]]^2</f>
        <v>6.8831427305195295E-3</v>
      </c>
      <c r="AC102" s="345">
        <f>Table16[[#This Row],[Cout ESR Loss]]</f>
        <v>6.8831427305195295E-3</v>
      </c>
      <c r="AD102" s="345">
        <f>IF(Table16[[#This Row],[Vin]]&gt;Vout, SQRT(Table16[[#This Row],[Duty Cycle BUCK Leg]]*(1-Table16[[#This Row],[Duty Cycle BUCK Leg]]))*SQRT(Table16[[#This Row],[Iout]]^2+(Table16[[#This Row],[Ripple Current pk-pk]]^2)/12), Table16[[#This Row],[Ripple Current pk-pk]]/SQRT(12))</f>
        <v>2.5889274180075867</v>
      </c>
      <c r="AE102" s="345">
        <f>RCinEsr*Table16[[#This Row],[Irms Cin]]^2</f>
        <v>1.3405090351422861E-2</v>
      </c>
      <c r="AF102" s="683">
        <f>Table16[[#This Row],[Cin ESR Loss]]</f>
        <v>1.3405090351422861E-2</v>
      </c>
      <c r="AG102"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8.1026180242853005</v>
      </c>
      <c r="AH102" s="345">
        <f>Rdson1*Table16[[#This Row],[Irms BuCtrl]]^2</f>
        <v>0.22978346596615562</v>
      </c>
      <c r="AI102" s="345">
        <f>CHOOSE(Table16[[#This Row],[Mode Digit]], (Table16[[#This Row],[Vin]]*Table16[[#This Row],[Iout]]/2)*(Fsw)*(Tr_buck+Tf_buck), 0, (Table16[[#This Row],[Vin]]*Table16[[#This Row],[Avg IL]]/2)*(Fsw/1)*(Tr_buck+Tf_buck))</f>
        <v>0.71242091110375616</v>
      </c>
      <c r="AJ102" s="253">
        <f>IF(Table16[[#This Row],[Vin]]&gt;Vout, IF(Table16[[#This Row],[Iout]]&gt;Table16[[#This Row],[Ripple Current pk-pk]]/2,0,ABS(Table16[[#This Row],[Iout]]-Table16[[#This Row],[Ripple Current pk-pk]]/2)*Vsd_Q1*Deadtime*Fsw),0)</f>
        <v>0</v>
      </c>
      <c r="AK102" s="345">
        <f>(Table16[[#This Row],[Dead Time Loss BuCtrl]]+Table16[[#This Row],[Transition Loss BuCtrl]]+Table16[[#This Row],[RDS(on) Loss BuCtrl]]*(1+RdsonTopTc*Ta-RdsonTopTc*25))/(1-Table16[[#This Row],[RDS(on) Loss BuCtrl]]*RdsonTopTc*ThetaJA_Q1)</f>
        <v>1.0020718587298987</v>
      </c>
      <c r="AL102" s="345">
        <f>CHOOSE(Table16[[#This Row],[Mode Digit]],SQRT((Fsw*(Table16[[#This Row],[t2_Ph_I]]+0))*((Table16[[#This Row],[I_0]]*Table16[[#This Row],[I_1]]+((Table16[[#This Row],[I_0]]-Table16[[#This Row],[I_1]])^2)/3))),0,SQRT((Fsw*(Table16[[#This Row],[t3_Ph_III]]+0))*((Table16[[#This Row],[I_0]]*Table16[[#This Row],[I_2]]+((Table16[[#This Row],[I_0]]-Table16[[#This Row],[I_2]])^2)/3))))</f>
        <v>5.7383344985058411</v>
      </c>
      <c r="AM102" s="345">
        <f>Rdson2*Table16[[#This Row],[Irms BuSync]]^2</f>
        <v>0.11524968985859799</v>
      </c>
      <c r="AN102"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02" s="345">
        <f>(Table16[[#This Row],[Deadtime Loss BuSync]]+Table16[[#This Row],[RDS(on) Loss BuSync]]*(1+RdsonBotTc*Ta-RdsonBotTc*25))/(1-Table16[[#This Row],[RDS(on) Loss BuSync]]*RdsonBotTc*ThetaJA_Q2)</f>
        <v>0.36498648030975078</v>
      </c>
      <c r="AP102" s="345">
        <f>CHOOSE(Table16[[#This Row],[Mode Digit]],0,SQRT((Fsw*(Table16[[#This Row],[t1_Ph_II]]+0))*((Table16[[#This Row],[I_0]]*Table16[[#This Row],[I_1]]+((Table16[[#This Row],[I_0]]-Table16[[#This Row],[I_1]])^2)/3))),SQRT((Fsw*(Table16[[#This Row],[t2_Ph_I]]+0))*((Table16[[#This Row],[I_1]]*Table16[[#This Row],[I_2]]+((Table16[[#This Row],[I_1]]-Table16[[#This Row],[I_2]])^2)/3))))</f>
        <v>4.0890759241878065</v>
      </c>
      <c r="AQ102" s="345">
        <f>Rdson4*Table16[[#This Row],[Irms BoCtlr]]^2</f>
        <v>5.8521896698203277E-2</v>
      </c>
      <c r="AR102" s="345">
        <f>CHOOSE(Table16[[#This Row],[Mode Digit]], 0, (Vout*Table16[[#This Row],[Iin]]/2)*(Fsw)*(Tr_boost+Tf_boost), (Vout*Iout/2)*(Fsw/1)*(Tr_boost+Tf_boost))</f>
        <v>0.47564320886662292</v>
      </c>
      <c r="AS102" s="253">
        <f>IF(Table16[[#This Row],[Vin]]&gt;Vout, 0, IF(Table16[[#This Row],[Iin]]&gt;Table16[[#This Row],[Ripple Current pk-pk]]/2,0,ABS(Table16[[#This Row],[Iin]]-Table16[[#This Row],[Ripple Current pk-pk]]/2)*Vsd_Q4*Deadtime*Fsw))</f>
        <v>0</v>
      </c>
      <c r="AT102" s="345">
        <f>(Table16[[#This Row],[Dead Time Loss BoCtlr]]+Table16[[#This Row],[Transition Loss BoCtlr]]+Table16[[#This Row],[RDS(on) Loss BoCtlr]]*(1+RdsonTopTc*Ta-RdsonTopTc*25))/(1-Table16[[#This Row],[RDS(on) Loss BoCtlr]]*RdsonTopTc*ThetaJA_Q4)</f>
        <v>0.54241837714580499</v>
      </c>
      <c r="AU102"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9.0476715098661131</v>
      </c>
      <c r="AV102" s="345">
        <f>Rdson3*Table16[[#This Row],[Irms BoSync]]^2</f>
        <v>0.28651125912655034</v>
      </c>
      <c r="AW102"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0.20159873367629597</v>
      </c>
      <c r="AX102" s="345">
        <f>(Table16[[#This Row],[Deadtime Loss BoSync]]+Table16[[#This Row],[RDS(on) Loss BoSync]]*(1+RdsonBotTc*Ta-RdsonBotTc*25))/(1-Table16[[#This Row],[RDS(on) Loss BoSync]]*RdsonBotTc*ThetaJA_Q3)</f>
        <v>0.52739736652397728</v>
      </c>
      <c r="AY102" s="345">
        <f>CHOOSE(Table16[[#This Row],[Mode Digit]], Rdson3*Table16[[#This Row],[Irms Lf]]^2, Rdson1*Table16[[#This Row],[Irms Lf]]^2, 0)</f>
        <v>0</v>
      </c>
      <c r="AZ102" s="345">
        <f>CHOOSE(Table16[[#This Row],[Mode Digit]], 2*Deadtime*Fsw*IF(VfdSky_Q2&gt;0,VfdSky_Q2,0)*Table16[[#This Row],[Iout]], 2*Deadtime*Fsw*IF(VfdSky_Q3&gt;0,VfdSky_Q3,0)*Table16[[#This Row],[Iin]], 2*Deadtime*Fsw*IF(VfdSky_Q2&gt;0,VfdSky_Q2,0)*Table16[[#This Row],[Iout]]+2*Deadtime*Fsw*IF(VfdSky_Q3&gt;0,VfdSky_Q3,0)*Table16[[#This Row],[Iin]])</f>
        <v>0</v>
      </c>
      <c r="BA102" s="345">
        <f>CHOOSE(Table16[[#This Row],[Mode Digit]], IF(QrrSky_Q2&gt;0,QrrSky_Q2,Qrr_Q2)*Fsw*(Table16[[#This Row],[Vin]]-Table16[[#This Row],[Iout]]*Rdson1),0,  IF(QrrSky_Q2&gt;0,QrrSky_Q2,Qrr_Q2)*Fsw*(Table16[[#This Row],[Vin]]-Table16[[#This Row],[Iout]]*Rdson1)+IF(QrrSky_Q3&gt;0,QrrSky_Q3,Qrr_Q3)*Fsw*Vout)</f>
        <v>0.71341102000000001</v>
      </c>
      <c r="BB102" s="345">
        <f>CHOOSE(Table16[[#This Row],[Mode Digit]],0, IF(QrrSky_Q3&gt;0,QrrSky_Q3,Qrr_Q3)*Fsw*Vout,  IF(QrrSky_Q2&gt;0,QrrSky_Q2,Qrr_Q2)*Fsw*(Table16[[#This Row],[Vin]]-Table16[[#This Row],[Iout]]*Rdson1)+IF(QrrSky_Q3&gt;0,QrrSky_Q3,Qrr_Q3)*Fsw*Vout)</f>
        <v>0.71341102000000001</v>
      </c>
      <c r="BC102" s="345">
        <f>CHOOSE(Table16[[#This Row],[Mode Digit]], Rs*Table16[[#This Row],[Irms BuSync]]^2, Rs*Table16[[#This Row],[Irms BoCtlr]]^2, Rs*(Table16[[#This Row],[Irms BuSync]]^2+Table16[[#This Row],[Irms BoCtlr]]^2))</f>
        <v>6.4543732149669034E-2</v>
      </c>
      <c r="BD102" s="345">
        <f t="shared" si="5"/>
        <v>0.64</v>
      </c>
      <c r="BE102" s="345">
        <f>IF(Vout&gt;8, Iq*Vout, Iq*Table16[[#This Row],[Vin]])</f>
        <v>4.8000000000000001E-2</v>
      </c>
      <c r="BF102" s="345">
        <f>CHOOSE(Table16[[#This Row],[Mode Digit]], (Qg_Q1+Qg_Q2)*Fsw, (Qg_Q3+Qg_Q4)*Fsw, (Qg_Q1+Qg_Q2+Qg_Q3+Qg_Q4)*Fsw)*IF(Vout&gt;8, Vout, Table16[[#This Row],[Vin]])</f>
        <v>1.7066240000000001</v>
      </c>
      <c r="BG102" s="345">
        <f t="shared" si="6"/>
        <v>0.50594479787234037</v>
      </c>
      <c r="BH102" s="345">
        <f>Table16[[#This Row],[IQ Loss]]+Table16[[#This Row],[Switching Current Loss]]</f>
        <v>1.7546240000000002</v>
      </c>
      <c r="BI102"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8.2518960599661462</v>
      </c>
      <c r="BJ102" s="253">
        <f>Vout*Table16[[#This Row],[Iout]]</f>
        <v>128</v>
      </c>
      <c r="BK102" s="684">
        <f>Table16[[#This Row],[Pout]]/(Table16[[#This Row],[Pout]]+Table16[[#This Row],[Total Loss]])</f>
        <v>0.93943646805227288</v>
      </c>
      <c r="BL102"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111.50638711744342</v>
      </c>
      <c r="BM102" s="685">
        <f>IF(Table16[[#This Row],[Vin]]&gt;Vout, Table16[[#This Row],[Total Sync Bu MOSFET Loss]]*ThetaJA_Q2, ThetaJA_Q3*Table16[[#This Row],[Total Sync Bo MOSFET Loss]])</f>
        <v>23.724121220133799</v>
      </c>
      <c r="BN102" s="640"/>
      <c r="BO102" s="292">
        <f>Table16[[#This Row],[EFF, h]]*100</f>
        <v>93.943646805227289</v>
      </c>
      <c r="BP102" s="345">
        <f>Table16[[#This Row],[Total Inductor Loss]]</f>
        <v>1.9087439720251025</v>
      </c>
      <c r="BQ102" s="345">
        <f>Table16[[#This Row],[Total Control Bu MOSFET Loss]]+Table16[[#This Row],[Total Sync Bu MOSFET Loss]]+Table16[[#This Row],[Total Control Bo MOSFET Loss]]+Table16[[#This Row],[Total Sync Bo MOSFET Loss]]+Table16[[#This Row],[Reverse Recovery Loss MOSFET D BUCK]]+Table16[[#This Row],[Reverse Recovery Loss MOSFET D BOOST]]</f>
        <v>3.863696122709432</v>
      </c>
      <c r="BR102" s="345">
        <f>Table16[[#This Row],[Total Control Bu MOSFET Loss]]+Table16[[#This Row],[Reverse Recovery Loss MOSFET D BUCK]]*0.66</f>
        <v>1.4729231319298988</v>
      </c>
      <c r="BS102" s="345">
        <f>Table16[[#This Row],[Total Sync Bu MOSFET Loss]]+Table16[[#This Row],[Reverse Recovery Loss MOSFET D BUCK]]*0.33</f>
        <v>0.60041211690975083</v>
      </c>
      <c r="BT102" s="345">
        <f xml:space="preserve"> Table16[[#This Row],[Total Control Bo MOSFET Loss]]+Table16[[#This Row],[Reverse Recovery Loss MOSFET D BOOST]]*0.66</f>
        <v>1.013269650345805</v>
      </c>
      <c r="BU102" s="345">
        <f xml:space="preserve"> Table16[[#This Row],[Total Sync Bo MOSFET Loss]]+Table16[[#This Row],[Reverse Recovery Loss MOSFET D BOOST]]*0.33</f>
        <v>0.76282300312397733</v>
      </c>
      <c r="BV102" s="345">
        <f>Table16[[#This Row],[Isense Shunt Loss]]</f>
        <v>6.4543732149669034E-2</v>
      </c>
      <c r="CB102" s="686"/>
      <c r="CC102" s="686"/>
    </row>
    <row r="103" spans="7:81" x14ac:dyDescent="0.2">
      <c r="G103" s="253">
        <v>94</v>
      </c>
      <c r="H103" s="286">
        <f>VIN_min+(VIN_max-VIN_min)*(Table16[[#This Row],[Step]]/200)</f>
        <v>20.100000000000001</v>
      </c>
      <c r="I103" s="292" t="str">
        <f>IF(Mode = 2,IF(Table16[[#This Row],[Vin]]&gt;Vout, "BUCK","BOOST"),IF(Table16[[#This Row],[Vin]]&gt;VIN_BB_to_buck, "BUCK", IF(Table16[[#This Row],[Vin]]&lt;=VIN_boost_to_BB,"BOOST","BUCK-BST")))</f>
        <v>BUCK-BST</v>
      </c>
      <c r="J103" s="253">
        <f>IF(Table16[[#This Row],[Mode]]="BOOST",2, IF(Table16[[#This Row],[Mode]]="BUCK", 1,3))</f>
        <v>3</v>
      </c>
      <c r="K103" s="253">
        <f t="shared" si="4"/>
        <v>8</v>
      </c>
      <c r="L103" s="292">
        <f>Vout*Table16[[#This Row],[Iout]]/(Table16[[#This Row],[Vin]]*Efficiency)</f>
        <v>6.703325477873789</v>
      </c>
      <c r="M103" s="682">
        <f>MIN(1/Fsw,CHOOSE(Table16[[#This Row],[Mode Digit]],(Vout+(Rdson2+Rs+Rdcr)*Table16[[#This Row],[Iout]])/(Table16[[#This Row],[Vin]]+(Rs+Rdson2-Rdson1)*Table16[[#This Row],[Iout]])/Fsw,(Vout+(Rdson3+Rdcr)*Table16[[#This Row],[Iin]]-Table16[[#This Row],[Vin]])/(Vout+(Rdson3-Rdson4-Rs)*Table16[[#This Row],[Iin]])/Fsw,t1_Ph_II))</f>
        <v>1.5084238313644118E-6</v>
      </c>
      <c r="N103" s="518">
        <f>CHOOSE(Table16[[#This Row],[Mode Digit]],1/Fsw-Table16[[#This Row],[t1_Ph_II]],1/Fsw-Table16[[#This Row],[t1_Ph_II]],(Vout/Fsw-Table16[[#This Row],[Vin]]*t1_Ph_II)/(Table16[[#This Row],[Vin]]+Vout))</f>
        <v>2.7373091453465237E-7</v>
      </c>
      <c r="O103" s="518">
        <f>1/Fsw-(Table16[[#This Row],[t1_Ph_II]]+Table16[[#This Row],[t2_Ph_I]])</f>
        <v>7.3040806817128771E-7</v>
      </c>
      <c r="P103"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7.2341154183082743</v>
      </c>
      <c r="Q103" s="292">
        <f>CHOOSE(Table16[[#This Row],[Mode Digit]],Table16[[#This Row],[I_0]]+1/Lf*(Table16[[#This Row],[Vin]]-Vout)*Table16[[#This Row],[t1_Ph_II]],Table16[[#This Row],[I_0]]+1/Lf*Table16[[#This Row],[Vin]]*Table16[[#This Row],[t1_Ph_II]],Table16[[#This Row],[I_0]]+(Table16[[#This Row],[Vin]]-Vout)/L*Table16[[#This Row],[t1_Ph_II]])</f>
        <v>10.669969700860547</v>
      </c>
      <c r="R103" s="292">
        <f>CHOOSE(Table16[[#This Row],[Mode Digit]],0,0,Table16[[#This Row],[I_1]]+Table16[[#This Row],[Vin]]/L*Table16[[#This Row],[t2_Ph_I]])</f>
        <v>13.726631579830832</v>
      </c>
      <c r="S103" s="292">
        <f>Fsw*(Table16[[#This Row],[I_0]]*Table16[[#This Row],[t1_Ph_II]]+Table16[[#This Row],[I_1]]*Table16[[#This Row],[t2_Ph_I]]+Table16[[#This Row],[I_2]]*Table16[[#This Row],[t3_Ph_III]])</f>
        <v>9.4958243356958718</v>
      </c>
      <c r="T103" s="345">
        <f>MIN(1,CHOOSE(Table16[[#This Row],[Mode Digit]],(Vout+(Rdson2+Rs+Rdcr)*Table16[[#This Row],[Iout]])/(Table16[[#This Row],[Vin]]+(Rs+Rdson2-Rdson1)*Table16[[#This Row],[Iout]]),1,Fsw*Table16[[#This Row],[t2_Ph_I]]+Table16[[#This Row],[t1_Ph_II]]))</f>
        <v>0.10894641240862302</v>
      </c>
      <c r="U103" s="345">
        <f>MIN(1,CHOOSE(Table16[[#This Row],[Mode Digit]],0,(Vout+(Rdson3+Rdcr)*Table16[[#This Row],[Iin]]-Table16[[#This Row],[Vin]])/(Vout+(Rdson3-Rdson4-Rs)*Table16[[#This Row],[Iin]]),Fsw*Table16[[#This Row],[t1_Ph_II]]+Table16[[#This Row],[t3_Ph_III]]))</f>
        <v>0.60035341529110398</v>
      </c>
      <c r="V103" s="292">
        <f>MAX(Table16[[#This Row],[I_0]:[I_2]])-MIN(Table16[[#This Row],[I_0]:[I_1]])</f>
        <v>6.4925161615225573</v>
      </c>
      <c r="W103"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9.896937359023255</v>
      </c>
      <c r="X103" s="345">
        <f>(Table16[[#This Row],[Irms Lf]]^2*Rdcr*(1+Ltc*Ta-Ltc*25))/(1-Table16[[#This Row],[Irms Lf]]^2*Rdcr*Ltc*ThetaCa)</f>
        <v>0.32149959582164295</v>
      </c>
      <c r="Y103" s="345">
        <f>ABS(7.759*10^-3*Fsw^0.9458*(0.00787*Table16[[#This Row],[Ripple Current pk-pk]])^2.304)</f>
        <v>1.6229329865800768</v>
      </c>
      <c r="Z103" s="345">
        <f>Table16[[#This Row],[DCR    Loss]]+Table16[[#This Row],[Core Loss]]</f>
        <v>1.9444325824017197</v>
      </c>
      <c r="AA103" s="292">
        <f>IF(Table16[[#This Row],[Vin]]&gt;Vout, Table16[[#This Row],[Ripple Current pk-pk]]/SQRT(12), SQRT(Table16[[#This Row],[Duty Cycle BOOST Leg]]/(1-Table16[[#This Row],[Duty Cycle BOOST Leg]]))*SQRT(Table16[[#This Row],[Iout]]^2+(Table16[[#This Row],[Ripple Current pk-pk]]^2)/12))</f>
        <v>1.8742279767865222</v>
      </c>
      <c r="AB103" s="345">
        <f>RCoutEsr*Table16[[#This Row],[Irms Cout]]^2</f>
        <v>7.0254610179386013E-3</v>
      </c>
      <c r="AC103" s="345">
        <f>Table16[[#This Row],[Cout ESR Loss]]</f>
        <v>7.0254610179386013E-3</v>
      </c>
      <c r="AD103" s="345">
        <f>IF(Table16[[#This Row],[Vin]]&gt;Vout, SQRT(Table16[[#This Row],[Duty Cycle BUCK Leg]]*(1-Table16[[#This Row],[Duty Cycle BUCK Leg]]))*SQRT(Table16[[#This Row],[Iout]]^2+(Table16[[#This Row],[Ripple Current pk-pk]]^2)/12), Table16[[#This Row],[Ripple Current pk-pk]]/SQRT(12))</f>
        <v>2.5600663128012675</v>
      </c>
      <c r="AE103" s="345">
        <f>RCinEsr*Table16[[#This Row],[Irms Cin]]^2</f>
        <v>1.3107879051879755E-2</v>
      </c>
      <c r="AF103" s="683">
        <f>Table16[[#This Row],[Cin ESR Loss]]</f>
        <v>1.3107879051879755E-2</v>
      </c>
      <c r="AG103"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8.0621319728749494</v>
      </c>
      <c r="AH103" s="345">
        <f>Rdson1*Table16[[#This Row],[Irms BuCtrl]]^2</f>
        <v>0.22749290181818382</v>
      </c>
      <c r="AI103" s="345">
        <f>CHOOSE(Table16[[#This Row],[Mode Digit]], (Table16[[#This Row],[Vin]]*Table16[[#This Row],[Iout]]/2)*(Fsw)*(Tr_buck+Tf_buck), 0, (Table16[[#This Row],[Vin]]*Table16[[#This Row],[Avg IL]]/2)*(Fsw/1)*(Tr_buck+Tf_buck))</f>
        <v>0.71431801941029704</v>
      </c>
      <c r="AJ103" s="253">
        <f>IF(Table16[[#This Row],[Vin]]&gt;Vout, IF(Table16[[#This Row],[Iout]]&gt;Table16[[#This Row],[Ripple Current pk-pk]]/2,0,ABS(Table16[[#This Row],[Iout]]-Table16[[#This Row],[Ripple Current pk-pk]]/2)*Vsd_Q1*Deadtime*Fsw),0)</f>
        <v>0</v>
      </c>
      <c r="AK103" s="345">
        <f>(Table16[[#This Row],[Dead Time Loss BuCtrl]]+Table16[[#This Row],[Transition Loss BuCtrl]]+Table16[[#This Row],[RDS(on) Loss BuCtrl]]*(1+RdsonTopTc*Ta-RdsonTopTc*25))/(1-Table16[[#This Row],[RDS(on) Loss BuCtrl]]*RdsonTopTc*ThetaJA_Q1)</f>
        <v>1.0010193695274852</v>
      </c>
      <c r="AL103" s="345">
        <f>CHOOSE(Table16[[#This Row],[Mode Digit]],SQRT((Fsw*(Table16[[#This Row],[t2_Ph_I]]+0))*((Table16[[#This Row],[I_0]]*Table16[[#This Row],[I_1]]+((Table16[[#This Row],[I_0]]-Table16[[#This Row],[I_1]])^2)/3))),0,SQRT((Fsw*(Table16[[#This Row],[t3_Ph_III]]+0))*((Table16[[#This Row],[I_0]]*Table16[[#This Row],[I_2]]+((Table16[[#This Row],[I_0]]-Table16[[#This Row],[I_2]])^2)/3))))</f>
        <v>5.7403307518276048</v>
      </c>
      <c r="AM103" s="345">
        <f>Rdson2*Table16[[#This Row],[Irms BuSync]]^2</f>
        <v>0.11532988999132185</v>
      </c>
      <c r="AN103"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03" s="345">
        <f>(Table16[[#This Row],[Deadtime Loss BuSync]]+Table16[[#This Row],[RDS(on) Loss BuSync]]*(1+RdsonBotTc*Ta-RdsonBotTc*25))/(1-Table16[[#This Row],[RDS(on) Loss BuSync]]*RdsonBotTc*ThetaJA_Q2)</f>
        <v>0.36507700562455242</v>
      </c>
      <c r="AP103" s="345">
        <f>CHOOSE(Table16[[#This Row],[Mode Digit]],0,SQRT((Fsw*(Table16[[#This Row],[t1_Ph_II]]+0))*((Table16[[#This Row],[I_0]]*Table16[[#This Row],[I_1]]+((Table16[[#This Row],[I_0]]-Table16[[#This Row],[I_1]])^2)/3))),SQRT((Fsw*(Table16[[#This Row],[t2_Ph_I]]+0))*((Table16[[#This Row],[I_1]]*Table16[[#This Row],[I_2]]+((Table16[[#This Row],[I_1]]-Table16[[#This Row],[I_2]])^2)/3))))</f>
        <v>4.0367891731782599</v>
      </c>
      <c r="AQ103" s="345">
        <f>Rdson4*Table16[[#This Row],[Irms BoCtlr]]^2</f>
        <v>5.7034833900412273E-2</v>
      </c>
      <c r="AR103" s="345">
        <f>CHOOSE(Table16[[#This Row],[Mode Digit]], 0, (Vout*Table16[[#This Row],[Iin]]/2)*(Fsw)*(Tr_boost+Tf_boost), (Vout*Iout/2)*(Fsw/1)*(Tr_boost+Tf_boost))</f>
        <v>0.47564320886662292</v>
      </c>
      <c r="AS103" s="253">
        <f>IF(Table16[[#This Row],[Vin]]&gt;Vout, 0, IF(Table16[[#This Row],[Iin]]&gt;Table16[[#This Row],[Ripple Current pk-pk]]/2,0,ABS(Table16[[#This Row],[Iin]]-Table16[[#This Row],[Ripple Current pk-pk]]/2)*Vsd_Q4*Deadtime*Fsw))</f>
        <v>0</v>
      </c>
      <c r="AT103" s="345">
        <f>(Table16[[#This Row],[Dead Time Loss BoCtlr]]+Table16[[#This Row],[Transition Loss BoCtlr]]+Table16[[#This Row],[RDS(on) Loss BoCtlr]]*(1+RdsonTopTc*Ta-RdsonTopTc*25))/(1-Table16[[#This Row],[RDS(on) Loss BoCtlr]]*RdsonTopTc*ThetaJA_Q4)</f>
        <v>0.54069605529009568</v>
      </c>
      <c r="AU103"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9.0362438136507244</v>
      </c>
      <c r="AV103" s="345">
        <f>Rdson3*Table16[[#This Row],[Irms BoSync]]^2</f>
        <v>0.28578795790909345</v>
      </c>
      <c r="AW103"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0.20009426551453258</v>
      </c>
      <c r="AX103" s="345">
        <f>(Table16[[#This Row],[Deadtime Loss BoSync]]+Table16[[#This Row],[RDS(on) Loss BoSync]]*(1+RdsonBotTc*Ta-RdsonBotTc*25))/(1-Table16[[#This Row],[RDS(on) Loss BoSync]]*RdsonBotTc*ThetaJA_Q3)</f>
        <v>0.52488363304701313</v>
      </c>
      <c r="AY103" s="345">
        <f>CHOOSE(Table16[[#This Row],[Mode Digit]], Rdson3*Table16[[#This Row],[Irms Lf]]^2, Rdson1*Table16[[#This Row],[Irms Lf]]^2, 0)</f>
        <v>0</v>
      </c>
      <c r="AZ103" s="345">
        <f>CHOOSE(Table16[[#This Row],[Mode Digit]], 2*Deadtime*Fsw*IF(VfdSky_Q2&gt;0,VfdSky_Q2,0)*Table16[[#This Row],[Iout]], 2*Deadtime*Fsw*IF(VfdSky_Q3&gt;0,VfdSky_Q3,0)*Table16[[#This Row],[Iin]], 2*Deadtime*Fsw*IF(VfdSky_Q2&gt;0,VfdSky_Q2,0)*Table16[[#This Row],[Iout]]+2*Deadtime*Fsw*IF(VfdSky_Q3&gt;0,VfdSky_Q3,0)*Table16[[#This Row],[Iin]])</f>
        <v>0</v>
      </c>
      <c r="BA103" s="345">
        <f>CHOOSE(Table16[[#This Row],[Mode Digit]], IF(QrrSky_Q2&gt;0,QrrSky_Q2,Qrr_Q2)*Fsw*(Table16[[#This Row],[Vin]]-Table16[[#This Row],[Iout]]*Rdson1),0,  IF(QrrSky_Q2&gt;0,QrrSky_Q2,Qrr_Q2)*Fsw*(Table16[[#This Row],[Vin]]-Table16[[#This Row],[Iout]]*Rdson1)+IF(QrrSky_Q3&gt;0,QrrSky_Q3,Qrr_Q3)*Fsw*Vout)</f>
        <v>0.71609751999999993</v>
      </c>
      <c r="BB103" s="345">
        <f>CHOOSE(Table16[[#This Row],[Mode Digit]],0, IF(QrrSky_Q3&gt;0,QrrSky_Q3,Qrr_Q3)*Fsw*Vout,  IF(QrrSky_Q2&gt;0,QrrSky_Q2,Qrr_Q2)*Fsw*(Table16[[#This Row],[Vin]]-Table16[[#This Row],[Iout]]*Rdson1)+IF(QrrSky_Q3&gt;0,QrrSky_Q3,Qrr_Q3)*Fsw*Vout)</f>
        <v>0.71609751999999993</v>
      </c>
      <c r="BC103" s="345">
        <f>CHOOSE(Table16[[#This Row],[Mode Digit]], Rs*Table16[[#This Row],[Irms BuSync]]^2, Rs*Table16[[#This Row],[Irms BoCtlr]]^2, Rs*(Table16[[#This Row],[Irms BuSync]]^2+Table16[[#This Row],[Irms BoCtlr]]^2))</f>
        <v>6.4021183159786957E-2</v>
      </c>
      <c r="BD103" s="345">
        <f t="shared" si="5"/>
        <v>0.64</v>
      </c>
      <c r="BE103" s="345">
        <f>IF(Vout&gt;8, Iq*Vout, Iq*Table16[[#This Row],[Vin]])</f>
        <v>4.8000000000000001E-2</v>
      </c>
      <c r="BF103" s="345">
        <f>CHOOSE(Table16[[#This Row],[Mode Digit]], (Qg_Q1+Qg_Q2)*Fsw, (Qg_Q3+Qg_Q4)*Fsw, (Qg_Q1+Qg_Q2+Qg_Q3+Qg_Q4)*Fsw)*IF(Vout&gt;8, Vout, Table16[[#This Row],[Vin]])</f>
        <v>1.7066240000000001</v>
      </c>
      <c r="BG103" s="345">
        <f t="shared" si="6"/>
        <v>0.50594479787234037</v>
      </c>
      <c r="BH103" s="345">
        <f>Table16[[#This Row],[IQ Loss]]+Table16[[#This Row],[Switching Current Loss]]</f>
        <v>1.7546240000000002</v>
      </c>
      <c r="BI103"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8.2870822091204719</v>
      </c>
      <c r="BJ103" s="253">
        <f>Vout*Table16[[#This Row],[Iout]]</f>
        <v>128</v>
      </c>
      <c r="BK103" s="684">
        <f>Table16[[#This Row],[Pout]]/(Table16[[#This Row],[Pout]]+Table16[[#This Row],[Total Loss]])</f>
        <v>0.93919392744497465</v>
      </c>
      <c r="BL103"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111.61259781928653</v>
      </c>
      <c r="BM103" s="685">
        <f>IF(Table16[[#This Row],[Vin]]&gt;Vout, Table16[[#This Row],[Total Sync Bu MOSFET Loss]]*ThetaJA_Q2, ThetaJA_Q3*Table16[[#This Row],[Total Sync Bo MOSFET Loss]])</f>
        <v>23.730005365595908</v>
      </c>
      <c r="BN103" s="640"/>
      <c r="BO103" s="292">
        <f>Table16[[#This Row],[EFF, h]]*100</f>
        <v>93.919392744497472</v>
      </c>
      <c r="BP103" s="345">
        <f>Table16[[#This Row],[Total Inductor Loss]]</f>
        <v>1.9444325824017197</v>
      </c>
      <c r="BQ103" s="345">
        <f>Table16[[#This Row],[Total Control Bu MOSFET Loss]]+Table16[[#This Row],[Total Sync Bu MOSFET Loss]]+Table16[[#This Row],[Total Control Bo MOSFET Loss]]+Table16[[#This Row],[Total Sync Bo MOSFET Loss]]+Table16[[#This Row],[Reverse Recovery Loss MOSFET D BUCK]]+Table16[[#This Row],[Reverse Recovery Loss MOSFET D BOOST]]</f>
        <v>3.8638711034891462</v>
      </c>
      <c r="BR103" s="345">
        <f>Table16[[#This Row],[Total Control Bu MOSFET Loss]]+Table16[[#This Row],[Reverse Recovery Loss MOSFET D BUCK]]*0.66</f>
        <v>1.4736437327274852</v>
      </c>
      <c r="BS103" s="345">
        <f>Table16[[#This Row],[Total Sync Bu MOSFET Loss]]+Table16[[#This Row],[Reverse Recovery Loss MOSFET D BUCK]]*0.33</f>
        <v>0.60138918722455237</v>
      </c>
      <c r="BT103" s="345">
        <f xml:space="preserve"> Table16[[#This Row],[Total Control Bo MOSFET Loss]]+Table16[[#This Row],[Reverse Recovery Loss MOSFET D BOOST]]*0.66</f>
        <v>1.0133204184900957</v>
      </c>
      <c r="BU103" s="345">
        <f xml:space="preserve"> Table16[[#This Row],[Total Sync Bo MOSFET Loss]]+Table16[[#This Row],[Reverse Recovery Loss MOSFET D BOOST]]*0.33</f>
        <v>0.76119581464701314</v>
      </c>
      <c r="BV103" s="345">
        <f>Table16[[#This Row],[Isense Shunt Loss]]</f>
        <v>6.4021183159786957E-2</v>
      </c>
      <c r="CB103" s="686"/>
      <c r="CC103" s="686"/>
    </row>
    <row r="104" spans="7:81" x14ac:dyDescent="0.2">
      <c r="G104" s="253">
        <v>95</v>
      </c>
      <c r="H104" s="286">
        <f>VIN_min+(VIN_max-VIN_min)*(Table16[[#This Row],[Step]]/200)</f>
        <v>20.25</v>
      </c>
      <c r="I104" s="292" t="str">
        <f>IF(Mode = 2,IF(Table16[[#This Row],[Vin]]&gt;Vout, "BUCK","BOOST"),IF(Table16[[#This Row],[Vin]]&gt;VIN_BB_to_buck, "BUCK", IF(Table16[[#This Row],[Vin]]&lt;=VIN_boost_to_BB,"BOOST","BUCK-BST")))</f>
        <v>BUCK-BST</v>
      </c>
      <c r="J104" s="253">
        <f>IF(Table16[[#This Row],[Mode]]="BOOST",2, IF(Table16[[#This Row],[Mode]]="BUCK", 1,3))</f>
        <v>3</v>
      </c>
      <c r="K104" s="253">
        <f t="shared" si="4"/>
        <v>8</v>
      </c>
      <c r="L104" s="292">
        <f>Vout*Table16[[#This Row],[Iout]]/(Table16[[#This Row],[Vin]]*Efficiency)</f>
        <v>6.6536712150747235</v>
      </c>
      <c r="M104" s="682">
        <f>MIN(1/Fsw,CHOOSE(Table16[[#This Row],[Mode Digit]],(Vout+(Rdson2+Rs+Rdcr)*Table16[[#This Row],[Iout]])/(Table16[[#This Row],[Vin]]+(Rs+Rdson2-Rdson1)*Table16[[#This Row],[Iout]])/Fsw,(Vout+(Rdson3+Rdcr)*Table16[[#This Row],[Iin]]-Table16[[#This Row],[Vin]])/(Vout+(Rdson3-Rdson4-Rs)*Table16[[#This Row],[Iin]])/Fsw,t1_Ph_II))</f>
        <v>1.5084238313644118E-6</v>
      </c>
      <c r="N104" s="518">
        <f>CHOOSE(Table16[[#This Row],[Mode Digit]],1/Fsw-Table16[[#This Row],[t1_Ph_II]],1/Fsw-Table16[[#This Row],[t1_Ph_II]],(Vout/Fsw-Table16[[#This Row],[Vin]]*t1_Ph_II)/(Table16[[#This Row],[Vin]]+Vout))</f>
        <v>2.6635648110334607E-7</v>
      </c>
      <c r="O104" s="518">
        <f>1/Fsw-(Table16[[#This Row],[t1_Ph_II]]+Table16[[#This Row],[t2_Ph_I]])</f>
        <v>7.3778250160259396E-7</v>
      </c>
      <c r="P104"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7.146735304318808</v>
      </c>
      <c r="Q104" s="292">
        <f>CHOOSE(Table16[[#This Row],[Mode Digit]],Table16[[#This Row],[I_0]]+1/Lf*(Table16[[#This Row],[Vin]]-Vout)*Table16[[#This Row],[t1_Ph_II]],Table16[[#This Row],[I_0]]+1/Lf*Table16[[#This Row],[Vin]]*Table16[[#This Row],[t1_Ph_II]],Table16[[#This Row],[I_0]]+(Table16[[#This Row],[Vin]]-Vout)/L*Table16[[#This Row],[t1_Ph_II]])</f>
        <v>10.708291572818114</v>
      </c>
      <c r="R104" s="292">
        <f>CHOOSE(Table16[[#This Row],[Mode Digit]],0,0,Table16[[#This Row],[I_1]]+Table16[[#This Row],[Vin]]/L*Table16[[#This Row],[t2_Ph_I]])</f>
        <v>13.704801985230757</v>
      </c>
      <c r="S104" s="292">
        <f>Fsw*(Table16[[#This Row],[I_0]]*Table16[[#This Row],[t1_Ph_II]]+Table16[[#This Row],[I_1]]*Table16[[#This Row],[t2_Ph_I]]+Table16[[#This Row],[I_2]]*Table16[[#This Row],[t3_Ph_III]])</f>
        <v>9.4499893380254605</v>
      </c>
      <c r="T104" s="345">
        <f>MIN(1,CHOOSE(Table16[[#This Row],[Mode Digit]],(Vout+(Rdson2+Rs+Rdcr)*Table16[[#This Row],[Iout]])/(Table16[[#This Row],[Vin]]+(Rs+Rdson2-Rdson1)*Table16[[#This Row],[Iout]]),1,Fsw*Table16[[#This Row],[t2_Ph_I]]+Table16[[#This Row],[t1_Ph_II]]))</f>
        <v>0.10601138790296311</v>
      </c>
      <c r="U104" s="345">
        <f>MIN(1,CHOOSE(Table16[[#This Row],[Mode Digit]],0,(Vout+(Rdson3+Rdcr)*Table16[[#This Row],[Iin]]-Table16[[#This Row],[Vin]])/(Vout+(Rdson3-Rdson4-Rs)*Table16[[#This Row],[Iin]]),Fsw*Table16[[#This Row],[t1_Ph_II]]+Table16[[#This Row],[t3_Ph_III]]))</f>
        <v>0.60035342266553748</v>
      </c>
      <c r="V104" s="292">
        <f>MAX(Table16[[#This Row],[I_0]:[I_2]])-MIN(Table16[[#This Row],[I_0]:[I_1]])</f>
        <v>6.5580666809119492</v>
      </c>
      <c r="W104"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9.8654748531200855</v>
      </c>
      <c r="X104" s="345">
        <f>(Table16[[#This Row],[Irms Lf]]^2*Rdcr*(1+Ltc*Ta-Ltc*25))/(1-Table16[[#This Row],[Irms Lf]]^2*Rdcr*Ltc*ThetaCa)</f>
        <v>0.31940659228910478</v>
      </c>
      <c r="Y104" s="345">
        <f>ABS(7.759*10^-3*Fsw^0.9458*(0.00787*Table16[[#This Row],[Ripple Current pk-pk]])^2.304)</f>
        <v>1.6609342964017542</v>
      </c>
      <c r="Z104" s="345">
        <f>Table16[[#This Row],[DCR    Loss]]+Table16[[#This Row],[Core Loss]]</f>
        <v>1.9803408886908589</v>
      </c>
      <c r="AA104" s="292">
        <f>IF(Table16[[#This Row],[Vin]]&gt;Vout, Table16[[#This Row],[Ripple Current pk-pk]]/SQRT(12), SQRT(Table16[[#This Row],[Duty Cycle BOOST Leg]]/(1-Table16[[#This Row],[Duty Cycle BOOST Leg]]))*SQRT(Table16[[#This Row],[Iout]]^2+(Table16[[#This Row],[Ripple Current pk-pk]]^2)/12))</f>
        <v>1.8931507817940147</v>
      </c>
      <c r="AB104" s="345">
        <f>RCoutEsr*Table16[[#This Row],[Irms Cout]]^2</f>
        <v>7.1680397652145785E-3</v>
      </c>
      <c r="AC104" s="345">
        <f>Table16[[#This Row],[Cout ESR Loss]]</f>
        <v>7.1680397652145785E-3</v>
      </c>
      <c r="AD104" s="345">
        <f>IF(Table16[[#This Row],[Vin]]&gt;Vout, SQRT(Table16[[#This Row],[Duty Cycle BUCK Leg]]*(1-Table16[[#This Row],[Duty Cycle BUCK Leg]]))*SQRT(Table16[[#This Row],[Iout]]^2+(Table16[[#This Row],[Ripple Current pk-pk]]^2)/12), Table16[[#This Row],[Ripple Current pk-pk]]/SQRT(12))</f>
        <v>2.5308375151154823</v>
      </c>
      <c r="AE104" s="345">
        <f>RCinEsr*Table16[[#This Row],[Irms Cin]]^2</f>
        <v>1.2810277055831818E-2</v>
      </c>
      <c r="AF104" s="683">
        <f>Table16[[#This Row],[Cin ESR Loss]]</f>
        <v>1.2810277055831818E-2</v>
      </c>
      <c r="AG104"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8.0223304321673599</v>
      </c>
      <c r="AH104" s="345">
        <f>Rdson1*Table16[[#This Row],[Irms BuCtrl]]^2</f>
        <v>0.22525224947007488</v>
      </c>
      <c r="AI104" s="345">
        <f>CHOOSE(Table16[[#This Row],[Mode Digit]], (Table16[[#This Row],[Vin]]*Table16[[#This Row],[Iout]]/2)*(Fsw)*(Tr_buck+Tf_buck), 0, (Table16[[#This Row],[Vin]]*Table16[[#This Row],[Avg IL]]/2)*(Fsw/1)*(Tr_buck+Tf_buck))</f>
        <v>0.71617510841571108</v>
      </c>
      <c r="AJ104" s="253">
        <f>IF(Table16[[#This Row],[Vin]]&gt;Vout, IF(Table16[[#This Row],[Iout]]&gt;Table16[[#This Row],[Ripple Current pk-pk]]/2,0,ABS(Table16[[#This Row],[Iout]]-Table16[[#This Row],[Ripple Current pk-pk]]/2)*Vsd_Q1*Deadtime*Fsw),0)</f>
        <v>0</v>
      </c>
      <c r="AK104" s="345">
        <f>(Table16[[#This Row],[Dead Time Loss BuCtrl]]+Table16[[#This Row],[Transition Loss BuCtrl]]+Table16[[#This Row],[RDS(on) Loss BuCtrl]]*(1+RdsonTopTc*Ta-RdsonTopTc*25))/(1-Table16[[#This Row],[RDS(on) Loss BuCtrl]]*RdsonTopTc*ThetaJA_Q1)</f>
        <v>0.99999250372423076</v>
      </c>
      <c r="AL104" s="345">
        <f>CHOOSE(Table16[[#This Row],[Mode Digit]],SQRT((Fsw*(Table16[[#This Row],[t2_Ph_I]]+0))*((Table16[[#This Row],[I_0]]*Table16[[#This Row],[I_1]]+((Table16[[#This Row],[I_0]]-Table16[[#This Row],[I_1]])^2)/3))),0,SQRT((Fsw*(Table16[[#This Row],[t3_Ph_III]]+0))*((Table16[[#This Row],[I_0]]*Table16[[#This Row],[I_2]]+((Table16[[#This Row],[I_0]]-Table16[[#This Row],[I_2]])^2)/3))))</f>
        <v>5.7419342137180758</v>
      </c>
      <c r="AM104" s="345">
        <f>Rdson2*Table16[[#This Row],[Irms BuSync]]^2</f>
        <v>0.11539432980133177</v>
      </c>
      <c r="AN104"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04" s="345">
        <f>(Table16[[#This Row],[Deadtime Loss BuSync]]+Table16[[#This Row],[RDS(on) Loss BuSync]]*(1+RdsonBotTc*Ta-RdsonBotTc*25))/(1-Table16[[#This Row],[RDS(on) Loss BuSync]]*RdsonBotTc*ThetaJA_Q2)</f>
        <v>0.36514974440999465</v>
      </c>
      <c r="AP104" s="345">
        <f>CHOOSE(Table16[[#This Row],[Mode Digit]],0,SQRT((Fsw*(Table16[[#This Row],[t1_Ph_II]]+0))*((Table16[[#This Row],[I_0]]*Table16[[#This Row],[I_1]]+((Table16[[#This Row],[I_0]]-Table16[[#This Row],[I_1]])^2)/3))),SQRT((Fsw*(Table16[[#This Row],[t2_Ph_I]]+0))*((Table16[[#This Row],[I_1]]*Table16[[#This Row],[I_2]]+((Table16[[#This Row],[I_1]]-Table16[[#This Row],[I_2]])^2)/3))))</f>
        <v>3.9843157159701357</v>
      </c>
      <c r="AQ104" s="345">
        <f>Rdson4*Table16[[#This Row],[Irms BoCtlr]]^2</f>
        <v>5.5561701035843153E-2</v>
      </c>
      <c r="AR104" s="345">
        <f>CHOOSE(Table16[[#This Row],[Mode Digit]], 0, (Vout*Table16[[#This Row],[Iin]]/2)*(Fsw)*(Tr_boost+Tf_boost), (Vout*Iout/2)*(Fsw/1)*(Tr_boost+Tf_boost))</f>
        <v>0.47564320886662292</v>
      </c>
      <c r="AS104" s="253">
        <f>IF(Table16[[#This Row],[Vin]]&gt;Vout, 0, IF(Table16[[#This Row],[Iin]]&gt;Table16[[#This Row],[Ripple Current pk-pk]]/2,0,ABS(Table16[[#This Row],[Iin]]-Table16[[#This Row],[Ripple Current pk-pk]]/2)*Vsd_Q4*Deadtime*Fsw))</f>
        <v>0</v>
      </c>
      <c r="AT104" s="345">
        <f>(Table16[[#This Row],[Dead Time Loss BoCtlr]]+Table16[[#This Row],[Transition Loss BoCtlr]]+Table16[[#This Row],[RDS(on) Loss BoCtlr]]*(1+RdsonTopTc*Ta-RdsonTopTc*25))/(1-Table16[[#This Row],[RDS(on) Loss BoCtlr]]*RdsonTopTc*ThetaJA_Q4)</f>
        <v>0.53899119955401442</v>
      </c>
      <c r="AU104"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9.0251217361882805</v>
      </c>
      <c r="AV104" s="345">
        <f>Rdson3*Table16[[#This Row],[Irms BoSync]]^2</f>
        <v>0.28508487823556355</v>
      </c>
      <c r="AW104"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0.19861208576998046</v>
      </c>
      <c r="AX104" s="345">
        <f>(Table16[[#This Row],[Deadtime Loss BoSync]]+Table16[[#This Row],[RDS(on) Loss BoSync]]*(1+RdsonBotTc*Ta-RdsonBotTc*25))/(1-Table16[[#This Row],[RDS(on) Loss BoSync]]*RdsonBotTc*ThetaJA_Q3)</f>
        <v>0.52241980013388845</v>
      </c>
      <c r="AY104" s="345">
        <f>CHOOSE(Table16[[#This Row],[Mode Digit]], Rdson3*Table16[[#This Row],[Irms Lf]]^2, Rdson1*Table16[[#This Row],[Irms Lf]]^2, 0)</f>
        <v>0</v>
      </c>
      <c r="AZ104" s="345">
        <f>CHOOSE(Table16[[#This Row],[Mode Digit]], 2*Deadtime*Fsw*IF(VfdSky_Q2&gt;0,VfdSky_Q2,0)*Table16[[#This Row],[Iout]], 2*Deadtime*Fsw*IF(VfdSky_Q3&gt;0,VfdSky_Q3,0)*Table16[[#This Row],[Iin]], 2*Deadtime*Fsw*IF(VfdSky_Q2&gt;0,VfdSky_Q2,0)*Table16[[#This Row],[Iout]]+2*Deadtime*Fsw*IF(VfdSky_Q3&gt;0,VfdSky_Q3,0)*Table16[[#This Row],[Iin]])</f>
        <v>0</v>
      </c>
      <c r="BA104" s="345">
        <f>CHOOSE(Table16[[#This Row],[Mode Digit]], IF(QrrSky_Q2&gt;0,QrrSky_Q2,Qrr_Q2)*Fsw*(Table16[[#This Row],[Vin]]-Table16[[#This Row],[Iout]]*Rdson1),0,  IF(QrrSky_Q2&gt;0,QrrSky_Q2,Qrr_Q2)*Fsw*(Table16[[#This Row],[Vin]]-Table16[[#This Row],[Iout]]*Rdson1)+IF(QrrSky_Q3&gt;0,QrrSky_Q3,Qrr_Q3)*Fsw*Vout)</f>
        <v>0.71878401999999997</v>
      </c>
      <c r="BB104" s="345">
        <f>CHOOSE(Table16[[#This Row],[Mode Digit]],0, IF(QrrSky_Q3&gt;0,QrrSky_Q3,Qrr_Q3)*Fsw*Vout,  IF(QrrSky_Q2&gt;0,QrrSky_Q2,Qrr_Q2)*Fsw*(Table16[[#This Row],[Vin]]-Table16[[#This Row],[Iout]]*Rdson1)+IF(QrrSky_Q3&gt;0,QrrSky_Q3,Qrr_Q3)*Fsw*Vout)</f>
        <v>0.71878401999999997</v>
      </c>
      <c r="BC104" s="345">
        <f>CHOOSE(Table16[[#This Row],[Mode Digit]], Rs*Table16[[#This Row],[Irms BuSync]]^2, Rs*Table16[[#This Row],[Irms BoCtlr]]^2, Rs*(Table16[[#This Row],[Irms BuSync]]^2+Table16[[#This Row],[Irms BoCtlr]]^2))</f>
        <v>6.3497954310950691E-2</v>
      </c>
      <c r="BD104" s="345">
        <f t="shared" si="5"/>
        <v>0.64</v>
      </c>
      <c r="BE104" s="345">
        <f>IF(Vout&gt;8, Iq*Vout, Iq*Table16[[#This Row],[Vin]])</f>
        <v>4.8000000000000001E-2</v>
      </c>
      <c r="BF104" s="345">
        <f>CHOOSE(Table16[[#This Row],[Mode Digit]], (Qg_Q1+Qg_Q2)*Fsw, (Qg_Q3+Qg_Q4)*Fsw, (Qg_Q1+Qg_Q2+Qg_Q3+Qg_Q4)*Fsw)*IF(Vout&gt;8, Vout, Table16[[#This Row],[Vin]])</f>
        <v>1.7066240000000001</v>
      </c>
      <c r="BG104" s="345">
        <f t="shared" si="6"/>
        <v>0.50594479787234037</v>
      </c>
      <c r="BH104" s="345">
        <f>Table16[[#This Row],[IQ Loss]]+Table16[[#This Row],[Switching Current Loss]]</f>
        <v>1.7546240000000002</v>
      </c>
      <c r="BI104"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8.3225624476449838</v>
      </c>
      <c r="BJ104" s="253">
        <f>Vout*Table16[[#This Row],[Iout]]</f>
        <v>128</v>
      </c>
      <c r="BK104" s="684">
        <f>Table16[[#This Row],[Pout]]/(Table16[[#This Row],[Pout]]+Table16[[#This Row],[Total Loss]])</f>
        <v>0.93894948643705767</v>
      </c>
      <c r="BL104"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111.720474042075</v>
      </c>
      <c r="BM104" s="685">
        <f>IF(Table16[[#This Row],[Vin]]&gt;Vout, Table16[[#This Row],[Total Sync Bu MOSFET Loss]]*ThetaJA_Q2, ThetaJA_Q3*Table16[[#This Row],[Total Sync Bo MOSFET Loss]])</f>
        <v>23.734733386649651</v>
      </c>
      <c r="BN104" s="640"/>
      <c r="BO104" s="292">
        <f>Table16[[#This Row],[EFF, h]]*100</f>
        <v>93.89494864370576</v>
      </c>
      <c r="BP104" s="345">
        <f>Table16[[#This Row],[Total Inductor Loss]]</f>
        <v>1.9803408886908589</v>
      </c>
      <c r="BQ104" s="345">
        <f>Table16[[#This Row],[Total Control Bu MOSFET Loss]]+Table16[[#This Row],[Total Sync Bu MOSFET Loss]]+Table16[[#This Row],[Total Control Bo MOSFET Loss]]+Table16[[#This Row],[Total Sync Bo MOSFET Loss]]+Table16[[#This Row],[Reverse Recovery Loss MOSFET D BUCK]]+Table16[[#This Row],[Reverse Recovery Loss MOSFET D BOOST]]</f>
        <v>3.8641212878221287</v>
      </c>
      <c r="BR104" s="345">
        <f>Table16[[#This Row],[Total Control Bu MOSFET Loss]]+Table16[[#This Row],[Reverse Recovery Loss MOSFET D BUCK]]*0.66</f>
        <v>1.4743899569242307</v>
      </c>
      <c r="BS104" s="345">
        <f>Table16[[#This Row],[Total Sync Bu MOSFET Loss]]+Table16[[#This Row],[Reverse Recovery Loss MOSFET D BUCK]]*0.33</f>
        <v>0.60234847100999467</v>
      </c>
      <c r="BT104" s="345">
        <f xml:space="preserve"> Table16[[#This Row],[Total Control Bo MOSFET Loss]]+Table16[[#This Row],[Reverse Recovery Loss MOSFET D BOOST]]*0.66</f>
        <v>1.0133886527540144</v>
      </c>
      <c r="BU104" s="345">
        <f xml:space="preserve"> Table16[[#This Row],[Total Sync Bo MOSFET Loss]]+Table16[[#This Row],[Reverse Recovery Loss MOSFET D BOOST]]*0.33</f>
        <v>0.75961852673388841</v>
      </c>
      <c r="BV104" s="345">
        <f>Table16[[#This Row],[Isense Shunt Loss]]</f>
        <v>6.3497954310950691E-2</v>
      </c>
      <c r="CB104" s="686"/>
      <c r="CC104" s="686"/>
    </row>
    <row r="105" spans="7:81" x14ac:dyDescent="0.2">
      <c r="G105" s="253">
        <v>96</v>
      </c>
      <c r="H105" s="286">
        <f>VIN_min+(VIN_max-VIN_min)*(Table16[[#This Row],[Step]]/200)</f>
        <v>20.399999999999999</v>
      </c>
      <c r="I105" s="292" t="str">
        <f>IF(Mode = 2,IF(Table16[[#This Row],[Vin]]&gt;Vout, "BUCK","BOOST"),IF(Table16[[#This Row],[Vin]]&gt;VIN_BB_to_buck, "BUCK", IF(Table16[[#This Row],[Vin]]&lt;=VIN_boost_to_BB,"BOOST","BUCK-BST")))</f>
        <v>BUCK-BST</v>
      </c>
      <c r="J105" s="253">
        <f>IF(Table16[[#This Row],[Mode]]="BOOST",2, IF(Table16[[#This Row],[Mode]]="BUCK", 1,3))</f>
        <v>3</v>
      </c>
      <c r="K105" s="253">
        <f t="shared" si="4"/>
        <v>8</v>
      </c>
      <c r="L105" s="292">
        <f>Vout*Table16[[#This Row],[Iout]]/(Table16[[#This Row],[Vin]]*Efficiency)</f>
        <v>6.6047471620227043</v>
      </c>
      <c r="M105" s="682">
        <f>MIN(1/Fsw,CHOOSE(Table16[[#This Row],[Mode Digit]],(Vout+(Rdson2+Rs+Rdcr)*Table16[[#This Row],[Iout]])/(Table16[[#This Row],[Vin]]+(Rs+Rdson2-Rdson1)*Table16[[#This Row],[Iout]])/Fsw,(Vout+(Rdson3+Rdcr)*Table16[[#This Row],[Iin]]-Table16[[#This Row],[Vin]])/(Vout+(Rdson3-Rdson4-Rs)*Table16[[#This Row],[Iin]])/Fsw,t1_Ph_II))</f>
        <v>1.5084238313644118E-6</v>
      </c>
      <c r="N105" s="518">
        <f>CHOOSE(Table16[[#This Row],[Mode Digit]],1/Fsw-Table16[[#This Row],[t1_Ph_II]],1/Fsw-Table16[[#This Row],[t1_Ph_II]],(Vout/Fsw-Table16[[#This Row],[Vin]]*t1_Ph_II)/(Table16[[#This Row],[Vin]]+Vout))</f>
        <v>2.5904282596955028E-7</v>
      </c>
      <c r="O105" s="518">
        <f>1/Fsw-(Table16[[#This Row],[t1_Ph_II]]+Table16[[#This Row],[t2_Ph_I]])</f>
        <v>7.450961567363898E-7</v>
      </c>
      <c r="P105"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7.0600815966109396</v>
      </c>
      <c r="Q105" s="292">
        <f>CHOOSE(Table16[[#This Row],[Mode Digit]],Table16[[#This Row],[I_0]]+1/Lf*(Table16[[#This Row],[Vin]]-Vout)*Table16[[#This Row],[t1_Ph_II]],Table16[[#This Row],[I_0]]+1/Lf*Table16[[#This Row],[Vin]]*Table16[[#This Row],[t1_Ph_II]],Table16[[#This Row],[I_0]]+(Table16[[#This Row],[Vin]]-Vout)/L*Table16[[#This Row],[t1_Ph_II]])</f>
        <v>10.747339851057278</v>
      </c>
      <c r="R105" s="292">
        <f>CHOOSE(Table16[[#This Row],[Mode Digit]],0,0,Table16[[#This Row],[I_1]]+Table16[[#This Row],[Vin]]/L*Table16[[#This Row],[t2_Ph_I]])</f>
        <v>13.683158545378848</v>
      </c>
      <c r="S105" s="292">
        <f>Fsw*(Table16[[#This Row],[I_0]]*Table16[[#This Row],[t1_Ph_II]]+Table16[[#This Row],[I_1]]*Table16[[#This Row],[t2_Ph_I]]+Table16[[#This Row],[I_2]]*Table16[[#This Row],[t3_Ph_III]])</f>
        <v>9.4042964140967928</v>
      </c>
      <c r="T105" s="345">
        <f>MIN(1,CHOOSE(Table16[[#This Row],[Mode Digit]],(Vout+(Rdson2+Rs+Rdcr)*Table16[[#This Row],[Iout]])/(Table16[[#This Row],[Vin]]+(Rs+Rdson2-Rdson1)*Table16[[#This Row],[Iout]]),1,Fsw*Table16[[#This Row],[t2_Ph_I]]+Table16[[#This Row],[t1_Ph_II]]))</f>
        <v>0.10310055315971238</v>
      </c>
      <c r="U105" s="345">
        <f>MIN(1,CHOOSE(Table16[[#This Row],[Mode Digit]],0,(Vout+(Rdson3+Rdcr)*Table16[[#This Row],[Iin]]-Table16[[#This Row],[Vin]])/(Vout+(Rdson3-Rdson4-Rs)*Table16[[#This Row],[Iin]]),Fsw*Table16[[#This Row],[t1_Ph_II]]+Table16[[#This Row],[t3_Ph_III]]))</f>
        <v>0.60035342997919261</v>
      </c>
      <c r="V105" s="292">
        <f>MAX(Table16[[#This Row],[I_0]:[I_2]])-MIN(Table16[[#This Row],[I_0]:[I_1]])</f>
        <v>6.6230769487679089</v>
      </c>
      <c r="W105"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9.8343961351622351</v>
      </c>
      <c r="X105" s="345">
        <f>(Table16[[#This Row],[Irms Lf]]^2*Rdcr*(1+Ltc*Ta-Ltc*25))/(1-Table16[[#This Row],[Irms Lf]]^2*Rdcr*Ltc*ThetaCa)</f>
        <v>0.31734633020021957</v>
      </c>
      <c r="Y105" s="345">
        <f>ABS(7.759*10^-3*Fsw^0.9458*(0.00787*Table16[[#This Row],[Ripple Current pk-pk]])^2.304)</f>
        <v>1.6991148121910311</v>
      </c>
      <c r="Z105" s="345">
        <f>Table16[[#This Row],[DCR    Loss]]+Table16[[#This Row],[Core Loss]]</f>
        <v>2.0164611423912508</v>
      </c>
      <c r="AA105" s="292">
        <f>IF(Table16[[#This Row],[Vin]]&gt;Vout, Table16[[#This Row],[Ripple Current pk-pk]]/SQRT(12), SQRT(Table16[[#This Row],[Duty Cycle BOOST Leg]]/(1-Table16[[#This Row],[Duty Cycle BOOST Leg]]))*SQRT(Table16[[#This Row],[Iout]]^2+(Table16[[#This Row],[Ripple Current pk-pk]]^2)/12))</f>
        <v>1.9119176296173788</v>
      </c>
      <c r="AB105" s="345">
        <f>RCoutEsr*Table16[[#This Row],[Irms Cout]]^2</f>
        <v>7.3108580448834727E-3</v>
      </c>
      <c r="AC105" s="345">
        <f>Table16[[#This Row],[Cout ESR Loss]]</f>
        <v>7.3108580448834727E-3</v>
      </c>
      <c r="AD105" s="345">
        <f>IF(Table16[[#This Row],[Vin]]&gt;Vout, SQRT(Table16[[#This Row],[Duty Cycle BUCK Leg]]*(1-Table16[[#This Row],[Duty Cycle BUCK Leg]]))*SQRT(Table16[[#This Row],[Iout]]^2+(Table16[[#This Row],[Ripple Current pk-pk]]^2)/12), Table16[[#This Row],[Ripple Current pk-pk]]/SQRT(12))</f>
        <v>2.501230420148759</v>
      </c>
      <c r="AE105" s="345">
        <f>RCinEsr*Table16[[#This Row],[Irms Cin]]^2</f>
        <v>1.2512307229355075E-2</v>
      </c>
      <c r="AF105" s="683">
        <f>Table16[[#This Row],[Cin ESR Loss]]</f>
        <v>1.2512307229355075E-2</v>
      </c>
      <c r="AG105"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7.9832004616594929</v>
      </c>
      <c r="AH105" s="345">
        <f>Rdson1*Table16[[#This Row],[Irms BuCtrl]]^2</f>
        <v>0.22306021363864117</v>
      </c>
      <c r="AI105" s="345">
        <f>CHOOSE(Table16[[#This Row],[Mode Digit]], (Table16[[#This Row],[Vin]]*Table16[[#This Row],[Iout]]/2)*(Fsw)*(Tr_buck+Tf_buck), 0, (Table16[[#This Row],[Vin]]*Table16[[#This Row],[Avg IL]]/2)*(Fsw/1)*(Tr_buck+Tf_buck))</f>
        <v>0.71799158298163068</v>
      </c>
      <c r="AJ105" s="253">
        <f>IF(Table16[[#This Row],[Vin]]&gt;Vout, IF(Table16[[#This Row],[Iout]]&gt;Table16[[#This Row],[Ripple Current pk-pk]]/2,0,ABS(Table16[[#This Row],[Iout]]-Table16[[#This Row],[Ripple Current pk-pk]]/2)*Vsd_Q1*Deadtime*Fsw),0)</f>
        <v>0</v>
      </c>
      <c r="AK105" s="345">
        <f>(Table16[[#This Row],[Dead Time Loss BuCtrl]]+Table16[[#This Row],[Transition Loss BuCtrl]]+Table16[[#This Row],[RDS(on) Loss BuCtrl]]*(1+RdsonTopTc*Ta-RdsonTopTc*25))/(1-Table16[[#This Row],[RDS(on) Loss BuCtrl]]*RdsonTopTc*ThetaJA_Q1)</f>
        <v>0.99898880738789619</v>
      </c>
      <c r="AL105" s="345">
        <f>CHOOSE(Table16[[#This Row],[Mode Digit]],SQRT((Fsw*(Table16[[#This Row],[t2_Ph_I]]+0))*((Table16[[#This Row],[I_0]]*Table16[[#This Row],[I_1]]+((Table16[[#This Row],[I_0]]-Table16[[#This Row],[I_1]])^2)/3))),0,SQRT((Fsw*(Table16[[#This Row],[t3_Ph_III]]+0))*((Table16[[#This Row],[I_0]]*Table16[[#This Row],[I_2]]+((Table16[[#This Row],[I_0]]-Table16[[#This Row],[I_2]])^2)/3))))</f>
        <v>5.7431574706126218</v>
      </c>
      <c r="AM105" s="345">
        <f>Rdson2*Table16[[#This Row],[Irms BuSync]]^2</f>
        <v>0.11544350206288749</v>
      </c>
      <c r="AN105"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05" s="345">
        <f>(Table16[[#This Row],[Deadtime Loss BuSync]]+Table16[[#This Row],[RDS(on) Loss BuSync]]*(1+RdsonBotTc*Ta-RdsonBotTc*25))/(1-Table16[[#This Row],[RDS(on) Loss BuSync]]*RdsonBotTc*ThetaJA_Q2)</f>
        <v>0.36520525108366975</v>
      </c>
      <c r="AP105" s="345">
        <f>CHOOSE(Table16[[#This Row],[Mode Digit]],0,SQRT((Fsw*(Table16[[#This Row],[t1_Ph_II]]+0))*((Table16[[#This Row],[I_0]]*Table16[[#This Row],[I_1]]+((Table16[[#This Row],[I_0]]-Table16[[#This Row],[I_1]])^2)/3))),SQRT((Fsw*(Table16[[#This Row],[t2_Ph_I]]+0))*((Table16[[#This Row],[I_1]]*Table16[[#This Row],[I_2]]+((Table16[[#This Row],[I_1]]-Table16[[#This Row],[I_2]])^2)/3))))</f>
        <v>3.9316279184604275</v>
      </c>
      <c r="AQ105" s="345">
        <f>Rdson4*Table16[[#This Row],[Irms BoCtlr]]^2</f>
        <v>5.4101943312261154E-2</v>
      </c>
      <c r="AR105" s="345">
        <f>CHOOSE(Table16[[#This Row],[Mode Digit]], 0, (Vout*Table16[[#This Row],[Iin]]/2)*(Fsw)*(Tr_boost+Tf_boost), (Vout*Iout/2)*(Fsw/1)*(Tr_boost+Tf_boost))</f>
        <v>0.47564320886662292</v>
      </c>
      <c r="AS105" s="253">
        <f>IF(Table16[[#This Row],[Vin]]&gt;Vout, 0, IF(Table16[[#This Row],[Iin]]&gt;Table16[[#This Row],[Ripple Current pk-pk]]/2,0,ABS(Table16[[#This Row],[Iin]]-Table16[[#This Row],[Ripple Current pk-pk]]/2)*Vsd_Q4*Deadtime*Fsw))</f>
        <v>0</v>
      </c>
      <c r="AT105" s="345">
        <f>(Table16[[#This Row],[Dead Time Loss BoCtlr]]+Table16[[#This Row],[Transition Loss BoCtlr]]+Table16[[#This Row],[RDS(on) Loss BoCtlr]]*(1+RdsonTopTc*Ta-RdsonTopTc*25))/(1-Table16[[#This Row],[RDS(on) Loss BoCtlr]]*RdsonTopTc*ThetaJA_Q4)</f>
        <v>0.53730312947651826</v>
      </c>
      <c r="AU105"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9.0143024829476648</v>
      </c>
      <c r="AV105" s="345">
        <f>Rdson3*Table16[[#This Row],[Irms BoSync]]^2</f>
        <v>0.28440177238926756</v>
      </c>
      <c r="AW105"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0.1971517027863777</v>
      </c>
      <c r="AX105" s="345">
        <f>(Table16[[#This Row],[Deadtime Loss BoSync]]+Table16[[#This Row],[RDS(on) Loss BoSync]]*(1+RdsonBotTc*Ta-RdsonBotTc*25))/(1-Table16[[#This Row],[RDS(on) Loss BoSync]]*RdsonBotTc*ThetaJA_Q3)</f>
        <v>0.52000496169233901</v>
      </c>
      <c r="AY105" s="345">
        <f>CHOOSE(Table16[[#This Row],[Mode Digit]], Rdson3*Table16[[#This Row],[Irms Lf]]^2, Rdson1*Table16[[#This Row],[Irms Lf]]^2, 0)</f>
        <v>0</v>
      </c>
      <c r="AZ105" s="345">
        <f>CHOOSE(Table16[[#This Row],[Mode Digit]], 2*Deadtime*Fsw*IF(VfdSky_Q2&gt;0,VfdSky_Q2,0)*Table16[[#This Row],[Iout]], 2*Deadtime*Fsw*IF(VfdSky_Q3&gt;0,VfdSky_Q3,0)*Table16[[#This Row],[Iin]], 2*Deadtime*Fsw*IF(VfdSky_Q2&gt;0,VfdSky_Q2,0)*Table16[[#This Row],[Iout]]+2*Deadtime*Fsw*IF(VfdSky_Q3&gt;0,VfdSky_Q3,0)*Table16[[#This Row],[Iin]])</f>
        <v>0</v>
      </c>
      <c r="BA105" s="345">
        <f>CHOOSE(Table16[[#This Row],[Mode Digit]], IF(QrrSky_Q2&gt;0,QrrSky_Q2,Qrr_Q2)*Fsw*(Table16[[#This Row],[Vin]]-Table16[[#This Row],[Iout]]*Rdson1),0,  IF(QrrSky_Q2&gt;0,QrrSky_Q2,Qrr_Q2)*Fsw*(Table16[[#This Row],[Vin]]-Table16[[#This Row],[Iout]]*Rdson1)+IF(QrrSky_Q3&gt;0,QrrSky_Q3,Qrr_Q3)*Fsw*Vout)</f>
        <v>0.72147052</v>
      </c>
      <c r="BB105" s="345">
        <f>CHOOSE(Table16[[#This Row],[Mode Digit]],0, IF(QrrSky_Q3&gt;0,QrrSky_Q3,Qrr_Q3)*Fsw*Vout,  IF(QrrSky_Q2&gt;0,QrrSky_Q2,Qrr_Q2)*Fsw*(Table16[[#This Row],[Vin]]-Table16[[#This Row],[Iout]]*Rdson1)+IF(QrrSky_Q3&gt;0,QrrSky_Q3,Qrr_Q3)*Fsw*Vout)</f>
        <v>0.72147052</v>
      </c>
      <c r="BC105" s="345">
        <f>CHOOSE(Table16[[#This Row],[Mode Digit]], Rs*Table16[[#This Row],[Irms BuSync]]^2, Rs*Table16[[#This Row],[Irms BoCtlr]]^2, Rs*(Table16[[#This Row],[Irms BuSync]]^2+Table16[[#This Row],[Irms BoCtlr]]^2))</f>
        <v>6.2974022567912347E-2</v>
      </c>
      <c r="BD105" s="345">
        <f t="shared" si="5"/>
        <v>0.64</v>
      </c>
      <c r="BE105" s="345">
        <f>IF(Vout&gt;8, Iq*Vout, Iq*Table16[[#This Row],[Vin]])</f>
        <v>4.8000000000000001E-2</v>
      </c>
      <c r="BF105" s="345">
        <f>CHOOSE(Table16[[#This Row],[Mode Digit]], (Qg_Q1+Qg_Q2)*Fsw, (Qg_Q3+Qg_Q4)*Fsw, (Qg_Q1+Qg_Q2+Qg_Q3+Qg_Q4)*Fsw)*IF(Vout&gt;8, Vout, Table16[[#This Row],[Vin]])</f>
        <v>1.7066240000000001</v>
      </c>
      <c r="BG105" s="345">
        <f t="shared" si="6"/>
        <v>0.50594479787234037</v>
      </c>
      <c r="BH105" s="345">
        <f>Table16[[#This Row],[IQ Loss]]+Table16[[#This Row],[Switching Current Loss]]</f>
        <v>1.7546240000000002</v>
      </c>
      <c r="BI105"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8.3583255198738264</v>
      </c>
      <c r="BJ105" s="253">
        <f>Vout*Table16[[#This Row],[Iout]]</f>
        <v>128</v>
      </c>
      <c r="BK105" s="684">
        <f>Table16[[#This Row],[Pout]]/(Table16[[#This Row],[Pout]]+Table16[[#This Row],[Total Loss]])</f>
        <v>0.93870322557858321</v>
      </c>
      <c r="BL105"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111.82985628021326</v>
      </c>
      <c r="BM105" s="685">
        <f>IF(Table16[[#This Row],[Vin]]&gt;Vout, Table16[[#This Row],[Total Sync Bu MOSFET Loss]]*ThetaJA_Q2, ThetaJA_Q3*Table16[[#This Row],[Total Sync Bo MOSFET Loss]])</f>
        <v>23.738341320438533</v>
      </c>
      <c r="BN105" s="640"/>
      <c r="BO105" s="292">
        <f>Table16[[#This Row],[EFF, h]]*100</f>
        <v>93.870322557858316</v>
      </c>
      <c r="BP105" s="345">
        <f>Table16[[#This Row],[Total Inductor Loss]]</f>
        <v>2.0164611423912508</v>
      </c>
      <c r="BQ105" s="345">
        <f>Table16[[#This Row],[Total Control Bu MOSFET Loss]]+Table16[[#This Row],[Total Sync Bu MOSFET Loss]]+Table16[[#This Row],[Total Control Bo MOSFET Loss]]+Table16[[#This Row],[Total Sync Bo MOSFET Loss]]+Table16[[#This Row],[Reverse Recovery Loss MOSFET D BUCK]]+Table16[[#This Row],[Reverse Recovery Loss MOSFET D BOOST]]</f>
        <v>3.864443189640423</v>
      </c>
      <c r="BR105" s="345">
        <f>Table16[[#This Row],[Total Control Bu MOSFET Loss]]+Table16[[#This Row],[Reverse Recovery Loss MOSFET D BUCK]]*0.66</f>
        <v>1.4751593505878962</v>
      </c>
      <c r="BS105" s="345">
        <f>Table16[[#This Row],[Total Sync Bu MOSFET Loss]]+Table16[[#This Row],[Reverse Recovery Loss MOSFET D BUCK]]*0.33</f>
        <v>0.60329052268366978</v>
      </c>
      <c r="BT105" s="345">
        <f xml:space="preserve"> Table16[[#This Row],[Total Control Bo MOSFET Loss]]+Table16[[#This Row],[Reverse Recovery Loss MOSFET D BOOST]]*0.66</f>
        <v>1.0134736726765183</v>
      </c>
      <c r="BU105" s="345">
        <f xml:space="preserve"> Table16[[#This Row],[Total Sync Bo MOSFET Loss]]+Table16[[#This Row],[Reverse Recovery Loss MOSFET D BOOST]]*0.33</f>
        <v>0.75809023329233904</v>
      </c>
      <c r="BV105" s="345">
        <f>Table16[[#This Row],[Isense Shunt Loss]]</f>
        <v>6.2974022567912347E-2</v>
      </c>
      <c r="CB105" s="686"/>
      <c r="CC105" s="686"/>
    </row>
    <row r="106" spans="7:81" x14ac:dyDescent="0.2">
      <c r="G106" s="253">
        <v>97</v>
      </c>
      <c r="H106" s="286">
        <f>VIN_min+(VIN_max-VIN_min)*(Table16[[#This Row],[Step]]/200)</f>
        <v>20.549999999999997</v>
      </c>
      <c r="I106" s="292" t="str">
        <f>IF(Mode = 2,IF(Table16[[#This Row],[Vin]]&gt;Vout, "BUCK","BOOST"),IF(Table16[[#This Row],[Vin]]&gt;VIN_BB_to_buck, "BUCK", IF(Table16[[#This Row],[Vin]]&lt;=VIN_boost_to_BB,"BOOST","BUCK-BST")))</f>
        <v>BUCK-BST</v>
      </c>
      <c r="J106" s="253">
        <f>IF(Table16[[#This Row],[Mode]]="BOOST",2, IF(Table16[[#This Row],[Mode]]="BUCK", 1,3))</f>
        <v>3</v>
      </c>
      <c r="K106" s="253">
        <f t="shared" si="4"/>
        <v>8</v>
      </c>
      <c r="L106" s="292">
        <f>Vout*Table16[[#This Row],[Iout]]/(Table16[[#This Row],[Vin]]*Efficiency)</f>
        <v>6.5565373287232687</v>
      </c>
      <c r="M106" s="682">
        <f>MIN(1/Fsw,CHOOSE(Table16[[#This Row],[Mode Digit]],(Vout+(Rdson2+Rs+Rdcr)*Table16[[#This Row],[Iout]])/(Table16[[#This Row],[Vin]]+(Rs+Rdson2-Rdson1)*Table16[[#This Row],[Iout]])/Fsw,(Vout+(Rdson3+Rdcr)*Table16[[#This Row],[Iin]]-Table16[[#This Row],[Vin]])/(Vout+(Rdson3-Rdson4-Rs)*Table16[[#This Row],[Iin]])/Fsw,t1_Ph_II))</f>
        <v>1.5084238313644118E-6</v>
      </c>
      <c r="N106" s="518">
        <f>CHOOSE(Table16[[#This Row],[Mode Digit]],1/Fsw-Table16[[#This Row],[t1_Ph_II]],1/Fsw-Table16[[#This Row],[t1_Ph_II]],(Vout/Fsw-Table16[[#This Row],[Vin]]*t1_Ph_II)/(Table16[[#This Row],[Vin]]+Vout))</f>
        <v>2.5178920083685285E-7</v>
      </c>
      <c r="O106" s="518">
        <f>1/Fsw-(Table16[[#This Row],[t1_Ph_II]]+Table16[[#This Row],[t2_Ph_I]])</f>
        <v>7.5234978186908718E-7</v>
      </c>
      <c r="P106"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6.9741409778787036</v>
      </c>
      <c r="Q106" s="292">
        <f>CHOOSE(Table16[[#This Row],[Mode Digit]],Table16[[#This Row],[I_0]]+1/Lf*(Table16[[#This Row],[Vin]]-Vout)*Table16[[#This Row],[t1_Ph_II]],Table16[[#This Row],[I_0]]+1/Lf*Table16[[#This Row],[Vin]]*Table16[[#This Row],[t1_Ph_II]],Table16[[#This Row],[I_0]]+(Table16[[#This Row],[Vin]]-Vout)/L*Table16[[#This Row],[t1_Ph_II]])</f>
        <v>10.787101218272076</v>
      </c>
      <c r="R106" s="292">
        <f>CHOOSE(Table16[[#This Row],[Mode Digit]],0,0,Table16[[#This Row],[I_1]]+Table16[[#This Row],[Vin]]/L*Table16[[#This Row],[t2_Ph_I]])</f>
        <v>13.661694594492811</v>
      </c>
      <c r="S106" s="292">
        <f>Fsw*(Table16[[#This Row],[I_0]]*Table16[[#This Row],[t1_Ph_II]]+Table16[[#This Row],[I_1]]*Table16[[#This Row],[t2_Ph_I]]+Table16[[#This Row],[I_2]]*Table16[[#This Row],[t3_Ph_III]])</f>
        <v>9.3587347810253227</v>
      </c>
      <c r="T106" s="345">
        <f>MIN(1,CHOOSE(Table16[[#This Row],[Mode Digit]],(Vout+(Rdson2+Rs+Rdcr)*Table16[[#This Row],[Iout]])/(Table16[[#This Row],[Vin]]+(Rs+Rdson2-Rdson1)*Table16[[#This Row],[Iout]]),1,Fsw*Table16[[#This Row],[t2_Ph_I]]+Table16[[#This Row],[t1_Ph_II]]))</f>
        <v>0.1002136103568988</v>
      </c>
      <c r="U106" s="345">
        <f>MIN(1,CHOOSE(Table16[[#This Row],[Mode Digit]],0,(Vout+(Rdson3+Rdcr)*Table16[[#This Row],[Iin]]-Table16[[#This Row],[Vin]])/(Vout+(Rdson3-Rdson4-Rs)*Table16[[#This Row],[Iin]]),Fsw*Table16[[#This Row],[t1_Ph_II]]+Table16[[#This Row],[t3_Ph_III]]))</f>
        <v>0.60035343723281775</v>
      </c>
      <c r="V106" s="292">
        <f>MAX(Table16[[#This Row],[I_0]:[I_2]])-MIN(Table16[[#This Row],[I_0]:[I_1]])</f>
        <v>6.6875536166141076</v>
      </c>
      <c r="W106"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9.803693563249654</v>
      </c>
      <c r="X106" s="345">
        <f>(Table16[[#This Row],[Irms Lf]]^2*Rdcr*(1+Ltc*Ta-Ltc*25))/(1-Table16[[#This Row],[Irms Lf]]^2*Rdcr*Ltc*ThetaCa)</f>
        <v>0.31531803362837224</v>
      </c>
      <c r="Y106" s="345">
        <f>ABS(7.759*10^-3*Fsw^0.9458*(0.00787*Table16[[#This Row],[Ripple Current pk-pk]])^2.304)</f>
        <v>1.7374677447525568</v>
      </c>
      <c r="Z106" s="345">
        <f>Table16[[#This Row],[DCR    Loss]]+Table16[[#This Row],[Core Loss]]</f>
        <v>2.0527857783809291</v>
      </c>
      <c r="AA106" s="292">
        <f>IF(Table16[[#This Row],[Vin]]&gt;Vout, Table16[[#This Row],[Ripple Current pk-pk]]/SQRT(12), SQRT(Table16[[#This Row],[Duty Cycle BOOST Leg]]/(1-Table16[[#This Row],[Duty Cycle BOOST Leg]]))*SQRT(Table16[[#This Row],[Iout]]^2+(Table16[[#This Row],[Ripple Current pk-pk]]^2)/12))</f>
        <v>1.9305304403861052</v>
      </c>
      <c r="AB106" s="345">
        <f>RCoutEsr*Table16[[#This Row],[Irms Cout]]^2</f>
        <v>7.4538955625147391E-3</v>
      </c>
      <c r="AC106" s="345">
        <f>Table16[[#This Row],[Cout ESR Loss]]</f>
        <v>7.4538955625147391E-3</v>
      </c>
      <c r="AD106" s="345">
        <f>IF(Table16[[#This Row],[Vin]]&gt;Vout, SQRT(Table16[[#This Row],[Duty Cycle BUCK Leg]]*(1-Table16[[#This Row],[Duty Cycle BUCK Leg]]))*SQRT(Table16[[#This Row],[Iout]]^2+(Table16[[#This Row],[Ripple Current pk-pk]]^2)/12), Table16[[#This Row],[Ripple Current pk-pk]]/SQRT(12))</f>
        <v>2.4712336902777916</v>
      </c>
      <c r="AE106" s="345">
        <f>RCinEsr*Table16[[#This Row],[Irms Cin]]^2</f>
        <v>1.2213991903927985E-2</v>
      </c>
      <c r="AF106" s="683">
        <f>Table16[[#This Row],[Cin ESR Loss]]</f>
        <v>1.2213991903927985E-2</v>
      </c>
      <c r="AG106"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7.9447294936340995</v>
      </c>
      <c r="AH106" s="345">
        <f>Rdson1*Table16[[#This Row],[Irms BuCtrl]]^2</f>
        <v>0.22091554354456838</v>
      </c>
      <c r="AI106" s="345">
        <f>CHOOSE(Table16[[#This Row],[Mode Digit]], (Table16[[#This Row],[Vin]]*Table16[[#This Row],[Iout]]/2)*(Fsw)*(Tr_buck+Tf_buck), 0, (Table16[[#This Row],[Vin]]*Table16[[#This Row],[Avg IL]]/2)*(Fsw/1)*(Tr_buck+Tf_buck))</f>
        <v>0.71976685308241795</v>
      </c>
      <c r="AJ106" s="253">
        <f>IF(Table16[[#This Row],[Vin]]&gt;Vout, IF(Table16[[#This Row],[Iout]]&gt;Table16[[#This Row],[Ripple Current pk-pk]]/2,0,ABS(Table16[[#This Row],[Iout]]-Table16[[#This Row],[Ripple Current pk-pk]]/2)*Vsd_Q1*Deadtime*Fsw),0)</f>
        <v>0</v>
      </c>
      <c r="AK106" s="345">
        <f>(Table16[[#This Row],[Dead Time Loss BuCtrl]]+Table16[[#This Row],[Transition Loss BuCtrl]]+Table16[[#This Row],[RDS(on) Loss BuCtrl]]*(1+RdsonTopTc*Ta-RdsonTopTc*25))/(1-Table16[[#This Row],[RDS(on) Loss BuCtrl]]*RdsonTopTc*ThetaJA_Q1)</f>
        <v>0.9980059007961013</v>
      </c>
      <c r="AL106" s="345">
        <f>CHOOSE(Table16[[#This Row],[Mode Digit]],SQRT((Fsw*(Table16[[#This Row],[t2_Ph_I]]+0))*((Table16[[#This Row],[I_0]]*Table16[[#This Row],[I_1]]+((Table16[[#This Row],[I_0]]-Table16[[#This Row],[I_1]])^2)/3))),0,SQRT((Fsw*(Table16[[#This Row],[t3_Ph_III]]+0))*((Table16[[#This Row],[I_0]]*Table16[[#This Row],[I_2]]+((Table16[[#This Row],[I_0]]-Table16[[#This Row],[I_2]])^2)/3))))</f>
        <v>5.7440126005331109</v>
      </c>
      <c r="AM106" s="345">
        <f>Rdson2*Table16[[#This Row],[Irms BuSync]]^2</f>
        <v>0.11547788264279105</v>
      </c>
      <c r="AN106"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06" s="345">
        <f>(Table16[[#This Row],[Deadtime Loss BuSync]]+Table16[[#This Row],[RDS(on) Loss BuSync]]*(1+RdsonBotTc*Ta-RdsonBotTc*25))/(1-Table16[[#This Row],[RDS(on) Loss BuSync]]*RdsonBotTc*ThetaJA_Q2)</f>
        <v>0.36524406146799726</v>
      </c>
      <c r="AP106" s="345">
        <f>CHOOSE(Table16[[#This Row],[Mode Digit]],0,SQRT((Fsw*(Table16[[#This Row],[t1_Ph_II]]+0))*((Table16[[#This Row],[I_0]]*Table16[[#This Row],[I_1]]+((Table16[[#This Row],[I_0]]-Table16[[#This Row],[I_1]])^2)/3))),SQRT((Fsw*(Table16[[#This Row],[t2_Ph_I]]+0))*((Table16[[#This Row],[I_1]]*Table16[[#This Row],[I_2]]+((Table16[[#This Row],[I_1]]-Table16[[#This Row],[I_2]])^2)/3))))</f>
        <v>3.8786973125118926</v>
      </c>
      <c r="AQ106" s="345">
        <f>Rdson4*Table16[[#This Row],[Irms BoCtlr]]^2</f>
        <v>5.2655024947304424E-2</v>
      </c>
      <c r="AR106" s="345">
        <f>CHOOSE(Table16[[#This Row],[Mode Digit]], 0, (Vout*Table16[[#This Row],[Iin]]/2)*(Fsw)*(Tr_boost+Tf_boost), (Vout*Iout/2)*(Fsw/1)*(Tr_boost+Tf_boost))</f>
        <v>0.47564320886662292</v>
      </c>
      <c r="AS106" s="253">
        <f>IF(Table16[[#This Row],[Vin]]&gt;Vout, 0, IF(Table16[[#This Row],[Iin]]&gt;Table16[[#This Row],[Ripple Current pk-pk]]/2,0,ABS(Table16[[#This Row],[Iin]]-Table16[[#This Row],[Ripple Current pk-pk]]/2)*Vsd_Q4*Deadtime*Fsw))</f>
        <v>0</v>
      </c>
      <c r="AT106" s="345">
        <f>(Table16[[#This Row],[Dead Time Loss BoCtlr]]+Table16[[#This Row],[Transition Loss BoCtlr]]+Table16[[#This Row],[RDS(on) Loss BoCtlr]]*(1+RdsonTopTc*Ta-RdsonTopTc*25))/(1-Table16[[#This Row],[RDS(on) Loss BoCtlr]]*RdsonTopTc*ThetaJA_Q4)</f>
        <v>0.53563118895433293</v>
      </c>
      <c r="AU106"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9.0037833514593029</v>
      </c>
      <c r="AV106" s="345">
        <f>Rdson3*Table16[[#This Row],[Irms BoSync]]^2</f>
        <v>0.283738401240055</v>
      </c>
      <c r="AW106"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0.19571263926238952</v>
      </c>
      <c r="AX106" s="345">
        <f>(Table16[[#This Row],[Deadtime Loss BoSync]]+Table16[[#This Row],[RDS(on) Loss BoSync]]*(1+RdsonBotTc*Ta-RdsonBotTc*25))/(1-Table16[[#This Row],[RDS(on) Loss BoSync]]*RdsonBotTc*ThetaJA_Q3)</f>
        <v>0.51763824067845787</v>
      </c>
      <c r="AY106" s="345">
        <f>CHOOSE(Table16[[#This Row],[Mode Digit]], Rdson3*Table16[[#This Row],[Irms Lf]]^2, Rdson1*Table16[[#This Row],[Irms Lf]]^2, 0)</f>
        <v>0</v>
      </c>
      <c r="AZ106" s="345">
        <f>CHOOSE(Table16[[#This Row],[Mode Digit]], 2*Deadtime*Fsw*IF(VfdSky_Q2&gt;0,VfdSky_Q2,0)*Table16[[#This Row],[Iout]], 2*Deadtime*Fsw*IF(VfdSky_Q3&gt;0,VfdSky_Q3,0)*Table16[[#This Row],[Iin]], 2*Deadtime*Fsw*IF(VfdSky_Q2&gt;0,VfdSky_Q2,0)*Table16[[#This Row],[Iout]]+2*Deadtime*Fsw*IF(VfdSky_Q3&gt;0,VfdSky_Q3,0)*Table16[[#This Row],[Iin]])</f>
        <v>0</v>
      </c>
      <c r="BA106" s="345">
        <f>CHOOSE(Table16[[#This Row],[Mode Digit]], IF(QrrSky_Q2&gt;0,QrrSky_Q2,Qrr_Q2)*Fsw*(Table16[[#This Row],[Vin]]-Table16[[#This Row],[Iout]]*Rdson1),0,  IF(QrrSky_Q2&gt;0,QrrSky_Q2,Qrr_Q2)*Fsw*(Table16[[#This Row],[Vin]]-Table16[[#This Row],[Iout]]*Rdson1)+IF(QrrSky_Q3&gt;0,QrrSky_Q3,Qrr_Q3)*Fsw*Vout)</f>
        <v>0.72415701999999993</v>
      </c>
      <c r="BB106" s="345">
        <f>CHOOSE(Table16[[#This Row],[Mode Digit]],0, IF(QrrSky_Q3&gt;0,QrrSky_Q3,Qrr_Q3)*Fsw*Vout,  IF(QrrSky_Q2&gt;0,QrrSky_Q2,Qrr_Q2)*Fsw*(Table16[[#This Row],[Vin]]-Table16[[#This Row],[Iout]]*Rdson1)+IF(QrrSky_Q3&gt;0,QrrSky_Q3,Qrr_Q3)*Fsw*Vout)</f>
        <v>0.72415701999999993</v>
      </c>
      <c r="BC106" s="345">
        <f>CHOOSE(Table16[[#This Row],[Mode Digit]], Rs*Table16[[#This Row],[Irms BuSync]]^2, Rs*Table16[[#This Row],[Irms BoCtlr]]^2, Rs*(Table16[[#This Row],[Irms BuSync]]^2+Table16[[#This Row],[Irms BoCtlr]]^2))</f>
        <v>6.2449365676321172E-2</v>
      </c>
      <c r="BD106" s="345">
        <f t="shared" si="5"/>
        <v>0.64</v>
      </c>
      <c r="BE106" s="345">
        <f>IF(Vout&gt;8, Iq*Vout, Iq*Table16[[#This Row],[Vin]])</f>
        <v>4.8000000000000001E-2</v>
      </c>
      <c r="BF106" s="345">
        <f>CHOOSE(Table16[[#This Row],[Mode Digit]], (Qg_Q1+Qg_Q2)*Fsw, (Qg_Q3+Qg_Q4)*Fsw, (Qg_Q1+Qg_Q2+Qg_Q3+Qg_Q4)*Fsw)*IF(Vout&gt;8, Vout, Table16[[#This Row],[Vin]])</f>
        <v>1.7066240000000001</v>
      </c>
      <c r="BG106" s="345">
        <f t="shared" si="6"/>
        <v>0.50594479787234037</v>
      </c>
      <c r="BH106" s="345">
        <f>Table16[[#This Row],[IQ Loss]]+Table16[[#This Row],[Switching Current Loss]]</f>
        <v>1.7546240000000002</v>
      </c>
      <c r="BI106"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8.3943604634205826</v>
      </c>
      <c r="BJ106" s="253">
        <f>Vout*Table16[[#This Row],[Iout]]</f>
        <v>128</v>
      </c>
      <c r="BK106" s="684">
        <f>Table16[[#This Row],[Pout]]/(Table16[[#This Row],[Pout]]+Table16[[#This Row],[Total Loss]])</f>
        <v>0.93845522325923547</v>
      </c>
      <c r="BL106"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111.94058985174657</v>
      </c>
      <c r="BM106" s="685">
        <f>IF(Table16[[#This Row],[Vin]]&gt;Vout, Table16[[#This Row],[Total Sync Bu MOSFET Loss]]*ThetaJA_Q2, ThetaJA_Q3*Table16[[#This Row],[Total Sync Bo MOSFET Loss]])</f>
        <v>23.740863995419822</v>
      </c>
      <c r="BN106" s="640"/>
      <c r="BO106" s="292">
        <f>Table16[[#This Row],[EFF, h]]*100</f>
        <v>93.845522325923554</v>
      </c>
      <c r="BP106" s="345">
        <f>Table16[[#This Row],[Total Inductor Loss]]</f>
        <v>2.0527857783809291</v>
      </c>
      <c r="BQ106" s="345">
        <f>Table16[[#This Row],[Total Control Bu MOSFET Loss]]+Table16[[#This Row],[Total Sync Bu MOSFET Loss]]+Table16[[#This Row],[Total Control Bo MOSFET Loss]]+Table16[[#This Row],[Total Sync Bo MOSFET Loss]]+Table16[[#This Row],[Reverse Recovery Loss MOSFET D BUCK]]+Table16[[#This Row],[Reverse Recovery Loss MOSFET D BOOST]]</f>
        <v>3.8648334318968889</v>
      </c>
      <c r="BR106" s="345">
        <f>Table16[[#This Row],[Total Control Bu MOSFET Loss]]+Table16[[#This Row],[Reverse Recovery Loss MOSFET D BUCK]]*0.66</f>
        <v>1.4759495339961013</v>
      </c>
      <c r="BS106" s="345">
        <f>Table16[[#This Row],[Total Sync Bu MOSFET Loss]]+Table16[[#This Row],[Reverse Recovery Loss MOSFET D BUCK]]*0.33</f>
        <v>0.60421587806799726</v>
      </c>
      <c r="BT106" s="345">
        <f xml:space="preserve"> Table16[[#This Row],[Total Control Bo MOSFET Loss]]+Table16[[#This Row],[Reverse Recovery Loss MOSFET D BOOST]]*0.66</f>
        <v>1.0135748221543328</v>
      </c>
      <c r="BU106" s="345">
        <f xml:space="preserve"> Table16[[#This Row],[Total Sync Bo MOSFET Loss]]+Table16[[#This Row],[Reverse Recovery Loss MOSFET D BOOST]]*0.33</f>
        <v>0.75661005727845787</v>
      </c>
      <c r="BV106" s="345">
        <f>Table16[[#This Row],[Isense Shunt Loss]]</f>
        <v>6.2449365676321172E-2</v>
      </c>
      <c r="CB106" s="686"/>
      <c r="CC106" s="686"/>
    </row>
    <row r="107" spans="7:81" x14ac:dyDescent="0.2">
      <c r="G107" s="253">
        <v>98</v>
      </c>
      <c r="H107" s="286">
        <f>VIN_min+(VIN_max-VIN_min)*(Table16[[#This Row],[Step]]/200)</f>
        <v>20.7</v>
      </c>
      <c r="I107" s="292" t="str">
        <f>IF(Mode = 2,IF(Table16[[#This Row],[Vin]]&gt;Vout, "BUCK","BOOST"),IF(Table16[[#This Row],[Vin]]&gt;VIN_BB_to_buck, "BUCK", IF(Table16[[#This Row],[Vin]]&lt;=VIN_boost_to_BB,"BOOST","BUCK-BST")))</f>
        <v>BUCK-BST</v>
      </c>
      <c r="J107" s="253">
        <f>IF(Table16[[#This Row],[Mode]]="BOOST",2, IF(Table16[[#This Row],[Mode]]="BUCK", 1,3))</f>
        <v>3</v>
      </c>
      <c r="K107" s="253">
        <f t="shared" si="4"/>
        <v>8</v>
      </c>
      <c r="L107" s="292">
        <f>Vout*Table16[[#This Row],[Iout]]/(Table16[[#This Row],[Vin]]*Efficiency)</f>
        <v>6.509026188660056</v>
      </c>
      <c r="M107" s="682">
        <f>MIN(1/Fsw,CHOOSE(Table16[[#This Row],[Mode Digit]],(Vout+(Rdson2+Rs+Rdcr)*Table16[[#This Row],[Iout]])/(Table16[[#This Row],[Vin]]+(Rs+Rdson2-Rdson1)*Table16[[#This Row],[Iout]])/Fsw,(Vout+(Rdson3+Rdcr)*Table16[[#This Row],[Iin]]-Table16[[#This Row],[Vin]])/(Vout+(Rdson3-Rdson4-Rs)*Table16[[#This Row],[Iin]])/Fsw,t1_Ph_II))</f>
        <v>1.5084238313644118E-6</v>
      </c>
      <c r="N107" s="518">
        <f>CHOOSE(Table16[[#This Row],[Mode Digit]],1/Fsw-Table16[[#This Row],[t1_Ph_II]],1/Fsw-Table16[[#This Row],[t1_Ph_II]],(Vout/Fsw-Table16[[#This Row],[Vin]]*t1_Ph_II)/(Table16[[#This Row],[Vin]]+Vout))</f>
        <v>2.445948696425696E-7</v>
      </c>
      <c r="O107" s="518">
        <f>1/Fsw-(Table16[[#This Row],[t1_Ph_II]]+Table16[[#This Row],[t2_Ph_I]])</f>
        <v>7.5954411306337048E-7</v>
      </c>
      <c r="P107"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6.8889004747982536</v>
      </c>
      <c r="Q107" s="292">
        <f>CHOOSE(Table16[[#This Row],[Mode Digit]],Table16[[#This Row],[I_0]]+1/Lf*(Table16[[#This Row],[Vin]]-Vout)*Table16[[#This Row],[t1_Ph_II]],Table16[[#This Row],[I_0]]+1/Lf*Table16[[#This Row],[Vin]]*Table16[[#This Row],[t1_Ph_II]],Table16[[#This Row],[I_0]]+(Table16[[#This Row],[Vin]]-Vout)/L*Table16[[#This Row],[t1_Ph_II]])</f>
        <v>10.82756270113866</v>
      </c>
      <c r="R107" s="292">
        <f>CHOOSE(Table16[[#This Row],[Mode Digit]],0,0,Table16[[#This Row],[I_1]]+Table16[[#This Row],[Vin]]/L*Table16[[#This Row],[t2_Ph_I]])</f>
        <v>13.640403702028211</v>
      </c>
      <c r="S107" s="292">
        <f>Fsw*(Table16[[#This Row],[I_0]]*Table16[[#This Row],[t1_Ph_II]]+Table16[[#This Row],[I_1]]*Table16[[#This Row],[t2_Ph_I]]+Table16[[#This Row],[I_2]]*Table16[[#This Row],[t3_Ph_III]])</f>
        <v>9.313294034344958</v>
      </c>
      <c r="T107" s="345">
        <f>MIN(1,CHOOSE(Table16[[#This Row],[Mode Digit]],(Vout+(Rdson2+Rs+Rdcr)*Table16[[#This Row],[Iout]])/(Table16[[#This Row],[Vin]]+(Rs+Rdson2-Rdson1)*Table16[[#This Row],[Iout]]),1,Fsw*Table16[[#This Row],[t2_Ph_I]]+Table16[[#This Row],[t1_Ph_II]]))</f>
        <v>9.7350266541574068E-2</v>
      </c>
      <c r="U107" s="345">
        <f>MIN(1,CHOOSE(Table16[[#This Row],[Mode Digit]],0,(Vout+(Rdson3+Rdcr)*Table16[[#This Row],[Iin]]-Table16[[#This Row],[Vin]])/(Vout+(Rdson3-Rdson4-Rs)*Table16[[#This Row],[Iin]]),Fsw*Table16[[#This Row],[t1_Ph_II]]+Table16[[#This Row],[t3_Ph_III]]))</f>
        <v>0.60035344442714889</v>
      </c>
      <c r="V107" s="292">
        <f>MAX(Table16[[#This Row],[I_0]:[I_2]])-MIN(Table16[[#This Row],[I_0]:[I_1]])</f>
        <v>6.7515032272299571</v>
      </c>
      <c r="W107"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9.7733597419465408</v>
      </c>
      <c r="X107" s="345">
        <f>(Table16[[#This Row],[Irms Lf]]^2*Rdcr*(1+Ltc*Ta-Ltc*25))/(1-Table16[[#This Row],[Irms Lf]]^2*Rdcr*Ltc*ThetaCa)</f>
        <v>0.31332095348892286</v>
      </c>
      <c r="Y107" s="345">
        <f>ABS(7.759*10^-3*Fsw^0.9458*(0.00787*Table16[[#This Row],[Ripple Current pk-pk]])^2.304)</f>
        <v>1.7759864572892969</v>
      </c>
      <c r="Z107" s="345">
        <f>Table16[[#This Row],[DCR    Loss]]+Table16[[#This Row],[Core Loss]]</f>
        <v>2.0893074107782197</v>
      </c>
      <c r="AA107" s="292">
        <f>IF(Table16[[#This Row],[Vin]]&gt;Vout, Table16[[#This Row],[Ripple Current pk-pk]]/SQRT(12), SQRT(Table16[[#This Row],[Duty Cycle BOOST Leg]]/(1-Table16[[#This Row],[Duty Cycle BOOST Leg]]))*SQRT(Table16[[#This Row],[Iout]]^2+(Table16[[#This Row],[Ripple Current pk-pk]]^2)/12))</f>
        <v>1.9489911028379214</v>
      </c>
      <c r="AB107" s="345">
        <f>RCoutEsr*Table16[[#This Row],[Irms Cout]]^2</f>
        <v>7.5971326378827548E-3</v>
      </c>
      <c r="AC107" s="345">
        <f>Table16[[#This Row],[Cout ESR Loss]]</f>
        <v>7.5971326378827548E-3</v>
      </c>
      <c r="AD107" s="345">
        <f>IF(Table16[[#This Row],[Vin]]&gt;Vout, SQRT(Table16[[#This Row],[Duty Cycle BUCK Leg]]*(1-Table16[[#This Row],[Duty Cycle BUCK Leg]]))*SQRT(Table16[[#This Row],[Iout]]^2+(Table16[[#This Row],[Ripple Current pk-pk]]^2)/12), Table16[[#This Row],[Ripple Current pk-pk]]/SQRT(12))</f>
        <v>2.4408351942230899</v>
      </c>
      <c r="AE107" s="345">
        <f>RCinEsr*Table16[[#This Row],[Irms Cin]]^2</f>
        <v>1.1915352890716139E-2</v>
      </c>
      <c r="AF107" s="683">
        <f>Table16[[#This Row],[Cin ESR Loss]]</f>
        <v>1.1915352890716139E-2</v>
      </c>
      <c r="AG107"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7.9069053193419849</v>
      </c>
      <c r="AH107" s="345">
        <f>Rdson1*Table16[[#This Row],[Irms BuCtrl]]^2</f>
        <v>0.21881703105163502</v>
      </c>
      <c r="AI107" s="345">
        <f>CHOOSE(Table16[[#This Row],[Mode Digit]], (Table16[[#This Row],[Vin]]*Table16[[#This Row],[Iout]]/2)*(Fsw)*(Tr_buck+Tf_buck), 0, (Table16[[#This Row],[Vin]]*Table16[[#This Row],[Avg IL]]/2)*(Fsw/1)*(Tr_buck+Tf_buck))</f>
        <v>0.72150033379546319</v>
      </c>
      <c r="AJ107" s="253">
        <f>IF(Table16[[#This Row],[Vin]]&gt;Vout, IF(Table16[[#This Row],[Iout]]&gt;Table16[[#This Row],[Ripple Current pk-pk]]/2,0,ABS(Table16[[#This Row],[Iout]]-Table16[[#This Row],[Ripple Current pk-pk]]/2)*Vsd_Q1*Deadtime*Fsw),0)</f>
        <v>0</v>
      </c>
      <c r="AK107" s="345">
        <f>(Table16[[#This Row],[Dead Time Loss BuCtrl]]+Table16[[#This Row],[Transition Loss BuCtrl]]+Table16[[#This Row],[RDS(on) Loss BuCtrl]]*(1+RdsonTopTc*Ta-RdsonTopTc*25))/(1-Table16[[#This Row],[RDS(on) Loss BuCtrl]]*RdsonTopTc*ThetaJA_Q1)</f>
        <v>0.99704147526482378</v>
      </c>
      <c r="AL107" s="345">
        <f>CHOOSE(Table16[[#This Row],[Mode Digit]],SQRT((Fsw*(Table16[[#This Row],[t2_Ph_I]]+0))*((Table16[[#This Row],[I_0]]*Table16[[#This Row],[I_1]]+((Table16[[#This Row],[I_0]]-Table16[[#This Row],[I_1]])^2)/3))),0,SQRT((Fsw*(Table16[[#This Row],[t3_Ph_III]]+0))*((Table16[[#This Row],[I_0]]*Table16[[#This Row],[I_2]]+((Table16[[#This Row],[I_0]]-Table16[[#This Row],[I_2]])^2)/3))))</f>
        <v>5.7445111990893327</v>
      </c>
      <c r="AM107" s="345">
        <f>Rdson2*Table16[[#This Row],[Irms BuSync]]^2</f>
        <v>0.11549793120761967</v>
      </c>
      <c r="AN107"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07" s="345">
        <f>(Table16[[#This Row],[Deadtime Loss BuSync]]+Table16[[#This Row],[RDS(on) Loss BuSync]]*(1+RdsonBotTc*Ta-RdsonBotTc*25))/(1-Table16[[#This Row],[RDS(on) Loss BuSync]]*RdsonBotTc*ThetaJA_Q2)</f>
        <v>0.36526669354286428</v>
      </c>
      <c r="AP107" s="345">
        <f>CHOOSE(Table16[[#This Row],[Mode Digit]],0,SQRT((Fsw*(Table16[[#This Row],[t1_Ph_II]]+0))*((Table16[[#This Row],[I_0]]*Table16[[#This Row],[I_1]]+((Table16[[#This Row],[I_0]]-Table16[[#This Row],[I_1]])^2)/3))),SQRT((Fsw*(Table16[[#This Row],[t2_Ph_I]]+0))*((Table16[[#This Row],[I_1]]*Table16[[#This Row],[I_2]]+((Table16[[#This Row],[I_1]]-Table16[[#This Row],[I_2]])^2)/3))))</f>
        <v>3.8254944903969834</v>
      </c>
      <c r="AQ107" s="345">
        <f>Rdson4*Table16[[#This Row],[Irms BoCtlr]]^2</f>
        <v>5.122042833620187E-2</v>
      </c>
      <c r="AR107" s="345">
        <f>CHOOSE(Table16[[#This Row],[Mode Digit]], 0, (Vout*Table16[[#This Row],[Iin]]/2)*(Fsw)*(Tr_boost+Tf_boost), (Vout*Iout/2)*(Fsw/1)*(Tr_boost+Tf_boost))</f>
        <v>0.47564320886662292</v>
      </c>
      <c r="AS107" s="253">
        <f>IF(Table16[[#This Row],[Vin]]&gt;Vout, 0, IF(Table16[[#This Row],[Iin]]&gt;Table16[[#This Row],[Ripple Current pk-pk]]/2,0,ABS(Table16[[#This Row],[Iin]]-Table16[[#This Row],[Ripple Current pk-pk]]/2)*Vsd_Q4*Deadtime*Fsw))</f>
        <v>0</v>
      </c>
      <c r="AT107" s="345">
        <f>(Table16[[#This Row],[Dead Time Loss BoCtlr]]+Table16[[#This Row],[Transition Loss BoCtlr]]+Table16[[#This Row],[RDS(on) Loss BoCtlr]]*(1+RdsonTopTc*Ta-RdsonTopTc*25))/(1-Table16[[#This Row],[RDS(on) Loss BoCtlr]]*RdsonTopTc*ThetaJA_Q4)</f>
        <v>0.53397474514627241</v>
      </c>
      <c r="AU107"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8.9935617276718389</v>
      </c>
      <c r="AV107" s="345">
        <f>Rdson3*Table16[[#This Row],[Irms BoSync]]^2</f>
        <v>0.28309453392305284</v>
      </c>
      <c r="AW107"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0.19429443173150263</v>
      </c>
      <c r="AX107" s="345">
        <f>(Table16[[#This Row],[Deadtime Loss BoSync]]+Table16[[#This Row],[RDS(on) Loss BoSync]]*(1+RdsonBotTc*Ta-RdsonBotTc*25))/(1-Table16[[#This Row],[RDS(on) Loss BoSync]]*RdsonBotTc*ThetaJA_Q3)</f>
        <v>0.51531878800358932</v>
      </c>
      <c r="AY107" s="345">
        <f>CHOOSE(Table16[[#This Row],[Mode Digit]], Rdson3*Table16[[#This Row],[Irms Lf]]^2, Rdson1*Table16[[#This Row],[Irms Lf]]^2, 0)</f>
        <v>0</v>
      </c>
      <c r="AZ107" s="345">
        <f>CHOOSE(Table16[[#This Row],[Mode Digit]], 2*Deadtime*Fsw*IF(VfdSky_Q2&gt;0,VfdSky_Q2,0)*Table16[[#This Row],[Iout]], 2*Deadtime*Fsw*IF(VfdSky_Q3&gt;0,VfdSky_Q3,0)*Table16[[#This Row],[Iin]], 2*Deadtime*Fsw*IF(VfdSky_Q2&gt;0,VfdSky_Q2,0)*Table16[[#This Row],[Iout]]+2*Deadtime*Fsw*IF(VfdSky_Q3&gt;0,VfdSky_Q3,0)*Table16[[#This Row],[Iin]])</f>
        <v>0</v>
      </c>
      <c r="BA107" s="345">
        <f>CHOOSE(Table16[[#This Row],[Mode Digit]], IF(QrrSky_Q2&gt;0,QrrSky_Q2,Qrr_Q2)*Fsw*(Table16[[#This Row],[Vin]]-Table16[[#This Row],[Iout]]*Rdson1),0,  IF(QrrSky_Q2&gt;0,QrrSky_Q2,Qrr_Q2)*Fsw*(Table16[[#This Row],[Vin]]-Table16[[#This Row],[Iout]]*Rdson1)+IF(QrrSky_Q3&gt;0,QrrSky_Q3,Qrr_Q3)*Fsw*Vout)</f>
        <v>0.72684351999999997</v>
      </c>
      <c r="BB107" s="345">
        <f>CHOOSE(Table16[[#This Row],[Mode Digit]],0, IF(QrrSky_Q3&gt;0,QrrSky_Q3,Qrr_Q3)*Fsw*Vout,  IF(QrrSky_Q2&gt;0,QrrSky_Q2,Qrr_Q2)*Fsw*(Table16[[#This Row],[Vin]]-Table16[[#This Row],[Iout]]*Rdson1)+IF(QrrSky_Q3&gt;0,QrrSky_Q3,Qrr_Q3)*Fsw*Vout)</f>
        <v>0.72684351999999997</v>
      </c>
      <c r="BC107" s="345">
        <f>CHOOSE(Table16[[#This Row],[Mode Digit]], Rs*Table16[[#This Row],[Irms BuSync]]^2, Rs*Table16[[#This Row],[Irms BoCtlr]]^2, Rs*(Table16[[#This Row],[Irms BuSync]]^2+Table16[[#This Row],[Irms BoCtlr]]^2))</f>
        <v>6.1923962116276564E-2</v>
      </c>
      <c r="BD107" s="345">
        <f t="shared" si="5"/>
        <v>0.64</v>
      </c>
      <c r="BE107" s="345">
        <f>IF(Vout&gt;8, Iq*Vout, Iq*Table16[[#This Row],[Vin]])</f>
        <v>4.8000000000000001E-2</v>
      </c>
      <c r="BF107" s="345">
        <f>CHOOSE(Table16[[#This Row],[Mode Digit]], (Qg_Q1+Qg_Q2)*Fsw, (Qg_Q3+Qg_Q4)*Fsw, (Qg_Q1+Qg_Q2+Qg_Q3+Qg_Q4)*Fsw)*IF(Vout&gt;8, Vout, Table16[[#This Row],[Vin]])</f>
        <v>1.7066240000000001</v>
      </c>
      <c r="BG107" s="345">
        <f t="shared" si="6"/>
        <v>0.50594479787234037</v>
      </c>
      <c r="BH107" s="345">
        <f>Table16[[#This Row],[IQ Loss]]+Table16[[#This Row],[Switching Current Loss]]</f>
        <v>1.7546240000000002</v>
      </c>
      <c r="BI107"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8.4306566003806456</v>
      </c>
      <c r="BJ107" s="253">
        <f>Vout*Table16[[#This Row],[Iout]]</f>
        <v>128</v>
      </c>
      <c r="BK107" s="684">
        <f>Table16[[#This Row],[Pout]]/(Table16[[#This Row],[Pout]]+Table16[[#This Row],[Total Loss]])</f>
        <v>0.93820555577127429</v>
      </c>
      <c r="BL107"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112.05252469221355</v>
      </c>
      <c r="BM107" s="685">
        <f>IF(Table16[[#This Row],[Vin]]&gt;Vout, Table16[[#This Row],[Total Sync Bu MOSFET Loss]]*ThetaJA_Q2, ThetaJA_Q3*Table16[[#This Row],[Total Sync Bo MOSFET Loss]])</f>
        <v>23.742335080286178</v>
      </c>
      <c r="BN107" s="640"/>
      <c r="BO107" s="292">
        <f>Table16[[#This Row],[EFF, h]]*100</f>
        <v>93.820555577127436</v>
      </c>
      <c r="BP107" s="345">
        <f>Table16[[#This Row],[Total Inductor Loss]]</f>
        <v>2.0893074107782197</v>
      </c>
      <c r="BQ107" s="345">
        <f>Table16[[#This Row],[Total Control Bu MOSFET Loss]]+Table16[[#This Row],[Total Sync Bu MOSFET Loss]]+Table16[[#This Row],[Total Control Bo MOSFET Loss]]+Table16[[#This Row],[Total Sync Bo MOSFET Loss]]+Table16[[#This Row],[Reverse Recovery Loss MOSFET D BUCK]]+Table16[[#This Row],[Reverse Recovery Loss MOSFET D BOOST]]</f>
        <v>3.8652887419575501</v>
      </c>
      <c r="BR107" s="345">
        <f>Table16[[#This Row],[Total Control Bu MOSFET Loss]]+Table16[[#This Row],[Reverse Recovery Loss MOSFET D BUCK]]*0.66</f>
        <v>1.4767581984648237</v>
      </c>
      <c r="BS107" s="345">
        <f>Table16[[#This Row],[Total Sync Bu MOSFET Loss]]+Table16[[#This Row],[Reverse Recovery Loss MOSFET D BUCK]]*0.33</f>
        <v>0.6051250551428643</v>
      </c>
      <c r="BT107" s="345">
        <f xml:space="preserve"> Table16[[#This Row],[Total Control Bo MOSFET Loss]]+Table16[[#This Row],[Reverse Recovery Loss MOSFET D BOOST]]*0.66</f>
        <v>1.0136914683462723</v>
      </c>
      <c r="BU107" s="345">
        <f xml:space="preserve"> Table16[[#This Row],[Total Sync Bo MOSFET Loss]]+Table16[[#This Row],[Reverse Recovery Loss MOSFET D BOOST]]*0.33</f>
        <v>0.75517714960358928</v>
      </c>
      <c r="BV107" s="345">
        <f>Table16[[#This Row],[Isense Shunt Loss]]</f>
        <v>6.1923962116276564E-2</v>
      </c>
      <c r="CB107" s="686"/>
      <c r="CC107" s="686"/>
    </row>
    <row r="108" spans="7:81" x14ac:dyDescent="0.2">
      <c r="G108" s="253">
        <v>99</v>
      </c>
      <c r="H108" s="286">
        <f>VIN_min+(VIN_max-VIN_min)*(Table16[[#This Row],[Step]]/200)</f>
        <v>20.85</v>
      </c>
      <c r="I108" s="292" t="str">
        <f>IF(Mode = 2,IF(Table16[[#This Row],[Vin]]&gt;Vout, "BUCK","BOOST"),IF(Table16[[#This Row],[Vin]]&gt;VIN_BB_to_buck, "BUCK", IF(Table16[[#This Row],[Vin]]&lt;=VIN_boost_to_BB,"BOOST","BUCK-BST")))</f>
        <v>BUCK-BST</v>
      </c>
      <c r="J108" s="253">
        <f>IF(Table16[[#This Row],[Mode]]="BOOST",2, IF(Table16[[#This Row],[Mode]]="BUCK", 1,3))</f>
        <v>3</v>
      </c>
      <c r="K108" s="253">
        <f t="shared" si="4"/>
        <v>8</v>
      </c>
      <c r="L108" s="292">
        <f>Vout*Table16[[#This Row],[Iout]]/(Table16[[#This Row],[Vin]]*Efficiency)</f>
        <v>6.4621986621229333</v>
      </c>
      <c r="M108" s="682">
        <f>MIN(1/Fsw,CHOOSE(Table16[[#This Row],[Mode Digit]],(Vout+(Rdson2+Rs+Rdcr)*Table16[[#This Row],[Iout]])/(Table16[[#This Row],[Vin]]+(Rs+Rdson2-Rdson1)*Table16[[#This Row],[Iout]])/Fsw,(Vout+(Rdson3+Rdcr)*Table16[[#This Row],[Iin]]-Table16[[#This Row],[Vin]])/(Vout+(Rdson3-Rdson4-Rs)*Table16[[#This Row],[Iin]])/Fsw,t1_Ph_II))</f>
        <v>1.5084238313644118E-6</v>
      </c>
      <c r="N108" s="518">
        <f>CHOOSE(Table16[[#This Row],[Mode Digit]],1/Fsw-Table16[[#This Row],[t1_Ph_II]],1/Fsw-Table16[[#This Row],[t1_Ph_II]],(Vout/Fsw-Table16[[#This Row],[Vin]]*t1_Ph_II)/(Table16[[#This Row],[Vin]]+Vout))</f>
        <v>2.374591083087555E-7</v>
      </c>
      <c r="O108" s="518">
        <f>1/Fsw-(Table16[[#This Row],[t1_Ph_II]]+Table16[[#This Row],[t2_Ph_I]])</f>
        <v>7.666798743971846E-7</v>
      </c>
      <c r="P108"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6.8043474465035896</v>
      </c>
      <c r="Q108" s="292">
        <f>CHOOSE(Table16[[#This Row],[Mode Digit]],Table16[[#This Row],[I_0]]+1/Lf*(Table16[[#This Row],[Vin]]-Vout)*Table16[[#This Row],[t1_Ph_II]],Table16[[#This Row],[I_0]]+1/Lf*Table16[[#This Row],[Vin]]*Table16[[#This Row],[t1_Ph_II]],Table16[[#This Row],[I_0]]+(Table16[[#This Row],[Vin]]-Vout)/L*Table16[[#This Row],[t1_Ph_II]])</f>
        <v>10.868711658791034</v>
      </c>
      <c r="R108" s="292">
        <f>CHOOSE(Table16[[#This Row],[Mode Digit]],0,0,Table16[[#This Row],[I_1]]+Table16[[#This Row],[Vin]]/L*Table16[[#This Row],[t2_Ph_I]])</f>
        <v>13.619279663367452</v>
      </c>
      <c r="S108" s="292">
        <f>Fsw*(Table16[[#This Row],[I_0]]*Table16[[#This Row],[t1_Ph_II]]+Table16[[#This Row],[I_1]]*Table16[[#This Row],[t2_Ph_I]]+Table16[[#This Row],[I_2]]*Table16[[#This Row],[t3_Ph_III]])</f>
        <v>9.2679641342450285</v>
      </c>
      <c r="T108" s="345">
        <f>MIN(1,CHOOSE(Table16[[#This Row],[Mode Digit]],(Vout+(Rdson2+Rs+Rdcr)*Table16[[#This Row],[Iout]])/(Table16[[#This Row],[Vin]]+(Rs+Rdson2-Rdson1)*Table16[[#This Row],[Iout]]),1,Fsw*Table16[[#This Row],[t2_Ph_I]]+Table16[[#This Row],[t1_Ph_II]]))</f>
        <v>9.4510233530716067E-2</v>
      </c>
      <c r="U108" s="345">
        <f>MIN(1,CHOOSE(Table16[[#This Row],[Mode Digit]],0,(Vout+(Rdson3+Rdcr)*Table16[[#This Row],[Iin]]-Table16[[#This Row],[Vin]])/(Vout+(Rdson3-Rdson4-Rs)*Table16[[#This Row],[Iin]]),Fsw*Table16[[#This Row],[t1_Ph_II]]+Table16[[#This Row],[t3_Ph_III]]))</f>
        <v>0.6003534515629102</v>
      </c>
      <c r="V108" s="292">
        <f>MAX(Table16[[#This Row],[I_0]:[I_2]])-MIN(Table16[[#This Row],[I_0]:[I_1]])</f>
        <v>6.8149322168638626</v>
      </c>
      <c r="W108"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9.7433875129066951</v>
      </c>
      <c r="X108" s="345">
        <f>(Table16[[#This Row],[Irms Lf]]^2*Rdcr*(1+Ltc*Ta-Ltc*25))/(1-Table16[[#This Row],[Irms Lf]]^2*Rdcr*Ltc*ThetaCa)</f>
        <v>0.31135436640838848</v>
      </c>
      <c r="Y108" s="345">
        <f>ABS(7.759*10^-3*Fsw^0.9458*(0.00787*Table16[[#This Row],[Ripple Current pk-pk]])^2.304)</f>
        <v>1.8146644624774571</v>
      </c>
      <c r="Z108" s="345">
        <f>Table16[[#This Row],[DCR    Loss]]+Table16[[#This Row],[Core Loss]]</f>
        <v>2.1260188288858455</v>
      </c>
      <c r="AA108" s="292">
        <f>IF(Table16[[#This Row],[Vin]]&gt;Vout, Table16[[#This Row],[Ripple Current pk-pk]]/SQRT(12), SQRT(Table16[[#This Row],[Duty Cycle BOOST Leg]]/(1-Table16[[#This Row],[Duty Cycle BOOST Leg]]))*SQRT(Table16[[#This Row],[Iout]]^2+(Table16[[#This Row],[Ripple Current pk-pk]]^2)/12))</f>
        <v>1.9673014749577022</v>
      </c>
      <c r="AB108" s="345">
        <f>RCoutEsr*Table16[[#This Row],[Irms Cout]]^2</f>
        <v>7.7405501867415013E-3</v>
      </c>
      <c r="AC108" s="345">
        <f>Table16[[#This Row],[Cout ESR Loss]]</f>
        <v>7.7405501867415013E-3</v>
      </c>
      <c r="AD108" s="345">
        <f>IF(Table16[[#This Row],[Vin]]&gt;Vout, SQRT(Table16[[#This Row],[Duty Cycle BUCK Leg]]*(1-Table16[[#This Row],[Duty Cycle BUCK Leg]]))*SQRT(Table16[[#This Row],[Iout]]^2+(Table16[[#This Row],[Ripple Current pk-pk]]^2)/12), Table16[[#This Row],[Ripple Current pk-pk]]/SQRT(12))</f>
        <v>2.4100219391485074</v>
      </c>
      <c r="AE108" s="345">
        <f>RCinEsr*Table16[[#This Row],[Irms Cin]]^2</f>
        <v>1.1616411494354264E-2</v>
      </c>
      <c r="AF108" s="683">
        <f>Table16[[#This Row],[Cin ESR Loss]]</f>
        <v>1.1616411494354264E-2</v>
      </c>
      <c r="AG108"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7.8697160757799907</v>
      </c>
      <c r="AH108" s="345">
        <f>Rdson1*Table16[[#This Row],[Irms BuCtrl]]^2</f>
        <v>0.21676350889686508</v>
      </c>
      <c r="AI108" s="345">
        <f>CHOOSE(Table16[[#This Row],[Mode Digit]], (Table16[[#This Row],[Vin]]*Table16[[#This Row],[Iout]]/2)*(Fsw)*(Tr_buck+Tf_buck), 0, (Table16[[#This Row],[Vin]]*Table16[[#This Row],[Avg IL]]/2)*(Fsw/1)*(Tr_buck+Tf_buck))</f>
        <v>0.72319144528941326</v>
      </c>
      <c r="AJ108" s="253">
        <f>IF(Table16[[#This Row],[Vin]]&gt;Vout, IF(Table16[[#This Row],[Iout]]&gt;Table16[[#This Row],[Ripple Current pk-pk]]/2,0,ABS(Table16[[#This Row],[Iout]]-Table16[[#This Row],[Ripple Current pk-pk]]/2)*Vsd_Q1*Deadtime*Fsw),0)</f>
        <v>0</v>
      </c>
      <c r="AK108" s="345">
        <f>(Table16[[#This Row],[Dead Time Loss BuCtrl]]+Table16[[#This Row],[Transition Loss BuCtrl]]+Table16[[#This Row],[RDS(on) Loss BuCtrl]]*(1+RdsonTopTc*Ta-RdsonTopTc*25))/(1-Table16[[#This Row],[RDS(on) Loss BuCtrl]]*RdsonTopTc*ThetaJA_Q1)</f>
        <v>0.99609329014393633</v>
      </c>
      <c r="AL108" s="345">
        <f>CHOOSE(Table16[[#This Row],[Mode Digit]],SQRT((Fsw*(Table16[[#This Row],[t2_Ph_I]]+0))*((Table16[[#This Row],[I_0]]*Table16[[#This Row],[I_1]]+((Table16[[#This Row],[I_0]]-Table16[[#This Row],[I_1]])^2)/3))),0,SQRT((Fsw*(Table16[[#This Row],[t3_Ph_III]]+0))*((Table16[[#This Row],[I_0]]*Table16[[#This Row],[I_2]]+((Table16[[#This Row],[I_0]]-Table16[[#This Row],[I_2]])^2)/3))))</f>
        <v>5.7446644038861043</v>
      </c>
      <c r="AM108" s="345">
        <f>Rdson2*Table16[[#This Row],[Irms BuSync]]^2</f>
        <v>0.11550409189646632</v>
      </c>
      <c r="AN108"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08" s="345">
        <f>(Table16[[#This Row],[Deadtime Loss BuSync]]+Table16[[#This Row],[RDS(on) Loss BuSync]]*(1+RdsonBotTc*Ta-RdsonBotTc*25))/(1-Table16[[#This Row],[RDS(on) Loss BuSync]]*RdsonBotTc*ThetaJA_Q2)</f>
        <v>0.36527364816290536</v>
      </c>
      <c r="AP108" s="345">
        <f>CHOOSE(Table16[[#This Row],[Mode Digit]],0,SQRT((Fsw*(Table16[[#This Row],[t1_Ph_II]]+0))*((Table16[[#This Row],[I_0]]*Table16[[#This Row],[I_1]]+((Table16[[#This Row],[I_0]]-Table16[[#This Row],[I_1]])^2)/3))),SQRT((Fsw*(Table16[[#This Row],[t2_Ph_I]]+0))*((Table16[[#This Row],[I_1]]*Table16[[#This Row],[I_2]]+((Table16[[#This Row],[I_1]]-Table16[[#This Row],[I_2]])^2)/3))))</f>
        <v>3.7719889888531926</v>
      </c>
      <c r="AQ108" s="345">
        <f>Rdson4*Table16[[#This Row],[Irms BoCtlr]]^2</f>
        <v>4.9797653262104058E-2</v>
      </c>
      <c r="AR108" s="345">
        <f>CHOOSE(Table16[[#This Row],[Mode Digit]], 0, (Vout*Table16[[#This Row],[Iin]]/2)*(Fsw)*(Tr_boost+Tf_boost), (Vout*Iout/2)*(Fsw/1)*(Tr_boost+Tf_boost))</f>
        <v>0.47564320886662292</v>
      </c>
      <c r="AS108" s="253">
        <f>IF(Table16[[#This Row],[Vin]]&gt;Vout, 0, IF(Table16[[#This Row],[Iin]]&gt;Table16[[#This Row],[Ripple Current pk-pk]]/2,0,ABS(Table16[[#This Row],[Iin]]-Table16[[#This Row],[Ripple Current pk-pk]]/2)*Vsd_Q4*Deadtime*Fsw))</f>
        <v>0</v>
      </c>
      <c r="AT108" s="345">
        <f>(Table16[[#This Row],[Dead Time Loss BoCtlr]]+Table16[[#This Row],[Transition Loss BoCtlr]]+Table16[[#This Row],[RDS(on) Loss BoCtlr]]*(1+RdsonTopTc*Ta-RdsonTopTc*25))/(1-Table16[[#This Row],[RDS(on) Loss BoCtlr]]*RdsonTopTc*ThetaJA_Q4)</f>
        <v>0.53233318743556191</v>
      </c>
      <c r="AU108"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8.9836350824505526</v>
      </c>
      <c r="AV108" s="345">
        <f>Rdson3*Table16[[#This Row],[Irms BoSync]]^2</f>
        <v>0.28246994753122723</v>
      </c>
      <c r="AW108"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0.19289663006436952</v>
      </c>
      <c r="AX108" s="345">
        <f>(Table16[[#This Row],[Deadtime Loss BoSync]]+Table16[[#This Row],[RDS(on) Loss BoSync]]*(1+RdsonBotTc*Ta-RdsonBotTc*25))/(1-Table16[[#This Row],[RDS(on) Loss BoSync]]*RdsonBotTc*ThetaJA_Q3)</f>
        <v>0.51304578149003466</v>
      </c>
      <c r="AY108" s="345">
        <f>CHOOSE(Table16[[#This Row],[Mode Digit]], Rdson3*Table16[[#This Row],[Irms Lf]]^2, Rdson1*Table16[[#This Row],[Irms Lf]]^2, 0)</f>
        <v>0</v>
      </c>
      <c r="AZ108" s="345">
        <f>CHOOSE(Table16[[#This Row],[Mode Digit]], 2*Deadtime*Fsw*IF(VfdSky_Q2&gt;0,VfdSky_Q2,0)*Table16[[#This Row],[Iout]], 2*Deadtime*Fsw*IF(VfdSky_Q3&gt;0,VfdSky_Q3,0)*Table16[[#This Row],[Iin]], 2*Deadtime*Fsw*IF(VfdSky_Q2&gt;0,VfdSky_Q2,0)*Table16[[#This Row],[Iout]]+2*Deadtime*Fsw*IF(VfdSky_Q3&gt;0,VfdSky_Q3,0)*Table16[[#This Row],[Iin]])</f>
        <v>0</v>
      </c>
      <c r="BA108" s="345">
        <f>CHOOSE(Table16[[#This Row],[Mode Digit]], IF(QrrSky_Q2&gt;0,QrrSky_Q2,Qrr_Q2)*Fsw*(Table16[[#This Row],[Vin]]-Table16[[#This Row],[Iout]]*Rdson1),0,  IF(QrrSky_Q2&gt;0,QrrSky_Q2,Qrr_Q2)*Fsw*(Table16[[#This Row],[Vin]]-Table16[[#This Row],[Iout]]*Rdson1)+IF(QrrSky_Q3&gt;0,QrrSky_Q3,Qrr_Q3)*Fsw*Vout)</f>
        <v>0.72953002</v>
      </c>
      <c r="BB108" s="345">
        <f>CHOOSE(Table16[[#This Row],[Mode Digit]],0, IF(QrrSky_Q3&gt;0,QrrSky_Q3,Qrr_Q3)*Fsw*Vout,  IF(QrrSky_Q2&gt;0,QrrSky_Q2,Qrr_Q2)*Fsw*(Table16[[#This Row],[Vin]]-Table16[[#This Row],[Iout]]*Rdson1)+IF(QrrSky_Q3&gt;0,QrrSky_Q3,Qrr_Q3)*Fsw*Vout)</f>
        <v>0.72953002</v>
      </c>
      <c r="BC108" s="345">
        <f>CHOOSE(Table16[[#This Row],[Mode Digit]], Rs*Table16[[#This Row],[Irms BuSync]]^2, Rs*Table16[[#This Row],[Irms BoCtlr]]^2, Rs*(Table16[[#This Row],[Irms BuSync]]^2+Table16[[#This Row],[Irms BoCtlr]]^2))</f>
        <v>6.1397791058897561E-2</v>
      </c>
      <c r="BD108" s="345">
        <f t="shared" si="5"/>
        <v>0.64</v>
      </c>
      <c r="BE108" s="345">
        <f>IF(Vout&gt;8, Iq*Vout, Iq*Table16[[#This Row],[Vin]])</f>
        <v>4.8000000000000001E-2</v>
      </c>
      <c r="BF108" s="345">
        <f>CHOOSE(Table16[[#This Row],[Mode Digit]], (Qg_Q1+Qg_Q2)*Fsw, (Qg_Q3+Qg_Q4)*Fsw, (Qg_Q1+Qg_Q2+Qg_Q3+Qg_Q4)*Fsw)*IF(Vout&gt;8, Vout, Table16[[#This Row],[Vin]])</f>
        <v>1.7066240000000001</v>
      </c>
      <c r="BG108" s="345">
        <f t="shared" si="6"/>
        <v>0.50594479787234037</v>
      </c>
      <c r="BH108" s="345">
        <f>Table16[[#This Row],[IQ Loss]]+Table16[[#This Row],[Switching Current Loss]]</f>
        <v>1.7546240000000002</v>
      </c>
      <c r="BI108"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8.4672035288582794</v>
      </c>
      <c r="BJ108" s="253">
        <f>Vout*Table16[[#This Row],[Iout]]</f>
        <v>128</v>
      </c>
      <c r="BK108" s="684">
        <f>Table16[[#This Row],[Pout]]/(Table16[[#This Row],[Pout]]+Table16[[#This Row],[Total Loss]])</f>
        <v>0.93795429737030012</v>
      </c>
      <c r="BL108"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112.16551515935586</v>
      </c>
      <c r="BM108" s="685">
        <f>IF(Table16[[#This Row],[Vin]]&gt;Vout, Table16[[#This Row],[Total Sync Bu MOSFET Loss]]*ThetaJA_Q2, ThetaJA_Q3*Table16[[#This Row],[Total Sync Bo MOSFET Loss]])</f>
        <v>23.742787130588848</v>
      </c>
      <c r="BN108" s="640"/>
      <c r="BO108" s="292">
        <f>Table16[[#This Row],[EFF, h]]*100</f>
        <v>93.795429737030005</v>
      </c>
      <c r="BP108" s="345">
        <f>Table16[[#This Row],[Total Inductor Loss]]</f>
        <v>2.1260188288858455</v>
      </c>
      <c r="BQ108" s="345">
        <f>Table16[[#This Row],[Total Control Bu MOSFET Loss]]+Table16[[#This Row],[Total Sync Bu MOSFET Loss]]+Table16[[#This Row],[Total Control Bo MOSFET Loss]]+Table16[[#This Row],[Total Sync Bo MOSFET Loss]]+Table16[[#This Row],[Reverse Recovery Loss MOSFET D BUCK]]+Table16[[#This Row],[Reverse Recovery Loss MOSFET D BOOST]]</f>
        <v>3.8658059472324382</v>
      </c>
      <c r="BR108" s="345">
        <f>Table16[[#This Row],[Total Control Bu MOSFET Loss]]+Table16[[#This Row],[Reverse Recovery Loss MOSFET D BUCK]]*0.66</f>
        <v>1.4775831033439364</v>
      </c>
      <c r="BS108" s="345">
        <f>Table16[[#This Row],[Total Sync Bu MOSFET Loss]]+Table16[[#This Row],[Reverse Recovery Loss MOSFET D BUCK]]*0.33</f>
        <v>0.60601855476290534</v>
      </c>
      <c r="BT108" s="345">
        <f xml:space="preserve"> Table16[[#This Row],[Total Control Bo MOSFET Loss]]+Table16[[#This Row],[Reverse Recovery Loss MOSFET D BOOST]]*0.66</f>
        <v>1.013823000635562</v>
      </c>
      <c r="BU108" s="345">
        <f xml:space="preserve"> Table16[[#This Row],[Total Sync Bo MOSFET Loss]]+Table16[[#This Row],[Reverse Recovery Loss MOSFET D BOOST]]*0.33</f>
        <v>0.75379068809003469</v>
      </c>
      <c r="BV108" s="345">
        <f>Table16[[#This Row],[Isense Shunt Loss]]</f>
        <v>6.1397791058897561E-2</v>
      </c>
      <c r="CB108" s="686"/>
      <c r="CC108" s="686"/>
    </row>
    <row r="109" spans="7:81" x14ac:dyDescent="0.2">
      <c r="G109" s="253">
        <v>100</v>
      </c>
      <c r="H109" s="286">
        <f>VIN_min+(VIN_max-VIN_min)*(Table16[[#This Row],[Step]]/200)</f>
        <v>21</v>
      </c>
      <c r="I109" s="292" t="str">
        <f>IF(Mode = 2,IF(Table16[[#This Row],[Vin]]&gt;Vout, "BUCK","BOOST"),IF(Table16[[#This Row],[Vin]]&gt;VIN_BB_to_buck, "BUCK", IF(Table16[[#This Row],[Vin]]&lt;=VIN_boost_to_BB,"BOOST","BUCK-BST")))</f>
        <v>BUCK-BST</v>
      </c>
      <c r="J109" s="253">
        <f>IF(Table16[[#This Row],[Mode]]="BOOST",2, IF(Table16[[#This Row],[Mode]]="BUCK", 1,3))</f>
        <v>3</v>
      </c>
      <c r="K109" s="253">
        <f t="shared" si="4"/>
        <v>8</v>
      </c>
      <c r="L109" s="292">
        <f>Vout*Table16[[#This Row],[Iout]]/(Table16[[#This Row],[Vin]]*Efficiency)</f>
        <v>6.4160401002506271</v>
      </c>
      <c r="M109" s="682">
        <f>MIN(1/Fsw,CHOOSE(Table16[[#This Row],[Mode Digit]],(Vout+(Rdson2+Rs+Rdcr)*Table16[[#This Row],[Iout]])/(Table16[[#This Row],[Vin]]+(Rs+Rdson2-Rdson1)*Table16[[#This Row],[Iout]])/Fsw,(Vout+(Rdson3+Rdcr)*Table16[[#This Row],[Iin]]-Table16[[#This Row],[Vin]])/(Vout+(Rdson3-Rdson4-Rs)*Table16[[#This Row],[Iin]])/Fsw,t1_Ph_II))</f>
        <v>1.5084238313644118E-6</v>
      </c>
      <c r="N109" s="518">
        <f>CHOOSE(Table16[[#This Row],[Mode Digit]],1/Fsw-Table16[[#This Row],[t1_Ph_II]],1/Fsw-Table16[[#This Row],[t1_Ph_II]],(Vout/Fsw-Table16[[#This Row],[Vin]]*t1_Ph_II)/(Table16[[#This Row],[Vin]]+Vout))</f>
        <v>2.3038120449926978E-7</v>
      </c>
      <c r="O109" s="518">
        <f>1/Fsw-(Table16[[#This Row],[t1_Ph_II]]+Table16[[#This Row],[t2_Ph_I]])</f>
        <v>7.7375777820667038E-7</v>
      </c>
      <c r="P109"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6.7204695735357065</v>
      </c>
      <c r="Q109" s="292">
        <f>CHOOSE(Table16[[#This Row],[Mode Digit]],Table16[[#This Row],[I_0]]+1/Lf*(Table16[[#This Row],[Vin]]-Vout)*Table16[[#This Row],[t1_Ph_II]],Table16[[#This Row],[I_0]]+1/Lf*Table16[[#This Row],[Vin]]*Table16[[#This Row],[t1_Ph_II]],Table16[[#This Row],[I_0]]+(Table16[[#This Row],[Vin]]-Vout)/L*Table16[[#This Row],[t1_Ph_II]])</f>
        <v>10.910535771770183</v>
      </c>
      <c r="R109" s="292">
        <f>CHOOSE(Table16[[#This Row],[Mode Digit]],0,0,Table16[[#This Row],[I_1]]+Table16[[#This Row],[Vin]]/L*Table16[[#This Row],[t2_Ph_I]])</f>
        <v>13.59831649092833</v>
      </c>
      <c r="S109" s="292">
        <f>Fsw*(Table16[[#This Row],[I_0]]*Table16[[#This Row],[t1_Ph_II]]+Table16[[#This Row],[I_1]]*Table16[[#This Row],[t2_Ph_I]]+Table16[[#This Row],[I_2]]*Table16[[#This Row],[t3_Ph_III]])</f>
        <v>9.2227353923723498</v>
      </c>
      <c r="T109" s="345">
        <f>MIN(1,CHOOSE(Table16[[#This Row],[Mode Digit]],(Vout+(Rdson2+Rs+Rdcr)*Table16[[#This Row],[Iout]])/(Table16[[#This Row],[Vin]]+(Rs+Rdson2-Rdson1)*Table16[[#This Row],[Iout]]),1,Fsw*Table16[[#This Row],[t2_Ph_I]]+Table16[[#This Row],[t1_Ph_II]]))</f>
        <v>9.1693227814540743E-2</v>
      </c>
      <c r="U109" s="345">
        <f>MIN(1,CHOOSE(Table16[[#This Row],[Mode Digit]],0,(Vout+(Rdson3+Rdcr)*Table16[[#This Row],[Iin]]-Table16[[#This Row],[Vin]])/(Vout+(Rdson3-Rdson4-Rs)*Table16[[#This Row],[Iin]]),Fsw*Table16[[#This Row],[t1_Ph_II]]+Table16[[#This Row],[t3_Ph_III]]))</f>
        <v>0.60035345864081402</v>
      </c>
      <c r="V109" s="292">
        <f>MAX(Table16[[#This Row],[I_0]:[I_2]])-MIN(Table16[[#This Row],[I_0]:[I_1]])</f>
        <v>6.8778469173926231</v>
      </c>
      <c r="W109"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9.7137699459162317</v>
      </c>
      <c r="X109" s="345">
        <f>(Table16[[#This Row],[Irms Lf]]^2*Rdcr*(1+Ltc*Ta-Ltc*25))/(1-Table16[[#This Row],[Irms Lf]]^2*Rdcr*Ltc*ThetaCa)</f>
        <v>0.30941757364946942</v>
      </c>
      <c r="Y109" s="345">
        <f>ABS(7.759*10^-3*Fsw^0.9458*(0.00787*Table16[[#This Row],[Ripple Current pk-pk]])^2.304)</f>
        <v>1.8534954195680682</v>
      </c>
      <c r="Z109" s="345">
        <f>Table16[[#This Row],[DCR    Loss]]+Table16[[#This Row],[Core Loss]]</f>
        <v>2.1629129932175375</v>
      </c>
      <c r="AA109" s="292">
        <f>IF(Table16[[#This Row],[Vin]]&gt;Vout, Table16[[#This Row],[Ripple Current pk-pk]]/SQRT(12), SQRT(Table16[[#This Row],[Duty Cycle BOOST Leg]]/(1-Table16[[#This Row],[Duty Cycle BOOST Leg]]))*SQRT(Table16[[#This Row],[Iout]]^2+(Table16[[#This Row],[Ripple Current pk-pk]]^2)/12))</f>
        <v>1.9854633846008345</v>
      </c>
      <c r="AB109" s="345">
        <f>RCoutEsr*Table16[[#This Row],[Irms Cout]]^2</f>
        <v>7.8841297031812026E-3</v>
      </c>
      <c r="AC109" s="345">
        <f>Table16[[#This Row],[Cout ESR Loss]]</f>
        <v>7.8841297031812026E-3</v>
      </c>
      <c r="AD109" s="345">
        <f>IF(Table16[[#This Row],[Vin]]&gt;Vout, SQRT(Table16[[#This Row],[Duty Cycle BUCK Leg]]*(1-Table16[[#This Row],[Duty Cycle BUCK Leg]]))*SQRT(Table16[[#This Row],[Iout]]^2+(Table16[[#This Row],[Ripple Current pk-pk]]^2)/12), Table16[[#This Row],[Ripple Current pk-pk]]/SQRT(12))</f>
        <v>2.378779994687207</v>
      </c>
      <c r="AE109" s="345">
        <f>RCinEsr*Table16[[#This Row],[Irms Cin]]^2</f>
        <v>1.1317188526248138E-2</v>
      </c>
      <c r="AF109" s="683">
        <f>Table16[[#This Row],[Cin ESR Loss]]</f>
        <v>1.1317188526248138E-2</v>
      </c>
      <c r="AG109"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7.8331502330351377</v>
      </c>
      <c r="AH109" s="345">
        <f>Rdson1*Table16[[#This Row],[Irms BuCtrl]]^2</f>
        <v>0.21475384900654451</v>
      </c>
      <c r="AI109" s="345">
        <f>CHOOSE(Table16[[#This Row],[Mode Digit]], (Table16[[#This Row],[Vin]]*Table16[[#This Row],[Iout]]/2)*(Fsw)*(Tr_buck+Tf_buck), 0, (Table16[[#This Row],[Vin]]*Table16[[#This Row],[Avg IL]]/2)*(Fsw/1)*(Tr_buck+Tf_buck))</f>
        <v>0.72483961281045484</v>
      </c>
      <c r="AJ109" s="253">
        <f>IF(Table16[[#This Row],[Vin]]&gt;Vout, IF(Table16[[#This Row],[Iout]]&gt;Table16[[#This Row],[Ripple Current pk-pk]]/2,0,ABS(Table16[[#This Row],[Iout]]-Table16[[#This Row],[Ripple Current pk-pk]]/2)*Vsd_Q1*Deadtime*Fsw),0)</f>
        <v>0</v>
      </c>
      <c r="AK109" s="345">
        <f>(Table16[[#This Row],[Dead Time Loss BuCtrl]]+Table16[[#This Row],[Transition Loss BuCtrl]]+Table16[[#This Row],[RDS(on) Loss BuCtrl]]*(1+RdsonTopTc*Ta-RdsonTopTc*25))/(1-Table16[[#This Row],[RDS(on) Loss BuCtrl]]*RdsonTopTc*ThetaJA_Q1)</f>
        <v>0.99515916996952913</v>
      </c>
      <c r="AL109" s="345">
        <f>CHOOSE(Table16[[#This Row],[Mode Digit]],SQRT((Fsw*(Table16[[#This Row],[t2_Ph_I]]+0))*((Table16[[#This Row],[I_0]]*Table16[[#This Row],[I_1]]+((Table16[[#This Row],[I_0]]-Table16[[#This Row],[I_1]])^2)/3))),0,SQRT((Fsw*(Table16[[#This Row],[t3_Ph_III]]+0))*((Table16[[#This Row],[I_0]]*Table16[[#This Row],[I_2]]+((Table16[[#This Row],[I_0]]-Table16[[#This Row],[I_2]])^2)/3))))</f>
        <v>5.7444829174510552</v>
      </c>
      <c r="AM109" s="345">
        <f>Rdson2*Table16[[#This Row],[Irms BuSync]]^2</f>
        <v>0.11549679396110446</v>
      </c>
      <c r="AN109"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09" s="345">
        <f>(Table16[[#This Row],[Deadtime Loss BuSync]]+Table16[[#This Row],[RDS(on) Loss BuSync]]*(1+RdsonBotTc*Ta-RdsonBotTc*25))/(1-Table16[[#This Row],[RDS(on) Loss BuSync]]*RdsonBotTc*ThetaJA_Q2)</f>
        <v>0.36526540974130706</v>
      </c>
      <c r="AP109" s="345">
        <f>CHOOSE(Table16[[#This Row],[Mode Digit]],0,SQRT((Fsw*(Table16[[#This Row],[t1_Ph_II]]+0))*((Table16[[#This Row],[I_0]]*Table16[[#This Row],[I_1]]+((Table16[[#This Row],[I_0]]-Table16[[#This Row],[I_1]])^2)/3))),SQRT((Fsw*(Table16[[#This Row],[t2_Ph_I]]+0))*((Table16[[#This Row],[I_1]]*Table16[[#This Row],[I_2]]+((Table16[[#This Row],[I_1]]-Table16[[#This Row],[I_2]])^2)/3))))</f>
        <v>3.7181491611729656</v>
      </c>
      <c r="AQ109" s="345">
        <f>Rdson4*Table16[[#This Row],[Irms BoCtlr]]^2</f>
        <v>4.8386216146559302E-2</v>
      </c>
      <c r="AR109" s="345">
        <f>CHOOSE(Table16[[#This Row],[Mode Digit]], 0, (Vout*Table16[[#This Row],[Iin]]/2)*(Fsw)*(Tr_boost+Tf_boost), (Vout*Iout/2)*(Fsw/1)*(Tr_boost+Tf_boost))</f>
        <v>0.47564320886662292</v>
      </c>
      <c r="AS109" s="253">
        <f>IF(Table16[[#This Row],[Vin]]&gt;Vout, 0, IF(Table16[[#This Row],[Iin]]&gt;Table16[[#This Row],[Ripple Current pk-pk]]/2,0,ABS(Table16[[#This Row],[Iin]]-Table16[[#This Row],[Ripple Current pk-pk]]/2)*Vsd_Q4*Deadtime*Fsw))</f>
        <v>0</v>
      </c>
      <c r="AT109" s="345">
        <f>(Table16[[#This Row],[Dead Time Loss BoCtlr]]+Table16[[#This Row],[Transition Loss BoCtlr]]+Table16[[#This Row],[RDS(on) Loss BoCtlr]]*(1+RdsonTopTc*Ta-RdsonTopTc*25))/(1-Table16[[#This Row],[RDS(on) Loss BoCtlr]]*RdsonTopTc*ThetaJA_Q4)</f>
        <v>0.53070592644668269</v>
      </c>
      <c r="AU109"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8.9740009682111239</v>
      </c>
      <c r="AV109" s="345">
        <f>Rdson3*Table16[[#This Row],[Irms BoSync]]^2</f>
        <v>0.2818644268210897</v>
      </c>
      <c r="AW109"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0.19151879699248117</v>
      </c>
      <c r="AX109" s="345">
        <f>(Table16[[#This Row],[Deadtime Loss BoSync]]+Table16[[#This Row],[RDS(on) Loss BoSync]]*(1+RdsonBotTc*Ta-RdsonBotTc*25))/(1-Table16[[#This Row],[RDS(on) Loss BoSync]]*RdsonBotTc*ThetaJA_Q3)</f>
        <v>0.51081842487306006</v>
      </c>
      <c r="AY109" s="345">
        <f>CHOOSE(Table16[[#This Row],[Mode Digit]], Rdson3*Table16[[#This Row],[Irms Lf]]^2, Rdson1*Table16[[#This Row],[Irms Lf]]^2, 0)</f>
        <v>0</v>
      </c>
      <c r="AZ109" s="345">
        <f>CHOOSE(Table16[[#This Row],[Mode Digit]], 2*Deadtime*Fsw*IF(VfdSky_Q2&gt;0,VfdSky_Q2,0)*Table16[[#This Row],[Iout]], 2*Deadtime*Fsw*IF(VfdSky_Q3&gt;0,VfdSky_Q3,0)*Table16[[#This Row],[Iin]], 2*Deadtime*Fsw*IF(VfdSky_Q2&gt;0,VfdSky_Q2,0)*Table16[[#This Row],[Iout]]+2*Deadtime*Fsw*IF(VfdSky_Q3&gt;0,VfdSky_Q3,0)*Table16[[#This Row],[Iin]])</f>
        <v>0</v>
      </c>
      <c r="BA109" s="345">
        <f>CHOOSE(Table16[[#This Row],[Mode Digit]], IF(QrrSky_Q2&gt;0,QrrSky_Q2,Qrr_Q2)*Fsw*(Table16[[#This Row],[Vin]]-Table16[[#This Row],[Iout]]*Rdson1),0,  IF(QrrSky_Q2&gt;0,QrrSky_Q2,Qrr_Q2)*Fsw*(Table16[[#This Row],[Vin]]-Table16[[#This Row],[Iout]]*Rdson1)+IF(QrrSky_Q3&gt;0,QrrSky_Q3,Qrr_Q3)*Fsw*Vout)</f>
        <v>0.73221651999999993</v>
      </c>
      <c r="BB109" s="345">
        <f>CHOOSE(Table16[[#This Row],[Mode Digit]],0, IF(QrrSky_Q3&gt;0,QrrSky_Q3,Qrr_Q3)*Fsw*Vout,  IF(QrrSky_Q2&gt;0,QrrSky_Q2,Qrr_Q2)*Fsw*(Table16[[#This Row],[Vin]]-Table16[[#This Row],[Iout]]*Rdson1)+IF(QrrSky_Q3&gt;0,QrrSky_Q3,Qrr_Q3)*Fsw*Vout)</f>
        <v>0.73221651999999993</v>
      </c>
      <c r="BC109" s="345">
        <f>CHOOSE(Table16[[#This Row],[Mode Digit]], Rs*Table16[[#This Row],[Irms BuSync]]^2, Rs*Table16[[#This Row],[Irms BoCtlr]]^2, Rs*(Table16[[#This Row],[Irms BuSync]]^2+Table16[[#This Row],[Irms BoCtlr]]^2))</f>
        <v>6.0870832325703672E-2</v>
      </c>
      <c r="BD109" s="345">
        <f t="shared" si="5"/>
        <v>0.64</v>
      </c>
      <c r="BE109" s="345">
        <f>IF(Vout&gt;8, Iq*Vout, Iq*Table16[[#This Row],[Vin]])</f>
        <v>4.8000000000000001E-2</v>
      </c>
      <c r="BF109" s="345">
        <f>CHOOSE(Table16[[#This Row],[Mode Digit]], (Qg_Q1+Qg_Q2)*Fsw, (Qg_Q3+Qg_Q4)*Fsw, (Qg_Q1+Qg_Q2+Qg_Q3+Qg_Q4)*Fsw)*IF(Vout&gt;8, Vout, Table16[[#This Row],[Vin]])</f>
        <v>1.7066240000000001</v>
      </c>
      <c r="BG109" s="345">
        <f t="shared" si="6"/>
        <v>0.50594479787234037</v>
      </c>
      <c r="BH109" s="345">
        <f>Table16[[#This Row],[IQ Loss]]+Table16[[#This Row],[Switching Current Loss]]</f>
        <v>1.7546240000000002</v>
      </c>
      <c r="BI109"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8.5039911148032488</v>
      </c>
      <c r="BJ109" s="253">
        <f>Vout*Table16[[#This Row],[Iout]]</f>
        <v>128</v>
      </c>
      <c r="BK109" s="684">
        <f>Table16[[#This Row],[Pout]]/(Table16[[#This Row],[Pout]]+Table16[[#This Row],[Total Loss]])</f>
        <v>0.93770152033392795</v>
      </c>
      <c r="BL109"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112.27941984801939</v>
      </c>
      <c r="BM109" s="685">
        <f>IF(Table16[[#This Row],[Vin]]&gt;Vout, Table16[[#This Row],[Total Sync Bu MOSFET Loss]]*ThetaJA_Q2, ThetaJA_Q3*Table16[[#This Row],[Total Sync Bo MOSFET Loss]])</f>
        <v>23.74225163318496</v>
      </c>
      <c r="BN109" s="640"/>
      <c r="BO109" s="292">
        <f>Table16[[#This Row],[EFF, h]]*100</f>
        <v>93.77015203339279</v>
      </c>
      <c r="BP109" s="345">
        <f>Table16[[#This Row],[Total Inductor Loss]]</f>
        <v>2.1629129932175375</v>
      </c>
      <c r="BQ109" s="345">
        <f>Table16[[#This Row],[Total Control Bu MOSFET Loss]]+Table16[[#This Row],[Total Sync Bu MOSFET Loss]]+Table16[[#This Row],[Total Control Bo MOSFET Loss]]+Table16[[#This Row],[Total Sync Bo MOSFET Loss]]+Table16[[#This Row],[Reverse Recovery Loss MOSFET D BUCK]]+Table16[[#This Row],[Reverse Recovery Loss MOSFET D BOOST]]</f>
        <v>3.8663819710305782</v>
      </c>
      <c r="BR109" s="345">
        <f>Table16[[#This Row],[Total Control Bu MOSFET Loss]]+Table16[[#This Row],[Reverse Recovery Loss MOSFET D BUCK]]*0.66</f>
        <v>1.4784220731695292</v>
      </c>
      <c r="BS109" s="345">
        <f>Table16[[#This Row],[Total Sync Bu MOSFET Loss]]+Table16[[#This Row],[Reverse Recovery Loss MOSFET D BUCK]]*0.33</f>
        <v>0.60689686134130705</v>
      </c>
      <c r="BT109" s="345">
        <f xml:space="preserve"> Table16[[#This Row],[Total Control Bo MOSFET Loss]]+Table16[[#This Row],[Reverse Recovery Loss MOSFET D BOOST]]*0.66</f>
        <v>1.0139688296466827</v>
      </c>
      <c r="BU109" s="345">
        <f xml:space="preserve"> Table16[[#This Row],[Total Sync Bo MOSFET Loss]]+Table16[[#This Row],[Reverse Recovery Loss MOSFET D BOOST]]*0.33</f>
        <v>0.75244987647306005</v>
      </c>
      <c r="BV109" s="345">
        <f>Table16[[#This Row],[Isense Shunt Loss]]</f>
        <v>6.0870832325703672E-2</v>
      </c>
      <c r="CB109" s="686"/>
      <c r="CC109" s="686"/>
    </row>
    <row r="110" spans="7:81" x14ac:dyDescent="0.2">
      <c r="G110" s="253">
        <v>101</v>
      </c>
      <c r="H110" s="286">
        <f>VIN_min+(VIN_max-VIN_min)*(Table16[[#This Row],[Step]]/200)</f>
        <v>21.15</v>
      </c>
      <c r="I110" s="292" t="str">
        <f>IF(Mode = 2,IF(Table16[[#This Row],[Vin]]&gt;Vout, "BUCK","BOOST"),IF(Table16[[#This Row],[Vin]]&gt;VIN_BB_to_buck, "BUCK", IF(Table16[[#This Row],[Vin]]&lt;=VIN_boost_to_BB,"BOOST","BUCK-BST")))</f>
        <v>BUCK-BST</v>
      </c>
      <c r="J110" s="253">
        <f>IF(Table16[[#This Row],[Mode]]="BOOST",2, IF(Table16[[#This Row],[Mode]]="BUCK", 1,3))</f>
        <v>3</v>
      </c>
      <c r="K110" s="253">
        <f t="shared" si="4"/>
        <v>8</v>
      </c>
      <c r="L110" s="292">
        <f>Vout*Table16[[#This Row],[Iout]]/(Table16[[#This Row],[Vin]]*Efficiency)</f>
        <v>6.370536269752396</v>
      </c>
      <c r="M110" s="682">
        <f>MIN(1/Fsw,CHOOSE(Table16[[#This Row],[Mode Digit]],(Vout+(Rdson2+Rs+Rdcr)*Table16[[#This Row],[Iout]])/(Table16[[#This Row],[Vin]]+(Rs+Rdson2-Rdson1)*Table16[[#This Row],[Iout]])/Fsw,(Vout+(Rdson3+Rdcr)*Table16[[#This Row],[Iin]]-Table16[[#This Row],[Vin]])/(Vout+(Rdson3-Rdson4-Rs)*Table16[[#This Row],[Iin]])/Fsw,t1_Ph_II))</f>
        <v>1.5084238313644118E-6</v>
      </c>
      <c r="N110" s="518">
        <f>CHOOSE(Table16[[#This Row],[Mode Digit]],1/Fsw-Table16[[#This Row],[t1_Ph_II]],1/Fsw-Table16[[#This Row],[t1_Ph_II]],(Vout/Fsw-Table16[[#This Row],[Vin]]*t1_Ph_II)/(Table16[[#This Row],[Vin]]+Vout))</f>
        <v>2.2336045738272742E-7</v>
      </c>
      <c r="O110" s="518">
        <f>1/Fsw-(Table16[[#This Row],[t1_Ph_II]]+Table16[[#This Row],[t2_Ph_I]])</f>
        <v>7.8077852532321266E-7</v>
      </c>
      <c r="P110"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6.6372548472421888</v>
      </c>
      <c r="Q110" s="292">
        <f>CHOOSE(Table16[[#This Row],[Mode Digit]],Table16[[#This Row],[I_0]]+1/Lf*(Table16[[#This Row],[Vin]]-Vout)*Table16[[#This Row],[t1_Ph_II]],Table16[[#This Row],[I_0]]+1/Lf*Table16[[#This Row],[Vin]]*Table16[[#This Row],[t1_Ph_II]],Table16[[#This Row],[I_0]]+(Table16[[#This Row],[Vin]]-Vout)/L*Table16[[#This Row],[t1_Ph_II]])</f>
        <v>10.953023031423699</v>
      </c>
      <c r="R110" s="292">
        <f>CHOOSE(Table16[[#This Row],[Mode Digit]],0,0,Table16[[#This Row],[I_1]]+Table16[[#This Row],[Vin]]/L*Table16[[#This Row],[t2_Ph_I]])</f>
        <v>13.577508405670745</v>
      </c>
      <c r="S110" s="292">
        <f>Fsw*(Table16[[#This Row],[I_0]]*Table16[[#This Row],[t1_Ph_II]]+Table16[[#This Row],[I_1]]*Table16[[#This Row],[t2_Ph_I]]+Table16[[#This Row],[I_2]]*Table16[[#This Row],[t3_Ph_III]])</f>
        <v>9.1775984591718505</v>
      </c>
      <c r="T110" s="345">
        <f>MIN(1,CHOOSE(Table16[[#This Row],[Mode Digit]],(Vout+(Rdson2+Rs+Rdcr)*Table16[[#This Row],[Iout]])/(Table16[[#This Row],[Vin]]+(Rs+Rdson2-Rdson1)*Table16[[#This Row],[Iout]]),1,Fsw*Table16[[#This Row],[t2_Ph_I]]+Table16[[#This Row],[t1_Ph_II]]))</f>
        <v>8.8898970462156876E-2</v>
      </c>
      <c r="U110" s="345">
        <f>MIN(1,CHOOSE(Table16[[#This Row],[Mode Digit]],0,(Vout+(Rdson3+Rdcr)*Table16[[#This Row],[Iin]]-Table16[[#This Row],[Vin]])/(Vout+(Rdson3-Rdson4-Rs)*Table16[[#This Row],[Iin]]),Fsw*Table16[[#This Row],[t1_Ph_II]]+Table16[[#This Row],[t3_Ph_III]]))</f>
        <v>0.60035346566156111</v>
      </c>
      <c r="V110" s="292">
        <f>MAX(Table16[[#This Row],[I_0]:[I_2]])-MIN(Table16[[#This Row],[I_0]:[I_1]])</f>
        <v>6.9402535584285561</v>
      </c>
      <c r="W110"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9.68450033033238</v>
      </c>
      <c r="X110" s="345">
        <f>(Table16[[#This Row],[Irms Lf]]^2*Rdcr*(1+Ltc*Ta-Ltc*25))/(1-Table16[[#This Row],[Irms Lf]]^2*Rdcr*Ltc*ThetaCa)</f>
        <v>0.30750990008877088</v>
      </c>
      <c r="Y110" s="345">
        <f>ABS(7.759*10^-3*Fsw^0.9458*(0.00787*Table16[[#This Row],[Ripple Current pk-pk]])^2.304)</f>
        <v>1.8924731315177998</v>
      </c>
      <c r="Z110" s="345">
        <f>Table16[[#This Row],[DCR    Loss]]+Table16[[#This Row],[Core Loss]]</f>
        <v>2.1999830316065707</v>
      </c>
      <c r="AA110" s="292">
        <f>IF(Table16[[#This Row],[Vin]]&gt;Vout, Table16[[#This Row],[Ripple Current pk-pk]]/SQRT(12), SQRT(Table16[[#This Row],[Duty Cycle BOOST Leg]]/(1-Table16[[#This Row],[Duty Cycle BOOST Leg]]))*SQRT(Table16[[#This Row],[Iout]]^2+(Table16[[#This Row],[Ripple Current pk-pk]]^2)/12))</f>
        <v>2.0034786301014926</v>
      </c>
      <c r="AB110" s="345">
        <f>RCoutEsr*Table16[[#This Row],[Irms Cout]]^2</f>
        <v>8.0278532425467064E-3</v>
      </c>
      <c r="AC110" s="345">
        <f>Table16[[#This Row],[Cout ESR Loss]]</f>
        <v>8.0278532425467064E-3</v>
      </c>
      <c r="AD110" s="345">
        <f>IF(Table16[[#This Row],[Vin]]&gt;Vout, SQRT(Table16[[#This Row],[Duty Cycle BUCK Leg]]*(1-Table16[[#This Row],[Duty Cycle BUCK Leg]]))*SQRT(Table16[[#This Row],[Iout]]^2+(Table16[[#This Row],[Ripple Current pk-pk]]^2)/12), Table16[[#This Row],[Ripple Current pk-pk]]/SQRT(12))</f>
        <v>2.3470944077111411</v>
      </c>
      <c r="AE110" s="345">
        <f>RCinEsr*Table16[[#This Row],[Irms Cin]]^2</f>
        <v>1.1017704317417824E-2</v>
      </c>
      <c r="AF110" s="683">
        <f>Table16[[#This Row],[Cin ESR Loss]]</f>
        <v>1.1017704317417824E-2</v>
      </c>
      <c r="AG110"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7.7971965821670706</v>
      </c>
      <c r="AH110" s="345">
        <f>Rdson1*Table16[[#This Row],[Irms BuCtrl]]^2</f>
        <v>0.21278696089335247</v>
      </c>
      <c r="AI110" s="345">
        <f>CHOOSE(Table16[[#This Row],[Mode Digit]], (Table16[[#This Row],[Vin]]*Table16[[#This Row],[Iout]]/2)*(Fsw)*(Tr_buck+Tf_buck), 0, (Table16[[#This Row],[Vin]]*Table16[[#This Row],[Avg IL]]/2)*(Fsw/1)*(Tr_buck+Tf_buck))</f>
        <v>0.7264442666667742</v>
      </c>
      <c r="AJ110" s="253">
        <f>IF(Table16[[#This Row],[Vin]]&gt;Vout, IF(Table16[[#This Row],[Iout]]&gt;Table16[[#This Row],[Ripple Current pk-pk]]/2,0,ABS(Table16[[#This Row],[Iout]]-Table16[[#This Row],[Ripple Current pk-pk]]/2)*Vsd_Q1*Deadtime*Fsw),0)</f>
        <v>0</v>
      </c>
      <c r="AK110" s="345">
        <f>(Table16[[#This Row],[Dead Time Loss BuCtrl]]+Table16[[#This Row],[Transition Loss BuCtrl]]+Table16[[#This Row],[RDS(on) Loss BuCtrl]]*(1+RdsonTopTc*Ta-RdsonTopTc*25))/(1-Table16[[#This Row],[RDS(on) Loss BuCtrl]]*RdsonTopTc*ThetaJA_Q1)</f>
        <v>0.99423700176349983</v>
      </c>
      <c r="AL110" s="345">
        <f>CHOOSE(Table16[[#This Row],[Mode Digit]],SQRT((Fsw*(Table16[[#This Row],[t2_Ph_I]]+0))*((Table16[[#This Row],[I_0]]*Table16[[#This Row],[I_1]]+((Table16[[#This Row],[I_0]]-Table16[[#This Row],[I_1]])^2)/3))),0,SQRT((Fsw*(Table16[[#This Row],[t3_Ph_III]]+0))*((Table16[[#This Row],[I_0]]*Table16[[#This Row],[I_2]]+((Table16[[#This Row],[I_0]]-Table16[[#This Row],[I_2]])^2)/3))))</f>
        <v>5.7439770287885139</v>
      </c>
      <c r="AM110" s="345">
        <f>Rdson2*Table16[[#This Row],[Irms BuSync]]^2</f>
        <v>0.11547645237537543</v>
      </c>
      <c r="AN110"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10" s="345">
        <f>(Table16[[#This Row],[Deadtime Loss BuSync]]+Table16[[#This Row],[RDS(on) Loss BuSync]]*(1+RdsonBotTc*Ta-RdsonBotTc*25))/(1-Table16[[#This Row],[RDS(on) Loss BuSync]]*RdsonBotTc*ThetaJA_Q2)</f>
        <v>0.36524244690191027</v>
      </c>
      <c r="AP110" s="345">
        <f>CHOOSE(Table16[[#This Row],[Mode Digit]],0,SQRT((Fsw*(Table16[[#This Row],[t1_Ph_II]]+0))*((Table16[[#This Row],[I_0]]*Table16[[#This Row],[I_1]]+((Table16[[#This Row],[I_0]]-Table16[[#This Row],[I_1]])^2)/3))),SQRT((Fsw*(Table16[[#This Row],[t2_Ph_I]]+0))*((Table16[[#This Row],[I_1]]*Table16[[#This Row],[I_2]]+((Table16[[#This Row],[I_1]]-Table16[[#This Row],[I_2]])^2)/3))))</f>
        <v>3.6639420354830028</v>
      </c>
      <c r="AQ110" s="345">
        <f>Rdson4*Table16[[#This Row],[Irms BoCtlr]]^2</f>
        <v>4.6985649337827652E-2</v>
      </c>
      <c r="AR110" s="345">
        <f>CHOOSE(Table16[[#This Row],[Mode Digit]], 0, (Vout*Table16[[#This Row],[Iin]]/2)*(Fsw)*(Tr_boost+Tf_boost), (Vout*Iout/2)*(Fsw/1)*(Tr_boost+Tf_boost))</f>
        <v>0.47564320886662292</v>
      </c>
      <c r="AS110" s="253">
        <f>IF(Table16[[#This Row],[Vin]]&gt;Vout, 0, IF(Table16[[#This Row],[Iin]]&gt;Table16[[#This Row],[Ripple Current pk-pk]]/2,0,ABS(Table16[[#This Row],[Iin]]-Table16[[#This Row],[Ripple Current pk-pk]]/2)*Vsd_Q4*Deadtime*Fsw))</f>
        <v>0</v>
      </c>
      <c r="AT110" s="345">
        <f>(Table16[[#This Row],[Dead Time Loss BoCtlr]]+Table16[[#This Row],[Transition Loss BoCtlr]]+Table16[[#This Row],[RDS(on) Loss BoCtlr]]*(1+RdsonTopTc*Ta-RdsonTopTc*25))/(1-Table16[[#This Row],[RDS(on) Loss BoCtlr]]*RdsonTopTc*ThetaJA_Q4)</f>
        <v>0.52909239311348766</v>
      </c>
      <c r="AU110"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8.9646570156826773</v>
      </c>
      <c r="AV110" s="345">
        <f>Rdson3*Table16[[#This Row],[Irms BoSync]]^2</f>
        <v>0.28127776393090026</v>
      </c>
      <c r="AW110"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0.19016050765210898</v>
      </c>
      <c r="AX110" s="345">
        <f>(Table16[[#This Row],[Deadtime Loss BoSync]]+Table16[[#This Row],[RDS(on) Loss BoSync]]*(1+RdsonBotTc*Ta-RdsonBotTc*25))/(1-Table16[[#This Row],[RDS(on) Loss BoSync]]*RdsonBotTc*ThetaJA_Q3)</f>
        <v>0.50863594684683744</v>
      </c>
      <c r="AY110" s="345">
        <f>CHOOSE(Table16[[#This Row],[Mode Digit]], Rdson3*Table16[[#This Row],[Irms Lf]]^2, Rdson1*Table16[[#This Row],[Irms Lf]]^2, 0)</f>
        <v>0</v>
      </c>
      <c r="AZ110" s="345">
        <f>CHOOSE(Table16[[#This Row],[Mode Digit]], 2*Deadtime*Fsw*IF(VfdSky_Q2&gt;0,VfdSky_Q2,0)*Table16[[#This Row],[Iout]], 2*Deadtime*Fsw*IF(VfdSky_Q3&gt;0,VfdSky_Q3,0)*Table16[[#This Row],[Iin]], 2*Deadtime*Fsw*IF(VfdSky_Q2&gt;0,VfdSky_Q2,0)*Table16[[#This Row],[Iout]]+2*Deadtime*Fsw*IF(VfdSky_Q3&gt;0,VfdSky_Q3,0)*Table16[[#This Row],[Iin]])</f>
        <v>0</v>
      </c>
      <c r="BA110" s="345">
        <f>CHOOSE(Table16[[#This Row],[Mode Digit]], IF(QrrSky_Q2&gt;0,QrrSky_Q2,Qrr_Q2)*Fsw*(Table16[[#This Row],[Vin]]-Table16[[#This Row],[Iout]]*Rdson1),0,  IF(QrrSky_Q2&gt;0,QrrSky_Q2,Qrr_Q2)*Fsw*(Table16[[#This Row],[Vin]]-Table16[[#This Row],[Iout]]*Rdson1)+IF(QrrSky_Q3&gt;0,QrrSky_Q3,Qrr_Q3)*Fsw*Vout)</f>
        <v>0.73490301999999996</v>
      </c>
      <c r="BB110" s="345">
        <f>CHOOSE(Table16[[#This Row],[Mode Digit]],0, IF(QrrSky_Q3&gt;0,QrrSky_Q3,Qrr_Q3)*Fsw*Vout,  IF(QrrSky_Q2&gt;0,QrrSky_Q2,Qrr_Q2)*Fsw*(Table16[[#This Row],[Vin]]-Table16[[#This Row],[Iout]]*Rdson1)+IF(QrrSky_Q3&gt;0,QrrSky_Q3,Qrr_Q3)*Fsw*Vout)</f>
        <v>0.73490301999999996</v>
      </c>
      <c r="BC110" s="345">
        <f>CHOOSE(Table16[[#This Row],[Mode Digit]], Rs*Table16[[#This Row],[Irms BuSync]]^2, Rs*Table16[[#This Row],[Irms BoCtlr]]^2, Rs*(Table16[[#This Row],[Irms BuSync]]^2+Table16[[#This Row],[Irms BoCtlr]]^2))</f>
        <v>6.0343066350618285E-2</v>
      </c>
      <c r="BD110" s="345">
        <f t="shared" si="5"/>
        <v>0.64</v>
      </c>
      <c r="BE110" s="345">
        <f>IF(Vout&gt;8, Iq*Vout, Iq*Table16[[#This Row],[Vin]])</f>
        <v>4.8000000000000001E-2</v>
      </c>
      <c r="BF110" s="345">
        <f>CHOOSE(Table16[[#This Row],[Mode Digit]], (Qg_Q1+Qg_Q2)*Fsw, (Qg_Q3+Qg_Q4)*Fsw, (Qg_Q1+Qg_Q2+Qg_Q3+Qg_Q4)*Fsw)*IF(Vout&gt;8, Vout, Table16[[#This Row],[Vin]])</f>
        <v>1.7066240000000001</v>
      </c>
      <c r="BG110" s="345">
        <f t="shared" si="6"/>
        <v>0.50594479787234037</v>
      </c>
      <c r="BH110" s="345">
        <f>Table16[[#This Row],[IQ Loss]]+Table16[[#This Row],[Switching Current Loss]]</f>
        <v>1.7546240000000002</v>
      </c>
      <c r="BI110"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8.5410094841428883</v>
      </c>
      <c r="BJ110" s="253">
        <f>Vout*Table16[[#This Row],[Iout]]</f>
        <v>128</v>
      </c>
      <c r="BK110" s="684">
        <f>Table16[[#This Row],[Pout]]/(Table16[[#This Row],[Pout]]+Table16[[#This Row],[Total Loss]])</f>
        <v>0.93744729501846269</v>
      </c>
      <c r="BL110"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112.39410141462749</v>
      </c>
      <c r="BM110" s="685">
        <f>IF(Table16[[#This Row],[Vin]]&gt;Vout, Table16[[#This Row],[Total Sync Bu MOSFET Loss]]*ThetaJA_Q2, ThetaJA_Q3*Table16[[#This Row],[Total Sync Bo MOSFET Loss]])</f>
        <v>23.740759048624167</v>
      </c>
      <c r="BN110" s="640"/>
      <c r="BO110" s="292">
        <f>Table16[[#This Row],[EFF, h]]*100</f>
        <v>93.744729501846265</v>
      </c>
      <c r="BP110" s="345">
        <f>Table16[[#This Row],[Total Inductor Loss]]</f>
        <v>2.1999830316065707</v>
      </c>
      <c r="BQ110" s="345">
        <f>Table16[[#This Row],[Total Control Bu MOSFET Loss]]+Table16[[#This Row],[Total Sync Bu MOSFET Loss]]+Table16[[#This Row],[Total Control Bo MOSFET Loss]]+Table16[[#This Row],[Total Sync Bo MOSFET Loss]]+Table16[[#This Row],[Reverse Recovery Loss MOSFET D BUCK]]+Table16[[#This Row],[Reverse Recovery Loss MOSFET D BOOST]]</f>
        <v>3.8670138286257352</v>
      </c>
      <c r="BR110" s="345">
        <f>Table16[[#This Row],[Total Control Bu MOSFET Loss]]+Table16[[#This Row],[Reverse Recovery Loss MOSFET D BUCK]]*0.66</f>
        <v>1.4792729949635</v>
      </c>
      <c r="BS110" s="345">
        <f>Table16[[#This Row],[Total Sync Bu MOSFET Loss]]+Table16[[#This Row],[Reverse Recovery Loss MOSFET D BUCK]]*0.33</f>
        <v>0.60776044350191027</v>
      </c>
      <c r="BT110" s="345">
        <f xml:space="preserve"> Table16[[#This Row],[Total Control Bo MOSFET Loss]]+Table16[[#This Row],[Reverse Recovery Loss MOSFET D BOOST]]*0.66</f>
        <v>1.0141283863134878</v>
      </c>
      <c r="BU110" s="345">
        <f xml:space="preserve"> Table16[[#This Row],[Total Sync Bo MOSFET Loss]]+Table16[[#This Row],[Reverse Recovery Loss MOSFET D BOOST]]*0.33</f>
        <v>0.7511539434468375</v>
      </c>
      <c r="BV110" s="345">
        <f>Table16[[#This Row],[Isense Shunt Loss]]</f>
        <v>6.0343066350618285E-2</v>
      </c>
    </row>
    <row r="111" spans="7:81" x14ac:dyDescent="0.2">
      <c r="G111" s="253">
        <v>102</v>
      </c>
      <c r="H111" s="286">
        <f>VIN_min+(VIN_max-VIN_min)*(Table16[[#This Row],[Step]]/200)</f>
        <v>21.3</v>
      </c>
      <c r="I111" s="292" t="str">
        <f>IF(Mode = 2,IF(Table16[[#This Row],[Vin]]&gt;Vout, "BUCK","BOOST"),IF(Table16[[#This Row],[Vin]]&gt;VIN_BB_to_buck, "BUCK", IF(Table16[[#This Row],[Vin]]&lt;=VIN_boost_to_BB,"BOOST","BUCK-BST")))</f>
        <v>BUCK-BST</v>
      </c>
      <c r="J111" s="253">
        <f>IF(Table16[[#This Row],[Mode]]="BOOST",2, IF(Table16[[#This Row],[Mode]]="BUCK", 1,3))</f>
        <v>3</v>
      </c>
      <c r="K111" s="253">
        <f t="shared" si="4"/>
        <v>8</v>
      </c>
      <c r="L111" s="292">
        <f>Vout*Table16[[#This Row],[Iout]]/(Table16[[#This Row],[Vin]]*Efficiency)</f>
        <v>6.3256733382752657</v>
      </c>
      <c r="M111" s="682">
        <f>MIN(1/Fsw,CHOOSE(Table16[[#This Row],[Mode Digit]],(Vout+(Rdson2+Rs+Rdcr)*Table16[[#This Row],[Iout]])/(Table16[[#This Row],[Vin]]+(Rs+Rdson2-Rdson1)*Table16[[#This Row],[Iout]])/Fsw,(Vout+(Rdson3+Rdcr)*Table16[[#This Row],[Iin]]-Table16[[#This Row],[Vin]])/(Vout+(Rdson3-Rdson4-Rs)*Table16[[#This Row],[Iin]])/Fsw,t1_Ph_II))</f>
        <v>1.5084238313644118E-6</v>
      </c>
      <c r="N111" s="518">
        <f>CHOOSE(Table16[[#This Row],[Mode Digit]],1/Fsw-Table16[[#This Row],[t1_Ph_II]],1/Fsw-Table16[[#This Row],[t1_Ph_II]],(Vout/Fsw-Table16[[#This Row],[Vin]]*t1_Ph_II)/(Table16[[#This Row],[Vin]]+Vout))</f>
        <v>2.1639617740117046E-7</v>
      </c>
      <c r="O111" s="518">
        <f>1/Fsw-(Table16[[#This Row],[t1_Ph_II]]+Table16[[#This Row],[t2_Ph_I]])</f>
        <v>7.877428053047697E-7</v>
      </c>
      <c r="P111"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6.5546915596056179</v>
      </c>
      <c r="Q111" s="292">
        <f>CHOOSE(Table16[[#This Row],[Mode Digit]],Table16[[#This Row],[I_0]]+1/Lf*(Table16[[#This Row],[Vin]]-Vout)*Table16[[#This Row],[t1_Ph_II]],Table16[[#This Row],[I_0]]+1/Lf*Table16[[#This Row],[Vin]]*Table16[[#This Row],[t1_Ph_II]],Table16[[#This Row],[I_0]]+(Table16[[#This Row],[Vin]]-Vout)/L*Table16[[#This Row],[t1_Ph_II]])</f>
        <v>10.996161729734164</v>
      </c>
      <c r="R111" s="292">
        <f>CHOOSE(Table16[[#This Row],[Mode Digit]],0,0,Table16[[#This Row],[I_1]]+Table16[[#This Row],[Vin]]/L*Table16[[#This Row],[t2_Ph_I]])</f>
        <v>13.556849828981347</v>
      </c>
      <c r="S111" s="292">
        <f>Fsw*(Table16[[#This Row],[I_0]]*Table16[[#This Row],[t1_Ph_II]]+Table16[[#This Row],[I_1]]*Table16[[#This Row],[t2_Ph_I]]+Table16[[#This Row],[I_2]]*Table16[[#This Row],[t3_Ph_III]])</f>
        <v>9.1325443117405598</v>
      </c>
      <c r="T111" s="345">
        <f>MIN(1,CHOOSE(Table16[[#This Row],[Mode Digit]],(Vout+(Rdson2+Rs+Rdcr)*Table16[[#This Row],[Iout]])/(Table16[[#This Row],[Vin]]+(Rs+Rdson2-Rdson1)*Table16[[#This Row],[Iout]]),1,Fsw*Table16[[#This Row],[t2_Ph_I]]+Table16[[#This Row],[t1_Ph_II]]))</f>
        <v>8.6127187029497218E-2</v>
      </c>
      <c r="U111" s="345">
        <f>MIN(1,CHOOSE(Table16[[#This Row],[Mode Digit]],0,(Vout+(Rdson3+Rdcr)*Table16[[#This Row],[Iin]]-Table16[[#This Row],[Vin]])/(Vout+(Rdson3-Rdson4-Rs)*Table16[[#This Row],[Iin]]),Fsw*Table16[[#This Row],[t1_Ph_II]]+Table16[[#This Row],[t3_Ph_III]]))</f>
        <v>0.60035347262584116</v>
      </c>
      <c r="V111" s="292">
        <f>MAX(Table16[[#This Row],[I_0]:[I_2]])-MIN(Table16[[#This Row],[I_0]:[I_1]])</f>
        <v>7.0021582693757294</v>
      </c>
      <c r="W111"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9.6555721668981889</v>
      </c>
      <c r="X111" s="345">
        <f>(Table16[[#This Row],[Irms Lf]]^2*Rdcr*(1+Ltc*Ta-Ltc*25))/(1-Table16[[#This Row],[Irms Lf]]^2*Rdcr*Ltc*ThetaCa)</f>
        <v>0.30563069324426079</v>
      </c>
      <c r="Y111" s="345">
        <f>ABS(7.759*10^-3*Fsw^0.9458*(0.00787*Table16[[#This Row],[Ripple Current pk-pk]])^2.304)</f>
        <v>1.931591542151134</v>
      </c>
      <c r="Z111" s="345">
        <f>Table16[[#This Row],[DCR    Loss]]+Table16[[#This Row],[Core Loss]]</f>
        <v>2.2372222353953948</v>
      </c>
      <c r="AA111" s="292">
        <f>IF(Table16[[#This Row],[Vin]]&gt;Vout, Table16[[#This Row],[Ripple Current pk-pk]]/SQRT(12), SQRT(Table16[[#This Row],[Duty Cycle BOOST Leg]]/(1-Table16[[#This Row],[Duty Cycle BOOST Leg]]))*SQRT(Table16[[#This Row],[Iout]]^2+(Table16[[#This Row],[Ripple Current pk-pk]]^2)/12))</f>
        <v>2.0213489808662208</v>
      </c>
      <c r="AB111" s="345">
        <f>RCoutEsr*Table16[[#This Row],[Irms Cout]]^2</f>
        <v>8.171703404897819E-3</v>
      </c>
      <c r="AC111" s="345">
        <f>Table16[[#This Row],[Cout ESR Loss]]</f>
        <v>8.171703404897819E-3</v>
      </c>
      <c r="AD111" s="345">
        <f>IF(Table16[[#This Row],[Vin]]&gt;Vout, SQRT(Table16[[#This Row],[Duty Cycle BUCK Leg]]*(1-Table16[[#This Row],[Duty Cycle BUCK Leg]]))*SQRT(Table16[[#This Row],[Iout]]^2+(Table16[[#This Row],[Ripple Current pk-pk]]^2)/12), Table16[[#This Row],[Ripple Current pk-pk]]/SQRT(12))</f>
        <v>2.3149491064494754</v>
      </c>
      <c r="AE111" s="345">
        <f>RCinEsr*Table16[[#This Row],[Irms Cin]]^2</f>
        <v>1.0717978730902449E-2</v>
      </c>
      <c r="AF111" s="683">
        <f>Table16[[#This Row],[Cin ESR Loss]]</f>
        <v>1.0717978730902449E-2</v>
      </c>
      <c r="AG111"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7.7618442236023943</v>
      </c>
      <c r="AH111" s="345">
        <f>Rdson1*Table16[[#This Row],[Irms BuCtrl]]^2</f>
        <v>0.2108617901301445</v>
      </c>
      <c r="AI111" s="345">
        <f>CHOOSE(Table16[[#This Row],[Mode Digit]], (Table16[[#This Row],[Vin]]*Table16[[#This Row],[Iout]]/2)*(Fsw)*(Tr_buck+Tf_buck), 0, (Table16[[#This Row],[Vin]]*Table16[[#This Row],[Avg IL]]/2)*(Fsw/1)*(Tr_buck+Tf_buck))</f>
        <v>0.72800484221129758</v>
      </c>
      <c r="AJ111" s="253">
        <f>IF(Table16[[#This Row],[Vin]]&gt;Vout, IF(Table16[[#This Row],[Iout]]&gt;Table16[[#This Row],[Ripple Current pk-pk]]/2,0,ABS(Table16[[#This Row],[Iout]]-Table16[[#This Row],[Ripple Current pk-pk]]/2)*Vsd_Q1*Deadtime*Fsw),0)</f>
        <v>0</v>
      </c>
      <c r="AK111" s="345">
        <f>(Table16[[#This Row],[Dead Time Loss BuCtrl]]+Table16[[#This Row],[Transition Loss BuCtrl]]+Table16[[#This Row],[RDS(on) Loss BuCtrl]]*(1+RdsonTopTc*Ta-RdsonTopTc*25))/(1-Table16[[#This Row],[RDS(on) Loss BuCtrl]]*RdsonTopTc*ThetaJA_Q1)</f>
        <v>0.99332473247150932</v>
      </c>
      <c r="AL111" s="345">
        <f>CHOOSE(Table16[[#This Row],[Mode Digit]],SQRT((Fsw*(Table16[[#This Row],[t2_Ph_I]]+0))*((Table16[[#This Row],[I_0]]*Table16[[#This Row],[I_1]]+((Table16[[#This Row],[I_0]]-Table16[[#This Row],[I_1]])^2)/3))),0,SQRT((Fsw*(Table16[[#This Row],[t3_Ph_III]]+0))*((Table16[[#This Row],[I_0]]*Table16[[#This Row],[I_2]]+((Table16[[#This Row],[I_0]]-Table16[[#This Row],[I_2]])^2)/3))))</f>
        <v>5.7431566336561932</v>
      </c>
      <c r="AM111" s="345">
        <f>Rdson2*Table16[[#This Row],[Irms BuSync]]^2</f>
        <v>0.11544346841548199</v>
      </c>
      <c r="AN111"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11" s="345">
        <f>(Table16[[#This Row],[Deadtime Loss BuSync]]+Table16[[#This Row],[RDS(on) Loss BuSync]]*(1+RdsonBotTc*Ta-RdsonBotTc*25))/(1-Table16[[#This Row],[RDS(on) Loss BuSync]]*RdsonBotTc*ThetaJA_Q2)</f>
        <v>0.36520521310127685</v>
      </c>
      <c r="AP111" s="345">
        <f>CHOOSE(Table16[[#This Row],[Mode Digit]],0,SQRT((Fsw*(Table16[[#This Row],[t1_Ph_II]]+0))*((Table16[[#This Row],[I_0]]*Table16[[#This Row],[I_1]]+((Table16[[#This Row],[I_0]]-Table16[[#This Row],[I_1]])^2)/3))),SQRT((Fsw*(Table16[[#This Row],[t2_Ph_I]]+0))*((Table16[[#This Row],[I_1]]*Table16[[#This Row],[I_2]]+((Table16[[#This Row],[I_1]]-Table16[[#This Row],[I_2]])^2)/3))))</f>
        <v>3.6093331570436602</v>
      </c>
      <c r="AQ111" s="345">
        <f>Rdson4*Table16[[#This Row],[Irms BoCtlr]]^2</f>
        <v>4.5595500434871643E-2</v>
      </c>
      <c r="AR111" s="345">
        <f>CHOOSE(Table16[[#This Row],[Mode Digit]], 0, (Vout*Table16[[#This Row],[Iin]]/2)*(Fsw)*(Tr_boost+Tf_boost), (Vout*Iout/2)*(Fsw/1)*(Tr_boost+Tf_boost))</f>
        <v>0.47564320886662292</v>
      </c>
      <c r="AS111" s="253">
        <f>IF(Table16[[#This Row],[Vin]]&gt;Vout, 0, IF(Table16[[#This Row],[Iin]]&gt;Table16[[#This Row],[Ripple Current pk-pk]]/2,0,ABS(Table16[[#This Row],[Iin]]-Table16[[#This Row],[Ripple Current pk-pk]]/2)*Vsd_Q4*Deadtime*Fsw))</f>
        <v>0</v>
      </c>
      <c r="AT111" s="345">
        <f>(Table16[[#This Row],[Dead Time Loss BoCtlr]]+Table16[[#This Row],[Transition Loss BoCtlr]]+Table16[[#This Row],[RDS(on) Loss BoCtlr]]*(1+RdsonTopTc*Ta-RdsonTopTc*25))/(1-Table16[[#This Row],[RDS(on) Loss BoCtlr]]*RdsonTopTc*ThetaJA_Q4)</f>
        <v>0.5274920377955562</v>
      </c>
      <c r="AU111"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8.9556009307943274</v>
      </c>
      <c r="AV111" s="345">
        <f>Rdson3*Table16[[#This Row],[Irms BoSync]]^2</f>
        <v>0.28070975811075477</v>
      </c>
      <c r="AW111"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0.18882134914751664</v>
      </c>
      <c r="AX111" s="345">
        <f>(Table16[[#This Row],[Deadtime Loss BoSync]]+Table16[[#This Row],[RDS(on) Loss BoSync]]*(1+RdsonBotTc*Ta-RdsonBotTc*25))/(1-Table16[[#This Row],[RDS(on) Loss BoSync]]*RdsonBotTc*ThetaJA_Q3)</f>
        <v>0.50649760015208767</v>
      </c>
      <c r="AY111" s="345">
        <f>CHOOSE(Table16[[#This Row],[Mode Digit]], Rdson3*Table16[[#This Row],[Irms Lf]]^2, Rdson1*Table16[[#This Row],[Irms Lf]]^2, 0)</f>
        <v>0</v>
      </c>
      <c r="AZ111" s="345">
        <f>CHOOSE(Table16[[#This Row],[Mode Digit]], 2*Deadtime*Fsw*IF(VfdSky_Q2&gt;0,VfdSky_Q2,0)*Table16[[#This Row],[Iout]], 2*Deadtime*Fsw*IF(VfdSky_Q3&gt;0,VfdSky_Q3,0)*Table16[[#This Row],[Iin]], 2*Deadtime*Fsw*IF(VfdSky_Q2&gt;0,VfdSky_Q2,0)*Table16[[#This Row],[Iout]]+2*Deadtime*Fsw*IF(VfdSky_Q3&gt;0,VfdSky_Q3,0)*Table16[[#This Row],[Iin]])</f>
        <v>0</v>
      </c>
      <c r="BA111" s="345">
        <f>CHOOSE(Table16[[#This Row],[Mode Digit]], IF(QrrSky_Q2&gt;0,QrrSky_Q2,Qrr_Q2)*Fsw*(Table16[[#This Row],[Vin]]-Table16[[#This Row],[Iout]]*Rdson1),0,  IF(QrrSky_Q2&gt;0,QrrSky_Q2,Qrr_Q2)*Fsw*(Table16[[#This Row],[Vin]]-Table16[[#This Row],[Iout]]*Rdson1)+IF(QrrSky_Q3&gt;0,QrrSky_Q3,Qrr_Q3)*Fsw*Vout)</f>
        <v>0.73758952</v>
      </c>
      <c r="BB111" s="345">
        <f>CHOOSE(Table16[[#This Row],[Mode Digit]],0, IF(QrrSky_Q3&gt;0,QrrSky_Q3,Qrr_Q3)*Fsw*Vout,  IF(QrrSky_Q2&gt;0,QrrSky_Q2,Qrr_Q2)*Fsw*(Table16[[#This Row],[Vin]]-Table16[[#This Row],[Iout]]*Rdson1)+IF(QrrSky_Q3&gt;0,QrrSky_Q3,Qrr_Q3)*Fsw*Vout)</f>
        <v>0.73758952</v>
      </c>
      <c r="BC111" s="345">
        <f>CHOOSE(Table16[[#This Row],[Mode Digit]], Rs*Table16[[#This Row],[Irms BuSync]]^2, Rs*Table16[[#This Row],[Irms BoCtlr]]^2, Rs*(Table16[[#This Row],[Irms BuSync]]^2+Table16[[#This Row],[Irms BoCtlr]]^2))</f>
        <v>5.9814474144417068E-2</v>
      </c>
      <c r="BD111" s="345">
        <f t="shared" si="5"/>
        <v>0.64</v>
      </c>
      <c r="BE111" s="345">
        <f>IF(Vout&gt;8, Iq*Vout, Iq*Table16[[#This Row],[Vin]])</f>
        <v>4.8000000000000001E-2</v>
      </c>
      <c r="BF111" s="345">
        <f>CHOOSE(Table16[[#This Row],[Mode Digit]], (Qg_Q1+Qg_Q2)*Fsw, (Qg_Q3+Qg_Q4)*Fsw, (Qg_Q1+Qg_Q2+Qg_Q3+Qg_Q4)*Fsw)*IF(Vout&gt;8, Vout, Table16[[#This Row],[Vin]])</f>
        <v>1.7066240000000001</v>
      </c>
      <c r="BG111" s="345">
        <f t="shared" si="6"/>
        <v>0.50594479787234037</v>
      </c>
      <c r="BH111" s="345">
        <f>Table16[[#This Row],[IQ Loss]]+Table16[[#This Row],[Switching Current Loss]]</f>
        <v>1.7546240000000002</v>
      </c>
      <c r="BI111"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8.5782490151960431</v>
      </c>
      <c r="BJ111" s="253">
        <f>Vout*Table16[[#This Row],[Iout]]</f>
        <v>128</v>
      </c>
      <c r="BK111" s="684">
        <f>Table16[[#This Row],[Pout]]/(Table16[[#This Row],[Pout]]+Table16[[#This Row],[Total Loss]])</f>
        <v>0.9371916899136582</v>
      </c>
      <c r="BL111"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112.5094264106481</v>
      </c>
      <c r="BM111" s="685">
        <f>IF(Table16[[#This Row],[Vin]]&gt;Vout, Table16[[#This Row],[Total Sync Bu MOSFET Loss]]*ThetaJA_Q2, ThetaJA_Q3*Table16[[#This Row],[Total Sync Bo MOSFET Loss]])</f>
        <v>23.738338851582995</v>
      </c>
      <c r="BN111" s="640"/>
      <c r="BO111" s="292">
        <f>Table16[[#This Row],[EFF, h]]*100</f>
        <v>93.719168991365819</v>
      </c>
      <c r="BP111" s="345">
        <f>Table16[[#This Row],[Total Inductor Loss]]</f>
        <v>2.2372222353953948</v>
      </c>
      <c r="BQ111" s="345">
        <f>Table16[[#This Row],[Total Control Bu MOSFET Loss]]+Table16[[#This Row],[Total Sync Bu MOSFET Loss]]+Table16[[#This Row],[Total Control Bo MOSFET Loss]]+Table16[[#This Row],[Total Sync Bo MOSFET Loss]]+Table16[[#This Row],[Reverse Recovery Loss MOSFET D BUCK]]+Table16[[#This Row],[Reverse Recovery Loss MOSFET D BOOST]]</f>
        <v>3.8676986235204298</v>
      </c>
      <c r="BR111" s="345">
        <f>Table16[[#This Row],[Total Control Bu MOSFET Loss]]+Table16[[#This Row],[Reverse Recovery Loss MOSFET D BUCK]]*0.66</f>
        <v>1.4801338156715094</v>
      </c>
      <c r="BS111" s="345">
        <f>Table16[[#This Row],[Total Sync Bu MOSFET Loss]]+Table16[[#This Row],[Reverse Recovery Loss MOSFET D BUCK]]*0.33</f>
        <v>0.60860975470127687</v>
      </c>
      <c r="BT111" s="345">
        <f xml:space="preserve"> Table16[[#This Row],[Total Control Bo MOSFET Loss]]+Table16[[#This Row],[Reverse Recovery Loss MOSFET D BOOST]]*0.66</f>
        <v>1.0143011209955564</v>
      </c>
      <c r="BU111" s="345">
        <f xml:space="preserve"> Table16[[#This Row],[Total Sync Bo MOSFET Loss]]+Table16[[#This Row],[Reverse Recovery Loss MOSFET D BOOST]]*0.33</f>
        <v>0.74990214175208769</v>
      </c>
      <c r="BV111" s="345">
        <f>Table16[[#This Row],[Isense Shunt Loss]]</f>
        <v>5.9814474144417068E-2</v>
      </c>
    </row>
    <row r="112" spans="7:81" x14ac:dyDescent="0.2">
      <c r="G112" s="253">
        <v>103</v>
      </c>
      <c r="H112" s="286">
        <f>VIN_min+(VIN_max-VIN_min)*(Table16[[#This Row],[Step]]/200)</f>
        <v>21.450000000000003</v>
      </c>
      <c r="I112" s="292" t="str">
        <f>IF(Mode = 2,IF(Table16[[#This Row],[Vin]]&gt;Vout, "BUCK","BOOST"),IF(Table16[[#This Row],[Vin]]&gt;VIN_BB_to_buck, "BUCK", IF(Table16[[#This Row],[Vin]]&lt;=VIN_boost_to_BB,"BOOST","BUCK-BST")))</f>
        <v>BUCK-BST</v>
      </c>
      <c r="J112" s="253">
        <f>IF(Table16[[#This Row],[Mode]]="BOOST",2, IF(Table16[[#This Row],[Mode]]="BUCK", 1,3))</f>
        <v>3</v>
      </c>
      <c r="K112" s="253">
        <f t="shared" si="4"/>
        <v>8</v>
      </c>
      <c r="L112" s="292">
        <f>Vout*Table16[[#This Row],[Iout]]/(Table16[[#This Row],[Vin]]*Efficiency)</f>
        <v>6.2814378603852283</v>
      </c>
      <c r="M112" s="682">
        <f>MIN(1/Fsw,CHOOSE(Table16[[#This Row],[Mode Digit]],(Vout+(Rdson2+Rs+Rdcr)*Table16[[#This Row],[Iout]])/(Table16[[#This Row],[Vin]]+(Rs+Rdson2-Rdson1)*Table16[[#This Row],[Iout]])/Fsw,(Vout+(Rdson3+Rdcr)*Table16[[#This Row],[Iin]]-Table16[[#This Row],[Vin]])/(Vout+(Rdson3-Rdson4-Rs)*Table16[[#This Row],[Iin]])/Fsw,t1_Ph_II))</f>
        <v>1.5084238313644118E-6</v>
      </c>
      <c r="N112" s="518">
        <f>CHOOSE(Table16[[#This Row],[Mode Digit]],1/Fsw-Table16[[#This Row],[t1_Ph_II]],1/Fsw-Table16[[#This Row],[t1_Ph_II]],(Vout/Fsw-Table16[[#This Row],[Vin]]*t1_Ph_II)/(Table16[[#This Row],[Vin]]+Vout))</f>
        <v>2.0948768604429885E-7</v>
      </c>
      <c r="O112" s="518">
        <f>1/Fsw-(Table16[[#This Row],[t1_Ph_II]]+Table16[[#This Row],[t2_Ph_I]])</f>
        <v>7.9465129666164129E-7</v>
      </c>
      <c r="P112"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6.4727682934803452</v>
      </c>
      <c r="Q112" s="292">
        <f>CHOOSE(Table16[[#This Row],[Mode Digit]],Table16[[#This Row],[I_0]]+1/Lf*(Table16[[#This Row],[Vin]]-Vout)*Table16[[#This Row],[t1_Ph_II]],Table16[[#This Row],[I_0]]+1/Lf*Table16[[#This Row],[Vin]]*Table16[[#This Row],[t1_Ph_II]],Table16[[#This Row],[I_0]]+(Table16[[#This Row],[Vin]]-Vout)/L*Table16[[#This Row],[t1_Ph_II]])</f>
        <v>11.039940449555928</v>
      </c>
      <c r="R112" s="292">
        <f>CHOOSE(Table16[[#This Row],[Mode Digit]],0,0,Table16[[#This Row],[I_1]]+Table16[[#This Row],[Vin]]/L*Table16[[#This Row],[t2_Ph_I]])</f>
        <v>13.536335374917156</v>
      </c>
      <c r="S112" s="292">
        <f>Fsw*(Table16[[#This Row],[I_0]]*Table16[[#This Row],[t1_Ph_II]]+Table16[[#This Row],[I_1]]*Table16[[#This Row],[t2_Ph_I]]+Table16[[#This Row],[I_2]]*Table16[[#This Row],[t3_Ph_III]])</f>
        <v>9.0875642421712097</v>
      </c>
      <c r="T112" s="345">
        <f>MIN(1,CHOOSE(Table16[[#This Row],[Mode Digit]],(Vout+(Rdson2+Rs+Rdcr)*Table16[[#This Row],[Iout]])/(Table16[[#This Row],[Vin]]+(Rs+Rdson2-Rdson1)*Table16[[#This Row],[Iout]]),1,Fsw*Table16[[#This Row],[t2_Ph_I]]+Table16[[#This Row],[t1_Ph_II]]))</f>
        <v>8.3377607469462309E-2</v>
      </c>
      <c r="U112" s="345">
        <f>MIN(1,CHOOSE(Table16[[#This Row],[Mode Digit]],0,(Vout+(Rdson3+Rdcr)*Table16[[#This Row],[Iin]]-Table16[[#This Row],[Vin]])/(Vout+(Rdson3-Rdson4-Rs)*Table16[[#This Row],[Iin]]),Fsw*Table16[[#This Row],[t1_Ph_II]]+Table16[[#This Row],[t3_Ph_III]]))</f>
        <v>0.60035347953433249</v>
      </c>
      <c r="V112" s="292">
        <f>MAX(Table16[[#This Row],[I_0]:[I_2]])-MIN(Table16[[#This Row],[I_0]:[I_1]])</f>
        <v>7.063567081436811</v>
      </c>
      <c r="W112"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9.6269791599142511</v>
      </c>
      <c r="X112" s="345">
        <f>(Table16[[#This Row],[Irms Lf]]^2*Rdcr*(1+Ltc*Ta-Ltc*25))/(1-Table16[[#This Row],[Irms Lf]]^2*Rdcr*Ltc*ThetaCa)</f>
        <v>0.3037793223497034</v>
      </c>
      <c r="Y112" s="345">
        <f>ABS(7.759*10^-3*Fsw^0.9458*(0.00787*Table16[[#This Row],[Ripple Current pk-pk]])^2.304)</f>
        <v>1.9708447333558115</v>
      </c>
      <c r="Z112" s="345">
        <f>Table16[[#This Row],[DCR    Loss]]+Table16[[#This Row],[Core Loss]]</f>
        <v>2.2746240557055151</v>
      </c>
      <c r="AA112" s="292">
        <f>IF(Table16[[#This Row],[Vin]]&gt;Vout, Table16[[#This Row],[Ripple Current pk-pk]]/SQRT(12), SQRT(Table16[[#This Row],[Duty Cycle BOOST Leg]]/(1-Table16[[#This Row],[Duty Cycle BOOST Leg]]))*SQRT(Table16[[#This Row],[Iout]]^2+(Table16[[#This Row],[Ripple Current pk-pk]]^2)/12))</f>
        <v>2.0390761779532611</v>
      </c>
      <c r="AB112" s="345">
        <f>RCoutEsr*Table16[[#This Row],[Irms Cout]]^2</f>
        <v>8.3156633189929597E-3</v>
      </c>
      <c r="AC112" s="345">
        <f>Table16[[#This Row],[Cout ESR Loss]]</f>
        <v>8.3156633189929597E-3</v>
      </c>
      <c r="AD112" s="345">
        <f>IF(Table16[[#This Row],[Vin]]&gt;Vout, SQRT(Table16[[#This Row],[Duty Cycle BUCK Leg]]*(1-Table16[[#This Row],[Duty Cycle BUCK Leg]]))*SQRT(Table16[[#This Row],[Iout]]^2+(Table16[[#This Row],[Ripple Current pk-pk]]^2)/12), Table16[[#This Row],[Ripple Current pk-pk]]/SQRT(12))</f>
        <v>2.2823267923049286</v>
      </c>
      <c r="AE112" s="345">
        <f>RCinEsr*Table16[[#This Row],[Irms Cin]]^2</f>
        <v>1.0418031173745811E-2</v>
      </c>
      <c r="AF112" s="683">
        <f>Table16[[#This Row],[Cin ESR Loss]]</f>
        <v>1.0418031173745811E-2</v>
      </c>
      <c r="AG112"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7.7270825560161072</v>
      </c>
      <c r="AH112" s="345">
        <f>Rdson1*Table16[[#This Row],[Irms BuCtrl]]^2</f>
        <v>0.20897731689620946</v>
      </c>
      <c r="AI112" s="345">
        <f>CHOOSE(Table16[[#This Row],[Mode Digit]], (Table16[[#This Row],[Vin]]*Table16[[#This Row],[Iout]]/2)*(Fsw)*(Tr_buck+Tf_buck), 0, (Table16[[#This Row],[Vin]]*Table16[[#This Row],[Avg IL]]/2)*(Fsw/1)*(Tr_buck+Tf_buck))</f>
        <v>0.72952077982282681</v>
      </c>
      <c r="AJ112" s="253">
        <f>IF(Table16[[#This Row],[Vin]]&gt;Vout, IF(Table16[[#This Row],[Iout]]&gt;Table16[[#This Row],[Ripple Current pk-pk]]/2,0,ABS(Table16[[#This Row],[Iout]]-Table16[[#This Row],[Ripple Current pk-pk]]/2)*Vsd_Q1*Deadtime*Fsw),0)</f>
        <v>0</v>
      </c>
      <c r="AK112" s="345">
        <f>(Table16[[#This Row],[Dead Time Loss BuCtrl]]+Table16[[#This Row],[Transition Loss BuCtrl]]+Table16[[#This Row],[RDS(on) Loss BuCtrl]]*(1+RdsonTopTc*Ta-RdsonTopTc*25))/(1-Table16[[#This Row],[RDS(on) Loss BuCtrl]]*RdsonTopTc*ThetaJA_Q1)</f>
        <v>0.99242036653104715</v>
      </c>
      <c r="AL112" s="345">
        <f>CHOOSE(Table16[[#This Row],[Mode Digit]],SQRT((Fsw*(Table16[[#This Row],[t2_Ph_I]]+0))*((Table16[[#This Row],[I_0]]*Table16[[#This Row],[I_1]]+((Table16[[#This Row],[I_0]]-Table16[[#This Row],[I_1]])^2)/3))),0,SQRT((Fsw*(Table16[[#This Row],[t3_Ph_III]]+0))*((Table16[[#This Row],[I_0]]*Table16[[#This Row],[I_2]]+((Table16[[#This Row],[I_0]]-Table16[[#This Row],[I_2]])^2)/3))))</f>
        <v>5.7420312536536153</v>
      </c>
      <c r="AM112" s="345">
        <f>Rdson2*Table16[[#This Row],[Irms BuSync]]^2</f>
        <v>0.11539823021277218</v>
      </c>
      <c r="AN112"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12" s="345">
        <f>(Table16[[#This Row],[Deadtime Loss BuSync]]+Table16[[#This Row],[RDS(on) Loss BuSync]]*(1+RdsonBotTc*Ta-RdsonBotTc*25))/(1-Table16[[#This Row],[RDS(on) Loss BuSync]]*RdsonBotTc*ThetaJA_Q2)</f>
        <v>0.36515414722229184</v>
      </c>
      <c r="AP112" s="345">
        <f>CHOOSE(Table16[[#This Row],[Mode Digit]],0,SQRT((Fsw*(Table16[[#This Row],[t1_Ph_II]]+0))*((Table16[[#This Row],[I_0]]*Table16[[#This Row],[I_1]]+((Table16[[#This Row],[I_0]]-Table16[[#This Row],[I_1]])^2)/3))),SQRT((Fsw*(Table16[[#This Row],[t2_Ph_I]]+0))*((Table16[[#This Row],[I_1]]*Table16[[#This Row],[I_2]]+((Table16[[#This Row],[I_1]]-Table16[[#This Row],[I_2]])^2)/3))))</f>
        <v>3.5542864120061646</v>
      </c>
      <c r="AQ112" s="345">
        <f>Rdson4*Table16[[#This Row],[Irms BoCtlr]]^2</f>
        <v>4.4215331645000792E-2</v>
      </c>
      <c r="AR112" s="345">
        <f>CHOOSE(Table16[[#This Row],[Mode Digit]], 0, (Vout*Table16[[#This Row],[Iin]]/2)*(Fsw)*(Tr_boost+Tf_boost), (Vout*Iout/2)*(Fsw/1)*(Tr_boost+Tf_boost))</f>
        <v>0.47564320886662292</v>
      </c>
      <c r="AS112" s="253">
        <f>IF(Table16[[#This Row],[Vin]]&gt;Vout, 0, IF(Table16[[#This Row],[Iin]]&gt;Table16[[#This Row],[Ripple Current pk-pk]]/2,0,ABS(Table16[[#This Row],[Iin]]-Table16[[#This Row],[Ripple Current pk-pk]]/2)*Vsd_Q4*Deadtime*Fsw))</f>
        <v>0</v>
      </c>
      <c r="AT112" s="345">
        <f>(Table16[[#This Row],[Dead Time Loss BoCtlr]]+Table16[[#This Row],[Transition Loss BoCtlr]]+Table16[[#This Row],[RDS(on) Loss BoCtlr]]*(1+RdsonTopTc*Ta-RdsonTopTc*25))/(1-Table16[[#This Row],[RDS(on) Loss BoCtlr]]*RdsonTopTc*ThetaJA_Q4)</f>
        <v>0.52590432943995336</v>
      </c>
      <c r="AU112"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8.9468304916798136</v>
      </c>
      <c r="AV112" s="345">
        <f>Rdson3*Table16[[#This Row],[Irms BoSync]]^2</f>
        <v>0.28016021546398079</v>
      </c>
      <c r="AW112"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0.18750092013249903</v>
      </c>
      <c r="AX112" s="345">
        <f>(Table16[[#This Row],[Deadtime Loss BoSync]]+Table16[[#This Row],[RDS(on) Loss BoSync]]*(1+RdsonBotTc*Ta-RdsonBotTc*25))/(1-Table16[[#This Row],[RDS(on) Loss BoSync]]*RdsonBotTc*ThetaJA_Q3)</f>
        <v>0.5044026607033244</v>
      </c>
      <c r="AY112" s="345">
        <f>CHOOSE(Table16[[#This Row],[Mode Digit]], Rdson3*Table16[[#This Row],[Irms Lf]]^2, Rdson1*Table16[[#This Row],[Irms Lf]]^2, 0)</f>
        <v>0</v>
      </c>
      <c r="AZ112" s="345">
        <f>CHOOSE(Table16[[#This Row],[Mode Digit]], 2*Deadtime*Fsw*IF(VfdSky_Q2&gt;0,VfdSky_Q2,0)*Table16[[#This Row],[Iout]], 2*Deadtime*Fsw*IF(VfdSky_Q3&gt;0,VfdSky_Q3,0)*Table16[[#This Row],[Iin]], 2*Deadtime*Fsw*IF(VfdSky_Q2&gt;0,VfdSky_Q2,0)*Table16[[#This Row],[Iout]]+2*Deadtime*Fsw*IF(VfdSky_Q3&gt;0,VfdSky_Q3,0)*Table16[[#This Row],[Iin]])</f>
        <v>0</v>
      </c>
      <c r="BA112" s="345">
        <f>CHOOSE(Table16[[#This Row],[Mode Digit]], IF(QrrSky_Q2&gt;0,QrrSky_Q2,Qrr_Q2)*Fsw*(Table16[[#This Row],[Vin]]-Table16[[#This Row],[Iout]]*Rdson1),0,  IF(QrrSky_Q2&gt;0,QrrSky_Q2,Qrr_Q2)*Fsw*(Table16[[#This Row],[Vin]]-Table16[[#This Row],[Iout]]*Rdson1)+IF(QrrSky_Q3&gt;0,QrrSky_Q3,Qrr_Q3)*Fsw*Vout)</f>
        <v>0.74027602000000003</v>
      </c>
      <c r="BB112" s="345">
        <f>CHOOSE(Table16[[#This Row],[Mode Digit]],0, IF(QrrSky_Q3&gt;0,QrrSky_Q3,Qrr_Q3)*Fsw*Vout,  IF(QrrSky_Q2&gt;0,QrrSky_Q2,Qrr_Q2)*Fsw*(Table16[[#This Row],[Vin]]-Table16[[#This Row],[Iout]]*Rdson1)+IF(QrrSky_Q3&gt;0,QrrSky_Q3,Qrr_Q3)*Fsw*Vout)</f>
        <v>0.74027602000000003</v>
      </c>
      <c r="BC112" s="345">
        <f>CHOOSE(Table16[[#This Row],[Mode Digit]], Rs*Table16[[#This Row],[Irms BuSync]]^2, Rs*Table16[[#This Row],[Irms BoCtlr]]^2, Rs*(Table16[[#This Row],[Irms BuSync]]^2+Table16[[#This Row],[Irms BoCtlr]]^2))</f>
        <v>5.9285037261458527E-2</v>
      </c>
      <c r="BD112" s="345">
        <f t="shared" si="5"/>
        <v>0.64</v>
      </c>
      <c r="BE112" s="345">
        <f>IF(Vout&gt;8, Iq*Vout, Iq*Table16[[#This Row],[Vin]])</f>
        <v>4.8000000000000001E-2</v>
      </c>
      <c r="BF112" s="345">
        <f>CHOOSE(Table16[[#This Row],[Mode Digit]], (Qg_Q1+Qg_Q2)*Fsw, (Qg_Q3+Qg_Q4)*Fsw, (Qg_Q1+Qg_Q2+Qg_Q3+Qg_Q4)*Fsw)*IF(Vout&gt;8, Vout, Table16[[#This Row],[Vin]])</f>
        <v>1.7066240000000001</v>
      </c>
      <c r="BG112" s="345">
        <f t="shared" si="6"/>
        <v>0.50594479787234037</v>
      </c>
      <c r="BH112" s="345">
        <f>Table16[[#This Row],[IQ Loss]]+Table16[[#This Row],[Switching Current Loss]]</f>
        <v>1.7546240000000002</v>
      </c>
      <c r="BI112"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8.6157003313563294</v>
      </c>
      <c r="BJ112" s="253">
        <f>Vout*Table16[[#This Row],[Iout]]</f>
        <v>128</v>
      </c>
      <c r="BK112" s="684">
        <f>Table16[[#This Row],[Pout]]/(Table16[[#This Row],[Pout]]+Table16[[#This Row],[Total Loss]])</f>
        <v>0.9369347716956451</v>
      </c>
      <c r="BL112"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112.62526512451807</v>
      </c>
      <c r="BM112" s="685">
        <f>IF(Table16[[#This Row],[Vin]]&gt;Vout, Table16[[#This Row],[Total Sync Bu MOSFET Loss]]*ThetaJA_Q2, ThetaJA_Q3*Table16[[#This Row],[Total Sync Bo MOSFET Loss]])</f>
        <v>23.735019569448969</v>
      </c>
      <c r="BN112" s="640"/>
      <c r="BO112" s="292">
        <f>Table16[[#This Row],[EFF, h]]*100</f>
        <v>93.693477169564517</v>
      </c>
      <c r="BP112" s="345">
        <f>Table16[[#This Row],[Total Inductor Loss]]</f>
        <v>2.2746240557055151</v>
      </c>
      <c r="BQ112" s="345">
        <f>Table16[[#This Row],[Total Control Bu MOSFET Loss]]+Table16[[#This Row],[Total Sync Bu MOSFET Loss]]+Table16[[#This Row],[Total Control Bo MOSFET Loss]]+Table16[[#This Row],[Total Sync Bo MOSFET Loss]]+Table16[[#This Row],[Reverse Recovery Loss MOSFET D BUCK]]+Table16[[#This Row],[Reverse Recovery Loss MOSFET D BOOST]]</f>
        <v>3.8684335438966166</v>
      </c>
      <c r="BR112" s="345">
        <f>Table16[[#This Row],[Total Control Bu MOSFET Loss]]+Table16[[#This Row],[Reverse Recovery Loss MOSFET D BUCK]]*0.66</f>
        <v>1.4810025397310471</v>
      </c>
      <c r="BS112" s="345">
        <f>Table16[[#This Row],[Total Sync Bu MOSFET Loss]]+Table16[[#This Row],[Reverse Recovery Loss MOSFET D BUCK]]*0.33</f>
        <v>0.60944523382229188</v>
      </c>
      <c r="BT112" s="345">
        <f xml:space="preserve"> Table16[[#This Row],[Total Control Bo MOSFET Loss]]+Table16[[#This Row],[Reverse Recovery Loss MOSFET D BOOST]]*0.66</f>
        <v>1.0144865026399534</v>
      </c>
      <c r="BU112" s="345">
        <f xml:space="preserve"> Table16[[#This Row],[Total Sync Bo MOSFET Loss]]+Table16[[#This Row],[Reverse Recovery Loss MOSFET D BOOST]]*0.33</f>
        <v>0.74869374730332439</v>
      </c>
      <c r="BV112" s="345">
        <f>Table16[[#This Row],[Isense Shunt Loss]]</f>
        <v>5.9285037261458527E-2</v>
      </c>
    </row>
    <row r="113" spans="7:74" x14ac:dyDescent="0.2">
      <c r="G113" s="253">
        <v>104</v>
      </c>
      <c r="H113" s="286">
        <f>VIN_min+(VIN_max-VIN_min)*(Table16[[#This Row],[Step]]/200)</f>
        <v>21.6</v>
      </c>
      <c r="I113" s="292" t="str">
        <f>IF(Mode = 2,IF(Table16[[#This Row],[Vin]]&gt;Vout, "BUCK","BOOST"),IF(Table16[[#This Row],[Vin]]&gt;VIN_BB_to_buck, "BUCK", IF(Table16[[#This Row],[Vin]]&lt;=VIN_boost_to_BB,"BOOST","BUCK-BST")))</f>
        <v>BUCK-BST</v>
      </c>
      <c r="J113" s="253">
        <f>IF(Table16[[#This Row],[Mode]]="BOOST",2, IF(Table16[[#This Row],[Mode]]="BUCK", 1,3))</f>
        <v>3</v>
      </c>
      <c r="K113" s="253">
        <f t="shared" si="4"/>
        <v>8</v>
      </c>
      <c r="L113" s="292">
        <f>Vout*Table16[[#This Row],[Iout]]/(Table16[[#This Row],[Vin]]*Efficiency)</f>
        <v>6.2378167641325541</v>
      </c>
      <c r="M113" s="682">
        <f>MIN(1/Fsw,CHOOSE(Table16[[#This Row],[Mode Digit]],(Vout+(Rdson2+Rs+Rdcr)*Table16[[#This Row],[Iout]])/(Table16[[#This Row],[Vin]]+(Rs+Rdson2-Rdson1)*Table16[[#This Row],[Iout]])/Fsw,(Vout+(Rdson3+Rdcr)*Table16[[#This Row],[Iin]]-Table16[[#This Row],[Vin]])/(Vout+(Rdson3-Rdson4-Rs)*Table16[[#This Row],[Iin]])/Fsw,t1_Ph_II))</f>
        <v>1.5084238313644118E-6</v>
      </c>
      <c r="N113" s="518">
        <f>CHOOSE(Table16[[#This Row],[Mode Digit]],1/Fsw-Table16[[#This Row],[t1_Ph_II]],1/Fsw-Table16[[#This Row],[t1_Ph_II]],(Vout/Fsw-Table16[[#This Row],[Vin]]*t1_Ph_II)/(Table16[[#This Row],[Vin]]+Vout))</f>
        <v>2.026343156291046E-7</v>
      </c>
      <c r="O113" s="518">
        <f>1/Fsw-(Table16[[#This Row],[t1_Ph_II]]+Table16[[#This Row],[t2_Ph_I]])</f>
        <v>8.0150466707683559E-7</v>
      </c>
      <c r="P113"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6.3914739132182481</v>
      </c>
      <c r="Q113" s="292">
        <f>CHOOSE(Table16[[#This Row],[Mode Digit]],Table16[[#This Row],[I_0]]+1/Lf*(Table16[[#This Row],[Vin]]-Vout)*Table16[[#This Row],[t1_Ph_II]],Table16[[#This Row],[I_0]]+1/Lf*Table16[[#This Row],[Vin]]*Table16[[#This Row],[t1_Ph_II]],Table16[[#This Row],[I_0]]+(Table16[[#This Row],[Vin]]-Vout)/L*Table16[[#This Row],[t1_Ph_II]])</f>
        <v>11.084348055240863</v>
      </c>
      <c r="R113" s="292">
        <f>CHOOSE(Table16[[#This Row],[Mode Digit]],0,0,Table16[[#This Row],[I_1]]+Table16[[#This Row],[Vin]]/L*Table16[[#This Row],[t2_Ph_I]])</f>
        <v>13.515959842790117</v>
      </c>
      <c r="S113" s="292">
        <f>Fsw*(Table16[[#This Row],[I_0]]*Table16[[#This Row],[t1_Ph_II]]+Table16[[#This Row],[I_1]]*Table16[[#This Row],[t2_Ph_I]]+Table16[[#This Row],[I_2]]*Table16[[#This Row],[t3_Ph_III]])</f>
        <v>9.0426498463628437</v>
      </c>
      <c r="T113" s="345">
        <f>MIN(1,CHOOSE(Table16[[#This Row],[Mode Digit]],(Vout+(Rdson2+Rs+Rdcr)*Table16[[#This Row],[Iout]])/(Table16[[#This Row],[Vin]]+(Rs+Rdson2-Rdson1)*Table16[[#This Row],[Iout]]),1,Fsw*Table16[[#This Row],[t2_Ph_I]]+Table16[[#This Row],[t1_Ph_II]]))</f>
        <v>8.0649966044214996E-2</v>
      </c>
      <c r="U113" s="345">
        <f>MIN(1,CHOOSE(Table16[[#This Row],[Mode Digit]],0,(Vout+(Rdson3+Rdcr)*Table16[[#This Row],[Iin]]-Table16[[#This Row],[Vin]])/(Vout+(Rdson3-Rdson4-Rs)*Table16[[#This Row],[Iin]]),Fsw*Table16[[#This Row],[t1_Ph_II]]+Table16[[#This Row],[t3_Ph_III]]))</f>
        <v>0.60035348638770292</v>
      </c>
      <c r="V113" s="292">
        <f>MAX(Table16[[#This Row],[I_0]:[I_2]])-MIN(Table16[[#This Row],[I_0]:[I_1]])</f>
        <v>7.1244859295718692</v>
      </c>
      <c r="W113"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9.5987152097495141</v>
      </c>
      <c r="X113" s="345">
        <f>(Table16[[#This Row],[Irms Lf]]^2*Rdcr*(1+Ltc*Ta-Ltc*25))/(1-Table16[[#This Row],[Irms Lf]]^2*Rdcr*Ltc*ThetaCa)</f>
        <v>0.30195517747346912</v>
      </c>
      <c r="Y113" s="345">
        <f>ABS(7.759*10^-3*Fsw^0.9458*(0.00787*Table16[[#This Row],[Ripple Current pk-pk]])^2.304)</f>
        <v>2.0102269223132496</v>
      </c>
      <c r="Z113" s="345">
        <f>Table16[[#This Row],[DCR    Loss]]+Table16[[#This Row],[Core Loss]]</f>
        <v>2.3121820997867188</v>
      </c>
      <c r="AA113" s="292">
        <f>IF(Table16[[#This Row],[Vin]]&gt;Vout, Table16[[#This Row],[Ripple Current pk-pk]]/SQRT(12), SQRT(Table16[[#This Row],[Duty Cycle BOOST Leg]]/(1-Table16[[#This Row],[Duty Cycle BOOST Leg]]))*SQRT(Table16[[#This Row],[Iout]]^2+(Table16[[#This Row],[Ripple Current pk-pk]]^2)/12))</f>
        <v>2.0566619346380102</v>
      </c>
      <c r="AB113" s="345">
        <f>RCoutEsr*Table16[[#This Row],[Irms Cout]]^2</f>
        <v>8.4597166267779255E-3</v>
      </c>
      <c r="AC113" s="345">
        <f>Table16[[#This Row],[Cout ESR Loss]]</f>
        <v>8.4597166267779255E-3</v>
      </c>
      <c r="AD113" s="345">
        <f>IF(Table16[[#This Row],[Vin]]&gt;Vout, SQRT(Table16[[#This Row],[Duty Cycle BUCK Leg]]*(1-Table16[[#This Row],[Duty Cycle BUCK Leg]]))*SQRT(Table16[[#This Row],[Iout]]^2+(Table16[[#This Row],[Ripple Current pk-pk]]^2)/12), Table16[[#This Row],[Ripple Current pk-pk]]/SQRT(12))</f>
        <v>2.249208817404579</v>
      </c>
      <c r="AE113" s="345">
        <f>RCinEsr*Table16[[#This Row],[Irms Cin]]^2</f>
        <v>1.0117880608581009E-2</v>
      </c>
      <c r="AF113" s="683">
        <f>Table16[[#This Row],[Cin ESR Loss]]</f>
        <v>1.0117880608581009E-2</v>
      </c>
      <c r="AG113"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7.6929012656765963</v>
      </c>
      <c r="AH113" s="345">
        <f>Rdson1*Table16[[#This Row],[Irms BuCtrl]]^2</f>
        <v>0.20713255459207003</v>
      </c>
      <c r="AI113" s="345">
        <f>CHOOSE(Table16[[#This Row],[Mode Digit]], (Table16[[#This Row],[Vin]]*Table16[[#This Row],[Iout]]/2)*(Fsw)*(Tr_buck+Tf_buck), 0, (Table16[[#This Row],[Vin]]*Table16[[#This Row],[Avg IL]]/2)*(Fsw/1)*(Tr_buck+Tf_buck))</f>
        <v>0.73099152488566466</v>
      </c>
      <c r="AJ113" s="253">
        <f>IF(Table16[[#This Row],[Vin]]&gt;Vout, IF(Table16[[#This Row],[Iout]]&gt;Table16[[#This Row],[Ripple Current pk-pk]]/2,0,ABS(Table16[[#This Row],[Iout]]-Table16[[#This Row],[Ripple Current pk-pk]]/2)*Vsd_Q1*Deadtime*Fsw),0)</f>
        <v>0</v>
      </c>
      <c r="AK113" s="345">
        <f>(Table16[[#This Row],[Dead Time Loss BuCtrl]]+Table16[[#This Row],[Transition Loss BuCtrl]]+Table16[[#This Row],[RDS(on) Loss BuCtrl]]*(1+RdsonTopTc*Ta-RdsonTopTc*25))/(1-Table16[[#This Row],[RDS(on) Loss BuCtrl]]*RdsonTopTc*ThetaJA_Q1)</f>
        <v>0.99152196356188138</v>
      </c>
      <c r="AL113" s="345">
        <f>CHOOSE(Table16[[#This Row],[Mode Digit]],SQRT((Fsw*(Table16[[#This Row],[t2_Ph_I]]+0))*((Table16[[#This Row],[I_0]]*Table16[[#This Row],[I_1]]+((Table16[[#This Row],[I_0]]-Table16[[#This Row],[I_1]])^2)/3))),0,SQRT((Fsw*(Table16[[#This Row],[t3_Ph_III]]+0))*((Table16[[#This Row],[I_0]]*Table16[[#This Row],[I_2]]+((Table16[[#This Row],[I_0]]-Table16[[#This Row],[I_2]])^2)/3))))</f>
        <v>5.7406100542040051</v>
      </c>
      <c r="AM113" s="345">
        <f>Rdson2*Table16[[#This Row],[Irms BuSync]]^2</f>
        <v>0.11534111328049838</v>
      </c>
      <c r="AN113"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13" s="345">
        <f>(Table16[[#This Row],[Deadtime Loss BuSync]]+Table16[[#This Row],[RDS(on) Loss BuSync]]*(1+RdsonBotTc*Ta-RdsonBotTc*25))/(1-Table16[[#This Row],[RDS(on) Loss BuSync]]*RdsonBotTc*ThetaJA_Q2)</f>
        <v>0.36508967414077736</v>
      </c>
      <c r="AP113" s="345">
        <f>CHOOSE(Table16[[#This Row],[Mode Digit]],0,SQRT((Fsw*(Table16[[#This Row],[t1_Ph_II]]+0))*((Table16[[#This Row],[I_0]]*Table16[[#This Row],[I_1]]+((Table16[[#This Row],[I_0]]-Table16[[#This Row],[I_1]])^2)/3))),SQRT((Fsw*(Table16[[#This Row],[t2_Ph_I]]+0))*((Table16[[#This Row],[I_1]]*Table16[[#This Row],[I_2]]+((Table16[[#This Row],[I_1]]-Table16[[#This Row],[I_2]])^2)/3))))</f>
        <v>3.4987638295862573</v>
      </c>
      <c r="AQ113" s="345">
        <f>Rdson4*Table16[[#This Row],[Irms BoCtlr]]^2</f>
        <v>4.2844719173273822E-2</v>
      </c>
      <c r="AR113" s="345">
        <f>CHOOSE(Table16[[#This Row],[Mode Digit]], 0, (Vout*Table16[[#This Row],[Iin]]/2)*(Fsw)*(Tr_boost+Tf_boost), (Vout*Iout/2)*(Fsw/1)*(Tr_boost+Tf_boost))</f>
        <v>0.47564320886662292</v>
      </c>
      <c r="AS113" s="253">
        <f>IF(Table16[[#This Row],[Vin]]&gt;Vout, 0, IF(Table16[[#This Row],[Iin]]&gt;Table16[[#This Row],[Ripple Current pk-pk]]/2,0,ABS(Table16[[#This Row],[Iin]]-Table16[[#This Row],[Ripple Current pk-pk]]/2)*Vsd_Q4*Deadtime*Fsw))</f>
        <v>0</v>
      </c>
      <c r="AT113" s="345">
        <f>(Table16[[#This Row],[Dead Time Loss BoCtlr]]+Table16[[#This Row],[Transition Loss BoCtlr]]+Table16[[#This Row],[RDS(on) Loss BoCtlr]]*(1+RdsonTopTc*Ta-RdsonTopTc*25))/(1-Table16[[#This Row],[RDS(on) Loss BoCtlr]]*RdsonTopTc*ThetaJA_Q4)</f>
        <v>0.52432875478574636</v>
      </c>
      <c r="AU113"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8.9383435457950249</v>
      </c>
      <c r="AV113" s="345">
        <f>Rdson3*Table16[[#This Row],[Irms BoSync]]^2</f>
        <v>0.27962894869929455</v>
      </c>
      <c r="AW113"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0.1861988304093567</v>
      </c>
      <c r="AX113" s="345">
        <f>(Table16[[#This Row],[Deadtime Loss BoSync]]+Table16[[#This Row],[RDS(on) Loss BoSync]]*(1+RdsonBotTc*Ta-RdsonBotTc*25))/(1-Table16[[#This Row],[RDS(on) Loss BoSync]]*RdsonBotTc*ThetaJA_Q3)</f>
        <v>0.50235042675371488</v>
      </c>
      <c r="AY113" s="345">
        <f>CHOOSE(Table16[[#This Row],[Mode Digit]], Rdson3*Table16[[#This Row],[Irms Lf]]^2, Rdson1*Table16[[#This Row],[Irms Lf]]^2, 0)</f>
        <v>0</v>
      </c>
      <c r="AZ113" s="345">
        <f>CHOOSE(Table16[[#This Row],[Mode Digit]], 2*Deadtime*Fsw*IF(VfdSky_Q2&gt;0,VfdSky_Q2,0)*Table16[[#This Row],[Iout]], 2*Deadtime*Fsw*IF(VfdSky_Q3&gt;0,VfdSky_Q3,0)*Table16[[#This Row],[Iin]], 2*Deadtime*Fsw*IF(VfdSky_Q2&gt;0,VfdSky_Q2,0)*Table16[[#This Row],[Iout]]+2*Deadtime*Fsw*IF(VfdSky_Q3&gt;0,VfdSky_Q3,0)*Table16[[#This Row],[Iin]])</f>
        <v>0</v>
      </c>
      <c r="BA113" s="345">
        <f>CHOOSE(Table16[[#This Row],[Mode Digit]], IF(QrrSky_Q2&gt;0,QrrSky_Q2,Qrr_Q2)*Fsw*(Table16[[#This Row],[Vin]]-Table16[[#This Row],[Iout]]*Rdson1),0,  IF(QrrSky_Q2&gt;0,QrrSky_Q2,Qrr_Q2)*Fsw*(Table16[[#This Row],[Vin]]-Table16[[#This Row],[Iout]]*Rdson1)+IF(QrrSky_Q3&gt;0,QrrSky_Q3,Qrr_Q3)*Fsw*Vout)</f>
        <v>0.74296252000000007</v>
      </c>
      <c r="BB113" s="345">
        <f>CHOOSE(Table16[[#This Row],[Mode Digit]],0, IF(QrrSky_Q3&gt;0,QrrSky_Q3,Qrr_Q3)*Fsw*Vout,  IF(QrrSky_Q2&gt;0,QrrSky_Q2,Qrr_Q2)*Fsw*(Table16[[#This Row],[Vin]]-Table16[[#This Row],[Iout]]*Rdson1)+IF(QrrSky_Q3&gt;0,QrrSky_Q3,Qrr_Q3)*Fsw*Vout)</f>
        <v>0.74296252000000007</v>
      </c>
      <c r="BC113" s="345">
        <f>CHOOSE(Table16[[#This Row],[Mode Digit]], Rs*Table16[[#This Row],[Irms BuSync]]^2, Rs*Table16[[#This Row],[Irms BoCtlr]]^2, Rs*(Table16[[#This Row],[Irms BuSync]]^2+Table16[[#This Row],[Irms BoCtlr]]^2))</f>
        <v>5.8754737768543959E-2</v>
      </c>
      <c r="BD113" s="345">
        <f t="shared" si="5"/>
        <v>0.64</v>
      </c>
      <c r="BE113" s="345">
        <f>IF(Vout&gt;8, Iq*Vout, Iq*Table16[[#This Row],[Vin]])</f>
        <v>4.8000000000000001E-2</v>
      </c>
      <c r="BF113" s="345">
        <f>CHOOSE(Table16[[#This Row],[Mode Digit]], (Qg_Q1+Qg_Q2)*Fsw, (Qg_Q3+Qg_Q4)*Fsw, (Qg_Q1+Qg_Q2+Qg_Q3+Qg_Q4)*Fsw)*IF(Vout&gt;8, Vout, Table16[[#This Row],[Vin]])</f>
        <v>1.7066240000000001</v>
      </c>
      <c r="BG113" s="345">
        <f t="shared" si="6"/>
        <v>0.50594479787234037</v>
      </c>
      <c r="BH113" s="345">
        <f>Table16[[#This Row],[IQ Loss]]+Table16[[#This Row],[Switching Current Loss]]</f>
        <v>1.7546240000000002</v>
      </c>
      <c r="BI113"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8.6533542940327415</v>
      </c>
      <c r="BJ113" s="253">
        <f>Vout*Table16[[#This Row],[Iout]]</f>
        <v>128</v>
      </c>
      <c r="BK113" s="684">
        <f>Table16[[#This Row],[Pout]]/(Table16[[#This Row],[Pout]]+Table16[[#This Row],[Total Loss]])</f>
        <v>0.93667660527809959</v>
      </c>
      <c r="BL113"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112.74149143152229</v>
      </c>
      <c r="BM113" s="685">
        <f>IF(Table16[[#This Row],[Vin]]&gt;Vout, Table16[[#This Row],[Total Sync Bu MOSFET Loss]]*ThetaJA_Q2, ThetaJA_Q3*Table16[[#This Row],[Total Sync Bo MOSFET Loss]])</f>
        <v>23.730828819150528</v>
      </c>
      <c r="BN113" s="640"/>
      <c r="BO113" s="292">
        <f>Table16[[#This Row],[EFF, h]]*100</f>
        <v>93.667660527809957</v>
      </c>
      <c r="BP113" s="345">
        <f>Table16[[#This Row],[Total Inductor Loss]]</f>
        <v>2.3121820997867188</v>
      </c>
      <c r="BQ113" s="345">
        <f>Table16[[#This Row],[Total Control Bu MOSFET Loss]]+Table16[[#This Row],[Total Sync Bu MOSFET Loss]]+Table16[[#This Row],[Total Control Bo MOSFET Loss]]+Table16[[#This Row],[Total Sync Bo MOSFET Loss]]+Table16[[#This Row],[Reverse Recovery Loss MOSFET D BUCK]]+Table16[[#This Row],[Reverse Recovery Loss MOSFET D BOOST]]</f>
        <v>3.8692158592421197</v>
      </c>
      <c r="BR113" s="345">
        <f>Table16[[#This Row],[Total Control Bu MOSFET Loss]]+Table16[[#This Row],[Reverse Recovery Loss MOSFET D BUCK]]*0.66</f>
        <v>1.4818772267618814</v>
      </c>
      <c r="BS113" s="345">
        <f>Table16[[#This Row],[Total Sync Bu MOSFET Loss]]+Table16[[#This Row],[Reverse Recovery Loss MOSFET D BUCK]]*0.33</f>
        <v>0.61026730574077737</v>
      </c>
      <c r="BT113" s="345">
        <f xml:space="preserve"> Table16[[#This Row],[Total Control Bo MOSFET Loss]]+Table16[[#This Row],[Reverse Recovery Loss MOSFET D BOOST]]*0.66</f>
        <v>1.0146840179857464</v>
      </c>
      <c r="BU113" s="345">
        <f xml:space="preserve"> Table16[[#This Row],[Total Sync Bo MOSFET Loss]]+Table16[[#This Row],[Reverse Recovery Loss MOSFET D BOOST]]*0.33</f>
        <v>0.74752805835371494</v>
      </c>
      <c r="BV113" s="345">
        <f>Table16[[#This Row],[Isense Shunt Loss]]</f>
        <v>5.8754737768543959E-2</v>
      </c>
    </row>
    <row r="114" spans="7:74" x14ac:dyDescent="0.2">
      <c r="G114" s="253">
        <v>105</v>
      </c>
      <c r="H114" s="286">
        <f>VIN_min+(VIN_max-VIN_min)*(Table16[[#This Row],[Step]]/200)</f>
        <v>21.75</v>
      </c>
      <c r="I114" s="292" t="str">
        <f>IF(Mode = 2,IF(Table16[[#This Row],[Vin]]&gt;Vout, "BUCK","BOOST"),IF(Table16[[#This Row],[Vin]]&gt;VIN_BB_to_buck, "BUCK", IF(Table16[[#This Row],[Vin]]&lt;=VIN_boost_to_BB,"BOOST","BUCK-BST")))</f>
        <v>BUCK-BST</v>
      </c>
      <c r="J114" s="253">
        <f>IF(Table16[[#This Row],[Mode]]="BOOST",2, IF(Table16[[#This Row],[Mode]]="BUCK", 1,3))</f>
        <v>3</v>
      </c>
      <c r="K114" s="253">
        <f t="shared" si="4"/>
        <v>8</v>
      </c>
      <c r="L114" s="292">
        <f>Vout*Table16[[#This Row],[Iout]]/(Table16[[#This Row],[Vin]]*Efficiency)</f>
        <v>6.1947973381730197</v>
      </c>
      <c r="M114" s="682">
        <f>MIN(1/Fsw,CHOOSE(Table16[[#This Row],[Mode Digit]],(Vout+(Rdson2+Rs+Rdcr)*Table16[[#This Row],[Iout]])/(Table16[[#This Row],[Vin]]+(Rs+Rdson2-Rdson1)*Table16[[#This Row],[Iout]])/Fsw,(Vout+(Rdson3+Rdcr)*Table16[[#This Row],[Iin]]-Table16[[#This Row],[Vin]])/(Vout+(Rdson3-Rdson4-Rs)*Table16[[#This Row],[Iin]])/Fsw,t1_Ph_II))</f>
        <v>1.5084238313644118E-6</v>
      </c>
      <c r="N114" s="518">
        <f>CHOOSE(Table16[[#This Row],[Mode Digit]],1/Fsw-Table16[[#This Row],[t1_Ph_II]],1/Fsw-Table16[[#This Row],[t1_Ph_II]],(Vout/Fsw-Table16[[#This Row],[Vin]]*t1_Ph_II)/(Table16[[#This Row],[Vin]]+Vout))</f>
        <v>1.958354090847596E-7</v>
      </c>
      <c r="O114" s="518">
        <f>1/Fsw-(Table16[[#This Row],[t1_Ph_II]]+Table16[[#This Row],[t2_Ph_I]])</f>
        <v>8.0830357362118061E-7</v>
      </c>
      <c r="P114"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6.3107975556652161</v>
      </c>
      <c r="Q114" s="292">
        <f>CHOOSE(Table16[[#This Row],[Mode Digit]],Table16[[#This Row],[I_0]]+1/Lf*(Table16[[#This Row],[Vin]]-Vout)*Table16[[#This Row],[t1_Ph_II]],Table16[[#This Row],[I_0]]+1/Lf*Table16[[#This Row],[Vin]]*Table16[[#This Row],[t1_Ph_II]],Table16[[#This Row],[I_0]]+(Table16[[#This Row],[Vin]]-Vout)/L*Table16[[#This Row],[t1_Ph_II]])</f>
        <v>11.129373683634864</v>
      </c>
      <c r="R114" s="292">
        <f>CHOOSE(Table16[[#This Row],[Mode Digit]],0,0,Table16[[#This Row],[I_1]]+Table16[[#This Row],[Vin]]/L*Table16[[#This Row],[t2_Ph_I]])</f>
        <v>13.495718210075708</v>
      </c>
      <c r="S114" s="292">
        <f>Fsw*(Table16[[#This Row],[I_0]]*Table16[[#This Row],[t1_Ph_II]]+Table16[[#This Row],[I_1]]*Table16[[#This Row],[t2_Ph_I]]+Table16[[#This Row],[I_2]]*Table16[[#This Row],[t3_Ph_III]])</f>
        <v>8.9977930132771231</v>
      </c>
      <c r="T114" s="345">
        <f>MIN(1,CHOOSE(Table16[[#This Row],[Mode Digit]],(Vout+(Rdson2+Rs+Rdcr)*Table16[[#This Row],[Iout]])/(Table16[[#This Row],[Vin]]+(Rs+Rdson2-Rdson1)*Table16[[#This Row],[Iout]]),1,Fsw*Table16[[#This Row],[t2_Ph_I]]+Table16[[#This Row],[t1_Ph_II]]))</f>
        <v>7.7944001239565686E-2</v>
      </c>
      <c r="U114" s="345">
        <f>MIN(1,CHOOSE(Table16[[#This Row],[Mode Digit]],0,(Vout+(Rdson3+Rdcr)*Table16[[#This Row],[Iin]]-Table16[[#This Row],[Vin]])/(Vout+(Rdson3-Rdson4-Rs)*Table16[[#This Row],[Iin]]),Fsw*Table16[[#This Row],[t1_Ph_II]]+Table16[[#This Row],[t3_Ph_III]]))</f>
        <v>0.60035349318660947</v>
      </c>
      <c r="V114" s="292">
        <f>MAX(Table16[[#This Row],[I_0]:[I_2]])-MIN(Table16[[#This Row],[I_0]:[I_1]])</f>
        <v>7.184920654410492</v>
      </c>
      <c r="W114"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9.5707744056743405</v>
      </c>
      <c r="X114" s="345">
        <f>(Table16[[#This Row],[Irms Lf]]^2*Rdcr*(1+Ltc*Ta-Ltc*25))/(1-Table16[[#This Row],[Irms Lf]]^2*Rdcr*Ltc*ThetaCa)</f>
        <v>0.30015766867929256</v>
      </c>
      <c r="Y114" s="345">
        <f>ABS(7.759*10^-3*Fsw^0.9458*(0.00787*Table16[[#This Row],[Ripple Current pk-pk]])^2.304)</f>
        <v>2.0497324587653245</v>
      </c>
      <c r="Z114" s="345">
        <f>Table16[[#This Row],[DCR    Loss]]+Table16[[#This Row],[Core Loss]]</f>
        <v>2.3498901274446169</v>
      </c>
      <c r="AA114" s="292">
        <f>IF(Table16[[#This Row],[Vin]]&gt;Vout, Table16[[#This Row],[Ripple Current pk-pk]]/SQRT(12), SQRT(Table16[[#This Row],[Duty Cycle BOOST Leg]]/(1-Table16[[#This Row],[Duty Cycle BOOST Leg]]))*SQRT(Table16[[#This Row],[Iout]]^2+(Table16[[#This Row],[Ripple Current pk-pk]]^2)/12))</f>
        <v>2.074107936965</v>
      </c>
      <c r="AB114" s="345">
        <f>RCoutEsr*Table16[[#This Row],[Irms Cout]]^2</f>
        <v>8.6038474683624178E-3</v>
      </c>
      <c r="AC114" s="345">
        <f>Table16[[#This Row],[Cout ESR Loss]]</f>
        <v>8.6038474683624178E-3</v>
      </c>
      <c r="AD114" s="345">
        <f>IF(Table16[[#This Row],[Vin]]&gt;Vout, SQRT(Table16[[#This Row],[Duty Cycle BUCK Leg]]*(1-Table16[[#This Row],[Duty Cycle BUCK Leg]]))*SQRT(Table16[[#This Row],[Iout]]^2+(Table16[[#This Row],[Ripple Current pk-pk]]^2)/12), Table16[[#This Row],[Ripple Current pk-pk]]/SQRT(12))</f>
        <v>2.2155750455391208</v>
      </c>
      <c r="AE114" s="345">
        <f>RCinEsr*Table16[[#This Row],[Irms Cin]]^2</f>
        <v>9.817545564831354E-3</v>
      </c>
      <c r="AF114" s="683">
        <f>Table16[[#This Row],[Cin ESR Loss]]</f>
        <v>9.817545564831354E-3</v>
      </c>
      <c r="AG114"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7.6592903162320427</v>
      </c>
      <c r="AH114" s="345">
        <f>Rdson1*Table16[[#This Row],[Irms BuCtrl]]^2</f>
        <v>0.20532654851914081</v>
      </c>
      <c r="AI114" s="345">
        <f>CHOOSE(Table16[[#This Row],[Mode Digit]], (Table16[[#This Row],[Vin]]*Table16[[#This Row],[Iout]]/2)*(Fsw)*(Tr_buck+Tf_buck), 0, (Table16[[#This Row],[Vin]]*Table16[[#This Row],[Avg IL]]/2)*(Fsw/1)*(Tr_buck+Tf_buck))</f>
        <v>0.73241652776783184</v>
      </c>
      <c r="AJ114" s="253">
        <f>IF(Table16[[#This Row],[Vin]]&gt;Vout, IF(Table16[[#This Row],[Iout]]&gt;Table16[[#This Row],[Ripple Current pk-pk]]/2,0,ABS(Table16[[#This Row],[Iout]]-Table16[[#This Row],[Ripple Current pk-pk]]/2)*Vsd_Q1*Deadtime*Fsw),0)</f>
        <v>0</v>
      </c>
      <c r="AK114" s="345">
        <f>(Table16[[#This Row],[Dead Time Loss BuCtrl]]+Table16[[#This Row],[Transition Loss BuCtrl]]+Table16[[#This Row],[RDS(on) Loss BuCtrl]]*(1+RdsonTopTc*Ta-RdsonTopTc*25))/(1-Table16[[#This Row],[RDS(on) Loss BuCtrl]]*RdsonTopTc*ThetaJA_Q1)</f>
        <v>0.99062763617170357</v>
      </c>
      <c r="AL114" s="345">
        <f>CHOOSE(Table16[[#This Row],[Mode Digit]],SQRT((Fsw*(Table16[[#This Row],[t2_Ph_I]]+0))*((Table16[[#This Row],[I_0]]*Table16[[#This Row],[I_1]]+((Table16[[#This Row],[I_0]]-Table16[[#This Row],[I_1]])^2)/3))),0,SQRT((Fsw*(Table16[[#This Row],[t3_Ph_III]]+0))*((Table16[[#This Row],[I_0]]*Table16[[#This Row],[I_2]]+((Table16[[#This Row],[I_0]]-Table16[[#This Row],[I_2]])^2)/3))))</f>
        <v>5.7389018615049583</v>
      </c>
      <c r="AM114" s="345">
        <f>Rdson2*Table16[[#This Row],[Irms BuSync]]^2</f>
        <v>0.11527248101594775</v>
      </c>
      <c r="AN114"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14" s="345">
        <f>(Table16[[#This Row],[Deadtime Loss BuSync]]+Table16[[#This Row],[RDS(on) Loss BuSync]]*(1+RdsonBotTc*Ta-RdsonBotTc*25))/(1-Table16[[#This Row],[RDS(on) Loss BuSync]]*RdsonBotTc*ThetaJA_Q2)</f>
        <v>0.36501220526651273</v>
      </c>
      <c r="AP114" s="345">
        <f>CHOOSE(Table16[[#This Row],[Mode Digit]],0,SQRT((Fsw*(Table16[[#This Row],[t1_Ph_II]]+0))*((Table16[[#This Row],[I_0]]*Table16[[#This Row],[I_1]]+((Table16[[#This Row],[I_0]]-Table16[[#This Row],[I_1]])^2)/3))),SQRT((Fsw*(Table16[[#This Row],[t2_Ph_I]]+0))*((Table16[[#This Row],[I_1]]*Table16[[#This Row],[I_2]]+((Table16[[#This Row],[I_1]]-Table16[[#This Row],[I_2]])^2)/3))))</f>
        <v>3.4427253590259608</v>
      </c>
      <c r="AQ114" s="345">
        <f>Rdson4*Table16[[#This Row],[Irms BoCtlr]]^2</f>
        <v>4.1483252641881511E-2</v>
      </c>
      <c r="AR114" s="345">
        <f>CHOOSE(Table16[[#This Row],[Mode Digit]], 0, (Vout*Table16[[#This Row],[Iin]]/2)*(Fsw)*(Tr_boost+Tf_boost), (Vout*Iout/2)*(Fsw/1)*(Tr_boost+Tf_boost))</f>
        <v>0.47564320886662292</v>
      </c>
      <c r="AS114" s="253">
        <f>IF(Table16[[#This Row],[Vin]]&gt;Vout, 0, IF(Table16[[#This Row],[Iin]]&gt;Table16[[#This Row],[Ripple Current pk-pk]]/2,0,ABS(Table16[[#This Row],[Iin]]-Table16[[#This Row],[Ripple Current pk-pk]]/2)*Vsd_Q4*Deadtime*Fsw))</f>
        <v>0</v>
      </c>
      <c r="AT114" s="345">
        <f>(Table16[[#This Row],[Dead Time Loss BoCtlr]]+Table16[[#This Row],[Transition Loss BoCtlr]]+Table16[[#This Row],[RDS(on) Loss BoCtlr]]*(1+RdsonTopTc*Ta-RdsonTopTc*25))/(1-Table16[[#This Row],[RDS(on) Loss BoCtlr]]*RdsonTopTc*ThetaJA_Q4)</f>
        <v>0.52276481760880422</v>
      </c>
      <c r="AU114"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8.9301380071435954</v>
      </c>
      <c r="AV114" s="345">
        <f>Rdson3*Table16[[#This Row],[Irms BoSync]]^2</f>
        <v>0.27911577689320705</v>
      </c>
      <c r="AW114"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0.1849147005444646</v>
      </c>
      <c r="AX114" s="345">
        <f>(Table16[[#This Row],[Deadtime Loss BoSync]]+Table16[[#This Row],[RDS(on) Loss BoSync]]*(1+RdsonBotTc*Ta-RdsonBotTc*25))/(1-Table16[[#This Row],[RDS(on) Loss BoSync]]*RdsonBotTc*ThetaJA_Q3)</f>
        <v>0.50034021809569262</v>
      </c>
      <c r="AY114" s="345">
        <f>CHOOSE(Table16[[#This Row],[Mode Digit]], Rdson3*Table16[[#This Row],[Irms Lf]]^2, Rdson1*Table16[[#This Row],[Irms Lf]]^2, 0)</f>
        <v>0</v>
      </c>
      <c r="AZ114" s="345">
        <f>CHOOSE(Table16[[#This Row],[Mode Digit]], 2*Deadtime*Fsw*IF(VfdSky_Q2&gt;0,VfdSky_Q2,0)*Table16[[#This Row],[Iout]], 2*Deadtime*Fsw*IF(VfdSky_Q3&gt;0,VfdSky_Q3,0)*Table16[[#This Row],[Iin]], 2*Deadtime*Fsw*IF(VfdSky_Q2&gt;0,VfdSky_Q2,0)*Table16[[#This Row],[Iout]]+2*Deadtime*Fsw*IF(VfdSky_Q3&gt;0,VfdSky_Q3,0)*Table16[[#This Row],[Iin]])</f>
        <v>0</v>
      </c>
      <c r="BA114" s="345">
        <f>CHOOSE(Table16[[#This Row],[Mode Digit]], IF(QrrSky_Q2&gt;0,QrrSky_Q2,Qrr_Q2)*Fsw*(Table16[[#This Row],[Vin]]-Table16[[#This Row],[Iout]]*Rdson1),0,  IF(QrrSky_Q2&gt;0,QrrSky_Q2,Qrr_Q2)*Fsw*(Table16[[#This Row],[Vin]]-Table16[[#This Row],[Iout]]*Rdson1)+IF(QrrSky_Q3&gt;0,QrrSky_Q3,Qrr_Q3)*Fsw*Vout)</f>
        <v>0.74564902</v>
      </c>
      <c r="BB114" s="345">
        <f>CHOOSE(Table16[[#This Row],[Mode Digit]],0, IF(QrrSky_Q3&gt;0,QrrSky_Q3,Qrr_Q3)*Fsw*Vout,  IF(QrrSky_Q2&gt;0,QrrSky_Q2,Qrr_Q2)*Fsw*(Table16[[#This Row],[Vin]]-Table16[[#This Row],[Iout]]*Rdson1)+IF(QrrSky_Q3&gt;0,QrrSky_Q3,Qrr_Q3)*Fsw*Vout)</f>
        <v>0.74564902</v>
      </c>
      <c r="BC114" s="345">
        <f>CHOOSE(Table16[[#This Row],[Mode Digit]], Rs*Table16[[#This Row],[Irms BuSync]]^2, Rs*Table16[[#This Row],[Irms BoCtlr]]^2, Rs*(Table16[[#This Row],[Irms BuSync]]^2+Table16[[#This Row],[Irms BoCtlr]]^2))</f>
        <v>5.8223558215765157E-2</v>
      </c>
      <c r="BD114" s="345">
        <f t="shared" si="5"/>
        <v>0.64</v>
      </c>
      <c r="BE114" s="345">
        <f>IF(Vout&gt;8, Iq*Vout, Iq*Table16[[#This Row],[Vin]])</f>
        <v>4.8000000000000001E-2</v>
      </c>
      <c r="BF114" s="345">
        <f>CHOOSE(Table16[[#This Row],[Mode Digit]], (Qg_Q1+Qg_Q2)*Fsw, (Qg_Q3+Qg_Q4)*Fsw, (Qg_Q1+Qg_Q2+Qg_Q3+Qg_Q4)*Fsw)*IF(Vout&gt;8, Vout, Table16[[#This Row],[Vin]])</f>
        <v>1.7066240000000001</v>
      </c>
      <c r="BG114" s="345">
        <f t="shared" si="6"/>
        <v>0.50594479787234037</v>
      </c>
      <c r="BH114" s="345">
        <f>Table16[[#This Row],[IQ Loss]]+Table16[[#This Row],[Switching Current Loss]]</f>
        <v>1.7546240000000002</v>
      </c>
      <c r="BI114"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8.6912019958362894</v>
      </c>
      <c r="BJ114" s="253">
        <f>Vout*Table16[[#This Row],[Iout]]</f>
        <v>128</v>
      </c>
      <c r="BK114" s="684">
        <f>Table16[[#This Row],[Pout]]/(Table16[[#This Row],[Pout]]+Table16[[#This Row],[Total Loss]])</f>
        <v>0.93641725386172969</v>
      </c>
      <c r="BL114"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112.85798265116073</v>
      </c>
      <c r="BM114" s="685">
        <f>IF(Table16[[#This Row],[Vin]]&gt;Vout, Table16[[#This Row],[Total Sync Bu MOSFET Loss]]*ThetaJA_Q2, ThetaJA_Q3*Table16[[#This Row],[Total Sync Bo MOSFET Loss]])</f>
        <v>23.725793342323328</v>
      </c>
      <c r="BN114" s="640"/>
      <c r="BO114" s="292">
        <f>Table16[[#This Row],[EFF, h]]*100</f>
        <v>93.641725386172965</v>
      </c>
      <c r="BP114" s="345">
        <f>Table16[[#This Row],[Total Inductor Loss]]</f>
        <v>2.3498901274446169</v>
      </c>
      <c r="BQ114" s="345">
        <f>Table16[[#This Row],[Total Control Bu MOSFET Loss]]+Table16[[#This Row],[Total Sync Bu MOSFET Loss]]+Table16[[#This Row],[Total Control Bo MOSFET Loss]]+Table16[[#This Row],[Total Sync Bo MOSFET Loss]]+Table16[[#This Row],[Reverse Recovery Loss MOSFET D BUCK]]+Table16[[#This Row],[Reverse Recovery Loss MOSFET D BOOST]]</f>
        <v>3.8700429171427135</v>
      </c>
      <c r="BR114" s="345">
        <f>Table16[[#This Row],[Total Control Bu MOSFET Loss]]+Table16[[#This Row],[Reverse Recovery Loss MOSFET D BUCK]]*0.66</f>
        <v>1.4827559893717037</v>
      </c>
      <c r="BS114" s="345">
        <f>Table16[[#This Row],[Total Sync Bu MOSFET Loss]]+Table16[[#This Row],[Reverse Recovery Loss MOSFET D BUCK]]*0.33</f>
        <v>0.61107638186651281</v>
      </c>
      <c r="BT114" s="345">
        <f xml:space="preserve"> Table16[[#This Row],[Total Control Bo MOSFET Loss]]+Table16[[#This Row],[Reverse Recovery Loss MOSFET D BOOST]]*0.66</f>
        <v>1.0148931708088043</v>
      </c>
      <c r="BU114" s="345">
        <f xml:space="preserve"> Table16[[#This Row],[Total Sync Bo MOSFET Loss]]+Table16[[#This Row],[Reverse Recovery Loss MOSFET D BOOST]]*0.33</f>
        <v>0.74640439469569264</v>
      </c>
      <c r="BV114" s="345">
        <f>Table16[[#This Row],[Isense Shunt Loss]]</f>
        <v>5.8223558215765157E-2</v>
      </c>
    </row>
    <row r="115" spans="7:74" x14ac:dyDescent="0.2">
      <c r="G115" s="253">
        <v>106</v>
      </c>
      <c r="H115" s="286">
        <f>VIN_min+(VIN_max-VIN_min)*(Table16[[#This Row],[Step]]/200)</f>
        <v>21.9</v>
      </c>
      <c r="I115" s="292" t="str">
        <f>IF(Mode = 2,IF(Table16[[#This Row],[Vin]]&gt;Vout, "BUCK","BOOST"),IF(Table16[[#This Row],[Vin]]&gt;VIN_BB_to_buck, "BUCK", IF(Table16[[#This Row],[Vin]]&lt;=VIN_boost_to_BB,"BOOST","BUCK-BST")))</f>
        <v>BUCK-BST</v>
      </c>
      <c r="J115" s="253">
        <f>IF(Table16[[#This Row],[Mode]]="BOOST",2, IF(Table16[[#This Row],[Mode]]="BUCK", 1,3))</f>
        <v>3</v>
      </c>
      <c r="K115" s="253">
        <f t="shared" si="4"/>
        <v>8</v>
      </c>
      <c r="L115" s="292">
        <f>Vout*Table16[[#This Row],[Iout]]/(Table16[[#This Row],[Vin]]*Efficiency)</f>
        <v>6.1523672194184105</v>
      </c>
      <c r="M115" s="682">
        <f>MIN(1/Fsw,CHOOSE(Table16[[#This Row],[Mode Digit]],(Vout+(Rdson2+Rs+Rdcr)*Table16[[#This Row],[Iout]])/(Table16[[#This Row],[Vin]]+(Rs+Rdson2-Rdson1)*Table16[[#This Row],[Iout]])/Fsw,(Vout+(Rdson3+Rdcr)*Table16[[#This Row],[Iin]]-Table16[[#This Row],[Vin]])/(Vout+(Rdson3-Rdson4-Rs)*Table16[[#This Row],[Iin]])/Fsw,t1_Ph_II))</f>
        <v>1.5084238313644118E-6</v>
      </c>
      <c r="N115" s="518">
        <f>CHOOSE(Table16[[#This Row],[Mode Digit]],1/Fsw-Table16[[#This Row],[t1_Ph_II]],1/Fsw-Table16[[#This Row],[t1_Ph_II]],(Vout/Fsw-Table16[[#This Row],[Vin]]*t1_Ph_II)/(Table16[[#This Row],[Vin]]+Vout))</f>
        <v>1.8909031974261258E-7</v>
      </c>
      <c r="O115" s="518">
        <f>1/Fsw-(Table16[[#This Row],[t1_Ph_II]]+Table16[[#This Row],[t2_Ph_I]])</f>
        <v>8.1504866296332755E-7</v>
      </c>
      <c r="P115"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6.2307286215110782</v>
      </c>
      <c r="Q115" s="292">
        <f>CHOOSE(Table16[[#This Row],[Mode Digit]],Table16[[#This Row],[I_0]]+1/Lf*(Table16[[#This Row],[Vin]]-Vout)*Table16[[#This Row],[t1_Ph_II]],Table16[[#This Row],[I_0]]+1/Lf*Table16[[#This Row],[Vin]]*Table16[[#This Row],[t1_Ph_II]],Table16[[#This Row],[I_0]]+(Table16[[#This Row],[Vin]]-Vout)/L*Table16[[#This Row],[t1_Ph_II]])</f>
        <v>11.175006735427759</v>
      </c>
      <c r="R115" s="292">
        <f>CHOOSE(Table16[[#This Row],[Mode Digit]],0,0,Table16[[#This Row],[I_1]]+Table16[[#This Row],[Vin]]/L*Table16[[#This Row],[t2_Ph_I]])</f>
        <v>13.475605625629544</v>
      </c>
      <c r="S115" s="292">
        <f>Fsw*(Table16[[#This Row],[I_0]]*Table16[[#This Row],[t1_Ph_II]]+Table16[[#This Row],[I_1]]*Table16[[#This Row],[t2_Ph_I]]+Table16[[#This Row],[I_2]]*Table16[[#This Row],[t3_Ph_III]])</f>
        <v>8.9529859146200526</v>
      </c>
      <c r="T115" s="345">
        <f>MIN(1,CHOOSE(Table16[[#This Row],[Mode Digit]],(Vout+(Rdson2+Rs+Rdcr)*Table16[[#This Row],[Iout]])/(Table16[[#This Row],[Vin]]+(Rs+Rdson2-Rdson1)*Table16[[#This Row],[Iout]]),1,Fsw*Table16[[#This Row],[t2_Ph_I]]+Table16[[#This Row],[t1_Ph_II]]))</f>
        <v>7.5259455681391182E-2</v>
      </c>
      <c r="U115" s="345">
        <f>MIN(1,CHOOSE(Table16[[#This Row],[Mode Digit]],0,(Vout+(Rdson3+Rdcr)*Table16[[#This Row],[Iin]]-Table16[[#This Row],[Vin]])/(Vout+(Rdson3-Rdson4-Rs)*Table16[[#This Row],[Iin]]),Fsw*Table16[[#This Row],[t1_Ph_II]]+Table16[[#This Row],[t3_Ph_III]]))</f>
        <v>0.60035349993169884</v>
      </c>
      <c r="V115" s="292">
        <f>MAX(Table16[[#This Row],[I_0]:[I_2]])-MIN(Table16[[#This Row],[I_0]:[I_1]])</f>
        <v>7.2448770041184662</v>
      </c>
      <c r="W115"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9.5431510189998665</v>
      </c>
      <c r="X115" s="345">
        <f>(Table16[[#This Row],[Irms Lf]]^2*Rdcr*(1+Ltc*Ta-Ltc*25))/(1-Table16[[#This Row],[Irms Lf]]^2*Rdcr*Ltc*ThetaCa)</f>
        <v>0.29838622522669062</v>
      </c>
      <c r="Y115" s="345">
        <f>ABS(7.759*10^-3*Fsw^0.9458*(0.00787*Table16[[#This Row],[Ripple Current pk-pk]])^2.304)</f>
        <v>2.089355822318709</v>
      </c>
      <c r="Z115" s="345">
        <f>Table16[[#This Row],[DCR    Loss]]+Table16[[#This Row],[Core Loss]]</f>
        <v>2.3877420475453994</v>
      </c>
      <c r="AA115" s="292">
        <f>IF(Table16[[#This Row],[Vin]]&gt;Vout, Table16[[#This Row],[Ripple Current pk-pk]]/SQRT(12), SQRT(Table16[[#This Row],[Duty Cycle BOOST Leg]]/(1-Table16[[#This Row],[Duty Cycle BOOST Leg]]))*SQRT(Table16[[#This Row],[Iout]]^2+(Table16[[#This Row],[Ripple Current pk-pk]]^2)/12))</f>
        <v>2.0914158442867632</v>
      </c>
      <c r="AB115" s="345">
        <f>RCoutEsr*Table16[[#This Row],[Irms Cout]]^2</f>
        <v>8.7480404674674297E-3</v>
      </c>
      <c r="AC115" s="345">
        <f>Table16[[#This Row],[Cout ESR Loss]]</f>
        <v>8.7480404674674297E-3</v>
      </c>
      <c r="AD115" s="345">
        <f>IF(Table16[[#This Row],[Vin]]&gt;Vout, SQRT(Table16[[#This Row],[Duty Cycle BUCK Leg]]*(1-Table16[[#This Row],[Duty Cycle BUCK Leg]]))*SQRT(Table16[[#This Row],[Iout]]^2+(Table16[[#This Row],[Ripple Current pk-pk]]^2)/12), Table16[[#This Row],[Ripple Current pk-pk]]/SQRT(12))</f>
        <v>2.18140369367342</v>
      </c>
      <c r="AE115" s="345">
        <f>RCinEsr*Table16[[#This Row],[Irms Cin]]^2</f>
        <v>9.5170441495440808E-3</v>
      </c>
      <c r="AF115" s="683">
        <f>Table16[[#This Row],[Cin ESR Loss]]</f>
        <v>9.5170441495440808E-3</v>
      </c>
      <c r="AG115"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7.6262399389172435</v>
      </c>
      <c r="AH115" s="345">
        <f>Rdson1*Table16[[#This Row],[Irms BuCtrl]]^2</f>
        <v>0.20355837462077769</v>
      </c>
      <c r="AI115" s="345">
        <f>CHOOSE(Table16[[#This Row],[Mode Digit]], (Table16[[#This Row],[Vin]]*Table16[[#This Row],[Iout]]/2)*(Fsw)*(Tr_buck+Tf_buck), 0, (Table16[[#This Row],[Vin]]*Table16[[#This Row],[Avg IL]]/2)*(Fsw/1)*(Tr_buck+Tf_buck))</f>
        <v>0.73379524379796268</v>
      </c>
      <c r="AJ115" s="253">
        <f>IF(Table16[[#This Row],[Vin]]&gt;Vout, IF(Table16[[#This Row],[Iout]]&gt;Table16[[#This Row],[Ripple Current pk-pk]]/2,0,ABS(Table16[[#This Row],[Iout]]-Table16[[#This Row],[Ripple Current pk-pk]]/2)*Vsd_Q1*Deadtime*Fsw),0)</f>
        <v>0</v>
      </c>
      <c r="AK115" s="345">
        <f>(Table16[[#This Row],[Dead Time Loss BuCtrl]]+Table16[[#This Row],[Transition Loss BuCtrl]]+Table16[[#This Row],[RDS(on) Loss BuCtrl]]*(1+RdsonTopTc*Ta-RdsonTopTc*25))/(1-Table16[[#This Row],[RDS(on) Loss BuCtrl]]*RdsonTopTc*ThetaJA_Q1)</f>
        <v>0.9897355478702472</v>
      </c>
      <c r="AL115" s="345">
        <f>CHOOSE(Table16[[#This Row],[Mode Digit]],SQRT((Fsw*(Table16[[#This Row],[t2_Ph_I]]+0))*((Table16[[#This Row],[I_0]]*Table16[[#This Row],[I_1]]+((Table16[[#This Row],[I_0]]-Table16[[#This Row],[I_1]])^2)/3))),0,SQRT((Fsw*(Table16[[#This Row],[t3_Ph_III]]+0))*((Table16[[#This Row],[I_0]]*Table16[[#This Row],[I_2]]+((Table16[[#This Row],[I_0]]-Table16[[#This Row],[I_2]])^2)/3))))</f>
        <v>5.7369151785172567</v>
      </c>
      <c r="AM115" s="345">
        <f>Rdson2*Table16[[#This Row],[Irms BuSync]]^2</f>
        <v>0.1151926851792559</v>
      </c>
      <c r="AN115"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15" s="345">
        <f>(Table16[[#This Row],[Deadtime Loss BuSync]]+Table16[[#This Row],[RDS(on) Loss BuSync]]*(1+RdsonBotTc*Ta-RdsonBotTc*25))/(1-Table16[[#This Row],[RDS(on) Loss BuSync]]*RdsonBotTc*ThetaJA_Q2)</f>
        <v>0.36492213905997162</v>
      </c>
      <c r="AP115" s="345">
        <f>CHOOSE(Table16[[#This Row],[Mode Digit]],0,SQRT((Fsw*(Table16[[#This Row],[t1_Ph_II]]+0))*((Table16[[#This Row],[I_0]]*Table16[[#This Row],[I_1]]+((Table16[[#This Row],[I_0]]-Table16[[#This Row],[I_1]])^2)/3))),SQRT((Fsw*(Table16[[#This Row],[t2_Ph_I]]+0))*((Table16[[#This Row],[I_1]]*Table16[[#This Row],[I_2]]+((Table16[[#This Row],[I_1]]-Table16[[#This Row],[I_2]])^2)/3))))</f>
        <v>3.3861286169920688</v>
      </c>
      <c r="AQ115" s="345">
        <f>Rdson4*Table16[[#This Row],[Irms BoCtlr]]^2</f>
        <v>4.0130534537844174E-2</v>
      </c>
      <c r="AR115" s="345">
        <f>CHOOSE(Table16[[#This Row],[Mode Digit]], 0, (Vout*Table16[[#This Row],[Iin]]/2)*(Fsw)*(Tr_boost+Tf_boost), (Vout*Iout/2)*(Fsw/1)*(Tr_boost+Tf_boost))</f>
        <v>0.47564320886662292</v>
      </c>
      <c r="AS115" s="253">
        <f>IF(Table16[[#This Row],[Vin]]&gt;Vout, 0, IF(Table16[[#This Row],[Iin]]&gt;Table16[[#This Row],[Ripple Current pk-pk]]/2,0,ABS(Table16[[#This Row],[Iin]]-Table16[[#This Row],[Ripple Current pk-pk]]/2)*Vsd_Q4*Deadtime*Fsw))</f>
        <v>0</v>
      </c>
      <c r="AT115" s="345">
        <f>(Table16[[#This Row],[Dead Time Loss BoCtlr]]+Table16[[#This Row],[Transition Loss BoCtlr]]+Table16[[#This Row],[RDS(on) Loss BoCtlr]]*(1+RdsonTopTc*Ta-RdsonTopTc*25))/(1-Table16[[#This Row],[RDS(on) Loss BoCtlr]]*RdsonTopTc*ThetaJA_Q4)</f>
        <v>0.5212120380045645</v>
      </c>
      <c r="AU115"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8.9222118536058961</v>
      </c>
      <c r="AV115" s="345">
        <f>Rdson3*Table16[[#This Row],[Irms BoSync]]^2</f>
        <v>0.27862052526218944</v>
      </c>
      <c r="AW115"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0.18364816149963953</v>
      </c>
      <c r="AX115" s="345">
        <f>(Table16[[#This Row],[Deadtime Loss BoSync]]+Table16[[#This Row],[RDS(on) Loss BoSync]]*(1+RdsonBotTc*Ta-RdsonBotTc*25))/(1-Table16[[#This Row],[RDS(on) Loss BoSync]]*RdsonBotTc*ThetaJA_Q3)</f>
        <v>0.49837137529555575</v>
      </c>
      <c r="AY115" s="345">
        <f>CHOOSE(Table16[[#This Row],[Mode Digit]], Rdson3*Table16[[#This Row],[Irms Lf]]^2, Rdson1*Table16[[#This Row],[Irms Lf]]^2, 0)</f>
        <v>0</v>
      </c>
      <c r="AZ115" s="345">
        <f>CHOOSE(Table16[[#This Row],[Mode Digit]], 2*Deadtime*Fsw*IF(VfdSky_Q2&gt;0,VfdSky_Q2,0)*Table16[[#This Row],[Iout]], 2*Deadtime*Fsw*IF(VfdSky_Q3&gt;0,VfdSky_Q3,0)*Table16[[#This Row],[Iin]], 2*Deadtime*Fsw*IF(VfdSky_Q2&gt;0,VfdSky_Q2,0)*Table16[[#This Row],[Iout]]+2*Deadtime*Fsw*IF(VfdSky_Q3&gt;0,VfdSky_Q3,0)*Table16[[#This Row],[Iin]])</f>
        <v>0</v>
      </c>
      <c r="BA115" s="345">
        <f>CHOOSE(Table16[[#This Row],[Mode Digit]], IF(QrrSky_Q2&gt;0,QrrSky_Q2,Qrr_Q2)*Fsw*(Table16[[#This Row],[Vin]]-Table16[[#This Row],[Iout]]*Rdson1),0,  IF(QrrSky_Q2&gt;0,QrrSky_Q2,Qrr_Q2)*Fsw*(Table16[[#This Row],[Vin]]-Table16[[#This Row],[Iout]]*Rdson1)+IF(QrrSky_Q3&gt;0,QrrSky_Q3,Qrr_Q3)*Fsw*Vout)</f>
        <v>0.74833551999999992</v>
      </c>
      <c r="BB115" s="345">
        <f>CHOOSE(Table16[[#This Row],[Mode Digit]],0, IF(QrrSky_Q3&gt;0,QrrSky_Q3,Qrr_Q3)*Fsw*Vout,  IF(QrrSky_Q2&gt;0,QrrSky_Q2,Qrr_Q2)*Fsw*(Table16[[#This Row],[Vin]]-Table16[[#This Row],[Iout]]*Rdson1)+IF(QrrSky_Q3&gt;0,QrrSky_Q3,Qrr_Q3)*Fsw*Vout)</f>
        <v>0.74833551999999992</v>
      </c>
      <c r="BC115" s="345">
        <f>CHOOSE(Table16[[#This Row],[Mode Digit]], Rs*Table16[[#This Row],[Irms BuSync]]^2, Rs*Table16[[#This Row],[Irms BoCtlr]]^2, Rs*(Table16[[#This Row],[Irms BuSync]]^2+Table16[[#This Row],[Irms BoCtlr]]^2))</f>
        <v>5.7691481609208596E-2</v>
      </c>
      <c r="BD115" s="345">
        <f t="shared" si="5"/>
        <v>0.64</v>
      </c>
      <c r="BE115" s="345">
        <f>IF(Vout&gt;8, Iq*Vout, Iq*Table16[[#This Row],[Vin]])</f>
        <v>4.8000000000000001E-2</v>
      </c>
      <c r="BF115" s="345">
        <f>CHOOSE(Table16[[#This Row],[Mode Digit]], (Qg_Q1+Qg_Q2)*Fsw, (Qg_Q3+Qg_Q4)*Fsw, (Qg_Q1+Qg_Q2+Qg_Q3+Qg_Q4)*Fsw)*IF(Vout&gt;8, Vout, Table16[[#This Row],[Vin]])</f>
        <v>1.7066240000000001</v>
      </c>
      <c r="BG115" s="345">
        <f t="shared" si="6"/>
        <v>0.50594479787234037</v>
      </c>
      <c r="BH115" s="345">
        <f>Table16[[#This Row],[IQ Loss]]+Table16[[#This Row],[Switching Current Loss]]</f>
        <v>1.7546240000000002</v>
      </c>
      <c r="BI115"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8.7292347540019577</v>
      </c>
      <c r="BJ115" s="253">
        <f>Vout*Table16[[#This Row],[Iout]]</f>
        <v>128</v>
      </c>
      <c r="BK115" s="684">
        <f>Table16[[#This Row],[Pout]]/(Table16[[#This Row],[Pout]]+Table16[[#This Row],[Total Loss]])</f>
        <v>0.93615677898214478</v>
      </c>
      <c r="BL115"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112.97461941156607</v>
      </c>
      <c r="BM115" s="685">
        <f>IF(Table16[[#This Row],[Vin]]&gt;Vout, Table16[[#This Row],[Total Sync Bu MOSFET Loss]]*ThetaJA_Q2, ThetaJA_Q3*Table16[[#This Row],[Total Sync Bo MOSFET Loss]])</f>
        <v>23.719939038898154</v>
      </c>
      <c r="BN115" s="640"/>
      <c r="BO115" s="292">
        <f>Table16[[#This Row],[EFF, h]]*100</f>
        <v>93.615677898214471</v>
      </c>
      <c r="BP115" s="345">
        <f>Table16[[#This Row],[Total Inductor Loss]]</f>
        <v>2.3877420475453994</v>
      </c>
      <c r="BQ115" s="345">
        <f>Table16[[#This Row],[Total Control Bu MOSFET Loss]]+Table16[[#This Row],[Total Sync Bu MOSFET Loss]]+Table16[[#This Row],[Total Control Bo MOSFET Loss]]+Table16[[#This Row],[Total Sync Bo MOSFET Loss]]+Table16[[#This Row],[Reverse Recovery Loss MOSFET D BUCK]]+Table16[[#This Row],[Reverse Recovery Loss MOSFET D BOOST]]</f>
        <v>3.870912140230339</v>
      </c>
      <c r="BR115" s="345">
        <f>Table16[[#This Row],[Total Control Bu MOSFET Loss]]+Table16[[#This Row],[Reverse Recovery Loss MOSFET D BUCK]]*0.66</f>
        <v>1.4836369910702472</v>
      </c>
      <c r="BS115" s="345">
        <f>Table16[[#This Row],[Total Sync Bu MOSFET Loss]]+Table16[[#This Row],[Reverse Recovery Loss MOSFET D BUCK]]*0.33</f>
        <v>0.6118728606599716</v>
      </c>
      <c r="BT115" s="345">
        <f xml:space="preserve"> Table16[[#This Row],[Total Control Bo MOSFET Loss]]+Table16[[#This Row],[Reverse Recovery Loss MOSFET D BOOST]]*0.66</f>
        <v>1.0151134812045646</v>
      </c>
      <c r="BU115" s="345">
        <f xml:space="preserve"> Table16[[#This Row],[Total Sync Bo MOSFET Loss]]+Table16[[#This Row],[Reverse Recovery Loss MOSFET D BOOST]]*0.33</f>
        <v>0.74532209689555573</v>
      </c>
      <c r="BV115" s="345">
        <f>Table16[[#This Row],[Isense Shunt Loss]]</f>
        <v>5.7691481609208596E-2</v>
      </c>
    </row>
    <row r="116" spans="7:74" x14ac:dyDescent="0.2">
      <c r="G116" s="253">
        <v>107</v>
      </c>
      <c r="H116" s="286">
        <f>VIN_min+(VIN_max-VIN_min)*(Table16[[#This Row],[Step]]/200)</f>
        <v>22.05</v>
      </c>
      <c r="I116" s="292" t="str">
        <f>IF(Mode = 2,IF(Table16[[#This Row],[Vin]]&gt;Vout, "BUCK","BOOST"),IF(Table16[[#This Row],[Vin]]&gt;VIN_BB_to_buck, "BUCK", IF(Table16[[#This Row],[Vin]]&lt;=VIN_boost_to_BB,"BOOST","BUCK-BST")))</f>
        <v>BUCK-BST</v>
      </c>
      <c r="J116" s="253">
        <f>IF(Table16[[#This Row],[Mode]]="BOOST",2, IF(Table16[[#This Row],[Mode]]="BUCK", 1,3))</f>
        <v>3</v>
      </c>
      <c r="K116" s="253">
        <f t="shared" si="4"/>
        <v>8</v>
      </c>
      <c r="L116" s="292">
        <f>Vout*Table16[[#This Row],[Iout]]/(Table16[[#This Row],[Vin]]*Efficiency)</f>
        <v>6.1105143811910736</v>
      </c>
      <c r="M116" s="682">
        <f>MIN(1/Fsw,CHOOSE(Table16[[#This Row],[Mode Digit]],(Vout+(Rdson2+Rs+Rdcr)*Table16[[#This Row],[Iout]])/(Table16[[#This Row],[Vin]]+(Rs+Rdson2-Rdson1)*Table16[[#This Row],[Iout]])/Fsw,(Vout+(Rdson3+Rdcr)*Table16[[#This Row],[Iin]]-Table16[[#This Row],[Vin]])/(Vout+(Rdson3-Rdson4-Rs)*Table16[[#This Row],[Iin]])/Fsw,t1_Ph_II))</f>
        <v>1.5084238313644118E-6</v>
      </c>
      <c r="N116" s="518">
        <f>CHOOSE(Table16[[#This Row],[Mode Digit]],1/Fsw-Table16[[#This Row],[t1_Ph_II]],1/Fsw-Table16[[#This Row],[t1_Ph_II]],(Vout/Fsw-Table16[[#This Row],[Vin]]*t1_Ph_II)/(Table16[[#This Row],[Vin]]+Vout))</f>
        <v>1.8239841113115246E-7</v>
      </c>
      <c r="O116" s="518">
        <f>1/Fsw-(Table16[[#This Row],[t1_Ph_II]]+Table16[[#This Row],[t2_Ph_I]])</f>
        <v>8.2174057157478767E-7</v>
      </c>
      <c r="P116"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6.1512567669765517</v>
      </c>
      <c r="Q116" s="292">
        <f>CHOOSE(Table16[[#This Row],[Mode Digit]],Table16[[#This Row],[I_0]]+1/Lf*(Table16[[#This Row],[Vin]]-Vout)*Table16[[#This Row],[t1_Ph_II]],Table16[[#This Row],[I_0]]+1/Lf*Table16[[#This Row],[Vin]]*Table16[[#This Row],[t1_Ph_II]],Table16[[#This Row],[I_0]]+(Table16[[#This Row],[Vin]]-Vout)/L*Table16[[#This Row],[t1_Ph_II]])</f>
        <v>11.221236866840268</v>
      </c>
      <c r="R116" s="292">
        <f>CHOOSE(Table16[[#This Row],[Mode Digit]],0,0,Table16[[#This Row],[I_1]]+Table16[[#This Row],[Vin]]/L*Table16[[#This Row],[t2_Ph_I]])</f>
        <v>13.455617403196886</v>
      </c>
      <c r="S116" s="292">
        <f>Fsw*(Table16[[#This Row],[I_0]]*Table16[[#This Row],[t1_Ph_II]]+Table16[[#This Row],[I_1]]*Table16[[#This Row],[t2_Ph_I]]+Table16[[#This Row],[I_2]]*Table16[[#This Row],[t3_Ph_III]])</f>
        <v>8.9082209949299074</v>
      </c>
      <c r="T116" s="345">
        <f>MIN(1,CHOOSE(Table16[[#This Row],[Mode Digit]],(Vout+(Rdson2+Rs+Rdcr)*Table16[[#This Row],[Iout]])/(Table16[[#This Row],[Vin]]+(Rs+Rdson2-Rdson1)*Table16[[#This Row],[Iout]]),1,Fsw*Table16[[#This Row],[t2_Ph_I]]+Table16[[#This Row],[t1_Ph_II]]))</f>
        <v>7.2596076054030054E-2</v>
      </c>
      <c r="U116" s="345">
        <f>MIN(1,CHOOSE(Table16[[#This Row],[Mode Digit]],0,(Vout+(Rdson3+Rdcr)*Table16[[#This Row],[Iin]]-Table16[[#This Row],[Vin]])/(Vout+(Rdson3-Rdson4-Rs)*Table16[[#This Row],[Iin]]),Fsw*Table16[[#This Row],[t1_Ph_II]]+Table16[[#This Row],[t3_Ph_III]]))</f>
        <v>0.60035350662360742</v>
      </c>
      <c r="V116" s="292">
        <f>MAX(Table16[[#This Row],[I_0]:[I_2]])-MIN(Table16[[#This Row],[I_0]:[I_1]])</f>
        <v>7.3043606362203342</v>
      </c>
      <c r="W116"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9.5158394965086242</v>
      </c>
      <c r="X116" s="345">
        <f>(Table16[[#This Row],[Irms Lf]]^2*Rdcr*(1+Ltc*Ta-Ltc*25))/(1-Table16[[#This Row],[Irms Lf]]^2*Rdcr*Ltc*ThetaCa)</f>
        <v>0.29664029480890025</v>
      </c>
      <c r="Y116" s="345">
        <f>ABS(7.759*10^-3*Fsw^0.9458*(0.00787*Table16[[#This Row],[Ripple Current pk-pk]])^2.304)</f>
        <v>2.129091619787888</v>
      </c>
      <c r="Z116" s="345">
        <f>Table16[[#This Row],[DCR    Loss]]+Table16[[#This Row],[Core Loss]]</f>
        <v>2.4257319145967884</v>
      </c>
      <c r="AA116" s="292">
        <f>IF(Table16[[#This Row],[Vin]]&gt;Vout, Table16[[#This Row],[Ripple Current pk-pk]]/SQRT(12), SQRT(Table16[[#This Row],[Duty Cycle BOOST Leg]]/(1-Table16[[#This Row],[Duty Cycle BOOST Leg]]))*SQRT(Table16[[#This Row],[Iout]]^2+(Table16[[#This Row],[Ripple Current pk-pk]]^2)/12))</f>
        <v>2.1085872897899582</v>
      </c>
      <c r="AB116" s="345">
        <f>RCoutEsr*Table16[[#This Row],[Irms Cout]]^2</f>
        <v>8.8922807173275227E-3</v>
      </c>
      <c r="AC116" s="345">
        <f>Table16[[#This Row],[Cout ESR Loss]]</f>
        <v>8.8922807173275227E-3</v>
      </c>
      <c r="AD116" s="345">
        <f>IF(Table16[[#This Row],[Vin]]&gt;Vout, SQRT(Table16[[#This Row],[Duty Cycle BUCK Leg]]*(1-Table16[[#This Row],[Duty Cycle BUCK Leg]]))*SQRT(Table16[[#This Row],[Iout]]^2+(Table16[[#This Row],[Ripple Current pk-pk]]^2)/12), Table16[[#This Row],[Ripple Current pk-pk]]/SQRT(12))</f>
        <v>2.1466711506274434</v>
      </c>
      <c r="AE116" s="345">
        <f>RCinEsr*Table16[[#This Row],[Irms Cin]]^2</f>
        <v>9.2163940578723035E-3</v>
      </c>
      <c r="AF116" s="683">
        <f>Table16[[#This Row],[Cin ESR Loss]]</f>
        <v>9.2163940578723035E-3</v>
      </c>
      <c r="AG116"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7.5937406231610094</v>
      </c>
      <c r="AH116" s="345">
        <f>Rdson1*Table16[[#This Row],[Irms BuCtrl]]^2</f>
        <v>0.20182713828146015</v>
      </c>
      <c r="AI116" s="345">
        <f>CHOOSE(Table16[[#This Row],[Mode Digit]], (Table16[[#This Row],[Vin]]*Table16[[#This Row],[Iout]]/2)*(Fsw)*(Tr_buck+Tf_buck), 0, (Table16[[#This Row],[Vin]]*Table16[[#This Row],[Avg IL]]/2)*(Fsw/1)*(Tr_buck+Tf_buck))</f>
        <v>0.73512713324096879</v>
      </c>
      <c r="AJ116" s="253">
        <f>IF(Table16[[#This Row],[Vin]]&gt;Vout, IF(Table16[[#This Row],[Iout]]&gt;Table16[[#This Row],[Ripple Current pk-pk]]/2,0,ABS(Table16[[#This Row],[Iout]]-Table16[[#This Row],[Ripple Current pk-pk]]/2)*Vsd_Q1*Deadtime*Fsw),0)</f>
        <v>0</v>
      </c>
      <c r="AK116" s="345">
        <f>(Table16[[#This Row],[Dead Time Loss BuCtrl]]+Table16[[#This Row],[Transition Loss BuCtrl]]+Table16[[#This Row],[RDS(on) Loss BuCtrl]]*(1+RdsonTopTc*Ta-RdsonTopTc*25))/(1-Table16[[#This Row],[RDS(on) Loss BuCtrl]]*RdsonTopTc*ThetaJA_Q1)</f>
        <v>0.98884391108560721</v>
      </c>
      <c r="AL116" s="345">
        <f>CHOOSE(Table16[[#This Row],[Mode Digit]],SQRT((Fsw*(Table16[[#This Row],[t2_Ph_I]]+0))*((Table16[[#This Row],[I_0]]*Table16[[#This Row],[I_1]]+((Table16[[#This Row],[I_0]]-Table16[[#This Row],[I_1]])^2)/3))),0,SQRT((Fsw*(Table16[[#This Row],[t3_Ph_III]]+0))*((Table16[[#This Row],[I_0]]*Table16[[#This Row],[I_2]]+((Table16[[#This Row],[I_0]]-Table16[[#This Row],[I_2]])^2)/3))))</f>
        <v>5.7346582000558461</v>
      </c>
      <c r="AM116" s="345">
        <f>Rdson2*Table16[[#This Row],[Irms BuSync]]^2</f>
        <v>0.11510206635013714</v>
      </c>
      <c r="AN116"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16" s="345">
        <f>(Table16[[#This Row],[Deadtime Loss BuSync]]+Table16[[#This Row],[RDS(on) Loss BuSync]]*(1+RdsonBotTc*Ta-RdsonBotTc*25))/(1-Table16[[#This Row],[RDS(on) Loss BuSync]]*RdsonBotTc*ThetaJA_Q2)</f>
        <v>0.36481986152601298</v>
      </c>
      <c r="AP116" s="345">
        <f>CHOOSE(Table16[[#This Row],[Mode Digit]],0,SQRT((Fsw*(Table16[[#This Row],[t1_Ph_II]]+0))*((Table16[[#This Row],[I_0]]*Table16[[#This Row],[I_1]]+((Table16[[#This Row],[I_0]]-Table16[[#This Row],[I_1]])^2)/3))),SQRT((Fsw*(Table16[[#This Row],[t2_Ph_I]]+0))*((Table16[[#This Row],[I_1]]*Table16[[#This Row],[I_2]]+((Table16[[#This Row],[I_1]]-Table16[[#This Row],[I_2]])^2)/3))))</f>
        <v>3.3289286001638092</v>
      </c>
      <c r="AQ116" s="345">
        <f>Rdson4*Table16[[#This Row],[Irms BoCtlr]]^2</f>
        <v>3.878617968746003E-2</v>
      </c>
      <c r="AR116" s="345">
        <f>CHOOSE(Table16[[#This Row],[Mode Digit]], 0, (Vout*Table16[[#This Row],[Iin]]/2)*(Fsw)*(Tr_boost+Tf_boost), (Vout*Iout/2)*(Fsw/1)*(Tr_boost+Tf_boost))</f>
        <v>0.47564320886662292</v>
      </c>
      <c r="AS116" s="253">
        <f>IF(Table16[[#This Row],[Vin]]&gt;Vout, 0, IF(Table16[[#This Row],[Iin]]&gt;Table16[[#This Row],[Ripple Current pk-pk]]/2,0,ABS(Table16[[#This Row],[Iin]]-Table16[[#This Row],[Ripple Current pk-pk]]/2)*Vsd_Q4*Deadtime*Fsw))</f>
        <v>0</v>
      </c>
      <c r="AT116" s="345">
        <f>(Table16[[#This Row],[Dead Time Loss BoCtlr]]+Table16[[#This Row],[Transition Loss BoCtlr]]+Table16[[#This Row],[RDS(on) Loss BoCtlr]]*(1+RdsonTopTc*Ta-RdsonTopTc*25))/(1-Table16[[#This Row],[RDS(on) Loss BoCtlr]]*RdsonTopTc*ThetaJA_Q4)</f>
        <v>0.51966995170660002</v>
      </c>
      <c r="AU116"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8.9145631243670547</v>
      </c>
      <c r="AV116" s="345">
        <f>Rdson3*Table16[[#This Row],[Irms BoSync]]^2</f>
        <v>0.27814302494413717</v>
      </c>
      <c r="AW116"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0.18239885427855351</v>
      </c>
      <c r="AX116" s="345">
        <f>(Table16[[#This Row],[Deadtime Loss BoSync]]+Table16[[#This Row],[RDS(on) Loss BoSync]]*(1+RdsonBotTc*Ta-RdsonBotTc*25))/(1-Table16[[#This Row],[RDS(on) Loss BoSync]]*RdsonBotTc*ThetaJA_Q3)</f>
        <v>0.49644325896038621</v>
      </c>
      <c r="AY116" s="345">
        <f>CHOOSE(Table16[[#This Row],[Mode Digit]], Rdson3*Table16[[#This Row],[Irms Lf]]^2, Rdson1*Table16[[#This Row],[Irms Lf]]^2, 0)</f>
        <v>0</v>
      </c>
      <c r="AZ116" s="345">
        <f>CHOOSE(Table16[[#This Row],[Mode Digit]], 2*Deadtime*Fsw*IF(VfdSky_Q2&gt;0,VfdSky_Q2,0)*Table16[[#This Row],[Iout]], 2*Deadtime*Fsw*IF(VfdSky_Q3&gt;0,VfdSky_Q3,0)*Table16[[#This Row],[Iin]], 2*Deadtime*Fsw*IF(VfdSky_Q2&gt;0,VfdSky_Q2,0)*Table16[[#This Row],[Iout]]+2*Deadtime*Fsw*IF(VfdSky_Q3&gt;0,VfdSky_Q3,0)*Table16[[#This Row],[Iin]])</f>
        <v>0</v>
      </c>
      <c r="BA116" s="345">
        <f>CHOOSE(Table16[[#This Row],[Mode Digit]], IF(QrrSky_Q2&gt;0,QrrSky_Q2,Qrr_Q2)*Fsw*(Table16[[#This Row],[Vin]]-Table16[[#This Row],[Iout]]*Rdson1),0,  IF(QrrSky_Q2&gt;0,QrrSky_Q2,Qrr_Q2)*Fsw*(Table16[[#This Row],[Vin]]-Table16[[#This Row],[Iout]]*Rdson1)+IF(QrrSky_Q3&gt;0,QrrSky_Q3,Qrr_Q3)*Fsw*Vout)</f>
        <v>0.75102201999999996</v>
      </c>
      <c r="BB116" s="345">
        <f>CHOOSE(Table16[[#This Row],[Mode Digit]],0, IF(QrrSky_Q3&gt;0,QrrSky_Q3,Qrr_Q3)*Fsw*Vout,  IF(QrrSky_Q2&gt;0,QrrSky_Q2,Qrr_Q2)*Fsw*(Table16[[#This Row],[Vin]]-Table16[[#This Row],[Iout]]*Rdson1)+IF(QrrSky_Q3&gt;0,QrrSky_Q3,Qrr_Q3)*Fsw*Vout)</f>
        <v>0.75102201999999996</v>
      </c>
      <c r="BC116" s="345">
        <f>CHOOSE(Table16[[#This Row],[Mode Digit]], Rs*Table16[[#This Row],[Irms BuSync]]^2, Rs*Table16[[#This Row],[Irms BoCtlr]]^2, Rs*(Table16[[#This Row],[Irms BuSync]]^2+Table16[[#This Row],[Irms BoCtlr]]^2))</f>
        <v>5.715849138539323E-2</v>
      </c>
      <c r="BD116" s="345">
        <f t="shared" si="5"/>
        <v>0.64</v>
      </c>
      <c r="BE116" s="345">
        <f>IF(Vout&gt;8, Iq*Vout, Iq*Table16[[#This Row],[Vin]])</f>
        <v>4.8000000000000001E-2</v>
      </c>
      <c r="BF116" s="345">
        <f>CHOOSE(Table16[[#This Row],[Mode Digit]], (Qg_Q1+Qg_Q2)*Fsw, (Qg_Q3+Qg_Q4)*Fsw, (Qg_Q1+Qg_Q2+Qg_Q3+Qg_Q4)*Fsw)*IF(Vout&gt;8, Vout, Table16[[#This Row],[Vin]])</f>
        <v>1.7066240000000001</v>
      </c>
      <c r="BG116" s="345">
        <f t="shared" si="6"/>
        <v>0.50594479787234037</v>
      </c>
      <c r="BH116" s="345">
        <f>Table16[[#This Row],[IQ Loss]]+Table16[[#This Row],[Switching Current Loss]]</f>
        <v>1.7546240000000002</v>
      </c>
      <c r="BI116"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8.7674441040359881</v>
      </c>
      <c r="BJ116" s="253">
        <f>Vout*Table16[[#This Row],[Iout]]</f>
        <v>128</v>
      </c>
      <c r="BK116" s="684">
        <f>Table16[[#This Row],[Pout]]/(Table16[[#This Row],[Pout]]+Table16[[#This Row],[Total Loss]])</f>
        <v>0.93589524055617523</v>
      </c>
      <c r="BL116"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113.09128552056447</v>
      </c>
      <c r="BM116" s="685">
        <f>IF(Table16[[#This Row],[Vin]]&gt;Vout, Table16[[#This Row],[Total Sync Bu MOSFET Loss]]*ThetaJA_Q2, ThetaJA_Q3*Table16[[#This Row],[Total Sync Bo MOSFET Loss]])</f>
        <v>23.713290999190843</v>
      </c>
      <c r="BN116" s="640"/>
      <c r="BO116" s="292">
        <f>Table16[[#This Row],[EFF, h]]*100</f>
        <v>93.589524055617517</v>
      </c>
      <c r="BP116" s="345">
        <f>Table16[[#This Row],[Total Inductor Loss]]</f>
        <v>2.4257319145967884</v>
      </c>
      <c r="BQ116" s="345">
        <f>Table16[[#This Row],[Total Control Bu MOSFET Loss]]+Table16[[#This Row],[Total Sync Bu MOSFET Loss]]+Table16[[#This Row],[Total Control Bo MOSFET Loss]]+Table16[[#This Row],[Total Sync Bo MOSFET Loss]]+Table16[[#This Row],[Reverse Recovery Loss MOSFET D BUCK]]+Table16[[#This Row],[Reverse Recovery Loss MOSFET D BOOST]]</f>
        <v>3.8718210232786063</v>
      </c>
      <c r="BR116" s="345">
        <f>Table16[[#This Row],[Total Control Bu MOSFET Loss]]+Table16[[#This Row],[Reverse Recovery Loss MOSFET D BUCK]]*0.66</f>
        <v>1.4845184442856072</v>
      </c>
      <c r="BS116" s="345">
        <f>Table16[[#This Row],[Total Sync Bu MOSFET Loss]]+Table16[[#This Row],[Reverse Recovery Loss MOSFET D BUCK]]*0.33</f>
        <v>0.61265712812601292</v>
      </c>
      <c r="BT116" s="345">
        <f xml:space="preserve"> Table16[[#This Row],[Total Control Bo MOSFET Loss]]+Table16[[#This Row],[Reverse Recovery Loss MOSFET D BOOST]]*0.66</f>
        <v>1.0153444849066</v>
      </c>
      <c r="BU116" s="345">
        <f xml:space="preserve"> Table16[[#This Row],[Total Sync Bo MOSFET Loss]]+Table16[[#This Row],[Reverse Recovery Loss MOSFET D BOOST]]*0.33</f>
        <v>0.74428052556038615</v>
      </c>
      <c r="BV116" s="345">
        <f>Table16[[#This Row],[Isense Shunt Loss]]</f>
        <v>5.715849138539323E-2</v>
      </c>
    </row>
    <row r="117" spans="7:74" x14ac:dyDescent="0.2">
      <c r="G117" s="253">
        <v>108</v>
      </c>
      <c r="H117" s="286">
        <f>VIN_min+(VIN_max-VIN_min)*(Table16[[#This Row],[Step]]/200)</f>
        <v>22.200000000000003</v>
      </c>
      <c r="I117" s="292" t="str">
        <f>IF(Mode = 2,IF(Table16[[#This Row],[Vin]]&gt;Vout, "BUCK","BOOST"),IF(Table16[[#This Row],[Vin]]&gt;VIN_BB_to_buck, "BUCK", IF(Table16[[#This Row],[Vin]]&lt;=VIN_boost_to_BB,"BOOST","BUCK-BST")))</f>
        <v>BUCK-BST</v>
      </c>
      <c r="J117" s="253">
        <f>IF(Table16[[#This Row],[Mode]]="BOOST",2, IF(Table16[[#This Row],[Mode]]="BUCK", 1,3))</f>
        <v>3</v>
      </c>
      <c r="K117" s="253">
        <f t="shared" si="4"/>
        <v>8</v>
      </c>
      <c r="L117" s="292">
        <f>Vout*Table16[[#This Row],[Iout]]/(Table16[[#This Row],[Vin]]*Efficiency)</f>
        <v>6.0692271218586997</v>
      </c>
      <c r="M117" s="682">
        <f>MIN(1/Fsw,CHOOSE(Table16[[#This Row],[Mode Digit]],(Vout+(Rdson2+Rs+Rdcr)*Table16[[#This Row],[Iout]])/(Table16[[#This Row],[Vin]]+(Rs+Rdson2-Rdson1)*Table16[[#This Row],[Iout]])/Fsw,(Vout+(Rdson3+Rdcr)*Table16[[#This Row],[Iin]]-Table16[[#This Row],[Vin]])/(Vout+(Rdson3-Rdson4-Rs)*Table16[[#This Row],[Iin]])/Fsw,t1_Ph_II))</f>
        <v>1.5084238313644118E-6</v>
      </c>
      <c r="N117" s="518">
        <f>CHOOSE(Table16[[#This Row],[Mode Digit]],1/Fsw-Table16[[#This Row],[t1_Ph_II]],1/Fsw-Table16[[#This Row],[t1_Ph_II]],(Vout/Fsw-Table16[[#This Row],[Vin]]*t1_Ph_II)/(Table16[[#This Row],[Vin]]+Vout))</f>
        <v>1.7575905677580327E-7</v>
      </c>
      <c r="O117" s="518">
        <f>1/Fsw-(Table16[[#This Row],[t1_Ph_II]]+Table16[[#This Row],[t2_Ph_I]])</f>
        <v>8.2837992593013694E-7</v>
      </c>
      <c r="P117"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6.0723718958217443</v>
      </c>
      <c r="Q117" s="292">
        <f>CHOOSE(Table16[[#This Row],[Mode Digit]],Table16[[#This Row],[I_0]]+1/Lf*(Table16[[#This Row],[Vin]]-Vout)*Table16[[#This Row],[t1_Ph_II]],Table16[[#This Row],[I_0]]+1/Lf*Table16[[#This Row],[Vin]]*Table16[[#This Row],[t1_Ph_II]],Table16[[#This Row],[I_0]]+(Table16[[#This Row],[Vin]]-Vout)/L*Table16[[#This Row],[t1_Ph_II]])</f>
        <v>11.268053981632498</v>
      </c>
      <c r="R117" s="292">
        <f>CHOOSE(Table16[[#This Row],[Mode Digit]],0,0,Table16[[#This Row],[I_1]]+Table16[[#This Row],[Vin]]/L*Table16[[#This Row],[t2_Ph_I]])</f>
        <v>13.435749015200738</v>
      </c>
      <c r="S117" s="292">
        <f>Fsw*(Table16[[#This Row],[I_0]]*Table16[[#This Row],[t1_Ph_II]]+Table16[[#This Row],[I_1]]*Table16[[#This Row],[t2_Ph_I]]+Table16[[#This Row],[I_2]]*Table16[[#This Row],[t3_Ph_III]])</f>
        <v>8.8634909620531808</v>
      </c>
      <c r="T117" s="345">
        <f>MIN(1,CHOOSE(Table16[[#This Row],[Mode Digit]],(Vout+(Rdson2+Rs+Rdcr)*Table16[[#This Row],[Iout]])/(Table16[[#This Row],[Vin]]+(Rs+Rdson2-Rdson1)*Table16[[#This Row],[Iout]]),1,Fsw*Table16[[#This Row],[t2_Ph_I]]+Table16[[#This Row],[t1_Ph_II]]))</f>
        <v>6.9953613020601074E-2</v>
      </c>
      <c r="U117" s="345">
        <f>MIN(1,CHOOSE(Table16[[#This Row],[Mode Digit]],0,(Vout+(Rdson3+Rdcr)*Table16[[#This Row],[Iin]]-Table16[[#This Row],[Vin]])/(Vout+(Rdson3-Rdson4-Rs)*Table16[[#This Row],[Iin]]),Fsw*Table16[[#This Row],[t1_Ph_II]]+Table16[[#This Row],[t3_Ph_III]]))</f>
        <v>0.60035351326296171</v>
      </c>
      <c r="V117" s="292">
        <f>MAX(Table16[[#This Row],[I_0]:[I_2]])-MIN(Table16[[#This Row],[I_0]:[I_1]])</f>
        <v>7.3633771193789936</v>
      </c>
      <c r="W117"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9.4888344541622072</v>
      </c>
      <c r="X117" s="345">
        <f>(Table16[[#This Row],[Irms Lf]]^2*Rdcr*(1+Ltc*Ta-Ltc*25))/(1-Table16[[#This Row],[Irms Lf]]^2*Rdcr*Ltc*ThetaCa)</f>
        <v>0.29491934282632187</v>
      </c>
      <c r="Y117" s="345">
        <f>ABS(7.759*10^-3*Fsw^0.9458*(0.00787*Table16[[#This Row],[Ripple Current pk-pk]])^2.304)</f>
        <v>2.1689345825776076</v>
      </c>
      <c r="Z117" s="345">
        <f>Table16[[#This Row],[DCR    Loss]]+Table16[[#This Row],[Core Loss]]</f>
        <v>2.4638539254039293</v>
      </c>
      <c r="AA117" s="292">
        <f>IF(Table16[[#This Row],[Vin]]&gt;Vout, Table16[[#This Row],[Ripple Current pk-pk]]/SQRT(12), SQRT(Table16[[#This Row],[Duty Cycle BOOST Leg]]/(1-Table16[[#This Row],[Duty Cycle BOOST Leg]]))*SQRT(Table16[[#This Row],[Iout]]^2+(Table16[[#This Row],[Ripple Current pk-pk]]^2)/12))</f>
        <v>2.1256238810090968</v>
      </c>
      <c r="AB117" s="345">
        <f>RCoutEsr*Table16[[#This Row],[Irms Cout]]^2</f>
        <v>9.0365537670323501E-3</v>
      </c>
      <c r="AC117" s="345">
        <f>Table16[[#This Row],[Cout ESR Loss]]</f>
        <v>9.0365537670323501E-3</v>
      </c>
      <c r="AD117" s="345">
        <f>IF(Table16[[#This Row],[Vin]]&gt;Vout, SQRT(Table16[[#This Row],[Duty Cycle BUCK Leg]]*(1-Table16[[#This Row],[Duty Cycle BUCK Leg]]))*SQRT(Table16[[#This Row],[Iout]]^2+(Table16[[#This Row],[Ripple Current pk-pk]]^2)/12), Table16[[#This Row],[Ripple Current pk-pk]]/SQRT(12))</f>
        <v>2.1113517687988614</v>
      </c>
      <c r="AE117" s="345">
        <f>RCinEsr*Table16[[#This Row],[Irms Cin]]^2</f>
        <v>8.9156125832201612E-3</v>
      </c>
      <c r="AF117" s="683">
        <f>Table16[[#This Row],[Cin ESR Loss]]</f>
        <v>8.9156125832201612E-3</v>
      </c>
      <c r="AG117"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7.5617831075753861</v>
      </c>
      <c r="AH117" s="345">
        <f>Rdson1*Table16[[#This Row],[Irms BuCtrl]]^2</f>
        <v>0.20013197318104362</v>
      </c>
      <c r="AI117" s="345">
        <f>CHOOSE(Table16[[#This Row],[Mode Digit]], (Table16[[#This Row],[Vin]]*Table16[[#This Row],[Iout]]/2)*(Fsw)*(Tr_buck+Tf_buck), 0, (Table16[[#This Row],[Vin]]*Table16[[#This Row],[Avg IL]]/2)*(Fsw/1)*(Tr_buck+Tf_buck))</f>
        <v>0.73641166127255209</v>
      </c>
      <c r="AJ117" s="253">
        <f>IF(Table16[[#This Row],[Vin]]&gt;Vout, IF(Table16[[#This Row],[Iout]]&gt;Table16[[#This Row],[Ripple Current pk-pk]]/2,0,ABS(Table16[[#This Row],[Iout]]-Table16[[#This Row],[Ripple Current pk-pk]]/2)*Vsd_Q1*Deadtime*Fsw),0)</f>
        <v>0</v>
      </c>
      <c r="AK117" s="345">
        <f>(Table16[[#This Row],[Dead Time Loss BuCtrl]]+Table16[[#This Row],[Transition Loss BuCtrl]]+Table16[[#This Row],[RDS(on) Loss BuCtrl]]*(1+RdsonTopTc*Ta-RdsonTopTc*25))/(1-Table16[[#This Row],[RDS(on) Loss BuCtrl]]*RdsonTopTc*ThetaJA_Q1)</f>
        <v>0.98795098527689729</v>
      </c>
      <c r="AL117" s="345">
        <f>CHOOSE(Table16[[#This Row],[Mode Digit]],SQRT((Fsw*(Table16[[#This Row],[t2_Ph_I]]+0))*((Table16[[#This Row],[I_0]]*Table16[[#This Row],[I_1]]+((Table16[[#This Row],[I_0]]-Table16[[#This Row],[I_1]])^2)/3))),0,SQRT((Fsw*(Table16[[#This Row],[t3_Ph_III]]+0))*((Table16[[#This Row],[I_0]]*Table16[[#This Row],[I_2]]+((Table16[[#This Row],[I_0]]-Table16[[#This Row],[I_2]])^2)/3))))</f>
        <v>5.7321388270420766</v>
      </c>
      <c r="AM117" s="345">
        <f>Rdson2*Table16[[#This Row],[Irms BuSync]]^2</f>
        <v>0.11500095436369161</v>
      </c>
      <c r="AN117"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17" s="345">
        <f>(Table16[[#This Row],[Deadtime Loss BuSync]]+Table16[[#This Row],[RDS(on) Loss BuSync]]*(1+RdsonBotTc*Ta-RdsonBotTc*25))/(1-Table16[[#This Row],[RDS(on) Loss BuSync]]*RdsonBotTc*ThetaJA_Q2)</f>
        <v>0.36470574668569372</v>
      </c>
      <c r="AP117" s="345">
        <f>CHOOSE(Table16[[#This Row],[Mode Digit]],0,SQRT((Fsw*(Table16[[#This Row],[t1_Ph_II]]+0))*((Table16[[#This Row],[I_0]]*Table16[[#This Row],[I_1]]+((Table16[[#This Row],[I_0]]-Table16[[#This Row],[I_1]])^2)/3))),SQRT((Fsw*(Table16[[#This Row],[t2_Ph_I]]+0))*((Table16[[#This Row],[I_1]]*Table16[[#This Row],[I_2]]+((Table16[[#This Row],[I_1]]-Table16[[#This Row],[I_2]])^2)/3))))</f>
        <v>3.2710773566446703</v>
      </c>
      <c r="AQ117" s="345">
        <f>Rdson4*Table16[[#This Row],[Irms BoCtlr]]^2</f>
        <v>3.7449814756037189E-2</v>
      </c>
      <c r="AR117" s="345">
        <f>CHOOSE(Table16[[#This Row],[Mode Digit]], 0, (Vout*Table16[[#This Row],[Iin]]/2)*(Fsw)*(Tr_boost+Tf_boost), (Vout*Iout/2)*(Fsw/1)*(Tr_boost+Tf_boost))</f>
        <v>0.47564320886662292</v>
      </c>
      <c r="AS117" s="253">
        <f>IF(Table16[[#This Row],[Vin]]&gt;Vout, 0, IF(Table16[[#This Row],[Iin]]&gt;Table16[[#This Row],[Ripple Current pk-pk]]/2,0,ABS(Table16[[#This Row],[Iin]]-Table16[[#This Row],[Ripple Current pk-pk]]/2)*Vsd_Q4*Deadtime*Fsw))</f>
        <v>0</v>
      </c>
      <c r="AT117" s="345">
        <f>(Table16[[#This Row],[Dead Time Loss BoCtlr]]+Table16[[#This Row],[Transition Loss BoCtlr]]+Table16[[#This Row],[RDS(on) Loss BoCtlr]]*(1+RdsonTopTc*Ta-RdsonTopTc*25))/(1-Table16[[#This Row],[RDS(on) Loss BoCtlr]]*RdsonTopTc*ThetaJA_Q4)</f>
        <v>0.51813810943895844</v>
      </c>
      <c r="AU117"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8.9071899174398599</v>
      </c>
      <c r="AV117" s="345">
        <f>Rdson3*Table16[[#This Row],[Irms BoSync]]^2</f>
        <v>0.27768311278869806</v>
      </c>
      <c r="AW117"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0.18116642958748216</v>
      </c>
      <c r="AX117" s="345">
        <f>(Table16[[#This Row],[Deadtime Loss BoSync]]+Table16[[#This Row],[RDS(on) Loss BoSync]]*(1+RdsonBotTc*Ta-RdsonBotTc*25))/(1-Table16[[#This Row],[RDS(on) Loss BoSync]]*RdsonBotTc*ThetaJA_Q3)</f>
        <v>0.49455524903571962</v>
      </c>
      <c r="AY117" s="345">
        <f>CHOOSE(Table16[[#This Row],[Mode Digit]], Rdson3*Table16[[#This Row],[Irms Lf]]^2, Rdson1*Table16[[#This Row],[Irms Lf]]^2, 0)</f>
        <v>0</v>
      </c>
      <c r="AZ117" s="345">
        <f>CHOOSE(Table16[[#This Row],[Mode Digit]], 2*Deadtime*Fsw*IF(VfdSky_Q2&gt;0,VfdSky_Q2,0)*Table16[[#This Row],[Iout]], 2*Deadtime*Fsw*IF(VfdSky_Q3&gt;0,VfdSky_Q3,0)*Table16[[#This Row],[Iin]], 2*Deadtime*Fsw*IF(VfdSky_Q2&gt;0,VfdSky_Q2,0)*Table16[[#This Row],[Iout]]+2*Deadtime*Fsw*IF(VfdSky_Q3&gt;0,VfdSky_Q3,0)*Table16[[#This Row],[Iin]])</f>
        <v>0</v>
      </c>
      <c r="BA117" s="345">
        <f>CHOOSE(Table16[[#This Row],[Mode Digit]], IF(QrrSky_Q2&gt;0,QrrSky_Q2,Qrr_Q2)*Fsw*(Table16[[#This Row],[Vin]]-Table16[[#This Row],[Iout]]*Rdson1),0,  IF(QrrSky_Q2&gt;0,QrrSky_Q2,Qrr_Q2)*Fsw*(Table16[[#This Row],[Vin]]-Table16[[#This Row],[Iout]]*Rdson1)+IF(QrrSky_Q3&gt;0,QrrSky_Q3,Qrr_Q3)*Fsw*Vout)</f>
        <v>0.75370851999999999</v>
      </c>
      <c r="BB117" s="345">
        <f>CHOOSE(Table16[[#This Row],[Mode Digit]],0, IF(QrrSky_Q3&gt;0,QrrSky_Q3,Qrr_Q3)*Fsw*Vout,  IF(QrrSky_Q2&gt;0,QrrSky_Q2,Qrr_Q2)*Fsw*(Table16[[#This Row],[Vin]]-Table16[[#This Row],[Iout]]*Rdson1)+IF(QrrSky_Q3&gt;0,QrrSky_Q3,Qrr_Q3)*Fsw*Vout)</f>
        <v>0.75370851999999999</v>
      </c>
      <c r="BC117" s="345">
        <f>CHOOSE(Table16[[#This Row],[Mode Digit]], Rs*Table16[[#This Row],[Irms BuSync]]^2, Rs*Table16[[#This Row],[Irms BoCtlr]]^2, Rs*(Table16[[#This Row],[Irms BuSync]]^2+Table16[[#This Row],[Irms BoCtlr]]^2))</f>
        <v>5.6624571387327835E-2</v>
      </c>
      <c r="BD117" s="345">
        <f t="shared" si="5"/>
        <v>0.64</v>
      </c>
      <c r="BE117" s="345">
        <f>IF(Vout&gt;8, Iq*Vout, Iq*Table16[[#This Row],[Vin]])</f>
        <v>4.8000000000000001E-2</v>
      </c>
      <c r="BF117" s="345">
        <f>CHOOSE(Table16[[#This Row],[Mode Digit]], (Qg_Q1+Qg_Q2)*Fsw, (Qg_Q3+Qg_Q4)*Fsw, (Qg_Q1+Qg_Q2+Qg_Q3+Qg_Q4)*Fsw)*IF(Vout&gt;8, Vout, Table16[[#This Row],[Vin]])</f>
        <v>1.7066240000000001</v>
      </c>
      <c r="BG117" s="345">
        <f t="shared" si="6"/>
        <v>0.50594479787234037</v>
      </c>
      <c r="BH117" s="345">
        <f>Table16[[#This Row],[IQ Loss]]+Table16[[#This Row],[Switching Current Loss]]</f>
        <v>1.7546240000000002</v>
      </c>
      <c r="BI117"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8.8058217935787795</v>
      </c>
      <c r="BJ117" s="253">
        <f>Vout*Table16[[#This Row],[Iout]]</f>
        <v>128</v>
      </c>
      <c r="BK117" s="684">
        <f>Table16[[#This Row],[Pout]]/(Table16[[#This Row],[Pout]]+Table16[[#This Row],[Total Loss]])</f>
        <v>0.9356326969267027</v>
      </c>
      <c r="BL117"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113.20786784299833</v>
      </c>
      <c r="BM117" s="685">
        <f>IF(Table16[[#This Row],[Vin]]&gt;Vout, Table16[[#This Row],[Total Sync Bu MOSFET Loss]]*ThetaJA_Q2, ThetaJA_Q3*Table16[[#This Row],[Total Sync Bo MOSFET Loss]])</f>
        <v>23.705873534570092</v>
      </c>
      <c r="BN117" s="640"/>
      <c r="BO117" s="292">
        <f>Table16[[#This Row],[EFF, h]]*100</f>
        <v>93.563269692670275</v>
      </c>
      <c r="BP117" s="345">
        <f>Table16[[#This Row],[Total Inductor Loss]]</f>
        <v>2.4638539254039293</v>
      </c>
      <c r="BQ117" s="345">
        <f>Table16[[#This Row],[Total Control Bu MOSFET Loss]]+Table16[[#This Row],[Total Sync Bu MOSFET Loss]]+Table16[[#This Row],[Total Control Bo MOSFET Loss]]+Table16[[#This Row],[Total Sync Bo MOSFET Loss]]+Table16[[#This Row],[Reverse Recovery Loss MOSFET D BUCK]]+Table16[[#This Row],[Reverse Recovery Loss MOSFET D BOOST]]</f>
        <v>3.8727671304372691</v>
      </c>
      <c r="BR117" s="345">
        <f>Table16[[#This Row],[Total Control Bu MOSFET Loss]]+Table16[[#This Row],[Reverse Recovery Loss MOSFET D BUCK]]*0.66</f>
        <v>1.4853986084768973</v>
      </c>
      <c r="BS117" s="345">
        <f>Table16[[#This Row],[Total Sync Bu MOSFET Loss]]+Table16[[#This Row],[Reverse Recovery Loss MOSFET D BUCK]]*0.33</f>
        <v>0.61342955828569368</v>
      </c>
      <c r="BT117" s="345">
        <f xml:space="preserve"> Table16[[#This Row],[Total Control Bo MOSFET Loss]]+Table16[[#This Row],[Reverse Recovery Loss MOSFET D BOOST]]*0.66</f>
        <v>1.0155857326389586</v>
      </c>
      <c r="BU117" s="345">
        <f xml:space="preserve"> Table16[[#This Row],[Total Sync Bo MOSFET Loss]]+Table16[[#This Row],[Reverse Recovery Loss MOSFET D BOOST]]*0.33</f>
        <v>0.74327906063571958</v>
      </c>
      <c r="BV117" s="345">
        <f>Table16[[#This Row],[Isense Shunt Loss]]</f>
        <v>5.6624571387327835E-2</v>
      </c>
    </row>
    <row r="118" spans="7:74" x14ac:dyDescent="0.2">
      <c r="G118" s="253">
        <v>109</v>
      </c>
      <c r="H118" s="286">
        <f>VIN_min+(VIN_max-VIN_min)*(Table16[[#This Row],[Step]]/200)</f>
        <v>22.35</v>
      </c>
      <c r="I118" s="292" t="str">
        <f>IF(Mode = 2,IF(Table16[[#This Row],[Vin]]&gt;Vout, "BUCK","BOOST"),IF(Table16[[#This Row],[Vin]]&gt;VIN_BB_to_buck, "BUCK", IF(Table16[[#This Row],[Vin]]&lt;=VIN_boost_to_BB,"BOOST","BUCK-BST")))</f>
        <v>BUCK-BST</v>
      </c>
      <c r="J118" s="253">
        <f>IF(Table16[[#This Row],[Mode]]="BOOST",2, IF(Table16[[#This Row],[Mode]]="BUCK", 1,3))</f>
        <v>3</v>
      </c>
      <c r="K118" s="253">
        <f t="shared" si="4"/>
        <v>8</v>
      </c>
      <c r="L118" s="292">
        <f>Vout*Table16[[#This Row],[Iout]]/(Table16[[#This Row],[Vin]]*Efficiency)</f>
        <v>6.0284940539267629</v>
      </c>
      <c r="M118" s="682">
        <f>MIN(1/Fsw,CHOOSE(Table16[[#This Row],[Mode Digit]],(Vout+(Rdson2+Rs+Rdcr)*Table16[[#This Row],[Iout]])/(Table16[[#This Row],[Vin]]+(Rs+Rdson2-Rdson1)*Table16[[#This Row],[Iout]])/Fsw,(Vout+(Rdson3+Rdcr)*Table16[[#This Row],[Iin]]-Table16[[#This Row],[Vin]])/(Vout+(Rdson3-Rdson4-Rs)*Table16[[#This Row],[Iin]])/Fsw,t1_Ph_II))</f>
        <v>1.5084238313644118E-6</v>
      </c>
      <c r="N118" s="518">
        <f>CHOOSE(Table16[[#This Row],[Mode Digit]],1/Fsw-Table16[[#This Row],[t1_Ph_II]],1/Fsw-Table16[[#This Row],[t1_Ph_II]],(Vout/Fsw-Table16[[#This Row],[Vin]]*t1_Ph_II)/(Table16[[#This Row],[Vin]]+Vout))</f>
        <v>1.6917164000341661E-7</v>
      </c>
      <c r="O118" s="518">
        <f>1/Fsw-(Table16[[#This Row],[t1_Ph_II]]+Table16[[#This Row],[t2_Ph_I]])</f>
        <v>8.3496734270252358E-7</v>
      </c>
      <c r="P118"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5.9940641516615099</v>
      </c>
      <c r="Q118" s="292">
        <f>CHOOSE(Table16[[#This Row],[Mode Digit]],Table16[[#This Row],[I_0]]+1/Lf*(Table16[[#This Row],[Vin]]-Vout)*Table16[[#This Row],[t1_Ph_II]],Table16[[#This Row],[I_0]]+1/Lf*Table16[[#This Row],[Vin]]*Table16[[#This Row],[t1_Ph_II]],Table16[[#This Row],[I_0]]+(Table16[[#This Row],[Vin]]-Vout)/L*Table16[[#This Row],[t1_Ph_II]])</f>
        <v>11.315448223419297</v>
      </c>
      <c r="R118" s="292">
        <f>CHOOSE(Table16[[#This Row],[Mode Digit]],0,0,Table16[[#This Row],[I_1]]+Table16[[#This Row],[Vin]]/L*Table16[[#This Row],[t2_Ph_I]])</f>
        <v>13.415996086795053</v>
      </c>
      <c r="S118" s="292">
        <f>Fsw*(Table16[[#This Row],[I_0]]*Table16[[#This Row],[t1_Ph_II]]+Table16[[#This Row],[I_1]]*Table16[[#This Row],[t2_Ph_I]]+Table16[[#This Row],[I_2]]*Table16[[#This Row],[t3_Ph_III]])</f>
        <v>8.8187887779912106</v>
      </c>
      <c r="T118" s="345">
        <f>MIN(1,CHOOSE(Table16[[#This Row],[Mode Digit]],(Vout+(Rdson2+Rs+Rdcr)*Table16[[#This Row],[Iout]])/(Table16[[#This Row],[Vin]]+(Rs+Rdson2-Rdson1)*Table16[[#This Row],[Iout]]),1,Fsw*Table16[[#This Row],[t2_Ph_I]]+Table16[[#This Row],[t1_Ph_II]]))</f>
        <v>6.7331821145191179E-2</v>
      </c>
      <c r="U118" s="345">
        <f>MIN(1,CHOOSE(Table16[[#This Row],[Mode Digit]],0,(Vout+(Rdson3+Rdcr)*Table16[[#This Row],[Iin]]-Table16[[#This Row],[Vin]])/(Vout+(Rdson3-Rdson4-Rs)*Table16[[#This Row],[Iin]]),Fsw*Table16[[#This Row],[t1_Ph_II]]+Table16[[#This Row],[t3_Ph_III]]))</f>
        <v>0.60035351985037855</v>
      </c>
      <c r="V118" s="292">
        <f>MAX(Table16[[#This Row],[I_0]:[I_2]])-MIN(Table16[[#This Row],[I_0]:[I_1]])</f>
        <v>7.4219319351335429</v>
      </c>
      <c r="W118"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9.462130671072531</v>
      </c>
      <c r="X118" s="345">
        <f>(Table16[[#This Row],[Irms Lf]]^2*Rdcr*(1+Ltc*Ta-Ltc*25))/(1-Table16[[#This Row],[Irms Lf]]^2*Rdcr*Ltc*ThetaCa)</f>
        <v>0.29322285169357309</v>
      </c>
      <c r="Y118" s="345">
        <f>ABS(7.759*10^-3*Fsw^0.9458*(0.00787*Table16[[#This Row],[Ripple Current pk-pk]])^2.304)</f>
        <v>2.2088795641055228</v>
      </c>
      <c r="Z118" s="345">
        <f>Table16[[#This Row],[DCR    Loss]]+Table16[[#This Row],[Core Loss]]</f>
        <v>2.5021024157990959</v>
      </c>
      <c r="AA118" s="292">
        <f>IF(Table16[[#This Row],[Vin]]&gt;Vout, Table16[[#This Row],[Ripple Current pk-pk]]/SQRT(12), SQRT(Table16[[#This Row],[Duty Cycle BOOST Leg]]/(1-Table16[[#This Row],[Duty Cycle BOOST Leg]]))*SQRT(Table16[[#This Row],[Iout]]^2+(Table16[[#This Row],[Ripple Current pk-pk]]^2)/12))</f>
        <v>2.1425272003282156</v>
      </c>
      <c r="AB118" s="345">
        <f>RCoutEsr*Table16[[#This Row],[Irms Cout]]^2</f>
        <v>9.180845608292524E-3</v>
      </c>
      <c r="AC118" s="345">
        <f>Table16[[#This Row],[Cout ESR Loss]]</f>
        <v>9.180845608292524E-3</v>
      </c>
      <c r="AD118" s="345">
        <f>IF(Table16[[#This Row],[Vin]]&gt;Vout, SQRT(Table16[[#This Row],[Duty Cycle BUCK Leg]]*(1-Table16[[#This Row],[Duty Cycle BUCK Leg]]))*SQRT(Table16[[#This Row],[Iout]]^2+(Table16[[#This Row],[Ripple Current pk-pk]]^2)/12), Table16[[#This Row],[Ripple Current pk-pk]]/SQRT(12))</f>
        <v>2.0754176238850151</v>
      </c>
      <c r="AE118" s="345">
        <f>RCinEsr*Table16[[#This Row],[Irms Cin]]^2</f>
        <v>8.6147166270650437E-3</v>
      </c>
      <c r="AF118" s="683">
        <f>Table16[[#This Row],[Cin ESR Loss]]</f>
        <v>8.6147166270650437E-3</v>
      </c>
      <c r="AG118"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7.5303583713089255</v>
      </c>
      <c r="AH118" s="345">
        <f>Rdson1*Table16[[#This Row],[Irms BuCtrl]]^2</f>
        <v>0.19847204020119844</v>
      </c>
      <c r="AI118" s="345">
        <f>CHOOSE(Table16[[#This Row],[Mode Digit]], (Table16[[#This Row],[Vin]]*Table16[[#This Row],[Iout]]/2)*(Fsw)*(Tr_buck+Tf_buck), 0, (Table16[[#This Row],[Vin]]*Table16[[#This Row],[Avg IL]]/2)*(Fsw/1)*(Tr_buck+Tf_buck))</f>
        <v>0.73764829795264653</v>
      </c>
      <c r="AJ118" s="253">
        <f>IF(Table16[[#This Row],[Vin]]&gt;Vout, IF(Table16[[#This Row],[Iout]]&gt;Table16[[#This Row],[Ripple Current pk-pk]]/2,0,ABS(Table16[[#This Row],[Iout]]-Table16[[#This Row],[Ripple Current pk-pk]]/2)*Vsd_Q1*Deadtime*Fsw),0)</f>
        <v>0</v>
      </c>
      <c r="AK118" s="345">
        <f>(Table16[[#This Row],[Dead Time Loss BuCtrl]]+Table16[[#This Row],[Transition Loss BuCtrl]]+Table16[[#This Row],[RDS(on) Loss BuCtrl]]*(1+RdsonTopTc*Ta-RdsonTopTc*25))/(1-Table16[[#This Row],[RDS(on) Loss BuCtrl]]*RdsonTopTc*ThetaJA_Q1)</f>
        <v>0.98705507513776525</v>
      </c>
      <c r="AL118" s="345">
        <f>CHOOSE(Table16[[#This Row],[Mode Digit]],SQRT((Fsw*(Table16[[#This Row],[t2_Ph_I]]+0))*((Table16[[#This Row],[I_0]]*Table16[[#This Row],[I_1]]+((Table16[[#This Row],[I_0]]-Table16[[#This Row],[I_1]])^2)/3))),0,SQRT((Fsw*(Table16[[#This Row],[t3_Ph_III]]+0))*((Table16[[#This Row],[I_0]]*Table16[[#This Row],[I_2]]+((Table16[[#This Row],[I_0]]-Table16[[#This Row],[I_2]])^2)/3))))</f>
        <v>5.7293646799718632</v>
      </c>
      <c r="AM118" s="345">
        <f>Rdson2*Table16[[#This Row],[Irms BuSync]]^2</f>
        <v>0.11488966872638182</v>
      </c>
      <c r="AN118"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18" s="345">
        <f>(Table16[[#This Row],[Deadtime Loss BuSync]]+Table16[[#This Row],[RDS(on) Loss BuSync]]*(1+RdsonBotTc*Ta-RdsonBotTc*25))/(1-Table16[[#This Row],[RDS(on) Loss BuSync]]*RdsonBotTc*ThetaJA_Q2)</f>
        <v>0.36458015702730229</v>
      </c>
      <c r="AP118" s="345">
        <f>CHOOSE(Table16[[#This Row],[Mode Digit]],0,SQRT((Fsw*(Table16[[#This Row],[t1_Ph_II]]+0))*((Table16[[#This Row],[I_0]]*Table16[[#This Row],[I_1]]+((Table16[[#This Row],[I_0]]-Table16[[#This Row],[I_1]])^2)/3))),SQRT((Fsw*(Table16[[#This Row],[t2_Ph_I]]+0))*((Table16[[#This Row],[I_1]]*Table16[[#This Row],[I_2]]+((Table16[[#This Row],[I_1]]-Table16[[#This Row],[I_2]])^2)/3))))</f>
        <v>3.2125236084304807</v>
      </c>
      <c r="AQ118" s="345">
        <f>Rdson4*Table16[[#This Row],[Irms BoCtlr]]^2</f>
        <v>3.6121077771531188E-2</v>
      </c>
      <c r="AR118" s="345">
        <f>CHOOSE(Table16[[#This Row],[Mode Digit]], 0, (Vout*Table16[[#This Row],[Iin]]/2)*(Fsw)*(Tr_boost+Tf_boost), (Vout*Iout/2)*(Fsw/1)*(Tr_boost+Tf_boost))</f>
        <v>0.47564320886662292</v>
      </c>
      <c r="AS118" s="253">
        <f>IF(Table16[[#This Row],[Vin]]&gt;Vout, 0, IF(Table16[[#This Row],[Iin]]&gt;Table16[[#This Row],[Ripple Current pk-pk]]/2,0,ABS(Table16[[#This Row],[Iin]]-Table16[[#This Row],[Ripple Current pk-pk]]/2)*Vsd_Q4*Deadtime*Fsw))</f>
        <v>0</v>
      </c>
      <c r="AT118" s="345">
        <f>(Table16[[#This Row],[Dead Time Loss BoCtlr]]+Table16[[#This Row],[Transition Loss BoCtlr]]+Table16[[#This Row],[RDS(on) Loss BoCtlr]]*(1+RdsonTopTc*Ta-RdsonTopTc*25))/(1-Table16[[#This Row],[RDS(on) Loss BoCtlr]]*RdsonTopTc*ThetaJA_Q4)</f>
        <v>0.5166160763003721</v>
      </c>
      <c r="AU118"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8.9000903872785635</v>
      </c>
      <c r="AV118" s="345">
        <f>Rdson3*Table16[[#This Row],[Irms BoSync]]^2</f>
        <v>0.27724063115604902</v>
      </c>
      <c r="AW118"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0.17995054750971384</v>
      </c>
      <c r="AX118" s="345">
        <f>(Table16[[#This Row],[Deadtime Loss BoSync]]+Table16[[#This Row],[RDS(on) Loss BoSync]]*(1+RdsonBotTc*Ta-RdsonBotTc*25))/(1-Table16[[#This Row],[RDS(on) Loss BoSync]]*RdsonBotTc*ThetaJA_Q3)</f>
        <v>0.49270674413247662</v>
      </c>
      <c r="AY118" s="345">
        <f>CHOOSE(Table16[[#This Row],[Mode Digit]], Rdson3*Table16[[#This Row],[Irms Lf]]^2, Rdson1*Table16[[#This Row],[Irms Lf]]^2, 0)</f>
        <v>0</v>
      </c>
      <c r="AZ118" s="345">
        <f>CHOOSE(Table16[[#This Row],[Mode Digit]], 2*Deadtime*Fsw*IF(VfdSky_Q2&gt;0,VfdSky_Q2,0)*Table16[[#This Row],[Iout]], 2*Deadtime*Fsw*IF(VfdSky_Q3&gt;0,VfdSky_Q3,0)*Table16[[#This Row],[Iin]], 2*Deadtime*Fsw*IF(VfdSky_Q2&gt;0,VfdSky_Q2,0)*Table16[[#This Row],[Iout]]+2*Deadtime*Fsw*IF(VfdSky_Q3&gt;0,VfdSky_Q3,0)*Table16[[#This Row],[Iin]])</f>
        <v>0</v>
      </c>
      <c r="BA118" s="345">
        <f>CHOOSE(Table16[[#This Row],[Mode Digit]], IF(QrrSky_Q2&gt;0,QrrSky_Q2,Qrr_Q2)*Fsw*(Table16[[#This Row],[Vin]]-Table16[[#This Row],[Iout]]*Rdson1),0,  IF(QrrSky_Q2&gt;0,QrrSky_Q2,Qrr_Q2)*Fsw*(Table16[[#This Row],[Vin]]-Table16[[#This Row],[Iout]]*Rdson1)+IF(QrrSky_Q3&gt;0,QrrSky_Q3,Qrr_Q3)*Fsw*Vout)</f>
        <v>0.75639502000000003</v>
      </c>
      <c r="BB118" s="345">
        <f>CHOOSE(Table16[[#This Row],[Mode Digit]],0, IF(QrrSky_Q3&gt;0,QrrSky_Q3,Qrr_Q3)*Fsw*Vout,  IF(QrrSky_Q2&gt;0,QrrSky_Q2,Qrr_Q2)*Fsw*(Table16[[#This Row],[Vin]]-Table16[[#This Row],[Iout]]*Rdson1)+IF(QrrSky_Q3&gt;0,QrrSky_Q3,Qrr_Q3)*Fsw*Vout)</f>
        <v>0.75639502000000003</v>
      </c>
      <c r="BC118" s="345">
        <f>CHOOSE(Table16[[#This Row],[Mode Digit]], Rs*Table16[[#This Row],[Irms BuSync]]^2, Rs*Table16[[#This Row],[Irms BoCtlr]]^2, Rs*(Table16[[#This Row],[Irms BuSync]]^2+Table16[[#This Row],[Irms BoCtlr]]^2))</f>
        <v>5.608970584208197E-2</v>
      </c>
      <c r="BD118" s="345">
        <f t="shared" si="5"/>
        <v>0.64</v>
      </c>
      <c r="BE118" s="345">
        <f>IF(Vout&gt;8, Iq*Vout, Iq*Table16[[#This Row],[Vin]])</f>
        <v>4.8000000000000001E-2</v>
      </c>
      <c r="BF118" s="345">
        <f>CHOOSE(Table16[[#This Row],[Mode Digit]], (Qg_Q1+Qg_Q2)*Fsw, (Qg_Q3+Qg_Q4)*Fsw, (Qg_Q1+Qg_Q2+Qg_Q3+Qg_Q4)*Fsw)*IF(Vout&gt;8, Vout, Table16[[#This Row],[Vin]])</f>
        <v>1.7066240000000001</v>
      </c>
      <c r="BG118" s="345">
        <f t="shared" si="6"/>
        <v>0.50594479787234037</v>
      </c>
      <c r="BH118" s="345">
        <f>Table16[[#This Row],[IQ Loss]]+Table16[[#This Row],[Switching Current Loss]]</f>
        <v>1.7546240000000002</v>
      </c>
      <c r="BI118"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8.8443597764744517</v>
      </c>
      <c r="BJ118" s="253">
        <f>Vout*Table16[[#This Row],[Iout]]</f>
        <v>128</v>
      </c>
      <c r="BK118" s="684">
        <f>Table16[[#This Row],[Pout]]/(Table16[[#This Row],[Pout]]+Table16[[#This Row],[Total Loss]])</f>
        <v>0.93536920490606201</v>
      </c>
      <c r="BL118"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113.32425618395474</v>
      </c>
      <c r="BM118" s="685">
        <f>IF(Table16[[#This Row],[Vin]]&gt;Vout, Table16[[#This Row],[Total Sync Bu MOSFET Loss]]*ThetaJA_Q2, ThetaJA_Q3*Table16[[#This Row],[Total Sync Bo MOSFET Loss]])</f>
        <v>23.697710206774648</v>
      </c>
      <c r="BN118" s="640"/>
      <c r="BO118" s="292">
        <f>Table16[[#This Row],[EFF, h]]*100</f>
        <v>93.536920490606207</v>
      </c>
      <c r="BP118" s="345">
        <f>Table16[[#This Row],[Total Inductor Loss]]</f>
        <v>2.5021024157990959</v>
      </c>
      <c r="BQ118" s="345">
        <f>Table16[[#This Row],[Total Control Bu MOSFET Loss]]+Table16[[#This Row],[Total Sync Bu MOSFET Loss]]+Table16[[#This Row],[Total Control Bo MOSFET Loss]]+Table16[[#This Row],[Total Sync Bo MOSFET Loss]]+Table16[[#This Row],[Reverse Recovery Loss MOSFET D BUCK]]+Table16[[#This Row],[Reverse Recovery Loss MOSFET D BOOST]]</f>
        <v>3.8737480925979169</v>
      </c>
      <c r="BR118" s="345">
        <f>Table16[[#This Row],[Total Control Bu MOSFET Loss]]+Table16[[#This Row],[Reverse Recovery Loss MOSFET D BUCK]]*0.66</f>
        <v>1.4862757883377653</v>
      </c>
      <c r="BS118" s="345">
        <f>Table16[[#This Row],[Total Sync Bu MOSFET Loss]]+Table16[[#This Row],[Reverse Recovery Loss MOSFET D BUCK]]*0.33</f>
        <v>0.61419051362730226</v>
      </c>
      <c r="BT118" s="345">
        <f xml:space="preserve"> Table16[[#This Row],[Total Control Bo MOSFET Loss]]+Table16[[#This Row],[Reverse Recovery Loss MOSFET D BOOST]]*0.66</f>
        <v>1.0158367895003722</v>
      </c>
      <c r="BU118" s="345">
        <f xml:space="preserve"> Table16[[#This Row],[Total Sync Bo MOSFET Loss]]+Table16[[#This Row],[Reverse Recovery Loss MOSFET D BOOST]]*0.33</f>
        <v>0.7423171007324767</v>
      </c>
      <c r="BV118" s="345">
        <f>Table16[[#This Row],[Isense Shunt Loss]]</f>
        <v>5.608970584208197E-2</v>
      </c>
    </row>
    <row r="119" spans="7:74" x14ac:dyDescent="0.2">
      <c r="G119" s="253">
        <v>110</v>
      </c>
      <c r="H119" s="286">
        <f>VIN_min+(VIN_max-VIN_min)*(Table16[[#This Row],[Step]]/200)</f>
        <v>22.5</v>
      </c>
      <c r="I119" s="292" t="str">
        <f>IF(Mode = 2,IF(Table16[[#This Row],[Vin]]&gt;Vout, "BUCK","BOOST"),IF(Table16[[#This Row],[Vin]]&gt;VIN_BB_to_buck, "BUCK", IF(Table16[[#This Row],[Vin]]&lt;=VIN_boost_to_BB,"BOOST","BUCK-BST")))</f>
        <v>BUCK-BST</v>
      </c>
      <c r="J119" s="253">
        <f>IF(Table16[[#This Row],[Mode]]="BOOST",2, IF(Table16[[#This Row],[Mode]]="BUCK", 1,3))</f>
        <v>3</v>
      </c>
      <c r="K119" s="253">
        <f t="shared" si="4"/>
        <v>8</v>
      </c>
      <c r="L119" s="292">
        <f>Vout*Table16[[#This Row],[Iout]]/(Table16[[#This Row],[Vin]]*Efficiency)</f>
        <v>5.9883040935672511</v>
      </c>
      <c r="M119" s="682">
        <f>MIN(1/Fsw,CHOOSE(Table16[[#This Row],[Mode Digit]],(Vout+(Rdson2+Rs+Rdcr)*Table16[[#This Row],[Iout]])/(Table16[[#This Row],[Vin]]+(Rs+Rdson2-Rdson1)*Table16[[#This Row],[Iout]])/Fsw,(Vout+(Rdson3+Rdcr)*Table16[[#This Row],[Iin]]-Table16[[#This Row],[Vin]])/(Vout+(Rdson3-Rdson4-Rs)*Table16[[#This Row],[Iin]])/Fsw,t1_Ph_II))</f>
        <v>1.5084238313644118E-6</v>
      </c>
      <c r="N119" s="518">
        <f>CHOOSE(Table16[[#This Row],[Mode Digit]],1/Fsw-Table16[[#This Row],[t1_Ph_II]],1/Fsw-Table16[[#This Row],[t1_Ph_II]],(Vout/Fsw-Table16[[#This Row],[Vin]]*t1_Ph_II)/(Table16[[#This Row],[Vin]]+Vout))</f>
        <v>1.6263555375133423E-7</v>
      </c>
      <c r="O119" s="518">
        <f>1/Fsw-(Table16[[#This Row],[t1_Ph_II]]+Table16[[#This Row],[t2_Ph_I]])</f>
        <v>8.4150342895460598E-7</v>
      </c>
      <c r="P119"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5.9163239105737393</v>
      </c>
      <c r="Q119" s="292">
        <f>CHOOSE(Table16[[#This Row],[Mode Digit]],Table16[[#This Row],[I_0]]+1/Lf*(Table16[[#This Row],[Vin]]-Vout)*Table16[[#This Row],[t1_Ph_II]],Table16[[#This Row],[I_0]]+1/Lf*Table16[[#This Row],[Vin]]*Table16[[#This Row],[t1_Ph_II]],Table16[[#This Row],[I_0]]+(Table16[[#This Row],[Vin]]-Vout)/L*Table16[[#This Row],[t1_Ph_II]])</f>
        <v>11.36340996827856</v>
      </c>
      <c r="R119" s="292">
        <f>CHOOSE(Table16[[#This Row],[Mode Digit]],0,0,Table16[[#This Row],[I_1]]+Table16[[#This Row],[Vin]]/L*Table16[[#This Row],[t2_Ph_I]])</f>
        <v>13.396354390170238</v>
      </c>
      <c r="S119" s="292">
        <f>Fsw*(Table16[[#This Row],[I_0]]*Table16[[#This Row],[t1_Ph_II]]+Table16[[#This Row],[I_1]]*Table16[[#This Row],[t2_Ph_I]]+Table16[[#This Row],[I_2]]*Table16[[#This Row],[t3_Ph_III]])</f>
        <v>8.7741076501011221</v>
      </c>
      <c r="T119" s="345">
        <f>MIN(1,CHOOSE(Table16[[#This Row],[Mode Digit]],(Vout+(Rdson2+Rs+Rdcr)*Table16[[#This Row],[Iout]])/(Table16[[#This Row],[Vin]]+(Rs+Rdson2-Rdson1)*Table16[[#This Row],[Iout]]),1,Fsw*Table16[[#This Row],[t2_Ph_I]]+Table16[[#This Row],[t1_Ph_II]]))</f>
        <v>6.4730458816862388E-2</v>
      </c>
      <c r="U119" s="345">
        <f>MIN(1,CHOOSE(Table16[[#This Row],[Mode Digit]],0,(Vout+(Rdson3+Rdcr)*Table16[[#This Row],[Iin]]-Table16[[#This Row],[Vin]])/(Vout+(Rdson3-Rdson4-Rs)*Table16[[#This Row],[Iin]]),Fsw*Table16[[#This Row],[t1_Ph_II]]+Table16[[#This Row],[t3_Ph_III]]))</f>
        <v>0.60035352638646478</v>
      </c>
      <c r="V119" s="292">
        <f>MAX(Table16[[#This Row],[I_0]:[I_2]])-MIN(Table16[[#This Row],[I_0]:[I_1]])</f>
        <v>7.4800304795964987</v>
      </c>
      <c r="W119"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9.435723083724012</v>
      </c>
      <c r="X119" s="345">
        <f>(Table16[[#This Row],[Irms Lf]]^2*Rdcr*(1+Ltc*Ta-Ltc*25))/(1-Table16[[#This Row],[Irms Lf]]^2*Rdcr*Ltc*ThetaCa)</f>
        <v>0.29155032017837862</v>
      </c>
      <c r="Y119" s="345">
        <f>ABS(7.759*10^-3*Fsw^0.9458*(0.00787*Table16[[#This Row],[Ripple Current pk-pk]])^2.304)</f>
        <v>2.2489215372656171</v>
      </c>
      <c r="Z119" s="345">
        <f>Table16[[#This Row],[DCR    Loss]]+Table16[[#This Row],[Core Loss]]</f>
        <v>2.5404718574439955</v>
      </c>
      <c r="AA119" s="292">
        <f>IF(Table16[[#This Row],[Vin]]&gt;Vout, Table16[[#This Row],[Ripple Current pk-pk]]/SQRT(12), SQRT(Table16[[#This Row],[Duty Cycle BOOST Leg]]/(1-Table16[[#This Row],[Duty Cycle BOOST Leg]]))*SQRT(Table16[[#This Row],[Iout]]^2+(Table16[[#This Row],[Ripple Current pk-pk]]^2)/12))</f>
        <v>2.1592988054708222</v>
      </c>
      <c r="AB119" s="345">
        <f>RCoutEsr*Table16[[#This Row],[Irms Cout]]^2</f>
        <v>9.3251426626154398E-3</v>
      </c>
      <c r="AC119" s="345">
        <f>Table16[[#This Row],[Cout ESR Loss]]</f>
        <v>9.3251426626154398E-3</v>
      </c>
      <c r="AD119" s="345">
        <f>IF(Table16[[#This Row],[Vin]]&gt;Vout, SQRT(Table16[[#This Row],[Duty Cycle BUCK Leg]]*(1-Table16[[#This Row],[Duty Cycle BUCK Leg]]))*SQRT(Table16[[#This Row],[Iout]]^2+(Table16[[#This Row],[Ripple Current pk-pk]]^2)/12), Table16[[#This Row],[Ripple Current pk-pk]]/SQRT(12))</f>
        <v>2.0388382364069826</v>
      </c>
      <c r="AE119" s="345">
        <f>RCinEsr*Table16[[#This Row],[Irms Cin]]^2</f>
        <v>8.3137227084702694E-3</v>
      </c>
      <c r="AF119" s="683">
        <f>Table16[[#This Row],[Cin ESR Loss]]</f>
        <v>8.3137227084702694E-3</v>
      </c>
      <c r="AG119"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7.4994576257471897</v>
      </c>
      <c r="AH119" s="345">
        <f>Rdson1*Table16[[#This Row],[Irms BuCtrl]]^2</f>
        <v>0.19684652638132186</v>
      </c>
      <c r="AI119" s="345">
        <f>CHOOSE(Table16[[#This Row],[Mode Digit]], (Table16[[#This Row],[Vin]]*Table16[[#This Row],[Iout]]/2)*(Fsw)*(Tr_buck+Tf_buck), 0, (Table16[[#This Row],[Vin]]*Table16[[#This Row],[Avg IL]]/2)*(Fsw/1)*(Tr_buck+Tf_buck))</f>
        <v>0.73883651819786267</v>
      </c>
      <c r="AJ119" s="253">
        <f>IF(Table16[[#This Row],[Vin]]&gt;Vout, IF(Table16[[#This Row],[Iout]]&gt;Table16[[#This Row],[Ripple Current pk-pk]]/2,0,ABS(Table16[[#This Row],[Iout]]-Table16[[#This Row],[Ripple Current pk-pk]]/2)*Vsd_Q1*Deadtime*Fsw),0)</f>
        <v>0</v>
      </c>
      <c r="AK119" s="345">
        <f>(Table16[[#This Row],[Dead Time Loss BuCtrl]]+Table16[[#This Row],[Transition Loss BuCtrl]]+Table16[[#This Row],[RDS(on) Loss BuCtrl]]*(1+RdsonTopTc*Ta-RdsonTopTc*25))/(1-Table16[[#This Row],[RDS(on) Loss BuCtrl]]*RdsonTopTc*ThetaJA_Q1)</f>
        <v>0.98615452888563448</v>
      </c>
      <c r="AL119" s="345">
        <f>CHOOSE(Table16[[#This Row],[Mode Digit]],SQRT((Fsw*(Table16[[#This Row],[t2_Ph_I]]+0))*((Table16[[#This Row],[I_0]]*Table16[[#This Row],[I_1]]+((Table16[[#This Row],[I_0]]-Table16[[#This Row],[I_1]])^2)/3))),0,SQRT((Fsw*(Table16[[#This Row],[t3_Ph_III]]+0))*((Table16[[#This Row],[I_0]]*Table16[[#This Row],[I_2]]+((Table16[[#This Row],[I_0]]-Table16[[#This Row],[I_2]])^2)/3))))</f>
        <v>5.7263431116502712</v>
      </c>
      <c r="AM119" s="345">
        <f>Rdson2*Table16[[#This Row],[Irms BuSync]]^2</f>
        <v>0.1147685190132058</v>
      </c>
      <c r="AN119"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19" s="345">
        <f>(Table16[[#This Row],[Deadtime Loss BuSync]]+Table16[[#This Row],[RDS(on) Loss BuSync]]*(1+RdsonBotTc*Ta-RdsonBotTc*25))/(1-Table16[[#This Row],[RDS(on) Loss BuSync]]*RdsonBotTc*ThetaJA_Q2)</f>
        <v>0.36444344393765288</v>
      </c>
      <c r="AP119" s="345">
        <f>CHOOSE(Table16[[#This Row],[Mode Digit]],0,SQRT((Fsw*(Table16[[#This Row],[t1_Ph_II]]+0))*((Table16[[#This Row],[I_0]]*Table16[[#This Row],[I_1]]+((Table16[[#This Row],[I_0]]-Table16[[#This Row],[I_1]])^2)/3))),SQRT((Fsw*(Table16[[#This Row],[t2_Ph_I]]+0))*((Table16[[#This Row],[I_1]]*Table16[[#This Row],[I_2]]+((Table16[[#This Row],[I_1]]-Table16[[#This Row],[I_2]])^2)/3))))</f>
        <v>3.1532123153922074</v>
      </c>
      <c r="AQ119" s="345">
        <f>Rdson4*Table16[[#This Row],[Irms BoCtlr]]^2</f>
        <v>3.4799617670793793E-2</v>
      </c>
      <c r="AR119" s="345">
        <f>CHOOSE(Table16[[#This Row],[Mode Digit]], 0, (Vout*Table16[[#This Row],[Iin]]/2)*(Fsw)*(Tr_boost+Tf_boost), (Vout*Iout/2)*(Fsw/1)*(Tr_boost+Tf_boost))</f>
        <v>0.47564320886662292</v>
      </c>
      <c r="AS119" s="253">
        <f>IF(Table16[[#This Row],[Vin]]&gt;Vout, 0, IF(Table16[[#This Row],[Iin]]&gt;Table16[[#This Row],[Ripple Current pk-pk]]/2,0,ABS(Table16[[#This Row],[Iin]]-Table16[[#This Row],[Ripple Current pk-pk]]/2)*Vsd_Q4*Deadtime*Fsw))</f>
        <v>0</v>
      </c>
      <c r="AT119" s="345">
        <f>(Table16[[#This Row],[Dead Time Loss BoCtlr]]+Table16[[#This Row],[Transition Loss BoCtlr]]+Table16[[#This Row],[RDS(on) Loss BoCtlr]]*(1+RdsonTopTc*Ta-RdsonTopTc*25))/(1-Table16[[#This Row],[RDS(on) Loss BoCtlr]]*RdsonTopTc*ThetaJA_Q4)</f>
        <v>0.51510343117855795</v>
      </c>
      <c r="AU119"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8.8932627424798998</v>
      </c>
      <c r="AV119" s="345">
        <f>Rdson3*Table16[[#This Row],[Irms BoSync]]^2</f>
        <v>0.27681542772373385</v>
      </c>
      <c r="AW119"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0.17875087719298241</v>
      </c>
      <c r="AX119" s="345">
        <f>(Table16[[#This Row],[Deadtime Loss BoSync]]+Table16[[#This Row],[RDS(on) Loss BoSync]]*(1+RdsonBotTc*Ta-RdsonBotTc*25))/(1-Table16[[#This Row],[RDS(on) Loss BoSync]]*RdsonBotTc*ThetaJA_Q3)</f>
        <v>0.49089716088175728</v>
      </c>
      <c r="AY119" s="345">
        <f>CHOOSE(Table16[[#This Row],[Mode Digit]], Rdson3*Table16[[#This Row],[Irms Lf]]^2, Rdson1*Table16[[#This Row],[Irms Lf]]^2, 0)</f>
        <v>0</v>
      </c>
      <c r="AZ119" s="345">
        <f>CHOOSE(Table16[[#This Row],[Mode Digit]], 2*Deadtime*Fsw*IF(VfdSky_Q2&gt;0,VfdSky_Q2,0)*Table16[[#This Row],[Iout]], 2*Deadtime*Fsw*IF(VfdSky_Q3&gt;0,VfdSky_Q3,0)*Table16[[#This Row],[Iin]], 2*Deadtime*Fsw*IF(VfdSky_Q2&gt;0,VfdSky_Q2,0)*Table16[[#This Row],[Iout]]+2*Deadtime*Fsw*IF(VfdSky_Q3&gt;0,VfdSky_Q3,0)*Table16[[#This Row],[Iin]])</f>
        <v>0</v>
      </c>
      <c r="BA119" s="345">
        <f>CHOOSE(Table16[[#This Row],[Mode Digit]], IF(QrrSky_Q2&gt;0,QrrSky_Q2,Qrr_Q2)*Fsw*(Table16[[#This Row],[Vin]]-Table16[[#This Row],[Iout]]*Rdson1),0,  IF(QrrSky_Q2&gt;0,QrrSky_Q2,Qrr_Q2)*Fsw*(Table16[[#This Row],[Vin]]-Table16[[#This Row],[Iout]]*Rdson1)+IF(QrrSky_Q3&gt;0,QrrSky_Q3,Qrr_Q3)*Fsw*Vout)</f>
        <v>0.75908151999999995</v>
      </c>
      <c r="BB119" s="345">
        <f>CHOOSE(Table16[[#This Row],[Mode Digit]],0, IF(QrrSky_Q3&gt;0,QrrSky_Q3,Qrr_Q3)*Fsw*Vout,  IF(QrrSky_Q2&gt;0,QrrSky_Q2,Qrr_Q2)*Fsw*(Table16[[#This Row],[Vin]]-Table16[[#This Row],[Iout]]*Rdson1)+IF(QrrSky_Q3&gt;0,QrrSky_Q3,Qrr_Q3)*Fsw*Vout)</f>
        <v>0.75908151999999995</v>
      </c>
      <c r="BC119" s="345">
        <f>CHOOSE(Table16[[#This Row],[Mode Digit]], Rs*Table16[[#This Row],[Irms BuSync]]^2, Rs*Table16[[#This Row],[Irms BoCtlr]]^2, Rs*(Table16[[#This Row],[Irms BuSync]]^2+Table16[[#This Row],[Irms BoCtlr]]^2))</f>
        <v>5.5553879339771274E-2</v>
      </c>
      <c r="BD119" s="345">
        <f t="shared" si="5"/>
        <v>0.64</v>
      </c>
      <c r="BE119" s="345">
        <f>IF(Vout&gt;8, Iq*Vout, Iq*Table16[[#This Row],[Vin]])</f>
        <v>4.8000000000000001E-2</v>
      </c>
      <c r="BF119" s="345">
        <f>CHOOSE(Table16[[#This Row],[Mode Digit]], (Qg_Q1+Qg_Q2)*Fsw, (Qg_Q3+Qg_Q4)*Fsw, (Qg_Q1+Qg_Q2+Qg_Q3+Qg_Q4)*Fsw)*IF(Vout&gt;8, Vout, Table16[[#This Row],[Vin]])</f>
        <v>1.7066240000000001</v>
      </c>
      <c r="BG119" s="345">
        <f t="shared" si="6"/>
        <v>0.50594479787234037</v>
      </c>
      <c r="BH119" s="345">
        <f>Table16[[#This Row],[IQ Loss]]+Table16[[#This Row],[Switching Current Loss]]</f>
        <v>1.7546240000000002</v>
      </c>
      <c r="BI119"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8.8830502070384547</v>
      </c>
      <c r="BJ119" s="253">
        <f>Vout*Table16[[#This Row],[Iout]]</f>
        <v>128</v>
      </c>
      <c r="BK119" s="684">
        <f>Table16[[#This Row],[Pout]]/(Table16[[#This Row],[Pout]]+Table16[[#This Row],[Total Loss]])</f>
        <v>0.93510481981806615</v>
      </c>
      <c r="BL119"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113.44034317756623</v>
      </c>
      <c r="BM119" s="685">
        <f>IF(Table16[[#This Row],[Vin]]&gt;Vout, Table16[[#This Row],[Total Sync Bu MOSFET Loss]]*ThetaJA_Q2, ThetaJA_Q3*Table16[[#This Row],[Total Sync Bo MOSFET Loss]])</f>
        <v>23.688823855947437</v>
      </c>
      <c r="BN119" s="640"/>
      <c r="BO119" s="292">
        <f>Table16[[#This Row],[EFF, h]]*100</f>
        <v>93.51048198180662</v>
      </c>
      <c r="BP119" s="345">
        <f>Table16[[#This Row],[Total Inductor Loss]]</f>
        <v>2.5404718574439955</v>
      </c>
      <c r="BQ119" s="345">
        <f>Table16[[#This Row],[Total Control Bu MOSFET Loss]]+Table16[[#This Row],[Total Sync Bu MOSFET Loss]]+Table16[[#This Row],[Total Control Bo MOSFET Loss]]+Table16[[#This Row],[Total Sync Bo MOSFET Loss]]+Table16[[#This Row],[Reverse Recovery Loss MOSFET D BUCK]]+Table16[[#This Row],[Reverse Recovery Loss MOSFET D BOOST]]</f>
        <v>3.8747616048836027</v>
      </c>
      <c r="BR119" s="345">
        <f>Table16[[#This Row],[Total Control Bu MOSFET Loss]]+Table16[[#This Row],[Reverse Recovery Loss MOSFET D BUCK]]*0.66</f>
        <v>1.4871483320856345</v>
      </c>
      <c r="BS119" s="345">
        <f>Table16[[#This Row],[Total Sync Bu MOSFET Loss]]+Table16[[#This Row],[Reverse Recovery Loss MOSFET D BUCK]]*0.33</f>
        <v>0.61494034553765287</v>
      </c>
      <c r="BT119" s="345">
        <f xml:space="preserve"> Table16[[#This Row],[Total Control Bo MOSFET Loss]]+Table16[[#This Row],[Reverse Recovery Loss MOSFET D BOOST]]*0.66</f>
        <v>1.0160972343785579</v>
      </c>
      <c r="BU119" s="345">
        <f xml:space="preserve"> Table16[[#This Row],[Total Sync Bo MOSFET Loss]]+Table16[[#This Row],[Reverse Recovery Loss MOSFET D BOOST]]*0.33</f>
        <v>0.74139406248175721</v>
      </c>
      <c r="BV119" s="345">
        <f>Table16[[#This Row],[Isense Shunt Loss]]</f>
        <v>5.5553879339771274E-2</v>
      </c>
    </row>
    <row r="120" spans="7:74" x14ac:dyDescent="0.2">
      <c r="G120" s="253">
        <v>111</v>
      </c>
      <c r="H120" s="286">
        <f>VIN_min+(VIN_max-VIN_min)*(Table16[[#This Row],[Step]]/200)</f>
        <v>22.650000000000002</v>
      </c>
      <c r="I120" s="292" t="str">
        <f>IF(Mode = 2,IF(Table16[[#This Row],[Vin]]&gt;Vout, "BUCK","BOOST"),IF(Table16[[#This Row],[Vin]]&gt;VIN_BB_to_buck, "BUCK", IF(Table16[[#This Row],[Vin]]&lt;=VIN_boost_to_BB,"BOOST","BUCK-BST")))</f>
        <v>BUCK-BST</v>
      </c>
      <c r="J120" s="253">
        <f>IF(Table16[[#This Row],[Mode]]="BOOST",2, IF(Table16[[#This Row],[Mode]]="BUCK", 1,3))</f>
        <v>3</v>
      </c>
      <c r="K120" s="253">
        <f t="shared" si="4"/>
        <v>8</v>
      </c>
      <c r="L120" s="292">
        <f>Vout*Table16[[#This Row],[Iout]]/(Table16[[#This Row],[Vin]]*Efficiency)</f>
        <v>5.9486464505634942</v>
      </c>
      <c r="M120" s="682">
        <f>MIN(1/Fsw,CHOOSE(Table16[[#This Row],[Mode Digit]],(Vout+(Rdson2+Rs+Rdcr)*Table16[[#This Row],[Iout]])/(Table16[[#This Row],[Vin]]+(Rs+Rdson2-Rdson1)*Table16[[#This Row],[Iout]])/Fsw,(Vout+(Rdson3+Rdcr)*Table16[[#This Row],[Iin]]-Table16[[#This Row],[Vin]])/(Vout+(Rdson3-Rdson4-Rs)*Table16[[#This Row],[Iin]])/Fsw,t1_Ph_II))</f>
        <v>1.5084238313644118E-6</v>
      </c>
      <c r="N120" s="518">
        <f>CHOOSE(Table16[[#This Row],[Mode Digit]],1/Fsw-Table16[[#This Row],[t1_Ph_II]],1/Fsw-Table16[[#This Row],[t1_Ph_II]],(Vout/Fsw-Table16[[#This Row],[Vin]]*t1_Ph_II)/(Table16[[#This Row],[Vin]]+Vout))</f>
        <v>1.5615020038089784E-7</v>
      </c>
      <c r="O120" s="518">
        <f>1/Fsw-(Table16[[#This Row],[t1_Ph_II]]+Table16[[#This Row],[t2_Ph_I]])</f>
        <v>8.4798878232504226E-7</v>
      </c>
      <c r="P120"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5.839141773987409</v>
      </c>
      <c r="Q120" s="292">
        <f>CHOOSE(Table16[[#This Row],[Mode Digit]],Table16[[#This Row],[I_0]]+1/Lf*(Table16[[#This Row],[Vin]]-Vout)*Table16[[#This Row],[t1_Ph_II]],Table16[[#This Row],[I_0]]+1/Lf*Table16[[#This Row],[Vin]]*Table16[[#This Row],[t1_Ph_II]],Table16[[#This Row],[I_0]]+(Table16[[#This Row],[Vin]]-Vout)/L*Table16[[#This Row],[t1_Ph_II]])</f>
        <v>11.411929817639265</v>
      </c>
      <c r="R120" s="292">
        <f>CHOOSE(Table16[[#This Row],[Mode Digit]],0,0,Table16[[#This Row],[I_1]]+Table16[[#This Row],[Vin]]/L*Table16[[#This Row],[t2_Ph_I]])</f>
        <v>13.376819839098896</v>
      </c>
      <c r="S120" s="292">
        <f>Fsw*(Table16[[#This Row],[I_0]]*Table16[[#This Row],[t1_Ph_II]]+Table16[[#This Row],[I_1]]*Table16[[#This Row],[t2_Ph_I]]+Table16[[#This Row],[I_2]]*Table16[[#This Row],[t3_Ph_III]])</f>
        <v>8.7294410226354628</v>
      </c>
      <c r="T120" s="345">
        <f>MIN(1,CHOOSE(Table16[[#This Row],[Mode Digit]],(Vout+(Rdson2+Rs+Rdcr)*Table16[[#This Row],[Iout]])/(Table16[[#This Row],[Vin]]+(Rs+Rdson2-Rdson1)*Table16[[#This Row],[Iout]]),1,Fsw*Table16[[#This Row],[t2_Ph_I]]+Table16[[#This Row],[t1_Ph_II]]))</f>
        <v>6.2149288175428703E-2</v>
      </c>
      <c r="U120" s="345">
        <f>MIN(1,CHOOSE(Table16[[#This Row],[Mode Digit]],0,(Vout+(Rdson3+Rdcr)*Table16[[#This Row],[Iin]]-Table16[[#This Row],[Vin]])/(Vout+(Rdson3-Rdson4-Rs)*Table16[[#This Row],[Iin]]),Fsw*Table16[[#This Row],[t1_Ph_II]]+Table16[[#This Row],[t3_Ph_III]]))</f>
        <v>0.60035353287181814</v>
      </c>
      <c r="V120" s="292">
        <f>MAX(Table16[[#This Row],[I_0]:[I_2]])-MIN(Table16[[#This Row],[I_0]:[I_1]])</f>
        <v>7.5376780651114874</v>
      </c>
      <c r="W120"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9.4096067804346308</v>
      </c>
      <c r="X120" s="345">
        <f>(Table16[[#This Row],[Irms Lf]]^2*Rdcr*(1+Ltc*Ta-Ltc*25))/(1-Table16[[#This Row],[Irms Lf]]^2*Rdcr*Ltc*ThetaCa)</f>
        <v>0.28990126277061934</v>
      </c>
      <c r="Y120" s="345">
        <f>ABS(7.759*10^-3*Fsw^0.9458*(0.00787*Table16[[#This Row],[Ripple Current pk-pk]])^2.304)</f>
        <v>2.2890555919327604</v>
      </c>
      <c r="Z120" s="345">
        <f>Table16[[#This Row],[DCR    Loss]]+Table16[[#This Row],[Core Loss]]</f>
        <v>2.5789568547033799</v>
      </c>
      <c r="AA120" s="292">
        <f>IF(Table16[[#This Row],[Vin]]&gt;Vout, Table16[[#This Row],[Ripple Current pk-pk]]/SQRT(12), SQRT(Table16[[#This Row],[Duty Cycle BOOST Leg]]/(1-Table16[[#This Row],[Duty Cycle BOOST Leg]]))*SQRT(Table16[[#This Row],[Iout]]^2+(Table16[[#This Row],[Ripple Current pk-pk]]^2)/12))</f>
        <v>2.1759402299784276</v>
      </c>
      <c r="AB120" s="345">
        <f>RCoutEsr*Table16[[#This Row],[Irms Cout]]^2</f>
        <v>9.4694317688771446E-3</v>
      </c>
      <c r="AC120" s="345">
        <f>Table16[[#This Row],[Cout ESR Loss]]</f>
        <v>9.4694317688771446E-3</v>
      </c>
      <c r="AD120" s="345">
        <f>IF(Table16[[#This Row],[Vin]]&gt;Vout, SQRT(Table16[[#This Row],[Duty Cycle BUCK Leg]]*(1-Table16[[#This Row],[Duty Cycle BUCK Leg]]))*SQRT(Table16[[#This Row],[Iout]]^2+(Table16[[#This Row],[Ripple Current pk-pk]]^2)/12), Table16[[#This Row],[Ripple Current pk-pk]]/SQRT(12))</f>
        <v>2.0015802473671993</v>
      </c>
      <c r="AE120" s="345">
        <f>RCinEsr*Table16[[#This Row],[Irms Cin]]^2</f>
        <v>8.0126469733010769E-3</v>
      </c>
      <c r="AF120" s="683">
        <f>Table16[[#This Row],[Cin ESR Loss]]</f>
        <v>8.0126469733010769E-3</v>
      </c>
      <c r="AG120"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7.4690723065445752</v>
      </c>
      <c r="AH120" s="345">
        <f>Rdson1*Table16[[#This Row],[Irms BuCtrl]]^2</f>
        <v>0.19525464392136885</v>
      </c>
      <c r="AI120" s="345">
        <f>CHOOSE(Table16[[#This Row],[Mode Digit]], (Table16[[#This Row],[Vin]]*Table16[[#This Row],[Iout]]/2)*(Fsw)*(Tr_buck+Tf_buck), 0, (Table16[[#This Row],[Vin]]*Table16[[#This Row],[Avg IL]]/2)*(Fsw/1)*(Tr_buck+Tf_buck))</f>
        <v>0.73997580175300581</v>
      </c>
      <c r="AJ120" s="253">
        <f>IF(Table16[[#This Row],[Vin]]&gt;Vout, IF(Table16[[#This Row],[Iout]]&gt;Table16[[#This Row],[Ripple Current pk-pk]]/2,0,ABS(Table16[[#This Row],[Iout]]-Table16[[#This Row],[Ripple Current pk-pk]]/2)*Vsd_Q1*Deadtime*Fsw),0)</f>
        <v>0</v>
      </c>
      <c r="AK120" s="345">
        <f>(Table16[[#This Row],[Dead Time Loss BuCtrl]]+Table16[[#This Row],[Transition Loss BuCtrl]]+Table16[[#This Row],[RDS(on) Loss BuCtrl]]*(1+RdsonTopTc*Ta-RdsonTopTc*25))/(1-Table16[[#This Row],[RDS(on) Loss BuCtrl]]*RdsonTopTc*ThetaJA_Q1)</f>
        <v>0.98524773663187637</v>
      </c>
      <c r="AL120" s="345">
        <f>CHOOSE(Table16[[#This Row],[Mode Digit]],SQRT((Fsw*(Table16[[#This Row],[t2_Ph_I]]+0))*((Table16[[#This Row],[I_0]]*Table16[[#This Row],[I_1]]+((Table16[[#This Row],[I_0]]-Table16[[#This Row],[I_1]])^2)/3))),0,SQRT((Fsw*(Table16[[#This Row],[t3_Ph_III]]+0))*((Table16[[#This Row],[I_0]]*Table16[[#This Row],[I_2]]+((Table16[[#This Row],[I_0]]-Table16[[#This Row],[I_2]])^2)/3))))</f>
        <v>5.7230812192393605</v>
      </c>
      <c r="AM120" s="345">
        <f>Rdson2*Table16[[#This Row],[Irms BuSync]]^2</f>
        <v>0.114637805247036</v>
      </c>
      <c r="AN120"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20" s="345">
        <f>(Table16[[#This Row],[Deadtime Loss BuSync]]+Table16[[#This Row],[RDS(on) Loss BuSync]]*(1+RdsonBotTc*Ta-RdsonBotTc*25))/(1-Table16[[#This Row],[RDS(on) Loss BuSync]]*RdsonBotTc*ThetaJA_Q2)</f>
        <v>0.36429594811462046</v>
      </c>
      <c r="AP120" s="345">
        <f>CHOOSE(Table16[[#This Row],[Mode Digit]],0,SQRT((Fsw*(Table16[[#This Row],[t1_Ph_II]]+0))*((Table16[[#This Row],[I_0]]*Table16[[#This Row],[I_1]]+((Table16[[#This Row],[I_0]]-Table16[[#This Row],[I_1]])^2)/3))),SQRT((Fsw*(Table16[[#This Row],[t2_Ph_I]]+0))*((Table16[[#This Row],[I_1]]*Table16[[#This Row],[I_2]]+((Table16[[#This Row],[I_1]]-Table16[[#This Row],[I_2]])^2)/3))))</f>
        <v>3.0930841689724087</v>
      </c>
      <c r="AQ120" s="345">
        <f>Rdson4*Table16[[#This Row],[Irms BoCtlr]]^2</f>
        <v>3.3485093867217076E-2</v>
      </c>
      <c r="AR120" s="345">
        <f>CHOOSE(Table16[[#This Row],[Mode Digit]], 0, (Vout*Table16[[#This Row],[Iin]]/2)*(Fsw)*(Tr_boost+Tf_boost), (Vout*Iout/2)*(Fsw/1)*(Tr_boost+Tf_boost))</f>
        <v>0.47564320886662292</v>
      </c>
      <c r="AS120" s="253">
        <f>IF(Table16[[#This Row],[Vin]]&gt;Vout, 0, IF(Table16[[#This Row],[Iin]]&gt;Table16[[#This Row],[Ripple Current pk-pk]]/2,0,ABS(Table16[[#This Row],[Iin]]-Table16[[#This Row],[Ripple Current pk-pk]]/2)*Vsd_Q4*Deadtime*Fsw))</f>
        <v>0</v>
      </c>
      <c r="AT120" s="345">
        <f>(Table16[[#This Row],[Dead Time Loss BoCtlr]]+Table16[[#This Row],[Transition Loss BoCtlr]]+Table16[[#This Row],[RDS(on) Loss BoCtlr]]*(1+RdsonTopTc*Ta-RdsonTopTc*25))/(1-Table16[[#This Row],[RDS(on) Loss BoCtlr]]*RdsonTopTc*ThetaJA_Q4)</f>
        <v>0.51359976619293934</v>
      </c>
      <c r="AU120"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8.8867052435677003</v>
      </c>
      <c r="AV120" s="345">
        <f>Rdson3*Table16[[#This Row],[Irms BoSync]]^2</f>
        <v>0.27640735530118782</v>
      </c>
      <c r="AW120"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0.17756709654932026</v>
      </c>
      <c r="AX120" s="345">
        <f>(Table16[[#This Row],[Deadtime Loss BoSync]]+Table16[[#This Row],[RDS(on) Loss BoSync]]*(1+RdsonBotTc*Ta-RdsonBotTc*25))/(1-Table16[[#This Row],[RDS(on) Loss BoSync]]*RdsonBotTc*ThetaJA_Q3)</f>
        <v>0.48912593331616627</v>
      </c>
      <c r="AY120" s="345">
        <f>CHOOSE(Table16[[#This Row],[Mode Digit]], Rdson3*Table16[[#This Row],[Irms Lf]]^2, Rdson1*Table16[[#This Row],[Irms Lf]]^2, 0)</f>
        <v>0</v>
      </c>
      <c r="AZ120" s="345">
        <f>CHOOSE(Table16[[#This Row],[Mode Digit]], 2*Deadtime*Fsw*IF(VfdSky_Q2&gt;0,VfdSky_Q2,0)*Table16[[#This Row],[Iout]], 2*Deadtime*Fsw*IF(VfdSky_Q3&gt;0,VfdSky_Q3,0)*Table16[[#This Row],[Iin]], 2*Deadtime*Fsw*IF(VfdSky_Q2&gt;0,VfdSky_Q2,0)*Table16[[#This Row],[Iout]]+2*Deadtime*Fsw*IF(VfdSky_Q3&gt;0,VfdSky_Q3,0)*Table16[[#This Row],[Iin]])</f>
        <v>0</v>
      </c>
      <c r="BA120" s="345">
        <f>CHOOSE(Table16[[#This Row],[Mode Digit]], IF(QrrSky_Q2&gt;0,QrrSky_Q2,Qrr_Q2)*Fsw*(Table16[[#This Row],[Vin]]-Table16[[#This Row],[Iout]]*Rdson1),0,  IF(QrrSky_Q2&gt;0,QrrSky_Q2,Qrr_Q2)*Fsw*(Table16[[#This Row],[Vin]]-Table16[[#This Row],[Iout]]*Rdson1)+IF(QrrSky_Q3&gt;0,QrrSky_Q3,Qrr_Q3)*Fsw*Vout)</f>
        <v>0.76176801999999999</v>
      </c>
      <c r="BB120" s="345">
        <f>CHOOSE(Table16[[#This Row],[Mode Digit]],0, IF(QrrSky_Q3&gt;0,QrrSky_Q3,Qrr_Q3)*Fsw*Vout,  IF(QrrSky_Q2&gt;0,QrrSky_Q2,Qrr_Q2)*Fsw*(Table16[[#This Row],[Vin]]-Table16[[#This Row],[Iout]]*Rdson1)+IF(QrrSky_Q3&gt;0,QrrSky_Q3,Qrr_Q3)*Fsw*Vout)</f>
        <v>0.76176801999999999</v>
      </c>
      <c r="BC120" s="345">
        <f>CHOOSE(Table16[[#This Row],[Mode Digit]], Rs*Table16[[#This Row],[Irms BuSync]]^2, Rs*Table16[[#This Row],[Irms BoCtlr]]^2, Rs*(Table16[[#This Row],[Irms BuSync]]^2+Table16[[#This Row],[Irms BoCtlr]]^2))</f>
        <v>5.5017076813865431E-2</v>
      </c>
      <c r="BD120" s="345">
        <f t="shared" si="5"/>
        <v>0.64</v>
      </c>
      <c r="BE120" s="345">
        <f>IF(Vout&gt;8, Iq*Vout, Iq*Table16[[#This Row],[Vin]])</f>
        <v>4.8000000000000001E-2</v>
      </c>
      <c r="BF120" s="345">
        <f>CHOOSE(Table16[[#This Row],[Mode Digit]], (Qg_Q1+Qg_Q2)*Fsw, (Qg_Q3+Qg_Q4)*Fsw, (Qg_Q1+Qg_Q2+Qg_Q3+Qg_Q4)*Fsw)*IF(Vout&gt;8, Vout, Table16[[#This Row],[Vin]])</f>
        <v>1.7066240000000001</v>
      </c>
      <c r="BG120" s="345">
        <f t="shared" si="6"/>
        <v>0.50594479787234037</v>
      </c>
      <c r="BH120" s="345">
        <f>Table16[[#This Row],[IQ Loss]]+Table16[[#This Row],[Switching Current Loss]]</f>
        <v>1.7546240000000002</v>
      </c>
      <c r="BI120"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8.9218854345150262</v>
      </c>
      <c r="BJ120" s="253">
        <f>Vout*Table16[[#This Row],[Iout]]</f>
        <v>128</v>
      </c>
      <c r="BK120" s="684">
        <f>Table16[[#This Row],[Pout]]/(Table16[[#This Row],[Pout]]+Table16[[#This Row],[Total Loss]])</f>
        <v>0.93483959553871288</v>
      </c>
      <c r="BL120"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113.55602418107198</v>
      </c>
      <c r="BM120" s="685">
        <f>IF(Table16[[#This Row],[Vin]]&gt;Vout, Table16[[#This Row],[Total Sync Bu MOSFET Loss]]*ThetaJA_Q2, ThetaJA_Q3*Table16[[#This Row],[Total Sync Bo MOSFET Loss]])</f>
        <v>23.679236627450329</v>
      </c>
      <c r="BN120" s="640"/>
      <c r="BO120" s="292">
        <f>Table16[[#This Row],[EFF, h]]*100</f>
        <v>93.483959553871287</v>
      </c>
      <c r="BP120" s="345">
        <f>Table16[[#This Row],[Total Inductor Loss]]</f>
        <v>2.5789568547033799</v>
      </c>
      <c r="BQ120" s="345">
        <f>Table16[[#This Row],[Total Control Bu MOSFET Loss]]+Table16[[#This Row],[Total Sync Bu MOSFET Loss]]+Table16[[#This Row],[Total Control Bo MOSFET Loss]]+Table16[[#This Row],[Total Sync Bo MOSFET Loss]]+Table16[[#This Row],[Reverse Recovery Loss MOSFET D BUCK]]+Table16[[#This Row],[Reverse Recovery Loss MOSFET D BOOST]]</f>
        <v>3.8758054242556019</v>
      </c>
      <c r="BR120" s="345">
        <f>Table16[[#This Row],[Total Control Bu MOSFET Loss]]+Table16[[#This Row],[Reverse Recovery Loss MOSFET D BUCK]]*0.66</f>
        <v>1.4880146298318764</v>
      </c>
      <c r="BS120" s="345">
        <f>Table16[[#This Row],[Total Sync Bu MOSFET Loss]]+Table16[[#This Row],[Reverse Recovery Loss MOSFET D BUCK]]*0.33</f>
        <v>0.61567939471462041</v>
      </c>
      <c r="BT120" s="345">
        <f xml:space="preserve"> Table16[[#This Row],[Total Control Bo MOSFET Loss]]+Table16[[#This Row],[Reverse Recovery Loss MOSFET D BOOST]]*0.66</f>
        <v>1.0163666593929395</v>
      </c>
      <c r="BU120" s="345">
        <f xml:space="preserve"> Table16[[#This Row],[Total Sync Bo MOSFET Loss]]+Table16[[#This Row],[Reverse Recovery Loss MOSFET D BOOST]]*0.33</f>
        <v>0.74050937991616628</v>
      </c>
      <c r="BV120" s="345">
        <f>Table16[[#This Row],[Isense Shunt Loss]]</f>
        <v>5.5017076813865431E-2</v>
      </c>
    </row>
    <row r="121" spans="7:74" x14ac:dyDescent="0.2">
      <c r="G121" s="253">
        <v>112</v>
      </c>
      <c r="H121" s="286">
        <f>VIN_min+(VIN_max-VIN_min)*(Table16[[#This Row],[Step]]/200)</f>
        <v>22.8</v>
      </c>
      <c r="I121" s="292" t="str">
        <f>IF(Mode = 2,IF(Table16[[#This Row],[Vin]]&gt;Vout, "BUCK","BOOST"),IF(Table16[[#This Row],[Vin]]&gt;VIN_BB_to_buck, "BUCK", IF(Table16[[#This Row],[Vin]]&lt;=VIN_boost_to_BB,"BOOST","BUCK-BST")))</f>
        <v>BUCK-BST</v>
      </c>
      <c r="J121" s="253">
        <f>IF(Table16[[#This Row],[Mode]]="BOOST",2, IF(Table16[[#This Row],[Mode]]="BUCK", 1,3))</f>
        <v>3</v>
      </c>
      <c r="K121" s="253">
        <f t="shared" si="4"/>
        <v>8</v>
      </c>
      <c r="L121" s="292">
        <f>Vout*Table16[[#This Row],[Iout]]/(Table16[[#This Row],[Vin]]*Efficiency)</f>
        <v>5.9095106186518924</v>
      </c>
      <c r="M121" s="682">
        <f>MIN(1/Fsw,CHOOSE(Table16[[#This Row],[Mode Digit]],(Vout+(Rdson2+Rs+Rdcr)*Table16[[#This Row],[Iout]])/(Table16[[#This Row],[Vin]]+(Rs+Rdson2-Rdson1)*Table16[[#This Row],[Iout]])/Fsw,(Vout+(Rdson3+Rdcr)*Table16[[#This Row],[Iin]]-Table16[[#This Row],[Vin]])/(Vout+(Rdson3-Rdson4-Rs)*Table16[[#This Row],[Iin]])/Fsw,t1_Ph_II))</f>
        <v>1.5084238313644118E-6</v>
      </c>
      <c r="N121" s="518">
        <f>CHOOSE(Table16[[#This Row],[Mode Digit]],1/Fsw-Table16[[#This Row],[t1_Ph_II]],1/Fsw-Table16[[#This Row],[t1_Ph_II]],(Vout/Fsw-Table16[[#This Row],[Vin]]*t1_Ph_II)/(Table16[[#This Row],[Vin]]+Vout))</f>
        <v>1.4971499149528466E-7</v>
      </c>
      <c r="O121" s="518">
        <f>1/Fsw-(Table16[[#This Row],[t1_Ph_II]]+Table16[[#This Row],[t2_Ph_I]])</f>
        <v>8.5442399121065553E-7</v>
      </c>
      <c r="P121"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5.7625085618378842</v>
      </c>
      <c r="Q121" s="292">
        <f>CHOOSE(Table16[[#This Row],[Mode Digit]],Table16[[#This Row],[I_0]]+1/Lf*(Table16[[#This Row],[Vin]]-Vout)*Table16[[#This Row],[t1_Ph_II]],Table16[[#This Row],[I_0]]+1/Lf*Table16[[#This Row],[Vin]]*Table16[[#This Row],[t1_Ph_II]],Table16[[#This Row],[I_0]]+(Table16[[#This Row],[Vin]]-Vout)/L*Table16[[#This Row],[t1_Ph_II]])</f>
        <v>11.460998591436773</v>
      </c>
      <c r="R121" s="292">
        <f>CHOOSE(Table16[[#This Row],[Mode Digit]],0,0,Table16[[#This Row],[I_1]]+Table16[[#This Row],[Vin]]/L*Table16[[#This Row],[t2_Ph_I]])</f>
        <v>13.357388483710379</v>
      </c>
      <c r="S121" s="292">
        <f>Fsw*(Table16[[#This Row],[I_0]]*Table16[[#This Row],[t1_Ph_II]]+Table16[[#This Row],[I_1]]*Table16[[#This Row],[t2_Ph_I]]+Table16[[#This Row],[I_2]]*Table16[[#This Row],[t3_Ph_III]])</f>
        <v>8.6847825686057583</v>
      </c>
      <c r="T121" s="345">
        <f>MIN(1,CHOOSE(Table16[[#This Row],[Mode Digit]],(Vout+(Rdson2+Rs+Rdcr)*Table16[[#This Row],[Iout]])/(Table16[[#This Row],[Vin]]+(Rs+Rdson2-Rdson1)*Table16[[#This Row],[Iout]]),1,Fsw*Table16[[#This Row],[t2_Ph_I]]+Table16[[#This Row],[t1_Ph_II]]))</f>
        <v>5.9588075038954656E-2</v>
      </c>
      <c r="U121" s="345">
        <f>MIN(1,CHOOSE(Table16[[#This Row],[Mode Digit]],0,(Vout+(Rdson3+Rdcr)*Table16[[#This Row],[Iin]]-Table16[[#This Row],[Vin]])/(Vout+(Rdson3-Rdson4-Rs)*Table16[[#This Row],[Iin]]),Fsw*Table16[[#This Row],[t1_Ph_II]]+Table16[[#This Row],[t3_Ph_III]]))</f>
        <v>0.60035353930702706</v>
      </c>
      <c r="V121" s="292">
        <f>MAX(Table16[[#This Row],[I_0]:[I_2]])-MIN(Table16[[#This Row],[I_0]:[I_1]])</f>
        <v>7.5948799218724945</v>
      </c>
      <c r="W121"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9.3837769960445243</v>
      </c>
      <c r="X121" s="345">
        <f>(Table16[[#This Row],[Irms Lf]]^2*Rdcr*(1+Ltc*Ta-Ltc*25))/(1-Table16[[#This Row],[Irms Lf]]^2*Rdcr*Ltc*ThetaCa)</f>
        <v>0.28827520907996917</v>
      </c>
      <c r="Y121" s="345">
        <f>ABS(7.759*10^-3*Fsw^0.9458*(0.00787*Table16[[#This Row],[Ripple Current pk-pk]])^2.304)</f>
        <v>2.3292769325087996</v>
      </c>
      <c r="Z121" s="345">
        <f>Table16[[#This Row],[DCR    Loss]]+Table16[[#This Row],[Core Loss]]</f>
        <v>2.617552141588769</v>
      </c>
      <c r="AA121" s="292">
        <f>IF(Table16[[#This Row],[Vin]]&gt;Vout, Table16[[#This Row],[Ripple Current pk-pk]]/SQRT(12), SQRT(Table16[[#This Row],[Duty Cycle BOOST Leg]]/(1-Table16[[#This Row],[Duty Cycle BOOST Leg]]))*SQRT(Table16[[#This Row],[Iout]]^2+(Table16[[#This Row],[Ripple Current pk-pk]]^2)/12))</f>
        <v>2.1924529836779842</v>
      </c>
      <c r="AB121" s="345">
        <f>RCoutEsr*Table16[[#This Row],[Irms Cout]]^2</f>
        <v>9.6137001712769902E-3</v>
      </c>
      <c r="AC121" s="345">
        <f>Table16[[#This Row],[Cout ESR Loss]]</f>
        <v>9.6137001712769902E-3</v>
      </c>
      <c r="AD121" s="345">
        <f>IF(Table16[[#This Row],[Vin]]&gt;Vout, SQRT(Table16[[#This Row],[Duty Cycle BUCK Leg]]*(1-Table16[[#This Row],[Duty Cycle BUCK Leg]]))*SQRT(Table16[[#This Row],[Iout]]^2+(Table16[[#This Row],[Ripple Current pk-pk]]^2)/12), Table16[[#This Row],[Ripple Current pk-pk]]/SQRT(12))</f>
        <v>1.9636070384824702</v>
      </c>
      <c r="AE121" s="345">
        <f>RCinEsr*Table16[[#This Row],[Irms Cin]]^2</f>
        <v>7.7115052031557947E-3</v>
      </c>
      <c r="AF121" s="683">
        <f>Table16[[#This Row],[Cin ESR Loss]]</f>
        <v>7.7115052031557947E-3</v>
      </c>
      <c r="AG121"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7.4391940659723588</v>
      </c>
      <c r="AH121" s="345">
        <f>Rdson1*Table16[[#This Row],[Irms BuCtrl]]^2</f>
        <v>0.19369562922919423</v>
      </c>
      <c r="AI121" s="345">
        <f>CHOOSE(Table16[[#This Row],[Mode Digit]], (Table16[[#This Row],[Vin]]*Table16[[#This Row],[Iout]]/2)*(Fsw)*(Tr_buck+Tf_buck), 0, (Table16[[#This Row],[Vin]]*Table16[[#This Row],[Avg IL]]/2)*(Fsw/1)*(Tr_buck+Tf_buck))</f>
        <v>0.74106563316173657</v>
      </c>
      <c r="AJ121" s="253">
        <f>IF(Table16[[#This Row],[Vin]]&gt;Vout, IF(Table16[[#This Row],[Iout]]&gt;Table16[[#This Row],[Ripple Current pk-pk]]/2,0,ABS(Table16[[#This Row],[Iout]]-Table16[[#This Row],[Ripple Current pk-pk]]/2)*Vsd_Q1*Deadtime*Fsw),0)</f>
        <v>0</v>
      </c>
      <c r="AK121" s="345">
        <f>(Table16[[#This Row],[Dead Time Loss BuCtrl]]+Table16[[#This Row],[Transition Loss BuCtrl]]+Table16[[#This Row],[RDS(on) Loss BuCtrl]]*(1+RdsonTopTc*Ta-RdsonTopTc*25))/(1-Table16[[#This Row],[RDS(on) Loss BuCtrl]]*RdsonTopTc*ThetaJA_Q1)</f>
        <v>0.98433312882841684</v>
      </c>
      <c r="AL121" s="345">
        <f>CHOOSE(Table16[[#This Row],[Mode Digit]],SQRT((Fsw*(Table16[[#This Row],[t2_Ph_I]]+0))*((Table16[[#This Row],[I_0]]*Table16[[#This Row],[I_1]]+((Table16[[#This Row],[I_0]]-Table16[[#This Row],[I_1]])^2)/3))),0,SQRT((Fsw*(Table16[[#This Row],[t3_Ph_III]]+0))*((Table16[[#This Row],[I_0]]*Table16[[#This Row],[I_2]]+((Table16[[#This Row],[I_0]]-Table16[[#This Row],[I_2]])^2)/3))))</f>
        <v>5.7195858556626309</v>
      </c>
      <c r="AM121" s="345">
        <f>Rdson2*Table16[[#This Row],[Irms BuSync]]^2</f>
        <v>0.1144978182610361</v>
      </c>
      <c r="AN121"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21" s="345">
        <f>(Table16[[#This Row],[Deadtime Loss BuSync]]+Table16[[#This Row],[RDS(on) Loss BuSync]]*(1+RdsonBotTc*Ta-RdsonBotTc*25))/(1-Table16[[#This Row],[RDS(on) Loss BuSync]]*RdsonBotTc*ThetaJA_Q2)</f>
        <v>0.36413799996184382</v>
      </c>
      <c r="AP121" s="345">
        <f>CHOOSE(Table16[[#This Row],[Mode Digit]],0,SQRT((Fsw*(Table16[[#This Row],[t1_Ph_II]]+0))*((Table16[[#This Row],[I_0]]*Table16[[#This Row],[I_1]]+((Table16[[#This Row],[I_0]]-Table16[[#This Row],[I_1]])^2)/3))),SQRT((Fsw*(Table16[[#This Row],[t2_Ph_I]]+0))*((Table16[[#This Row],[I_1]]*Table16[[#This Row],[I_2]]+((Table16[[#This Row],[I_1]]-Table16[[#This Row],[I_2]])^2)/3))))</f>
        <v>3.0320750008924158</v>
      </c>
      <c r="AQ121" s="345">
        <f>Rdson4*Table16[[#This Row],[Irms BoCtlr]]^2</f>
        <v>3.2177175838628599E-2</v>
      </c>
      <c r="AR121" s="345">
        <f>CHOOSE(Table16[[#This Row],[Mode Digit]], 0, (Vout*Table16[[#This Row],[Iin]]/2)*(Fsw)*(Tr_boost+Tf_boost), (Vout*Iout/2)*(Fsw/1)*(Tr_boost+Tf_boost))</f>
        <v>0.47564320886662292</v>
      </c>
      <c r="AS121" s="253">
        <f>IF(Table16[[#This Row],[Vin]]&gt;Vout, 0, IF(Table16[[#This Row],[Iin]]&gt;Table16[[#This Row],[Ripple Current pk-pk]]/2,0,ABS(Table16[[#This Row],[Iin]]-Table16[[#This Row],[Ripple Current pk-pk]]/2)*Vsd_Q4*Deadtime*Fsw))</f>
        <v>0</v>
      </c>
      <c r="AT121" s="345">
        <f>(Table16[[#This Row],[Dead Time Loss BoCtlr]]+Table16[[#This Row],[Transition Loss BoCtlr]]+Table16[[#This Row],[RDS(on) Loss BoCtlr]]*(1+RdsonTopTc*Ta-RdsonTopTc*25))/(1-Table16[[#This Row],[RDS(on) Loss BoCtlr]]*RdsonTopTc*ThetaJA_Q4)</f>
        <v>0.51210468616421934</v>
      </c>
      <c r="AU121"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8.8804162008577965</v>
      </c>
      <c r="AV121" s="345">
        <f>Rdson3*Table16[[#This Row],[Irms BoSync]]^2</f>
        <v>0.27601627165160164</v>
      </c>
      <c r="AW121"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0.17639889196675895</v>
      </c>
      <c r="AX121" s="345">
        <f>(Table16[[#This Row],[Deadtime Loss BoSync]]+Table16[[#This Row],[RDS(on) Loss BoSync]]*(1+RdsonBotTc*Ta-RdsonBotTc*25))/(1-Table16[[#This Row],[RDS(on) Loss BoSync]]*RdsonBotTc*ThetaJA_Q3)</f>
        <v>0.48739251227641595</v>
      </c>
      <c r="AY121" s="345">
        <f>CHOOSE(Table16[[#This Row],[Mode Digit]], Rdson3*Table16[[#This Row],[Irms Lf]]^2, Rdson1*Table16[[#This Row],[Irms Lf]]^2, 0)</f>
        <v>0</v>
      </c>
      <c r="AZ121" s="345">
        <f>CHOOSE(Table16[[#This Row],[Mode Digit]], 2*Deadtime*Fsw*IF(VfdSky_Q2&gt;0,VfdSky_Q2,0)*Table16[[#This Row],[Iout]], 2*Deadtime*Fsw*IF(VfdSky_Q3&gt;0,VfdSky_Q3,0)*Table16[[#This Row],[Iin]], 2*Deadtime*Fsw*IF(VfdSky_Q2&gt;0,VfdSky_Q2,0)*Table16[[#This Row],[Iout]]+2*Deadtime*Fsw*IF(VfdSky_Q3&gt;0,VfdSky_Q3,0)*Table16[[#This Row],[Iin]])</f>
        <v>0</v>
      </c>
      <c r="BA121" s="345">
        <f>CHOOSE(Table16[[#This Row],[Mode Digit]], IF(QrrSky_Q2&gt;0,QrrSky_Q2,Qrr_Q2)*Fsw*(Table16[[#This Row],[Vin]]-Table16[[#This Row],[Iout]]*Rdson1),0,  IF(QrrSky_Q2&gt;0,QrrSky_Q2,Qrr_Q2)*Fsw*(Table16[[#This Row],[Vin]]-Table16[[#This Row],[Iout]]*Rdson1)+IF(QrrSky_Q3&gt;0,QrrSky_Q3,Qrr_Q3)*Fsw*Vout)</f>
        <v>0.76445451999999992</v>
      </c>
      <c r="BB121" s="345">
        <f>CHOOSE(Table16[[#This Row],[Mode Digit]],0, IF(QrrSky_Q3&gt;0,QrrSky_Q3,Qrr_Q3)*Fsw*Vout,  IF(QrrSky_Q2&gt;0,QrrSky_Q2,Qrr_Q2)*Fsw*(Table16[[#This Row],[Vin]]-Table16[[#This Row],[Iout]]*Rdson1)+IF(QrrSky_Q3&gt;0,QrrSky_Q3,Qrr_Q3)*Fsw*Vout)</f>
        <v>0.76445451999999992</v>
      </c>
      <c r="BC121" s="345">
        <f>CHOOSE(Table16[[#This Row],[Mode Digit]], Rs*Table16[[#This Row],[Irms BuSync]]^2, Rs*Table16[[#This Row],[Irms BoCtlr]]^2, Rs*(Table16[[#This Row],[Irms BuSync]]^2+Table16[[#This Row],[Irms BoCtlr]]^2))</f>
        <v>5.4479283522732597E-2</v>
      </c>
      <c r="BD121" s="345">
        <f t="shared" si="5"/>
        <v>0.64</v>
      </c>
      <c r="BE121" s="345">
        <f>IF(Vout&gt;8, Iq*Vout, Iq*Table16[[#This Row],[Vin]])</f>
        <v>4.8000000000000001E-2</v>
      </c>
      <c r="BF121" s="345">
        <f>CHOOSE(Table16[[#This Row],[Mode Digit]], (Qg_Q1+Qg_Q2)*Fsw, (Qg_Q3+Qg_Q4)*Fsw, (Qg_Q1+Qg_Q2+Qg_Q3+Qg_Q4)*Fsw)*IF(Vout&gt;8, Vout, Table16[[#This Row],[Vin]])</f>
        <v>1.7066240000000001</v>
      </c>
      <c r="BG121" s="345">
        <f t="shared" si="6"/>
        <v>0.50594479787234037</v>
      </c>
      <c r="BH121" s="345">
        <f>Table16[[#This Row],[IQ Loss]]+Table16[[#This Row],[Switching Current Loss]]</f>
        <v>1.7546240000000002</v>
      </c>
      <c r="BI121"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8.9608579977168308</v>
      </c>
      <c r="BJ121" s="253">
        <f>Vout*Table16[[#This Row],[Iout]]</f>
        <v>128</v>
      </c>
      <c r="BK121" s="684">
        <f>Table16[[#This Row],[Pout]]/(Table16[[#This Row],[Pout]]+Table16[[#This Row],[Total Loss]])</f>
        <v>0.93457358453561812</v>
      </c>
      <c r="BL121"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113.67119717384709</v>
      </c>
      <c r="BM121" s="685">
        <f>IF(Table16[[#This Row],[Vin]]&gt;Vout, Table16[[#This Row],[Total Sync Bu MOSFET Loss]]*ThetaJA_Q2, ThetaJA_Q3*Table16[[#This Row],[Total Sync Bo MOSFET Loss]])</f>
        <v>23.668969997519849</v>
      </c>
      <c r="BN121" s="640"/>
      <c r="BO121" s="292">
        <f>Table16[[#This Row],[EFF, h]]*100</f>
        <v>93.45735845356181</v>
      </c>
      <c r="BP121" s="345">
        <f>Table16[[#This Row],[Total Inductor Loss]]</f>
        <v>2.617552141588769</v>
      </c>
      <c r="BQ121" s="345">
        <f>Table16[[#This Row],[Total Control Bu MOSFET Loss]]+Table16[[#This Row],[Total Sync Bu MOSFET Loss]]+Table16[[#This Row],[Total Control Bo MOSFET Loss]]+Table16[[#This Row],[Total Sync Bo MOSFET Loss]]+Table16[[#This Row],[Reverse Recovery Loss MOSFET D BUCK]]+Table16[[#This Row],[Reverse Recovery Loss MOSFET D BOOST]]</f>
        <v>3.8768773672308958</v>
      </c>
      <c r="BR121" s="345">
        <f>Table16[[#This Row],[Total Control Bu MOSFET Loss]]+Table16[[#This Row],[Reverse Recovery Loss MOSFET D BUCK]]*0.66</f>
        <v>1.4888731120284167</v>
      </c>
      <c r="BS121" s="345">
        <f>Table16[[#This Row],[Total Sync Bu MOSFET Loss]]+Table16[[#This Row],[Reverse Recovery Loss MOSFET D BUCK]]*0.33</f>
        <v>0.61640799156184378</v>
      </c>
      <c r="BT121" s="345">
        <f xml:space="preserve"> Table16[[#This Row],[Total Control Bo MOSFET Loss]]+Table16[[#This Row],[Reverse Recovery Loss MOSFET D BOOST]]*0.66</f>
        <v>1.0166446693642193</v>
      </c>
      <c r="BU121" s="345">
        <f xml:space="preserve"> Table16[[#This Row],[Total Sync Bo MOSFET Loss]]+Table16[[#This Row],[Reverse Recovery Loss MOSFET D BOOST]]*0.33</f>
        <v>0.73966250387641597</v>
      </c>
      <c r="BV121" s="345">
        <f>Table16[[#This Row],[Isense Shunt Loss]]</f>
        <v>5.4479283522732597E-2</v>
      </c>
    </row>
    <row r="122" spans="7:74" x14ac:dyDescent="0.2">
      <c r="G122" s="253">
        <v>113</v>
      </c>
      <c r="H122" s="286">
        <f>VIN_min+(VIN_max-VIN_min)*(Table16[[#This Row],[Step]]/200)</f>
        <v>22.95</v>
      </c>
      <c r="I122" s="292" t="str">
        <f>IF(Mode = 2,IF(Table16[[#This Row],[Vin]]&gt;Vout, "BUCK","BOOST"),IF(Table16[[#This Row],[Vin]]&gt;VIN_BB_to_buck, "BUCK", IF(Table16[[#This Row],[Vin]]&lt;=VIN_boost_to_BB,"BOOST","BUCK-BST")))</f>
        <v>BUCK-BST</v>
      </c>
      <c r="J122" s="253">
        <f>IF(Table16[[#This Row],[Mode]]="BOOST",2, IF(Table16[[#This Row],[Mode]]="BUCK", 1,3))</f>
        <v>3</v>
      </c>
      <c r="K122" s="253">
        <f t="shared" si="4"/>
        <v>8</v>
      </c>
      <c r="L122" s="292">
        <f>Vout*Table16[[#This Row],[Iout]]/(Table16[[#This Row],[Vin]]*Efficiency)</f>
        <v>5.870886366242404</v>
      </c>
      <c r="M122" s="682">
        <f>MIN(1/Fsw,CHOOSE(Table16[[#This Row],[Mode Digit]],(Vout+(Rdson2+Rs+Rdcr)*Table16[[#This Row],[Iout]])/(Table16[[#This Row],[Vin]]+(Rs+Rdson2-Rdson1)*Table16[[#This Row],[Iout]])/Fsw,(Vout+(Rdson3+Rdcr)*Table16[[#This Row],[Iin]]-Table16[[#This Row],[Vin]])/(Vout+(Rdson3-Rdson4-Rs)*Table16[[#This Row],[Iin]])/Fsw,t1_Ph_II))</f>
        <v>1.5084238313644118E-6</v>
      </c>
      <c r="N122" s="518">
        <f>CHOOSE(Table16[[#This Row],[Mode Digit]],1/Fsw-Table16[[#This Row],[t1_Ph_II]],1/Fsw-Table16[[#This Row],[t1_Ph_II]],(Vout/Fsw-Table16[[#This Row],[Vin]]*t1_Ph_II)/(Table16[[#This Row],[Vin]]+Vout))</f>
        <v>1.4332934776155016E-7</v>
      </c>
      <c r="O122" s="518">
        <f>1/Fsw-(Table16[[#This Row],[t1_Ph_II]]+Table16[[#This Row],[t2_Ph_I]])</f>
        <v>8.6080963494438995E-7</v>
      </c>
      <c r="P122"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5.6864153059775759</v>
      </c>
      <c r="Q122" s="292">
        <f>CHOOSE(Table16[[#This Row],[Mode Digit]],Table16[[#This Row],[I_0]]+1/Lf*(Table16[[#This Row],[Vin]]-Vout)*Table16[[#This Row],[t1_Ph_II]],Table16[[#This Row],[I_0]]+1/Lf*Table16[[#This Row],[Vin]]*Table16[[#This Row],[t1_Ph_II]],Table16[[#This Row],[I_0]]+(Table16[[#This Row],[Vin]]-Vout)/L*Table16[[#This Row],[t1_Ph_II]])</f>
        <v>11.510607321523498</v>
      </c>
      <c r="R122" s="292">
        <f>CHOOSE(Table16[[#This Row],[Mode Digit]],0,0,Table16[[#This Row],[I_1]]+Table16[[#This Row],[Vin]]/L*Table16[[#This Row],[t2_Ph_I]])</f>
        <v>13.338056505483262</v>
      </c>
      <c r="S122" s="292">
        <f>Fsw*(Table16[[#This Row],[I_0]]*Table16[[#This Row],[t1_Ph_II]]+Table16[[#This Row],[I_1]]*Table16[[#This Row],[t2_Ph_I]]+Table16[[#This Row],[I_2]]*Table16[[#This Row],[t3_Ph_III]])</f>
        <v>8.6401261819558481</v>
      </c>
      <c r="T122" s="345">
        <f>MIN(1,CHOOSE(Table16[[#This Row],[Mode Digit]],(Vout+(Rdson2+Rs+Rdcr)*Table16[[#This Row],[Iout]])/(Table16[[#This Row],[Vin]]+(Rs+Rdson2-Rdson1)*Table16[[#This Row],[Iout]]),1,Fsw*Table16[[#This Row],[t2_Ph_I]]+Table16[[#This Row],[t1_Ph_II]]))</f>
        <v>5.7046588832928326E-2</v>
      </c>
      <c r="U122" s="345">
        <f>MIN(1,CHOOSE(Table16[[#This Row],[Mode Digit]],0,(Vout+(Rdson3+Rdcr)*Table16[[#This Row],[Iin]]-Table16[[#This Row],[Vin]])/(Vout+(Rdson3-Rdson4-Rs)*Table16[[#This Row],[Iin]]),Fsw*Table16[[#This Row],[t1_Ph_II]]+Table16[[#This Row],[t3_Ph_III]]))</f>
        <v>0.60035354569267074</v>
      </c>
      <c r="V122" s="292">
        <f>MAX(Table16[[#This Row],[I_0]:[I_2]])-MIN(Table16[[#This Row],[I_0]:[I_1]])</f>
        <v>7.6516411995056863</v>
      </c>
      <c r="W122"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9.3582291068213106</v>
      </c>
      <c r="X122" s="345">
        <f>(Table16[[#This Row],[Irms Lf]]^2*Rdcr*(1+Ltc*Ta-Ltc*25))/(1-Table16[[#This Row],[Irms Lf]]^2*Rdcr*Ltc*ThetaCa)</f>
        <v>0.28667170326063368</v>
      </c>
      <c r="Y122" s="345">
        <f>ABS(7.759*10^-3*Fsw^0.9458*(0.00787*Table16[[#This Row],[Ripple Current pk-pk]])^2.304)</f>
        <v>2.3695808755103576</v>
      </c>
      <c r="Z122" s="345">
        <f>Table16[[#This Row],[DCR    Loss]]+Table16[[#This Row],[Core Loss]]</f>
        <v>2.6562525787709914</v>
      </c>
      <c r="AA122" s="292">
        <f>IF(Table16[[#This Row],[Vin]]&gt;Vout, Table16[[#This Row],[Ripple Current pk-pk]]/SQRT(12), SQRT(Table16[[#This Row],[Duty Cycle BOOST Leg]]/(1-Table16[[#This Row],[Duty Cycle BOOST Leg]]))*SQRT(Table16[[#This Row],[Iout]]^2+(Table16[[#This Row],[Ripple Current pk-pk]]^2)/12))</f>
        <v>2.2088385531385195</v>
      </c>
      <c r="AB122" s="345">
        <f>RCoutEsr*Table16[[#This Row],[Irms Cout]]^2</f>
        <v>9.7579355076621369E-3</v>
      </c>
      <c r="AC122" s="345">
        <f>Table16[[#This Row],[Cout ESR Loss]]</f>
        <v>9.7579355076621369E-3</v>
      </c>
      <c r="AD122" s="345">
        <f>IF(Table16[[#This Row],[Vin]]&gt;Vout, SQRT(Table16[[#This Row],[Duty Cycle BUCK Leg]]*(1-Table16[[#This Row],[Duty Cycle BUCK Leg]]))*SQRT(Table16[[#This Row],[Iout]]^2+(Table16[[#This Row],[Ripple Current pk-pk]]^2)/12), Table16[[#This Row],[Ripple Current pk-pk]]/SQRT(12))</f>
        <v>1.9248782849863031</v>
      </c>
      <c r="AE122" s="345">
        <f>RCinEsr*Table16[[#This Row],[Irms Cin]]^2</f>
        <v>7.4103128240236233E-3</v>
      </c>
      <c r="AF122" s="683">
        <f>Table16[[#This Row],[Cin ESR Loss]]</f>
        <v>7.4103128240236233E-3</v>
      </c>
      <c r="AG122"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7.4098147655686351</v>
      </c>
      <c r="AH122" s="345">
        <f>Rdson1*Table16[[#This Row],[Irms BuCtrl]]^2</f>
        <v>0.1921687420101364</v>
      </c>
      <c r="AI122" s="345">
        <f>CHOOSE(Table16[[#This Row],[Mode Digit]], (Table16[[#This Row],[Vin]]*Table16[[#This Row],[Iout]]/2)*(Fsw)*(Tr_buck+Tf_buck), 0, (Table16[[#This Row],[Vin]]*Table16[[#This Row],[Avg IL]]/2)*(Fsw/1)*(Tr_buck+Tf_buck))</f>
        <v>0.74210550173643453</v>
      </c>
      <c r="AJ122" s="253">
        <f>IF(Table16[[#This Row],[Vin]]&gt;Vout, IF(Table16[[#This Row],[Iout]]&gt;Table16[[#This Row],[Ripple Current pk-pk]]/2,0,ABS(Table16[[#This Row],[Iout]]-Table16[[#This Row],[Ripple Current pk-pk]]/2)*Vsd_Q1*Deadtime*Fsw),0)</f>
        <v>0</v>
      </c>
      <c r="AK122" s="345">
        <f>(Table16[[#This Row],[Dead Time Loss BuCtrl]]+Table16[[#This Row],[Transition Loss BuCtrl]]+Table16[[#This Row],[RDS(on) Loss BuCtrl]]*(1+RdsonTopTc*Ta-RdsonTopTc*25))/(1-Table16[[#This Row],[RDS(on) Loss BuCtrl]]*RdsonTopTc*ThetaJA_Q1)</f>
        <v>0.98340917478656054</v>
      </c>
      <c r="AL122" s="345">
        <f>CHOOSE(Table16[[#This Row],[Mode Digit]],SQRT((Fsw*(Table16[[#This Row],[t2_Ph_I]]+0))*((Table16[[#This Row],[I_0]]*Table16[[#This Row],[I_1]]+((Table16[[#This Row],[I_0]]-Table16[[#This Row],[I_1]])^2)/3))),0,SQRT((Fsw*(Table16[[#This Row],[t3_Ph_III]]+0))*((Table16[[#This Row],[I_0]]*Table16[[#This Row],[I_2]]+((Table16[[#This Row],[I_0]]-Table16[[#This Row],[I_2]])^2)/3))))</f>
        <v>5.7158636404062886</v>
      </c>
      <c r="AM122" s="345">
        <f>Rdson2*Table16[[#This Row],[Irms BuSync]]^2</f>
        <v>0.11434884004501519</v>
      </c>
      <c r="AN122"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22" s="345">
        <f>(Table16[[#This Row],[Deadtime Loss BuSync]]+Table16[[#This Row],[RDS(on) Loss BuSync]]*(1+RdsonBotTc*Ta-RdsonBotTc*25))/(1-Table16[[#This Row],[RDS(on) Loss BuSync]]*RdsonBotTc*ThetaJA_Q2)</f>
        <v>0.36396991996647027</v>
      </c>
      <c r="AP122" s="345">
        <f>CHOOSE(Table16[[#This Row],[Mode Digit]],0,SQRT((Fsw*(Table16[[#This Row],[t1_Ph_II]]+0))*((Table16[[#This Row],[I_0]]*Table16[[#This Row],[I_1]]+((Table16[[#This Row],[I_0]]-Table16[[#This Row],[I_1]])^2)/3))),SQRT((Fsw*(Table16[[#This Row],[t2_Ph_I]]+0))*((Table16[[#This Row],[I_1]]*Table16[[#This Row],[I_2]]+((Table16[[#This Row],[I_1]]-Table16[[#This Row],[I_2]])^2)/3))))</f>
        <v>2.9701150884080572</v>
      </c>
      <c r="AQ122" s="345">
        <f>Rdson4*Table16[[#This Row],[Irms BoCtlr]]^2</f>
        <v>3.0875542734362205E-2</v>
      </c>
      <c r="AR122" s="345">
        <f>CHOOSE(Table16[[#This Row],[Mode Digit]], 0, (Vout*Table16[[#This Row],[Iin]]/2)*(Fsw)*(Tr_boost+Tf_boost), (Vout*Iout/2)*(Fsw/1)*(Tr_boost+Tf_boost))</f>
        <v>0.47564320886662292</v>
      </c>
      <c r="AS122" s="253">
        <f>IF(Table16[[#This Row],[Vin]]&gt;Vout, 0, IF(Table16[[#This Row],[Iin]]&gt;Table16[[#This Row],[Ripple Current pk-pk]]/2,0,ABS(Table16[[#This Row],[Iin]]-Table16[[#This Row],[Ripple Current pk-pk]]/2)*Vsd_Q4*Deadtime*Fsw))</f>
        <v>0</v>
      </c>
      <c r="AT122" s="345">
        <f>(Table16[[#This Row],[Dead Time Loss BoCtlr]]+Table16[[#This Row],[Transition Loss BoCtlr]]+Table16[[#This Row],[RDS(on) Loss BoCtlr]]*(1+RdsonTopTc*Ta-RdsonTopTc*25))/(1-Table16[[#This Row],[RDS(on) Loss BoCtlr]]*RdsonTopTc*ThetaJA_Q4)</f>
        <v>0.51061780810933877</v>
      </c>
      <c r="AU122"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8.8743939723999397</v>
      </c>
      <c r="AV122" s="345">
        <f>Rdson3*Table16[[#This Row],[Irms BoSync]]^2</f>
        <v>0.27564203932078934</v>
      </c>
      <c r="AW122"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0.17524595803233572</v>
      </c>
      <c r="AX122" s="345">
        <f>(Table16[[#This Row],[Deadtime Loss BoSync]]+Table16[[#This Row],[RDS(on) Loss BoSync]]*(1+RdsonBotTc*Ta-RdsonBotTc*25))/(1-Table16[[#This Row],[RDS(on) Loss BoSync]]*RdsonBotTc*ThetaJA_Q3)</f>
        <v>0.48569636484201967</v>
      </c>
      <c r="AY122" s="345">
        <f>CHOOSE(Table16[[#This Row],[Mode Digit]], Rdson3*Table16[[#This Row],[Irms Lf]]^2, Rdson1*Table16[[#This Row],[Irms Lf]]^2, 0)</f>
        <v>0</v>
      </c>
      <c r="AZ122" s="345">
        <f>CHOOSE(Table16[[#This Row],[Mode Digit]], 2*Deadtime*Fsw*IF(VfdSky_Q2&gt;0,VfdSky_Q2,0)*Table16[[#This Row],[Iout]], 2*Deadtime*Fsw*IF(VfdSky_Q3&gt;0,VfdSky_Q3,0)*Table16[[#This Row],[Iin]], 2*Deadtime*Fsw*IF(VfdSky_Q2&gt;0,VfdSky_Q2,0)*Table16[[#This Row],[Iout]]+2*Deadtime*Fsw*IF(VfdSky_Q3&gt;0,VfdSky_Q3,0)*Table16[[#This Row],[Iin]])</f>
        <v>0</v>
      </c>
      <c r="BA122" s="345">
        <f>CHOOSE(Table16[[#This Row],[Mode Digit]], IF(QrrSky_Q2&gt;0,QrrSky_Q2,Qrr_Q2)*Fsw*(Table16[[#This Row],[Vin]]-Table16[[#This Row],[Iout]]*Rdson1),0,  IF(QrrSky_Q2&gt;0,QrrSky_Q2,Qrr_Q2)*Fsw*(Table16[[#This Row],[Vin]]-Table16[[#This Row],[Iout]]*Rdson1)+IF(QrrSky_Q3&gt;0,QrrSky_Q3,Qrr_Q3)*Fsw*Vout)</f>
        <v>0.76714101999999995</v>
      </c>
      <c r="BB122" s="345">
        <f>CHOOSE(Table16[[#This Row],[Mode Digit]],0, IF(QrrSky_Q3&gt;0,QrrSky_Q3,Qrr_Q3)*Fsw*Vout,  IF(QrrSky_Q2&gt;0,QrrSky_Q2,Qrr_Q2)*Fsw*(Table16[[#This Row],[Vin]]-Table16[[#This Row],[Iout]]*Rdson1)+IF(QrrSky_Q3&gt;0,QrrSky_Q3,Qrr_Q3)*Fsw*Vout)</f>
        <v>0.76714101999999995</v>
      </c>
      <c r="BC122" s="345">
        <f>CHOOSE(Table16[[#This Row],[Mode Digit]], Rs*Table16[[#This Row],[Irms BuSync]]^2, Rs*Table16[[#This Row],[Irms BoCtlr]]^2, Rs*(Table16[[#This Row],[Irms BuSync]]^2+Table16[[#This Row],[Irms BoCtlr]]^2))</f>
        <v>5.3940485032340175E-2</v>
      </c>
      <c r="BD122" s="345">
        <f t="shared" si="5"/>
        <v>0.64</v>
      </c>
      <c r="BE122" s="345">
        <f>IF(Vout&gt;8, Iq*Vout, Iq*Table16[[#This Row],[Vin]])</f>
        <v>4.8000000000000001E-2</v>
      </c>
      <c r="BF122" s="345">
        <f>CHOOSE(Table16[[#This Row],[Mode Digit]], (Qg_Q1+Qg_Q2)*Fsw, (Qg_Q3+Qg_Q4)*Fsw, (Qg_Q1+Qg_Q2+Qg_Q3+Qg_Q4)*Fsw)*IF(Vout&gt;8, Vout, Table16[[#This Row],[Vin]])</f>
        <v>1.7066240000000001</v>
      </c>
      <c r="BG122" s="345">
        <f t="shared" si="6"/>
        <v>0.50594479787234037</v>
      </c>
      <c r="BH122" s="345">
        <f>Table16[[#This Row],[IQ Loss]]+Table16[[#This Row],[Switching Current Loss]]</f>
        <v>1.7546240000000002</v>
      </c>
      <c r="BI122"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8.9999606198394062</v>
      </c>
      <c r="BJ122" s="253">
        <f>Vout*Table16[[#This Row],[Iout]]</f>
        <v>128</v>
      </c>
      <c r="BK122" s="684">
        <f>Table16[[#This Row],[Pout]]/(Table16[[#This Row],[Pout]]+Table16[[#This Row],[Total Loss]])</f>
        <v>0.93430683790622859</v>
      </c>
      <c r="BL122"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113.78576266112643</v>
      </c>
      <c r="BM122" s="685">
        <f>IF(Table16[[#This Row],[Vin]]&gt;Vout, Table16[[#This Row],[Total Sync Bu MOSFET Loss]]*ThetaJA_Q2, ThetaJA_Q3*Table16[[#This Row],[Total Sync Bo MOSFET Loss]])</f>
        <v>23.658044797820569</v>
      </c>
      <c r="BN122" s="640"/>
      <c r="BO122" s="292">
        <f>Table16[[#This Row],[EFF, h]]*100</f>
        <v>93.430683790622865</v>
      </c>
      <c r="BP122" s="345">
        <f>Table16[[#This Row],[Total Inductor Loss]]</f>
        <v>2.6562525787709914</v>
      </c>
      <c r="BQ122" s="345">
        <f>Table16[[#This Row],[Total Control Bu MOSFET Loss]]+Table16[[#This Row],[Total Sync Bu MOSFET Loss]]+Table16[[#This Row],[Total Control Bo MOSFET Loss]]+Table16[[#This Row],[Total Sync Bo MOSFET Loss]]+Table16[[#This Row],[Reverse Recovery Loss MOSFET D BUCK]]+Table16[[#This Row],[Reverse Recovery Loss MOSFET D BOOST]]</f>
        <v>3.8779753077043893</v>
      </c>
      <c r="BR122" s="345">
        <f>Table16[[#This Row],[Total Control Bu MOSFET Loss]]+Table16[[#This Row],[Reverse Recovery Loss MOSFET D BUCK]]*0.66</f>
        <v>1.4897222479865606</v>
      </c>
      <c r="BS122" s="345">
        <f>Table16[[#This Row],[Total Sync Bu MOSFET Loss]]+Table16[[#This Row],[Reverse Recovery Loss MOSFET D BUCK]]*0.33</f>
        <v>0.61712645656647025</v>
      </c>
      <c r="BT122" s="345">
        <f xml:space="preserve"> Table16[[#This Row],[Total Control Bo MOSFET Loss]]+Table16[[#This Row],[Reverse Recovery Loss MOSFET D BOOST]]*0.66</f>
        <v>1.0169308813093387</v>
      </c>
      <c r="BU122" s="345">
        <f xml:space="preserve"> Table16[[#This Row],[Total Sync Bo MOSFET Loss]]+Table16[[#This Row],[Reverse Recovery Loss MOSFET D BOOST]]*0.33</f>
        <v>0.73885290144201965</v>
      </c>
      <c r="BV122" s="345">
        <f>Table16[[#This Row],[Isense Shunt Loss]]</f>
        <v>5.3940485032340175E-2</v>
      </c>
    </row>
    <row r="123" spans="7:74" x14ac:dyDescent="0.2">
      <c r="G123" s="253">
        <v>114</v>
      </c>
      <c r="H123" s="286">
        <f>VIN_min+(VIN_max-VIN_min)*(Table16[[#This Row],[Step]]/200)</f>
        <v>23.099999999999998</v>
      </c>
      <c r="I123" s="292" t="str">
        <f>IF(Mode = 2,IF(Table16[[#This Row],[Vin]]&gt;Vout, "BUCK","BOOST"),IF(Table16[[#This Row],[Vin]]&gt;VIN_BB_to_buck, "BUCK", IF(Table16[[#This Row],[Vin]]&lt;=VIN_boost_to_BB,"BOOST","BUCK-BST")))</f>
        <v>BUCK</v>
      </c>
      <c r="J123" s="253">
        <f>IF(Table16[[#This Row],[Mode]]="BOOST",2, IF(Table16[[#This Row],[Mode]]="BUCK", 1,3))</f>
        <v>1</v>
      </c>
      <c r="K123" s="253">
        <f t="shared" si="4"/>
        <v>8</v>
      </c>
      <c r="L123" s="292">
        <f>Vout*Table16[[#This Row],[Iout]]/(Table16[[#This Row],[Vin]]*Efficiency)</f>
        <v>5.8327637275005708</v>
      </c>
      <c r="M123" s="682">
        <f>MIN(1/Fsw,CHOOSE(Table16[[#This Row],[Mode Digit]],(Vout+(Rdson2+Rs+Rdcr)*Table16[[#This Row],[Iout]])/(Table16[[#This Row],[Vin]]+(Rs+Rdson2-Rdson1)*Table16[[#This Row],[Iout]])/Fsw,(Vout+(Rdson3+Rdcr)*Table16[[#This Row],[Iin]]-Table16[[#This Row],[Vin]])/(Vout+(Rdson3-Rdson4-Rs)*Table16[[#This Row],[Iin]])/Fsw,t1_Ph_II))</f>
        <v>1.7464781676312888E-6</v>
      </c>
      <c r="N123" s="518">
        <f>CHOOSE(Table16[[#This Row],[Mode Digit]],1/Fsw-Table16[[#This Row],[t1_Ph_II]],1/Fsw-Table16[[#This Row],[t1_Ph_II]],(Vout/Fsw-Table16[[#This Row],[Vin]]*t1_Ph_II)/(Table16[[#This Row],[Vin]]+Vout))</f>
        <v>7.6608464643906308E-7</v>
      </c>
      <c r="O123" s="518">
        <f>1/Fsw-(Table16[[#This Row],[t1_Ph_II]]+Table16[[#This Row],[t2_Ph_I]])</f>
        <v>0</v>
      </c>
      <c r="P123"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4.5555569471716257</v>
      </c>
      <c r="Q123" s="292">
        <f>CHOOSE(Table16[[#This Row],[Mode Digit]],Table16[[#This Row],[I_0]]+1/Lf*(Table16[[#This Row],[Vin]]-Vout)*Table16[[#This Row],[t1_Ph_II]],Table16[[#This Row],[I_0]]+1/Lf*Table16[[#This Row],[Vin]]*Table16[[#This Row],[t1_Ph_II]],Table16[[#This Row],[I_0]]+(Table16[[#This Row],[Vin]]-Vout)/L*Table16[[#This Row],[t1_Ph_II]])</f>
        <v>11.444443052828372</v>
      </c>
      <c r="R123" s="292">
        <f>CHOOSE(Table16[[#This Row],[Mode Digit]],0,0,Table16[[#This Row],[I_1]]+Table16[[#This Row],[Vin]]/L*Table16[[#This Row],[t2_Ph_I]])</f>
        <v>0</v>
      </c>
      <c r="S123" s="292">
        <f>Fsw*(Table16[[#This Row],[I_0]]*Table16[[#This Row],[t1_Ph_II]]+Table16[[#This Row],[I_1]]*Table16[[#This Row],[t2_Ph_I]]+Table16[[#This Row],[I_2]]*Table16[[#This Row],[t3_Ph_III]])</f>
        <v>6.655989958062813</v>
      </c>
      <c r="T123" s="345">
        <f>MIN(1,CHOOSE(Table16[[#This Row],[Mode Digit]],(Vout+(Rdson2+Rs+Rdcr)*Table16[[#This Row],[Iout]])/(Table16[[#This Row],[Vin]]+(Rs+Rdson2-Rdson1)*Table16[[#This Row],[Iout]]),1,Fsw*Table16[[#This Row],[t2_Ph_I]]+Table16[[#This Row],[t1_Ph_II]]))</f>
        <v>0.69509831071725292</v>
      </c>
      <c r="U123" s="345">
        <f>MIN(1,CHOOSE(Table16[[#This Row],[Mode Digit]],0,(Vout+(Rdson3+Rdcr)*Table16[[#This Row],[Iin]]-Table16[[#This Row],[Vin]])/(Vout+(Rdson3-Rdson4-Rs)*Table16[[#This Row],[Iin]]),Fsw*Table16[[#This Row],[t1_Ph_II]]+Table16[[#This Row],[t3_Ph_III]]))</f>
        <v>0</v>
      </c>
      <c r="V123" s="292">
        <f>MAX(Table16[[#This Row],[I_0]:[I_2]])-MIN(Table16[[#This Row],[I_0]:[I_1]])</f>
        <v>6.8888861056567468</v>
      </c>
      <c r="W123"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8.2434658557384637</v>
      </c>
      <c r="X123" s="345">
        <f>(Table16[[#This Row],[Irms Lf]]^2*Rdcr*(1+Ltc*Ta-Ltc*25))/(1-Table16[[#This Row],[Irms Lf]]^2*Rdcr*Ltc*ThetaCa)</f>
        <v>0.22130504730096467</v>
      </c>
      <c r="Y123" s="345">
        <f>ABS(7.759*10^-3*Fsw^0.9458*(0.00787*Table16[[#This Row],[Ripple Current pk-pk]])^2.304)</f>
        <v>1.8603568228273151</v>
      </c>
      <c r="Z123" s="345">
        <f>Table16[[#This Row],[DCR    Loss]]+Table16[[#This Row],[Core Loss]]</f>
        <v>2.0816618701282796</v>
      </c>
      <c r="AA123" s="292">
        <f>IF(Table16[[#This Row],[Vin]]&gt;Vout, Table16[[#This Row],[Ripple Current pk-pk]]/SQRT(12), SQRT(Table16[[#This Row],[Duty Cycle BOOST Leg]]/(1-Table16[[#This Row],[Duty Cycle BOOST Leg]]))*SQRT(Table16[[#This Row],[Iout]]^2+(Table16[[#This Row],[Ripple Current pk-pk]]^2)/12))</f>
        <v>1.9886501237587979</v>
      </c>
      <c r="AB123" s="345">
        <f>RCoutEsr*Table16[[#This Row],[Irms Cout]]^2</f>
        <v>7.9094586294517644E-3</v>
      </c>
      <c r="AC123" s="345">
        <f>Table16[[#This Row],[Cout ESR Loss]]</f>
        <v>7.9094586294517644E-3</v>
      </c>
      <c r="AD123" s="345">
        <f>IF(Table16[[#This Row],[Vin]]&gt;Vout, SQRT(Table16[[#This Row],[Duty Cycle BUCK Leg]]*(1-Table16[[#This Row],[Duty Cycle BUCK Leg]]))*SQRT(Table16[[#This Row],[Iout]]^2+(Table16[[#This Row],[Ripple Current pk-pk]]^2)/12), Table16[[#This Row],[Ripple Current pk-pk]]/SQRT(12))</f>
        <v>3.7950095685276852</v>
      </c>
      <c r="AE123" s="345">
        <f>RCinEsr*Table16[[#This Row],[Irms Cin]]^2</f>
        <v>2.8804195250433373E-2</v>
      </c>
      <c r="AF123" s="683">
        <f>Table16[[#This Row],[Cin ESR Loss]]</f>
        <v>2.8804195250433373E-2</v>
      </c>
      <c r="AG123"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6.8727881934418829</v>
      </c>
      <c r="AH123" s="345">
        <f>Rdson1*Table16[[#This Row],[Irms BuCtrl]]^2</f>
        <v>0.16532326143169948</v>
      </c>
      <c r="AI123" s="345">
        <f>CHOOSE(Table16[[#This Row],[Mode Digit]], (Table16[[#This Row],[Vin]]*Table16[[#This Row],[Iout]]/2)*(Fsw)*(Tr_buck+Tf_buck), 0, (Table16[[#This Row],[Vin]]*Table16[[#This Row],[Avg IL]]/2)*(Fsw/1)*(Tr_buck+Tf_buck))</f>
        <v>0.6916156998288604</v>
      </c>
      <c r="AJ123" s="253">
        <f>IF(Table16[[#This Row],[Vin]]&gt;Vout, IF(Table16[[#This Row],[Iout]]&gt;Table16[[#This Row],[Ripple Current pk-pk]]/2,0,ABS(Table16[[#This Row],[Iout]]-Table16[[#This Row],[Ripple Current pk-pk]]/2)*Vsd_Q1*Deadtime*Fsw),0)</f>
        <v>0</v>
      </c>
      <c r="AK123" s="345">
        <f>(Table16[[#This Row],[Dead Time Loss BuCtrl]]+Table16[[#This Row],[Transition Loss BuCtrl]]+Table16[[#This Row],[RDS(on) Loss BuCtrl]]*(1+RdsonTopTc*Ta-RdsonTopTc*25))/(1-Table16[[#This Row],[RDS(on) Loss BuCtrl]]*RdsonTopTc*ThetaJA_Q1)</f>
        <v>0.89542808502287585</v>
      </c>
      <c r="AL123" s="345">
        <f>CHOOSE(Table16[[#This Row],[Mode Digit]],SQRT((Fsw*(Table16[[#This Row],[t2_Ph_I]]+0))*((Table16[[#This Row],[I_0]]*Table16[[#This Row],[I_1]]+((Table16[[#This Row],[I_0]]-Table16[[#This Row],[I_1]])^2)/3))),0,SQRT((Fsw*(Table16[[#This Row],[t3_Ph_III]]+0))*((Table16[[#This Row],[I_0]]*Table16[[#This Row],[I_2]]+((Table16[[#This Row],[I_0]]-Table16[[#This Row],[I_2]])^2)/3))))</f>
        <v>4.5518690406042799</v>
      </c>
      <c r="AM123" s="345">
        <f>Rdson2*Table16[[#This Row],[Irms BuSync]]^2</f>
        <v>7.2518291169841043E-2</v>
      </c>
      <c r="AN123"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23" s="345">
        <f>(Table16[[#This Row],[Deadtime Loss BuSync]]+Table16[[#This Row],[RDS(on) Loss BuSync]]*(1+RdsonBotTc*Ta-RdsonBotTc*25))/(1-Table16[[#This Row],[RDS(on) Loss BuSync]]*RdsonBotTc*ThetaJA_Q2)</f>
        <v>0.3173009225492105</v>
      </c>
      <c r="AP123" s="345">
        <f>CHOOSE(Table16[[#This Row],[Mode Digit]],0,SQRT((Fsw*(Table16[[#This Row],[t1_Ph_II]]+0))*((Table16[[#This Row],[I_0]]*Table16[[#This Row],[I_1]]+((Table16[[#This Row],[I_0]]-Table16[[#This Row],[I_1]])^2)/3))),SQRT((Fsw*(Table16[[#This Row],[t2_Ph_I]]+0))*((Table16[[#This Row],[I_1]]*Table16[[#This Row],[I_2]]+((Table16[[#This Row],[I_1]]-Table16[[#This Row],[I_2]])^2)/3))))</f>
        <v>0</v>
      </c>
      <c r="AQ123" s="345">
        <f>Rdson4*Table16[[#This Row],[Irms BoCtlr]]^2</f>
        <v>0</v>
      </c>
      <c r="AR123" s="345">
        <f>CHOOSE(Table16[[#This Row],[Mode Digit]], 0, (Vout*Table16[[#This Row],[Iin]]/2)*(Fsw)*(Tr_boost+Tf_boost), (Vout*Iout/2)*(Fsw/1)*(Tr_boost+Tf_boost))</f>
        <v>0</v>
      </c>
      <c r="AS123" s="253">
        <f>IF(Table16[[#This Row],[Vin]]&gt;Vout, 0, IF(Table16[[#This Row],[Iin]]&gt;Table16[[#This Row],[Ripple Current pk-pk]]/2,0,ABS(Table16[[#This Row],[Iin]]-Table16[[#This Row],[Ripple Current pk-pk]]/2)*Vsd_Q4*Deadtime*Fsw))</f>
        <v>0</v>
      </c>
      <c r="AT123" s="345">
        <f>(Table16[[#This Row],[Dead Time Loss BoCtlr]]+Table16[[#This Row],[Transition Loss BoCtlr]]+Table16[[#This Row],[RDS(on) Loss BoCtlr]]*(1+RdsonTopTc*Ta-RdsonTopTc*25))/(1-Table16[[#This Row],[RDS(on) Loss BoCtlr]]*RdsonTopTc*ThetaJA_Q4)</f>
        <v>0</v>
      </c>
      <c r="AU123"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8.2434658557384637</v>
      </c>
      <c r="AV123" s="345">
        <f>Rdson3*Table16[[#This Row],[Irms BoSync]]^2</f>
        <v>0.23784155260154058</v>
      </c>
      <c r="AW123"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23" s="345">
        <f>(Table16[[#This Row],[Deadtime Loss BoSync]]+Table16[[#This Row],[RDS(on) Loss BoSync]]*(1+RdsonBotTc*Ta-RdsonBotTc*25))/(1-Table16[[#This Row],[RDS(on) Loss BoSync]]*RdsonBotTc*ThetaJA_Q3)</f>
        <v>0.25351885532419954</v>
      </c>
      <c r="AY123" s="345">
        <f>CHOOSE(Table16[[#This Row],[Mode Digit]], Rdson3*Table16[[#This Row],[Irms Lf]]^2, Rdson1*Table16[[#This Row],[Irms Lf]]^2, 0)</f>
        <v>0.23784155260154058</v>
      </c>
      <c r="AZ123" s="345">
        <f>CHOOSE(Table16[[#This Row],[Mode Digit]], 2*Deadtime*Fsw*IF(VfdSky_Q2&gt;0,VfdSky_Q2,0)*Table16[[#This Row],[Iout]], 2*Deadtime*Fsw*IF(VfdSky_Q3&gt;0,VfdSky_Q3,0)*Table16[[#This Row],[Iin]], 2*Deadtime*Fsw*IF(VfdSky_Q2&gt;0,VfdSky_Q2,0)*Table16[[#This Row],[Iout]]+2*Deadtime*Fsw*IF(VfdSky_Q3&gt;0,VfdSky_Q3,0)*Table16[[#This Row],[Iin]])</f>
        <v>0</v>
      </c>
      <c r="BA123" s="345">
        <f>CHOOSE(Table16[[#This Row],[Mode Digit]], IF(QrrSky_Q2&gt;0,QrrSky_Q2,Qrr_Q2)*Fsw*(Table16[[#This Row],[Vin]]-Table16[[#This Row],[Iout]]*Rdson1),0,  IF(QrrSky_Q2&gt;0,QrrSky_Q2,Qrr_Q2)*Fsw*(Table16[[#This Row],[Vin]]-Table16[[#This Row],[Iout]]*Rdson1)+IF(QrrSky_Q3&gt;0,QrrSky_Q3,Qrr_Q3)*Fsw*Vout)</f>
        <v>0.41321951999999995</v>
      </c>
      <c r="BB123" s="345">
        <f>CHOOSE(Table16[[#This Row],[Mode Digit]],0, IF(QrrSky_Q3&gt;0,QrrSky_Q3,Qrr_Q3)*Fsw*Vout,  IF(QrrSky_Q2&gt;0,QrrSky_Q2,Qrr_Q2)*Fsw*(Table16[[#This Row],[Vin]]-Table16[[#This Row],[Iout]]*Rdson1)+IF(QrrSky_Q3&gt;0,QrrSky_Q3,Qrr_Q3)*Fsw*Vout)</f>
        <v>0</v>
      </c>
      <c r="BC123" s="345">
        <f>CHOOSE(Table16[[#This Row],[Mode Digit]], Rs*Table16[[#This Row],[Irms BuSync]]^2, Rs*Table16[[#This Row],[Irms BoCtlr]]^2, Rs*(Table16[[#This Row],[Irms BuSync]]^2+Table16[[#This Row],[Irms BoCtlr]]^2))</f>
        <v>2.6935365291655244E-2</v>
      </c>
      <c r="BD123" s="345">
        <f t="shared" si="5"/>
        <v>0.64</v>
      </c>
      <c r="BE123" s="345">
        <f>IF(Vout&gt;8, Iq*Vout, Iq*Table16[[#This Row],[Vin]])</f>
        <v>4.8000000000000001E-2</v>
      </c>
      <c r="BF123" s="345">
        <f>CHOOSE(Table16[[#This Row],[Mode Digit]], (Qg_Q1+Qg_Q2)*Fsw, (Qg_Q3+Qg_Q4)*Fsw, (Qg_Q1+Qg_Q2+Qg_Q3+Qg_Q4)*Fsw)*IF(Vout&gt;8, Vout, Table16[[#This Row],[Vin]])</f>
        <v>0.85331200000000007</v>
      </c>
      <c r="BG123" s="345">
        <f t="shared" si="6"/>
        <v>0.50594479787234037</v>
      </c>
      <c r="BH123" s="345">
        <f>Table16[[#This Row],[IQ Loss]]+Table16[[#This Row],[Switching Current Loss]]</f>
        <v>0.90131200000000011</v>
      </c>
      <c r="BI123"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5.5660902721961056</v>
      </c>
      <c r="BJ123" s="253">
        <f>Vout*Table16[[#This Row],[Iout]]</f>
        <v>128</v>
      </c>
      <c r="BK123" s="684">
        <f>Table16[[#This Row],[Pout]]/(Table16[[#This Row],[Pout]]+Table16[[#This Row],[Total Loss]])</f>
        <v>0.95832707043492182</v>
      </c>
      <c r="BL123"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58.202825526486933</v>
      </c>
      <c r="BM123" s="685">
        <f>IF(Table16[[#This Row],[Vin]]&gt;Vout, Table16[[#This Row],[Total Sync Bu MOSFET Loss]]*ThetaJA_Q2, ThetaJA_Q3*Table16[[#This Row],[Total Sync Bo MOSFET Loss]])</f>
        <v>20.624559965698683</v>
      </c>
      <c r="BN123" s="640"/>
      <c r="BO123" s="292">
        <f>Table16[[#This Row],[EFF, h]]*100</f>
        <v>95.832707043492178</v>
      </c>
      <c r="BP123" s="345">
        <f>Table16[[#This Row],[Total Inductor Loss]]</f>
        <v>2.0816618701282796</v>
      </c>
      <c r="BQ123" s="345">
        <f>Table16[[#This Row],[Total Control Bu MOSFET Loss]]+Table16[[#This Row],[Total Sync Bu MOSFET Loss]]+Table16[[#This Row],[Total Control Bo MOSFET Loss]]+Table16[[#This Row],[Total Sync Bo MOSFET Loss]]+Table16[[#This Row],[Reverse Recovery Loss MOSFET D BUCK]]+Table16[[#This Row],[Reverse Recovery Loss MOSFET D BOOST]]</f>
        <v>1.879467382896286</v>
      </c>
      <c r="BR123" s="345">
        <f>Table16[[#This Row],[Total Control Bu MOSFET Loss]]+Table16[[#This Row],[Reverse Recovery Loss MOSFET D BUCK]]*0.66</f>
        <v>1.1681529682228757</v>
      </c>
      <c r="BS123" s="345">
        <f>Table16[[#This Row],[Total Sync Bu MOSFET Loss]]+Table16[[#This Row],[Reverse Recovery Loss MOSFET D BUCK]]*0.33</f>
        <v>0.45366336414921049</v>
      </c>
      <c r="BT123" s="345">
        <f xml:space="preserve"> Table16[[#This Row],[Total Control Bo MOSFET Loss]]+Table16[[#This Row],[Reverse Recovery Loss MOSFET D BOOST]]*0.66</f>
        <v>0</v>
      </c>
      <c r="BU123" s="345">
        <f xml:space="preserve"> Table16[[#This Row],[Total Sync Bo MOSFET Loss]]+Table16[[#This Row],[Reverse Recovery Loss MOSFET D BOOST]]*0.33</f>
        <v>0.25351885532419954</v>
      </c>
      <c r="BV123" s="345">
        <f>Table16[[#This Row],[Isense Shunt Loss]]</f>
        <v>2.6935365291655244E-2</v>
      </c>
    </row>
    <row r="124" spans="7:74" x14ac:dyDescent="0.2">
      <c r="G124" s="253">
        <v>115</v>
      </c>
      <c r="H124" s="286">
        <f>VIN_min+(VIN_max-VIN_min)*(Table16[[#This Row],[Step]]/200)</f>
        <v>23.25</v>
      </c>
      <c r="I124" s="292" t="str">
        <f>IF(Mode = 2,IF(Table16[[#This Row],[Vin]]&gt;Vout, "BUCK","BOOST"),IF(Table16[[#This Row],[Vin]]&gt;VIN_BB_to_buck, "BUCK", IF(Table16[[#This Row],[Vin]]&lt;=VIN_boost_to_BB,"BOOST","BUCK-BST")))</f>
        <v>BUCK</v>
      </c>
      <c r="J124" s="253">
        <f>IF(Table16[[#This Row],[Mode]]="BOOST",2, IF(Table16[[#This Row],[Mode]]="BUCK", 1,3))</f>
        <v>1</v>
      </c>
      <c r="K124" s="253">
        <f t="shared" si="4"/>
        <v>8</v>
      </c>
      <c r="L124" s="292">
        <f>Vout*Table16[[#This Row],[Iout]]/(Table16[[#This Row],[Vin]]*Efficiency)</f>
        <v>5.79513299377476</v>
      </c>
      <c r="M124" s="682">
        <f>MIN(1/Fsw,CHOOSE(Table16[[#This Row],[Mode Digit]],(Vout+(Rdson2+Rs+Rdcr)*Table16[[#This Row],[Iout]])/(Table16[[#This Row],[Vin]]+(Rs+Rdson2-Rdson1)*Table16[[#This Row],[Iout]])/Fsw,(Vout+(Rdson3+Rdcr)*Table16[[#This Row],[Iin]]-Table16[[#This Row],[Vin]])/(Vout+(Rdson3-Rdson4-Rs)*Table16[[#This Row],[Iin]])/Fsw,t1_Ph_II))</f>
        <v>1.7352156044275305E-6</v>
      </c>
      <c r="N124" s="518">
        <f>CHOOSE(Table16[[#This Row],[Mode Digit]],1/Fsw-Table16[[#This Row],[t1_Ph_II]],1/Fsw-Table16[[#This Row],[t1_Ph_II]],(Vout/Fsw-Table16[[#This Row],[Vin]]*t1_Ph_II)/(Table16[[#This Row],[Vin]]+Vout))</f>
        <v>7.7734720964282135E-7</v>
      </c>
      <c r="O124" s="518">
        <f>1/Fsw-(Table16[[#This Row],[t1_Ph_II]]+Table16[[#This Row],[t2_Ph_I]])</f>
        <v>0</v>
      </c>
      <c r="P124"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4.5054685744167795</v>
      </c>
      <c r="Q124" s="292">
        <f>CHOOSE(Table16[[#This Row],[Mode Digit]],Table16[[#This Row],[I_0]]+1/Lf*(Table16[[#This Row],[Vin]]-Vout)*Table16[[#This Row],[t1_Ph_II]],Table16[[#This Row],[I_0]]+1/Lf*Table16[[#This Row],[Vin]]*Table16[[#This Row],[t1_Ph_II]],Table16[[#This Row],[I_0]]+(Table16[[#This Row],[Vin]]-Vout)/L*Table16[[#This Row],[t1_Ph_II]])</f>
        <v>11.494531425583222</v>
      </c>
      <c r="R124" s="292">
        <f>CHOOSE(Table16[[#This Row],[Mode Digit]],0,0,Table16[[#This Row],[I_1]]+Table16[[#This Row],[Vin]]/L*Table16[[#This Row],[t2_Ph_I]])</f>
        <v>0</v>
      </c>
      <c r="S124" s="292">
        <f>Fsw*(Table16[[#This Row],[I_0]]*Table16[[#This Row],[t1_Ph_II]]+Table16[[#This Row],[I_1]]*Table16[[#This Row],[t2_Ph_I]]+Table16[[#This Row],[I_2]]*Table16[[#This Row],[t3_Ph_III]])</f>
        <v>6.6677741195550491</v>
      </c>
      <c r="T124" s="345">
        <f>MIN(1,CHOOSE(Table16[[#This Row],[Mode Digit]],(Vout+(Rdson2+Rs+Rdcr)*Table16[[#This Row],[Iout]])/(Table16[[#This Row],[Vin]]+(Rs+Rdson2-Rdson1)*Table16[[#This Row],[Iout]]),1,Fsw*Table16[[#This Row],[t2_Ph_I]]+Table16[[#This Row],[t1_Ph_II]]))</f>
        <v>0.69061581056215715</v>
      </c>
      <c r="U124" s="345">
        <f>MIN(1,CHOOSE(Table16[[#This Row],[Mode Digit]],0,(Vout+(Rdson3+Rdcr)*Table16[[#This Row],[Iin]]-Table16[[#This Row],[Vin]])/(Vout+(Rdson3-Rdson4-Rs)*Table16[[#This Row],[Iin]]),Fsw*Table16[[#This Row],[t1_Ph_II]]+Table16[[#This Row],[t3_Ph_III]]))</f>
        <v>0</v>
      </c>
      <c r="V124" s="292">
        <f>MAX(Table16[[#This Row],[I_0]:[I_2]])-MIN(Table16[[#This Row],[I_0]:[I_1]])</f>
        <v>6.9890628511664428</v>
      </c>
      <c r="W124"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8.2504898821098038</v>
      </c>
      <c r="X124" s="345">
        <f>(Table16[[#This Row],[Irms Lf]]^2*Rdcr*(1+Ltc*Ta-Ltc*25))/(1-Table16[[#This Row],[Irms Lf]]^2*Rdcr*Ltc*ThetaCa)</f>
        <v>0.22168903503614049</v>
      </c>
      <c r="Y124" s="345">
        <f>ABS(7.759*10^-3*Fsw^0.9458*(0.00787*Table16[[#This Row],[Ripple Current pk-pk]])^2.304)</f>
        <v>1.9232785871110223</v>
      </c>
      <c r="Z124" s="345">
        <f>Table16[[#This Row],[DCR    Loss]]+Table16[[#This Row],[Core Loss]]</f>
        <v>2.144967622147163</v>
      </c>
      <c r="AA124" s="292">
        <f>IF(Table16[[#This Row],[Vin]]&gt;Vout, Table16[[#This Row],[Ripple Current pk-pk]]/SQRT(12), SQRT(Table16[[#This Row],[Duty Cycle BOOST Leg]]/(1-Table16[[#This Row],[Duty Cycle BOOST Leg]]))*SQRT(Table16[[#This Row],[Iout]]^2+(Table16[[#This Row],[Ripple Current pk-pk]]^2)/12))</f>
        <v>2.0175686592520798</v>
      </c>
      <c r="AB124" s="345">
        <f>RCoutEsr*Table16[[#This Row],[Irms Cout]]^2</f>
        <v>8.1411665895924704E-3</v>
      </c>
      <c r="AC124" s="345">
        <f>Table16[[#This Row],[Cout ESR Loss]]</f>
        <v>8.1411665895924704E-3</v>
      </c>
      <c r="AD124" s="345">
        <f>IF(Table16[[#This Row],[Vin]]&gt;Vout, SQRT(Table16[[#This Row],[Duty Cycle BUCK Leg]]*(1-Table16[[#This Row],[Duty Cycle BUCK Leg]]))*SQRT(Table16[[#This Row],[Iout]]^2+(Table16[[#This Row],[Ripple Current pk-pk]]^2)/12), Table16[[#This Row],[Ripple Current pk-pk]]/SQRT(12))</f>
        <v>3.8137046150517855</v>
      </c>
      <c r="AE124" s="345">
        <f>RCinEsr*Table16[[#This Row],[Irms Cin]]^2</f>
        <v>2.9088685781734576E-2</v>
      </c>
      <c r="AF124" s="683">
        <f>Table16[[#This Row],[Cin ESR Loss]]</f>
        <v>2.9088685781734576E-2</v>
      </c>
      <c r="AG124"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6.8564291768802326</v>
      </c>
      <c r="AH124" s="345">
        <f>Rdson1*Table16[[#This Row],[Irms BuCtrl]]^2</f>
        <v>0.16453717370151091</v>
      </c>
      <c r="AI124" s="345">
        <f>CHOOSE(Table16[[#This Row],[Mode Digit]], (Table16[[#This Row],[Vin]]*Table16[[#This Row],[Iout]]/2)*(Fsw)*(Tr_buck+Tf_buck), 0, (Table16[[#This Row],[Vin]]*Table16[[#This Row],[Avg IL]]/2)*(Fsw/1)*(Tr_buck+Tf_buck))</f>
        <v>0.69610671086671017</v>
      </c>
      <c r="AJ124" s="253">
        <f>IF(Table16[[#This Row],[Vin]]&gt;Vout, IF(Table16[[#This Row],[Iout]]&gt;Table16[[#This Row],[Ripple Current pk-pk]]/2,0,ABS(Table16[[#This Row],[Iout]]-Table16[[#This Row],[Ripple Current pk-pk]]/2)*Vsd_Q1*Deadtime*Fsw),0)</f>
        <v>0</v>
      </c>
      <c r="AK124" s="345">
        <f>(Table16[[#This Row],[Dead Time Loss BuCtrl]]+Table16[[#This Row],[Transition Loss BuCtrl]]+Table16[[#This Row],[RDS(on) Loss BuCtrl]]*(1+RdsonTopTc*Ta-RdsonTopTc*25))/(1-Table16[[#This Row],[RDS(on) Loss BuCtrl]]*RdsonTopTc*ThetaJA_Q1)</f>
        <v>0.89910739799967754</v>
      </c>
      <c r="AL124" s="345">
        <f>CHOOSE(Table16[[#This Row],[Mode Digit]],SQRT((Fsw*(Table16[[#This Row],[t2_Ph_I]]+0))*((Table16[[#This Row],[I_0]]*Table16[[#This Row],[I_1]]+((Table16[[#This Row],[I_0]]-Table16[[#This Row],[I_1]])^2)/3))),0,SQRT((Fsw*(Table16[[#This Row],[t3_Ph_III]]+0))*((Table16[[#This Row],[I_0]]*Table16[[#This Row],[I_2]]+((Table16[[#This Row],[I_0]]-Table16[[#This Row],[I_2]])^2)/3))))</f>
        <v>4.5891134478482556</v>
      </c>
      <c r="AM124" s="345">
        <f>Rdson2*Table16[[#This Row],[Irms BuSync]]^2</f>
        <v>7.3709867830275971E-2</v>
      </c>
      <c r="AN124"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24" s="345">
        <f>(Table16[[#This Row],[Deadtime Loss BuSync]]+Table16[[#This Row],[RDS(on) Loss BuSync]]*(1+RdsonBotTc*Ta-RdsonBotTc*25))/(1-Table16[[#This Row],[RDS(on) Loss BuSync]]*RdsonBotTc*ThetaJA_Q2)</f>
        <v>0.31861600517407368</v>
      </c>
      <c r="AP124" s="345">
        <f>CHOOSE(Table16[[#This Row],[Mode Digit]],0,SQRT((Fsw*(Table16[[#This Row],[t1_Ph_II]]+0))*((Table16[[#This Row],[I_0]]*Table16[[#This Row],[I_1]]+((Table16[[#This Row],[I_0]]-Table16[[#This Row],[I_1]])^2)/3))),SQRT((Fsw*(Table16[[#This Row],[t2_Ph_I]]+0))*((Table16[[#This Row],[I_1]]*Table16[[#This Row],[I_2]]+((Table16[[#This Row],[I_1]]-Table16[[#This Row],[I_2]])^2)/3))))</f>
        <v>0</v>
      </c>
      <c r="AQ124" s="345">
        <f>Rdson4*Table16[[#This Row],[Irms BoCtlr]]^2</f>
        <v>0</v>
      </c>
      <c r="AR124" s="345">
        <f>CHOOSE(Table16[[#This Row],[Mode Digit]], 0, (Vout*Table16[[#This Row],[Iin]]/2)*(Fsw)*(Tr_boost+Tf_boost), (Vout*Iout/2)*(Fsw/1)*(Tr_boost+Tf_boost))</f>
        <v>0</v>
      </c>
      <c r="AS124" s="253">
        <f>IF(Table16[[#This Row],[Vin]]&gt;Vout, 0, IF(Table16[[#This Row],[Iin]]&gt;Table16[[#This Row],[Ripple Current pk-pk]]/2,0,ABS(Table16[[#This Row],[Iin]]-Table16[[#This Row],[Ripple Current pk-pk]]/2)*Vsd_Q4*Deadtime*Fsw))</f>
        <v>0</v>
      </c>
      <c r="AT124" s="345">
        <f>(Table16[[#This Row],[Dead Time Loss BoCtlr]]+Table16[[#This Row],[Transition Loss BoCtlr]]+Table16[[#This Row],[RDS(on) Loss BoCtlr]]*(1+RdsonTopTc*Ta-RdsonTopTc*25))/(1-Table16[[#This Row],[RDS(on) Loss BoCtlr]]*RdsonTopTc*ThetaJA_Q4)</f>
        <v>0</v>
      </c>
      <c r="AU124"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8.2504898821098038</v>
      </c>
      <c r="AV124" s="345">
        <f>Rdson3*Table16[[#This Row],[Irms BoSync]]^2</f>
        <v>0.23824704153178689</v>
      </c>
      <c r="AW124"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24" s="345">
        <f>(Table16[[#This Row],[Deadtime Loss BoSync]]+Table16[[#This Row],[RDS(on) Loss BoSync]]*(1+RdsonBotTc*Ta-RdsonBotTc*25))/(1-Table16[[#This Row],[RDS(on) Loss BoSync]]*RdsonBotTc*ThetaJA_Q3)</f>
        <v>0.25397961331715896</v>
      </c>
      <c r="AY124" s="345">
        <f>CHOOSE(Table16[[#This Row],[Mode Digit]], Rdson3*Table16[[#This Row],[Irms Lf]]^2, Rdson1*Table16[[#This Row],[Irms Lf]]^2, 0)</f>
        <v>0.23824704153178689</v>
      </c>
      <c r="AZ124" s="345">
        <f>CHOOSE(Table16[[#This Row],[Mode Digit]], 2*Deadtime*Fsw*IF(VfdSky_Q2&gt;0,VfdSky_Q2,0)*Table16[[#This Row],[Iout]], 2*Deadtime*Fsw*IF(VfdSky_Q3&gt;0,VfdSky_Q3,0)*Table16[[#This Row],[Iin]], 2*Deadtime*Fsw*IF(VfdSky_Q2&gt;0,VfdSky_Q2,0)*Table16[[#This Row],[Iout]]+2*Deadtime*Fsw*IF(VfdSky_Q3&gt;0,VfdSky_Q3,0)*Table16[[#This Row],[Iin]])</f>
        <v>0</v>
      </c>
      <c r="BA124" s="345">
        <f>CHOOSE(Table16[[#This Row],[Mode Digit]], IF(QrrSky_Q2&gt;0,QrrSky_Q2,Qrr_Q2)*Fsw*(Table16[[#This Row],[Vin]]-Table16[[#This Row],[Iout]]*Rdson1),0,  IF(QrrSky_Q2&gt;0,QrrSky_Q2,Qrr_Q2)*Fsw*(Table16[[#This Row],[Vin]]-Table16[[#This Row],[Iout]]*Rdson1)+IF(QrrSky_Q3&gt;0,QrrSky_Q3,Qrr_Q3)*Fsw*Vout)</f>
        <v>0.41590601999999999</v>
      </c>
      <c r="BB124" s="345">
        <f>CHOOSE(Table16[[#This Row],[Mode Digit]],0, IF(QrrSky_Q3&gt;0,QrrSky_Q3,Qrr_Q3)*Fsw*Vout,  IF(QrrSky_Q2&gt;0,QrrSky_Q2,Qrr_Q2)*Fsw*(Table16[[#This Row],[Vin]]-Table16[[#This Row],[Iout]]*Rdson1)+IF(QrrSky_Q3&gt;0,QrrSky_Q3,Qrr_Q3)*Fsw*Vout)</f>
        <v>0</v>
      </c>
      <c r="BC124" s="345">
        <f>CHOOSE(Table16[[#This Row],[Mode Digit]], Rs*Table16[[#This Row],[Irms BuSync]]^2, Rs*Table16[[#This Row],[Irms BoCtlr]]^2, Rs*(Table16[[#This Row],[Irms BuSync]]^2+Table16[[#This Row],[Irms BoCtlr]]^2))</f>
        <v>2.7377950908388213E-2</v>
      </c>
      <c r="BD124" s="345">
        <f t="shared" si="5"/>
        <v>0.64</v>
      </c>
      <c r="BE124" s="345">
        <f>IF(Vout&gt;8, Iq*Vout, Iq*Table16[[#This Row],[Vin]])</f>
        <v>4.8000000000000001E-2</v>
      </c>
      <c r="BF124" s="345">
        <f>CHOOSE(Table16[[#This Row],[Mode Digit]], (Qg_Q1+Qg_Q2)*Fsw, (Qg_Q3+Qg_Q4)*Fsw, (Qg_Q1+Qg_Q2+Qg_Q3+Qg_Q4)*Fsw)*IF(Vout&gt;8, Vout, Table16[[#This Row],[Vin]])</f>
        <v>0.85331200000000007</v>
      </c>
      <c r="BG124" s="345">
        <f t="shared" si="6"/>
        <v>0.50594479787234037</v>
      </c>
      <c r="BH124" s="345">
        <f>Table16[[#This Row],[IQ Loss]]+Table16[[#This Row],[Switching Current Loss]]</f>
        <v>0.90131200000000011</v>
      </c>
      <c r="BI124"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5.6384964619177875</v>
      </c>
      <c r="BJ124" s="253">
        <f>Vout*Table16[[#This Row],[Iout]]</f>
        <v>128</v>
      </c>
      <c r="BK124" s="684">
        <f>Table16[[#This Row],[Pout]]/(Table16[[#This Row],[Pout]]+Table16[[#This Row],[Total Loss]])</f>
        <v>0.9578078427160055</v>
      </c>
      <c r="BL124"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58.441980869979041</v>
      </c>
      <c r="BM124" s="685">
        <f>IF(Table16[[#This Row],[Vin]]&gt;Vout, Table16[[#This Row],[Total Sync Bu MOSFET Loss]]*ThetaJA_Q2, ThetaJA_Q3*Table16[[#This Row],[Total Sync Bo MOSFET Loss]])</f>
        <v>20.71004033631479</v>
      </c>
      <c r="BN124" s="640"/>
      <c r="BO124" s="292">
        <f>Table16[[#This Row],[EFF, h]]*100</f>
        <v>95.780784271600552</v>
      </c>
      <c r="BP124" s="345">
        <f>Table16[[#This Row],[Total Inductor Loss]]</f>
        <v>2.144967622147163</v>
      </c>
      <c r="BQ124" s="345">
        <f>Table16[[#This Row],[Total Control Bu MOSFET Loss]]+Table16[[#This Row],[Total Sync Bu MOSFET Loss]]+Table16[[#This Row],[Total Control Bo MOSFET Loss]]+Table16[[#This Row],[Total Sync Bo MOSFET Loss]]+Table16[[#This Row],[Reverse Recovery Loss MOSFET D BUCK]]+Table16[[#This Row],[Reverse Recovery Loss MOSFET D BOOST]]</f>
        <v>1.8876090364909102</v>
      </c>
      <c r="BR124" s="345">
        <f>Table16[[#This Row],[Total Control Bu MOSFET Loss]]+Table16[[#This Row],[Reverse Recovery Loss MOSFET D BUCK]]*0.66</f>
        <v>1.1736053711996774</v>
      </c>
      <c r="BS124" s="345">
        <f>Table16[[#This Row],[Total Sync Bu MOSFET Loss]]+Table16[[#This Row],[Reverse Recovery Loss MOSFET D BUCK]]*0.33</f>
        <v>0.45586499177407369</v>
      </c>
      <c r="BT124" s="345">
        <f xml:space="preserve"> Table16[[#This Row],[Total Control Bo MOSFET Loss]]+Table16[[#This Row],[Reverse Recovery Loss MOSFET D BOOST]]*0.66</f>
        <v>0</v>
      </c>
      <c r="BU124" s="345">
        <f xml:space="preserve"> Table16[[#This Row],[Total Sync Bo MOSFET Loss]]+Table16[[#This Row],[Reverse Recovery Loss MOSFET D BOOST]]*0.33</f>
        <v>0.25397961331715896</v>
      </c>
      <c r="BV124" s="345">
        <f>Table16[[#This Row],[Isense Shunt Loss]]</f>
        <v>2.7377950908388213E-2</v>
      </c>
    </row>
    <row r="125" spans="7:74" x14ac:dyDescent="0.2">
      <c r="G125" s="253">
        <v>116</v>
      </c>
      <c r="H125" s="286">
        <f>VIN_min+(VIN_max-VIN_min)*(Table16[[#This Row],[Step]]/200)</f>
        <v>23.4</v>
      </c>
      <c r="I125" s="292" t="str">
        <f>IF(Mode = 2,IF(Table16[[#This Row],[Vin]]&gt;Vout, "BUCK","BOOST"),IF(Table16[[#This Row],[Vin]]&gt;VIN_BB_to_buck, "BUCK", IF(Table16[[#This Row],[Vin]]&lt;=VIN_boost_to_BB,"BOOST","BUCK-BST")))</f>
        <v>BUCK</v>
      </c>
      <c r="J125" s="253">
        <f>IF(Table16[[#This Row],[Mode]]="BOOST",2, IF(Table16[[#This Row],[Mode]]="BUCK", 1,3))</f>
        <v>1</v>
      </c>
      <c r="K125" s="253">
        <f t="shared" si="4"/>
        <v>8</v>
      </c>
      <c r="L125" s="292">
        <f>Vout*Table16[[#This Row],[Iout]]/(Table16[[#This Row],[Vin]]*Efficiency)</f>
        <v>5.7579847053531275</v>
      </c>
      <c r="M125" s="682">
        <f>MIN(1/Fsw,CHOOSE(Table16[[#This Row],[Mode Digit]],(Vout+(Rdson2+Rs+Rdcr)*Table16[[#This Row],[Iout]])/(Table16[[#This Row],[Vin]]+(Rs+Rdson2-Rdson1)*Table16[[#This Row],[Iout]])/Fsw,(Vout+(Rdson3+Rdcr)*Table16[[#This Row],[Iin]]-Table16[[#This Row],[Vin]])/(Vout+(Rdson3-Rdson4-Rs)*Table16[[#This Row],[Iin]])/Fsw,t1_Ph_II))</f>
        <v>1.7240973689140781E-6</v>
      </c>
      <c r="N125" s="518">
        <f>CHOOSE(Table16[[#This Row],[Mode Digit]],1/Fsw-Table16[[#This Row],[t1_Ph_II]],1/Fsw-Table16[[#This Row],[t1_Ph_II]],(Vout/Fsw-Table16[[#This Row],[Vin]]*t1_Ph_II)/(Table16[[#This Row],[Vin]]+Vout))</f>
        <v>7.8846544515627383E-7</v>
      </c>
      <c r="O125" s="518">
        <f>1/Fsw-(Table16[[#This Row],[t1_Ph_II]]+Table16[[#This Row],[t2_Ph_I]])</f>
        <v>0</v>
      </c>
      <c r="P125"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4.4560220750099511</v>
      </c>
      <c r="Q125" s="292">
        <f>CHOOSE(Table16[[#This Row],[Mode Digit]],Table16[[#This Row],[I_0]]+1/Lf*(Table16[[#This Row],[Vin]]-Vout)*Table16[[#This Row],[t1_Ph_II]],Table16[[#This Row],[I_0]]+1/Lf*Table16[[#This Row],[Vin]]*Table16[[#This Row],[t1_Ph_II]],Table16[[#This Row],[I_0]]+(Table16[[#This Row],[Vin]]-Vout)/L*Table16[[#This Row],[t1_Ph_II]])</f>
        <v>11.543977924990049</v>
      </c>
      <c r="R125" s="292">
        <f>CHOOSE(Table16[[#This Row],[Mode Digit]],0,0,Table16[[#This Row],[I_1]]+Table16[[#This Row],[Vin]]/L*Table16[[#This Row],[t2_Ph_I]])</f>
        <v>0</v>
      </c>
      <c r="S125" s="292">
        <f>Fsw*(Table16[[#This Row],[I_0]]*Table16[[#This Row],[t1_Ph_II]]+Table16[[#This Row],[I_1]]*Table16[[#This Row],[t2_Ph_I]]+Table16[[#This Row],[I_2]]*Table16[[#This Row],[t3_Ph_III]])</f>
        <v>6.6802881642819756</v>
      </c>
      <c r="T125" s="345">
        <f>MIN(1,CHOOSE(Table16[[#This Row],[Mode Digit]],(Vout+(Rdson2+Rs+Rdcr)*Table16[[#This Row],[Iout]])/(Table16[[#This Row],[Vin]]+(Rs+Rdson2-Rdson1)*Table16[[#This Row],[Iout]]),1,Fsw*Table16[[#This Row],[t2_Ph_I]]+Table16[[#This Row],[t1_Ph_II]]))</f>
        <v>0.68619075282780306</v>
      </c>
      <c r="U125" s="345">
        <f>MIN(1,CHOOSE(Table16[[#This Row],[Mode Digit]],0,(Vout+(Rdson3+Rdcr)*Table16[[#This Row],[Iin]]-Table16[[#This Row],[Vin]])/(Vout+(Rdson3-Rdson4-Rs)*Table16[[#This Row],[Iin]]),Fsw*Table16[[#This Row],[t1_Ph_II]]+Table16[[#This Row],[t3_Ph_III]]))</f>
        <v>0</v>
      </c>
      <c r="V125" s="292">
        <f>MAX(Table16[[#This Row],[I_0]:[I_2]])-MIN(Table16[[#This Row],[I_0]:[I_1]])</f>
        <v>7.0879558499800979</v>
      </c>
      <c r="W125"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8.2575173737392511</v>
      </c>
      <c r="X125" s="345">
        <f>(Table16[[#This Row],[Irms Lf]]^2*Rdcr*(1+Ltc*Ta-Ltc*25))/(1-Table16[[#This Row],[Irms Lf]]^2*Rdcr*Ltc*ThetaCa)</f>
        <v>0.2220735627256695</v>
      </c>
      <c r="Y125" s="345">
        <f>ABS(7.759*10^-3*Fsw^0.9458*(0.00787*Table16[[#This Row],[Ripple Current pk-pk]])^2.304)</f>
        <v>1.9865584026388228</v>
      </c>
      <c r="Z125" s="345">
        <f>Table16[[#This Row],[DCR    Loss]]+Table16[[#This Row],[Core Loss]]</f>
        <v>2.2086319653644924</v>
      </c>
      <c r="AA125" s="292">
        <f>IF(Table16[[#This Row],[Vin]]&gt;Vout, Table16[[#This Row],[Ripple Current pk-pk]]/SQRT(12), SQRT(Table16[[#This Row],[Duty Cycle BOOST Leg]]/(1-Table16[[#This Row],[Duty Cycle BOOST Leg]]))*SQRT(Table16[[#This Row],[Iout]]^2+(Table16[[#This Row],[Ripple Current pk-pk]]^2)/12))</f>
        <v>2.0461166089950962</v>
      </c>
      <c r="AB125" s="345">
        <f>RCoutEsr*Table16[[#This Row],[Irms Cout]]^2</f>
        <v>8.3731863552111829E-3</v>
      </c>
      <c r="AC125" s="345">
        <f>Table16[[#This Row],[Cout ESR Loss]]</f>
        <v>8.3731863552111829E-3</v>
      </c>
      <c r="AD125" s="345">
        <f>IF(Table16[[#This Row],[Vin]]&gt;Vout, SQRT(Table16[[#This Row],[Duty Cycle BUCK Leg]]*(1-Table16[[#This Row],[Duty Cycle BUCK Leg]]))*SQRT(Table16[[#This Row],[Iout]]^2+(Table16[[#This Row],[Ripple Current pk-pk]]^2)/12), Table16[[#This Row],[Ripple Current pk-pk]]/SQRT(12))</f>
        <v>3.8318173118709824</v>
      </c>
      <c r="AE125" s="345">
        <f>RCinEsr*Table16[[#This Row],[Irms Cin]]^2</f>
        <v>2.9365647823108323E-2</v>
      </c>
      <c r="AF125" s="683">
        <f>Table16[[#This Row],[Cin ESR Loss]]</f>
        <v>2.9365647823108323E-2</v>
      </c>
      <c r="AG125"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6.8402492429226811</v>
      </c>
      <c r="AH125" s="345">
        <f>Rdson1*Table16[[#This Row],[Irms BuCtrl]]^2</f>
        <v>0.16376153396856508</v>
      </c>
      <c r="AI125" s="345">
        <f>CHOOSE(Table16[[#This Row],[Mode Digit]], (Table16[[#This Row],[Vin]]*Table16[[#This Row],[Iout]]/2)*(Fsw)*(Tr_buck+Tf_buck), 0, (Table16[[#This Row],[Vin]]*Table16[[#This Row],[Avg IL]]/2)*(Fsw/1)*(Tr_buck+Tf_buck))</f>
        <v>0.70059772190455993</v>
      </c>
      <c r="AJ125" s="253">
        <f>IF(Table16[[#This Row],[Vin]]&gt;Vout, IF(Table16[[#This Row],[Iout]]&gt;Table16[[#This Row],[Ripple Current pk-pk]]/2,0,ABS(Table16[[#This Row],[Iout]]-Table16[[#This Row],[Ripple Current pk-pk]]/2)*Vsd_Q1*Deadtime*Fsw),0)</f>
        <v>0</v>
      </c>
      <c r="AK125" s="345">
        <f>(Table16[[#This Row],[Dead Time Loss BuCtrl]]+Table16[[#This Row],[Transition Loss BuCtrl]]+Table16[[#This Row],[RDS(on) Loss BuCtrl]]*(1+RdsonTopTc*Ta-RdsonTopTc*25))/(1-Table16[[#This Row],[RDS(on) Loss BuCtrl]]*RdsonTopTc*ThetaJA_Q1)</f>
        <v>0.90279861421452601</v>
      </c>
      <c r="AL125" s="345">
        <f>CHOOSE(Table16[[#This Row],[Mode Digit]],SQRT((Fsw*(Table16[[#This Row],[t2_Ph_I]]+0))*((Table16[[#This Row],[I_0]]*Table16[[#This Row],[I_1]]+((Table16[[#This Row],[I_0]]-Table16[[#This Row],[I_1]])^2)/3))),0,SQRT((Fsw*(Table16[[#This Row],[t3_Ph_III]]+0))*((Table16[[#This Row],[I_0]]*Table16[[#This Row],[I_2]]+((Table16[[#This Row],[I_0]]-Table16[[#This Row],[I_2]])^2)/3))))</f>
        <v>4.6257522061067293</v>
      </c>
      <c r="AM125" s="345">
        <f>Rdson2*Table16[[#This Row],[Irms BuSync]]^2</f>
        <v>7.4891542153054463E-2</v>
      </c>
      <c r="AN125"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25" s="345">
        <f>(Table16[[#This Row],[Deadtime Loss BuSync]]+Table16[[#This Row],[RDS(on) Loss BuSync]]*(1+RdsonBotTc*Ta-RdsonBotTc*25))/(1-Table16[[#This Row],[RDS(on) Loss BuSync]]*RdsonBotTc*ThetaJA_Q2)</f>
        <v>0.31992097979447476</v>
      </c>
      <c r="AP125" s="345">
        <f>CHOOSE(Table16[[#This Row],[Mode Digit]],0,SQRT((Fsw*(Table16[[#This Row],[t1_Ph_II]]+0))*((Table16[[#This Row],[I_0]]*Table16[[#This Row],[I_1]]+((Table16[[#This Row],[I_0]]-Table16[[#This Row],[I_1]])^2)/3))),SQRT((Fsw*(Table16[[#This Row],[t2_Ph_I]]+0))*((Table16[[#This Row],[I_1]]*Table16[[#This Row],[I_2]]+((Table16[[#This Row],[I_1]]-Table16[[#This Row],[I_2]])^2)/3))))</f>
        <v>0</v>
      </c>
      <c r="AQ125" s="345">
        <f>Rdson4*Table16[[#This Row],[Irms BoCtlr]]^2</f>
        <v>0</v>
      </c>
      <c r="AR125" s="345">
        <f>CHOOSE(Table16[[#This Row],[Mode Digit]], 0, (Vout*Table16[[#This Row],[Iin]]/2)*(Fsw)*(Tr_boost+Tf_boost), (Vout*Iout/2)*(Fsw/1)*(Tr_boost+Tf_boost))</f>
        <v>0</v>
      </c>
      <c r="AS125" s="253">
        <f>IF(Table16[[#This Row],[Vin]]&gt;Vout, 0, IF(Table16[[#This Row],[Iin]]&gt;Table16[[#This Row],[Ripple Current pk-pk]]/2,0,ABS(Table16[[#This Row],[Iin]]-Table16[[#This Row],[Ripple Current pk-pk]]/2)*Vsd_Q4*Deadtime*Fsw))</f>
        <v>0</v>
      </c>
      <c r="AT125" s="345">
        <f>(Table16[[#This Row],[Dead Time Loss BoCtlr]]+Table16[[#This Row],[Transition Loss BoCtlr]]+Table16[[#This Row],[RDS(on) Loss BoCtlr]]*(1+RdsonTopTc*Ta-RdsonTopTc*25))/(1-Table16[[#This Row],[RDS(on) Loss BoCtlr]]*RdsonTopTc*ThetaJA_Q4)</f>
        <v>0</v>
      </c>
      <c r="AU125"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8.2575173737392511</v>
      </c>
      <c r="AV125" s="345">
        <f>Rdson3*Table16[[#This Row],[Irms BoSync]]^2</f>
        <v>0.23865307612161951</v>
      </c>
      <c r="AW125"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25" s="345">
        <f>(Table16[[#This Row],[Deadtime Loss BoSync]]+Table16[[#This Row],[RDS(on) Loss BoSync]]*(1+RdsonBotTc*Ta-RdsonBotTc*25))/(1-Table16[[#This Row],[RDS(on) Loss BoSync]]*RdsonBotTc*ThetaJA_Q3)</f>
        <v>0.25444109513340829</v>
      </c>
      <c r="AY125" s="345">
        <f>CHOOSE(Table16[[#This Row],[Mode Digit]], Rdson3*Table16[[#This Row],[Irms Lf]]^2, Rdson1*Table16[[#This Row],[Irms Lf]]^2, 0)</f>
        <v>0.23865307612161951</v>
      </c>
      <c r="AZ125" s="345">
        <f>CHOOSE(Table16[[#This Row],[Mode Digit]], 2*Deadtime*Fsw*IF(VfdSky_Q2&gt;0,VfdSky_Q2,0)*Table16[[#This Row],[Iout]], 2*Deadtime*Fsw*IF(VfdSky_Q3&gt;0,VfdSky_Q3,0)*Table16[[#This Row],[Iin]], 2*Deadtime*Fsw*IF(VfdSky_Q2&gt;0,VfdSky_Q2,0)*Table16[[#This Row],[Iout]]+2*Deadtime*Fsw*IF(VfdSky_Q3&gt;0,VfdSky_Q3,0)*Table16[[#This Row],[Iin]])</f>
        <v>0</v>
      </c>
      <c r="BA125" s="345">
        <f>CHOOSE(Table16[[#This Row],[Mode Digit]], IF(QrrSky_Q2&gt;0,QrrSky_Q2,Qrr_Q2)*Fsw*(Table16[[#This Row],[Vin]]-Table16[[#This Row],[Iout]]*Rdson1),0,  IF(QrrSky_Q2&gt;0,QrrSky_Q2,Qrr_Q2)*Fsw*(Table16[[#This Row],[Vin]]-Table16[[#This Row],[Iout]]*Rdson1)+IF(QrrSky_Q3&gt;0,QrrSky_Q3,Qrr_Q3)*Fsw*Vout)</f>
        <v>0.41859251999999997</v>
      </c>
      <c r="BB125" s="345">
        <f>CHOOSE(Table16[[#This Row],[Mode Digit]],0, IF(QrrSky_Q3&gt;0,QrrSky_Q3,Qrr_Q3)*Fsw*Vout,  IF(QrrSky_Q2&gt;0,QrrSky_Q2,Qrr_Q2)*Fsw*(Table16[[#This Row],[Vin]]-Table16[[#This Row],[Iout]]*Rdson1)+IF(QrrSky_Q3&gt;0,QrrSky_Q3,Qrr_Q3)*Fsw*Vout)</f>
        <v>0</v>
      </c>
      <c r="BC125" s="345">
        <f>CHOOSE(Table16[[#This Row],[Mode Digit]], Rs*Table16[[#This Row],[Irms BuSync]]^2, Rs*Table16[[#This Row],[Irms BoCtlr]]^2, Rs*(Table16[[#This Row],[Irms BuSync]]^2+Table16[[#This Row],[Irms BoCtlr]]^2))</f>
        <v>2.7816858513991655E-2</v>
      </c>
      <c r="BD125" s="345">
        <f t="shared" si="5"/>
        <v>0.64</v>
      </c>
      <c r="BE125" s="345">
        <f>IF(Vout&gt;8, Iq*Vout, Iq*Table16[[#This Row],[Vin]])</f>
        <v>4.8000000000000001E-2</v>
      </c>
      <c r="BF125" s="345">
        <f>CHOOSE(Table16[[#This Row],[Mode Digit]], (Qg_Q1+Qg_Q2)*Fsw, (Qg_Q3+Qg_Q4)*Fsw, (Qg_Q1+Qg_Q2+Qg_Q3+Qg_Q4)*Fsw)*IF(Vout&gt;8, Vout, Table16[[#This Row],[Vin]])</f>
        <v>0.85331200000000007</v>
      </c>
      <c r="BG125" s="345">
        <f t="shared" si="6"/>
        <v>0.50594479787234037</v>
      </c>
      <c r="BH125" s="345">
        <f>Table16[[#This Row],[IQ Loss]]+Table16[[#This Row],[Switching Current Loss]]</f>
        <v>0.90131200000000011</v>
      </c>
      <c r="BI125"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5.711252867199212</v>
      </c>
      <c r="BJ125" s="253">
        <f>Vout*Table16[[#This Row],[Iout]]</f>
        <v>128</v>
      </c>
      <c r="BK125" s="684">
        <f>Table16[[#This Row],[Pout]]/(Table16[[#This Row],[Pout]]+Table16[[#This Row],[Total Loss]])</f>
        <v>0.95728667000920575</v>
      </c>
      <c r="BL125"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58.68190992394419</v>
      </c>
      <c r="BM125" s="685">
        <f>IF(Table16[[#This Row],[Vin]]&gt;Vout, Table16[[#This Row],[Total Sync Bu MOSFET Loss]]*ThetaJA_Q2, ThetaJA_Q3*Table16[[#This Row],[Total Sync Bo MOSFET Loss]])</f>
        <v>20.794863686640859</v>
      </c>
      <c r="BN125" s="640"/>
      <c r="BO125" s="292">
        <f>Table16[[#This Row],[EFF, h]]*100</f>
        <v>95.728667000920581</v>
      </c>
      <c r="BP125" s="345">
        <f>Table16[[#This Row],[Total Inductor Loss]]</f>
        <v>2.2086319653644924</v>
      </c>
      <c r="BQ125" s="345">
        <f>Table16[[#This Row],[Total Control Bu MOSFET Loss]]+Table16[[#This Row],[Total Sync Bu MOSFET Loss]]+Table16[[#This Row],[Total Control Bo MOSFET Loss]]+Table16[[#This Row],[Total Sync Bo MOSFET Loss]]+Table16[[#This Row],[Reverse Recovery Loss MOSFET D BUCK]]+Table16[[#This Row],[Reverse Recovery Loss MOSFET D BOOST]]</f>
        <v>1.895753209142409</v>
      </c>
      <c r="BR125" s="345">
        <f>Table16[[#This Row],[Total Control Bu MOSFET Loss]]+Table16[[#This Row],[Reverse Recovery Loss MOSFET D BUCK]]*0.66</f>
        <v>1.179069677414526</v>
      </c>
      <c r="BS125" s="345">
        <f>Table16[[#This Row],[Total Sync Bu MOSFET Loss]]+Table16[[#This Row],[Reverse Recovery Loss MOSFET D BUCK]]*0.33</f>
        <v>0.45805651139447479</v>
      </c>
      <c r="BT125" s="345">
        <f xml:space="preserve"> Table16[[#This Row],[Total Control Bo MOSFET Loss]]+Table16[[#This Row],[Reverse Recovery Loss MOSFET D BOOST]]*0.66</f>
        <v>0</v>
      </c>
      <c r="BU125" s="345">
        <f xml:space="preserve"> Table16[[#This Row],[Total Sync Bo MOSFET Loss]]+Table16[[#This Row],[Reverse Recovery Loss MOSFET D BOOST]]*0.33</f>
        <v>0.25444109513340829</v>
      </c>
      <c r="BV125" s="345">
        <f>Table16[[#This Row],[Isense Shunt Loss]]</f>
        <v>2.7816858513991655E-2</v>
      </c>
    </row>
    <row r="126" spans="7:74" x14ac:dyDescent="0.2">
      <c r="G126" s="253">
        <v>117</v>
      </c>
      <c r="H126" s="286">
        <f>VIN_min+(VIN_max-VIN_min)*(Table16[[#This Row],[Step]]/200)</f>
        <v>23.549999999999997</v>
      </c>
      <c r="I126" s="292" t="str">
        <f>IF(Mode = 2,IF(Table16[[#This Row],[Vin]]&gt;Vout, "BUCK","BOOST"),IF(Table16[[#This Row],[Vin]]&gt;VIN_BB_to_buck, "BUCK", IF(Table16[[#This Row],[Vin]]&lt;=VIN_boost_to_BB,"BOOST","BUCK-BST")))</f>
        <v>BUCK</v>
      </c>
      <c r="J126" s="253">
        <f>IF(Table16[[#This Row],[Mode]]="BOOST",2, IF(Table16[[#This Row],[Mode]]="BUCK", 1,3))</f>
        <v>1</v>
      </c>
      <c r="K126" s="253">
        <f t="shared" si="4"/>
        <v>8</v>
      </c>
      <c r="L126" s="292">
        <f>Vout*Table16[[#This Row],[Iout]]/(Table16[[#This Row],[Vin]]*Efficiency)</f>
        <v>5.7213096435355917</v>
      </c>
      <c r="M126" s="682">
        <f>MIN(1/Fsw,CHOOSE(Table16[[#This Row],[Mode Digit]],(Vout+(Rdson2+Rs+Rdcr)*Table16[[#This Row],[Iout]])/(Table16[[#This Row],[Vin]]+(Rs+Rdson2-Rdson1)*Table16[[#This Row],[Iout]])/Fsw,(Vout+(Rdson3+Rdcr)*Table16[[#This Row],[Iin]]-Table16[[#This Row],[Vin]])/(Vout+(Rdson3-Rdson4-Rs)*Table16[[#This Row],[Iin]])/Fsw,t1_Ph_II))</f>
        <v>1.7131207044543443E-6</v>
      </c>
      <c r="N126" s="518">
        <f>CHOOSE(Table16[[#This Row],[Mode Digit]],1/Fsw-Table16[[#This Row],[t1_Ph_II]],1/Fsw-Table16[[#This Row],[t1_Ph_II]],(Vout/Fsw-Table16[[#This Row],[Vin]]*t1_Ph_II)/(Table16[[#This Row],[Vin]]+Vout))</f>
        <v>7.9944210961600756E-7</v>
      </c>
      <c r="O126" s="518">
        <f>1/Fsw-(Table16[[#This Row],[t1_Ph_II]]+Table16[[#This Row],[t2_Ph_I]])</f>
        <v>0</v>
      </c>
      <c r="P126"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4.4072051892693631</v>
      </c>
      <c r="Q126" s="292">
        <f>CHOOSE(Table16[[#This Row],[Mode Digit]],Table16[[#This Row],[I_0]]+1/Lf*(Table16[[#This Row],[Vin]]-Vout)*Table16[[#This Row],[t1_Ph_II]],Table16[[#This Row],[I_0]]+1/Lf*Table16[[#This Row],[Vin]]*Table16[[#This Row],[t1_Ph_II]],Table16[[#This Row],[I_0]]+(Table16[[#This Row],[Vin]]-Vout)/L*Table16[[#This Row],[t1_Ph_II]])</f>
        <v>11.592794810730638</v>
      </c>
      <c r="R126" s="292">
        <f>CHOOSE(Table16[[#This Row],[Mode Digit]],0,0,Table16[[#This Row],[I_1]]+Table16[[#This Row],[Vin]]/L*Table16[[#This Row],[t2_Ph_I]])</f>
        <v>0</v>
      </c>
      <c r="S126" s="292">
        <f>Fsw*(Table16[[#This Row],[I_0]]*Table16[[#This Row],[t1_Ph_II]]+Table16[[#This Row],[I_1]]*Table16[[#This Row],[t2_Ph_I]]+Table16[[#This Row],[I_2]]*Table16[[#This Row],[t3_Ph_III]])</f>
        <v>6.6935014337440881</v>
      </c>
      <c r="T126" s="345">
        <f>MIN(1,CHOOSE(Table16[[#This Row],[Mode Digit]],(Vout+(Rdson2+Rs+Rdcr)*Table16[[#This Row],[Iout]])/(Table16[[#This Row],[Vin]]+(Rs+Rdson2-Rdson1)*Table16[[#This Row],[Iout]]),1,Fsw*Table16[[#This Row],[t2_Ph_I]]+Table16[[#This Row],[t1_Ph_II]]))</f>
        <v>0.68182204037282901</v>
      </c>
      <c r="U126" s="345">
        <f>MIN(1,CHOOSE(Table16[[#This Row],[Mode Digit]],0,(Vout+(Rdson3+Rdcr)*Table16[[#This Row],[Iin]]-Table16[[#This Row],[Vin]])/(Vout+(Rdson3-Rdson4-Rs)*Table16[[#This Row],[Iin]]),Fsw*Table16[[#This Row],[t1_Ph_II]]+Table16[[#This Row],[t3_Ph_III]]))</f>
        <v>0</v>
      </c>
      <c r="V126" s="292">
        <f>MAX(Table16[[#This Row],[I_0]:[I_2]])-MIN(Table16[[#This Row],[I_0]:[I_1]])</f>
        <v>7.1855896214612747</v>
      </c>
      <c r="W126"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8.2645462580029765</v>
      </c>
      <c r="X126" s="345">
        <f>(Table16[[#This Row],[Irms Lf]]^2*Rdcr*(1+Ltc*Ta-Ltc*25))/(1-Table16[[#This Row],[Irms Lf]]^2*Rdcr*Ltc*ThetaCa)</f>
        <v>0.2224585173854865</v>
      </c>
      <c r="Y126" s="345">
        <f>ABS(7.759*10^-3*Fsw^0.9458*(0.00787*Table16[[#This Row],[Ripple Current pk-pk]])^2.304)</f>
        <v>2.0501721914710491</v>
      </c>
      <c r="Z126" s="345">
        <f>Table16[[#This Row],[DCR    Loss]]+Table16[[#This Row],[Core Loss]]</f>
        <v>2.2726307088565356</v>
      </c>
      <c r="AA126" s="292">
        <f>IF(Table16[[#This Row],[Vin]]&gt;Vout, Table16[[#This Row],[Ripple Current pk-pk]]/SQRT(12), SQRT(Table16[[#This Row],[Duty Cycle BOOST Leg]]/(1-Table16[[#This Row],[Duty Cycle BOOST Leg]]))*SQRT(Table16[[#This Row],[Iout]]^2+(Table16[[#This Row],[Ripple Current pk-pk]]^2)/12))</f>
        <v>2.0743010511184243</v>
      </c>
      <c r="AB126" s="345">
        <f>RCoutEsr*Table16[[#This Row],[Irms Cout]]^2</f>
        <v>8.6054497013419995E-3</v>
      </c>
      <c r="AC126" s="345">
        <f>Table16[[#This Row],[Cout ESR Loss]]</f>
        <v>8.6054497013419995E-3</v>
      </c>
      <c r="AD126" s="345">
        <f>IF(Table16[[#This Row],[Vin]]&gt;Vout, SQRT(Table16[[#This Row],[Duty Cycle BUCK Leg]]*(1-Table16[[#This Row],[Duty Cycle BUCK Leg]]))*SQRT(Table16[[#This Row],[Iout]]^2+(Table16[[#This Row],[Ripple Current pk-pk]]^2)/12), Table16[[#This Row],[Ripple Current pk-pk]]/SQRT(12))</f>
        <v>3.8493693065207033</v>
      </c>
      <c r="AE126" s="345">
        <f>RCinEsr*Table16[[#This Row],[Irms Cin]]^2</f>
        <v>2.963528811596736E-2</v>
      </c>
      <c r="AF126" s="683">
        <f>Table16[[#This Row],[Cin ESR Loss]]</f>
        <v>2.963528811596736E-2</v>
      </c>
      <c r="AG126"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6.8242437837982051</v>
      </c>
      <c r="AH126" s="345">
        <f>Rdson1*Table16[[#This Row],[Irms BuCtrl]]^2</f>
        <v>0.16299606127247956</v>
      </c>
      <c r="AI126" s="345">
        <f>CHOOSE(Table16[[#This Row],[Mode Digit]], (Table16[[#This Row],[Vin]]*Table16[[#This Row],[Iout]]/2)*(Fsw)*(Tr_buck+Tf_buck), 0, (Table16[[#This Row],[Vin]]*Table16[[#This Row],[Avg IL]]/2)*(Fsw/1)*(Tr_buck+Tf_buck))</f>
        <v>0.70508873294240959</v>
      </c>
      <c r="AJ126" s="253">
        <f>IF(Table16[[#This Row],[Vin]]&gt;Vout, IF(Table16[[#This Row],[Iout]]&gt;Table16[[#This Row],[Ripple Current pk-pk]]/2,0,ABS(Table16[[#This Row],[Iout]]-Table16[[#This Row],[Ripple Current pk-pk]]/2)*Vsd_Q1*Deadtime*Fsw),0)</f>
        <v>0</v>
      </c>
      <c r="AK126" s="345">
        <f>(Table16[[#This Row],[Dead Time Loss BuCtrl]]+Table16[[#This Row],[Transition Loss BuCtrl]]+Table16[[#This Row],[RDS(on) Loss BuCtrl]]*(1+RdsonTopTc*Ta-RdsonTopTc*25))/(1-Table16[[#This Row],[RDS(on) Loss BuCtrl]]*RdsonTopTc*ThetaJA_Q1)</f>
        <v>0.9065013950155294</v>
      </c>
      <c r="AL126" s="345">
        <f>CHOOSE(Table16[[#This Row],[Mode Digit]],SQRT((Fsw*(Table16[[#This Row],[t2_Ph_I]]+0))*((Table16[[#This Row],[I_0]]*Table16[[#This Row],[I_1]]+((Table16[[#This Row],[I_0]]-Table16[[#This Row],[I_1]])^2)/3))),0,SQRT((Fsw*(Table16[[#This Row],[t3_Ph_III]]+0))*((Table16[[#This Row],[I_0]]*Table16[[#This Row],[I_2]]+((Table16[[#This Row],[I_0]]-Table16[[#This Row],[I_2]])^2)/3))))</f>
        <v>4.6618045465208606</v>
      </c>
      <c r="AM126" s="345">
        <f>Rdson2*Table16[[#This Row],[Irms BuSync]]^2</f>
        <v>7.6063475704868988E-2</v>
      </c>
      <c r="AN126"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26" s="345">
        <f>(Table16[[#This Row],[Deadtime Loss BuSync]]+Table16[[#This Row],[RDS(on) Loss BuSync]]*(1+RdsonBotTc*Ta-RdsonBotTc*25))/(1-Table16[[#This Row],[RDS(on) Loss BuSync]]*RdsonBotTc*ThetaJA_Q2)</f>
        <v>0.32121600521512994</v>
      </c>
      <c r="AP126" s="345">
        <f>CHOOSE(Table16[[#This Row],[Mode Digit]],0,SQRT((Fsw*(Table16[[#This Row],[t1_Ph_II]]+0))*((Table16[[#This Row],[I_0]]*Table16[[#This Row],[I_1]]+((Table16[[#This Row],[I_0]]-Table16[[#This Row],[I_1]])^2)/3))),SQRT((Fsw*(Table16[[#This Row],[t2_Ph_I]]+0))*((Table16[[#This Row],[I_1]]*Table16[[#This Row],[I_2]]+((Table16[[#This Row],[I_1]]-Table16[[#This Row],[I_2]])^2)/3))))</f>
        <v>0</v>
      </c>
      <c r="AQ126" s="345">
        <f>Rdson4*Table16[[#This Row],[Irms BoCtlr]]^2</f>
        <v>0</v>
      </c>
      <c r="AR126" s="345">
        <f>CHOOSE(Table16[[#This Row],[Mode Digit]], 0, (Vout*Table16[[#This Row],[Iin]]/2)*(Fsw)*(Tr_boost+Tf_boost), (Vout*Iout/2)*(Fsw/1)*(Tr_boost+Tf_boost))</f>
        <v>0</v>
      </c>
      <c r="AS126" s="253">
        <f>IF(Table16[[#This Row],[Vin]]&gt;Vout, 0, IF(Table16[[#This Row],[Iin]]&gt;Table16[[#This Row],[Ripple Current pk-pk]]/2,0,ABS(Table16[[#This Row],[Iin]]-Table16[[#This Row],[Ripple Current pk-pk]]/2)*Vsd_Q4*Deadtime*Fsw))</f>
        <v>0</v>
      </c>
      <c r="AT126" s="345">
        <f>(Table16[[#This Row],[Dead Time Loss BoCtlr]]+Table16[[#This Row],[Transition Loss BoCtlr]]+Table16[[#This Row],[RDS(on) Loss BoCtlr]]*(1+RdsonTopTc*Ta-RdsonTopTc*25))/(1-Table16[[#This Row],[RDS(on) Loss BoCtlr]]*RdsonTopTc*ThetaJA_Q4)</f>
        <v>0</v>
      </c>
      <c r="AU126"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8.2645462580029765</v>
      </c>
      <c r="AV126" s="345">
        <f>Rdson3*Table16[[#This Row],[Irms BoSync]]^2</f>
        <v>0.2390595369773485</v>
      </c>
      <c r="AW126"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26" s="345">
        <f>(Table16[[#This Row],[Deadtime Loss BoSync]]+Table16[[#This Row],[RDS(on) Loss BoSync]]*(1+RdsonBotTc*Ta-RdsonBotTc*25))/(1-Table16[[#This Row],[RDS(on) Loss BoSync]]*RdsonBotTc*ThetaJA_Q3)</f>
        <v>0.25490316548310593</v>
      </c>
      <c r="AY126" s="345">
        <f>CHOOSE(Table16[[#This Row],[Mode Digit]], Rdson3*Table16[[#This Row],[Irms Lf]]^2, Rdson1*Table16[[#This Row],[Irms Lf]]^2, 0)</f>
        <v>0.2390595369773485</v>
      </c>
      <c r="AZ126" s="345">
        <f>CHOOSE(Table16[[#This Row],[Mode Digit]], 2*Deadtime*Fsw*IF(VfdSky_Q2&gt;0,VfdSky_Q2,0)*Table16[[#This Row],[Iout]], 2*Deadtime*Fsw*IF(VfdSky_Q3&gt;0,VfdSky_Q3,0)*Table16[[#This Row],[Iin]], 2*Deadtime*Fsw*IF(VfdSky_Q2&gt;0,VfdSky_Q2,0)*Table16[[#This Row],[Iout]]+2*Deadtime*Fsw*IF(VfdSky_Q3&gt;0,VfdSky_Q3,0)*Table16[[#This Row],[Iin]])</f>
        <v>0</v>
      </c>
      <c r="BA126" s="345">
        <f>CHOOSE(Table16[[#This Row],[Mode Digit]], IF(QrrSky_Q2&gt;0,QrrSky_Q2,Qrr_Q2)*Fsw*(Table16[[#This Row],[Vin]]-Table16[[#This Row],[Iout]]*Rdson1),0,  IF(QrrSky_Q2&gt;0,QrrSky_Q2,Qrr_Q2)*Fsw*(Table16[[#This Row],[Vin]]-Table16[[#This Row],[Iout]]*Rdson1)+IF(QrrSky_Q3&gt;0,QrrSky_Q3,Qrr_Q3)*Fsw*Vout)</f>
        <v>0.42127901999999995</v>
      </c>
      <c r="BB126" s="345">
        <f>CHOOSE(Table16[[#This Row],[Mode Digit]],0, IF(QrrSky_Q3&gt;0,QrrSky_Q3,Qrr_Q3)*Fsw*Vout,  IF(QrrSky_Q2&gt;0,QrrSky_Q2,Qrr_Q2)*Fsw*(Table16[[#This Row],[Vin]]-Table16[[#This Row],[Iout]]*Rdson1)+IF(QrrSky_Q3&gt;0,QrrSky_Q3,Qrr_Q3)*Fsw*Vout)</f>
        <v>0</v>
      </c>
      <c r="BC126" s="345">
        <f>CHOOSE(Table16[[#This Row],[Mode Digit]], Rs*Table16[[#This Row],[Irms BuSync]]^2, Rs*Table16[[#This Row],[Irms BoCtlr]]^2, Rs*(Table16[[#This Row],[Irms BuSync]]^2+Table16[[#This Row],[Irms BoCtlr]]^2))</f>
        <v>2.8252148118951336E-2</v>
      </c>
      <c r="BD126" s="345">
        <f t="shared" si="5"/>
        <v>0.64</v>
      </c>
      <c r="BE126" s="345">
        <f>IF(Vout&gt;8, Iq*Vout, Iq*Table16[[#This Row],[Vin]])</f>
        <v>4.8000000000000001E-2</v>
      </c>
      <c r="BF126" s="345">
        <f>CHOOSE(Table16[[#This Row],[Mode Digit]], (Qg_Q1+Qg_Q2)*Fsw, (Qg_Q3+Qg_Q4)*Fsw, (Qg_Q1+Qg_Q2+Qg_Q3+Qg_Q4)*Fsw)*IF(Vout&gt;8, Vout, Table16[[#This Row],[Vin]])</f>
        <v>0.85331200000000007</v>
      </c>
      <c r="BG126" s="345">
        <f t="shared" si="6"/>
        <v>0.50594479787234037</v>
      </c>
      <c r="BH126" s="345">
        <f>Table16[[#This Row],[IQ Loss]]+Table16[[#This Row],[Switching Current Loss]]</f>
        <v>0.90131200000000011</v>
      </c>
      <c r="BI126"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5.7843351805065604</v>
      </c>
      <c r="BJ126" s="253">
        <f>Vout*Table16[[#This Row],[Iout]]</f>
        <v>128</v>
      </c>
      <c r="BK126" s="684">
        <f>Table16[[#This Row],[Pout]]/(Table16[[#This Row],[Pout]]+Table16[[#This Row],[Total Loss]])</f>
        <v>0.95676373341690468</v>
      </c>
      <c r="BL126"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58.922590676009413</v>
      </c>
      <c r="BM126" s="685">
        <f>IF(Table16[[#This Row],[Vin]]&gt;Vout, Table16[[#This Row],[Total Sync Bu MOSFET Loss]]*ThetaJA_Q2, ThetaJA_Q3*Table16[[#This Row],[Total Sync Bo MOSFET Loss]])</f>
        <v>20.879040338983447</v>
      </c>
      <c r="BN126" s="640"/>
      <c r="BO126" s="292">
        <f>Table16[[#This Row],[EFF, h]]*100</f>
        <v>95.676373341690464</v>
      </c>
      <c r="BP126" s="345">
        <f>Table16[[#This Row],[Total Inductor Loss]]</f>
        <v>2.2726307088565356</v>
      </c>
      <c r="BQ126" s="345">
        <f>Table16[[#This Row],[Total Control Bu MOSFET Loss]]+Table16[[#This Row],[Total Sync Bu MOSFET Loss]]+Table16[[#This Row],[Total Control Bo MOSFET Loss]]+Table16[[#This Row],[Total Sync Bo MOSFET Loss]]+Table16[[#This Row],[Reverse Recovery Loss MOSFET D BUCK]]+Table16[[#This Row],[Reverse Recovery Loss MOSFET D BOOST]]</f>
        <v>1.9038995857137655</v>
      </c>
      <c r="BR126" s="345">
        <f>Table16[[#This Row],[Total Control Bu MOSFET Loss]]+Table16[[#This Row],[Reverse Recovery Loss MOSFET D BUCK]]*0.66</f>
        <v>1.1845455482155294</v>
      </c>
      <c r="BS126" s="345">
        <f>Table16[[#This Row],[Total Sync Bu MOSFET Loss]]+Table16[[#This Row],[Reverse Recovery Loss MOSFET D BUCK]]*0.33</f>
        <v>0.46023808181512993</v>
      </c>
      <c r="BT126" s="345">
        <f xml:space="preserve"> Table16[[#This Row],[Total Control Bo MOSFET Loss]]+Table16[[#This Row],[Reverse Recovery Loss MOSFET D BOOST]]*0.66</f>
        <v>0</v>
      </c>
      <c r="BU126" s="345">
        <f xml:space="preserve"> Table16[[#This Row],[Total Sync Bo MOSFET Loss]]+Table16[[#This Row],[Reverse Recovery Loss MOSFET D BOOST]]*0.33</f>
        <v>0.25490316548310593</v>
      </c>
      <c r="BV126" s="345">
        <f>Table16[[#This Row],[Isense Shunt Loss]]</f>
        <v>2.8252148118951336E-2</v>
      </c>
    </row>
    <row r="127" spans="7:74" x14ac:dyDescent="0.2">
      <c r="G127" s="253">
        <v>118</v>
      </c>
      <c r="H127" s="286">
        <f>VIN_min+(VIN_max-VIN_min)*(Table16[[#This Row],[Step]]/200)</f>
        <v>23.7</v>
      </c>
      <c r="I127" s="292" t="str">
        <f>IF(Mode = 2,IF(Table16[[#This Row],[Vin]]&gt;Vout, "BUCK","BOOST"),IF(Table16[[#This Row],[Vin]]&gt;VIN_BB_to_buck, "BUCK", IF(Table16[[#This Row],[Vin]]&lt;=VIN_boost_to_BB,"BOOST","BUCK-BST")))</f>
        <v>BUCK</v>
      </c>
      <c r="J127" s="253">
        <f>IF(Table16[[#This Row],[Mode]]="BOOST",2, IF(Table16[[#This Row],[Mode]]="BUCK", 1,3))</f>
        <v>1</v>
      </c>
      <c r="K127" s="253">
        <f t="shared" si="4"/>
        <v>8</v>
      </c>
      <c r="L127" s="292">
        <f>Vout*Table16[[#This Row],[Iout]]/(Table16[[#This Row],[Vin]]*Efficiency)</f>
        <v>5.6850988230068848</v>
      </c>
      <c r="M127" s="682">
        <f>MIN(1/Fsw,CHOOSE(Table16[[#This Row],[Mode Digit]],(Vout+(Rdson2+Rs+Rdcr)*Table16[[#This Row],[Iout]])/(Table16[[#This Row],[Vin]]+(Rs+Rdson2-Rdson1)*Table16[[#This Row],[Iout]])/Fsw,(Vout+(Rdson3+Rdcr)*Table16[[#This Row],[Iin]]-Table16[[#This Row],[Vin]])/(Vout+(Rdson3-Rdson4-Rs)*Table16[[#This Row],[Iin]])/Fsw,t1_Ph_II))</f>
        <v>1.7022829241693995E-6</v>
      </c>
      <c r="N127" s="518">
        <f>CHOOSE(Table16[[#This Row],[Mode Digit]],1/Fsw-Table16[[#This Row],[t1_Ph_II]],1/Fsw-Table16[[#This Row],[t1_Ph_II]],(Vout/Fsw-Table16[[#This Row],[Vin]]*t1_Ph_II)/(Table16[[#This Row],[Vin]]+Vout))</f>
        <v>8.1027988990095241E-7</v>
      </c>
      <c r="O127" s="518">
        <f>1/Fsw-(Table16[[#This Row],[t1_Ph_II]]+Table16[[#This Row],[t2_Ph_I]])</f>
        <v>0</v>
      </c>
      <c r="P127"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4.3590059677487849</v>
      </c>
      <c r="Q127" s="292">
        <f>CHOOSE(Table16[[#This Row],[Mode Digit]],Table16[[#This Row],[I_0]]+1/Lf*(Table16[[#This Row],[Vin]]-Vout)*Table16[[#This Row],[t1_Ph_II]],Table16[[#This Row],[I_0]]+1/Lf*Table16[[#This Row],[Vin]]*Table16[[#This Row],[t1_Ph_II]],Table16[[#This Row],[I_0]]+(Table16[[#This Row],[Vin]]-Vout)/L*Table16[[#This Row],[t1_Ph_II]])</f>
        <v>11.640994032251214</v>
      </c>
      <c r="R127" s="292">
        <f>CHOOSE(Table16[[#This Row],[Mode Digit]],0,0,Table16[[#This Row],[I_1]]+Table16[[#This Row],[Vin]]/L*Table16[[#This Row],[t2_Ph_I]])</f>
        <v>0</v>
      </c>
      <c r="S127" s="292">
        <f>Fsw*(Table16[[#This Row],[I_0]]*Table16[[#This Row],[t1_Ph_II]]+Table16[[#This Row],[I_1]]*Table16[[#This Row],[t2_Ph_I]]+Table16[[#This Row],[I_2]]*Table16[[#This Row],[t3_Ph_III]])</f>
        <v>6.7073844656404864</v>
      </c>
      <c r="T127" s="345">
        <f>MIN(1,CHOOSE(Table16[[#This Row],[Mode Digit]],(Vout+(Rdson2+Rs+Rdcr)*Table16[[#This Row],[Iout]])/(Table16[[#This Row],[Vin]]+(Rs+Rdson2-Rdson1)*Table16[[#This Row],[Iout]]),1,Fsw*Table16[[#This Row],[t2_Ph_I]]+Table16[[#This Row],[t1_Ph_II]]))</f>
        <v>0.67750860381942102</v>
      </c>
      <c r="U127" s="345">
        <f>MIN(1,CHOOSE(Table16[[#This Row],[Mode Digit]],0,(Vout+(Rdson3+Rdcr)*Table16[[#This Row],[Iin]]-Table16[[#This Row],[Vin]])/(Vout+(Rdson3-Rdson4-Rs)*Table16[[#This Row],[Iin]]),Fsw*Table16[[#This Row],[t1_Ph_II]]+Table16[[#This Row],[t3_Ph_III]]))</f>
        <v>0</v>
      </c>
      <c r="V127" s="292">
        <f>MAX(Table16[[#This Row],[I_0]:[I_2]])-MIN(Table16[[#This Row],[I_0]:[I_1]])</f>
        <v>7.2819880645024293</v>
      </c>
      <c r="W127"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8.2715745688248283</v>
      </c>
      <c r="X127" s="345">
        <f>(Table16[[#This Row],[Irms Lf]]^2*Rdcr*(1+Ltc*Ta-Ltc*25))/(1-Table16[[#This Row],[Irms Lf]]^2*Rdcr*Ltc*ThetaCa)</f>
        <v>0.22284379146133612</v>
      </c>
      <c r="Y127" s="345">
        <f>ABS(7.759*10^-3*Fsw^0.9458*(0.00787*Table16[[#This Row],[Ripple Current pk-pk]])^2.304)</f>
        <v>2.1140967521316645</v>
      </c>
      <c r="Z127" s="345">
        <f>Table16[[#This Row],[DCR    Loss]]+Table16[[#This Row],[Core Loss]]</f>
        <v>2.3369405435930006</v>
      </c>
      <c r="AA127" s="292">
        <f>IF(Table16[[#This Row],[Vin]]&gt;Vout, Table16[[#This Row],[Ripple Current pk-pk]]/SQRT(12), SQRT(Table16[[#This Row],[Duty Cycle BOOST Leg]]/(1-Table16[[#This Row],[Duty Cycle BOOST Leg]]))*SQRT(Table16[[#This Row],[Iout]]^2+(Table16[[#This Row],[Ripple Current pk-pk]]^2)/12))</f>
        <v>2.1021288846380597</v>
      </c>
      <c r="AB127" s="345">
        <f>RCoutEsr*Table16[[#This Row],[Irms Cout]]^2</f>
        <v>8.8378916952593055E-3</v>
      </c>
      <c r="AC127" s="345">
        <f>Table16[[#This Row],[Cout ESR Loss]]</f>
        <v>8.8378916952593055E-3</v>
      </c>
      <c r="AD127" s="345">
        <f>IF(Table16[[#This Row],[Vin]]&gt;Vout, SQRT(Table16[[#This Row],[Duty Cycle BUCK Leg]]*(1-Table16[[#This Row],[Duty Cycle BUCK Leg]]))*SQRT(Table16[[#This Row],[Iout]]^2+(Table16[[#This Row],[Ripple Current pk-pk]]^2)/12), Table16[[#This Row],[Ripple Current pk-pk]]/SQRT(12))</f>
        <v>3.8663811333623368</v>
      </c>
      <c r="AE127" s="345">
        <f>RCinEsr*Table16[[#This Row],[Irms Cin]]^2</f>
        <v>2.9897806136840455E-2</v>
      </c>
      <c r="AF127" s="683">
        <f>Table16[[#This Row],[Cin ESR Loss]]</f>
        <v>2.9897806136840455E-2</v>
      </c>
      <c r="AG127"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6.8084083658388277</v>
      </c>
      <c r="AH127" s="345">
        <f>Rdson1*Table16[[#This Row],[Irms BuCtrl]]^2</f>
        <v>0.16224048566608448</v>
      </c>
      <c r="AI127" s="345">
        <f>CHOOSE(Table16[[#This Row],[Mode Digit]], (Table16[[#This Row],[Vin]]*Table16[[#This Row],[Iout]]/2)*(Fsw)*(Tr_buck+Tf_buck), 0, (Table16[[#This Row],[Vin]]*Table16[[#This Row],[Avg IL]]/2)*(Fsw/1)*(Tr_buck+Tf_buck))</f>
        <v>0.70957974398025947</v>
      </c>
      <c r="AJ127" s="253">
        <f>IF(Table16[[#This Row],[Vin]]&gt;Vout, IF(Table16[[#This Row],[Iout]]&gt;Table16[[#This Row],[Ripple Current pk-pk]]/2,0,ABS(Table16[[#This Row],[Iout]]-Table16[[#This Row],[Ripple Current pk-pk]]/2)*Vsd_Q1*Deadtime*Fsw),0)</f>
        <v>0</v>
      </c>
      <c r="AK127" s="345">
        <f>(Table16[[#This Row],[Dead Time Loss BuCtrl]]+Table16[[#This Row],[Transition Loss BuCtrl]]+Table16[[#This Row],[RDS(on) Loss BuCtrl]]*(1+RdsonTopTc*Ta-RdsonTopTc*25))/(1-Table16[[#This Row],[RDS(on) Loss BuCtrl]]*RdsonTopTc*ThetaJA_Q1)</f>
        <v>0.91021541531721772</v>
      </c>
      <c r="AL127" s="345">
        <f>CHOOSE(Table16[[#This Row],[Mode Digit]],SQRT((Fsw*(Table16[[#This Row],[t2_Ph_I]]+0))*((Table16[[#This Row],[I_0]]*Table16[[#This Row],[I_1]]+((Table16[[#This Row],[I_0]]-Table16[[#This Row],[I_1]])^2)/3))),0,SQRT((Fsw*(Table16[[#This Row],[t3_Ph_III]]+0))*((Table16[[#This Row],[I_0]]*Table16[[#This Row],[I_2]]+((Table16[[#This Row],[I_0]]-Table16[[#This Row],[I_2]])^2)/3))))</f>
        <v>4.697288725595385</v>
      </c>
      <c r="AM127" s="345">
        <f>Rdson2*Table16[[#This Row],[Irms BuSync]]^2</f>
        <v>7.7225824800619305E-2</v>
      </c>
      <c r="AN127"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27" s="345">
        <f>(Table16[[#This Row],[Deadtime Loss BuSync]]+Table16[[#This Row],[RDS(on) Loss BuSync]]*(1+RdsonBotTc*Ta-RdsonBotTc*25))/(1-Table16[[#This Row],[RDS(on) Loss BuSync]]*RdsonBotTc*ThetaJA_Q2)</f>
        <v>0.32250123500751438</v>
      </c>
      <c r="AP127" s="345">
        <f>CHOOSE(Table16[[#This Row],[Mode Digit]],0,SQRT((Fsw*(Table16[[#This Row],[t1_Ph_II]]+0))*((Table16[[#This Row],[I_0]]*Table16[[#This Row],[I_1]]+((Table16[[#This Row],[I_0]]-Table16[[#This Row],[I_1]])^2)/3))),SQRT((Fsw*(Table16[[#This Row],[t2_Ph_I]]+0))*((Table16[[#This Row],[I_1]]*Table16[[#This Row],[I_2]]+((Table16[[#This Row],[I_1]]-Table16[[#This Row],[I_2]])^2)/3))))</f>
        <v>0</v>
      </c>
      <c r="AQ127" s="345">
        <f>Rdson4*Table16[[#This Row],[Irms BoCtlr]]^2</f>
        <v>0</v>
      </c>
      <c r="AR127" s="345">
        <f>CHOOSE(Table16[[#This Row],[Mode Digit]], 0, (Vout*Table16[[#This Row],[Iin]]/2)*(Fsw)*(Tr_boost+Tf_boost), (Vout*Iout/2)*(Fsw/1)*(Tr_boost+Tf_boost))</f>
        <v>0</v>
      </c>
      <c r="AS127" s="253">
        <f>IF(Table16[[#This Row],[Vin]]&gt;Vout, 0, IF(Table16[[#This Row],[Iin]]&gt;Table16[[#This Row],[Ripple Current pk-pk]]/2,0,ABS(Table16[[#This Row],[Iin]]-Table16[[#This Row],[Ripple Current pk-pk]]/2)*Vsd_Q4*Deadtime*Fsw))</f>
        <v>0</v>
      </c>
      <c r="AT127" s="345">
        <f>(Table16[[#This Row],[Dead Time Loss BoCtlr]]+Table16[[#This Row],[Transition Loss BoCtlr]]+Table16[[#This Row],[RDS(on) Loss BoCtlr]]*(1+RdsonTopTc*Ta-RdsonTopTc*25))/(1-Table16[[#This Row],[RDS(on) Loss BoCtlr]]*RdsonTopTc*ThetaJA_Q4)</f>
        <v>0</v>
      </c>
      <c r="AU127"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8.2715745688248283</v>
      </c>
      <c r="AV127" s="345">
        <f>Rdson3*Table16[[#This Row],[Irms BoSync]]^2</f>
        <v>0.23946631046670375</v>
      </c>
      <c r="AW127"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27" s="345">
        <f>(Table16[[#This Row],[Deadtime Loss BoSync]]+Table16[[#This Row],[RDS(on) Loss BoSync]]*(1+RdsonBotTc*Ta-RdsonBotTc*25))/(1-Table16[[#This Row],[RDS(on) Loss BoSync]]*RdsonBotTc*ThetaJA_Q3)</f>
        <v>0.25536569550661425</v>
      </c>
      <c r="AY127" s="345">
        <f>CHOOSE(Table16[[#This Row],[Mode Digit]], Rdson3*Table16[[#This Row],[Irms Lf]]^2, Rdson1*Table16[[#This Row],[Irms Lf]]^2, 0)</f>
        <v>0.23946631046670375</v>
      </c>
      <c r="AZ127" s="345">
        <f>CHOOSE(Table16[[#This Row],[Mode Digit]], 2*Deadtime*Fsw*IF(VfdSky_Q2&gt;0,VfdSky_Q2,0)*Table16[[#This Row],[Iout]], 2*Deadtime*Fsw*IF(VfdSky_Q3&gt;0,VfdSky_Q3,0)*Table16[[#This Row],[Iin]], 2*Deadtime*Fsw*IF(VfdSky_Q2&gt;0,VfdSky_Q2,0)*Table16[[#This Row],[Iout]]+2*Deadtime*Fsw*IF(VfdSky_Q3&gt;0,VfdSky_Q3,0)*Table16[[#This Row],[Iin]])</f>
        <v>0</v>
      </c>
      <c r="BA127" s="345">
        <f>CHOOSE(Table16[[#This Row],[Mode Digit]], IF(QrrSky_Q2&gt;0,QrrSky_Q2,Qrr_Q2)*Fsw*(Table16[[#This Row],[Vin]]-Table16[[#This Row],[Iout]]*Rdson1),0,  IF(QrrSky_Q2&gt;0,QrrSky_Q2,Qrr_Q2)*Fsw*(Table16[[#This Row],[Vin]]-Table16[[#This Row],[Iout]]*Rdson1)+IF(QrrSky_Q3&gt;0,QrrSky_Q3,Qrr_Q3)*Fsw*Vout)</f>
        <v>0.42396551999999998</v>
      </c>
      <c r="BB127" s="345">
        <f>CHOOSE(Table16[[#This Row],[Mode Digit]],0, IF(QrrSky_Q3&gt;0,QrrSky_Q3,Qrr_Q3)*Fsw*Vout,  IF(QrrSky_Q2&gt;0,QrrSky_Q2,Qrr_Q2)*Fsw*(Table16[[#This Row],[Vin]]-Table16[[#This Row],[Iout]]*Rdson1)+IF(QrrSky_Q3&gt;0,QrrSky_Q3,Qrr_Q3)*Fsw*Vout)</f>
        <v>0</v>
      </c>
      <c r="BC127" s="345">
        <f>CHOOSE(Table16[[#This Row],[Mode Digit]], Rs*Table16[[#This Row],[Irms BuSync]]^2, Rs*Table16[[#This Row],[Irms BoCtlr]]^2, Rs*(Table16[[#This Row],[Irms BuSync]]^2+Table16[[#This Row],[Irms BoCtlr]]^2))</f>
        <v>2.8683877783087168E-2</v>
      </c>
      <c r="BD127" s="345">
        <f t="shared" si="5"/>
        <v>0.64</v>
      </c>
      <c r="BE127" s="345">
        <f>IF(Vout&gt;8, Iq*Vout, Iq*Table16[[#This Row],[Vin]])</f>
        <v>4.8000000000000001E-2</v>
      </c>
      <c r="BF127" s="345">
        <f>CHOOSE(Table16[[#This Row],[Mode Digit]], (Qg_Q1+Qg_Q2)*Fsw, (Qg_Q3+Qg_Q4)*Fsw, (Qg_Q1+Qg_Q2+Qg_Q3+Qg_Q4)*Fsw)*IF(Vout&gt;8, Vout, Table16[[#This Row],[Vin]])</f>
        <v>0.85331200000000007</v>
      </c>
      <c r="BG127" s="345">
        <f t="shared" si="6"/>
        <v>0.50594479787234037</v>
      </c>
      <c r="BH127" s="345">
        <f>Table16[[#This Row],[IQ Loss]]+Table16[[#This Row],[Switching Current Loss]]</f>
        <v>0.90131200000000011</v>
      </c>
      <c r="BI127"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5.857719985039533</v>
      </c>
      <c r="BJ127" s="253">
        <f>Vout*Table16[[#This Row],[Iout]]</f>
        <v>128</v>
      </c>
      <c r="BK127" s="684">
        <f>Table16[[#This Row],[Pout]]/(Table16[[#This Row],[Pout]]+Table16[[#This Row],[Total Loss]])</f>
        <v>0.95623920693035702</v>
      </c>
      <c r="BL127"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59.164001995619152</v>
      </c>
      <c r="BM127" s="685">
        <f>IF(Table16[[#This Row],[Vin]]&gt;Vout, Table16[[#This Row],[Total Sync Bu MOSFET Loss]]*ThetaJA_Q2, ThetaJA_Q3*Table16[[#This Row],[Total Sync Bo MOSFET Loss]])</f>
        <v>20.962580275488435</v>
      </c>
      <c r="BN127" s="640"/>
      <c r="BO127" s="292">
        <f>Table16[[#This Row],[EFF, h]]*100</f>
        <v>95.6239206930357</v>
      </c>
      <c r="BP127" s="345">
        <f>Table16[[#This Row],[Total Inductor Loss]]</f>
        <v>2.3369405435930006</v>
      </c>
      <c r="BQ127" s="345">
        <f>Table16[[#This Row],[Total Control Bu MOSFET Loss]]+Table16[[#This Row],[Total Sync Bu MOSFET Loss]]+Table16[[#This Row],[Total Control Bo MOSFET Loss]]+Table16[[#This Row],[Total Sync Bo MOSFET Loss]]+Table16[[#This Row],[Reverse Recovery Loss MOSFET D BUCK]]+Table16[[#This Row],[Reverse Recovery Loss MOSFET D BOOST]]</f>
        <v>1.9120478658313464</v>
      </c>
      <c r="BR127" s="345">
        <f>Table16[[#This Row],[Total Control Bu MOSFET Loss]]+Table16[[#This Row],[Reverse Recovery Loss MOSFET D BUCK]]*0.66</f>
        <v>1.1900326585172176</v>
      </c>
      <c r="BS127" s="345">
        <f>Table16[[#This Row],[Total Sync Bu MOSFET Loss]]+Table16[[#This Row],[Reverse Recovery Loss MOSFET D BUCK]]*0.33</f>
        <v>0.46240985660751438</v>
      </c>
      <c r="BT127" s="345">
        <f xml:space="preserve"> Table16[[#This Row],[Total Control Bo MOSFET Loss]]+Table16[[#This Row],[Reverse Recovery Loss MOSFET D BOOST]]*0.66</f>
        <v>0</v>
      </c>
      <c r="BU127" s="345">
        <f xml:space="preserve"> Table16[[#This Row],[Total Sync Bo MOSFET Loss]]+Table16[[#This Row],[Reverse Recovery Loss MOSFET D BOOST]]*0.33</f>
        <v>0.25536569550661425</v>
      </c>
      <c r="BV127" s="345">
        <f>Table16[[#This Row],[Isense Shunt Loss]]</f>
        <v>2.8683877783087168E-2</v>
      </c>
    </row>
    <row r="128" spans="7:74" x14ac:dyDescent="0.2">
      <c r="G128" s="253">
        <v>119</v>
      </c>
      <c r="H128" s="286">
        <f>VIN_min+(VIN_max-VIN_min)*(Table16[[#This Row],[Step]]/200)</f>
        <v>23.849999999999998</v>
      </c>
      <c r="I128" s="292" t="str">
        <f>IF(Mode = 2,IF(Table16[[#This Row],[Vin]]&gt;Vout, "BUCK","BOOST"),IF(Table16[[#This Row],[Vin]]&gt;VIN_BB_to_buck, "BUCK", IF(Table16[[#This Row],[Vin]]&lt;=VIN_boost_to_BB,"BOOST","BUCK-BST")))</f>
        <v>BUCK</v>
      </c>
      <c r="J128" s="253">
        <f>IF(Table16[[#This Row],[Mode]]="BOOST",2, IF(Table16[[#This Row],[Mode]]="BUCK", 1,3))</f>
        <v>1</v>
      </c>
      <c r="K128" s="253">
        <f t="shared" si="4"/>
        <v>8</v>
      </c>
      <c r="L128" s="292">
        <f>Vout*Table16[[#This Row],[Iout]]/(Table16[[#This Row],[Vin]]*Efficiency)</f>
        <v>5.6493434844974084</v>
      </c>
      <c r="M128" s="682">
        <f>MIN(1/Fsw,CHOOSE(Table16[[#This Row],[Mode Digit]],(Vout+(Rdson2+Rs+Rdcr)*Table16[[#This Row],[Iout]])/(Table16[[#This Row],[Vin]]+(Rs+Rdson2-Rdson1)*Table16[[#This Row],[Iout]])/Fsw,(Vout+(Rdson3+Rdcr)*Table16[[#This Row],[Iin]]-Table16[[#This Row],[Vin]])/(Vout+(Rdson3-Rdson4-Rs)*Table16[[#This Row],[Iin]])/Fsw,t1_Ph_II))</f>
        <v>1.6915814087452907E-6</v>
      </c>
      <c r="N128" s="518">
        <f>CHOOSE(Table16[[#This Row],[Mode Digit]],1/Fsw-Table16[[#This Row],[t1_Ph_II]],1/Fsw-Table16[[#This Row],[t1_Ph_II]],(Vout/Fsw-Table16[[#This Row],[Vin]]*t1_Ph_II)/(Table16[[#This Row],[Vin]]+Vout))</f>
        <v>8.2098140532506123E-7</v>
      </c>
      <c r="O128" s="518">
        <f>1/Fsw-(Table16[[#This Row],[t1_Ph_II]]+Table16[[#This Row],[t2_Ph_I]])</f>
        <v>0</v>
      </c>
      <c r="P128"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4.3114127614859648</v>
      </c>
      <c r="Q128" s="292">
        <f>CHOOSE(Table16[[#This Row],[Mode Digit]],Table16[[#This Row],[I_0]]+1/Lf*(Table16[[#This Row],[Vin]]-Vout)*Table16[[#This Row],[t1_Ph_II]],Table16[[#This Row],[I_0]]+1/Lf*Table16[[#This Row],[Vin]]*Table16[[#This Row],[t1_Ph_II]],Table16[[#This Row],[I_0]]+(Table16[[#This Row],[Vin]]-Vout)/L*Table16[[#This Row],[t1_Ph_II]])</f>
        <v>11.688587238514035</v>
      </c>
      <c r="R128" s="292">
        <f>CHOOSE(Table16[[#This Row],[Mode Digit]],0,0,Table16[[#This Row],[I_1]]+Table16[[#This Row],[Vin]]/L*Table16[[#This Row],[t2_Ph_I]])</f>
        <v>0</v>
      </c>
      <c r="S128" s="292">
        <f>Fsw*(Table16[[#This Row],[I_0]]*Table16[[#This Row],[t1_Ph_II]]+Table16[[#This Row],[I_1]]*Table16[[#This Row],[t2_Ph_I]]+Table16[[#This Row],[I_2]]*Table16[[#This Row],[t3_Ph_III]])</f>
        <v>6.7219089431384793</v>
      </c>
      <c r="T128" s="345">
        <f>MIN(1,CHOOSE(Table16[[#This Row],[Mode Digit]],(Vout+(Rdson2+Rs+Rdcr)*Table16[[#This Row],[Iout]])/(Table16[[#This Row],[Vin]]+(Rs+Rdson2-Rdson1)*Table16[[#This Row],[Iout]]),1,Fsw*Table16[[#This Row],[t2_Ph_I]]+Table16[[#This Row],[t1_Ph_II]]))</f>
        <v>0.67324940068062566</v>
      </c>
      <c r="U128" s="345">
        <f>MIN(1,CHOOSE(Table16[[#This Row],[Mode Digit]],0,(Vout+(Rdson3+Rdcr)*Table16[[#This Row],[Iin]]-Table16[[#This Row],[Vin]])/(Vout+(Rdson3-Rdson4-Rs)*Table16[[#This Row],[Iin]]),Fsw*Table16[[#This Row],[t1_Ph_II]]+Table16[[#This Row],[t3_Ph_III]]))</f>
        <v>0</v>
      </c>
      <c r="V128" s="292">
        <f>MAX(Table16[[#This Row],[I_0]:[I_2]])-MIN(Table16[[#This Row],[I_0]:[I_1]])</f>
        <v>7.3771744770280705</v>
      </c>
      <c r="W128"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8.2786004416231407</v>
      </c>
      <c r="X128" s="345">
        <f>(Table16[[#This Row],[Irms Lf]]^2*Rdcr*(1+Ltc*Ta-Ltc*25))/(1-Table16[[#This Row],[Irms Lf]]^2*Rdcr*Ltc*ThetaCa)</f>
        <v>0.22322928257774546</v>
      </c>
      <c r="Y128" s="345">
        <f>ABS(7.759*10^-3*Fsw^0.9458*(0.00787*Table16[[#This Row],[Ripple Current pk-pk]])^2.304)</f>
        <v>2.178309731241507</v>
      </c>
      <c r="Z128" s="345">
        <f>Table16[[#This Row],[DCR    Loss]]+Table16[[#This Row],[Core Loss]]</f>
        <v>2.4015390138192525</v>
      </c>
      <c r="AA128" s="292">
        <f>IF(Table16[[#This Row],[Vin]]&gt;Vout, Table16[[#This Row],[Ripple Current pk-pk]]/SQRT(12), SQRT(Table16[[#This Row],[Duty Cycle BOOST Leg]]/(1-Table16[[#This Row],[Duty Cycle BOOST Leg]]))*SQRT(Table16[[#This Row],[Iout]]^2+(Table16[[#This Row],[Ripple Current pk-pk]]^2)/12))</f>
        <v>2.1296068350854966</v>
      </c>
      <c r="AB128" s="345">
        <f>RCoutEsr*Table16[[#This Row],[Irms Cout]]^2</f>
        <v>9.0704505440857321E-3</v>
      </c>
      <c r="AC128" s="345">
        <f>Table16[[#This Row],[Cout ESR Loss]]</f>
        <v>9.0704505440857321E-3</v>
      </c>
      <c r="AD128" s="345">
        <f>IF(Table16[[#This Row],[Vin]]&gt;Vout, SQRT(Table16[[#This Row],[Duty Cycle BUCK Leg]]*(1-Table16[[#This Row],[Duty Cycle BUCK Leg]]))*SQRT(Table16[[#This Row],[Iout]]^2+(Table16[[#This Row],[Ripple Current pk-pk]]^2)/12), Table16[[#This Row],[Ripple Current pk-pk]]/SQRT(12))</f>
        <v>3.8828722890009817</v>
      </c>
      <c r="AE128" s="345">
        <f>RCinEsr*Table16[[#This Row],[Irms Cin]]^2</f>
        <v>3.0153394425383447E-2</v>
      </c>
      <c r="AF128" s="683">
        <f>Table16[[#This Row],[Cin ESR Loss]]</f>
        <v>3.0153394425383447E-2</v>
      </c>
      <c r="AG128"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6.7927387215993029</v>
      </c>
      <c r="AH128" s="345">
        <f>Rdson1*Table16[[#This Row],[Irms BuCtrl]]^2</f>
        <v>0.16149454768970087</v>
      </c>
      <c r="AI128" s="345">
        <f>CHOOSE(Table16[[#This Row],[Mode Digit]], (Table16[[#This Row],[Vin]]*Table16[[#This Row],[Iout]]/2)*(Fsw)*(Tr_buck+Tf_buck), 0, (Table16[[#This Row],[Vin]]*Table16[[#This Row],[Avg IL]]/2)*(Fsw/1)*(Tr_buck+Tf_buck))</f>
        <v>0.71407075501810913</v>
      </c>
      <c r="AJ128" s="253">
        <f>IF(Table16[[#This Row],[Vin]]&gt;Vout, IF(Table16[[#This Row],[Iout]]&gt;Table16[[#This Row],[Ripple Current pk-pk]]/2,0,ABS(Table16[[#This Row],[Iout]]-Table16[[#This Row],[Ripple Current pk-pk]]/2)*Vsd_Q1*Deadtime*Fsw),0)</f>
        <v>0</v>
      </c>
      <c r="AK128" s="345">
        <f>(Table16[[#This Row],[Dead Time Loss BuCtrl]]+Table16[[#This Row],[Transition Loss BuCtrl]]+Table16[[#This Row],[RDS(on) Loss BuCtrl]]*(1+RdsonTopTc*Ta-RdsonTopTc*25))/(1-Table16[[#This Row],[RDS(on) Loss BuCtrl]]*RdsonTopTc*ThetaJA_Q1)</f>
        <v>0.91394036294540981</v>
      </c>
      <c r="AL128" s="345">
        <f>CHOOSE(Table16[[#This Row],[Mode Digit]],SQRT((Fsw*(Table16[[#This Row],[t2_Ph_I]]+0))*((Table16[[#This Row],[I_0]]*Table16[[#This Row],[I_1]]+((Table16[[#This Row],[I_0]]-Table16[[#This Row],[I_1]])^2)/3))),0,SQRT((Fsw*(Table16[[#This Row],[t3_Ph_III]]+0))*((Table16[[#This Row],[I_0]]*Table16[[#This Row],[I_2]]+((Table16[[#This Row],[I_0]]-Table16[[#This Row],[I_2]])^2)/3))))</f>
        <v>4.7322220924348359</v>
      </c>
      <c r="AM128" s="345">
        <f>Rdson2*Table16[[#This Row],[Irms BuSync]]^2</f>
        <v>7.8378740762449176E-2</v>
      </c>
      <c r="AN128"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28" s="345">
        <f>(Table16[[#This Row],[Deadtime Loss BuSync]]+Table16[[#This Row],[RDS(on) Loss BuSync]]*(1+RdsonBotTc*Ta-RdsonBotTc*25))/(1-Table16[[#This Row],[RDS(on) Loss BuSync]]*RdsonBotTc*ThetaJA_Q2)</f>
        <v>0.32377681777134681</v>
      </c>
      <c r="AP128" s="345">
        <f>CHOOSE(Table16[[#This Row],[Mode Digit]],0,SQRT((Fsw*(Table16[[#This Row],[t1_Ph_II]]+0))*((Table16[[#This Row],[I_0]]*Table16[[#This Row],[I_1]]+((Table16[[#This Row],[I_0]]-Table16[[#This Row],[I_1]])^2)/3))),SQRT((Fsw*(Table16[[#This Row],[t2_Ph_I]]+0))*((Table16[[#This Row],[I_1]]*Table16[[#This Row],[I_2]]+((Table16[[#This Row],[I_1]]-Table16[[#This Row],[I_2]])^2)/3))))</f>
        <v>0</v>
      </c>
      <c r="AQ128" s="345">
        <f>Rdson4*Table16[[#This Row],[Irms BoCtlr]]^2</f>
        <v>0</v>
      </c>
      <c r="AR128" s="345">
        <f>CHOOSE(Table16[[#This Row],[Mode Digit]], 0, (Vout*Table16[[#This Row],[Iin]]/2)*(Fsw)*(Tr_boost+Tf_boost), (Vout*Iout/2)*(Fsw/1)*(Tr_boost+Tf_boost))</f>
        <v>0</v>
      </c>
      <c r="AS128" s="253">
        <f>IF(Table16[[#This Row],[Vin]]&gt;Vout, 0, IF(Table16[[#This Row],[Iin]]&gt;Table16[[#This Row],[Ripple Current pk-pk]]/2,0,ABS(Table16[[#This Row],[Iin]]-Table16[[#This Row],[Ripple Current pk-pk]]/2)*Vsd_Q4*Deadtime*Fsw))</f>
        <v>0</v>
      </c>
      <c r="AT128" s="345">
        <f>(Table16[[#This Row],[Dead Time Loss BoCtlr]]+Table16[[#This Row],[Transition Loss BoCtlr]]+Table16[[#This Row],[RDS(on) Loss BoCtlr]]*(1+RdsonTopTc*Ta-RdsonTopTc*25))/(1-Table16[[#This Row],[RDS(on) Loss BoCtlr]]*RdsonTopTc*ThetaJA_Q4)</f>
        <v>0</v>
      </c>
      <c r="AU128"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8.2786004416231407</v>
      </c>
      <c r="AV128" s="345">
        <f>Rdson3*Table16[[#This Row],[Irms BoSync]]^2</f>
        <v>0.23987328845215003</v>
      </c>
      <c r="AW128"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28" s="345">
        <f>(Table16[[#This Row],[Deadtime Loss BoSync]]+Table16[[#This Row],[RDS(on) Loss BoSync]]*(1+RdsonBotTc*Ta-RdsonBotTc*25))/(1-Table16[[#This Row],[RDS(on) Loss BoSync]]*RdsonBotTc*ThetaJA_Q3)</f>
        <v>0.25582856247817271</v>
      </c>
      <c r="AY128" s="345">
        <f>CHOOSE(Table16[[#This Row],[Mode Digit]], Rdson3*Table16[[#This Row],[Irms Lf]]^2, Rdson1*Table16[[#This Row],[Irms Lf]]^2, 0)</f>
        <v>0.23987328845215003</v>
      </c>
      <c r="AZ128" s="345">
        <f>CHOOSE(Table16[[#This Row],[Mode Digit]], 2*Deadtime*Fsw*IF(VfdSky_Q2&gt;0,VfdSky_Q2,0)*Table16[[#This Row],[Iout]], 2*Deadtime*Fsw*IF(VfdSky_Q3&gt;0,VfdSky_Q3,0)*Table16[[#This Row],[Iin]], 2*Deadtime*Fsw*IF(VfdSky_Q2&gt;0,VfdSky_Q2,0)*Table16[[#This Row],[Iout]]+2*Deadtime*Fsw*IF(VfdSky_Q3&gt;0,VfdSky_Q3,0)*Table16[[#This Row],[Iin]])</f>
        <v>0</v>
      </c>
      <c r="BA128" s="345">
        <f>CHOOSE(Table16[[#This Row],[Mode Digit]], IF(QrrSky_Q2&gt;0,QrrSky_Q2,Qrr_Q2)*Fsw*(Table16[[#This Row],[Vin]]-Table16[[#This Row],[Iout]]*Rdson1),0,  IF(QrrSky_Q2&gt;0,QrrSky_Q2,Qrr_Q2)*Fsw*(Table16[[#This Row],[Vin]]-Table16[[#This Row],[Iout]]*Rdson1)+IF(QrrSky_Q3&gt;0,QrrSky_Q3,Qrr_Q3)*Fsw*Vout)</f>
        <v>0.42665201999999997</v>
      </c>
      <c r="BB128" s="345">
        <f>CHOOSE(Table16[[#This Row],[Mode Digit]],0, IF(QrrSky_Q3&gt;0,QrrSky_Q3,Qrr_Q3)*Fsw*Vout,  IF(QrrSky_Q2&gt;0,QrrSky_Q2,Qrr_Q2)*Fsw*(Table16[[#This Row],[Vin]]-Table16[[#This Row],[Iout]]*Rdson1)+IF(QrrSky_Q3&gt;0,QrrSky_Q3,Qrr_Q3)*Fsw*Vout)</f>
        <v>0</v>
      </c>
      <c r="BC128" s="345">
        <f>CHOOSE(Table16[[#This Row],[Mode Digit]], Rs*Table16[[#This Row],[Irms BuSync]]^2, Rs*Table16[[#This Row],[Irms BoCtlr]]^2, Rs*(Table16[[#This Row],[Irms BuSync]]^2+Table16[[#This Row],[Irms BoCtlr]]^2))</f>
        <v>2.9112103711766837E-2</v>
      </c>
      <c r="BD128" s="345">
        <f t="shared" si="5"/>
        <v>0.64</v>
      </c>
      <c r="BE128" s="345">
        <f>IF(Vout&gt;8, Iq*Vout, Iq*Table16[[#This Row],[Vin]])</f>
        <v>4.8000000000000001E-2</v>
      </c>
      <c r="BF128" s="345">
        <f>CHOOSE(Table16[[#This Row],[Mode Digit]], (Qg_Q1+Qg_Q2)*Fsw, (Qg_Q3+Qg_Q4)*Fsw, (Qg_Q1+Qg_Q2+Qg_Q3+Qg_Q4)*Fsw)*IF(Vout&gt;8, Vout, Table16[[#This Row],[Vin]])</f>
        <v>0.85331200000000007</v>
      </c>
      <c r="BG128" s="345">
        <f t="shared" si="6"/>
        <v>0.50594479787234037</v>
      </c>
      <c r="BH128" s="345">
        <f>Table16[[#This Row],[IQ Loss]]+Table16[[#This Row],[Switching Current Loss]]</f>
        <v>0.90131200000000011</v>
      </c>
      <c r="BI128"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5.9313847256954171</v>
      </c>
      <c r="BJ128" s="253">
        <f>Vout*Table16[[#This Row],[Iout]]</f>
        <v>128</v>
      </c>
      <c r="BK128" s="684">
        <f>Table16[[#This Row],[Pout]]/(Table16[[#This Row],[Pout]]+Table16[[#This Row],[Total Loss]])</f>
        <v>0.95571325766665172</v>
      </c>
      <c r="BL128"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59.406123591451639</v>
      </c>
      <c r="BM128" s="685">
        <f>IF(Table16[[#This Row],[Vin]]&gt;Vout, Table16[[#This Row],[Total Sync Bu MOSFET Loss]]*ThetaJA_Q2, ThetaJA_Q3*Table16[[#This Row],[Total Sync Bo MOSFET Loss]])</f>
        <v>21.045493155137542</v>
      </c>
      <c r="BN128" s="640"/>
      <c r="BO128" s="292">
        <f>Table16[[#This Row],[EFF, h]]*100</f>
        <v>95.571325766665169</v>
      </c>
      <c r="BP128" s="345">
        <f>Table16[[#This Row],[Total Inductor Loss]]</f>
        <v>2.4015390138192525</v>
      </c>
      <c r="BQ128" s="345">
        <f>Table16[[#This Row],[Total Control Bu MOSFET Loss]]+Table16[[#This Row],[Total Sync Bu MOSFET Loss]]+Table16[[#This Row],[Total Control Bo MOSFET Loss]]+Table16[[#This Row],[Total Sync Bo MOSFET Loss]]+Table16[[#This Row],[Reverse Recovery Loss MOSFET D BUCK]]+Table16[[#This Row],[Reverse Recovery Loss MOSFET D BOOST]]</f>
        <v>1.9201977631949292</v>
      </c>
      <c r="BR128" s="345">
        <f>Table16[[#This Row],[Total Control Bu MOSFET Loss]]+Table16[[#This Row],[Reverse Recovery Loss MOSFET D BUCK]]*0.66</f>
        <v>1.1955306961454097</v>
      </c>
      <c r="BS128" s="345">
        <f>Table16[[#This Row],[Total Sync Bu MOSFET Loss]]+Table16[[#This Row],[Reverse Recovery Loss MOSFET D BUCK]]*0.33</f>
        <v>0.46457198437134684</v>
      </c>
      <c r="BT128" s="345">
        <f xml:space="preserve"> Table16[[#This Row],[Total Control Bo MOSFET Loss]]+Table16[[#This Row],[Reverse Recovery Loss MOSFET D BOOST]]*0.66</f>
        <v>0</v>
      </c>
      <c r="BU128" s="345">
        <f xml:space="preserve"> Table16[[#This Row],[Total Sync Bo MOSFET Loss]]+Table16[[#This Row],[Reverse Recovery Loss MOSFET D BOOST]]*0.33</f>
        <v>0.25582856247817271</v>
      </c>
      <c r="BV128" s="345">
        <f>Table16[[#This Row],[Isense Shunt Loss]]</f>
        <v>2.9112103711766837E-2</v>
      </c>
    </row>
    <row r="129" spans="7:74" x14ac:dyDescent="0.2">
      <c r="G129" s="253">
        <v>120</v>
      </c>
      <c r="H129" s="286">
        <f>VIN_min+(VIN_max-VIN_min)*(Table16[[#This Row],[Step]]/200)</f>
        <v>24</v>
      </c>
      <c r="I129" s="292" t="str">
        <f>IF(Mode = 2,IF(Table16[[#This Row],[Vin]]&gt;Vout, "BUCK","BOOST"),IF(Table16[[#This Row],[Vin]]&gt;VIN_BB_to_buck, "BUCK", IF(Table16[[#This Row],[Vin]]&lt;=VIN_boost_to_BB,"BOOST","BUCK-BST")))</f>
        <v>BUCK</v>
      </c>
      <c r="J129" s="253">
        <f>IF(Table16[[#This Row],[Mode]]="BOOST",2, IF(Table16[[#This Row],[Mode]]="BUCK", 1,3))</f>
        <v>1</v>
      </c>
      <c r="K129" s="253">
        <f t="shared" si="4"/>
        <v>8</v>
      </c>
      <c r="L129" s="292">
        <f>Vout*Table16[[#This Row],[Iout]]/(Table16[[#This Row],[Vin]]*Efficiency)</f>
        <v>5.6140350877192988</v>
      </c>
      <c r="M129" s="682">
        <f>MIN(1/Fsw,CHOOSE(Table16[[#This Row],[Mode Digit]],(Vout+(Rdson2+Rs+Rdcr)*Table16[[#This Row],[Iout]])/(Table16[[#This Row],[Vin]]+(Rs+Rdson2-Rdson1)*Table16[[#This Row],[Iout]])/Fsw,(Vout+(Rdson3+Rdcr)*Table16[[#This Row],[Iin]]-Table16[[#This Row],[Vin]])/(Vout+(Rdson3-Rdson4-Rs)*Table16[[#This Row],[Iin]])/Fsw,t1_Ph_II))</f>
        <v>1.681013604322549E-6</v>
      </c>
      <c r="N129" s="518">
        <f>CHOOSE(Table16[[#This Row],[Mode Digit]],1/Fsw-Table16[[#This Row],[t1_Ph_II]],1/Fsw-Table16[[#This Row],[t1_Ph_II]],(Vout/Fsw-Table16[[#This Row],[Vin]]*t1_Ph_II)/(Table16[[#This Row],[Vin]]+Vout))</f>
        <v>8.3154920974780293E-7</v>
      </c>
      <c r="O129" s="518">
        <f>1/Fsw-(Table16[[#This Row],[t1_Ph_II]]+Table16[[#This Row],[t2_Ph_I]])</f>
        <v>0</v>
      </c>
      <c r="P129"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4.2644142126165576</v>
      </c>
      <c r="Q129" s="292">
        <f>CHOOSE(Table16[[#This Row],[Mode Digit]],Table16[[#This Row],[I_0]]+1/Lf*(Table16[[#This Row],[Vin]]-Vout)*Table16[[#This Row],[t1_Ph_II]],Table16[[#This Row],[I_0]]+1/Lf*Table16[[#This Row],[Vin]]*Table16[[#This Row],[t1_Ph_II]],Table16[[#This Row],[I_0]]+(Table16[[#This Row],[Vin]]-Vout)/L*Table16[[#This Row],[t1_Ph_II]])</f>
        <v>11.735585787383442</v>
      </c>
      <c r="R129" s="292">
        <f>CHOOSE(Table16[[#This Row],[Mode Digit]],0,0,Table16[[#This Row],[I_1]]+Table16[[#This Row],[Vin]]/L*Table16[[#This Row],[t2_Ph_I]])</f>
        <v>0</v>
      </c>
      <c r="S129" s="292">
        <f>Fsw*(Table16[[#This Row],[I_0]]*Table16[[#This Row],[t1_Ph_II]]+Table16[[#This Row],[I_1]]*Table16[[#This Row],[t2_Ph_I]]+Table16[[#This Row],[I_2]]*Table16[[#This Row],[t3_Ph_III]])</f>
        <v>6.7370476465338438</v>
      </c>
      <c r="T129" s="345">
        <f>MIN(1,CHOOSE(Table16[[#This Row],[Mode Digit]],(Vout+(Rdson2+Rs+Rdcr)*Table16[[#This Row],[Iout]])/(Table16[[#This Row],[Vin]]+(Rs+Rdson2-Rdson1)*Table16[[#This Row],[Iout]]),1,Fsw*Table16[[#This Row],[t2_Ph_I]]+Table16[[#This Row],[t1_Ph_II]]))</f>
        <v>0.66904341452037452</v>
      </c>
      <c r="U129" s="345">
        <f>MIN(1,CHOOSE(Table16[[#This Row],[Mode Digit]],0,(Vout+(Rdson3+Rdcr)*Table16[[#This Row],[Iin]]-Table16[[#This Row],[Vin]])/(Vout+(Rdson3-Rdson4-Rs)*Table16[[#This Row],[Iin]]),Fsw*Table16[[#This Row],[t1_Ph_II]]+Table16[[#This Row],[t3_Ph_III]]))</f>
        <v>0</v>
      </c>
      <c r="V129" s="292">
        <f>MAX(Table16[[#This Row],[I_0]:[I_2]])-MIN(Table16[[#This Row],[I_0]:[I_1]])</f>
        <v>7.4711715747668848</v>
      </c>
      <c r="W129"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8.2856221085062209</v>
      </c>
      <c r="X129" s="345">
        <f>(Table16[[#This Row],[Irms Lf]]^2*Rdcr*(1+Ltc*Ta-Ltc*25))/(1-Table16[[#This Row],[Irms Lf]]^2*Rdcr*Ltc*ThetaCa)</f>
        <v>0.22361489329941461</v>
      </c>
      <c r="Y129" s="345">
        <f>ABS(7.759*10^-3*Fsw^0.9458*(0.00787*Table16[[#This Row],[Ripple Current pk-pk]])^2.304)</f>
        <v>2.2427895958108484</v>
      </c>
      <c r="Z129" s="345">
        <f>Table16[[#This Row],[DCR    Loss]]+Table16[[#This Row],[Core Loss]]</f>
        <v>2.4664044891102628</v>
      </c>
      <c r="AA129" s="292">
        <f>IF(Table16[[#This Row],[Vin]]&gt;Vout, Table16[[#This Row],[Ripple Current pk-pk]]/SQRT(12), SQRT(Table16[[#This Row],[Duty Cycle BOOST Leg]]/(1-Table16[[#This Row],[Duty Cycle BOOST Leg]]))*SQRT(Table16[[#This Row],[Iout]]^2+(Table16[[#This Row],[Ripple Current pk-pk]]^2)/12))</f>
        <v>2.1567414599267707</v>
      </c>
      <c r="AB129" s="345">
        <f>RCoutEsr*Table16[[#This Row],[Irms Cout]]^2</f>
        <v>9.3030674499341177E-3</v>
      </c>
      <c r="AC129" s="345">
        <f>Table16[[#This Row],[Cout ESR Loss]]</f>
        <v>9.3030674499341177E-3</v>
      </c>
      <c r="AD129" s="345">
        <f>IF(Table16[[#This Row],[Vin]]&gt;Vout, SQRT(Table16[[#This Row],[Duty Cycle BUCK Leg]]*(1-Table16[[#This Row],[Duty Cycle BUCK Leg]]))*SQRT(Table16[[#This Row],[Iout]]^2+(Table16[[#This Row],[Ripple Current pk-pk]]^2)/12), Table16[[#This Row],[Ripple Current pk-pk]]/SQRT(12))</f>
        <v>3.8988613013435982</v>
      </c>
      <c r="AE129" s="345">
        <f>RCinEsr*Table16[[#This Row],[Irms Cin]]^2</f>
        <v>3.0402238894229393E-2</v>
      </c>
      <c r="AF129" s="683">
        <f>Table16[[#This Row],[Cin ESR Loss]]</f>
        <v>3.0402238894229393E-2</v>
      </c>
      <c r="AG129"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6.7772307423764628</v>
      </c>
      <c r="AH129" s="345">
        <f>Rdson1*Table16[[#This Row],[Irms BuCtrl]]^2</f>
        <v>0.16075799787394418</v>
      </c>
      <c r="AI129" s="345">
        <f>CHOOSE(Table16[[#This Row],[Mode Digit]], (Table16[[#This Row],[Vin]]*Table16[[#This Row],[Iout]]/2)*(Fsw)*(Tr_buck+Tf_buck), 0, (Table16[[#This Row],[Vin]]*Table16[[#This Row],[Avg IL]]/2)*(Fsw/1)*(Tr_buck+Tf_buck))</f>
        <v>0.71856176605595889</v>
      </c>
      <c r="AJ129" s="253">
        <f>IF(Table16[[#This Row],[Vin]]&gt;Vout, IF(Table16[[#This Row],[Iout]]&gt;Table16[[#This Row],[Ripple Current pk-pk]]/2,0,ABS(Table16[[#This Row],[Iout]]-Table16[[#This Row],[Ripple Current pk-pk]]/2)*Vsd_Q1*Deadtime*Fsw),0)</f>
        <v>0</v>
      </c>
      <c r="AK129" s="345">
        <f>(Table16[[#This Row],[Dead Time Loss BuCtrl]]+Table16[[#This Row],[Transition Loss BuCtrl]]+Table16[[#This Row],[RDS(on) Loss BuCtrl]]*(1+RdsonTopTc*Ta-RdsonTopTc*25))/(1-Table16[[#This Row],[RDS(on) Loss BuCtrl]]*RdsonTopTc*ThetaJA_Q1)</f>
        <v>0.9176759380180507</v>
      </c>
      <c r="AL129" s="345">
        <f>CHOOSE(Table16[[#This Row],[Mode Digit]],SQRT((Fsw*(Table16[[#This Row],[t2_Ph_I]]+0))*((Table16[[#This Row],[I_0]]*Table16[[#This Row],[I_1]]+((Table16[[#This Row],[I_0]]-Table16[[#This Row],[I_1]])^2)/3))),0,SQRT((Fsw*(Table16[[#This Row],[t3_Ph_III]]+0))*((Table16[[#This Row],[I_0]]*Table16[[#This Row],[I_2]]+((Table16[[#This Row],[I_0]]-Table16[[#This Row],[I_2]])^2)/3))))</f>
        <v>4.7666211502021492</v>
      </c>
      <c r="AM129" s="345">
        <f>Rdson2*Table16[[#This Row],[Irms BuSync]]^2</f>
        <v>7.9522370163440603E-2</v>
      </c>
      <c r="AN129"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29" s="345">
        <f>(Table16[[#This Row],[Deadtime Loss BuSync]]+Table16[[#This Row],[RDS(on) Loss BuSync]]*(1+RdsonBotTc*Ta-RdsonBotTc*25))/(1-Table16[[#This Row],[RDS(on) Loss BuSync]]*RdsonBotTc*ThetaJA_Q2)</f>
        <v>0.3250428973806101</v>
      </c>
      <c r="AP129" s="345">
        <f>CHOOSE(Table16[[#This Row],[Mode Digit]],0,SQRT((Fsw*(Table16[[#This Row],[t1_Ph_II]]+0))*((Table16[[#This Row],[I_0]]*Table16[[#This Row],[I_1]]+((Table16[[#This Row],[I_0]]-Table16[[#This Row],[I_1]])^2)/3))),SQRT((Fsw*(Table16[[#This Row],[t2_Ph_I]]+0))*((Table16[[#This Row],[I_1]]*Table16[[#This Row],[I_2]]+((Table16[[#This Row],[I_1]]-Table16[[#This Row],[I_2]])^2)/3))))</f>
        <v>0</v>
      </c>
      <c r="AQ129" s="345">
        <f>Rdson4*Table16[[#This Row],[Irms BoCtlr]]^2</f>
        <v>0</v>
      </c>
      <c r="AR129" s="345">
        <f>CHOOSE(Table16[[#This Row],[Mode Digit]], 0, (Vout*Table16[[#This Row],[Iin]]/2)*(Fsw)*(Tr_boost+Tf_boost), (Vout*Iout/2)*(Fsw/1)*(Tr_boost+Tf_boost))</f>
        <v>0</v>
      </c>
      <c r="AS129" s="253">
        <f>IF(Table16[[#This Row],[Vin]]&gt;Vout, 0, IF(Table16[[#This Row],[Iin]]&gt;Table16[[#This Row],[Ripple Current pk-pk]]/2,0,ABS(Table16[[#This Row],[Iin]]-Table16[[#This Row],[Ripple Current pk-pk]]/2)*Vsd_Q4*Deadtime*Fsw))</f>
        <v>0</v>
      </c>
      <c r="AT129" s="345">
        <f>(Table16[[#This Row],[Dead Time Loss BoCtlr]]+Table16[[#This Row],[Transition Loss BoCtlr]]+Table16[[#This Row],[RDS(on) Loss BoCtlr]]*(1+RdsonTopTc*Ta-RdsonTopTc*25))/(1-Table16[[#This Row],[RDS(on) Loss BoCtlr]]*RdsonTopTc*ThetaJA_Q4)</f>
        <v>0</v>
      </c>
      <c r="AU129"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8.2856221085062209</v>
      </c>
      <c r="AV129" s="345">
        <f>Rdson3*Table16[[#This Row],[Irms BoSync]]^2</f>
        <v>0.24028036803738478</v>
      </c>
      <c r="AW129"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29" s="345">
        <f>(Table16[[#This Row],[Deadtime Loss BoSync]]+Table16[[#This Row],[RDS(on) Loss BoSync]]*(1+RdsonBotTc*Ta-RdsonBotTc*25))/(1-Table16[[#This Row],[RDS(on) Loss BoSync]]*RdsonBotTc*ThetaJA_Q3)</f>
        <v>0.2562916495242602</v>
      </c>
      <c r="AY129" s="345">
        <f>CHOOSE(Table16[[#This Row],[Mode Digit]], Rdson3*Table16[[#This Row],[Irms Lf]]^2, Rdson1*Table16[[#This Row],[Irms Lf]]^2, 0)</f>
        <v>0.24028036803738478</v>
      </c>
      <c r="AZ129" s="345">
        <f>CHOOSE(Table16[[#This Row],[Mode Digit]], 2*Deadtime*Fsw*IF(VfdSky_Q2&gt;0,VfdSky_Q2,0)*Table16[[#This Row],[Iout]], 2*Deadtime*Fsw*IF(VfdSky_Q3&gt;0,VfdSky_Q3,0)*Table16[[#This Row],[Iin]], 2*Deadtime*Fsw*IF(VfdSky_Q2&gt;0,VfdSky_Q2,0)*Table16[[#This Row],[Iout]]+2*Deadtime*Fsw*IF(VfdSky_Q3&gt;0,VfdSky_Q3,0)*Table16[[#This Row],[Iin]])</f>
        <v>0</v>
      </c>
      <c r="BA129" s="345">
        <f>CHOOSE(Table16[[#This Row],[Mode Digit]], IF(QrrSky_Q2&gt;0,QrrSky_Q2,Qrr_Q2)*Fsw*(Table16[[#This Row],[Vin]]-Table16[[#This Row],[Iout]]*Rdson1),0,  IF(QrrSky_Q2&gt;0,QrrSky_Q2,Qrr_Q2)*Fsw*(Table16[[#This Row],[Vin]]-Table16[[#This Row],[Iout]]*Rdson1)+IF(QrrSky_Q3&gt;0,QrrSky_Q3,Qrr_Q3)*Fsw*Vout)</f>
        <v>0.42933852</v>
      </c>
      <c r="BB129" s="345">
        <f>CHOOSE(Table16[[#This Row],[Mode Digit]],0, IF(QrrSky_Q3&gt;0,QrrSky_Q3,Qrr_Q3)*Fsw*Vout,  IF(QrrSky_Q2&gt;0,QrrSky_Q2,Qrr_Q2)*Fsw*(Table16[[#This Row],[Vin]]-Table16[[#This Row],[Iout]]*Rdson1)+IF(QrrSky_Q3&gt;0,QrrSky_Q3,Qrr_Q3)*Fsw*Vout)</f>
        <v>0</v>
      </c>
      <c r="BC129" s="345">
        <f>CHOOSE(Table16[[#This Row],[Mode Digit]], Rs*Table16[[#This Row],[Irms BuSync]]^2, Rs*Table16[[#This Row],[Irms BoCtlr]]^2, Rs*(Table16[[#This Row],[Irms BuSync]]^2+Table16[[#This Row],[Irms BoCtlr]]^2))</f>
        <v>2.9536880346420793E-2</v>
      </c>
      <c r="BD129" s="345">
        <f t="shared" si="5"/>
        <v>0.64</v>
      </c>
      <c r="BE129" s="345">
        <f>IF(Vout&gt;8, Iq*Vout, Iq*Table16[[#This Row],[Vin]])</f>
        <v>4.8000000000000001E-2</v>
      </c>
      <c r="BF129" s="345">
        <f>CHOOSE(Table16[[#This Row],[Mode Digit]], (Qg_Q1+Qg_Q2)*Fsw, (Qg_Q3+Qg_Q4)*Fsw, (Qg_Q1+Qg_Q2+Qg_Q3+Qg_Q4)*Fsw)*IF(Vout&gt;8, Vout, Table16[[#This Row],[Vin]])</f>
        <v>0.85331200000000007</v>
      </c>
      <c r="BG129" s="345">
        <f t="shared" si="6"/>
        <v>0.50594479787234037</v>
      </c>
      <c r="BH129" s="345">
        <f>Table16[[#This Row],[IQ Loss]]+Table16[[#This Row],[Switching Current Loss]]</f>
        <v>0.90131200000000011</v>
      </c>
      <c r="BI129"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6.0053076807237682</v>
      </c>
      <c r="BJ129" s="253">
        <f>Vout*Table16[[#This Row],[Iout]]</f>
        <v>128</v>
      </c>
      <c r="BK129" s="684">
        <f>Table16[[#This Row],[Pout]]/(Table16[[#This Row],[Pout]]+Table16[[#This Row],[Total Loss]])</f>
        <v>0.95518604610026492</v>
      </c>
      <c r="BL129"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59.648935971173294</v>
      </c>
      <c r="BM129" s="685">
        <f>IF(Table16[[#This Row],[Vin]]&gt;Vout, Table16[[#This Row],[Total Sync Bu MOSFET Loss]]*ThetaJA_Q2, ThetaJA_Q3*Table16[[#This Row],[Total Sync Bo MOSFET Loss]])</f>
        <v>21.127788329739655</v>
      </c>
      <c r="BN129" s="640"/>
      <c r="BO129" s="292">
        <f>Table16[[#This Row],[EFF, h]]*100</f>
        <v>95.518604610026486</v>
      </c>
      <c r="BP129" s="345">
        <f>Table16[[#This Row],[Total Inductor Loss]]</f>
        <v>2.4664044891102628</v>
      </c>
      <c r="BQ129" s="345">
        <f>Table16[[#This Row],[Total Control Bu MOSFET Loss]]+Table16[[#This Row],[Total Sync Bu MOSFET Loss]]+Table16[[#This Row],[Total Control Bo MOSFET Loss]]+Table16[[#This Row],[Total Sync Bo MOSFET Loss]]+Table16[[#This Row],[Reverse Recovery Loss MOSFET D BUCK]]+Table16[[#This Row],[Reverse Recovery Loss MOSFET D BOOST]]</f>
        <v>1.9283490049229211</v>
      </c>
      <c r="BR129" s="345">
        <f>Table16[[#This Row],[Total Control Bu MOSFET Loss]]+Table16[[#This Row],[Reverse Recovery Loss MOSFET D BUCK]]*0.66</f>
        <v>1.2010393612180508</v>
      </c>
      <c r="BS129" s="345">
        <f>Table16[[#This Row],[Total Sync Bu MOSFET Loss]]+Table16[[#This Row],[Reverse Recovery Loss MOSFET D BUCK]]*0.33</f>
        <v>0.46672460898061008</v>
      </c>
      <c r="BT129" s="345">
        <f xml:space="preserve"> Table16[[#This Row],[Total Control Bo MOSFET Loss]]+Table16[[#This Row],[Reverse Recovery Loss MOSFET D BOOST]]*0.66</f>
        <v>0</v>
      </c>
      <c r="BU129" s="345">
        <f xml:space="preserve"> Table16[[#This Row],[Total Sync Bo MOSFET Loss]]+Table16[[#This Row],[Reverse Recovery Loss MOSFET D BOOST]]*0.33</f>
        <v>0.2562916495242602</v>
      </c>
      <c r="BV129" s="345">
        <f>Table16[[#This Row],[Isense Shunt Loss]]</f>
        <v>2.9536880346420793E-2</v>
      </c>
    </row>
    <row r="130" spans="7:74" x14ac:dyDescent="0.2">
      <c r="G130" s="253">
        <v>121</v>
      </c>
      <c r="H130" s="286">
        <f>VIN_min+(VIN_max-VIN_min)*(Table16[[#This Row],[Step]]/200)</f>
        <v>24.15</v>
      </c>
      <c r="I130" s="292" t="str">
        <f>IF(Mode = 2,IF(Table16[[#This Row],[Vin]]&gt;Vout, "BUCK","BOOST"),IF(Table16[[#This Row],[Vin]]&gt;VIN_BB_to_buck, "BUCK", IF(Table16[[#This Row],[Vin]]&lt;=VIN_boost_to_BB,"BOOST","BUCK-BST")))</f>
        <v>BUCK</v>
      </c>
      <c r="J130" s="253">
        <f>IF(Table16[[#This Row],[Mode]]="BOOST",2, IF(Table16[[#This Row],[Mode]]="BUCK", 1,3))</f>
        <v>1</v>
      </c>
      <c r="K130" s="253">
        <f t="shared" si="4"/>
        <v>8</v>
      </c>
      <c r="L130" s="292">
        <f>Vout*Table16[[#This Row],[Iout]]/(Table16[[#This Row],[Vin]]*Efficiency)</f>
        <v>5.5791653045657625</v>
      </c>
      <c r="M130" s="682">
        <f>MIN(1/Fsw,CHOOSE(Table16[[#This Row],[Mode Digit]],(Vout+(Rdson2+Rs+Rdcr)*Table16[[#This Row],[Iout]])/(Table16[[#This Row],[Vin]]+(Rs+Rdson2-Rdson1)*Table16[[#This Row],[Iout]])/Fsw,(Vout+(Rdson3+Rdcr)*Table16[[#This Row],[Iin]]-Table16[[#This Row],[Vin]])/(Vout+(Rdson3-Rdson4-Rs)*Table16[[#This Row],[Iin]])/Fsw,t1_Ph_II))</f>
        <v>1.6705770204643189E-6</v>
      </c>
      <c r="N130" s="518">
        <f>CHOOSE(Table16[[#This Row],[Mode Digit]],1/Fsw-Table16[[#This Row],[t1_Ph_II]],1/Fsw-Table16[[#This Row],[t1_Ph_II]],(Vout/Fsw-Table16[[#This Row],[Vin]]*t1_Ph_II)/(Table16[[#This Row],[Vin]]+Vout))</f>
        <v>8.4198579360603299E-7</v>
      </c>
      <c r="O130" s="518">
        <f>1/Fsw-(Table16[[#This Row],[t1_Ph_II]]+Table16[[#This Row],[t2_Ph_I]])</f>
        <v>0</v>
      </c>
      <c r="P130"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4.2179992453377242</v>
      </c>
      <c r="Q130" s="292">
        <f>CHOOSE(Table16[[#This Row],[Mode Digit]],Table16[[#This Row],[I_0]]+1/Lf*(Table16[[#This Row],[Vin]]-Vout)*Table16[[#This Row],[t1_Ph_II]],Table16[[#This Row],[I_0]]+1/Lf*Table16[[#This Row],[Vin]]*Table16[[#This Row],[t1_Ph_II]],Table16[[#This Row],[I_0]]+(Table16[[#This Row],[Vin]]-Vout)/L*Table16[[#This Row],[t1_Ph_II]])</f>
        <v>11.782000754662278</v>
      </c>
      <c r="R130" s="292">
        <f>CHOOSE(Table16[[#This Row],[Mode Digit]],0,0,Table16[[#This Row],[I_1]]+Table16[[#This Row],[Vin]]/L*Table16[[#This Row],[t2_Ph_I]])</f>
        <v>0</v>
      </c>
      <c r="S130" s="292">
        <f>Fsw*(Table16[[#This Row],[I_0]]*Table16[[#This Row],[t1_Ph_II]]+Table16[[#This Row],[I_1]]*Table16[[#This Row],[t2_Ph_I]]+Table16[[#This Row],[I_2]]*Table16[[#This Row],[t3_Ph_III]])</f>
        <v>6.7527744071767382</v>
      </c>
      <c r="T130" s="345">
        <f>MIN(1,CHOOSE(Table16[[#This Row],[Mode Digit]],(Vout+(Rdson2+Rs+Rdcr)*Table16[[#This Row],[Iout]])/(Table16[[#This Row],[Vin]]+(Rs+Rdson2-Rdson1)*Table16[[#This Row],[Iout]]),1,Fsw*Table16[[#This Row],[t2_Ph_I]]+Table16[[#This Row],[t1_Ph_II]]))</f>
        <v>0.66488965414479895</v>
      </c>
      <c r="U130" s="345">
        <f>MIN(1,CHOOSE(Table16[[#This Row],[Mode Digit]],0,(Vout+(Rdson3+Rdcr)*Table16[[#This Row],[Iin]]-Table16[[#This Row],[Vin]])/(Vout+(Rdson3-Rdson4-Rs)*Table16[[#This Row],[Iin]]),Fsw*Table16[[#This Row],[t1_Ph_II]]+Table16[[#This Row],[t3_Ph_III]]))</f>
        <v>0</v>
      </c>
      <c r="V130" s="292">
        <f>MAX(Table16[[#This Row],[I_0]:[I_2]])-MIN(Table16[[#This Row],[I_0]:[I_1]])</f>
        <v>7.5640015093245534</v>
      </c>
      <c r="W130"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8.2926378937035885</v>
      </c>
      <c r="X130" s="345">
        <f>(Table16[[#This Row],[Irms Lf]]^2*Rdcr*(1+Ltc*Ta-Ltc*25))/(1-Table16[[#This Row],[Irms Lf]]^2*Rdcr*Ltc*ThetaCa)</f>
        <v>0.22400053090435587</v>
      </c>
      <c r="Y130" s="345">
        <f>ABS(7.759*10^-3*Fsw^0.9458*(0.00787*Table16[[#This Row],[Ripple Current pk-pk]])^2.304)</f>
        <v>2.3075156062111266</v>
      </c>
      <c r="Z130" s="345">
        <f>Table16[[#This Row],[DCR    Loss]]+Table16[[#This Row],[Core Loss]]</f>
        <v>2.5315161371154824</v>
      </c>
      <c r="AA130" s="292">
        <f>IF(Table16[[#This Row],[Vin]]&gt;Vout, Table16[[#This Row],[Ripple Current pk-pk]]/SQRT(12), SQRT(Table16[[#This Row],[Duty Cycle BOOST Leg]]/(1-Table16[[#This Row],[Duty Cycle BOOST Leg]]))*SQRT(Table16[[#This Row],[Iout]]^2+(Table16[[#This Row],[Ripple Current pk-pk]]^2)/12))</f>
        <v>2.1835391537796331</v>
      </c>
      <c r="AB130" s="345">
        <f>RCoutEsr*Table16[[#This Row],[Irms Cout]]^2</f>
        <v>9.5356864721773543E-3</v>
      </c>
      <c r="AC130" s="345">
        <f>Table16[[#This Row],[Cout ESR Loss]]</f>
        <v>9.5356864721773543E-3</v>
      </c>
      <c r="AD130" s="345">
        <f>IF(Table16[[#This Row],[Vin]]&gt;Vout, SQRT(Table16[[#This Row],[Duty Cycle BUCK Leg]]*(1-Table16[[#This Row],[Duty Cycle BUCK Leg]]))*SQRT(Table16[[#This Row],[Iout]]^2+(Table16[[#This Row],[Ripple Current pk-pk]]^2)/12), Table16[[#This Row],[Ripple Current pk-pk]]/SQRT(12))</f>
        <v>3.9143657929381028</v>
      </c>
      <c r="AE130" s="345">
        <f>RCinEsr*Table16[[#This Row],[Irms Cin]]^2</f>
        <v>3.0644519121847884E-2</v>
      </c>
      <c r="AF130" s="683">
        <f>Table16[[#This Row],[Cin ESR Loss]]</f>
        <v>3.0644519121847884E-2</v>
      </c>
      <c r="AG130"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6.761880471106152</v>
      </c>
      <c r="AH130" s="345">
        <f>Rdson1*Table16[[#This Row],[Irms BuCtrl]]^2</f>
        <v>0.16003059626934366</v>
      </c>
      <c r="AI130" s="345">
        <f>CHOOSE(Table16[[#This Row],[Mode Digit]], (Table16[[#This Row],[Vin]]*Table16[[#This Row],[Iout]]/2)*(Fsw)*(Tr_buck+Tf_buck), 0, (Table16[[#This Row],[Vin]]*Table16[[#This Row],[Avg IL]]/2)*(Fsw/1)*(Tr_buck+Tf_buck))</f>
        <v>0.72305277709380866</v>
      </c>
      <c r="AJ130" s="253">
        <f>IF(Table16[[#This Row],[Vin]]&gt;Vout, IF(Table16[[#This Row],[Iout]]&gt;Table16[[#This Row],[Ripple Current pk-pk]]/2,0,ABS(Table16[[#This Row],[Iout]]-Table16[[#This Row],[Ripple Current pk-pk]]/2)*Vsd_Q1*Deadtime*Fsw),0)</f>
        <v>0</v>
      </c>
      <c r="AK130" s="345">
        <f>(Table16[[#This Row],[Dead Time Loss BuCtrl]]+Table16[[#This Row],[Transition Loss BuCtrl]]+Table16[[#This Row],[RDS(on) Loss BuCtrl]]*(1+RdsonTopTc*Ta-RdsonTopTc*25))/(1-Table16[[#This Row],[RDS(on) Loss BuCtrl]]*RdsonTopTc*ThetaJA_Q1)</f>
        <v>0.92142185235982632</v>
      </c>
      <c r="AL130" s="345">
        <f>CHOOSE(Table16[[#This Row],[Mode Digit]],SQRT((Fsw*(Table16[[#This Row],[t2_Ph_I]]+0))*((Table16[[#This Row],[I_0]]*Table16[[#This Row],[I_1]]+((Table16[[#This Row],[I_0]]-Table16[[#This Row],[I_1]])^2)/3))),0,SQRT((Fsw*(Table16[[#This Row],[t3_Ph_III]]+0))*((Table16[[#This Row],[I_0]]*Table16[[#This Row],[I_2]]+((Table16[[#This Row],[I_0]]-Table16[[#This Row],[I_2]])^2)/3))))</f>
        <v>4.8005016123903061</v>
      </c>
      <c r="AM130" s="345">
        <f>Rdson2*Table16[[#This Row],[Irms BuSync]]^2</f>
        <v>8.065685505696675E-2</v>
      </c>
      <c r="AN130"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30" s="345">
        <f>(Table16[[#This Row],[Deadtime Loss BuSync]]+Table16[[#This Row],[RDS(on) Loss BuSync]]*(1+RdsonBotTc*Ta-RdsonBotTc*25))/(1-Table16[[#This Row],[RDS(on) Loss BuSync]]*RdsonBotTc*ThetaJA_Q2)</f>
        <v>0.32629961321510786</v>
      </c>
      <c r="AP130" s="345">
        <f>CHOOSE(Table16[[#This Row],[Mode Digit]],0,SQRT((Fsw*(Table16[[#This Row],[t1_Ph_II]]+0))*((Table16[[#This Row],[I_0]]*Table16[[#This Row],[I_1]]+((Table16[[#This Row],[I_0]]-Table16[[#This Row],[I_1]])^2)/3))),SQRT((Fsw*(Table16[[#This Row],[t2_Ph_I]]+0))*((Table16[[#This Row],[I_1]]*Table16[[#This Row],[I_2]]+((Table16[[#This Row],[I_1]]-Table16[[#This Row],[I_2]])^2)/3))))</f>
        <v>0</v>
      </c>
      <c r="AQ130" s="345">
        <f>Rdson4*Table16[[#This Row],[Irms BoCtlr]]^2</f>
        <v>0</v>
      </c>
      <c r="AR130" s="345">
        <f>CHOOSE(Table16[[#This Row],[Mode Digit]], 0, (Vout*Table16[[#This Row],[Iin]]/2)*(Fsw)*(Tr_boost+Tf_boost), (Vout*Iout/2)*(Fsw/1)*(Tr_boost+Tf_boost))</f>
        <v>0</v>
      </c>
      <c r="AS130" s="253">
        <f>IF(Table16[[#This Row],[Vin]]&gt;Vout, 0, IF(Table16[[#This Row],[Iin]]&gt;Table16[[#This Row],[Ripple Current pk-pk]]/2,0,ABS(Table16[[#This Row],[Iin]]-Table16[[#This Row],[Ripple Current pk-pk]]/2)*Vsd_Q4*Deadtime*Fsw))</f>
        <v>0</v>
      </c>
      <c r="AT130" s="345">
        <f>(Table16[[#This Row],[Dead Time Loss BoCtlr]]+Table16[[#This Row],[Transition Loss BoCtlr]]+Table16[[#This Row],[RDS(on) Loss BoCtlr]]*(1+RdsonTopTc*Ta-RdsonTopTc*25))/(1-Table16[[#This Row],[RDS(on) Loss BoCtlr]]*RdsonTopTc*ThetaJA_Q4)</f>
        <v>0</v>
      </c>
      <c r="AU130"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8.2926378937035885</v>
      </c>
      <c r="AV130" s="345">
        <f>Rdson3*Table16[[#This Row],[Irms BoSync]]^2</f>
        <v>0.24068745132631045</v>
      </c>
      <c r="AW130"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30" s="345">
        <f>(Table16[[#This Row],[Deadtime Loss BoSync]]+Table16[[#This Row],[RDS(on) Loss BoSync]]*(1+RdsonBotTc*Ta-RdsonBotTc*25))/(1-Table16[[#This Row],[RDS(on) Loss BoSync]]*RdsonBotTc*ThetaJA_Q3)</f>
        <v>0.25675484535584936</v>
      </c>
      <c r="AY130" s="345">
        <f>CHOOSE(Table16[[#This Row],[Mode Digit]], Rdson3*Table16[[#This Row],[Irms Lf]]^2, Rdson1*Table16[[#This Row],[Irms Lf]]^2, 0)</f>
        <v>0.24068745132631045</v>
      </c>
      <c r="AZ130" s="345">
        <f>CHOOSE(Table16[[#This Row],[Mode Digit]], 2*Deadtime*Fsw*IF(VfdSky_Q2&gt;0,VfdSky_Q2,0)*Table16[[#This Row],[Iout]], 2*Deadtime*Fsw*IF(VfdSky_Q3&gt;0,VfdSky_Q3,0)*Table16[[#This Row],[Iin]], 2*Deadtime*Fsw*IF(VfdSky_Q2&gt;0,VfdSky_Q2,0)*Table16[[#This Row],[Iout]]+2*Deadtime*Fsw*IF(VfdSky_Q3&gt;0,VfdSky_Q3,0)*Table16[[#This Row],[Iin]])</f>
        <v>0</v>
      </c>
      <c r="BA130" s="345">
        <f>CHOOSE(Table16[[#This Row],[Mode Digit]], IF(QrrSky_Q2&gt;0,QrrSky_Q2,Qrr_Q2)*Fsw*(Table16[[#This Row],[Vin]]-Table16[[#This Row],[Iout]]*Rdson1),0,  IF(QrrSky_Q2&gt;0,QrrSky_Q2,Qrr_Q2)*Fsw*(Table16[[#This Row],[Vin]]-Table16[[#This Row],[Iout]]*Rdson1)+IF(QrrSky_Q3&gt;0,QrrSky_Q3,Qrr_Q3)*Fsw*Vout)</f>
        <v>0.43202501999999998</v>
      </c>
      <c r="BB130" s="345">
        <f>CHOOSE(Table16[[#This Row],[Mode Digit]],0, IF(QrrSky_Q3&gt;0,QrrSky_Q3,Qrr_Q3)*Fsw*Vout,  IF(QrrSky_Q2&gt;0,QrrSky_Q2,Qrr_Q2)*Fsw*(Table16[[#This Row],[Vin]]-Table16[[#This Row],[Iout]]*Rdson1)+IF(QrrSky_Q3&gt;0,QrrSky_Q3,Qrr_Q3)*Fsw*Vout)</f>
        <v>0</v>
      </c>
      <c r="BC130" s="345">
        <f>CHOOSE(Table16[[#This Row],[Mode Digit]], Rs*Table16[[#This Row],[Irms BuSync]]^2, Rs*Table16[[#This Row],[Irms BoCtlr]]^2, Rs*(Table16[[#This Row],[Irms BuSync]]^2+Table16[[#This Row],[Irms BoCtlr]]^2))</f>
        <v>2.9958260449730507E-2</v>
      </c>
      <c r="BD130" s="345">
        <f t="shared" si="5"/>
        <v>0.64</v>
      </c>
      <c r="BE130" s="345">
        <f>IF(Vout&gt;8, Iq*Vout, Iq*Table16[[#This Row],[Vin]])</f>
        <v>4.8000000000000001E-2</v>
      </c>
      <c r="BF130" s="345">
        <f>CHOOSE(Table16[[#This Row],[Mode Digit]], (Qg_Q1+Qg_Q2)*Fsw, (Qg_Q3+Qg_Q4)*Fsw, (Qg_Q1+Qg_Q2+Qg_Q3+Qg_Q4)*Fsw)*IF(Vout&gt;8, Vout, Table16[[#This Row],[Vin]])</f>
        <v>0.85331200000000007</v>
      </c>
      <c r="BG130" s="345">
        <f t="shared" si="6"/>
        <v>0.50594479787234037</v>
      </c>
      <c r="BH130" s="345">
        <f>Table16[[#This Row],[IQ Loss]]+Table16[[#This Row],[Switching Current Loss]]</f>
        <v>0.90131200000000011</v>
      </c>
      <c r="BI130"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6.0794679340900215</v>
      </c>
      <c r="BJ130" s="253">
        <f>Vout*Table16[[#This Row],[Iout]]</f>
        <v>128</v>
      </c>
      <c r="BK130" s="684">
        <f>Table16[[#This Row],[Pout]]/(Table16[[#This Row],[Pout]]+Table16[[#This Row],[Total Loss]])</f>
        <v>0.95465772628902046</v>
      </c>
      <c r="BL130"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59.892420403388712</v>
      </c>
      <c r="BM130" s="685">
        <f>IF(Table16[[#This Row],[Vin]]&gt;Vout, Table16[[#This Row],[Total Sync Bu MOSFET Loss]]*ThetaJA_Q2, ThetaJA_Q3*Table16[[#This Row],[Total Sync Bo MOSFET Loss]])</f>
        <v>21.209474858982013</v>
      </c>
      <c r="BN130" s="640"/>
      <c r="BO130" s="292">
        <f>Table16[[#This Row],[EFF, h]]*100</f>
        <v>95.465772628902045</v>
      </c>
      <c r="BP130" s="345">
        <f>Table16[[#This Row],[Total Inductor Loss]]</f>
        <v>2.5315161371154824</v>
      </c>
      <c r="BQ130" s="345">
        <f>Table16[[#This Row],[Total Control Bu MOSFET Loss]]+Table16[[#This Row],[Total Sync Bu MOSFET Loss]]+Table16[[#This Row],[Total Control Bo MOSFET Loss]]+Table16[[#This Row],[Total Sync Bo MOSFET Loss]]+Table16[[#This Row],[Reverse Recovery Loss MOSFET D BUCK]]+Table16[[#This Row],[Reverse Recovery Loss MOSFET D BOOST]]</f>
        <v>1.9365013309307837</v>
      </c>
      <c r="BR130" s="345">
        <f>Table16[[#This Row],[Total Control Bu MOSFET Loss]]+Table16[[#This Row],[Reverse Recovery Loss MOSFET D BUCK]]*0.66</f>
        <v>1.2065583655598262</v>
      </c>
      <c r="BS130" s="345">
        <f>Table16[[#This Row],[Total Sync Bu MOSFET Loss]]+Table16[[#This Row],[Reverse Recovery Loss MOSFET D BUCK]]*0.33</f>
        <v>0.46886786981510786</v>
      </c>
      <c r="BT130" s="345">
        <f xml:space="preserve"> Table16[[#This Row],[Total Control Bo MOSFET Loss]]+Table16[[#This Row],[Reverse Recovery Loss MOSFET D BOOST]]*0.66</f>
        <v>0</v>
      </c>
      <c r="BU130" s="345">
        <f xml:space="preserve"> Table16[[#This Row],[Total Sync Bo MOSFET Loss]]+Table16[[#This Row],[Reverse Recovery Loss MOSFET D BOOST]]*0.33</f>
        <v>0.25675484535584936</v>
      </c>
      <c r="BV130" s="345">
        <f>Table16[[#This Row],[Isense Shunt Loss]]</f>
        <v>2.9958260449730507E-2</v>
      </c>
    </row>
    <row r="131" spans="7:74" x14ac:dyDescent="0.2">
      <c r="G131" s="253">
        <v>122</v>
      </c>
      <c r="H131" s="286">
        <f>VIN_min+(VIN_max-VIN_min)*(Table16[[#This Row],[Step]]/200)</f>
        <v>24.3</v>
      </c>
      <c r="I131" s="292" t="str">
        <f>IF(Mode = 2,IF(Table16[[#This Row],[Vin]]&gt;Vout, "BUCK","BOOST"),IF(Table16[[#This Row],[Vin]]&gt;VIN_BB_to_buck, "BUCK", IF(Table16[[#This Row],[Vin]]&lt;=VIN_boost_to_BB,"BOOST","BUCK-BST")))</f>
        <v>BUCK</v>
      </c>
      <c r="J131" s="253">
        <f>IF(Table16[[#This Row],[Mode]]="BOOST",2, IF(Table16[[#This Row],[Mode]]="BUCK", 1,3))</f>
        <v>1</v>
      </c>
      <c r="K131" s="253">
        <f t="shared" si="4"/>
        <v>8</v>
      </c>
      <c r="L131" s="292">
        <f>Vout*Table16[[#This Row],[Iout]]/(Table16[[#This Row],[Vin]]*Efficiency)</f>
        <v>5.5447260125622693</v>
      </c>
      <c r="M131" s="682">
        <f>MIN(1/Fsw,CHOOSE(Table16[[#This Row],[Mode Digit]],(Vout+(Rdson2+Rs+Rdcr)*Table16[[#This Row],[Iout]])/(Table16[[#This Row],[Vin]]+(Rs+Rdson2-Rdson1)*Table16[[#This Row],[Iout]])/Fsw,(Vout+(Rdson3+Rdcr)*Table16[[#This Row],[Iin]]-Table16[[#This Row],[Vin]])/(Vout+(Rdson3-Rdson4-Rs)*Table16[[#This Row],[Iin]])/Fsw,t1_Ph_II))</f>
        <v>1.6602692281997058E-6</v>
      </c>
      <c r="N131" s="518">
        <f>CHOOSE(Table16[[#This Row],[Mode Digit]],1/Fsw-Table16[[#This Row],[t1_Ph_II]],1/Fsw-Table16[[#This Row],[t1_Ph_II]],(Vout/Fsw-Table16[[#This Row],[Vin]]*t1_Ph_II)/(Table16[[#This Row],[Vin]]+Vout))</f>
        <v>8.5229358587064611E-7</v>
      </c>
      <c r="O131" s="518">
        <f>1/Fsw-(Table16[[#This Row],[t1_Ph_II]]+Table16[[#This Row],[t2_Ph_I]])</f>
        <v>0</v>
      </c>
      <c r="P131"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4.1721570572062339</v>
      </c>
      <c r="Q131" s="292">
        <f>CHOOSE(Table16[[#This Row],[Mode Digit]],Table16[[#This Row],[I_0]]+1/Lf*(Table16[[#This Row],[Vin]]-Vout)*Table16[[#This Row],[t1_Ph_II]],Table16[[#This Row],[I_0]]+1/Lf*Table16[[#This Row],[Vin]]*Table16[[#This Row],[t1_Ph_II]],Table16[[#This Row],[I_0]]+(Table16[[#This Row],[Vin]]-Vout)/L*Table16[[#This Row],[t1_Ph_II]])</f>
        <v>11.827842942793765</v>
      </c>
      <c r="R131" s="292">
        <f>CHOOSE(Table16[[#This Row],[Mode Digit]],0,0,Table16[[#This Row],[I_1]]+Table16[[#This Row],[Vin]]/L*Table16[[#This Row],[t2_Ph_I]])</f>
        <v>0</v>
      </c>
      <c r="S131" s="292">
        <f>Fsw*(Table16[[#This Row],[I_0]]*Table16[[#This Row],[t1_Ph_II]]+Table16[[#This Row],[I_1]]*Table16[[#This Row],[t2_Ph_I]]+Table16[[#This Row],[I_2]]*Table16[[#This Row],[t3_Ph_III]])</f>
        <v>6.7690640635454571</v>
      </c>
      <c r="T131" s="345">
        <f>MIN(1,CHOOSE(Table16[[#This Row],[Mode Digit]],(Vout+(Rdson2+Rs+Rdcr)*Table16[[#This Row],[Iout]])/(Table16[[#This Row],[Vin]]+(Rs+Rdson2-Rdson1)*Table16[[#This Row],[Iout]]),1,Fsw*Table16[[#This Row],[t2_Ph_I]]+Table16[[#This Row],[t1_Ph_II]]))</f>
        <v>0.66078715282348288</v>
      </c>
      <c r="U131" s="345">
        <f>MIN(1,CHOOSE(Table16[[#This Row],[Mode Digit]],0,(Vout+(Rdson3+Rdcr)*Table16[[#This Row],[Iin]]-Table16[[#This Row],[Vin]])/(Vout+(Rdson3-Rdson4-Rs)*Table16[[#This Row],[Iin]]),Fsw*Table16[[#This Row],[t1_Ph_II]]+Table16[[#This Row],[t3_Ph_III]]))</f>
        <v>0</v>
      </c>
      <c r="V131" s="292">
        <f>MAX(Table16[[#This Row],[I_0]:[I_2]])-MIN(Table16[[#This Row],[I_0]:[I_1]])</f>
        <v>7.6556858855875314</v>
      </c>
      <c r="W131"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8.2996462092207288</v>
      </c>
      <c r="X131" s="345">
        <f>(Table16[[#This Row],[Irms Lf]]^2*Rdcr*(1+Ltc*Ta-Ltc*25))/(1-Table16[[#This Row],[Irms Lf]]^2*Rdcr*Ltc*ThetaCa)</f>
        <v>0.2243861071681503</v>
      </c>
      <c r="Y131" s="345">
        <f>ABS(7.759*10^-3*Fsw^0.9458*(0.00787*Table16[[#This Row],[Ripple Current pk-pk]])^2.304)</f>
        <v>2.37246778983965</v>
      </c>
      <c r="Z131" s="345">
        <f>Table16[[#This Row],[DCR    Loss]]+Table16[[#This Row],[Core Loss]]</f>
        <v>2.5968538970078003</v>
      </c>
      <c r="AA131" s="292">
        <f>IF(Table16[[#This Row],[Vin]]&gt;Vout, Table16[[#This Row],[Ripple Current pk-pk]]/SQRT(12), SQRT(Table16[[#This Row],[Duty Cycle BOOST Leg]]/(1-Table16[[#This Row],[Duty Cycle BOOST Leg]]))*SQRT(Table16[[#This Row],[Iout]]^2+(Table16[[#This Row],[Ripple Current pk-pk]]^2)/12))</f>
        <v>2.2100061534375901</v>
      </c>
      <c r="AB131" s="345">
        <f>RCoutEsr*Table16[[#This Row],[Irms Cout]]^2</f>
        <v>9.7682543964640271E-3</v>
      </c>
      <c r="AC131" s="345">
        <f>Table16[[#This Row],[Cout ESR Loss]]</f>
        <v>9.7682543964640271E-3</v>
      </c>
      <c r="AD131" s="345">
        <f>IF(Table16[[#This Row],[Vin]]&gt;Vout, SQRT(Table16[[#This Row],[Duty Cycle BUCK Leg]]*(1-Table16[[#This Row],[Duty Cycle BUCK Leg]]))*SQRT(Table16[[#This Row],[Iout]]^2+(Table16[[#This Row],[Ripple Current pk-pk]]^2)/12), Table16[[#This Row],[Ripple Current pk-pk]]/SQRT(12))</f>
        <v>3.9294025391590366</v>
      </c>
      <c r="AE131" s="345">
        <f>RCinEsr*Table16[[#This Row],[Irms Cin]]^2</f>
        <v>3.0880408629498968E-2</v>
      </c>
      <c r="AF131" s="683">
        <f>Table16[[#This Row],[Cin ESR Loss]]</f>
        <v>3.0880408629498968E-2</v>
      </c>
      <c r="AG131"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6.7466840956169252</v>
      </c>
      <c r="AH131" s="345">
        <f>Rdson1*Table16[[#This Row],[Irms BuCtrl]]^2</f>
        <v>0.15931211200117629</v>
      </c>
      <c r="AI131" s="345">
        <f>CHOOSE(Table16[[#This Row],[Mode Digit]], (Table16[[#This Row],[Vin]]*Table16[[#This Row],[Iout]]/2)*(Fsw)*(Tr_buck+Tf_buck), 0, (Table16[[#This Row],[Vin]]*Table16[[#This Row],[Avg IL]]/2)*(Fsw/1)*(Tr_buck+Tf_buck))</f>
        <v>0.72754378813165843</v>
      </c>
      <c r="AJ131" s="253">
        <f>IF(Table16[[#This Row],[Vin]]&gt;Vout, IF(Table16[[#This Row],[Iout]]&gt;Table16[[#This Row],[Ripple Current pk-pk]]/2,0,ABS(Table16[[#This Row],[Iout]]-Table16[[#This Row],[Ripple Current pk-pk]]/2)*Vsd_Q1*Deadtime*Fsw),0)</f>
        <v>0</v>
      </c>
      <c r="AK131" s="345">
        <f>(Table16[[#This Row],[Dead Time Loss BuCtrl]]+Table16[[#This Row],[Transition Loss BuCtrl]]+Table16[[#This Row],[RDS(on) Loss BuCtrl]]*(1+RdsonTopTc*Ta-RdsonTopTc*25))/(1-Table16[[#This Row],[RDS(on) Loss BuCtrl]]*RdsonTopTc*ThetaJA_Q1)</f>
        <v>0.92517782894851175</v>
      </c>
      <c r="AL131" s="345">
        <f>CHOOSE(Table16[[#This Row],[Mode Digit]],SQRT((Fsw*(Table16[[#This Row],[t2_Ph_I]]+0))*((Table16[[#This Row],[I_0]]*Table16[[#This Row],[I_1]]+((Table16[[#This Row],[I_0]]-Table16[[#This Row],[I_1]])^2)/3))),0,SQRT((Fsw*(Table16[[#This Row],[t3_Ph_III]]+0))*((Table16[[#This Row],[I_0]]*Table16[[#This Row],[I_2]]+((Table16[[#This Row],[I_0]]-Table16[[#This Row],[I_2]])^2)/3))))</f>
        <v>4.8338784544278361</v>
      </c>
      <c r="AM131" s="345">
        <f>Rdson2*Table16[[#This Row],[Irms BuSync]]^2</f>
        <v>8.1782333192635767E-2</v>
      </c>
      <c r="AN131"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31" s="345">
        <f>(Table16[[#This Row],[Deadtime Loss BuSync]]+Table16[[#This Row],[RDS(on) Loss BuSync]]*(1+RdsonBotTc*Ta-RdsonBotTc*25))/(1-Table16[[#This Row],[RDS(on) Loss BuSync]]*RdsonBotTc*ThetaJA_Q2)</f>
        <v>0.32754710037848894</v>
      </c>
      <c r="AP131" s="345">
        <f>CHOOSE(Table16[[#This Row],[Mode Digit]],0,SQRT((Fsw*(Table16[[#This Row],[t1_Ph_II]]+0))*((Table16[[#This Row],[I_0]]*Table16[[#This Row],[I_1]]+((Table16[[#This Row],[I_0]]-Table16[[#This Row],[I_1]])^2)/3))),SQRT((Fsw*(Table16[[#This Row],[t2_Ph_I]]+0))*((Table16[[#This Row],[I_1]]*Table16[[#This Row],[I_2]]+((Table16[[#This Row],[I_1]]-Table16[[#This Row],[I_2]])^2)/3))))</f>
        <v>0</v>
      </c>
      <c r="AQ131" s="345">
        <f>Rdson4*Table16[[#This Row],[Irms BoCtlr]]^2</f>
        <v>0</v>
      </c>
      <c r="AR131" s="345">
        <f>CHOOSE(Table16[[#This Row],[Mode Digit]], 0, (Vout*Table16[[#This Row],[Iin]]/2)*(Fsw)*(Tr_boost+Tf_boost), (Vout*Iout/2)*(Fsw/1)*(Tr_boost+Tf_boost))</f>
        <v>0</v>
      </c>
      <c r="AS131" s="253">
        <f>IF(Table16[[#This Row],[Vin]]&gt;Vout, 0, IF(Table16[[#This Row],[Iin]]&gt;Table16[[#This Row],[Ripple Current pk-pk]]/2,0,ABS(Table16[[#This Row],[Iin]]-Table16[[#This Row],[Ripple Current pk-pk]]/2)*Vsd_Q4*Deadtime*Fsw))</f>
        <v>0</v>
      </c>
      <c r="AT131" s="345">
        <f>(Table16[[#This Row],[Dead Time Loss BoCtlr]]+Table16[[#This Row],[Transition Loss BoCtlr]]+Table16[[#This Row],[RDS(on) Loss BoCtlr]]*(1+RdsonTopTc*Ta-RdsonTopTc*25))/(1-Table16[[#This Row],[RDS(on) Loss BoCtlr]]*RdsonTopTc*ThetaJA_Q4)</f>
        <v>0</v>
      </c>
      <c r="AU131"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8.2996462092207288</v>
      </c>
      <c r="AV131" s="345">
        <f>Rdson3*Table16[[#This Row],[Irms BoSync]]^2</f>
        <v>0.24109444519381204</v>
      </c>
      <c r="AW131"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31" s="345">
        <f>(Table16[[#This Row],[Deadtime Loss BoSync]]+Table16[[#This Row],[RDS(on) Loss BoSync]]*(1+RdsonBotTc*Ta-RdsonBotTc*25))/(1-Table16[[#This Row],[RDS(on) Loss BoSync]]*RdsonBotTc*ThetaJA_Q3)</f>
        <v>0.25721804401380177</v>
      </c>
      <c r="AY131" s="345">
        <f>CHOOSE(Table16[[#This Row],[Mode Digit]], Rdson3*Table16[[#This Row],[Irms Lf]]^2, Rdson1*Table16[[#This Row],[Irms Lf]]^2, 0)</f>
        <v>0.24109444519381204</v>
      </c>
      <c r="AZ131" s="345">
        <f>CHOOSE(Table16[[#This Row],[Mode Digit]], 2*Deadtime*Fsw*IF(VfdSky_Q2&gt;0,VfdSky_Q2,0)*Table16[[#This Row],[Iout]], 2*Deadtime*Fsw*IF(VfdSky_Q3&gt;0,VfdSky_Q3,0)*Table16[[#This Row],[Iin]], 2*Deadtime*Fsw*IF(VfdSky_Q2&gt;0,VfdSky_Q2,0)*Table16[[#This Row],[Iout]]+2*Deadtime*Fsw*IF(VfdSky_Q3&gt;0,VfdSky_Q3,0)*Table16[[#This Row],[Iin]])</f>
        <v>0</v>
      </c>
      <c r="BA131" s="345">
        <f>CHOOSE(Table16[[#This Row],[Mode Digit]], IF(QrrSky_Q2&gt;0,QrrSky_Q2,Qrr_Q2)*Fsw*(Table16[[#This Row],[Vin]]-Table16[[#This Row],[Iout]]*Rdson1),0,  IF(QrrSky_Q2&gt;0,QrrSky_Q2,Qrr_Q2)*Fsw*(Table16[[#This Row],[Vin]]-Table16[[#This Row],[Iout]]*Rdson1)+IF(QrrSky_Q3&gt;0,QrrSky_Q3,Qrr_Q3)*Fsw*Vout)</f>
        <v>0.43471152000000002</v>
      </c>
      <c r="BB131" s="345">
        <f>CHOOSE(Table16[[#This Row],[Mode Digit]],0, IF(QrrSky_Q3&gt;0,QrrSky_Q3,Qrr_Q3)*Fsw*Vout,  IF(QrrSky_Q2&gt;0,QrrSky_Q2,Qrr_Q2)*Fsw*(Table16[[#This Row],[Vin]]-Table16[[#This Row],[Iout]]*Rdson1)+IF(QrrSky_Q3&gt;0,QrrSky_Q3,Qrr_Q3)*Fsw*Vout)</f>
        <v>0</v>
      </c>
      <c r="BC131" s="345">
        <f>CHOOSE(Table16[[#This Row],[Mode Digit]], Rs*Table16[[#This Row],[Irms BuSync]]^2, Rs*Table16[[#This Row],[Irms BoCtlr]]^2, Rs*(Table16[[#This Row],[Irms BuSync]]^2+Table16[[#This Row],[Irms BoCtlr]]^2))</f>
        <v>3.0376295185836139E-2</v>
      </c>
      <c r="BD131" s="345">
        <f t="shared" si="5"/>
        <v>0.64</v>
      </c>
      <c r="BE131" s="345">
        <f>IF(Vout&gt;8, Iq*Vout, Iq*Table16[[#This Row],[Vin]])</f>
        <v>4.8000000000000001E-2</v>
      </c>
      <c r="BF131" s="345">
        <f>CHOOSE(Table16[[#This Row],[Mode Digit]], (Qg_Q1+Qg_Q2)*Fsw, (Qg_Q3+Qg_Q4)*Fsw, (Qg_Q1+Qg_Q2+Qg_Q3+Qg_Q4)*Fsw)*IF(Vout&gt;8, Vout, Table16[[#This Row],[Vin]])</f>
        <v>0.85331200000000007</v>
      </c>
      <c r="BG131" s="345">
        <f t="shared" si="6"/>
        <v>0.50594479787234037</v>
      </c>
      <c r="BH131" s="345">
        <f>Table16[[#This Row],[IQ Loss]]+Table16[[#This Row],[Switching Current Loss]]</f>
        <v>0.90131200000000011</v>
      </c>
      <c r="BI131"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6.1538453485604014</v>
      </c>
      <c r="BJ131" s="253">
        <f>Vout*Table16[[#This Row],[Iout]]</f>
        <v>128</v>
      </c>
      <c r="BK131" s="684">
        <f>Table16[[#This Row],[Pout]]/(Table16[[#This Row],[Pout]]+Table16[[#This Row],[Total Loss]])</f>
        <v>0.95412844609432257</v>
      </c>
      <c r="BL131"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60.136558881653265</v>
      </c>
      <c r="BM131" s="685">
        <f>IF(Table16[[#This Row],[Vin]]&gt;Vout, Table16[[#This Row],[Total Sync Bu MOSFET Loss]]*ThetaJA_Q2, ThetaJA_Q3*Table16[[#This Row],[Total Sync Bo MOSFET Loss]])</f>
        <v>21.290561524601781</v>
      </c>
      <c r="BN131" s="640"/>
      <c r="BO131" s="292">
        <f>Table16[[#This Row],[EFF, h]]*100</f>
        <v>95.412844609432256</v>
      </c>
      <c r="BP131" s="345">
        <f>Table16[[#This Row],[Total Inductor Loss]]</f>
        <v>2.5968538970078003</v>
      </c>
      <c r="BQ131" s="345">
        <f>Table16[[#This Row],[Total Control Bu MOSFET Loss]]+Table16[[#This Row],[Total Sync Bu MOSFET Loss]]+Table16[[#This Row],[Total Control Bo MOSFET Loss]]+Table16[[#This Row],[Total Sync Bo MOSFET Loss]]+Table16[[#This Row],[Reverse Recovery Loss MOSFET D BUCK]]+Table16[[#This Row],[Reverse Recovery Loss MOSFET D BOOST]]</f>
        <v>1.9446544933408023</v>
      </c>
      <c r="BR131" s="345">
        <f>Table16[[#This Row],[Total Control Bu MOSFET Loss]]+Table16[[#This Row],[Reverse Recovery Loss MOSFET D BUCK]]*0.66</f>
        <v>1.2120874321485118</v>
      </c>
      <c r="BS131" s="345">
        <f>Table16[[#This Row],[Total Sync Bu MOSFET Loss]]+Table16[[#This Row],[Reverse Recovery Loss MOSFET D BUCK]]*0.33</f>
        <v>0.47100190197848896</v>
      </c>
      <c r="BT131" s="345">
        <f xml:space="preserve"> Table16[[#This Row],[Total Control Bo MOSFET Loss]]+Table16[[#This Row],[Reverse Recovery Loss MOSFET D BOOST]]*0.66</f>
        <v>0</v>
      </c>
      <c r="BU131" s="345">
        <f xml:space="preserve"> Table16[[#This Row],[Total Sync Bo MOSFET Loss]]+Table16[[#This Row],[Reverse Recovery Loss MOSFET D BOOST]]*0.33</f>
        <v>0.25721804401380177</v>
      </c>
      <c r="BV131" s="345">
        <f>Table16[[#This Row],[Isense Shunt Loss]]</f>
        <v>3.0376295185836139E-2</v>
      </c>
    </row>
    <row r="132" spans="7:74" x14ac:dyDescent="0.2">
      <c r="G132" s="253">
        <v>123</v>
      </c>
      <c r="H132" s="286">
        <f>VIN_min+(VIN_max-VIN_min)*(Table16[[#This Row],[Step]]/200)</f>
        <v>24.45</v>
      </c>
      <c r="I132" s="292" t="str">
        <f>IF(Mode = 2,IF(Table16[[#This Row],[Vin]]&gt;Vout, "BUCK","BOOST"),IF(Table16[[#This Row],[Vin]]&gt;VIN_BB_to_buck, "BUCK", IF(Table16[[#This Row],[Vin]]&lt;=VIN_boost_to_BB,"BOOST","BUCK-BST")))</f>
        <v>BUCK</v>
      </c>
      <c r="J132" s="253">
        <f>IF(Table16[[#This Row],[Mode]]="BOOST",2, IF(Table16[[#This Row],[Mode]]="BUCK", 1,3))</f>
        <v>1</v>
      </c>
      <c r="K132" s="253">
        <f t="shared" si="4"/>
        <v>8</v>
      </c>
      <c r="L132" s="292">
        <f>Vout*Table16[[#This Row],[Iout]]/(Table16[[#This Row],[Vin]]*Efficiency)</f>
        <v>5.5107092885588207</v>
      </c>
      <c r="M132" s="682">
        <f>MIN(1/Fsw,CHOOSE(Table16[[#This Row],[Mode Digit]],(Vout+(Rdson2+Rs+Rdcr)*Table16[[#This Row],[Iout]])/(Table16[[#This Row],[Vin]]+(Rs+Rdson2-Rdson1)*Table16[[#This Row],[Iout]])/Fsw,(Vout+(Rdson3+Rdcr)*Table16[[#This Row],[Iin]]-Table16[[#This Row],[Vin]])/(Vout+(Rdson3-Rdson4-Rs)*Table16[[#This Row],[Iin]])/Fsw,t1_Ph_II))</f>
        <v>1.65008785813912E-6</v>
      </c>
      <c r="N132" s="518">
        <f>CHOOSE(Table16[[#This Row],[Mode Digit]],1/Fsw-Table16[[#This Row],[t1_Ph_II]],1/Fsw-Table16[[#This Row],[t1_Ph_II]],(Vout/Fsw-Table16[[#This Row],[Vin]]*t1_Ph_II)/(Table16[[#This Row],[Vin]]+Vout))</f>
        <v>8.6247495593123193E-7</v>
      </c>
      <c r="O132" s="518">
        <f>1/Fsw-(Table16[[#This Row],[t1_Ph_II]]+Table16[[#This Row],[t2_Ph_I]])</f>
        <v>0</v>
      </c>
      <c r="P132"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4.1268771107567881</v>
      </c>
      <c r="Q132" s="292">
        <f>CHOOSE(Table16[[#This Row],[Mode Digit]],Table16[[#This Row],[I_0]]+1/Lf*(Table16[[#This Row],[Vin]]-Vout)*Table16[[#This Row],[t1_Ph_II]],Table16[[#This Row],[I_0]]+1/Lf*Table16[[#This Row],[Vin]]*Table16[[#This Row],[t1_Ph_II]],Table16[[#This Row],[I_0]]+(Table16[[#This Row],[Vin]]-Vout)/L*Table16[[#This Row],[t1_Ph_II]])</f>
        <v>11.873122889243213</v>
      </c>
      <c r="R132" s="292">
        <f>CHOOSE(Table16[[#This Row],[Mode Digit]],0,0,Table16[[#This Row],[I_1]]+Table16[[#This Row],[Vin]]/L*Table16[[#This Row],[t2_Ph_I]])</f>
        <v>0</v>
      </c>
      <c r="S132" s="292">
        <f>Fsw*(Table16[[#This Row],[I_0]]*Table16[[#This Row],[t1_Ph_II]]+Table16[[#This Row],[I_1]]*Table16[[#This Row],[t2_Ph_I]]+Table16[[#This Row],[I_2]]*Table16[[#This Row],[t3_Ph_III]])</f>
        <v>6.7858924193569514</v>
      </c>
      <c r="T132" s="345">
        <f>MIN(1,CHOOSE(Table16[[#This Row],[Mode Digit]],(Vout+(Rdson2+Rs+Rdcr)*Table16[[#This Row],[Iout]])/(Table16[[#This Row],[Vin]]+(Rs+Rdson2-Rdson1)*Table16[[#This Row],[Iout]]),1,Fsw*Table16[[#This Row],[t2_Ph_I]]+Table16[[#This Row],[t1_Ph_II]]))</f>
        <v>0.65673496753936977</v>
      </c>
      <c r="U132" s="345">
        <f>MIN(1,CHOOSE(Table16[[#This Row],[Mode Digit]],0,(Vout+(Rdson3+Rdcr)*Table16[[#This Row],[Iin]]-Table16[[#This Row],[Vin]])/(Vout+(Rdson3-Rdson4-Rs)*Table16[[#This Row],[Iin]]),Fsw*Table16[[#This Row],[t1_Ph_II]]+Table16[[#This Row],[t3_Ph_III]]))</f>
        <v>0</v>
      </c>
      <c r="V132" s="292">
        <f>MAX(Table16[[#This Row],[I_0]:[I_2]])-MIN(Table16[[#This Row],[I_0]:[I_1]])</f>
        <v>7.7462457784864247</v>
      </c>
      <c r="W132"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8.3066455507057668</v>
      </c>
      <c r="X132" s="345">
        <f>(Table16[[#This Row],[Irms Lf]]^2*Rdcr*(1+Ltc*Ta-Ltc*25))/(1-Table16[[#This Row],[Irms Lf]]^2*Rdcr*Ltc*ThetaCa)</f>
        <v>0.22477153815872603</v>
      </c>
      <c r="Y132" s="345">
        <f>ABS(7.759*10^-3*Fsw^0.9458*(0.00787*Table16[[#This Row],[Ripple Current pk-pk]])^2.304)</f>
        <v>2.4376269154859429</v>
      </c>
      <c r="Z132" s="345">
        <f>Table16[[#This Row],[DCR    Loss]]+Table16[[#This Row],[Core Loss]]</f>
        <v>2.662398453644669</v>
      </c>
      <c r="AA132" s="292">
        <f>IF(Table16[[#This Row],[Vin]]&gt;Vout, Table16[[#This Row],[Ripple Current pk-pk]]/SQRT(12), SQRT(Table16[[#This Row],[Duty Cycle BOOST Leg]]/(1-Table16[[#This Row],[Duty Cycle BOOST Leg]]))*SQRT(Table16[[#This Row],[Iout]]^2+(Table16[[#This Row],[Ripple Current pk-pk]]^2)/12))</f>
        <v>2.2361485427090697</v>
      </c>
      <c r="AB132" s="345">
        <f>RCoutEsr*Table16[[#This Row],[Irms Cout]]^2</f>
        <v>1.0000720610119793E-2</v>
      </c>
      <c r="AC132" s="345">
        <f>Table16[[#This Row],[Cout ESR Loss]]</f>
        <v>1.0000720610119793E-2</v>
      </c>
      <c r="AD132" s="345">
        <f>IF(Table16[[#This Row],[Vin]]&gt;Vout, SQRT(Table16[[#This Row],[Duty Cycle BUCK Leg]]*(1-Table16[[#This Row],[Duty Cycle BUCK Leg]]))*SQRT(Table16[[#This Row],[Iout]]^2+(Table16[[#This Row],[Ripple Current pk-pk]]^2)/12), Table16[[#This Row],[Ripple Current pk-pk]]/SQRT(12))</f>
        <v>3.9439875217404987</v>
      </c>
      <c r="AE132" s="345">
        <f>RCinEsr*Table16[[#This Row],[Irms Cin]]^2</f>
        <v>3.111007514328952E-2</v>
      </c>
      <c r="AF132" s="683">
        <f>Table16[[#This Row],[Cin ESR Loss]]</f>
        <v>3.111007514328952E-2</v>
      </c>
      <c r="AG132"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6.7316379422209218</v>
      </c>
      <c r="AH132" s="345">
        <f>Rdson1*Table16[[#This Row],[Irms BuCtrl]]^2</f>
        <v>0.15860232284801914</v>
      </c>
      <c r="AI132" s="345">
        <f>CHOOSE(Table16[[#This Row],[Mode Digit]], (Table16[[#This Row],[Vin]]*Table16[[#This Row],[Iout]]/2)*(Fsw)*(Tr_buck+Tf_buck), 0, (Table16[[#This Row],[Vin]]*Table16[[#This Row],[Avg IL]]/2)*(Fsw/1)*(Tr_buck+Tf_buck))</f>
        <v>0.73203479916950809</v>
      </c>
      <c r="AJ132" s="253">
        <f>IF(Table16[[#This Row],[Vin]]&gt;Vout, IF(Table16[[#This Row],[Iout]]&gt;Table16[[#This Row],[Ripple Current pk-pk]]/2,0,ABS(Table16[[#This Row],[Iout]]-Table16[[#This Row],[Ripple Current pk-pk]]/2)*Vsd_Q1*Deadtime*Fsw),0)</f>
        <v>0</v>
      </c>
      <c r="AK132" s="345">
        <f>(Table16[[#This Row],[Dead Time Loss BuCtrl]]+Table16[[#This Row],[Transition Loss BuCtrl]]+Table16[[#This Row],[RDS(on) Loss BuCtrl]]*(1+RdsonTopTc*Ta-RdsonTopTc*25))/(1-Table16[[#This Row],[RDS(on) Loss BuCtrl]]*RdsonTopTc*ThetaJA_Q1)</f>
        <v>0.92894360139114152</v>
      </c>
      <c r="AL132" s="345">
        <f>CHOOSE(Table16[[#This Row],[Mode Digit]],SQRT((Fsw*(Table16[[#This Row],[t2_Ph_I]]+0))*((Table16[[#This Row],[I_0]]*Table16[[#This Row],[I_1]]+((Table16[[#This Row],[I_0]]-Table16[[#This Row],[I_1]])^2)/3))),0,SQRT((Fsw*(Table16[[#This Row],[t3_Ph_III]]+0))*((Table16[[#This Row],[I_0]]*Table16[[#This Row],[I_2]]+((Table16[[#This Row],[I_0]]-Table16[[#This Row],[I_2]])^2)/3))))</f>
        <v>4.8667659610784222</v>
      </c>
      <c r="AM132" s="345">
        <f>Rdson2*Table16[[#This Row],[Irms BuSync]]^2</f>
        <v>8.2898938219690535E-2</v>
      </c>
      <c r="AN132"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32" s="345">
        <f>(Table16[[#This Row],[Deadtime Loss BuSync]]+Table16[[#This Row],[RDS(on) Loss BuSync]]*(1+RdsonBotTc*Ta-RdsonBotTc*25))/(1-Table16[[#This Row],[RDS(on) Loss BuSync]]*RdsonBotTc*ThetaJA_Q2)</f>
        <v>0.32878548990360335</v>
      </c>
      <c r="AP132" s="345">
        <f>CHOOSE(Table16[[#This Row],[Mode Digit]],0,SQRT((Fsw*(Table16[[#This Row],[t1_Ph_II]]+0))*((Table16[[#This Row],[I_0]]*Table16[[#This Row],[I_1]]+((Table16[[#This Row],[I_0]]-Table16[[#This Row],[I_1]])^2)/3))),SQRT((Fsw*(Table16[[#This Row],[t2_Ph_I]]+0))*((Table16[[#This Row],[I_1]]*Table16[[#This Row],[I_2]]+((Table16[[#This Row],[I_1]]-Table16[[#This Row],[I_2]])^2)/3))))</f>
        <v>0</v>
      </c>
      <c r="AQ132" s="345">
        <f>Rdson4*Table16[[#This Row],[Irms BoCtlr]]^2</f>
        <v>0</v>
      </c>
      <c r="AR132" s="345">
        <f>CHOOSE(Table16[[#This Row],[Mode Digit]], 0, (Vout*Table16[[#This Row],[Iin]]/2)*(Fsw)*(Tr_boost+Tf_boost), (Vout*Iout/2)*(Fsw/1)*(Tr_boost+Tf_boost))</f>
        <v>0</v>
      </c>
      <c r="AS132" s="253">
        <f>IF(Table16[[#This Row],[Vin]]&gt;Vout, 0, IF(Table16[[#This Row],[Iin]]&gt;Table16[[#This Row],[Ripple Current pk-pk]]/2,0,ABS(Table16[[#This Row],[Iin]]-Table16[[#This Row],[Ripple Current pk-pk]]/2)*Vsd_Q4*Deadtime*Fsw))</f>
        <v>0</v>
      </c>
      <c r="AT132" s="345">
        <f>(Table16[[#This Row],[Dead Time Loss BoCtlr]]+Table16[[#This Row],[Transition Loss BoCtlr]]+Table16[[#This Row],[RDS(on) Loss BoCtlr]]*(1+RdsonTopTc*Ta-RdsonTopTc*25))/(1-Table16[[#This Row],[RDS(on) Loss BoCtlr]]*RdsonTopTc*ThetaJA_Q4)</f>
        <v>0</v>
      </c>
      <c r="AU132"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8.3066455507057668</v>
      </c>
      <c r="AV132" s="345">
        <f>Rdson3*Table16[[#This Row],[Irms BoSync]]^2</f>
        <v>0.24150126106770969</v>
      </c>
      <c r="AW132"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32" s="345">
        <f>(Table16[[#This Row],[Deadtime Loss BoSync]]+Table16[[#This Row],[RDS(on) Loss BoSync]]*(1+RdsonBotTc*Ta-RdsonBotTc*25))/(1-Table16[[#This Row],[RDS(on) Loss BoSync]]*RdsonBotTc*ThetaJA_Q3)</f>
        <v>0.25768114462669639</v>
      </c>
      <c r="AY132" s="345">
        <f>CHOOSE(Table16[[#This Row],[Mode Digit]], Rdson3*Table16[[#This Row],[Irms Lf]]^2, Rdson1*Table16[[#This Row],[Irms Lf]]^2, 0)</f>
        <v>0.24150126106770969</v>
      </c>
      <c r="AZ132" s="345">
        <f>CHOOSE(Table16[[#This Row],[Mode Digit]], 2*Deadtime*Fsw*IF(VfdSky_Q2&gt;0,VfdSky_Q2,0)*Table16[[#This Row],[Iout]], 2*Deadtime*Fsw*IF(VfdSky_Q3&gt;0,VfdSky_Q3,0)*Table16[[#This Row],[Iin]], 2*Deadtime*Fsw*IF(VfdSky_Q2&gt;0,VfdSky_Q2,0)*Table16[[#This Row],[Iout]]+2*Deadtime*Fsw*IF(VfdSky_Q3&gt;0,VfdSky_Q3,0)*Table16[[#This Row],[Iin]])</f>
        <v>0</v>
      </c>
      <c r="BA132" s="345">
        <f>CHOOSE(Table16[[#This Row],[Mode Digit]], IF(QrrSky_Q2&gt;0,QrrSky_Q2,Qrr_Q2)*Fsw*(Table16[[#This Row],[Vin]]-Table16[[#This Row],[Iout]]*Rdson1),0,  IF(QrrSky_Q2&gt;0,QrrSky_Q2,Qrr_Q2)*Fsw*(Table16[[#This Row],[Vin]]-Table16[[#This Row],[Iout]]*Rdson1)+IF(QrrSky_Q3&gt;0,QrrSky_Q3,Qrr_Q3)*Fsw*Vout)</f>
        <v>0.43739802</v>
      </c>
      <c r="BB132" s="345">
        <f>CHOOSE(Table16[[#This Row],[Mode Digit]],0, IF(QrrSky_Q3&gt;0,QrrSky_Q3,Qrr_Q3)*Fsw*Vout,  IF(QrrSky_Q2&gt;0,QrrSky_Q2,Qrr_Q2)*Fsw*(Table16[[#This Row],[Vin]]-Table16[[#This Row],[Iout]]*Rdson1)+IF(QrrSky_Q3&gt;0,QrrSky_Q3,Qrr_Q3)*Fsw*Vout)</f>
        <v>0</v>
      </c>
      <c r="BC132" s="345">
        <f>CHOOSE(Table16[[#This Row],[Mode Digit]], Rs*Table16[[#This Row],[Irms BuSync]]^2, Rs*Table16[[#This Row],[Irms BoCtlr]]^2, Rs*(Table16[[#This Row],[Irms BuSync]]^2+Table16[[#This Row],[Irms BoCtlr]]^2))</f>
        <v>3.079103419588505E-2</v>
      </c>
      <c r="BD132" s="345">
        <f t="shared" si="5"/>
        <v>0.64</v>
      </c>
      <c r="BE132" s="345">
        <f>IF(Vout&gt;8, Iq*Vout, Iq*Table16[[#This Row],[Vin]])</f>
        <v>4.8000000000000001E-2</v>
      </c>
      <c r="BF132" s="345">
        <f>CHOOSE(Table16[[#This Row],[Mode Digit]], (Qg_Q1+Qg_Q2)*Fsw, (Qg_Q3+Qg_Q4)*Fsw, (Qg_Q1+Qg_Q2+Qg_Q3+Qg_Q4)*Fsw)*IF(Vout&gt;8, Vout, Table16[[#This Row],[Vin]])</f>
        <v>0.85331200000000007</v>
      </c>
      <c r="BG132" s="345">
        <f t="shared" si="6"/>
        <v>0.50594479787234037</v>
      </c>
      <c r="BH132" s="345">
        <f>Table16[[#This Row],[IQ Loss]]+Table16[[#This Row],[Switching Current Loss]]</f>
        <v>0.90131200000000011</v>
      </c>
      <c r="BI132"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6.2284205395154038</v>
      </c>
      <c r="BJ132" s="253">
        <f>Vout*Table16[[#This Row],[Iout]]</f>
        <v>128</v>
      </c>
      <c r="BK132" s="684">
        <f>Table16[[#This Row],[Pout]]/(Table16[[#This Row],[Pout]]+Table16[[#This Row],[Total Loss]])</f>
        <v>0.95359834739557392</v>
      </c>
      <c r="BL132"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60.381334090424197</v>
      </c>
      <c r="BM132" s="685">
        <f>IF(Table16[[#This Row],[Vin]]&gt;Vout, Table16[[#This Row],[Total Sync Bu MOSFET Loss]]*ThetaJA_Q2, ThetaJA_Q3*Table16[[#This Row],[Total Sync Bo MOSFET Loss]])</f>
        <v>21.371056843734216</v>
      </c>
      <c r="BN132" s="640"/>
      <c r="BO132" s="292">
        <f>Table16[[#This Row],[EFF, h]]*100</f>
        <v>95.359834739557385</v>
      </c>
      <c r="BP132" s="345">
        <f>Table16[[#This Row],[Total Inductor Loss]]</f>
        <v>2.662398453644669</v>
      </c>
      <c r="BQ132" s="345">
        <f>Table16[[#This Row],[Total Control Bu MOSFET Loss]]+Table16[[#This Row],[Total Sync Bu MOSFET Loss]]+Table16[[#This Row],[Total Control Bo MOSFET Loss]]+Table16[[#This Row],[Total Sync Bo MOSFET Loss]]+Table16[[#This Row],[Reverse Recovery Loss MOSFET D BUCK]]+Table16[[#This Row],[Reverse Recovery Loss MOSFET D BOOST]]</f>
        <v>1.9528082559214415</v>
      </c>
      <c r="BR132" s="345">
        <f>Table16[[#This Row],[Total Control Bu MOSFET Loss]]+Table16[[#This Row],[Reverse Recovery Loss MOSFET D BUCK]]*0.66</f>
        <v>1.2176262945911416</v>
      </c>
      <c r="BS132" s="345">
        <f>Table16[[#This Row],[Total Sync Bu MOSFET Loss]]+Table16[[#This Row],[Reverse Recovery Loss MOSFET D BUCK]]*0.33</f>
        <v>0.47312683650360332</v>
      </c>
      <c r="BT132" s="345">
        <f xml:space="preserve"> Table16[[#This Row],[Total Control Bo MOSFET Loss]]+Table16[[#This Row],[Reverse Recovery Loss MOSFET D BOOST]]*0.66</f>
        <v>0</v>
      </c>
      <c r="BU132" s="345">
        <f xml:space="preserve"> Table16[[#This Row],[Total Sync Bo MOSFET Loss]]+Table16[[#This Row],[Reverse Recovery Loss MOSFET D BOOST]]*0.33</f>
        <v>0.25768114462669639</v>
      </c>
      <c r="BV132" s="345">
        <f>Table16[[#This Row],[Isense Shunt Loss]]</f>
        <v>3.079103419588505E-2</v>
      </c>
    </row>
    <row r="133" spans="7:74" x14ac:dyDescent="0.2">
      <c r="G133" s="253">
        <v>124</v>
      </c>
      <c r="H133" s="286">
        <f>VIN_min+(VIN_max-VIN_min)*(Table16[[#This Row],[Step]]/200)</f>
        <v>24.6</v>
      </c>
      <c r="I133" s="292" t="str">
        <f>IF(Mode = 2,IF(Table16[[#This Row],[Vin]]&gt;Vout, "BUCK","BOOST"),IF(Table16[[#This Row],[Vin]]&gt;VIN_BB_to_buck, "BUCK", IF(Table16[[#This Row],[Vin]]&lt;=VIN_boost_to_BB,"BOOST","BUCK-BST")))</f>
        <v>BUCK</v>
      </c>
      <c r="J133" s="253">
        <f>IF(Table16[[#This Row],[Mode]]="BOOST",2, IF(Table16[[#This Row],[Mode]]="BUCK", 1,3))</f>
        <v>1</v>
      </c>
      <c r="K133" s="253">
        <f t="shared" si="4"/>
        <v>8</v>
      </c>
      <c r="L133" s="292">
        <f>Vout*Table16[[#This Row],[Iout]]/(Table16[[#This Row],[Vin]]*Efficiency)</f>
        <v>5.4771074026529734</v>
      </c>
      <c r="M133" s="682">
        <f>MIN(1/Fsw,CHOOSE(Table16[[#This Row],[Mode Digit]],(Vout+(Rdson2+Rs+Rdcr)*Table16[[#This Row],[Iout]])/(Table16[[#This Row],[Vin]]+(Rs+Rdson2-Rdson1)*Table16[[#This Row],[Iout]])/Fsw,(Vout+(Rdson3+Rdcr)*Table16[[#This Row],[Iin]]-Table16[[#This Row],[Vin]])/(Vout+(Rdson3-Rdson4-Rs)*Table16[[#This Row],[Iin]])/Fsw,t1_Ph_II))</f>
        <v>1.64003059865854E-6</v>
      </c>
      <c r="N133" s="518">
        <f>CHOOSE(Table16[[#This Row],[Mode Digit]],1/Fsw-Table16[[#This Row],[t1_Ph_II]],1/Fsw-Table16[[#This Row],[t1_Ph_II]],(Vout/Fsw-Table16[[#This Row],[Vin]]*t1_Ph_II)/(Table16[[#This Row],[Vin]]+Vout))</f>
        <v>8.7253221541181194E-7</v>
      </c>
      <c r="O133" s="518">
        <f>1/Fsw-(Table16[[#This Row],[t1_Ph_II]]+Table16[[#This Row],[t2_Ph_I]])</f>
        <v>0</v>
      </c>
      <c r="P133"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4.0821491254268212</v>
      </c>
      <c r="Q133" s="292">
        <f>CHOOSE(Table16[[#This Row],[Mode Digit]],Table16[[#This Row],[I_0]]+1/Lf*(Table16[[#This Row],[Vin]]-Vout)*Table16[[#This Row],[t1_Ph_II]],Table16[[#This Row],[I_0]]+1/Lf*Table16[[#This Row],[Vin]]*Table16[[#This Row],[t1_Ph_II]],Table16[[#This Row],[I_0]]+(Table16[[#This Row],[Vin]]-Vout)/L*Table16[[#This Row],[t1_Ph_II]])</f>
        <v>11.91785087457318</v>
      </c>
      <c r="R133" s="292">
        <f>CHOOSE(Table16[[#This Row],[Mode Digit]],0,0,Table16[[#This Row],[I_1]]+Table16[[#This Row],[Vin]]/L*Table16[[#This Row],[t2_Ph_I]])</f>
        <v>0</v>
      </c>
      <c r="S133" s="292">
        <f>Fsw*(Table16[[#This Row],[I_0]]*Table16[[#This Row],[t1_Ph_II]]+Table16[[#This Row],[I_1]]*Table16[[#This Row],[t2_Ph_I]]+Table16[[#This Row],[I_2]]*Table16[[#This Row],[t3_Ph_III]])</f>
        <v>6.8032362036093961</v>
      </c>
      <c r="T133" s="345">
        <f>MIN(1,CHOOSE(Table16[[#This Row],[Mode Digit]],(Vout+(Rdson2+Rs+Rdcr)*Table16[[#This Row],[Iout]])/(Table16[[#This Row],[Vin]]+(Rs+Rdson2-Rdson1)*Table16[[#This Row],[Iout]]),1,Fsw*Table16[[#This Row],[t2_Ph_I]]+Table16[[#This Row],[t1_Ph_II]]))</f>
        <v>0.65273217826609886</v>
      </c>
      <c r="U133" s="345">
        <f>MIN(1,CHOOSE(Table16[[#This Row],[Mode Digit]],0,(Vout+(Rdson3+Rdcr)*Table16[[#This Row],[Iin]]-Table16[[#This Row],[Vin]])/(Vout+(Rdson3-Rdson4-Rs)*Table16[[#This Row],[Iin]]),Fsw*Table16[[#This Row],[t1_Ph_II]]+Table16[[#This Row],[t3_Ph_III]]))</f>
        <v>0</v>
      </c>
      <c r="V133" s="292">
        <f>MAX(Table16[[#This Row],[I_0]:[I_2]])-MIN(Table16[[#This Row],[I_0]:[I_1]])</f>
        <v>7.8357017491463585</v>
      </c>
      <c r="W133"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8.3136344935171369</v>
      </c>
      <c r="X133" s="345">
        <f>(Table16[[#This Row],[Irms Lf]]^2*Rdcr*(1+Ltc*Ta-Ltc*25))/(1-Table16[[#This Row],[Irms Lf]]^2*Rdcr*Ltc*ThetaCa)</f>
        <v>0.22515674404109928</v>
      </c>
      <c r="Y133" s="345">
        <f>ABS(7.759*10^-3*Fsw^0.9458*(0.00787*Table16[[#This Row],[Ripple Current pk-pk]])^2.304)</f>
        <v>2.5029744684039943</v>
      </c>
      <c r="Z133" s="345">
        <f>Table16[[#This Row],[DCR    Loss]]+Table16[[#This Row],[Core Loss]]</f>
        <v>2.7281312124450934</v>
      </c>
      <c r="AA133" s="292">
        <f>IF(Table16[[#This Row],[Vin]]&gt;Vout, Table16[[#This Row],[Ripple Current pk-pk]]/SQRT(12), SQRT(Table16[[#This Row],[Duty Cycle BOOST Leg]]/(1-Table16[[#This Row],[Duty Cycle BOOST Leg]]))*SQRT(Table16[[#This Row],[Iout]]^2+(Table16[[#This Row],[Ripple Current pk-pk]]^2)/12))</f>
        <v>2.2619722570796359</v>
      </c>
      <c r="AB133" s="345">
        <f>RCoutEsr*Table16[[#This Row],[Irms Cout]]^2</f>
        <v>1.0233036983595884E-2</v>
      </c>
      <c r="AC133" s="345">
        <f>Table16[[#This Row],[Cout ESR Loss]]</f>
        <v>1.0233036983595884E-2</v>
      </c>
      <c r="AD133" s="345">
        <f>IF(Table16[[#This Row],[Vin]]&gt;Vout, SQRT(Table16[[#This Row],[Duty Cycle BUCK Leg]]*(1-Table16[[#This Row],[Duty Cycle BUCK Leg]]))*SQRT(Table16[[#This Row],[Iout]]^2+(Table16[[#This Row],[Ripple Current pk-pk]]^2)/12), Table16[[#This Row],[Ripple Current pk-pk]]/SQRT(12))</f>
        <v>3.9581359781005681</v>
      </c>
      <c r="AE133" s="345">
        <f>RCinEsr*Table16[[#This Row],[Irms Cin]]^2</f>
        <v>3.1333680842268279E-2</v>
      </c>
      <c r="AF133" s="683">
        <f>Table16[[#This Row],[Cin ESR Loss]]</f>
        <v>3.1333680842268279E-2</v>
      </c>
      <c r="AG133"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6.7167384696235102</v>
      </c>
      <c r="AH133" s="345">
        <f>Rdson1*Table16[[#This Row],[Irms BuCtrl]]^2</f>
        <v>0.15790101484262131</v>
      </c>
      <c r="AI133" s="345">
        <f>CHOOSE(Table16[[#This Row],[Mode Digit]], (Table16[[#This Row],[Vin]]*Table16[[#This Row],[Iout]]/2)*(Fsw)*(Tr_buck+Tf_buck), 0, (Table16[[#This Row],[Vin]]*Table16[[#This Row],[Avg IL]]/2)*(Fsw/1)*(Tr_buck+Tf_buck))</f>
        <v>0.73652581020735786</v>
      </c>
      <c r="AJ133" s="253">
        <f>IF(Table16[[#This Row],[Vin]]&gt;Vout, IF(Table16[[#This Row],[Iout]]&gt;Table16[[#This Row],[Ripple Current pk-pk]]/2,0,ABS(Table16[[#This Row],[Iout]]-Table16[[#This Row],[Ripple Current pk-pk]]/2)*Vsd_Q1*Deadtime*Fsw),0)</f>
        <v>0</v>
      </c>
      <c r="AK133" s="345">
        <f>(Table16[[#This Row],[Dead Time Loss BuCtrl]]+Table16[[#This Row],[Transition Loss BuCtrl]]+Table16[[#This Row],[RDS(on) Loss BuCtrl]]*(1+RdsonTopTc*Ta-RdsonTopTc*25))/(1-Table16[[#This Row],[RDS(on) Loss BuCtrl]]*RdsonTopTc*ThetaJA_Q1)</f>
        <v>0.932718913428217</v>
      </c>
      <c r="AL133" s="345">
        <f>CHOOSE(Table16[[#This Row],[Mode Digit]],SQRT((Fsw*(Table16[[#This Row],[t2_Ph_I]]+0))*((Table16[[#This Row],[I_0]]*Table16[[#This Row],[I_1]]+((Table16[[#This Row],[I_0]]-Table16[[#This Row],[I_1]])^2)/3))),0,SQRT((Fsw*(Table16[[#This Row],[t3_Ph_III]]+0))*((Table16[[#This Row],[I_0]]*Table16[[#This Row],[I_2]]+((Table16[[#This Row],[I_0]]-Table16[[#This Row],[I_2]])^2)/3))))</f>
        <v>4.8991777700423942</v>
      </c>
      <c r="AM133" s="345">
        <f>Rdson2*Table16[[#This Row],[Irms BuSync]]^2</f>
        <v>8.400679987867149E-2</v>
      </c>
      <c r="AN133"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33" s="345">
        <f>(Table16[[#This Row],[Deadtime Loss BuSync]]+Table16[[#This Row],[RDS(on) Loss BuSync]]*(1+RdsonBotTc*Ta-RdsonBotTc*25))/(1-Table16[[#This Row],[RDS(on) Loss BuSync]]*RdsonBotTc*ThetaJA_Q2)</f>
        <v>0.33001490894600066</v>
      </c>
      <c r="AP133" s="345">
        <f>CHOOSE(Table16[[#This Row],[Mode Digit]],0,SQRT((Fsw*(Table16[[#This Row],[t1_Ph_II]]+0))*((Table16[[#This Row],[I_0]]*Table16[[#This Row],[I_1]]+((Table16[[#This Row],[I_0]]-Table16[[#This Row],[I_1]])^2)/3))),SQRT((Fsw*(Table16[[#This Row],[t2_Ph_I]]+0))*((Table16[[#This Row],[I_1]]*Table16[[#This Row],[I_2]]+((Table16[[#This Row],[I_1]]-Table16[[#This Row],[I_2]])^2)/3))))</f>
        <v>0</v>
      </c>
      <c r="AQ133" s="345">
        <f>Rdson4*Table16[[#This Row],[Irms BoCtlr]]^2</f>
        <v>0</v>
      </c>
      <c r="AR133" s="345">
        <f>CHOOSE(Table16[[#This Row],[Mode Digit]], 0, (Vout*Table16[[#This Row],[Iin]]/2)*(Fsw)*(Tr_boost+Tf_boost), (Vout*Iout/2)*(Fsw/1)*(Tr_boost+Tf_boost))</f>
        <v>0</v>
      </c>
      <c r="AS133" s="253">
        <f>IF(Table16[[#This Row],[Vin]]&gt;Vout, 0, IF(Table16[[#This Row],[Iin]]&gt;Table16[[#This Row],[Ripple Current pk-pk]]/2,0,ABS(Table16[[#This Row],[Iin]]-Table16[[#This Row],[Ripple Current pk-pk]]/2)*Vsd_Q4*Deadtime*Fsw))</f>
        <v>0</v>
      </c>
      <c r="AT133" s="345">
        <f>(Table16[[#This Row],[Dead Time Loss BoCtlr]]+Table16[[#This Row],[Transition Loss BoCtlr]]+Table16[[#This Row],[RDS(on) Loss BoCtlr]]*(1+RdsonTopTc*Ta-RdsonTopTc*25))/(1-Table16[[#This Row],[RDS(on) Loss BoCtlr]]*RdsonTopTc*ThetaJA_Q4)</f>
        <v>0</v>
      </c>
      <c r="AU133"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8.3136344935171369</v>
      </c>
      <c r="AV133" s="345">
        <f>Rdson3*Table16[[#This Row],[Irms BoSync]]^2</f>
        <v>0.24190781472129283</v>
      </c>
      <c r="AW133"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33" s="345">
        <f>(Table16[[#This Row],[Deadtime Loss BoSync]]+Table16[[#This Row],[RDS(on) Loss BoSync]]*(1+RdsonBotTc*Ta-RdsonBotTc*25))/(1-Table16[[#This Row],[RDS(on) Loss BoSync]]*RdsonBotTc*ThetaJA_Q3)</f>
        <v>0.25814405118042599</v>
      </c>
      <c r="AY133" s="345">
        <f>CHOOSE(Table16[[#This Row],[Mode Digit]], Rdson3*Table16[[#This Row],[Irms Lf]]^2, Rdson1*Table16[[#This Row],[Irms Lf]]^2, 0)</f>
        <v>0.24190781472129283</v>
      </c>
      <c r="AZ133" s="345">
        <f>CHOOSE(Table16[[#This Row],[Mode Digit]], 2*Deadtime*Fsw*IF(VfdSky_Q2&gt;0,VfdSky_Q2,0)*Table16[[#This Row],[Iout]], 2*Deadtime*Fsw*IF(VfdSky_Q3&gt;0,VfdSky_Q3,0)*Table16[[#This Row],[Iin]], 2*Deadtime*Fsw*IF(VfdSky_Q2&gt;0,VfdSky_Q2,0)*Table16[[#This Row],[Iout]]+2*Deadtime*Fsw*IF(VfdSky_Q3&gt;0,VfdSky_Q3,0)*Table16[[#This Row],[Iin]])</f>
        <v>0</v>
      </c>
      <c r="BA133" s="345">
        <f>CHOOSE(Table16[[#This Row],[Mode Digit]], IF(QrrSky_Q2&gt;0,QrrSky_Q2,Qrr_Q2)*Fsw*(Table16[[#This Row],[Vin]]-Table16[[#This Row],[Iout]]*Rdson1),0,  IF(QrrSky_Q2&gt;0,QrrSky_Q2,Qrr_Q2)*Fsw*(Table16[[#This Row],[Vin]]-Table16[[#This Row],[Iout]]*Rdson1)+IF(QrrSky_Q3&gt;0,QrrSky_Q3,Qrr_Q3)*Fsw*Vout)</f>
        <v>0.44008452000000003</v>
      </c>
      <c r="BB133" s="345">
        <f>CHOOSE(Table16[[#This Row],[Mode Digit]],0, IF(QrrSky_Q3&gt;0,QrrSky_Q3,Qrr_Q3)*Fsw*Vout,  IF(QrrSky_Q2&gt;0,QrrSky_Q2,Qrr_Q2)*Fsw*(Table16[[#This Row],[Vin]]-Table16[[#This Row],[Iout]]*Rdson1)+IF(QrrSky_Q3&gt;0,QrrSky_Q3,Qrr_Q3)*Fsw*Vout)</f>
        <v>0</v>
      </c>
      <c r="BC133" s="345">
        <f>CHOOSE(Table16[[#This Row],[Mode Digit]], Rs*Table16[[#This Row],[Irms BuSync]]^2, Rs*Table16[[#This Row],[Irms BoCtlr]]^2, Rs*(Table16[[#This Row],[Irms BuSync]]^2+Table16[[#This Row],[Irms BoCtlr]]^2))</f>
        <v>3.1202525669220837E-2</v>
      </c>
      <c r="BD133" s="345">
        <f t="shared" si="5"/>
        <v>0.64</v>
      </c>
      <c r="BE133" s="345">
        <f>IF(Vout&gt;8, Iq*Vout, Iq*Table16[[#This Row],[Vin]])</f>
        <v>4.8000000000000001E-2</v>
      </c>
      <c r="BF133" s="345">
        <f>CHOOSE(Table16[[#This Row],[Mode Digit]], (Qg_Q1+Qg_Q2)*Fsw, (Qg_Q3+Qg_Q4)*Fsw, (Qg_Q1+Qg_Q2+Qg_Q3+Qg_Q4)*Fsw)*IF(Vout&gt;8, Vout, Table16[[#This Row],[Vin]])</f>
        <v>0.85331200000000007</v>
      </c>
      <c r="BG133" s="345">
        <f t="shared" si="6"/>
        <v>0.50594479787234037</v>
      </c>
      <c r="BH133" s="345">
        <f>Table16[[#This Row],[IQ Loss]]+Table16[[#This Row],[Switching Current Loss]]</f>
        <v>0.90131200000000011</v>
      </c>
      <c r="BI133"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6.3031748494948214</v>
      </c>
      <c r="BJ133" s="253">
        <f>Vout*Table16[[#This Row],[Iout]]</f>
        <v>128</v>
      </c>
      <c r="BK133" s="684">
        <f>Table16[[#This Row],[Pout]]/(Table16[[#This Row],[Pout]]+Table16[[#This Row],[Total Loss]])</f>
        <v>0.95306756629872391</v>
      </c>
      <c r="BL133"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60.626729372834106</v>
      </c>
      <c r="BM133" s="685">
        <f>IF(Table16[[#This Row],[Vin]]&gt;Vout, Table16[[#This Row],[Total Sync Bu MOSFET Loss]]*ThetaJA_Q2, ThetaJA_Q3*Table16[[#This Row],[Total Sync Bo MOSFET Loss]])</f>
        <v>21.450969081490044</v>
      </c>
      <c r="BN133" s="640"/>
      <c r="BO133" s="292">
        <f>Table16[[#This Row],[EFF, h]]*100</f>
        <v>95.306756629872396</v>
      </c>
      <c r="BP133" s="345">
        <f>Table16[[#This Row],[Total Inductor Loss]]</f>
        <v>2.7281312124450934</v>
      </c>
      <c r="BQ133" s="345">
        <f>Table16[[#This Row],[Total Control Bu MOSFET Loss]]+Table16[[#This Row],[Total Sync Bu MOSFET Loss]]+Table16[[#This Row],[Total Control Bo MOSFET Loss]]+Table16[[#This Row],[Total Sync Bo MOSFET Loss]]+Table16[[#This Row],[Reverse Recovery Loss MOSFET D BUCK]]+Table16[[#This Row],[Reverse Recovery Loss MOSFET D BOOST]]</f>
        <v>1.9609623935546439</v>
      </c>
      <c r="BR133" s="345">
        <f>Table16[[#This Row],[Total Control Bu MOSFET Loss]]+Table16[[#This Row],[Reverse Recovery Loss MOSFET D BUCK]]*0.66</f>
        <v>1.2231746966282171</v>
      </c>
      <c r="BS133" s="345">
        <f>Table16[[#This Row],[Total Sync Bu MOSFET Loss]]+Table16[[#This Row],[Reverse Recovery Loss MOSFET D BUCK]]*0.33</f>
        <v>0.47524280054600065</v>
      </c>
      <c r="BT133" s="345">
        <f xml:space="preserve"> Table16[[#This Row],[Total Control Bo MOSFET Loss]]+Table16[[#This Row],[Reverse Recovery Loss MOSFET D BOOST]]*0.66</f>
        <v>0</v>
      </c>
      <c r="BU133" s="345">
        <f xml:space="preserve"> Table16[[#This Row],[Total Sync Bo MOSFET Loss]]+Table16[[#This Row],[Reverse Recovery Loss MOSFET D BOOST]]*0.33</f>
        <v>0.25814405118042599</v>
      </c>
      <c r="BV133" s="345">
        <f>Table16[[#This Row],[Isense Shunt Loss]]</f>
        <v>3.1202525669220837E-2</v>
      </c>
    </row>
    <row r="134" spans="7:74" x14ac:dyDescent="0.2">
      <c r="G134" s="253">
        <v>125</v>
      </c>
      <c r="H134" s="286">
        <f>VIN_min+(VIN_max-VIN_min)*(Table16[[#This Row],[Step]]/200)</f>
        <v>24.75</v>
      </c>
      <c r="I134" s="292" t="str">
        <f>IF(Mode = 2,IF(Table16[[#This Row],[Vin]]&gt;Vout, "BUCK","BOOST"),IF(Table16[[#This Row],[Vin]]&gt;VIN_BB_to_buck, "BUCK", IF(Table16[[#This Row],[Vin]]&lt;=VIN_boost_to_BB,"BOOST","BUCK-BST")))</f>
        <v>BUCK</v>
      </c>
      <c r="J134" s="253">
        <f>IF(Table16[[#This Row],[Mode]]="BOOST",2, IF(Table16[[#This Row],[Mode]]="BUCK", 1,3))</f>
        <v>1</v>
      </c>
      <c r="K134" s="253">
        <f t="shared" si="4"/>
        <v>8</v>
      </c>
      <c r="L134" s="292">
        <f>Vout*Table16[[#This Row],[Iout]]/(Table16[[#This Row],[Vin]]*Efficiency)</f>
        <v>5.4439128123338651</v>
      </c>
      <c r="M134" s="682">
        <f>MIN(1/Fsw,CHOOSE(Table16[[#This Row],[Mode Digit]],(Vout+(Rdson2+Rs+Rdcr)*Table16[[#This Row],[Iout]])/(Table16[[#This Row],[Vin]]+(Rs+Rdson2-Rdson1)*Table16[[#This Row],[Iout]])/Fsw,(Vout+(Rdson3+Rdcr)*Table16[[#This Row],[Iin]]-Table16[[#This Row],[Vin]])/(Vout+(Rdson3-Rdson4-Rs)*Table16[[#This Row],[Iin]])/Fsw,t1_Ph_II))</f>
        <v>1.6300951941497766E-6</v>
      </c>
      <c r="N134" s="518">
        <f>CHOOSE(Table16[[#This Row],[Mode Digit]],1/Fsw-Table16[[#This Row],[t1_Ph_II]],1/Fsw-Table16[[#This Row],[t1_Ph_II]],(Vout/Fsw-Table16[[#This Row],[Vin]]*t1_Ph_II)/(Table16[[#This Row],[Vin]]+Vout))</f>
        <v>8.8246761992057529E-7</v>
      </c>
      <c r="O134" s="518">
        <f>1/Fsw-(Table16[[#This Row],[t1_Ph_II]]+Table16[[#This Row],[t2_Ph_I]])</f>
        <v>0</v>
      </c>
      <c r="P134"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4.0379630697748485</v>
      </c>
      <c r="Q134" s="292">
        <f>CHOOSE(Table16[[#This Row],[Mode Digit]],Table16[[#This Row],[I_0]]+1/Lf*(Table16[[#This Row],[Vin]]-Vout)*Table16[[#This Row],[t1_Ph_II]],Table16[[#This Row],[I_0]]+1/Lf*Table16[[#This Row],[Vin]]*Table16[[#This Row],[t1_Ph_II]],Table16[[#This Row],[I_0]]+(Table16[[#This Row],[Vin]]-Vout)/L*Table16[[#This Row],[t1_Ph_II]])</f>
        <v>11.962036930225151</v>
      </c>
      <c r="R134" s="292">
        <f>CHOOSE(Table16[[#This Row],[Mode Digit]],0,0,Table16[[#This Row],[I_1]]+Table16[[#This Row],[Vin]]/L*Table16[[#This Row],[t2_Ph_I]])</f>
        <v>0</v>
      </c>
      <c r="S134" s="292">
        <f>Fsw*(Table16[[#This Row],[I_0]]*Table16[[#This Row],[t1_Ph_II]]+Table16[[#This Row],[I_1]]*Table16[[#This Row],[t2_Ph_I]]+Table16[[#This Row],[I_2]]*Table16[[#This Row],[t3_Ph_III]])</f>
        <v>6.8210730324580062</v>
      </c>
      <c r="T134" s="345">
        <f>MIN(1,CHOOSE(Table16[[#This Row],[Mode Digit]],(Vout+(Rdson2+Rs+Rdcr)*Table16[[#This Row],[Iout]])/(Table16[[#This Row],[Vin]]+(Rs+Rdson2-Rdson1)*Table16[[#This Row],[Iout]]),1,Fsw*Table16[[#This Row],[t2_Ph_I]]+Table16[[#This Row],[t1_Ph_II]]))</f>
        <v>0.64877788727161112</v>
      </c>
      <c r="U134" s="345">
        <f>MIN(1,CHOOSE(Table16[[#This Row],[Mode Digit]],0,(Vout+(Rdson3+Rdcr)*Table16[[#This Row],[Iin]]-Table16[[#This Row],[Vin]])/(Vout+(Rdson3-Rdson4-Rs)*Table16[[#This Row],[Iin]]),Fsw*Table16[[#This Row],[t1_Ph_II]]+Table16[[#This Row],[t3_Ph_III]]))</f>
        <v>0</v>
      </c>
      <c r="V134" s="292">
        <f>MAX(Table16[[#This Row],[I_0]:[I_2]])-MIN(Table16[[#This Row],[I_0]:[I_1]])</f>
        <v>7.9240738604503029</v>
      </c>
      <c r="W134"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8.3206116889819253</v>
      </c>
      <c r="X134" s="345">
        <f>(Table16[[#This Row],[Irms Lf]]^2*Rdcr*(1+Ltc*Ta-Ltc*25))/(1-Table16[[#This Row],[Irms Lf]]^2*Rdcr*Ltc*ThetaCa)</f>
        <v>0.22554164889155259</v>
      </c>
      <c r="Y134" s="345">
        <f>ABS(7.759*10^-3*Fsw^0.9458*(0.00787*Table16[[#This Row],[Ripple Current pk-pk]])^2.304)</f>
        <v>2.5684926260909271</v>
      </c>
      <c r="Z134" s="345">
        <f>Table16[[#This Row],[DCR    Loss]]+Table16[[#This Row],[Core Loss]]</f>
        <v>2.7940342749824798</v>
      </c>
      <c r="AA134" s="292">
        <f>IF(Table16[[#This Row],[Vin]]&gt;Vout, Table16[[#This Row],[Ripple Current pk-pk]]/SQRT(12), SQRT(Table16[[#This Row],[Duty Cycle BOOST Leg]]/(1-Table16[[#This Row],[Duty Cycle BOOST Leg]]))*SQRT(Table16[[#This Row],[Iout]]^2+(Table16[[#This Row],[Ripple Current pk-pk]]^2)/12))</f>
        <v>2.2874830882047297</v>
      </c>
      <c r="AB134" s="345">
        <f>RCoutEsr*Table16[[#This Row],[Irms Cout]]^2</f>
        <v>1.0465157757645295E-2</v>
      </c>
      <c r="AC134" s="345">
        <f>Table16[[#This Row],[Cout ESR Loss]]</f>
        <v>1.0465157757645295E-2</v>
      </c>
      <c r="AD134" s="345">
        <f>IF(Table16[[#This Row],[Vin]]&gt;Vout, SQRT(Table16[[#This Row],[Duty Cycle BUCK Leg]]*(1-Table16[[#This Row],[Duty Cycle BUCK Leg]]))*SQRT(Table16[[#This Row],[Iout]]^2+(Table16[[#This Row],[Ripple Current pk-pk]]^2)/12), Table16[[#This Row],[Ripple Current pk-pk]]/SQRT(12))</f>
        <v>3.9718624468522208</v>
      </c>
      <c r="AE134" s="345">
        <f>RCinEsr*Table16[[#This Row],[Irms Cin]]^2</f>
        <v>3.1551382593429822E-2</v>
      </c>
      <c r="AF134" s="683">
        <f>Table16[[#This Row],[Cin ESR Loss]]</f>
        <v>3.1551382593429822E-2</v>
      </c>
      <c r="AG134"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6.7019822631343722</v>
      </c>
      <c r="AH134" s="345">
        <f>Rdson1*Table16[[#This Row],[Irms BuCtrl]]^2</f>
        <v>0.15720798189378701</v>
      </c>
      <c r="AI134" s="345">
        <f>CHOOSE(Table16[[#This Row],[Mode Digit]], (Table16[[#This Row],[Vin]]*Table16[[#This Row],[Iout]]/2)*(Fsw)*(Tr_buck+Tf_buck), 0, (Table16[[#This Row],[Vin]]*Table16[[#This Row],[Avg IL]]/2)*(Fsw/1)*(Tr_buck+Tf_buck))</f>
        <v>0.74101682124520762</v>
      </c>
      <c r="AJ134" s="253">
        <f>IF(Table16[[#This Row],[Vin]]&gt;Vout, IF(Table16[[#This Row],[Iout]]&gt;Table16[[#This Row],[Ripple Current pk-pk]]/2,0,ABS(Table16[[#This Row],[Iout]]-Table16[[#This Row],[Ripple Current pk-pk]]/2)*Vsd_Q1*Deadtime*Fsw),0)</f>
        <v>0</v>
      </c>
      <c r="AK134" s="345">
        <f>(Table16[[#This Row],[Dead Time Loss BuCtrl]]+Table16[[#This Row],[Transition Loss BuCtrl]]+Table16[[#This Row],[RDS(on) Loss BuCtrl]]*(1+RdsonTopTc*Ta-RdsonTopTc*25))/(1-Table16[[#This Row],[RDS(on) Loss BuCtrl]]*RdsonTopTc*ThetaJA_Q1)</f>
        <v>0.93650351846428703</v>
      </c>
      <c r="AL134" s="345">
        <f>CHOOSE(Table16[[#This Row],[Mode Digit]],SQRT((Fsw*(Table16[[#This Row],[t2_Ph_I]]+0))*((Table16[[#This Row],[I_0]]*Table16[[#This Row],[I_1]]+((Table16[[#This Row],[I_0]]-Table16[[#This Row],[I_1]])^2)/3))),0,SQRT((Fsw*(Table16[[#This Row],[t3_Ph_III]]+0))*((Table16[[#This Row],[I_0]]*Table16[[#This Row],[I_2]]+((Table16[[#This Row],[I_0]]-Table16[[#This Row],[I_2]])^2)/3))))</f>
        <v>4.9311269121221093</v>
      </c>
      <c r="AM134" s="345">
        <f>Rdson2*Table16[[#This Row],[Irms BuSync]]^2</f>
        <v>8.510604418209225E-2</v>
      </c>
      <c r="AN134"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34" s="345">
        <f>(Table16[[#This Row],[Deadtime Loss BuSync]]+Table16[[#This Row],[RDS(on) Loss BuSync]]*(1+RdsonBotTc*Ta-RdsonBotTc*25))/(1-Table16[[#This Row],[RDS(on) Loss BuSync]]*RdsonBotTc*ThetaJA_Q2)</f>
        <v>0.33123548096631922</v>
      </c>
      <c r="AP134" s="345">
        <f>CHOOSE(Table16[[#This Row],[Mode Digit]],0,SQRT((Fsw*(Table16[[#This Row],[t1_Ph_II]]+0))*((Table16[[#This Row],[I_0]]*Table16[[#This Row],[I_1]]+((Table16[[#This Row],[I_0]]-Table16[[#This Row],[I_1]])^2)/3))),SQRT((Fsw*(Table16[[#This Row],[t2_Ph_I]]+0))*((Table16[[#This Row],[I_1]]*Table16[[#This Row],[I_2]]+((Table16[[#This Row],[I_1]]-Table16[[#This Row],[I_2]])^2)/3))))</f>
        <v>0</v>
      </c>
      <c r="AQ134" s="345">
        <f>Rdson4*Table16[[#This Row],[Irms BoCtlr]]^2</f>
        <v>0</v>
      </c>
      <c r="AR134" s="345">
        <f>CHOOSE(Table16[[#This Row],[Mode Digit]], 0, (Vout*Table16[[#This Row],[Iin]]/2)*(Fsw)*(Tr_boost+Tf_boost), (Vout*Iout/2)*(Fsw/1)*(Tr_boost+Tf_boost))</f>
        <v>0</v>
      </c>
      <c r="AS134" s="253">
        <f>IF(Table16[[#This Row],[Vin]]&gt;Vout, 0, IF(Table16[[#This Row],[Iin]]&gt;Table16[[#This Row],[Ripple Current pk-pk]]/2,0,ABS(Table16[[#This Row],[Iin]]-Table16[[#This Row],[Ripple Current pk-pk]]/2)*Vsd_Q4*Deadtime*Fsw))</f>
        <v>0</v>
      </c>
      <c r="AT134" s="345">
        <f>(Table16[[#This Row],[Dead Time Loss BoCtlr]]+Table16[[#This Row],[Transition Loss BoCtlr]]+Table16[[#This Row],[RDS(on) Loss BoCtlr]]*(1+RdsonTopTc*Ta-RdsonTopTc*25))/(1-Table16[[#This Row],[RDS(on) Loss BoCtlr]]*RdsonTopTc*ThetaJA_Q4)</f>
        <v>0</v>
      </c>
      <c r="AU134"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8.3206116889819253</v>
      </c>
      <c r="AV134" s="345">
        <f>Rdson3*Table16[[#This Row],[Irms BoSync]]^2</f>
        <v>0.24231402607587929</v>
      </c>
      <c r="AW134"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34" s="345">
        <f>(Table16[[#This Row],[Deadtime Loss BoSync]]+Table16[[#This Row],[RDS(on) Loss BoSync]]*(1+RdsonBotTc*Ta-RdsonBotTc*25))/(1-Table16[[#This Row],[RDS(on) Loss BoSync]]*RdsonBotTc*ThetaJA_Q3)</f>
        <v>0.25860667229893802</v>
      </c>
      <c r="AY134" s="345">
        <f>CHOOSE(Table16[[#This Row],[Mode Digit]], Rdson3*Table16[[#This Row],[Irms Lf]]^2, Rdson1*Table16[[#This Row],[Irms Lf]]^2, 0)</f>
        <v>0.24231402607587929</v>
      </c>
      <c r="AZ134" s="345">
        <f>CHOOSE(Table16[[#This Row],[Mode Digit]], 2*Deadtime*Fsw*IF(VfdSky_Q2&gt;0,VfdSky_Q2,0)*Table16[[#This Row],[Iout]], 2*Deadtime*Fsw*IF(VfdSky_Q3&gt;0,VfdSky_Q3,0)*Table16[[#This Row],[Iin]], 2*Deadtime*Fsw*IF(VfdSky_Q2&gt;0,VfdSky_Q2,0)*Table16[[#This Row],[Iout]]+2*Deadtime*Fsw*IF(VfdSky_Q3&gt;0,VfdSky_Q3,0)*Table16[[#This Row],[Iin]])</f>
        <v>0</v>
      </c>
      <c r="BA134" s="345">
        <f>CHOOSE(Table16[[#This Row],[Mode Digit]], IF(QrrSky_Q2&gt;0,QrrSky_Q2,Qrr_Q2)*Fsw*(Table16[[#This Row],[Vin]]-Table16[[#This Row],[Iout]]*Rdson1),0,  IF(QrrSky_Q2&gt;0,QrrSky_Q2,Qrr_Q2)*Fsw*(Table16[[#This Row],[Vin]]-Table16[[#This Row],[Iout]]*Rdson1)+IF(QrrSky_Q3&gt;0,QrrSky_Q3,Qrr_Q3)*Fsw*Vout)</f>
        <v>0.44277102000000002</v>
      </c>
      <c r="BB134" s="345">
        <f>CHOOSE(Table16[[#This Row],[Mode Digit]],0, IF(QrrSky_Q3&gt;0,QrrSky_Q3,Qrr_Q3)*Fsw*Vout,  IF(QrrSky_Q2&gt;0,QrrSky_Q2,Qrr_Q2)*Fsw*(Table16[[#This Row],[Vin]]-Table16[[#This Row],[Iout]]*Rdson1)+IF(QrrSky_Q3&gt;0,QrrSky_Q3,Qrr_Q3)*Fsw*Vout)</f>
        <v>0</v>
      </c>
      <c r="BC134" s="345">
        <f>CHOOSE(Table16[[#This Row],[Mode Digit]], Rs*Table16[[#This Row],[Irms BuSync]]^2, Rs*Table16[[#This Row],[Irms BoCtlr]]^2, Rs*(Table16[[#This Row],[Irms BuSync]]^2+Table16[[#This Row],[Irms BoCtlr]]^2))</f>
        <v>3.1610816410491405E-2</v>
      </c>
      <c r="BD134" s="345">
        <f t="shared" si="5"/>
        <v>0.64</v>
      </c>
      <c r="BE134" s="345">
        <f>IF(Vout&gt;8, Iq*Vout, Iq*Table16[[#This Row],[Vin]])</f>
        <v>4.8000000000000001E-2</v>
      </c>
      <c r="BF134" s="345">
        <f>CHOOSE(Table16[[#This Row],[Mode Digit]], (Qg_Q1+Qg_Q2)*Fsw, (Qg_Q3+Qg_Q4)*Fsw, (Qg_Q1+Qg_Q2+Qg_Q3+Qg_Q4)*Fsw)*IF(Vout&gt;8, Vout, Table16[[#This Row],[Vin]])</f>
        <v>0.85331200000000007</v>
      </c>
      <c r="BG134" s="345">
        <f t="shared" si="6"/>
        <v>0.50594479787234037</v>
      </c>
      <c r="BH134" s="345">
        <f>Table16[[#This Row],[IQ Loss]]+Table16[[#This Row],[Switching Current Loss]]</f>
        <v>0.90131200000000011</v>
      </c>
      <c r="BI134"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6.3780903234735904</v>
      </c>
      <c r="BJ134" s="253">
        <f>Vout*Table16[[#This Row],[Iout]]</f>
        <v>128</v>
      </c>
      <c r="BK134" s="684">
        <f>Table16[[#This Row],[Pout]]/(Table16[[#This Row],[Pout]]+Table16[[#This Row],[Total Loss]])</f>
        <v>0.95253623333892956</v>
      </c>
      <c r="BL134"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60.872728700178655</v>
      </c>
      <c r="BM134" s="685">
        <f>IF(Table16[[#This Row],[Vin]]&gt;Vout, Table16[[#This Row],[Total Sync Bu MOSFET Loss]]*ThetaJA_Q2, ThetaJA_Q3*Table16[[#This Row],[Total Sync Bo MOSFET Loss]])</f>
        <v>21.53030626281075</v>
      </c>
      <c r="BN134" s="640"/>
      <c r="BO134" s="292">
        <f>Table16[[#This Row],[EFF, h]]*100</f>
        <v>95.253623333892961</v>
      </c>
      <c r="BP134" s="345">
        <f>Table16[[#This Row],[Total Inductor Loss]]</f>
        <v>2.7940342749824798</v>
      </c>
      <c r="BQ134" s="345">
        <f>Table16[[#This Row],[Total Control Bu MOSFET Loss]]+Table16[[#This Row],[Total Sync Bu MOSFET Loss]]+Table16[[#This Row],[Total Control Bo MOSFET Loss]]+Table16[[#This Row],[Total Sync Bo MOSFET Loss]]+Table16[[#This Row],[Reverse Recovery Loss MOSFET D BUCK]]+Table16[[#This Row],[Reverse Recovery Loss MOSFET D BOOST]]</f>
        <v>1.9691166917295444</v>
      </c>
      <c r="BR134" s="345">
        <f>Table16[[#This Row],[Total Control Bu MOSFET Loss]]+Table16[[#This Row],[Reverse Recovery Loss MOSFET D BUCK]]*0.66</f>
        <v>1.2287323916642872</v>
      </c>
      <c r="BS134" s="345">
        <f>Table16[[#This Row],[Total Sync Bu MOSFET Loss]]+Table16[[#This Row],[Reverse Recovery Loss MOSFET D BUCK]]*0.33</f>
        <v>0.47734991756631923</v>
      </c>
      <c r="BT134" s="345">
        <f xml:space="preserve"> Table16[[#This Row],[Total Control Bo MOSFET Loss]]+Table16[[#This Row],[Reverse Recovery Loss MOSFET D BOOST]]*0.66</f>
        <v>0</v>
      </c>
      <c r="BU134" s="345">
        <f xml:space="preserve"> Table16[[#This Row],[Total Sync Bo MOSFET Loss]]+Table16[[#This Row],[Reverse Recovery Loss MOSFET D BOOST]]*0.33</f>
        <v>0.25860667229893802</v>
      </c>
      <c r="BV134" s="345">
        <f>Table16[[#This Row],[Isense Shunt Loss]]</f>
        <v>3.1610816410491405E-2</v>
      </c>
    </row>
    <row r="135" spans="7:74" x14ac:dyDescent="0.2">
      <c r="G135" s="253">
        <v>126</v>
      </c>
      <c r="H135" s="286">
        <f>VIN_min+(VIN_max-VIN_min)*(Table16[[#This Row],[Step]]/200)</f>
        <v>24.9</v>
      </c>
      <c r="I135" s="292" t="str">
        <f>IF(Mode = 2,IF(Table16[[#This Row],[Vin]]&gt;Vout, "BUCK","BOOST"),IF(Table16[[#This Row],[Vin]]&gt;VIN_BB_to_buck, "BUCK", IF(Table16[[#This Row],[Vin]]&lt;=VIN_boost_to_BB,"BOOST","BUCK-BST")))</f>
        <v>BUCK</v>
      </c>
      <c r="J135" s="253">
        <f>IF(Table16[[#This Row],[Mode]]="BOOST",2, IF(Table16[[#This Row],[Mode]]="BUCK", 1,3))</f>
        <v>1</v>
      </c>
      <c r="K135" s="253">
        <f t="shared" si="4"/>
        <v>8</v>
      </c>
      <c r="L135" s="292">
        <f>Vout*Table16[[#This Row],[Iout]]/(Table16[[#This Row],[Vin]]*Efficiency)</f>
        <v>5.4111181568378788</v>
      </c>
      <c r="M135" s="682">
        <f>MIN(1/Fsw,CHOOSE(Table16[[#This Row],[Mode Digit]],(Vout+(Rdson2+Rs+Rdcr)*Table16[[#This Row],[Iout]])/(Table16[[#This Row],[Vin]]+(Rs+Rdson2-Rdson1)*Table16[[#This Row],[Iout]])/Fsw,(Vout+(Rdson3+Rdcr)*Table16[[#This Row],[Iin]]-Table16[[#This Row],[Vin]])/(Vout+(Rdson3-Rdson4-Rs)*Table16[[#This Row],[Iin]])/Fsw,t1_Ph_II))</f>
        <v>1.6202794433339542E-6</v>
      </c>
      <c r="N135" s="518">
        <f>CHOOSE(Table16[[#This Row],[Mode Digit]],1/Fsw-Table16[[#This Row],[t1_Ph_II]],1/Fsw-Table16[[#This Row],[t1_Ph_II]],(Vout/Fsw-Table16[[#This Row],[Vin]]*t1_Ph_II)/(Table16[[#This Row],[Vin]]+Vout))</f>
        <v>8.9228337073639767E-7</v>
      </c>
      <c r="O135" s="518">
        <f>1/Fsw-(Table16[[#This Row],[t1_Ph_II]]+Table16[[#This Row],[t2_Ph_I]])</f>
        <v>0</v>
      </c>
      <c r="P135"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3.9943091539799473</v>
      </c>
      <c r="Q135" s="292">
        <f>CHOOSE(Table16[[#This Row],[Mode Digit]],Table16[[#This Row],[I_0]]+1/Lf*(Table16[[#This Row],[Vin]]-Vout)*Table16[[#This Row],[t1_Ph_II]],Table16[[#This Row],[I_0]]+1/Lf*Table16[[#This Row],[Vin]]*Table16[[#This Row],[t1_Ph_II]],Table16[[#This Row],[I_0]]+(Table16[[#This Row],[Vin]]-Vout)/L*Table16[[#This Row],[t1_Ph_II]])</f>
        <v>12.005690846020052</v>
      </c>
      <c r="R135" s="292">
        <f>CHOOSE(Table16[[#This Row],[Mode Digit]],0,0,Table16[[#This Row],[I_1]]+Table16[[#This Row],[Vin]]/L*Table16[[#This Row],[t2_Ph_I]])</f>
        <v>0</v>
      </c>
      <c r="S135" s="292">
        <f>Fsw*(Table16[[#This Row],[I_0]]*Table16[[#This Row],[t1_Ph_II]]+Table16[[#This Row],[I_1]]*Table16[[#This Row],[t2_Ph_I]]+Table16[[#This Row],[I_2]]*Table16[[#This Row],[t3_Ph_III]])</f>
        <v>6.8393813728308519</v>
      </c>
      <c r="T135" s="345">
        <f>MIN(1,CHOOSE(Table16[[#This Row],[Mode Digit]],(Vout+(Rdson2+Rs+Rdcr)*Table16[[#This Row],[Iout]])/(Table16[[#This Row],[Vin]]+(Rs+Rdson2-Rdson1)*Table16[[#This Row],[Iout]]),1,Fsw*Table16[[#This Row],[t2_Ph_I]]+Table16[[#This Row],[t1_Ph_II]]))</f>
        <v>0.64487121844691375</v>
      </c>
      <c r="U135" s="345">
        <f>MIN(1,CHOOSE(Table16[[#This Row],[Mode Digit]],0,(Vout+(Rdson3+Rdcr)*Table16[[#This Row],[Iin]]-Table16[[#This Row],[Vin]])/(Vout+(Rdson3-Rdson4-Rs)*Table16[[#This Row],[Iin]]),Fsw*Table16[[#This Row],[t1_Ph_II]]+Table16[[#This Row],[t3_Ph_III]]))</f>
        <v>0</v>
      </c>
      <c r="V135" s="292">
        <f>MAX(Table16[[#This Row],[I_0]:[I_2]])-MIN(Table16[[#This Row],[I_0]:[I_1]])</f>
        <v>8.0113816920401035</v>
      </c>
      <c r="W135"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8.3275758608350685</v>
      </c>
      <c r="X135" s="345">
        <f>(Table16[[#This Row],[Irms Lf]]^2*Rdcr*(1+Ltc*Ta-Ltc*25))/(1-Table16[[#This Row],[Irms Lf]]^2*Rdcr*Ltc*ThetaCa)</f>
        <v>0.22592618052075111</v>
      </c>
      <c r="Y135" s="345">
        <f>ABS(7.759*10^-3*Fsw^0.9458*(0.00787*Table16[[#This Row],[Ripple Current pk-pk]])^2.304)</f>
        <v>2.6341642347695098</v>
      </c>
      <c r="Z135" s="345">
        <f>Table16[[#This Row],[DCR    Loss]]+Table16[[#This Row],[Core Loss]]</f>
        <v>2.8600904152902609</v>
      </c>
      <c r="AA135" s="292">
        <f>IF(Table16[[#This Row],[Vin]]&gt;Vout, Table16[[#This Row],[Ripple Current pk-pk]]/SQRT(12), SQRT(Table16[[#This Row],[Duty Cycle BOOST Leg]]/(1-Table16[[#This Row],[Duty Cycle BOOST Leg]]))*SQRT(Table16[[#This Row],[Iout]]^2+(Table16[[#This Row],[Ripple Current pk-pk]]^2)/12))</f>
        <v>2.3126866882400967</v>
      </c>
      <c r="AB135" s="345">
        <f>RCoutEsr*Table16[[#This Row],[Irms Cout]]^2</f>
        <v>1.0697039435925893E-2</v>
      </c>
      <c r="AC135" s="345">
        <f>Table16[[#This Row],[Cout ESR Loss]]</f>
        <v>1.0697039435925893E-2</v>
      </c>
      <c r="AD135" s="345">
        <f>IF(Table16[[#This Row],[Vin]]&gt;Vout, SQRT(Table16[[#This Row],[Duty Cycle BUCK Leg]]*(1-Table16[[#This Row],[Duty Cycle BUCK Leg]]))*SQRT(Table16[[#This Row],[Iout]]^2+(Table16[[#This Row],[Ripple Current pk-pk]]^2)/12), Table16[[#This Row],[Ripple Current pk-pk]]/SQRT(12))</f>
        <v>3.9851808098527086</v>
      </c>
      <c r="AE135" s="345">
        <f>RCinEsr*Table16[[#This Row],[Irms Cin]]^2</f>
        <v>3.1763332174436582E-2</v>
      </c>
      <c r="AF135" s="683">
        <f>Table16[[#This Row],[Cin ESR Loss]]</f>
        <v>3.1763332174436582E-2</v>
      </c>
      <c r="AG135"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6.6873660291636936</v>
      </c>
      <c r="AH135" s="345">
        <f>Rdson1*Table16[[#This Row],[Irms BuCtrl]]^2</f>
        <v>0.15652302542804405</v>
      </c>
      <c r="AI135" s="345">
        <f>CHOOSE(Table16[[#This Row],[Mode Digit]], (Table16[[#This Row],[Vin]]*Table16[[#This Row],[Iout]]/2)*(Fsw)*(Tr_buck+Tf_buck), 0, (Table16[[#This Row],[Vin]]*Table16[[#This Row],[Avg IL]]/2)*(Fsw/1)*(Tr_buck+Tf_buck))</f>
        <v>0.74550783228305739</v>
      </c>
      <c r="AJ135" s="253">
        <f>IF(Table16[[#This Row],[Vin]]&gt;Vout, IF(Table16[[#This Row],[Iout]]&gt;Table16[[#This Row],[Ripple Current pk-pk]]/2,0,ABS(Table16[[#This Row],[Iout]]-Table16[[#This Row],[Ripple Current pk-pk]]/2)*Vsd_Q1*Deadtime*Fsw),0)</f>
        <v>0</v>
      </c>
      <c r="AK135" s="345">
        <f>(Table16[[#This Row],[Dead Time Loss BuCtrl]]+Table16[[#This Row],[Transition Loss BuCtrl]]+Table16[[#This Row],[RDS(on) Loss BuCtrl]]*(1+RdsonTopTc*Ta-RdsonTopTc*25))/(1-Table16[[#This Row],[RDS(on) Loss BuCtrl]]*RdsonTopTc*ThetaJA_Q1)</f>
        <v>0.9402971791233401</v>
      </c>
      <c r="AL135" s="345">
        <f>CHOOSE(Table16[[#This Row],[Mode Digit]],SQRT((Fsw*(Table16[[#This Row],[t2_Ph_I]]+0))*((Table16[[#This Row],[I_0]]*Table16[[#This Row],[I_1]]+((Table16[[#This Row],[I_0]]-Table16[[#This Row],[I_1]])^2)/3))),0,SQRT((Fsw*(Table16[[#This Row],[t3_Ph_III]]+0))*((Table16[[#This Row],[I_0]]*Table16[[#This Row],[I_2]]+((Table16[[#This Row],[I_0]]-Table16[[#This Row],[I_2]])^2)/3))))</f>
        <v>4.9626258482733068</v>
      </c>
      <c r="AM135" s="345">
        <f>Rdson2*Table16[[#This Row],[Irms BuSync]]^2</f>
        <v>8.6196793584826251E-2</v>
      </c>
      <c r="AN135"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35" s="345">
        <f>(Table16[[#This Row],[Deadtime Loss BuSync]]+Table16[[#This Row],[RDS(on) Loss BuSync]]*(1+RdsonBotTc*Ta-RdsonBotTc*25))/(1-Table16[[#This Row],[RDS(on) Loss BuSync]]*RdsonBotTc*ThetaJA_Q2)</f>
        <v>0.33244732590226878</v>
      </c>
      <c r="AP135" s="345">
        <f>CHOOSE(Table16[[#This Row],[Mode Digit]],0,SQRT((Fsw*(Table16[[#This Row],[t1_Ph_II]]+0))*((Table16[[#This Row],[I_0]]*Table16[[#This Row],[I_1]]+((Table16[[#This Row],[I_0]]-Table16[[#This Row],[I_1]])^2)/3))),SQRT((Fsw*(Table16[[#This Row],[t2_Ph_I]]+0))*((Table16[[#This Row],[I_1]]*Table16[[#This Row],[I_2]]+((Table16[[#This Row],[I_1]]-Table16[[#This Row],[I_2]])^2)/3))))</f>
        <v>0</v>
      </c>
      <c r="AQ135" s="345">
        <f>Rdson4*Table16[[#This Row],[Irms BoCtlr]]^2</f>
        <v>0</v>
      </c>
      <c r="AR135" s="345">
        <f>CHOOSE(Table16[[#This Row],[Mode Digit]], 0, (Vout*Table16[[#This Row],[Iin]]/2)*(Fsw)*(Tr_boost+Tf_boost), (Vout*Iout/2)*(Fsw/1)*(Tr_boost+Tf_boost))</f>
        <v>0</v>
      </c>
      <c r="AS135" s="253">
        <f>IF(Table16[[#This Row],[Vin]]&gt;Vout, 0, IF(Table16[[#This Row],[Iin]]&gt;Table16[[#This Row],[Ripple Current pk-pk]]/2,0,ABS(Table16[[#This Row],[Iin]]-Table16[[#This Row],[Ripple Current pk-pk]]/2)*Vsd_Q4*Deadtime*Fsw))</f>
        <v>0</v>
      </c>
      <c r="AT135" s="345">
        <f>(Table16[[#This Row],[Dead Time Loss BoCtlr]]+Table16[[#This Row],[Transition Loss BoCtlr]]+Table16[[#This Row],[RDS(on) Loss BoCtlr]]*(1+RdsonTopTc*Ta-RdsonTopTc*25))/(1-Table16[[#This Row],[RDS(on) Loss BoCtlr]]*RdsonTopTc*ThetaJA_Q4)</f>
        <v>0</v>
      </c>
      <c r="AU135"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8.3275758608350685</v>
      </c>
      <c r="AV135" s="345">
        <f>Rdson3*Table16[[#This Row],[Irms BoSync]]^2</f>
        <v>0.24271981901287026</v>
      </c>
      <c r="AW135"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35" s="345">
        <f>(Table16[[#This Row],[Deadtime Loss BoSync]]+Table16[[#This Row],[RDS(on) Loss BoSync]]*(1+RdsonBotTc*Ta-RdsonBotTc*25))/(1-Table16[[#This Row],[RDS(on) Loss BoSync]]*RdsonBotTc*ThetaJA_Q3)</f>
        <v>0.25906892103552698</v>
      </c>
      <c r="AY135" s="345">
        <f>CHOOSE(Table16[[#This Row],[Mode Digit]], Rdson3*Table16[[#This Row],[Irms Lf]]^2, Rdson1*Table16[[#This Row],[Irms Lf]]^2, 0)</f>
        <v>0.24271981901287026</v>
      </c>
      <c r="AZ135" s="345">
        <f>CHOOSE(Table16[[#This Row],[Mode Digit]], 2*Deadtime*Fsw*IF(VfdSky_Q2&gt;0,VfdSky_Q2,0)*Table16[[#This Row],[Iout]], 2*Deadtime*Fsw*IF(VfdSky_Q3&gt;0,VfdSky_Q3,0)*Table16[[#This Row],[Iin]], 2*Deadtime*Fsw*IF(VfdSky_Q2&gt;0,VfdSky_Q2,0)*Table16[[#This Row],[Iout]]+2*Deadtime*Fsw*IF(VfdSky_Q3&gt;0,VfdSky_Q3,0)*Table16[[#This Row],[Iin]])</f>
        <v>0</v>
      </c>
      <c r="BA135" s="345">
        <f>CHOOSE(Table16[[#This Row],[Mode Digit]], IF(QrrSky_Q2&gt;0,QrrSky_Q2,Qrr_Q2)*Fsw*(Table16[[#This Row],[Vin]]-Table16[[#This Row],[Iout]]*Rdson1),0,  IF(QrrSky_Q2&gt;0,QrrSky_Q2,Qrr_Q2)*Fsw*(Table16[[#This Row],[Vin]]-Table16[[#This Row],[Iout]]*Rdson1)+IF(QrrSky_Q3&gt;0,QrrSky_Q3,Qrr_Q3)*Fsw*Vout)</f>
        <v>0.44545752</v>
      </c>
      <c r="BB135" s="345">
        <f>CHOOSE(Table16[[#This Row],[Mode Digit]],0, IF(QrrSky_Q3&gt;0,QrrSky_Q3,Qrr_Q3)*Fsw*Vout,  IF(QrrSky_Q2&gt;0,QrrSky_Q2,Qrr_Q2)*Fsw*(Table16[[#This Row],[Vin]]-Table16[[#This Row],[Iout]]*Rdson1)+IF(QrrSky_Q3&gt;0,QrrSky_Q3,Qrr_Q3)*Fsw*Vout)</f>
        <v>0</v>
      </c>
      <c r="BC135" s="345">
        <f>CHOOSE(Table16[[#This Row],[Mode Digit]], Rs*Table16[[#This Row],[Irms BuSync]]^2, Rs*Table16[[#This Row],[Irms BoCtlr]]^2, Rs*(Table16[[#This Row],[Irms BuSync]]^2+Table16[[#This Row],[Irms BoCtlr]]^2))</f>
        <v>3.2015951902935463E-2</v>
      </c>
      <c r="BD135" s="345">
        <f t="shared" si="5"/>
        <v>0.64</v>
      </c>
      <c r="BE135" s="345">
        <f>IF(Vout&gt;8, Iq*Vout, Iq*Table16[[#This Row],[Vin]])</f>
        <v>4.8000000000000001E-2</v>
      </c>
      <c r="BF135" s="345">
        <f>CHOOSE(Table16[[#This Row],[Mode Digit]], (Qg_Q1+Qg_Q2)*Fsw, (Qg_Q3+Qg_Q4)*Fsw, (Qg_Q1+Qg_Q2+Qg_Q3+Qg_Q4)*Fsw)*IF(Vout&gt;8, Vout, Table16[[#This Row],[Vin]])</f>
        <v>0.85331200000000007</v>
      </c>
      <c r="BG135" s="345">
        <f t="shared" si="6"/>
        <v>0.50594479787234037</v>
      </c>
      <c r="BH135" s="345">
        <f>Table16[[#This Row],[IQ Loss]]+Table16[[#This Row],[Switching Current Loss]]</f>
        <v>0.90131200000000011</v>
      </c>
      <c r="BI135"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6.4531496848646945</v>
      </c>
      <c r="BJ135" s="253">
        <f>Vout*Table16[[#This Row],[Iout]]</f>
        <v>128</v>
      </c>
      <c r="BK135" s="684">
        <f>Table16[[#This Row],[Pout]]/(Table16[[#This Row],[Pout]]+Table16[[#This Row],[Total Loss]])</f>
        <v>0.95200447367733843</v>
      </c>
      <c r="BL135"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61.119316643017108</v>
      </c>
      <c r="BM135" s="685">
        <f>IF(Table16[[#This Row],[Vin]]&gt;Vout, Table16[[#This Row],[Total Sync Bu MOSFET Loss]]*ThetaJA_Q2, ThetaJA_Q3*Table16[[#This Row],[Total Sync Bo MOSFET Loss]])</f>
        <v>21.609076183647471</v>
      </c>
      <c r="BN135" s="640"/>
      <c r="BO135" s="292">
        <f>Table16[[#This Row],[EFF, h]]*100</f>
        <v>95.200447367733844</v>
      </c>
      <c r="BP135" s="345">
        <f>Table16[[#This Row],[Total Inductor Loss]]</f>
        <v>2.8600904152902609</v>
      </c>
      <c r="BQ135" s="345">
        <f>Table16[[#This Row],[Total Control Bu MOSFET Loss]]+Table16[[#This Row],[Total Sync Bu MOSFET Loss]]+Table16[[#This Row],[Total Control Bo MOSFET Loss]]+Table16[[#This Row],[Total Sync Bo MOSFET Loss]]+Table16[[#This Row],[Reverse Recovery Loss MOSFET D BUCK]]+Table16[[#This Row],[Reverse Recovery Loss MOSFET D BOOST]]</f>
        <v>1.9772709460611357</v>
      </c>
      <c r="BR135" s="345">
        <f>Table16[[#This Row],[Total Control Bu MOSFET Loss]]+Table16[[#This Row],[Reverse Recovery Loss MOSFET D BUCK]]*0.66</f>
        <v>1.23429914232334</v>
      </c>
      <c r="BS135" s="345">
        <f>Table16[[#This Row],[Total Sync Bu MOSFET Loss]]+Table16[[#This Row],[Reverse Recovery Loss MOSFET D BUCK]]*0.33</f>
        <v>0.47944830750226874</v>
      </c>
      <c r="BT135" s="345">
        <f xml:space="preserve"> Table16[[#This Row],[Total Control Bo MOSFET Loss]]+Table16[[#This Row],[Reverse Recovery Loss MOSFET D BOOST]]*0.66</f>
        <v>0</v>
      </c>
      <c r="BU135" s="345">
        <f xml:space="preserve"> Table16[[#This Row],[Total Sync Bo MOSFET Loss]]+Table16[[#This Row],[Reverse Recovery Loss MOSFET D BOOST]]*0.33</f>
        <v>0.25906892103552698</v>
      </c>
      <c r="BV135" s="345">
        <f>Table16[[#This Row],[Isense Shunt Loss]]</f>
        <v>3.2015951902935463E-2</v>
      </c>
    </row>
    <row r="136" spans="7:74" x14ac:dyDescent="0.2">
      <c r="G136" s="253">
        <v>127</v>
      </c>
      <c r="H136" s="286">
        <f>VIN_min+(VIN_max-VIN_min)*(Table16[[#This Row],[Step]]/200)</f>
        <v>25.05</v>
      </c>
      <c r="I136" s="292" t="str">
        <f>IF(Mode = 2,IF(Table16[[#This Row],[Vin]]&gt;Vout, "BUCK","BOOST"),IF(Table16[[#This Row],[Vin]]&gt;VIN_BB_to_buck, "BUCK", IF(Table16[[#This Row],[Vin]]&lt;=VIN_boost_to_BB,"BOOST","BUCK-BST")))</f>
        <v>BUCK</v>
      </c>
      <c r="J136" s="253">
        <f>IF(Table16[[#This Row],[Mode]]="BOOST",2, IF(Table16[[#This Row],[Mode]]="BUCK", 1,3))</f>
        <v>1</v>
      </c>
      <c r="K136" s="253">
        <f t="shared" si="4"/>
        <v>8</v>
      </c>
      <c r="L136" s="292">
        <f>Vout*Table16[[#This Row],[Iout]]/(Table16[[#This Row],[Vin]]*Efficiency)</f>
        <v>5.3787162517071119</v>
      </c>
      <c r="M136" s="682">
        <f>MIN(1/Fsw,CHOOSE(Table16[[#This Row],[Mode Digit]],(Vout+(Rdson2+Rs+Rdcr)*Table16[[#This Row],[Iout]])/(Table16[[#This Row],[Vin]]+(Rs+Rdson2-Rdson1)*Table16[[#This Row],[Iout]])/Fsw,(Vout+(Rdson3+Rdcr)*Table16[[#This Row],[Iin]]-Table16[[#This Row],[Vin]])/(Vout+(Rdson3-Rdson4-Rs)*Table16[[#This Row],[Iin]])/Fsw,t1_Ph_II))</f>
        <v>1.6105811976355576E-6</v>
      </c>
      <c r="N136" s="518">
        <f>CHOOSE(Table16[[#This Row],[Mode Digit]],1/Fsw-Table16[[#This Row],[t1_Ph_II]],1/Fsw-Table16[[#This Row],[t1_Ph_II]],(Vout/Fsw-Table16[[#This Row],[Vin]]*t1_Ph_II)/(Table16[[#This Row],[Vin]]+Vout))</f>
        <v>9.0198161643479431E-7</v>
      </c>
      <c r="O136" s="518">
        <f>1/Fsw-(Table16[[#This Row],[t1_Ph_II]]+Table16[[#This Row],[t2_Ph_I]])</f>
        <v>0</v>
      </c>
      <c r="P136"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3.951177822610612</v>
      </c>
      <c r="Q136" s="292">
        <f>CHOOSE(Table16[[#This Row],[Mode Digit]],Table16[[#This Row],[I_0]]+1/Lf*(Table16[[#This Row],[Vin]]-Vout)*Table16[[#This Row],[t1_Ph_II]],Table16[[#This Row],[I_0]]+1/Lf*Table16[[#This Row],[Vin]]*Table16[[#This Row],[t1_Ph_II]],Table16[[#This Row],[I_0]]+(Table16[[#This Row],[Vin]]-Vout)/L*Table16[[#This Row],[t1_Ph_II]])</f>
        <v>12.048822177389388</v>
      </c>
      <c r="R136" s="292">
        <f>CHOOSE(Table16[[#This Row],[Mode Digit]],0,0,Table16[[#This Row],[I_1]]+Table16[[#This Row],[Vin]]/L*Table16[[#This Row],[t2_Ph_I]])</f>
        <v>0</v>
      </c>
      <c r="S136" s="292">
        <f>Fsw*(Table16[[#This Row],[I_0]]*Table16[[#This Row],[t1_Ph_II]]+Table16[[#This Row],[I_1]]*Table16[[#This Row],[t2_Ph_I]]+Table16[[#This Row],[I_2]]*Table16[[#This Row],[t3_Ph_III]])</f>
        <v>6.8581405076967163</v>
      </c>
      <c r="T136" s="345">
        <f>MIN(1,CHOOSE(Table16[[#This Row],[Mode Digit]],(Vout+(Rdson2+Rs+Rdcr)*Table16[[#This Row],[Iout]])/(Table16[[#This Row],[Vin]]+(Rs+Rdson2-Rdson1)*Table16[[#This Row],[Iout]]),1,Fsw*Table16[[#This Row],[t2_Ph_I]]+Table16[[#This Row],[t1_Ph_II]]))</f>
        <v>0.64101131665895195</v>
      </c>
      <c r="U136" s="345">
        <f>MIN(1,CHOOSE(Table16[[#This Row],[Mode Digit]],0,(Vout+(Rdson3+Rdcr)*Table16[[#This Row],[Iin]]-Table16[[#This Row],[Vin]])/(Vout+(Rdson3-Rdson4-Rs)*Table16[[#This Row],[Iin]]),Fsw*Table16[[#This Row],[t1_Ph_II]]+Table16[[#This Row],[t3_Ph_III]]))</f>
        <v>0</v>
      </c>
      <c r="V136" s="292">
        <f>MAX(Table16[[#This Row],[I_0]:[I_2]])-MIN(Table16[[#This Row],[I_0]:[I_1]])</f>
        <v>8.097644354778776</v>
      </c>
      <c r="W136"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8.3345258018302033</v>
      </c>
      <c r="X136" s="345">
        <f>(Table16[[#This Row],[Irms Lf]]^2*Rdcr*(1+Ltc*Ta-Ltc*25))/(1-Table16[[#This Row],[Irms Lf]]^2*Rdcr*Ltc*ThetaCa)</f>
        <v>0.22631027030533113</v>
      </c>
      <c r="Y136" s="345">
        <f>ABS(7.759*10^-3*Fsw^0.9458*(0.00787*Table16[[#This Row],[Ripple Current pk-pk]])^2.304)</f>
        <v>2.6999727865691412</v>
      </c>
      <c r="Z136" s="345">
        <f>Table16[[#This Row],[DCR    Loss]]+Table16[[#This Row],[Core Loss]]</f>
        <v>2.9262830568744724</v>
      </c>
      <c r="AA136" s="292">
        <f>IF(Table16[[#This Row],[Vin]]&gt;Vout, Table16[[#This Row],[Ripple Current pk-pk]]/SQRT(12), SQRT(Table16[[#This Row],[Duty Cycle BOOST Leg]]/(1-Table16[[#This Row],[Duty Cycle BOOST Leg]]))*SQRT(Table16[[#This Row],[Iout]]^2+(Table16[[#This Row],[Ripple Current pk-pk]]^2)/12))</f>
        <v>2.33758857401669</v>
      </c>
      <c r="AB136" s="345">
        <f>RCoutEsr*Table16[[#This Row],[Irms Cout]]^2</f>
        <v>1.0928640682746764E-2</v>
      </c>
      <c r="AC136" s="345">
        <f>Table16[[#This Row],[Cout ESR Loss]]</f>
        <v>1.0928640682746764E-2</v>
      </c>
      <c r="AD136" s="345">
        <f>IF(Table16[[#This Row],[Vin]]&gt;Vout, SQRT(Table16[[#This Row],[Duty Cycle BUCK Leg]]*(1-Table16[[#This Row],[Duty Cycle BUCK Leg]]))*SQRT(Table16[[#This Row],[Iout]]^2+(Table16[[#This Row],[Ripple Current pk-pk]]^2)/12), Table16[[#This Row],[Ripple Current pk-pk]]/SQRT(12))</f>
        <v>3.998104331105687</v>
      </c>
      <c r="AE136" s="345">
        <f>RCinEsr*Table16[[#This Row],[Irms Cin]]^2</f>
        <v>3.1969676484812103E-2</v>
      </c>
      <c r="AF136" s="683">
        <f>Table16[[#This Row],[Cin ESR Loss]]</f>
        <v>3.1969676484812103E-2</v>
      </c>
      <c r="AG136"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6.6728865899880967</v>
      </c>
      <c r="AH136" s="345">
        <f>Rdson1*Table16[[#This Row],[Irms BuCtrl]]^2</f>
        <v>0.15584595404995041</v>
      </c>
      <c r="AI136" s="345">
        <f>CHOOSE(Table16[[#This Row],[Mode Digit]], (Table16[[#This Row],[Vin]]*Table16[[#This Row],[Iout]]/2)*(Fsw)*(Tr_buck+Tf_buck), 0, (Table16[[#This Row],[Vin]]*Table16[[#This Row],[Avg IL]]/2)*(Fsw/1)*(Tr_buck+Tf_buck))</f>
        <v>0.74999884332090716</v>
      </c>
      <c r="AJ136" s="253">
        <f>IF(Table16[[#This Row],[Vin]]&gt;Vout, IF(Table16[[#This Row],[Iout]]&gt;Table16[[#This Row],[Ripple Current pk-pk]]/2,0,ABS(Table16[[#This Row],[Iout]]-Table16[[#This Row],[Ripple Current pk-pk]]/2)*Vsd_Q1*Deadtime*Fsw),0)</f>
        <v>0</v>
      </c>
      <c r="AK136" s="345">
        <f>(Table16[[#This Row],[Dead Time Loss BuCtrl]]+Table16[[#This Row],[Transition Loss BuCtrl]]+Table16[[#This Row],[RDS(on) Loss BuCtrl]]*(1+RdsonTopTc*Ta-RdsonTopTc*25))/(1-Table16[[#This Row],[RDS(on) Loss BuCtrl]]*RdsonTopTc*ThetaJA_Q1)</f>
        <v>0.94409966682755242</v>
      </c>
      <c r="AL136" s="345">
        <f>CHOOSE(Table16[[#This Row],[Mode Digit]],SQRT((Fsw*(Table16[[#This Row],[t2_Ph_I]]+0))*((Table16[[#This Row],[I_0]]*Table16[[#This Row],[I_1]]+((Table16[[#This Row],[I_0]]-Table16[[#This Row],[I_1]])^2)/3))),0,SQRT((Fsw*(Table16[[#This Row],[t3_Ph_III]]+0))*((Table16[[#This Row],[I_0]]*Table16[[#This Row],[I_2]]+((Table16[[#This Row],[I_0]]-Table16[[#This Row],[I_2]])^2)/3))))</f>
        <v>4.9936865038296521</v>
      </c>
      <c r="AM136" s="345">
        <f>Rdson2*Table16[[#This Row],[Irms BuSync]]^2</f>
        <v>8.7279167144856451E-2</v>
      </c>
      <c r="AN136"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36" s="345">
        <f>(Table16[[#This Row],[Deadtime Loss BuSync]]+Table16[[#This Row],[RDS(on) Loss BuSync]]*(1+RdsonBotTc*Ta-RdsonBotTc*25))/(1-Table16[[#This Row],[RDS(on) Loss BuSync]]*RdsonBotTc*ThetaJA_Q2)</f>
        <v>0.33365056033086038</v>
      </c>
      <c r="AP136" s="345">
        <f>CHOOSE(Table16[[#This Row],[Mode Digit]],0,SQRT((Fsw*(Table16[[#This Row],[t1_Ph_II]]+0))*((Table16[[#This Row],[I_0]]*Table16[[#This Row],[I_1]]+((Table16[[#This Row],[I_0]]-Table16[[#This Row],[I_1]])^2)/3))),SQRT((Fsw*(Table16[[#This Row],[t2_Ph_I]]+0))*((Table16[[#This Row],[I_1]]*Table16[[#This Row],[I_2]]+((Table16[[#This Row],[I_1]]-Table16[[#This Row],[I_2]])^2)/3))))</f>
        <v>0</v>
      </c>
      <c r="AQ136" s="345">
        <f>Rdson4*Table16[[#This Row],[Irms BoCtlr]]^2</f>
        <v>0</v>
      </c>
      <c r="AR136" s="345">
        <f>CHOOSE(Table16[[#This Row],[Mode Digit]], 0, (Vout*Table16[[#This Row],[Iin]]/2)*(Fsw)*(Tr_boost+Tf_boost), (Vout*Iout/2)*(Fsw/1)*(Tr_boost+Tf_boost))</f>
        <v>0</v>
      </c>
      <c r="AS136" s="253">
        <f>IF(Table16[[#This Row],[Vin]]&gt;Vout, 0, IF(Table16[[#This Row],[Iin]]&gt;Table16[[#This Row],[Ripple Current pk-pk]]/2,0,ABS(Table16[[#This Row],[Iin]]-Table16[[#This Row],[Ripple Current pk-pk]]/2)*Vsd_Q4*Deadtime*Fsw))</f>
        <v>0</v>
      </c>
      <c r="AT136" s="345">
        <f>(Table16[[#This Row],[Dead Time Loss BoCtlr]]+Table16[[#This Row],[Transition Loss BoCtlr]]+Table16[[#This Row],[RDS(on) Loss BoCtlr]]*(1+RdsonTopTc*Ta-RdsonTopTc*25))/(1-Table16[[#This Row],[RDS(on) Loss BoCtlr]]*RdsonTopTc*ThetaJA_Q4)</f>
        <v>0</v>
      </c>
      <c r="AU136"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8.3345258018302033</v>
      </c>
      <c r="AV136" s="345">
        <f>Rdson3*Table16[[#This Row],[Irms BoSync]]^2</f>
        <v>0.24312512119480689</v>
      </c>
      <c r="AW136"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36" s="345">
        <f>(Table16[[#This Row],[Deadtime Loss BoSync]]+Table16[[#This Row],[RDS(on) Loss BoSync]]*(1+RdsonBotTc*Ta-RdsonBotTc*25))/(1-Table16[[#This Row],[RDS(on) Loss BoSync]]*RdsonBotTc*ThetaJA_Q3)</f>
        <v>0.25953071467412658</v>
      </c>
      <c r="AY136" s="345">
        <f>CHOOSE(Table16[[#This Row],[Mode Digit]], Rdson3*Table16[[#This Row],[Irms Lf]]^2, Rdson1*Table16[[#This Row],[Irms Lf]]^2, 0)</f>
        <v>0.24312512119480689</v>
      </c>
      <c r="AZ136" s="345">
        <f>CHOOSE(Table16[[#This Row],[Mode Digit]], 2*Deadtime*Fsw*IF(VfdSky_Q2&gt;0,VfdSky_Q2,0)*Table16[[#This Row],[Iout]], 2*Deadtime*Fsw*IF(VfdSky_Q3&gt;0,VfdSky_Q3,0)*Table16[[#This Row],[Iin]], 2*Deadtime*Fsw*IF(VfdSky_Q2&gt;0,VfdSky_Q2,0)*Table16[[#This Row],[Iout]]+2*Deadtime*Fsw*IF(VfdSky_Q3&gt;0,VfdSky_Q3,0)*Table16[[#This Row],[Iin]])</f>
        <v>0</v>
      </c>
      <c r="BA136" s="345">
        <f>CHOOSE(Table16[[#This Row],[Mode Digit]], IF(QrrSky_Q2&gt;0,QrrSky_Q2,Qrr_Q2)*Fsw*(Table16[[#This Row],[Vin]]-Table16[[#This Row],[Iout]]*Rdson1),0,  IF(QrrSky_Q2&gt;0,QrrSky_Q2,Qrr_Q2)*Fsw*(Table16[[#This Row],[Vin]]-Table16[[#This Row],[Iout]]*Rdson1)+IF(QrrSky_Q3&gt;0,QrrSky_Q3,Qrr_Q3)*Fsw*Vout)</f>
        <v>0.44814402000000003</v>
      </c>
      <c r="BB136" s="345">
        <f>CHOOSE(Table16[[#This Row],[Mode Digit]],0, IF(QrrSky_Q3&gt;0,QrrSky_Q3,Qrr_Q3)*Fsw*Vout,  IF(QrrSky_Q2&gt;0,QrrSky_Q2,Qrr_Q2)*Fsw*(Table16[[#This Row],[Vin]]-Table16[[#This Row],[Iout]]*Rdson1)+IF(QrrSky_Q3&gt;0,QrrSky_Q3,Qrr_Q3)*Fsw*Vout)</f>
        <v>0</v>
      </c>
      <c r="BC136" s="345">
        <f>CHOOSE(Table16[[#This Row],[Mode Digit]], Rs*Table16[[#This Row],[Irms BuSync]]^2, Rs*Table16[[#This Row],[Irms BoCtlr]]^2, Rs*(Table16[[#This Row],[Irms BuSync]]^2+Table16[[#This Row],[Irms BoCtlr]]^2))</f>
        <v>3.2417976368089539E-2</v>
      </c>
      <c r="BD136" s="345">
        <f t="shared" si="5"/>
        <v>0.64</v>
      </c>
      <c r="BE136" s="345">
        <f>IF(Vout&gt;8, Iq*Vout, Iq*Table16[[#This Row],[Vin]])</f>
        <v>4.8000000000000001E-2</v>
      </c>
      <c r="BF136" s="345">
        <f>CHOOSE(Table16[[#This Row],[Mode Digit]], (Qg_Q1+Qg_Q2)*Fsw, (Qg_Q3+Qg_Q4)*Fsw, (Qg_Q1+Qg_Q2+Qg_Q3+Qg_Q4)*Fsw)*IF(Vout&gt;8, Vout, Table16[[#This Row],[Vin]])</f>
        <v>0.85331200000000007</v>
      </c>
      <c r="BG136" s="345">
        <f t="shared" si="6"/>
        <v>0.50594479787234037</v>
      </c>
      <c r="BH136" s="345">
        <f>Table16[[#This Row],[IQ Loss]]+Table16[[#This Row],[Switching Current Loss]]</f>
        <v>0.90131200000000011</v>
      </c>
      <c r="BI136"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6.5283363122426596</v>
      </c>
      <c r="BJ136" s="253">
        <f>Vout*Table16[[#This Row],[Iout]]</f>
        <v>128</v>
      </c>
      <c r="BK136" s="684">
        <f>Table16[[#This Row],[Pout]]/(Table16[[#This Row],[Pout]]+Table16[[#This Row],[Total Loss]])</f>
        <v>0.95147240729202009</v>
      </c>
      <c r="BL136"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61.366478343790909</v>
      </c>
      <c r="BM136" s="685">
        <f>IF(Table16[[#This Row],[Vin]]&gt;Vout, Table16[[#This Row],[Total Sync Bu MOSFET Loss]]*ThetaJA_Q2, ThetaJA_Q3*Table16[[#This Row],[Total Sync Bo MOSFET Loss]])</f>
        <v>21.687286421505924</v>
      </c>
      <c r="BN136" s="640"/>
      <c r="BO136" s="292">
        <f>Table16[[#This Row],[EFF, h]]*100</f>
        <v>95.147240729202011</v>
      </c>
      <c r="BP136" s="345">
        <f>Table16[[#This Row],[Total Inductor Loss]]</f>
        <v>2.9262830568744724</v>
      </c>
      <c r="BQ136" s="345">
        <f>Table16[[#This Row],[Total Control Bu MOSFET Loss]]+Table16[[#This Row],[Total Sync Bu MOSFET Loss]]+Table16[[#This Row],[Total Control Bo MOSFET Loss]]+Table16[[#This Row],[Total Sync Bo MOSFET Loss]]+Table16[[#This Row],[Reverse Recovery Loss MOSFET D BUCK]]+Table16[[#This Row],[Reverse Recovery Loss MOSFET D BOOST]]</f>
        <v>1.9854249618325392</v>
      </c>
      <c r="BR136" s="345">
        <f>Table16[[#This Row],[Total Control Bu MOSFET Loss]]+Table16[[#This Row],[Reverse Recovery Loss MOSFET D BUCK]]*0.66</f>
        <v>1.2398747200275524</v>
      </c>
      <c r="BS136" s="345">
        <f>Table16[[#This Row],[Total Sync Bu MOSFET Loss]]+Table16[[#This Row],[Reverse Recovery Loss MOSFET D BUCK]]*0.33</f>
        <v>0.48153808693086042</v>
      </c>
      <c r="BT136" s="345">
        <f xml:space="preserve"> Table16[[#This Row],[Total Control Bo MOSFET Loss]]+Table16[[#This Row],[Reverse Recovery Loss MOSFET D BOOST]]*0.66</f>
        <v>0</v>
      </c>
      <c r="BU136" s="345">
        <f xml:space="preserve"> Table16[[#This Row],[Total Sync Bo MOSFET Loss]]+Table16[[#This Row],[Reverse Recovery Loss MOSFET D BOOST]]*0.33</f>
        <v>0.25953071467412658</v>
      </c>
      <c r="BV136" s="345">
        <f>Table16[[#This Row],[Isense Shunt Loss]]</f>
        <v>3.2417976368089539E-2</v>
      </c>
    </row>
    <row r="137" spans="7:74" x14ac:dyDescent="0.2">
      <c r="G137" s="253">
        <v>128</v>
      </c>
      <c r="H137" s="286">
        <f>VIN_min+(VIN_max-VIN_min)*(Table16[[#This Row],[Step]]/200)</f>
        <v>25.2</v>
      </c>
      <c r="I137" s="292" t="str">
        <f>IF(Mode = 2,IF(Table16[[#This Row],[Vin]]&gt;Vout, "BUCK","BOOST"),IF(Table16[[#This Row],[Vin]]&gt;VIN_BB_to_buck, "BUCK", IF(Table16[[#This Row],[Vin]]&lt;=VIN_boost_to_BB,"BOOST","BUCK-BST")))</f>
        <v>BUCK</v>
      </c>
      <c r="J137" s="253">
        <f>IF(Table16[[#This Row],[Mode]]="BOOST",2, IF(Table16[[#This Row],[Mode]]="BUCK", 1,3))</f>
        <v>1</v>
      </c>
      <c r="K137" s="253">
        <f t="shared" ref="K137:K200" si="7">Iout</f>
        <v>8</v>
      </c>
      <c r="L137" s="292">
        <f>Vout*Table16[[#This Row],[Iout]]/(Table16[[#This Row],[Vin]]*Efficiency)</f>
        <v>5.3467000835421894</v>
      </c>
      <c r="M137" s="682">
        <f>MIN(1/Fsw,CHOOSE(Table16[[#This Row],[Mode Digit]],(Vout+(Rdson2+Rs+Rdcr)*Table16[[#This Row],[Iout]])/(Table16[[#This Row],[Vin]]+(Rs+Rdson2-Rdson1)*Table16[[#This Row],[Iout]])/Fsw,(Vout+(Rdson3+Rdcr)*Table16[[#This Row],[Iin]]-Table16[[#This Row],[Vin]])/(Vout+(Rdson3-Rdson4-Rs)*Table16[[#This Row],[Iin]])/Fsw,t1_Ph_II))</f>
        <v>1.6009983596145295E-6</v>
      </c>
      <c r="N137" s="518">
        <f>CHOOSE(Table16[[#This Row],[Mode Digit]],1/Fsw-Table16[[#This Row],[t1_Ph_II]],1/Fsw-Table16[[#This Row],[t1_Ph_II]],(Vout/Fsw-Table16[[#This Row],[Vin]]*t1_Ph_II)/(Table16[[#This Row],[Vin]]+Vout))</f>
        <v>9.1156445445582242E-7</v>
      </c>
      <c r="O137" s="518">
        <f>1/Fsw-(Table16[[#This Row],[t1_Ph_II]]+Table16[[#This Row],[t2_Ph_I]])</f>
        <v>0</v>
      </c>
      <c r="P137"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3.9085597476517586</v>
      </c>
      <c r="Q137" s="292">
        <f>CHOOSE(Table16[[#This Row],[Mode Digit]],Table16[[#This Row],[I_0]]+1/Lf*(Table16[[#This Row],[Vin]]-Vout)*Table16[[#This Row],[t1_Ph_II]],Table16[[#This Row],[I_0]]+1/Lf*Table16[[#This Row],[Vin]]*Table16[[#This Row],[t1_Ph_II]],Table16[[#This Row],[I_0]]+(Table16[[#This Row],[Vin]]-Vout)/L*Table16[[#This Row],[t1_Ph_II]])</f>
        <v>12.091440252348242</v>
      </c>
      <c r="R137" s="292">
        <f>CHOOSE(Table16[[#This Row],[Mode Digit]],0,0,Table16[[#This Row],[I_1]]+Table16[[#This Row],[Vin]]/L*Table16[[#This Row],[t2_Ph_I]])</f>
        <v>0</v>
      </c>
      <c r="S137" s="292">
        <f>Fsw*(Table16[[#This Row],[I_0]]*Table16[[#This Row],[t1_Ph_II]]+Table16[[#This Row],[I_1]]*Table16[[#This Row],[t2_Ph_I]]+Table16[[#This Row],[I_2]]*Table16[[#This Row],[t3_Ph_III]])</f>
        <v>6.8773305029018106</v>
      </c>
      <c r="T137" s="345">
        <f>MIN(1,CHOOSE(Table16[[#This Row],[Mode Digit]],(Vout+(Rdson2+Rs+Rdcr)*Table16[[#This Row],[Iout]])/(Table16[[#This Row],[Vin]]+(Rs+Rdson2-Rdson1)*Table16[[#This Row],[Iout]]),1,Fsw*Table16[[#This Row],[t2_Ph_I]]+Table16[[#This Row],[t1_Ph_II]]))</f>
        <v>0.63719734712658271</v>
      </c>
      <c r="U137" s="345">
        <f>MIN(1,CHOOSE(Table16[[#This Row],[Mode Digit]],0,(Vout+(Rdson3+Rdcr)*Table16[[#This Row],[Iin]]-Table16[[#This Row],[Vin]])/(Vout+(Rdson3-Rdson4-Rs)*Table16[[#This Row],[Iin]]),Fsw*Table16[[#This Row],[t1_Ph_II]]+Table16[[#This Row],[t3_Ph_III]]))</f>
        <v>0</v>
      </c>
      <c r="V137" s="292">
        <f>MAX(Table16[[#This Row],[I_0]:[I_2]])-MIN(Table16[[#This Row],[I_0]:[I_1]])</f>
        <v>8.1828805046964845</v>
      </c>
      <c r="W137"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8.3414603705133779</v>
      </c>
      <c r="X137" s="345">
        <f>(Table16[[#This Row],[Irms Lf]]^2*Rdcr*(1+Ltc*Ta-Ltc*25))/(1-Table16[[#This Row],[Irms Lf]]^2*Rdcr*Ltc*ThetaCa)</f>
        <v>0.22669385302751757</v>
      </c>
      <c r="Y137" s="345">
        <f>ABS(7.759*10^-3*Fsw^0.9458*(0.00787*Table16[[#This Row],[Ripple Current pk-pk]])^2.304)</f>
        <v>2.7659023973978898</v>
      </c>
      <c r="Z137" s="345">
        <f>Table16[[#This Row],[DCR    Loss]]+Table16[[#This Row],[Core Loss]]</f>
        <v>2.9925962504254073</v>
      </c>
      <c r="AA137" s="292">
        <f>IF(Table16[[#This Row],[Vin]]&gt;Vout, Table16[[#This Row],[Ripple Current pk-pk]]/SQRT(12), SQRT(Table16[[#This Row],[Duty Cycle BOOST Leg]]/(1-Table16[[#This Row],[Duty Cycle BOOST Leg]]))*SQRT(Table16[[#This Row],[Iout]]^2+(Table16[[#This Row],[Ripple Current pk-pk]]^2)/12))</f>
        <v>2.362194131066528</v>
      </c>
      <c r="AB137" s="345">
        <f>RCoutEsr*Table16[[#This Row],[Irms Cout]]^2</f>
        <v>1.1159922225690299E-2</v>
      </c>
      <c r="AC137" s="345">
        <f>Table16[[#This Row],[Cout ESR Loss]]</f>
        <v>1.1159922225690299E-2</v>
      </c>
      <c r="AD137" s="345">
        <f>IF(Table16[[#This Row],[Vin]]&gt;Vout, SQRT(Table16[[#This Row],[Duty Cycle BUCK Leg]]*(1-Table16[[#This Row],[Duty Cycle BUCK Leg]]))*SQRT(Table16[[#This Row],[Iout]]^2+(Table16[[#This Row],[Ripple Current pk-pk]]^2)/12), Table16[[#This Row],[Ripple Current pk-pk]]/SQRT(12))</f>
        <v>4.0106456927972483</v>
      </c>
      <c r="AE137" s="345">
        <f>RCinEsr*Table16[[#This Row],[Irms Cin]]^2</f>
        <v>3.2170557746306234E-2</v>
      </c>
      <c r="AF137" s="683">
        <f>Table16[[#This Row],[Cin ESR Loss]]</f>
        <v>3.2170557746306234E-2</v>
      </c>
      <c r="AG137"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6.6585408787718441</v>
      </c>
      <c r="AH137" s="345">
        <f>Rdson1*Table16[[#This Row],[Irms BuCtrl]]^2</f>
        <v>0.15517658321996503</v>
      </c>
      <c r="AI137" s="345">
        <f>CHOOSE(Table16[[#This Row],[Mode Digit]], (Table16[[#This Row],[Vin]]*Table16[[#This Row],[Iout]]/2)*(Fsw)*(Tr_buck+Tf_buck), 0, (Table16[[#This Row],[Vin]]*Table16[[#This Row],[Avg IL]]/2)*(Fsw/1)*(Tr_buck+Tf_buck))</f>
        <v>0.75448985435875682</v>
      </c>
      <c r="AJ137" s="253">
        <f>IF(Table16[[#This Row],[Vin]]&gt;Vout, IF(Table16[[#This Row],[Iout]]&gt;Table16[[#This Row],[Ripple Current pk-pk]]/2,0,ABS(Table16[[#This Row],[Iout]]-Table16[[#This Row],[Ripple Current pk-pk]]/2)*Vsd_Q1*Deadtime*Fsw),0)</f>
        <v>0</v>
      </c>
      <c r="AK137" s="345">
        <f>(Table16[[#This Row],[Dead Time Loss BuCtrl]]+Table16[[#This Row],[Transition Loss BuCtrl]]+Table16[[#This Row],[RDS(on) Loss BuCtrl]]*(1+RdsonTopTc*Ta-RdsonTopTc*25))/(1-Table16[[#This Row],[RDS(on) Loss BuCtrl]]*RdsonTopTc*ThetaJA_Q1)</f>
        <v>0.94791076139802899</v>
      </c>
      <c r="AL137" s="345">
        <f>CHOOSE(Table16[[#This Row],[Mode Digit]],SQRT((Fsw*(Table16[[#This Row],[t2_Ph_I]]+0))*((Table16[[#This Row],[I_0]]*Table16[[#This Row],[I_1]]+((Table16[[#This Row],[I_0]]-Table16[[#This Row],[I_1]])^2)/3))),0,SQRT((Fsw*(Table16[[#This Row],[t3_Ph_III]]+0))*((Table16[[#This Row],[I_0]]*Table16[[#This Row],[I_2]]+((Table16[[#This Row],[I_0]]-Table16[[#This Row],[I_2]])^2)/3))))</f>
        <v>5.0243203001569716</v>
      </c>
      <c r="AM137" s="345">
        <f>Rdson2*Table16[[#This Row],[Irms BuSync]]^2</f>
        <v>8.835328067499304E-2</v>
      </c>
      <c r="AN137"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37" s="345">
        <f>(Table16[[#This Row],[Deadtime Loss BuSync]]+Table16[[#This Row],[RDS(on) Loss BuSync]]*(1+RdsonBotTc*Ta-RdsonBotTc*25))/(1-Table16[[#This Row],[RDS(on) Loss BuSync]]*RdsonBotTc*ThetaJA_Q2)</f>
        <v>0.33484529762149084</v>
      </c>
      <c r="AP137" s="345">
        <f>CHOOSE(Table16[[#This Row],[Mode Digit]],0,SQRT((Fsw*(Table16[[#This Row],[t1_Ph_II]]+0))*((Table16[[#This Row],[I_0]]*Table16[[#This Row],[I_1]]+((Table16[[#This Row],[I_0]]-Table16[[#This Row],[I_1]])^2)/3))),SQRT((Fsw*(Table16[[#This Row],[t2_Ph_I]]+0))*((Table16[[#This Row],[I_1]]*Table16[[#This Row],[I_2]]+((Table16[[#This Row],[I_1]]-Table16[[#This Row],[I_2]])^2)/3))))</f>
        <v>0</v>
      </c>
      <c r="AQ137" s="345">
        <f>Rdson4*Table16[[#This Row],[Irms BoCtlr]]^2</f>
        <v>0</v>
      </c>
      <c r="AR137" s="345">
        <f>CHOOSE(Table16[[#This Row],[Mode Digit]], 0, (Vout*Table16[[#This Row],[Iin]]/2)*(Fsw)*(Tr_boost+Tf_boost), (Vout*Iout/2)*(Fsw/1)*(Tr_boost+Tf_boost))</f>
        <v>0</v>
      </c>
      <c r="AS137" s="253">
        <f>IF(Table16[[#This Row],[Vin]]&gt;Vout, 0, IF(Table16[[#This Row],[Iin]]&gt;Table16[[#This Row],[Ripple Current pk-pk]]/2,0,ABS(Table16[[#This Row],[Iin]]-Table16[[#This Row],[Ripple Current pk-pk]]/2)*Vsd_Q4*Deadtime*Fsw))</f>
        <v>0</v>
      </c>
      <c r="AT137" s="345">
        <f>(Table16[[#This Row],[Dead Time Loss BoCtlr]]+Table16[[#This Row],[Transition Loss BoCtlr]]+Table16[[#This Row],[RDS(on) Loss BoCtlr]]*(1+RdsonTopTc*Ta-RdsonTopTc*25))/(1-Table16[[#This Row],[RDS(on) Loss BoCtlr]]*RdsonTopTc*ThetaJA_Q4)</f>
        <v>0</v>
      </c>
      <c r="AU137"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8.3414603705133779</v>
      </c>
      <c r="AV137" s="345">
        <f>Rdson3*Table16[[#This Row],[Irms BoSync]]^2</f>
        <v>0.24352986389495815</v>
      </c>
      <c r="AW137"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37" s="345">
        <f>(Table16[[#This Row],[Deadtime Loss BoSync]]+Table16[[#This Row],[RDS(on) Loss BoSync]]*(1+RdsonBotTc*Ta-RdsonBotTc*25))/(1-Table16[[#This Row],[RDS(on) Loss BoSync]]*RdsonBotTc*ThetaJA_Q3)</f>
        <v>0.25999197454007489</v>
      </c>
      <c r="AY137" s="345">
        <f>CHOOSE(Table16[[#This Row],[Mode Digit]], Rdson3*Table16[[#This Row],[Irms Lf]]^2, Rdson1*Table16[[#This Row],[Irms Lf]]^2, 0)</f>
        <v>0.24352986389495815</v>
      </c>
      <c r="AZ137" s="345">
        <f>CHOOSE(Table16[[#This Row],[Mode Digit]], 2*Deadtime*Fsw*IF(VfdSky_Q2&gt;0,VfdSky_Q2,0)*Table16[[#This Row],[Iout]], 2*Deadtime*Fsw*IF(VfdSky_Q3&gt;0,VfdSky_Q3,0)*Table16[[#This Row],[Iin]], 2*Deadtime*Fsw*IF(VfdSky_Q2&gt;0,VfdSky_Q2,0)*Table16[[#This Row],[Iout]]+2*Deadtime*Fsw*IF(VfdSky_Q3&gt;0,VfdSky_Q3,0)*Table16[[#This Row],[Iin]])</f>
        <v>0</v>
      </c>
      <c r="BA137" s="345">
        <f>CHOOSE(Table16[[#This Row],[Mode Digit]], IF(QrrSky_Q2&gt;0,QrrSky_Q2,Qrr_Q2)*Fsw*(Table16[[#This Row],[Vin]]-Table16[[#This Row],[Iout]]*Rdson1),0,  IF(QrrSky_Q2&gt;0,QrrSky_Q2,Qrr_Q2)*Fsw*(Table16[[#This Row],[Vin]]-Table16[[#This Row],[Iout]]*Rdson1)+IF(QrrSky_Q3&gt;0,QrrSky_Q3,Qrr_Q3)*Fsw*Vout)</f>
        <v>0.45083051999999996</v>
      </c>
      <c r="BB137" s="345">
        <f>CHOOSE(Table16[[#This Row],[Mode Digit]],0, IF(QrrSky_Q3&gt;0,QrrSky_Q3,Qrr_Q3)*Fsw*Vout,  IF(QrrSky_Q2&gt;0,QrrSky_Q2,Qrr_Q2)*Fsw*(Table16[[#This Row],[Vin]]-Table16[[#This Row],[Iout]]*Rdson1)+IF(QrrSky_Q3&gt;0,QrrSky_Q3,Qrr_Q3)*Fsw*Vout)</f>
        <v>0</v>
      </c>
      <c r="BC137" s="345">
        <f>CHOOSE(Table16[[#This Row],[Mode Digit]], Rs*Table16[[#This Row],[Irms BuSync]]^2, Rs*Table16[[#This Row],[Irms BoCtlr]]^2, Rs*(Table16[[#This Row],[Irms BuSync]]^2+Table16[[#This Row],[Irms BoCtlr]]^2))</f>
        <v>3.2816932822140273E-2</v>
      </c>
      <c r="BD137" s="345">
        <f t="shared" ref="BD137:BD200" si="8">Rshunt/1000*Iout^2</f>
        <v>0.64</v>
      </c>
      <c r="BE137" s="345">
        <f>IF(Vout&gt;8, Iq*Vout, Iq*Table16[[#This Row],[Vin]])</f>
        <v>4.8000000000000001E-2</v>
      </c>
      <c r="BF137" s="345">
        <f>CHOOSE(Table16[[#This Row],[Mode Digit]], (Qg_Q1+Qg_Q2)*Fsw, (Qg_Q3+Qg_Q4)*Fsw, (Qg_Q1+Qg_Q2+Qg_Q3+Qg_Q4)*Fsw)*IF(Vout&gt;8, Vout, Table16[[#This Row],[Vin]])</f>
        <v>0.85331200000000007</v>
      </c>
      <c r="BG137" s="345">
        <f t="shared" ref="BG137:BG200" si="9">(Vin-Vdd)*Fsw*(Qg_Q1+Qg_Q2)+(RdsonDRT+RdsonDRT2)*Fsw*Qg_Q1*Vdd/(RdsonDRT+2*Rgate1+RdsonDRT2)+(RdsonDRB+RdsonDRB2)*Fsw*Qg_Q2*Vdd/(RdsonDRB+2*Rgate2+RdsonDRB2)</f>
        <v>0.50594479787234037</v>
      </c>
      <c r="BH137" s="345">
        <f>Table16[[#This Row],[IQ Loss]]+Table16[[#This Row],[Switching Current Loss]]</f>
        <v>0.90131200000000011</v>
      </c>
      <c r="BI137"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6.6036342167791382</v>
      </c>
      <c r="BJ137" s="253">
        <f>Vout*Table16[[#This Row],[Iout]]</f>
        <v>128</v>
      </c>
      <c r="BK137" s="684">
        <f>Table16[[#This Row],[Pout]]/(Table16[[#This Row],[Pout]]+Table16[[#This Row],[Total Loss]])</f>
        <v>0.9509401491631051</v>
      </c>
      <c r="BL137"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61.614199490871883</v>
      </c>
      <c r="BM137" s="685">
        <f>IF(Table16[[#This Row],[Vin]]&gt;Vout, Table16[[#This Row],[Total Sync Bu MOSFET Loss]]*ThetaJA_Q2, ThetaJA_Q3*Table16[[#This Row],[Total Sync Bo MOSFET Loss]])</f>
        <v>21.764944345396906</v>
      </c>
      <c r="BN137" s="640"/>
      <c r="BO137" s="292">
        <f>Table16[[#This Row],[EFF, h]]*100</f>
        <v>95.094014916310513</v>
      </c>
      <c r="BP137" s="345">
        <f>Table16[[#This Row],[Total Inductor Loss]]</f>
        <v>2.9925962504254073</v>
      </c>
      <c r="BQ137" s="345">
        <f>Table16[[#This Row],[Total Control Bu MOSFET Loss]]+Table16[[#This Row],[Total Sync Bu MOSFET Loss]]+Table16[[#This Row],[Total Control Bo MOSFET Loss]]+Table16[[#This Row],[Total Sync Bo MOSFET Loss]]+Table16[[#This Row],[Reverse Recovery Loss MOSFET D BUCK]]+Table16[[#This Row],[Reverse Recovery Loss MOSFET D BOOST]]</f>
        <v>1.9935785535595949</v>
      </c>
      <c r="BR137" s="345">
        <f>Table16[[#This Row],[Total Control Bu MOSFET Loss]]+Table16[[#This Row],[Reverse Recovery Loss MOSFET D BUCK]]*0.66</f>
        <v>1.2454589045980291</v>
      </c>
      <c r="BS137" s="345">
        <f>Table16[[#This Row],[Total Sync Bu MOSFET Loss]]+Table16[[#This Row],[Reverse Recovery Loss MOSFET D BUCK]]*0.33</f>
        <v>0.48361936922149085</v>
      </c>
      <c r="BT137" s="345">
        <f xml:space="preserve"> Table16[[#This Row],[Total Control Bo MOSFET Loss]]+Table16[[#This Row],[Reverse Recovery Loss MOSFET D BOOST]]*0.66</f>
        <v>0</v>
      </c>
      <c r="BU137" s="345">
        <f xml:space="preserve"> Table16[[#This Row],[Total Sync Bo MOSFET Loss]]+Table16[[#This Row],[Reverse Recovery Loss MOSFET D BOOST]]*0.33</f>
        <v>0.25999197454007489</v>
      </c>
      <c r="BV137" s="345">
        <f>Table16[[#This Row],[Isense Shunt Loss]]</f>
        <v>3.2816932822140273E-2</v>
      </c>
    </row>
    <row r="138" spans="7:74" x14ac:dyDescent="0.2">
      <c r="G138" s="253">
        <v>129</v>
      </c>
      <c r="H138" s="286">
        <f>VIN_min+(VIN_max-VIN_min)*(Table16[[#This Row],[Step]]/200)</f>
        <v>25.35</v>
      </c>
      <c r="I138" s="292" t="str">
        <f>IF(Mode = 2,IF(Table16[[#This Row],[Vin]]&gt;Vout, "BUCK","BOOST"),IF(Table16[[#This Row],[Vin]]&gt;VIN_BB_to_buck, "BUCK", IF(Table16[[#This Row],[Vin]]&lt;=VIN_boost_to_BB,"BOOST","BUCK-BST")))</f>
        <v>BUCK</v>
      </c>
      <c r="J138" s="253">
        <f>IF(Table16[[#This Row],[Mode]]="BOOST",2, IF(Table16[[#This Row],[Mode]]="BUCK", 1,3))</f>
        <v>1</v>
      </c>
      <c r="K138" s="253">
        <f t="shared" si="7"/>
        <v>8</v>
      </c>
      <c r="L138" s="292">
        <f>Vout*Table16[[#This Row],[Iout]]/(Table16[[#This Row],[Vin]]*Efficiency)</f>
        <v>5.3150628049413475</v>
      </c>
      <c r="M138" s="682">
        <f>MIN(1/Fsw,CHOOSE(Table16[[#This Row],[Mode Digit]],(Vout+(Rdson2+Rs+Rdcr)*Table16[[#This Row],[Iout]])/(Table16[[#This Row],[Vin]]+(Rs+Rdson2-Rdson1)*Table16[[#This Row],[Iout]])/Fsw,(Vout+(Rdson3+Rdcr)*Table16[[#This Row],[Iin]]-Table16[[#This Row],[Vin]])/(Vout+(Rdson3-Rdson4-Rs)*Table16[[#This Row],[Iin]])/Fsw,t1_Ph_II))</f>
        <v>1.5915288814540041E-6</v>
      </c>
      <c r="N138" s="518">
        <f>CHOOSE(Table16[[#This Row],[Mode Digit]],1/Fsw-Table16[[#This Row],[t1_Ph_II]],1/Fsw-Table16[[#This Row],[t1_Ph_II]],(Vout/Fsw-Table16[[#This Row],[Vin]]*t1_Ph_II)/(Table16[[#This Row],[Vin]]+Vout))</f>
        <v>9.2103393261634776E-7</v>
      </c>
      <c r="O138" s="518">
        <f>1/Fsw-(Table16[[#This Row],[t1_Ph_II]]+Table16[[#This Row],[t2_Ph_I]])</f>
        <v>0</v>
      </c>
      <c r="P138"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3.8664458217791831</v>
      </c>
      <c r="Q138" s="292">
        <f>CHOOSE(Table16[[#This Row],[Mode Digit]],Table16[[#This Row],[I_0]]+1/Lf*(Table16[[#This Row],[Vin]]-Vout)*Table16[[#This Row],[t1_Ph_II]],Table16[[#This Row],[I_0]]+1/Lf*Table16[[#This Row],[Vin]]*Table16[[#This Row],[t1_Ph_II]],Table16[[#This Row],[I_0]]+(Table16[[#This Row],[Vin]]-Vout)/L*Table16[[#This Row],[t1_Ph_II]])</f>
        <v>12.133554178220816</v>
      </c>
      <c r="R138" s="292">
        <f>CHOOSE(Table16[[#This Row],[Mode Digit]],0,0,Table16[[#This Row],[I_1]]+Table16[[#This Row],[Vin]]/L*Table16[[#This Row],[t2_Ph_I]])</f>
        <v>0</v>
      </c>
      <c r="S138" s="292">
        <f>Fsw*(Table16[[#This Row],[I_0]]*Table16[[#This Row],[t1_Ph_II]]+Table16[[#This Row],[I_1]]*Table16[[#This Row],[t2_Ph_I]]+Table16[[#This Row],[I_2]]*Table16[[#This Row],[t3_Ph_III]])</f>
        <v>6.8969321754969481</v>
      </c>
      <c r="T138" s="345">
        <f>MIN(1,CHOOSE(Table16[[#This Row],[Mode Digit]],(Vout+(Rdson2+Rs+Rdcr)*Table16[[#This Row],[Iout]])/(Table16[[#This Row],[Vin]]+(Rs+Rdson2-Rdson1)*Table16[[#This Row],[Iout]]),1,Fsw*Table16[[#This Row],[t2_Ph_I]]+Table16[[#This Row],[t1_Ph_II]]))</f>
        <v>0.63342849481869368</v>
      </c>
      <c r="U138" s="345">
        <f>MIN(1,CHOOSE(Table16[[#This Row],[Mode Digit]],0,(Vout+(Rdson3+Rdcr)*Table16[[#This Row],[Iin]]-Table16[[#This Row],[Vin]])/(Vout+(Rdson3-Rdson4-Rs)*Table16[[#This Row],[Iin]]),Fsw*Table16[[#This Row],[t1_Ph_II]]+Table16[[#This Row],[t3_Ph_III]]))</f>
        <v>0</v>
      </c>
      <c r="V138" s="292">
        <f>MAX(Table16[[#This Row],[I_0]:[I_2]])-MIN(Table16[[#This Row],[I_0]:[I_1]])</f>
        <v>8.2671083564416321</v>
      </c>
      <c r="W138"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8.3483784881513916</v>
      </c>
      <c r="X138" s="345">
        <f>(Table16[[#This Row],[Irms Lf]]^2*Rdcr*(1+Ltc*Ta-Ltc*25))/(1-Table16[[#This Row],[Irms Lf]]^2*Rdcr*Ltc*ThetaCa)</f>
        <v>0.2270768667223563</v>
      </c>
      <c r="Y138" s="345">
        <f>ABS(7.759*10^-3*Fsw^0.9458*(0.00787*Table16[[#This Row],[Ripple Current pk-pk]])^2.304)</f>
        <v>2.8319377854961334</v>
      </c>
      <c r="Z138" s="345">
        <f>Table16[[#This Row],[DCR    Loss]]+Table16[[#This Row],[Core Loss]]</f>
        <v>3.0590146522184898</v>
      </c>
      <c r="AA138" s="292">
        <f>IF(Table16[[#This Row],[Vin]]&gt;Vout, Table16[[#This Row],[Ripple Current pk-pk]]/SQRT(12), SQRT(Table16[[#This Row],[Duty Cycle BOOST Leg]]/(1-Table16[[#This Row],[Duty Cycle BOOST Leg]]))*SQRT(Table16[[#This Row],[Iout]]^2+(Table16[[#This Row],[Ripple Current pk-pk]]^2)/12))</f>
        <v>2.3865086175056907</v>
      </c>
      <c r="AB138" s="345">
        <f>RCoutEsr*Table16[[#This Row],[Irms Cout]]^2</f>
        <v>1.1390846762857846E-2</v>
      </c>
      <c r="AC138" s="345">
        <f>Table16[[#This Row],[Cout ESR Loss]]</f>
        <v>1.1390846762857846E-2</v>
      </c>
      <c r="AD138" s="345">
        <f>IF(Table16[[#This Row],[Vin]]&gt;Vout, SQRT(Table16[[#This Row],[Duty Cycle BUCK Leg]]*(1-Table16[[#This Row],[Duty Cycle BUCK Leg]]))*SQRT(Table16[[#This Row],[Iout]]^2+(Table16[[#This Row],[Ripple Current pk-pk]]^2)/12), Table16[[#This Row],[Ripple Current pk-pk]]/SQRT(12))</f>
        <v>4.0228170287179124</v>
      </c>
      <c r="AE138" s="345">
        <f>RCinEsr*Table16[[#This Row],[Irms Cin]]^2</f>
        <v>3.2366113693085626E-2</v>
      </c>
      <c r="AF138" s="683">
        <f>Table16[[#This Row],[Cin ESR Loss]]</f>
        <v>3.2366113693085626E-2</v>
      </c>
      <c r="AG138"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6.6443259348296655</v>
      </c>
      <c r="AH138" s="345">
        <f>Rdson1*Table16[[#This Row],[Irms BuCtrl]]^2</f>
        <v>0.15451473494887538</v>
      </c>
      <c r="AI138" s="345">
        <f>CHOOSE(Table16[[#This Row],[Mode Digit]], (Table16[[#This Row],[Vin]]*Table16[[#This Row],[Iout]]/2)*(Fsw)*(Tr_buck+Tf_buck), 0, (Table16[[#This Row],[Vin]]*Table16[[#This Row],[Avg IL]]/2)*(Fsw/1)*(Tr_buck+Tf_buck))</f>
        <v>0.75898086539660659</v>
      </c>
      <c r="AJ138" s="253">
        <f>IF(Table16[[#This Row],[Vin]]&gt;Vout, IF(Table16[[#This Row],[Iout]]&gt;Table16[[#This Row],[Ripple Current pk-pk]]/2,0,ABS(Table16[[#This Row],[Iout]]-Table16[[#This Row],[Ripple Current pk-pk]]/2)*Vsd_Q1*Deadtime*Fsw),0)</f>
        <v>0</v>
      </c>
      <c r="AK138" s="345">
        <f>(Table16[[#This Row],[Dead Time Loss BuCtrl]]+Table16[[#This Row],[Transition Loss BuCtrl]]+Table16[[#This Row],[RDS(on) Loss BuCtrl]]*(1+RdsonTopTc*Ta-RdsonTopTc*25))/(1-Table16[[#This Row],[RDS(on) Loss BuCtrl]]*RdsonTopTc*ThetaJA_Q1)</f>
        <v>0.95173025067625983</v>
      </c>
      <c r="AL138" s="345">
        <f>CHOOSE(Table16[[#This Row],[Mode Digit]],SQRT((Fsw*(Table16[[#This Row],[t2_Ph_I]]+0))*((Table16[[#This Row],[I_0]]*Table16[[#This Row],[I_1]]+((Table16[[#This Row],[I_0]]-Table16[[#This Row],[I_1]])^2)/3))),0,SQRT((Fsw*(Table16[[#This Row],[t3_Ph_III]]+0))*((Table16[[#This Row],[I_0]]*Table16[[#This Row],[I_2]]+((Table16[[#This Row],[I_0]]-Table16[[#This Row],[I_2]])^2)/3))))</f>
        <v>5.0545381839668408</v>
      </c>
      <c r="AM138" s="345">
        <f>Rdson2*Table16[[#This Row],[Irms BuSync]]^2</f>
        <v>8.9419246886125833E-2</v>
      </c>
      <c r="AN138"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38" s="345">
        <f>(Table16[[#This Row],[Deadtime Loss BuSync]]+Table16[[#This Row],[RDS(on) Loss BuSync]]*(1+RdsonBotTc*Ta-RdsonBotTc*25))/(1-Table16[[#This Row],[RDS(on) Loss BuSync]]*RdsonBotTc*ThetaJA_Q2)</f>
        <v>0.33603164808045283</v>
      </c>
      <c r="AP138" s="345">
        <f>CHOOSE(Table16[[#This Row],[Mode Digit]],0,SQRT((Fsw*(Table16[[#This Row],[t1_Ph_II]]+0))*((Table16[[#This Row],[I_0]]*Table16[[#This Row],[I_1]]+((Table16[[#This Row],[I_0]]-Table16[[#This Row],[I_1]])^2)/3))),SQRT((Fsw*(Table16[[#This Row],[t2_Ph_I]]+0))*((Table16[[#This Row],[I_1]]*Table16[[#This Row],[I_2]]+((Table16[[#This Row],[I_1]]-Table16[[#This Row],[I_2]])^2)/3))))</f>
        <v>0</v>
      </c>
      <c r="AQ138" s="345">
        <f>Rdson4*Table16[[#This Row],[Irms BoCtlr]]^2</f>
        <v>0</v>
      </c>
      <c r="AR138" s="345">
        <f>CHOOSE(Table16[[#This Row],[Mode Digit]], 0, (Vout*Table16[[#This Row],[Iin]]/2)*(Fsw)*(Tr_boost+Tf_boost), (Vout*Iout/2)*(Fsw/1)*(Tr_boost+Tf_boost))</f>
        <v>0</v>
      </c>
      <c r="AS138" s="253">
        <f>IF(Table16[[#This Row],[Vin]]&gt;Vout, 0, IF(Table16[[#This Row],[Iin]]&gt;Table16[[#This Row],[Ripple Current pk-pk]]/2,0,ABS(Table16[[#This Row],[Iin]]-Table16[[#This Row],[Ripple Current pk-pk]]/2)*Vsd_Q4*Deadtime*Fsw))</f>
        <v>0</v>
      </c>
      <c r="AT138" s="345">
        <f>(Table16[[#This Row],[Dead Time Loss BoCtlr]]+Table16[[#This Row],[Transition Loss BoCtlr]]+Table16[[#This Row],[RDS(on) Loss BoCtlr]]*(1+RdsonTopTc*Ta-RdsonTopTc*25))/(1-Table16[[#This Row],[RDS(on) Loss BoCtlr]]*RdsonTopTc*ThetaJA_Q4)</f>
        <v>0</v>
      </c>
      <c r="AU138"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8.3483784881513916</v>
      </c>
      <c r="AV138" s="345">
        <f>Rdson3*Table16[[#This Row],[Irms BoSync]]^2</f>
        <v>0.2439339818350012</v>
      </c>
      <c r="AW138"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38" s="345">
        <f>(Table16[[#This Row],[Deadtime Loss BoSync]]+Table16[[#This Row],[RDS(on) Loss BoSync]]*(1+RdsonBotTc*Ta-RdsonBotTc*25))/(1-Table16[[#This Row],[RDS(on) Loss BoSync]]*RdsonBotTc*ThetaJA_Q3)</f>
        <v>0.26045262581986262</v>
      </c>
      <c r="AY138" s="345">
        <f>CHOOSE(Table16[[#This Row],[Mode Digit]], Rdson3*Table16[[#This Row],[Irms Lf]]^2, Rdson1*Table16[[#This Row],[Irms Lf]]^2, 0)</f>
        <v>0.2439339818350012</v>
      </c>
      <c r="AZ138" s="345">
        <f>CHOOSE(Table16[[#This Row],[Mode Digit]], 2*Deadtime*Fsw*IF(VfdSky_Q2&gt;0,VfdSky_Q2,0)*Table16[[#This Row],[Iout]], 2*Deadtime*Fsw*IF(VfdSky_Q3&gt;0,VfdSky_Q3,0)*Table16[[#This Row],[Iin]], 2*Deadtime*Fsw*IF(VfdSky_Q2&gt;0,VfdSky_Q2,0)*Table16[[#This Row],[Iout]]+2*Deadtime*Fsw*IF(VfdSky_Q3&gt;0,VfdSky_Q3,0)*Table16[[#This Row],[Iin]])</f>
        <v>0</v>
      </c>
      <c r="BA138" s="345">
        <f>CHOOSE(Table16[[#This Row],[Mode Digit]], IF(QrrSky_Q2&gt;0,QrrSky_Q2,Qrr_Q2)*Fsw*(Table16[[#This Row],[Vin]]-Table16[[#This Row],[Iout]]*Rdson1),0,  IF(QrrSky_Q2&gt;0,QrrSky_Q2,Qrr_Q2)*Fsw*(Table16[[#This Row],[Vin]]-Table16[[#This Row],[Iout]]*Rdson1)+IF(QrrSky_Q3&gt;0,QrrSky_Q3,Qrr_Q3)*Fsw*Vout)</f>
        <v>0.45351701999999999</v>
      </c>
      <c r="BB138" s="345">
        <f>CHOOSE(Table16[[#This Row],[Mode Digit]],0, IF(QrrSky_Q3&gt;0,QrrSky_Q3,Qrr_Q3)*Fsw*Vout,  IF(QrrSky_Q2&gt;0,QrrSky_Q2,Qrr_Q2)*Fsw*(Table16[[#This Row],[Vin]]-Table16[[#This Row],[Iout]]*Rdson1)+IF(QrrSky_Q3&gt;0,QrrSky_Q3,Qrr_Q3)*Fsw*Vout)</f>
        <v>0</v>
      </c>
      <c r="BC138" s="345">
        <f>CHOOSE(Table16[[#This Row],[Mode Digit]], Rs*Table16[[#This Row],[Irms BuSync]]^2, Rs*Table16[[#This Row],[Irms BoCtlr]]^2, Rs*(Table16[[#This Row],[Irms BuSync]]^2+Table16[[#This Row],[Irms BoCtlr]]^2))</f>
        <v>3.321286312913245E-2</v>
      </c>
      <c r="BD138" s="345">
        <f t="shared" si="8"/>
        <v>0.64</v>
      </c>
      <c r="BE138" s="345">
        <f>IF(Vout&gt;8, Iq*Vout, Iq*Table16[[#This Row],[Vin]])</f>
        <v>4.8000000000000001E-2</v>
      </c>
      <c r="BF138" s="345">
        <f>CHOOSE(Table16[[#This Row],[Mode Digit]], (Qg_Q1+Qg_Q2)*Fsw, (Qg_Q3+Qg_Q4)*Fsw, (Qg_Q1+Qg_Q2+Qg_Q3+Qg_Q4)*Fsw)*IF(Vout&gt;8, Vout, Table16[[#This Row],[Vin]])</f>
        <v>0.85331200000000007</v>
      </c>
      <c r="BG138" s="345">
        <f t="shared" si="9"/>
        <v>0.50594479787234037</v>
      </c>
      <c r="BH138" s="345">
        <f>Table16[[#This Row],[IQ Loss]]+Table16[[#This Row],[Switching Current Loss]]</f>
        <v>0.90131200000000011</v>
      </c>
      <c r="BI138"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6.67902802038014</v>
      </c>
      <c r="BJ138" s="253">
        <f>Vout*Table16[[#This Row],[Iout]]</f>
        <v>128</v>
      </c>
      <c r="BK138" s="684">
        <f>Table16[[#This Row],[Pout]]/(Table16[[#This Row],[Pout]]+Table16[[#This Row],[Total Loss]])</f>
        <v>0.95040780945219294</v>
      </c>
      <c r="BL138"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61.862466293956892</v>
      </c>
      <c r="BM138" s="685">
        <f>IF(Table16[[#This Row],[Vin]]&gt;Vout, Table16[[#This Row],[Total Sync Bu MOSFET Loss]]*ThetaJA_Q2, ThetaJA_Q3*Table16[[#This Row],[Total Sync Bo MOSFET Loss]])</f>
        <v>21.842057125229434</v>
      </c>
      <c r="BN138" s="640"/>
      <c r="BO138" s="292">
        <f>Table16[[#This Row],[EFF, h]]*100</f>
        <v>95.040780945219296</v>
      </c>
      <c r="BP138" s="345">
        <f>Table16[[#This Row],[Total Inductor Loss]]</f>
        <v>3.0590146522184898</v>
      </c>
      <c r="BQ138" s="345">
        <f>Table16[[#This Row],[Total Control Bu MOSFET Loss]]+Table16[[#This Row],[Total Sync Bu MOSFET Loss]]+Table16[[#This Row],[Total Control Bo MOSFET Loss]]+Table16[[#This Row],[Total Sync Bo MOSFET Loss]]+Table16[[#This Row],[Reverse Recovery Loss MOSFET D BUCK]]+Table16[[#This Row],[Reverse Recovery Loss MOSFET D BOOST]]</f>
        <v>2.0017315445765753</v>
      </c>
      <c r="BR138" s="345">
        <f>Table16[[#This Row],[Total Control Bu MOSFET Loss]]+Table16[[#This Row],[Reverse Recovery Loss MOSFET D BUCK]]*0.66</f>
        <v>1.2510514838762599</v>
      </c>
      <c r="BS138" s="345">
        <f>Table16[[#This Row],[Total Sync Bu MOSFET Loss]]+Table16[[#This Row],[Reverse Recovery Loss MOSFET D BUCK]]*0.33</f>
        <v>0.48569226468045285</v>
      </c>
      <c r="BT138" s="345">
        <f xml:space="preserve"> Table16[[#This Row],[Total Control Bo MOSFET Loss]]+Table16[[#This Row],[Reverse Recovery Loss MOSFET D BOOST]]*0.66</f>
        <v>0</v>
      </c>
      <c r="BU138" s="345">
        <f xml:space="preserve"> Table16[[#This Row],[Total Sync Bo MOSFET Loss]]+Table16[[#This Row],[Reverse Recovery Loss MOSFET D BOOST]]*0.33</f>
        <v>0.26045262581986262</v>
      </c>
      <c r="BV138" s="345">
        <f>Table16[[#This Row],[Isense Shunt Loss]]</f>
        <v>3.321286312913245E-2</v>
      </c>
    </row>
    <row r="139" spans="7:74" x14ac:dyDescent="0.2">
      <c r="G139" s="253">
        <v>130</v>
      </c>
      <c r="H139" s="286">
        <f>VIN_min+(VIN_max-VIN_min)*(Table16[[#This Row],[Step]]/200)</f>
        <v>25.5</v>
      </c>
      <c r="I139" s="292" t="str">
        <f>IF(Mode = 2,IF(Table16[[#This Row],[Vin]]&gt;Vout, "BUCK","BOOST"),IF(Table16[[#This Row],[Vin]]&gt;VIN_BB_to_buck, "BUCK", IF(Table16[[#This Row],[Vin]]&lt;=VIN_boost_to_BB,"BOOST","BUCK-BST")))</f>
        <v>BUCK</v>
      </c>
      <c r="J139" s="253">
        <f>IF(Table16[[#This Row],[Mode]]="BOOST",2, IF(Table16[[#This Row],[Mode]]="BUCK", 1,3))</f>
        <v>1</v>
      </c>
      <c r="K139" s="253">
        <f t="shared" si="7"/>
        <v>8</v>
      </c>
      <c r="L139" s="292">
        <f>Vout*Table16[[#This Row],[Iout]]/(Table16[[#This Row],[Vin]]*Efficiency)</f>
        <v>5.283797729618164</v>
      </c>
      <c r="M139" s="682">
        <f>MIN(1/Fsw,CHOOSE(Table16[[#This Row],[Mode Digit]],(Vout+(Rdson2+Rs+Rdcr)*Table16[[#This Row],[Iout]])/(Table16[[#This Row],[Vin]]+(Rs+Rdson2-Rdson1)*Table16[[#This Row],[Iout]])/Fsw,(Vout+(Rdson3+Rdcr)*Table16[[#This Row],[Iin]]-Table16[[#This Row],[Vin]])/(Vout+(Rdson3-Rdson4-Rs)*Table16[[#This Row],[Iin]])/Fsw,t1_Ph_II))</f>
        <v>1.5821707635014005E-6</v>
      </c>
      <c r="N139" s="518">
        <f>CHOOSE(Table16[[#This Row],[Mode Digit]],1/Fsw-Table16[[#This Row],[t1_Ph_II]],1/Fsw-Table16[[#This Row],[t1_Ph_II]],(Vout/Fsw-Table16[[#This Row],[Vin]]*t1_Ph_II)/(Table16[[#This Row],[Vin]]+Vout))</f>
        <v>9.3039205056895138E-7</v>
      </c>
      <c r="O139" s="518">
        <f>1/Fsw-(Table16[[#This Row],[t1_Ph_II]]+Table16[[#This Row],[t2_Ph_I]])</f>
        <v>0</v>
      </c>
      <c r="P139"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3.8248271518713048</v>
      </c>
      <c r="Q139" s="292">
        <f>CHOOSE(Table16[[#This Row],[Mode Digit]],Table16[[#This Row],[I_0]]+1/Lf*(Table16[[#This Row],[Vin]]-Vout)*Table16[[#This Row],[t1_Ph_II]],Table16[[#This Row],[I_0]]+1/Lf*Table16[[#This Row],[Vin]]*Table16[[#This Row],[t1_Ph_II]],Table16[[#This Row],[I_0]]+(Table16[[#This Row],[Vin]]-Vout)/L*Table16[[#This Row],[t1_Ph_II]])</f>
        <v>12.175172848128696</v>
      </c>
      <c r="R139" s="292">
        <f>CHOOSE(Table16[[#This Row],[Mode Digit]],0,0,Table16[[#This Row],[I_1]]+Table16[[#This Row],[Vin]]/L*Table16[[#This Row],[t2_Ph_I]])</f>
        <v>0</v>
      </c>
      <c r="S139" s="292">
        <f>Fsw*(Table16[[#This Row],[I_0]]*Table16[[#This Row],[t1_Ph_II]]+Table16[[#This Row],[I_1]]*Table16[[#This Row],[t2_Ph_I]]+Table16[[#This Row],[I_2]]*Table16[[#This Row],[t3_Ph_III]])</f>
        <v>6.9169270634809168</v>
      </c>
      <c r="T139" s="345">
        <f>MIN(1,CHOOSE(Table16[[#This Row],[Mode Digit]],(Vout+(Rdson2+Rs+Rdcr)*Table16[[#This Row],[Iout]])/(Table16[[#This Row],[Vin]]+(Rs+Rdson2-Rdson1)*Table16[[#This Row],[Iout]]),1,Fsw*Table16[[#This Row],[t2_Ph_I]]+Table16[[#This Row],[t1_Ph_II]]))</f>
        <v>0.62970396387355743</v>
      </c>
      <c r="U139" s="345">
        <f>MIN(1,CHOOSE(Table16[[#This Row],[Mode Digit]],0,(Vout+(Rdson3+Rdcr)*Table16[[#This Row],[Iin]]-Table16[[#This Row],[Vin]])/(Vout+(Rdson3-Rdson4-Rs)*Table16[[#This Row],[Iin]]),Fsw*Table16[[#This Row],[t1_Ph_II]]+Table16[[#This Row],[t3_Ph_III]]))</f>
        <v>0</v>
      </c>
      <c r="V139" s="292">
        <f>MAX(Table16[[#This Row],[I_0]:[I_2]])-MIN(Table16[[#This Row],[I_0]:[I_1]])</f>
        <v>8.3503456962573921</v>
      </c>
      <c r="W139"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8.3552791358069172</v>
      </c>
      <c r="X139" s="345">
        <f>(Table16[[#This Row],[Irms Lf]]^2*Rdcr*(1+Ltc*Ta-Ltc*25))/(1-Table16[[#This Row],[Irms Lf]]^2*Rdcr*Ltc*ThetaCa)</f>
        <v>0.22745925253216823</v>
      </c>
      <c r="Y139" s="345">
        <f>ABS(7.759*10^-3*Fsw^0.9458*(0.00787*Table16[[#This Row],[Ripple Current pk-pk]])^2.304)</f>
        <v>2.8980642506609731</v>
      </c>
      <c r="Z139" s="345">
        <f>Table16[[#This Row],[DCR    Loss]]+Table16[[#This Row],[Core Loss]]</f>
        <v>3.1255235031931412</v>
      </c>
      <c r="AA139" s="292">
        <f>IF(Table16[[#This Row],[Vin]]&gt;Vout, Table16[[#This Row],[Ripple Current pk-pk]]/SQRT(12), SQRT(Table16[[#This Row],[Duty Cycle BOOST Leg]]/(1-Table16[[#This Row],[Duty Cycle BOOST Leg]]))*SQRT(Table16[[#This Row],[Iout]]^2+(Table16[[#This Row],[Ripple Current pk-pk]]^2)/12))</f>
        <v>2.4105371677803191</v>
      </c>
      <c r="AB139" s="345">
        <f>RCoutEsr*Table16[[#This Row],[Irms Cout]]^2</f>
        <v>1.1621378874500725E-2</v>
      </c>
      <c r="AC139" s="345">
        <f>Table16[[#This Row],[Cout ESR Loss]]</f>
        <v>1.1621378874500725E-2</v>
      </c>
      <c r="AD139" s="345">
        <f>IF(Table16[[#This Row],[Vin]]&gt;Vout, SQRT(Table16[[#This Row],[Duty Cycle BUCK Leg]]*(1-Table16[[#This Row],[Duty Cycle BUCK Leg]]))*SQRT(Table16[[#This Row],[Iout]]^2+(Table16[[#This Row],[Ripple Current pk-pk]]^2)/12), Table16[[#This Row],[Ripple Current pk-pk]]/SQRT(12))</f>
        <v>4.0346299552968601</v>
      </c>
      <c r="AE139" s="345">
        <f>RCinEsr*Table16[[#This Row],[Irms Cin]]^2</f>
        <v>3.2556477752357489E-2</v>
      </c>
      <c r="AF139" s="683">
        <f>Table16[[#This Row],[Cin ESR Loss]]</f>
        <v>3.2556477752357489E-2</v>
      </c>
      <c r="AG139"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6.6302388991183756</v>
      </c>
      <c r="AH139" s="345">
        <f>Rdson1*Table16[[#This Row],[Irms BuCtrl]]^2</f>
        <v>0.15386023750783856</v>
      </c>
      <c r="AI139" s="345">
        <f>CHOOSE(Table16[[#This Row],[Mode Digit]], (Table16[[#This Row],[Vin]]*Table16[[#This Row],[Iout]]/2)*(Fsw)*(Tr_buck+Tf_buck), 0, (Table16[[#This Row],[Vin]]*Table16[[#This Row],[Avg IL]]/2)*(Fsw/1)*(Tr_buck+Tf_buck))</f>
        <v>0.76347187643445635</v>
      </c>
      <c r="AJ139" s="253">
        <f>IF(Table16[[#This Row],[Vin]]&gt;Vout, IF(Table16[[#This Row],[Iout]]&gt;Table16[[#This Row],[Ripple Current pk-pk]]/2,0,ABS(Table16[[#This Row],[Iout]]-Table16[[#This Row],[Ripple Current pk-pk]]/2)*Vsd_Q1*Deadtime*Fsw),0)</f>
        <v>0</v>
      </c>
      <c r="AK139" s="345">
        <f>(Table16[[#This Row],[Dead Time Loss BuCtrl]]+Table16[[#This Row],[Transition Loss BuCtrl]]+Table16[[#This Row],[RDS(on) Loss BuCtrl]]*(1+RdsonTopTc*Ta-RdsonTopTc*25))/(1-Table16[[#This Row],[RDS(on) Loss BuCtrl]]*RdsonTopTc*ThetaJA_Q1)</f>
        <v>0.95555793016509716</v>
      </c>
      <c r="AL139" s="345">
        <f>CHOOSE(Table16[[#This Row],[Mode Digit]],SQRT((Fsw*(Table16[[#This Row],[t2_Ph_I]]+0))*((Table16[[#This Row],[I_0]]*Table16[[#This Row],[I_1]]+((Table16[[#This Row],[I_0]]-Table16[[#This Row],[I_1]])^2)/3))),0,SQRT((Fsw*(Table16[[#This Row],[t3_Ph_III]]+0))*((Table16[[#This Row],[I_0]]*Table16[[#This Row],[I_2]]+((Table16[[#This Row],[I_0]]-Table16[[#This Row],[I_2]])^2)/3))))</f>
        <v>5.0843506544954122</v>
      </c>
      <c r="AM139" s="345">
        <f>Rdson2*Table16[[#This Row],[Irms BuSync]]^2</f>
        <v>9.0477175522537742E-2</v>
      </c>
      <c r="AN139"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39" s="345">
        <f>(Table16[[#This Row],[Deadtime Loss BuSync]]+Table16[[#This Row],[RDS(on) Loss BuSync]]*(1+RdsonBotTc*Ta-RdsonBotTc*25))/(1-Table16[[#This Row],[RDS(on) Loss BuSync]]*RdsonBotTc*ThetaJA_Q2)</f>
        <v>0.33720971908739955</v>
      </c>
      <c r="AP139" s="345">
        <f>CHOOSE(Table16[[#This Row],[Mode Digit]],0,SQRT((Fsw*(Table16[[#This Row],[t1_Ph_II]]+0))*((Table16[[#This Row],[I_0]]*Table16[[#This Row],[I_1]]+((Table16[[#This Row],[I_0]]-Table16[[#This Row],[I_1]])^2)/3))),SQRT((Fsw*(Table16[[#This Row],[t2_Ph_I]]+0))*((Table16[[#This Row],[I_1]]*Table16[[#This Row],[I_2]]+((Table16[[#This Row],[I_1]]-Table16[[#This Row],[I_2]])^2)/3))))</f>
        <v>0</v>
      </c>
      <c r="AQ139" s="345">
        <f>Rdson4*Table16[[#This Row],[Irms BoCtlr]]^2</f>
        <v>0</v>
      </c>
      <c r="AR139" s="345">
        <f>CHOOSE(Table16[[#This Row],[Mode Digit]], 0, (Vout*Table16[[#This Row],[Iin]]/2)*(Fsw)*(Tr_boost+Tf_boost), (Vout*Iout/2)*(Fsw/1)*(Tr_boost+Tf_boost))</f>
        <v>0</v>
      </c>
      <c r="AS139" s="253">
        <f>IF(Table16[[#This Row],[Vin]]&gt;Vout, 0, IF(Table16[[#This Row],[Iin]]&gt;Table16[[#This Row],[Ripple Current pk-pk]]/2,0,ABS(Table16[[#This Row],[Iin]]-Table16[[#This Row],[Ripple Current pk-pk]]/2)*Vsd_Q4*Deadtime*Fsw))</f>
        <v>0</v>
      </c>
      <c r="AT139" s="345">
        <f>(Table16[[#This Row],[Dead Time Loss BoCtlr]]+Table16[[#This Row],[Transition Loss BoCtlr]]+Table16[[#This Row],[RDS(on) Loss BoCtlr]]*(1+RdsonTopTc*Ta-RdsonTopTc*25))/(1-Table16[[#This Row],[RDS(on) Loss BoCtlr]]*RdsonTopTc*ThetaJA_Q4)</f>
        <v>0</v>
      </c>
      <c r="AU139"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8.3552791358069172</v>
      </c>
      <c r="AV139" s="345">
        <f>Rdson3*Table16[[#This Row],[Irms BoSync]]^2</f>
        <v>0.24433741303037637</v>
      </c>
      <c r="AW139"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39" s="345">
        <f>(Table16[[#This Row],[Deadtime Loss BoSync]]+Table16[[#This Row],[RDS(on) Loss BoSync]]*(1+RdsonBotTc*Ta-RdsonBotTc*25))/(1-Table16[[#This Row],[RDS(on) Loss BoSync]]*RdsonBotTc*ThetaJA_Q3)</f>
        <v>0.26091259738939843</v>
      </c>
      <c r="AY139" s="345">
        <f>CHOOSE(Table16[[#This Row],[Mode Digit]], Rdson3*Table16[[#This Row],[Irms Lf]]^2, Rdson1*Table16[[#This Row],[Irms Lf]]^2, 0)</f>
        <v>0.24433741303037637</v>
      </c>
      <c r="AZ139" s="345">
        <f>CHOOSE(Table16[[#This Row],[Mode Digit]], 2*Deadtime*Fsw*IF(VfdSky_Q2&gt;0,VfdSky_Q2,0)*Table16[[#This Row],[Iout]], 2*Deadtime*Fsw*IF(VfdSky_Q3&gt;0,VfdSky_Q3,0)*Table16[[#This Row],[Iin]], 2*Deadtime*Fsw*IF(VfdSky_Q2&gt;0,VfdSky_Q2,0)*Table16[[#This Row],[Iout]]+2*Deadtime*Fsw*IF(VfdSky_Q3&gt;0,VfdSky_Q3,0)*Table16[[#This Row],[Iin]])</f>
        <v>0</v>
      </c>
      <c r="BA139" s="345">
        <f>CHOOSE(Table16[[#This Row],[Mode Digit]], IF(QrrSky_Q2&gt;0,QrrSky_Q2,Qrr_Q2)*Fsw*(Table16[[#This Row],[Vin]]-Table16[[#This Row],[Iout]]*Rdson1),0,  IF(QrrSky_Q2&gt;0,QrrSky_Q2,Qrr_Q2)*Fsw*(Table16[[#This Row],[Vin]]-Table16[[#This Row],[Iout]]*Rdson1)+IF(QrrSky_Q3&gt;0,QrrSky_Q3,Qrr_Q3)*Fsw*Vout)</f>
        <v>0.45620351999999997</v>
      </c>
      <c r="BB139" s="345">
        <f>CHOOSE(Table16[[#This Row],[Mode Digit]],0, IF(QrrSky_Q3&gt;0,QrrSky_Q3,Qrr_Q3)*Fsw*Vout,  IF(QrrSky_Q2&gt;0,QrrSky_Q2,Qrr_Q2)*Fsw*(Table16[[#This Row],[Vin]]-Table16[[#This Row],[Iout]]*Rdson1)+IF(QrrSky_Q3&gt;0,QrrSky_Q3,Qrr_Q3)*Fsw*Vout)</f>
        <v>0</v>
      </c>
      <c r="BC139" s="345">
        <f>CHOOSE(Table16[[#This Row],[Mode Digit]], Rs*Table16[[#This Row],[Irms BuSync]]^2, Rs*Table16[[#This Row],[Irms BoCtlr]]^2, Rs*(Table16[[#This Row],[Irms BuSync]]^2+Table16[[#This Row],[Irms BoCtlr]]^2))</f>
        <v>3.36058080512283E-2</v>
      </c>
      <c r="BD139" s="345">
        <f t="shared" si="8"/>
        <v>0.64</v>
      </c>
      <c r="BE139" s="345">
        <f>IF(Vout&gt;8, Iq*Vout, Iq*Table16[[#This Row],[Vin]])</f>
        <v>4.8000000000000001E-2</v>
      </c>
      <c r="BF139" s="345">
        <f>CHOOSE(Table16[[#This Row],[Mode Digit]], (Qg_Q1+Qg_Q2)*Fsw, (Qg_Q3+Qg_Q4)*Fsw, (Qg_Q1+Qg_Q2+Qg_Q3+Qg_Q4)*Fsw)*IF(Vout&gt;8, Vout, Table16[[#This Row],[Vin]])</f>
        <v>0.85331200000000007</v>
      </c>
      <c r="BG139" s="345">
        <f t="shared" si="9"/>
        <v>0.50594479787234037</v>
      </c>
      <c r="BH139" s="345">
        <f>Table16[[#This Row],[IQ Loss]]+Table16[[#This Row],[Switching Current Loss]]</f>
        <v>0.90131200000000011</v>
      </c>
      <c r="BI139"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6.7545029345131233</v>
      </c>
      <c r="BJ139" s="253">
        <f>Vout*Table16[[#This Row],[Iout]]</f>
        <v>128</v>
      </c>
      <c r="BK139" s="684">
        <f>Table16[[#This Row],[Pout]]/(Table16[[#This Row],[Pout]]+Table16[[#This Row],[Total Loss]])</f>
        <v>0.94987549367611401</v>
      </c>
      <c r="BL139"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62.111265460731317</v>
      </c>
      <c r="BM139" s="685">
        <f>IF(Table16[[#This Row],[Vin]]&gt;Vout, Table16[[#This Row],[Total Sync Bu MOSFET Loss]]*ThetaJA_Q2, ThetaJA_Q3*Table16[[#This Row],[Total Sync Bo MOSFET Loss]])</f>
        <v>21.918631740680972</v>
      </c>
      <c r="BN139" s="640"/>
      <c r="BO139" s="292">
        <f>Table16[[#This Row],[EFF, h]]*100</f>
        <v>94.987549367611408</v>
      </c>
      <c r="BP139" s="345">
        <f>Table16[[#This Row],[Total Inductor Loss]]</f>
        <v>3.1255235031931412</v>
      </c>
      <c r="BQ139" s="345">
        <f>Table16[[#This Row],[Total Control Bu MOSFET Loss]]+Table16[[#This Row],[Total Sync Bu MOSFET Loss]]+Table16[[#This Row],[Total Control Bo MOSFET Loss]]+Table16[[#This Row],[Total Sync Bo MOSFET Loss]]+Table16[[#This Row],[Reverse Recovery Loss MOSFET D BUCK]]+Table16[[#This Row],[Reverse Recovery Loss MOSFET D BOOST]]</f>
        <v>2.0098837666418952</v>
      </c>
      <c r="BR139" s="345">
        <f>Table16[[#This Row],[Total Control Bu MOSFET Loss]]+Table16[[#This Row],[Reverse Recovery Loss MOSFET D BUCK]]*0.66</f>
        <v>1.2566522533650972</v>
      </c>
      <c r="BS139" s="345">
        <f>Table16[[#This Row],[Total Sync Bu MOSFET Loss]]+Table16[[#This Row],[Reverse Recovery Loss MOSFET D BUCK]]*0.33</f>
        <v>0.48775688068739953</v>
      </c>
      <c r="BT139" s="345">
        <f xml:space="preserve"> Table16[[#This Row],[Total Control Bo MOSFET Loss]]+Table16[[#This Row],[Reverse Recovery Loss MOSFET D BOOST]]*0.66</f>
        <v>0</v>
      </c>
      <c r="BU139" s="345">
        <f xml:space="preserve"> Table16[[#This Row],[Total Sync Bo MOSFET Loss]]+Table16[[#This Row],[Reverse Recovery Loss MOSFET D BOOST]]*0.33</f>
        <v>0.26091259738939843</v>
      </c>
      <c r="BV139" s="345">
        <f>Table16[[#This Row],[Isense Shunt Loss]]</f>
        <v>3.36058080512283E-2</v>
      </c>
    </row>
    <row r="140" spans="7:74" x14ac:dyDescent="0.2">
      <c r="G140" s="253">
        <v>131</v>
      </c>
      <c r="H140" s="286">
        <f>VIN_min+(VIN_max-VIN_min)*(Table16[[#This Row],[Step]]/200)</f>
        <v>25.650000000000002</v>
      </c>
      <c r="I140" s="292" t="str">
        <f>IF(Mode = 2,IF(Table16[[#This Row],[Vin]]&gt;Vout, "BUCK","BOOST"),IF(Table16[[#This Row],[Vin]]&gt;VIN_BB_to_buck, "BUCK", IF(Table16[[#This Row],[Vin]]&lt;=VIN_boost_to_BB,"BOOST","BUCK-BST")))</f>
        <v>BUCK</v>
      </c>
      <c r="J140" s="253">
        <f>IF(Table16[[#This Row],[Mode]]="BOOST",2, IF(Table16[[#This Row],[Mode]]="BUCK", 1,3))</f>
        <v>1</v>
      </c>
      <c r="K140" s="253">
        <f t="shared" si="7"/>
        <v>8</v>
      </c>
      <c r="L140" s="292">
        <f>Vout*Table16[[#This Row],[Iout]]/(Table16[[#This Row],[Vin]]*Efficiency)</f>
        <v>5.2528983276905716</v>
      </c>
      <c r="M140" s="682">
        <f>MIN(1/Fsw,CHOOSE(Table16[[#This Row],[Mode Digit]],(Vout+(Rdson2+Rs+Rdcr)*Table16[[#This Row],[Iout]])/(Table16[[#This Row],[Vin]]+(Rs+Rdson2-Rdson1)*Table16[[#This Row],[Iout]])/Fsw,(Vout+(Rdson3+Rdcr)*Table16[[#This Row],[Iin]]-Table16[[#This Row],[Vin]])/(Vout+(Rdson3-Rdson4-Rs)*Table16[[#This Row],[Iin]])/Fsw,t1_Ph_II))</f>
        <v>1.5729220528606773E-6</v>
      </c>
      <c r="N140" s="518">
        <f>CHOOSE(Table16[[#This Row],[Mode Digit]],1/Fsw-Table16[[#This Row],[t1_Ph_II]],1/Fsw-Table16[[#This Row],[t1_Ph_II]],(Vout/Fsw-Table16[[#This Row],[Vin]]*t1_Ph_II)/(Table16[[#This Row],[Vin]]+Vout))</f>
        <v>9.3964076120967456E-7</v>
      </c>
      <c r="O140" s="518">
        <f>1/Fsw-(Table16[[#This Row],[t1_Ph_II]]+Table16[[#This Row],[t2_Ph_I]])</f>
        <v>0</v>
      </c>
      <c r="P140"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3.7836950527484614</v>
      </c>
      <c r="Q140" s="292">
        <f>CHOOSE(Table16[[#This Row],[Mode Digit]],Table16[[#This Row],[I_0]]+1/Lf*(Table16[[#This Row],[Vin]]-Vout)*Table16[[#This Row],[t1_Ph_II]],Table16[[#This Row],[I_0]]+1/Lf*Table16[[#This Row],[Vin]]*Table16[[#This Row],[t1_Ph_II]],Table16[[#This Row],[I_0]]+(Table16[[#This Row],[Vin]]-Vout)/L*Table16[[#This Row],[t1_Ph_II]])</f>
        <v>12.216304947251539</v>
      </c>
      <c r="R140" s="292">
        <f>CHOOSE(Table16[[#This Row],[Mode Digit]],0,0,Table16[[#This Row],[I_1]]+Table16[[#This Row],[Vin]]/L*Table16[[#This Row],[t2_Ph_I]])</f>
        <v>0</v>
      </c>
      <c r="S140" s="292">
        <f>Fsw*(Table16[[#This Row],[I_0]]*Table16[[#This Row],[t1_Ph_II]]+Table16[[#This Row],[I_1]]*Table16[[#This Row],[t2_Ph_I]]+Table16[[#This Row],[I_2]]*Table16[[#This Row],[t3_Ph_III]])</f>
        <v>6.9372973968899938</v>
      </c>
      <c r="T140" s="345">
        <f>MIN(1,CHOOSE(Table16[[#This Row],[Mode Digit]],(Vout+(Rdson2+Rs+Rdcr)*Table16[[#This Row],[Iout]])/(Table16[[#This Row],[Vin]]+(Rs+Rdson2-Rdson1)*Table16[[#This Row],[Iout]]),1,Fsw*Table16[[#This Row],[t2_Ph_I]]+Table16[[#This Row],[t1_Ph_II]]))</f>
        <v>0.62602297703854959</v>
      </c>
      <c r="U140" s="345">
        <f>MIN(1,CHOOSE(Table16[[#This Row],[Mode Digit]],0,(Vout+(Rdson3+Rdcr)*Table16[[#This Row],[Iin]]-Table16[[#This Row],[Vin]])/(Vout+(Rdson3-Rdson4-Rs)*Table16[[#This Row],[Iin]]),Fsw*Table16[[#This Row],[t1_Ph_II]]+Table16[[#This Row],[t3_Ph_III]]))</f>
        <v>0</v>
      </c>
      <c r="V140" s="292">
        <f>MAX(Table16[[#This Row],[I_0]:[I_2]])-MIN(Table16[[#This Row],[I_0]:[I_1]])</f>
        <v>8.4326098945030772</v>
      </c>
      <c r="W140"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8.3621613515529543</v>
      </c>
      <c r="X140" s="345">
        <f>(Table16[[#This Row],[Irms Lf]]^2*Rdcr*(1+Ltc*Ta-Ltc*25))/(1-Table16[[#This Row],[Irms Lf]]^2*Rdcr*Ltc*ThetaCa)</f>
        <v>0.22784095456785136</v>
      </c>
      <c r="Y140" s="345">
        <f>ABS(7.759*10^-3*Fsw^0.9458*(0.00787*Table16[[#This Row],[Ripple Current pk-pk]])^2.304)</f>
        <v>2.9642676541291713</v>
      </c>
      <c r="Z140" s="345">
        <f>Table16[[#This Row],[DCR    Loss]]+Table16[[#This Row],[Core Loss]]</f>
        <v>3.1921086086970227</v>
      </c>
      <c r="AA140" s="292">
        <f>IF(Table16[[#This Row],[Vin]]&gt;Vout, Table16[[#This Row],[Ripple Current pk-pk]]/SQRT(12), SQRT(Table16[[#This Row],[Duty Cycle BOOST Leg]]/(1-Table16[[#This Row],[Duty Cycle BOOST Leg]]))*SQRT(Table16[[#This Row],[Iout]]^2+(Table16[[#This Row],[Ripple Current pk-pk]]^2)/12))</f>
        <v>2.4342847962812266</v>
      </c>
      <c r="AB140" s="345">
        <f>RCoutEsr*Table16[[#This Row],[Irms Cout]]^2</f>
        <v>1.1851484938811867E-2</v>
      </c>
      <c r="AC140" s="345">
        <f>Table16[[#This Row],[Cout ESR Loss]]</f>
        <v>1.1851484938811867E-2</v>
      </c>
      <c r="AD140" s="345">
        <f>IF(Table16[[#This Row],[Vin]]&gt;Vout, SQRT(Table16[[#This Row],[Duty Cycle BUCK Leg]]*(1-Table16[[#This Row],[Duty Cycle BUCK Leg]]))*SQRT(Table16[[#This Row],[Iout]]^2+(Table16[[#This Row],[Ripple Current pk-pk]]^2)/12), Table16[[#This Row],[Ripple Current pk-pk]]/SQRT(12))</f>
        <v>4.0460956004520279</v>
      </c>
      <c r="AE140" s="345">
        <f>RCinEsr*Table16[[#This Row],[Irms Cin]]^2</f>
        <v>3.2741779215994513E-2</v>
      </c>
      <c r="AF140" s="683">
        <f>Table16[[#This Row],[Cin ESR Loss]]</f>
        <v>3.2741779215994513E-2</v>
      </c>
      <c r="AG140"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6.6162770099451276</v>
      </c>
      <c r="AH140" s="345">
        <f>Rdson1*Table16[[#This Row],[Irms BuCtrl]]^2</f>
        <v>0.15321292515314952</v>
      </c>
      <c r="AI140" s="345">
        <f>CHOOSE(Table16[[#This Row],[Mode Digit]], (Table16[[#This Row],[Vin]]*Table16[[#This Row],[Iout]]/2)*(Fsw)*(Tr_buck+Tf_buck), 0, (Table16[[#This Row],[Vin]]*Table16[[#This Row],[Avg IL]]/2)*(Fsw/1)*(Tr_buck+Tf_buck))</f>
        <v>0.76796288747230612</v>
      </c>
      <c r="AJ140" s="253">
        <f>IF(Table16[[#This Row],[Vin]]&gt;Vout, IF(Table16[[#This Row],[Iout]]&gt;Table16[[#This Row],[Ripple Current pk-pk]]/2,0,ABS(Table16[[#This Row],[Iout]]-Table16[[#This Row],[Ripple Current pk-pk]]/2)*Vsd_Q1*Deadtime*Fsw),0)</f>
        <v>0</v>
      </c>
      <c r="AK140" s="345">
        <f>(Table16[[#This Row],[Dead Time Loss BuCtrl]]+Table16[[#This Row],[Transition Loss BuCtrl]]+Table16[[#This Row],[RDS(on) Loss BuCtrl]]*(1+RdsonTopTc*Ta-RdsonTopTc*25))/(1-Table16[[#This Row],[RDS(on) Loss BuCtrl]]*RdsonTopTc*ThetaJA_Q1)</f>
        <v>0.95939360268813312</v>
      </c>
      <c r="AL140" s="345">
        <f>CHOOSE(Table16[[#This Row],[Mode Digit]],SQRT((Fsw*(Table16[[#This Row],[t2_Ph_I]]+0))*((Table16[[#This Row],[I_0]]*Table16[[#This Row],[I_1]]+((Table16[[#This Row],[I_0]]-Table16[[#This Row],[I_1]])^2)/3))),0,SQRT((Fsw*(Table16[[#This Row],[t3_Ph_III]]+0))*((Table16[[#This Row],[I_0]]*Table16[[#This Row],[I_2]]+((Table16[[#This Row],[I_0]]-Table16[[#This Row],[I_2]])^2)/3))))</f>
        <v>5.1137677887324422</v>
      </c>
      <c r="AM140" s="345">
        <f>Rdson2*Table16[[#This Row],[Irms BuSync]]^2</f>
        <v>9.1527173489771227E-2</v>
      </c>
      <c r="AN140"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40" s="345">
        <f>(Table16[[#This Row],[Deadtime Loss BuSync]]+Table16[[#This Row],[RDS(on) Loss BuSync]]*(1+RdsonBotTc*Ta-RdsonBotTc*25))/(1-Table16[[#This Row],[RDS(on) Loss BuSync]]*RdsonBotTc*ThetaJA_Q2)</f>
        <v>0.33837961522425974</v>
      </c>
      <c r="AP140" s="345">
        <f>CHOOSE(Table16[[#This Row],[Mode Digit]],0,SQRT((Fsw*(Table16[[#This Row],[t1_Ph_II]]+0))*((Table16[[#This Row],[I_0]]*Table16[[#This Row],[I_1]]+((Table16[[#This Row],[I_0]]-Table16[[#This Row],[I_1]])^2)/3))),SQRT((Fsw*(Table16[[#This Row],[t2_Ph_I]]+0))*((Table16[[#This Row],[I_1]]*Table16[[#This Row],[I_2]]+((Table16[[#This Row],[I_1]]-Table16[[#This Row],[I_2]])^2)/3))))</f>
        <v>0</v>
      </c>
      <c r="AQ140" s="345">
        <f>Rdson4*Table16[[#This Row],[Irms BoCtlr]]^2</f>
        <v>0</v>
      </c>
      <c r="AR140" s="345">
        <f>CHOOSE(Table16[[#This Row],[Mode Digit]], 0, (Vout*Table16[[#This Row],[Iin]]/2)*(Fsw)*(Tr_boost+Tf_boost), (Vout*Iout/2)*(Fsw/1)*(Tr_boost+Tf_boost))</f>
        <v>0</v>
      </c>
      <c r="AS140" s="253">
        <f>IF(Table16[[#This Row],[Vin]]&gt;Vout, 0, IF(Table16[[#This Row],[Iin]]&gt;Table16[[#This Row],[Ripple Current pk-pk]]/2,0,ABS(Table16[[#This Row],[Iin]]-Table16[[#This Row],[Ripple Current pk-pk]]/2)*Vsd_Q4*Deadtime*Fsw))</f>
        <v>0</v>
      </c>
      <c r="AT140" s="345">
        <f>(Table16[[#This Row],[Dead Time Loss BoCtlr]]+Table16[[#This Row],[Transition Loss BoCtlr]]+Table16[[#This Row],[RDS(on) Loss BoCtlr]]*(1+RdsonTopTc*Ta-RdsonTopTc*25))/(1-Table16[[#This Row],[RDS(on) Loss BoCtlr]]*RdsonTopTc*ThetaJA_Q4)</f>
        <v>0</v>
      </c>
      <c r="AU140"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8.3621613515529543</v>
      </c>
      <c r="AV140" s="345">
        <f>Rdson3*Table16[[#This Row],[Irms BoSync]]^2</f>
        <v>0.24474009864292076</v>
      </c>
      <c r="AW140"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40" s="345">
        <f>(Table16[[#This Row],[Deadtime Loss BoSync]]+Table16[[#This Row],[RDS(on) Loss BoSync]]*(1+RdsonBotTc*Ta-RdsonBotTc*25))/(1-Table16[[#This Row],[RDS(on) Loss BoSync]]*RdsonBotTc*ThetaJA_Q3)</f>
        <v>0.26137182165034922</v>
      </c>
      <c r="AY140" s="345">
        <f>CHOOSE(Table16[[#This Row],[Mode Digit]], Rdson3*Table16[[#This Row],[Irms Lf]]^2, Rdson1*Table16[[#This Row],[Irms Lf]]^2, 0)</f>
        <v>0.24474009864292076</v>
      </c>
      <c r="AZ140" s="345">
        <f>CHOOSE(Table16[[#This Row],[Mode Digit]], 2*Deadtime*Fsw*IF(VfdSky_Q2&gt;0,VfdSky_Q2,0)*Table16[[#This Row],[Iout]], 2*Deadtime*Fsw*IF(VfdSky_Q3&gt;0,VfdSky_Q3,0)*Table16[[#This Row],[Iin]], 2*Deadtime*Fsw*IF(VfdSky_Q2&gt;0,VfdSky_Q2,0)*Table16[[#This Row],[Iout]]+2*Deadtime*Fsw*IF(VfdSky_Q3&gt;0,VfdSky_Q3,0)*Table16[[#This Row],[Iin]])</f>
        <v>0</v>
      </c>
      <c r="BA140" s="345">
        <f>CHOOSE(Table16[[#This Row],[Mode Digit]], IF(QrrSky_Q2&gt;0,QrrSky_Q2,Qrr_Q2)*Fsw*(Table16[[#This Row],[Vin]]-Table16[[#This Row],[Iout]]*Rdson1),0,  IF(QrrSky_Q2&gt;0,QrrSky_Q2,Qrr_Q2)*Fsw*(Table16[[#This Row],[Vin]]-Table16[[#This Row],[Iout]]*Rdson1)+IF(QrrSky_Q3&gt;0,QrrSky_Q3,Qrr_Q3)*Fsw*Vout)</f>
        <v>0.45889002000000001</v>
      </c>
      <c r="BB140" s="345">
        <f>CHOOSE(Table16[[#This Row],[Mode Digit]],0, IF(QrrSky_Q3&gt;0,QrrSky_Q3,Qrr_Q3)*Fsw*Vout,  IF(QrrSky_Q2&gt;0,QrrSky_Q2,Qrr_Q2)*Fsw*(Table16[[#This Row],[Vin]]-Table16[[#This Row],[Iout]]*Rdson1)+IF(QrrSky_Q3&gt;0,QrrSky_Q3,Qrr_Q3)*Fsw*Vout)</f>
        <v>0</v>
      </c>
      <c r="BC140" s="345">
        <f>CHOOSE(Table16[[#This Row],[Mode Digit]], Rs*Table16[[#This Row],[Irms BuSync]]^2, Rs*Table16[[#This Row],[Irms BoCtlr]]^2, Rs*(Table16[[#This Row],[Irms BuSync]]^2+Table16[[#This Row],[Irms BoCtlr]]^2))</f>
        <v>3.399580729620074E-2</v>
      </c>
      <c r="BD140" s="345">
        <f t="shared" si="8"/>
        <v>0.64</v>
      </c>
      <c r="BE140" s="345">
        <f>IF(Vout&gt;8, Iq*Vout, Iq*Table16[[#This Row],[Vin]])</f>
        <v>4.8000000000000001E-2</v>
      </c>
      <c r="BF140" s="345">
        <f>CHOOSE(Table16[[#This Row],[Mode Digit]], (Qg_Q1+Qg_Q2)*Fsw, (Qg_Q3+Qg_Q4)*Fsw, (Qg_Q1+Qg_Q2+Qg_Q3+Qg_Q4)*Fsw)*IF(Vout&gt;8, Vout, Table16[[#This Row],[Vin]])</f>
        <v>0.85331200000000007</v>
      </c>
      <c r="BG140" s="345">
        <f t="shared" si="9"/>
        <v>0.50594479787234037</v>
      </c>
      <c r="BH140" s="345">
        <f>Table16[[#This Row],[IQ Loss]]+Table16[[#This Row],[Switching Current Loss]]</f>
        <v>0.90131200000000011</v>
      </c>
      <c r="BI140"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6.8300447397107718</v>
      </c>
      <c r="BJ140" s="253">
        <f>Vout*Table16[[#This Row],[Iout]]</f>
        <v>128</v>
      </c>
      <c r="BK140" s="684">
        <f>Table16[[#This Row],[Pout]]/(Table16[[#This Row],[Pout]]+Table16[[#This Row],[Total Loss]])</f>
        <v>0.94934330287514046</v>
      </c>
      <c r="BL140"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62.36058417472865</v>
      </c>
      <c r="BM140" s="685">
        <f>IF(Table16[[#This Row],[Vin]]&gt;Vout, Table16[[#This Row],[Total Sync Bu MOSFET Loss]]*ThetaJA_Q2, ThetaJA_Q3*Table16[[#This Row],[Total Sync Bo MOSFET Loss]])</f>
        <v>21.994674989576882</v>
      </c>
      <c r="BN140" s="640"/>
      <c r="BO140" s="292">
        <f>Table16[[#This Row],[EFF, h]]*100</f>
        <v>94.934330287514044</v>
      </c>
      <c r="BP140" s="345">
        <f>Table16[[#This Row],[Total Inductor Loss]]</f>
        <v>3.1921086086970227</v>
      </c>
      <c r="BQ140" s="345">
        <f>Table16[[#This Row],[Total Control Bu MOSFET Loss]]+Table16[[#This Row],[Total Sync Bu MOSFET Loss]]+Table16[[#This Row],[Total Control Bo MOSFET Loss]]+Table16[[#This Row],[Total Sync Bo MOSFET Loss]]+Table16[[#This Row],[Reverse Recovery Loss MOSFET D BUCK]]+Table16[[#This Row],[Reverse Recovery Loss MOSFET D BOOST]]</f>
        <v>2.0180350595627421</v>
      </c>
      <c r="BR140" s="345">
        <f>Table16[[#This Row],[Total Control Bu MOSFET Loss]]+Table16[[#This Row],[Reverse Recovery Loss MOSFET D BUCK]]*0.66</f>
        <v>1.2622610158881331</v>
      </c>
      <c r="BS140" s="345">
        <f>Table16[[#This Row],[Total Sync Bu MOSFET Loss]]+Table16[[#This Row],[Reverse Recovery Loss MOSFET D BUCK]]*0.33</f>
        <v>0.48981332182425974</v>
      </c>
      <c r="BT140" s="345">
        <f xml:space="preserve"> Table16[[#This Row],[Total Control Bo MOSFET Loss]]+Table16[[#This Row],[Reverse Recovery Loss MOSFET D BOOST]]*0.66</f>
        <v>0</v>
      </c>
      <c r="BU140" s="345">
        <f xml:space="preserve"> Table16[[#This Row],[Total Sync Bo MOSFET Loss]]+Table16[[#This Row],[Reverse Recovery Loss MOSFET D BOOST]]*0.33</f>
        <v>0.26137182165034922</v>
      </c>
      <c r="BV140" s="345">
        <f>Table16[[#This Row],[Isense Shunt Loss]]</f>
        <v>3.399580729620074E-2</v>
      </c>
    </row>
    <row r="141" spans="7:74" x14ac:dyDescent="0.2">
      <c r="G141" s="253">
        <v>132</v>
      </c>
      <c r="H141" s="286">
        <f>VIN_min+(VIN_max-VIN_min)*(Table16[[#This Row],[Step]]/200)</f>
        <v>25.8</v>
      </c>
      <c r="I141" s="292" t="str">
        <f>IF(Mode = 2,IF(Table16[[#This Row],[Vin]]&gt;Vout, "BUCK","BOOST"),IF(Table16[[#This Row],[Vin]]&gt;VIN_BB_to_buck, "BUCK", IF(Table16[[#This Row],[Vin]]&lt;=VIN_boost_to_BB,"BOOST","BUCK-BST")))</f>
        <v>BUCK</v>
      </c>
      <c r="J141" s="253">
        <f>IF(Table16[[#This Row],[Mode]]="BOOST",2, IF(Table16[[#This Row],[Mode]]="BUCK", 1,3))</f>
        <v>1</v>
      </c>
      <c r="K141" s="253">
        <f t="shared" si="7"/>
        <v>8</v>
      </c>
      <c r="L141" s="292">
        <f>Vout*Table16[[#This Row],[Iout]]/(Table16[[#This Row],[Vin]]*Efficiency)</f>
        <v>5.2223582211342316</v>
      </c>
      <c r="M141" s="682">
        <f>MIN(1/Fsw,CHOOSE(Table16[[#This Row],[Mode Digit]],(Vout+(Rdson2+Rs+Rdcr)*Table16[[#This Row],[Iout]])/(Table16[[#This Row],[Vin]]+(Rs+Rdson2-Rdson1)*Table16[[#This Row],[Iout]])/Fsw,(Vout+(Rdson3+Rdcr)*Table16[[#This Row],[Iin]]-Table16[[#This Row],[Vin]])/(Vout+(Rdson3-Rdson4-Rs)*Table16[[#This Row],[Iin]])/Fsw,t1_Ph_II))</f>
        <v>1.5637808420336813E-6</v>
      </c>
      <c r="N141" s="518">
        <f>CHOOSE(Table16[[#This Row],[Mode Digit]],1/Fsw-Table16[[#This Row],[t1_Ph_II]],1/Fsw-Table16[[#This Row],[t1_Ph_II]],(Vout/Fsw-Table16[[#This Row],[Vin]]*t1_Ph_II)/(Table16[[#This Row],[Vin]]+Vout))</f>
        <v>9.4878197203667055E-7</v>
      </c>
      <c r="O141" s="518">
        <f>1/Fsw-(Table16[[#This Row],[t1_Ph_II]]+Table16[[#This Row],[t2_Ph_I]])</f>
        <v>0</v>
      </c>
      <c r="P141"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3.7430410411305344</v>
      </c>
      <c r="Q141" s="292">
        <f>CHOOSE(Table16[[#This Row],[Mode Digit]],Table16[[#This Row],[I_0]]+1/Lf*(Table16[[#This Row],[Vin]]-Vout)*Table16[[#This Row],[t1_Ph_II]],Table16[[#This Row],[I_0]]+1/Lf*Table16[[#This Row],[Vin]]*Table16[[#This Row],[t1_Ph_II]],Table16[[#This Row],[I_0]]+(Table16[[#This Row],[Vin]]-Vout)/L*Table16[[#This Row],[t1_Ph_II]])</f>
        <v>12.256958958869465</v>
      </c>
      <c r="R141" s="292">
        <f>CHOOSE(Table16[[#This Row],[Mode Digit]],0,0,Table16[[#This Row],[I_1]]+Table16[[#This Row],[Vin]]/L*Table16[[#This Row],[t2_Ph_I]])</f>
        <v>0</v>
      </c>
      <c r="S141" s="292">
        <f>Fsw*(Table16[[#This Row],[I_0]]*Table16[[#This Row],[t1_Ph_II]]+Table16[[#This Row],[I_1]]*Table16[[#This Row],[t2_Ph_I]]+Table16[[#This Row],[I_2]]*Table16[[#This Row],[t3_Ph_III]])</f>
        <v>6.9580260701673078</v>
      </c>
      <c r="T141" s="345">
        <f>MIN(1,CHOOSE(Table16[[#This Row],[Mode Digit]],(Vout+(Rdson2+Rs+Rdcr)*Table16[[#This Row],[Iout]])/(Table16[[#This Row],[Vin]]+(Rs+Rdson2-Rdson1)*Table16[[#This Row],[Iout]]),1,Fsw*Table16[[#This Row],[t2_Ph_I]]+Table16[[#This Row],[t1_Ph_II]]))</f>
        <v>0.62238477512940515</v>
      </c>
      <c r="U141" s="345">
        <f>MIN(1,CHOOSE(Table16[[#This Row],[Mode Digit]],0,(Vout+(Rdson3+Rdcr)*Table16[[#This Row],[Iin]]-Table16[[#This Row],[Vin]])/(Vout+(Rdson3-Rdson4-Rs)*Table16[[#This Row],[Iin]]),Fsw*Table16[[#This Row],[t1_Ph_II]]+Table16[[#This Row],[t3_Ph_III]]))</f>
        <v>0</v>
      </c>
      <c r="V141" s="292">
        <f>MAX(Table16[[#This Row],[I_0]:[I_2]])-MIN(Table16[[#This Row],[I_0]:[I_1]])</f>
        <v>8.5139179177389295</v>
      </c>
      <c r="W141"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8.3690242278196916</v>
      </c>
      <c r="X141" s="345">
        <f>(Table16[[#This Row],[Irms Lf]]^2*Rdcr*(1+Ltc*Ta-Ltc*25))/(1-Table16[[#This Row],[Irms Lf]]^2*Rdcr*Ltc*ThetaCa)</f>
        <v>0.22822191977668729</v>
      </c>
      <c r="Y141" s="345">
        <f>ABS(7.759*10^-3*Fsw^0.9458*(0.00787*Table16[[#This Row],[Ripple Current pk-pk]])^2.304)</f>
        <v>3.0305343991055049</v>
      </c>
      <c r="Z141" s="345">
        <f>Table16[[#This Row],[DCR    Loss]]+Table16[[#This Row],[Core Loss]]</f>
        <v>3.2587563188821922</v>
      </c>
      <c r="AA141" s="292">
        <f>IF(Table16[[#This Row],[Vin]]&gt;Vout, Table16[[#This Row],[Ripple Current pk-pk]]/SQRT(12), SQRT(Table16[[#This Row],[Duty Cycle BOOST Leg]]/(1-Table16[[#This Row],[Duty Cycle BOOST Leg]]))*SQRT(Table16[[#This Row],[Iout]]^2+(Table16[[#This Row],[Ripple Current pk-pk]]^2)/12))</f>
        <v>2.4577564008324746</v>
      </c>
      <c r="AB141" s="345">
        <f>RCoutEsr*Table16[[#This Row],[Irms Cout]]^2</f>
        <v>1.2081133051665999E-2</v>
      </c>
      <c r="AC141" s="345">
        <f>Table16[[#This Row],[Cout ESR Loss]]</f>
        <v>1.2081133051665999E-2</v>
      </c>
      <c r="AD141" s="345">
        <f>IF(Table16[[#This Row],[Vin]]&gt;Vout, SQRT(Table16[[#This Row],[Duty Cycle BUCK Leg]]*(1-Table16[[#This Row],[Duty Cycle BUCK Leg]]))*SQRT(Table16[[#This Row],[Iout]]^2+(Table16[[#This Row],[Ripple Current pk-pk]]^2)/12), Table16[[#This Row],[Ripple Current pk-pk]]/SQRT(12))</f>
        <v>4.0572246304394994</v>
      </c>
      <c r="AE141" s="345">
        <f>RCinEsr*Table16[[#This Row],[Irms Cin]]^2</f>
        <v>3.2922143403689867E-2</v>
      </c>
      <c r="AF141" s="683">
        <f>Table16[[#This Row],[Cin ESR Loss]]</f>
        <v>3.2922143403689867E-2</v>
      </c>
      <c r="AG141"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6.6024375988809396</v>
      </c>
      <c r="AH141" s="345">
        <f>Rdson1*Table16[[#This Row],[Irms BuCtrl]]^2</f>
        <v>0.15257263786490849</v>
      </c>
      <c r="AI141" s="345">
        <f>CHOOSE(Table16[[#This Row],[Mode Digit]], (Table16[[#This Row],[Vin]]*Table16[[#This Row],[Iout]]/2)*(Fsw)*(Tr_buck+Tf_buck), 0, (Table16[[#This Row],[Vin]]*Table16[[#This Row],[Avg IL]]/2)*(Fsw/1)*(Tr_buck+Tf_buck))</f>
        <v>0.77245389851015578</v>
      </c>
      <c r="AJ141" s="253">
        <f>IF(Table16[[#This Row],[Vin]]&gt;Vout, IF(Table16[[#This Row],[Iout]]&gt;Table16[[#This Row],[Ripple Current pk-pk]]/2,0,ABS(Table16[[#This Row],[Iout]]-Table16[[#This Row],[Ripple Current pk-pk]]/2)*Vsd_Q1*Deadtime*Fsw),0)</f>
        <v>0</v>
      </c>
      <c r="AK141" s="345">
        <f>(Table16[[#This Row],[Dead Time Loss BuCtrl]]+Table16[[#This Row],[Transition Loss BuCtrl]]+Table16[[#This Row],[RDS(on) Loss BuCtrl]]*(1+RdsonTopTc*Ta-RdsonTopTc*25))/(1-Table16[[#This Row],[RDS(on) Loss BuCtrl]]*RdsonTopTc*ThetaJA_Q1)</f>
        <v>0.96323707806643366</v>
      </c>
      <c r="AL141" s="345">
        <f>CHOOSE(Table16[[#This Row],[Mode Digit]],SQRT((Fsw*(Table16[[#This Row],[t2_Ph_I]]+0))*((Table16[[#This Row],[I_0]]*Table16[[#This Row],[I_1]]+((Table16[[#This Row],[I_0]]-Table16[[#This Row],[I_1]])^2)/3))),0,SQRT((Fsw*(Table16[[#This Row],[t3_Ph_III]]+0))*((Table16[[#This Row],[I_0]]*Table16[[#This Row],[I_2]]+((Table16[[#This Row],[I_0]]-Table16[[#This Row],[I_2]])^2)/3))))</f>
        <v>5.1427992648669738</v>
      </c>
      <c r="AM141" s="345">
        <f>Rdson2*Table16[[#This Row],[Irms BuSync]]^2</f>
        <v>9.2569344975507006E-2</v>
      </c>
      <c r="AN141"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41" s="345">
        <f>(Table16[[#This Row],[Deadtime Loss BuSync]]+Table16[[#This Row],[RDS(on) Loss BuSync]]*(1+RdsonBotTc*Ta-RdsonBotTc*25))/(1-Table16[[#This Row],[RDS(on) Loss BuSync]]*RdsonBotTc*ThetaJA_Q2)</f>
        <v>0.33954143839706602</v>
      </c>
      <c r="AP141" s="345">
        <f>CHOOSE(Table16[[#This Row],[Mode Digit]],0,SQRT((Fsw*(Table16[[#This Row],[t1_Ph_II]]+0))*((Table16[[#This Row],[I_0]]*Table16[[#This Row],[I_1]]+((Table16[[#This Row],[I_0]]-Table16[[#This Row],[I_1]])^2)/3))),SQRT((Fsw*(Table16[[#This Row],[t2_Ph_I]]+0))*((Table16[[#This Row],[I_1]]*Table16[[#This Row],[I_2]]+((Table16[[#This Row],[I_1]]-Table16[[#This Row],[I_2]])^2)/3))))</f>
        <v>0</v>
      </c>
      <c r="AQ141" s="345">
        <f>Rdson4*Table16[[#This Row],[Irms BoCtlr]]^2</f>
        <v>0</v>
      </c>
      <c r="AR141" s="345">
        <f>CHOOSE(Table16[[#This Row],[Mode Digit]], 0, (Vout*Table16[[#This Row],[Iin]]/2)*(Fsw)*(Tr_boost+Tf_boost), (Vout*Iout/2)*(Fsw/1)*(Tr_boost+Tf_boost))</f>
        <v>0</v>
      </c>
      <c r="AS141" s="253">
        <f>IF(Table16[[#This Row],[Vin]]&gt;Vout, 0, IF(Table16[[#This Row],[Iin]]&gt;Table16[[#This Row],[Ripple Current pk-pk]]/2,0,ABS(Table16[[#This Row],[Iin]]-Table16[[#This Row],[Ripple Current pk-pk]]/2)*Vsd_Q4*Deadtime*Fsw))</f>
        <v>0</v>
      </c>
      <c r="AT141" s="345">
        <f>(Table16[[#This Row],[Dead Time Loss BoCtlr]]+Table16[[#This Row],[Transition Loss BoCtlr]]+Table16[[#This Row],[RDS(on) Loss BoCtlr]]*(1+RdsonTopTc*Ta-RdsonTopTc*25))/(1-Table16[[#This Row],[RDS(on) Loss BoCtlr]]*RdsonTopTc*ThetaJA_Q4)</f>
        <v>0</v>
      </c>
      <c r="AU141"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8.3690242278196916</v>
      </c>
      <c r="AV141" s="345">
        <f>Rdson3*Table16[[#This Row],[Irms BoSync]]^2</f>
        <v>0.24514198284041547</v>
      </c>
      <c r="AW141"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41" s="345">
        <f>(Table16[[#This Row],[Deadtime Loss BoSync]]+Table16[[#This Row],[RDS(on) Loss BoSync]]*(1+RdsonBotTc*Ta-RdsonBotTc*25))/(1-Table16[[#This Row],[RDS(on) Loss BoSync]]*RdsonBotTc*ThetaJA_Q3)</f>
        <v>0.26183023437414832</v>
      </c>
      <c r="AY141" s="345">
        <f>CHOOSE(Table16[[#This Row],[Mode Digit]], Rdson3*Table16[[#This Row],[Irms Lf]]^2, Rdson1*Table16[[#This Row],[Irms Lf]]^2, 0)</f>
        <v>0.24514198284041547</v>
      </c>
      <c r="AZ141" s="345">
        <f>CHOOSE(Table16[[#This Row],[Mode Digit]], 2*Deadtime*Fsw*IF(VfdSky_Q2&gt;0,VfdSky_Q2,0)*Table16[[#This Row],[Iout]], 2*Deadtime*Fsw*IF(VfdSky_Q3&gt;0,VfdSky_Q3,0)*Table16[[#This Row],[Iin]], 2*Deadtime*Fsw*IF(VfdSky_Q2&gt;0,VfdSky_Q2,0)*Table16[[#This Row],[Iout]]+2*Deadtime*Fsw*IF(VfdSky_Q3&gt;0,VfdSky_Q3,0)*Table16[[#This Row],[Iin]])</f>
        <v>0</v>
      </c>
      <c r="BA141" s="345">
        <f>CHOOSE(Table16[[#This Row],[Mode Digit]], IF(QrrSky_Q2&gt;0,QrrSky_Q2,Qrr_Q2)*Fsw*(Table16[[#This Row],[Vin]]-Table16[[#This Row],[Iout]]*Rdson1),0,  IF(QrrSky_Q2&gt;0,QrrSky_Q2,Qrr_Q2)*Fsw*(Table16[[#This Row],[Vin]]-Table16[[#This Row],[Iout]]*Rdson1)+IF(QrrSky_Q3&gt;0,QrrSky_Q3,Qrr_Q3)*Fsw*Vout)</f>
        <v>0.46157651999999999</v>
      </c>
      <c r="BB141" s="345">
        <f>CHOOSE(Table16[[#This Row],[Mode Digit]],0, IF(QrrSky_Q3&gt;0,QrrSky_Q3,Qrr_Q3)*Fsw*Vout,  IF(QrrSky_Q2&gt;0,QrrSky_Q2,Qrr_Q2)*Fsw*(Table16[[#This Row],[Vin]]-Table16[[#This Row],[Iout]]*Rdson1)+IF(QrrSky_Q3&gt;0,QrrSky_Q3,Qrr_Q3)*Fsw*Vout)</f>
        <v>0</v>
      </c>
      <c r="BC141" s="345">
        <f>CHOOSE(Table16[[#This Row],[Mode Digit]], Rs*Table16[[#This Row],[Irms BuSync]]^2, Rs*Table16[[#This Row],[Irms BoCtlr]]^2, Rs*(Table16[[#This Row],[Irms BuSync]]^2+Table16[[#This Row],[Irms BoCtlr]]^2))</f>
        <v>3.4382899562331169E-2</v>
      </c>
      <c r="BD141" s="345">
        <f t="shared" si="8"/>
        <v>0.64</v>
      </c>
      <c r="BE141" s="345">
        <f>IF(Vout&gt;8, Iq*Vout, Iq*Table16[[#This Row],[Vin]])</f>
        <v>4.8000000000000001E-2</v>
      </c>
      <c r="BF141" s="345">
        <f>CHOOSE(Table16[[#This Row],[Mode Digit]], (Qg_Q1+Qg_Q2)*Fsw, (Qg_Q3+Qg_Q4)*Fsw, (Qg_Q1+Qg_Q2+Qg_Q3+Qg_Q4)*Fsw)*IF(Vout&gt;8, Vout, Table16[[#This Row],[Vin]])</f>
        <v>0.85331200000000007</v>
      </c>
      <c r="BG141" s="345">
        <f t="shared" si="9"/>
        <v>0.50594479787234037</v>
      </c>
      <c r="BH141" s="345">
        <f>Table16[[#This Row],[IQ Loss]]+Table16[[#This Row],[Switching Current Loss]]</f>
        <v>0.90131200000000011</v>
      </c>
      <c r="BI141"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6.9056397657375275</v>
      </c>
      <c r="BJ141" s="253">
        <f>Vout*Table16[[#This Row],[Iout]]</f>
        <v>128</v>
      </c>
      <c r="BK141" s="684">
        <f>Table16[[#This Row],[Pout]]/(Table16[[#This Row],[Pout]]+Table16[[#This Row],[Total Loss]])</f>
        <v>0.94881133377574789</v>
      </c>
      <c r="BL141"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62.610410074318189</v>
      </c>
      <c r="BM141" s="685">
        <f>IF(Table16[[#This Row],[Vin]]&gt;Vout, Table16[[#This Row],[Total Sync Bu MOSFET Loss]]*ThetaJA_Q2, ThetaJA_Q3*Table16[[#This Row],[Total Sync Bo MOSFET Loss]])</f>
        <v>22.070193495809292</v>
      </c>
      <c r="BN141" s="640"/>
      <c r="BO141" s="292">
        <f>Table16[[#This Row],[EFF, h]]*100</f>
        <v>94.881133377574784</v>
      </c>
      <c r="BP141" s="345">
        <f>Table16[[#This Row],[Total Inductor Loss]]</f>
        <v>3.2587563188821922</v>
      </c>
      <c r="BQ141" s="345">
        <f>Table16[[#This Row],[Total Control Bu MOSFET Loss]]+Table16[[#This Row],[Total Sync Bu MOSFET Loss]]+Table16[[#This Row],[Total Control Bo MOSFET Loss]]+Table16[[#This Row],[Total Sync Bo MOSFET Loss]]+Table16[[#This Row],[Reverse Recovery Loss MOSFET D BUCK]]+Table16[[#This Row],[Reverse Recovery Loss MOSFET D BOOST]]</f>
        <v>2.0261852708376482</v>
      </c>
      <c r="BR141" s="345">
        <f>Table16[[#This Row],[Total Control Bu MOSFET Loss]]+Table16[[#This Row],[Reverse Recovery Loss MOSFET D BUCK]]*0.66</f>
        <v>1.2678775812664336</v>
      </c>
      <c r="BS141" s="345">
        <f>Table16[[#This Row],[Total Sync Bu MOSFET Loss]]+Table16[[#This Row],[Reverse Recovery Loss MOSFET D BUCK]]*0.33</f>
        <v>0.49186168999706603</v>
      </c>
      <c r="BT141" s="345">
        <f xml:space="preserve"> Table16[[#This Row],[Total Control Bo MOSFET Loss]]+Table16[[#This Row],[Reverse Recovery Loss MOSFET D BOOST]]*0.66</f>
        <v>0</v>
      </c>
      <c r="BU141" s="345">
        <f xml:space="preserve"> Table16[[#This Row],[Total Sync Bo MOSFET Loss]]+Table16[[#This Row],[Reverse Recovery Loss MOSFET D BOOST]]*0.33</f>
        <v>0.26183023437414832</v>
      </c>
      <c r="BV141" s="345">
        <f>Table16[[#This Row],[Isense Shunt Loss]]</f>
        <v>3.4382899562331169E-2</v>
      </c>
    </row>
    <row r="142" spans="7:74" x14ac:dyDescent="0.2">
      <c r="G142" s="253">
        <v>133</v>
      </c>
      <c r="H142" s="286">
        <f>VIN_min+(VIN_max-VIN_min)*(Table16[[#This Row],[Step]]/200)</f>
        <v>25.950000000000003</v>
      </c>
      <c r="I142" s="292" t="str">
        <f>IF(Mode = 2,IF(Table16[[#This Row],[Vin]]&gt;Vout, "BUCK","BOOST"),IF(Table16[[#This Row],[Vin]]&gt;VIN_BB_to_buck, "BUCK", IF(Table16[[#This Row],[Vin]]&lt;=VIN_boost_to_BB,"BOOST","BUCK-BST")))</f>
        <v>BUCK</v>
      </c>
      <c r="J142" s="253">
        <f>IF(Table16[[#This Row],[Mode]]="BOOST",2, IF(Table16[[#This Row],[Mode]]="BUCK", 1,3))</f>
        <v>1</v>
      </c>
      <c r="K142" s="253">
        <f t="shared" si="7"/>
        <v>8</v>
      </c>
      <c r="L142" s="292">
        <f>Vout*Table16[[#This Row],[Iout]]/(Table16[[#This Row],[Vin]]*Efficiency)</f>
        <v>5.1921711793935703</v>
      </c>
      <c r="M142" s="682">
        <f>MIN(1/Fsw,CHOOSE(Table16[[#This Row],[Mode Digit]],(Vout+(Rdson2+Rs+Rdcr)*Table16[[#This Row],[Iout]])/(Table16[[#This Row],[Vin]]+(Rs+Rdson2-Rdson1)*Table16[[#This Row],[Iout]])/Fsw,(Vout+(Rdson3+Rdcr)*Table16[[#This Row],[Iin]]-Table16[[#This Row],[Vin]])/(Vout+(Rdson3-Rdson4-Rs)*Table16[[#This Row],[Iin]])/Fsw,t1_Ph_II))</f>
        <v>1.5547452676085933E-6</v>
      </c>
      <c r="N142" s="518">
        <f>CHOOSE(Table16[[#This Row],[Mode Digit]],1/Fsw-Table16[[#This Row],[t1_Ph_II]],1/Fsw-Table16[[#This Row],[t1_Ph_II]],(Vout/Fsw-Table16[[#This Row],[Vin]]*t1_Ph_II)/(Table16[[#This Row],[Vin]]+Vout))</f>
        <v>9.5781754646175861E-7</v>
      </c>
      <c r="O142" s="518">
        <f>1/Fsw-(Table16[[#This Row],[t1_Ph_II]]+Table16[[#This Row],[t2_Ph_I]])</f>
        <v>0</v>
      </c>
      <c r="P142"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3.7028568298040261</v>
      </c>
      <c r="Q142" s="292">
        <f>CHOOSE(Table16[[#This Row],[Mode Digit]],Table16[[#This Row],[I_0]]+1/Lf*(Table16[[#This Row],[Vin]]-Vout)*Table16[[#This Row],[t1_Ph_II]],Table16[[#This Row],[I_0]]+1/Lf*Table16[[#This Row],[Vin]]*Table16[[#This Row],[t1_Ph_II]],Table16[[#This Row],[I_0]]+(Table16[[#This Row],[Vin]]-Vout)/L*Table16[[#This Row],[t1_Ph_II]])</f>
        <v>12.297143170195973</v>
      </c>
      <c r="R142" s="292">
        <f>CHOOSE(Table16[[#This Row],[Mode Digit]],0,0,Table16[[#This Row],[I_1]]+Table16[[#This Row],[Vin]]/L*Table16[[#This Row],[t2_Ph_I]])</f>
        <v>0</v>
      </c>
      <c r="S142" s="292">
        <f>Fsw*(Table16[[#This Row],[I_0]]*Table16[[#This Row],[t1_Ph_II]]+Table16[[#This Row],[I_1]]*Table16[[#This Row],[t2_Ph_I]]+Table16[[#This Row],[I_2]]*Table16[[#This Row],[t3_Ph_III]])</f>
        <v>6.9790966157493468</v>
      </c>
      <c r="T142" s="345">
        <f>MIN(1,CHOOSE(Table16[[#This Row],[Mode Digit]],(Vout+(Rdson2+Rs+Rdcr)*Table16[[#This Row],[Iout]])/(Table16[[#This Row],[Vin]]+(Rs+Rdson2-Rdson1)*Table16[[#This Row],[Iout]]),1,Fsw*Table16[[#This Row],[t2_Ph_I]]+Table16[[#This Row],[t1_Ph_II]]))</f>
        <v>0.61878861650822015</v>
      </c>
      <c r="U142" s="345">
        <f>MIN(1,CHOOSE(Table16[[#This Row],[Mode Digit]],0,(Vout+(Rdson3+Rdcr)*Table16[[#This Row],[Iin]]-Table16[[#This Row],[Vin]])/(Vout+(Rdson3-Rdson4-Rs)*Table16[[#This Row],[Iin]]),Fsw*Table16[[#This Row],[t1_Ph_II]]+Table16[[#This Row],[t3_Ph_III]]))</f>
        <v>0</v>
      </c>
      <c r="V142" s="292">
        <f>MAX(Table16[[#This Row],[I_0]:[I_2]])-MIN(Table16[[#This Row],[I_0]:[I_1]])</f>
        <v>8.5942863403919461</v>
      </c>
      <c r="W142"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8.3758669088670423</v>
      </c>
      <c r="X142" s="345">
        <f>(Table16[[#This Row],[Irms Lf]]^2*Rdcr*(1+Ltc*Ta-Ltc*25))/(1-Table16[[#This Row],[Irms Lf]]^2*Rdcr*Ltc*ThetaCa)</f>
        <v>0.22860209781631552</v>
      </c>
      <c r="Y142" s="345">
        <f>ABS(7.759*10^-3*Fsw^0.9458*(0.00787*Table16[[#This Row],[Ripple Current pk-pk]])^2.304)</f>
        <v>3.0968514119225619</v>
      </c>
      <c r="Z142" s="345">
        <f>Table16[[#This Row],[DCR    Loss]]+Table16[[#This Row],[Core Loss]]</f>
        <v>3.3254535097388773</v>
      </c>
      <c r="AA142" s="292">
        <f>IF(Table16[[#This Row],[Vin]]&gt;Vout, Table16[[#This Row],[Ripple Current pk-pk]]/SQRT(12), SQRT(Table16[[#This Row],[Duty Cycle BOOST Leg]]/(1-Table16[[#This Row],[Duty Cycle BOOST Leg]]))*SQRT(Table16[[#This Row],[Iout]]^2+(Table16[[#This Row],[Ripple Current pk-pk]]^2)/12))</f>
        <v>2.4809567660590068</v>
      </c>
      <c r="AB142" s="345">
        <f>RCoutEsr*Table16[[#This Row],[Irms Cout]]^2</f>
        <v>1.231029295010793E-2</v>
      </c>
      <c r="AC142" s="345">
        <f>Table16[[#This Row],[Cout ESR Loss]]</f>
        <v>1.231029295010793E-2</v>
      </c>
      <c r="AD142" s="345">
        <f>IF(Table16[[#This Row],[Vin]]&gt;Vout, SQRT(Table16[[#This Row],[Duty Cycle BUCK Leg]]*(1-Table16[[#This Row],[Duty Cycle BUCK Leg]]))*SQRT(Table16[[#This Row],[Iout]]^2+(Table16[[#This Row],[Ripple Current pk-pk]]^2)/12), Table16[[#This Row],[Ripple Current pk-pk]]/SQRT(12))</f>
        <v>4.0680272748677977</v>
      </c>
      <c r="AE142" s="345">
        <f>RCinEsr*Table16[[#This Row],[Irms Cin]]^2</f>
        <v>3.309769181813664E-2</v>
      </c>
      <c r="AF142" s="683">
        <f>Table16[[#This Row],[Cin ESR Loss]]</f>
        <v>3.309769181813664E-2</v>
      </c>
      <c r="AG142"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6.5887180868686572</v>
      </c>
      <c r="AH142" s="345">
        <f>Rdson1*Table16[[#This Row],[Irms BuCtrl]]^2</f>
        <v>0.15193922109880562</v>
      </c>
      <c r="AI142" s="345">
        <f>CHOOSE(Table16[[#This Row],[Mode Digit]], (Table16[[#This Row],[Vin]]*Table16[[#This Row],[Iout]]/2)*(Fsw)*(Tr_buck+Tf_buck), 0, (Table16[[#This Row],[Vin]]*Table16[[#This Row],[Avg IL]]/2)*(Fsw/1)*(Tr_buck+Tf_buck))</f>
        <v>0.77694490954800566</v>
      </c>
      <c r="AJ142" s="253">
        <f>IF(Table16[[#This Row],[Vin]]&gt;Vout, IF(Table16[[#This Row],[Iout]]&gt;Table16[[#This Row],[Ripple Current pk-pk]]/2,0,ABS(Table16[[#This Row],[Iout]]-Table16[[#This Row],[Ripple Current pk-pk]]/2)*Vsd_Q1*Deadtime*Fsw),0)</f>
        <v>0</v>
      </c>
      <c r="AK142" s="345">
        <f>(Table16[[#This Row],[Dead Time Loss BuCtrl]]+Table16[[#This Row],[Transition Loss BuCtrl]]+Table16[[#This Row],[RDS(on) Loss BuCtrl]]*(1+RdsonTopTc*Ta-RdsonTopTc*25))/(1-Table16[[#This Row],[RDS(on) Loss BuCtrl]]*RdsonTopTc*ThetaJA_Q1)</f>
        <v>0.96708817281163673</v>
      </c>
      <c r="AL142" s="345">
        <f>CHOOSE(Table16[[#This Row],[Mode Digit]],SQRT((Fsw*(Table16[[#This Row],[t2_Ph_I]]+0))*((Table16[[#This Row],[I_0]]*Table16[[#This Row],[I_1]]+((Table16[[#This Row],[I_0]]-Table16[[#This Row],[I_1]])^2)/3))),0,SQRT((Fsw*(Table16[[#This Row],[t3_Ph_III]]+0))*((Table16[[#This Row],[I_0]]*Table16[[#This Row],[I_2]]+((Table16[[#This Row],[I_0]]-Table16[[#This Row],[I_2]])^2)/3))))</f>
        <v>5.1714543840996789</v>
      </c>
      <c r="AM142" s="345">
        <f>Rdson2*Table16[[#This Row],[Irms BuSync]]^2</f>
        <v>9.3603791563883265E-2</v>
      </c>
      <c r="AN142"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42" s="345">
        <f>(Table16[[#This Row],[Deadtime Loss BuSync]]+Table16[[#This Row],[RDS(on) Loss BuSync]]*(1+RdsonBotTc*Ta-RdsonBotTc*25))/(1-Table16[[#This Row],[RDS(on) Loss BuSync]]*RdsonBotTc*ThetaJA_Q2)</f>
        <v>0.34069528795112863</v>
      </c>
      <c r="AP142" s="345">
        <f>CHOOSE(Table16[[#This Row],[Mode Digit]],0,SQRT((Fsw*(Table16[[#This Row],[t1_Ph_II]]+0))*((Table16[[#This Row],[I_0]]*Table16[[#This Row],[I_1]]+((Table16[[#This Row],[I_0]]-Table16[[#This Row],[I_1]])^2)/3))),SQRT((Fsw*(Table16[[#This Row],[t2_Ph_I]]+0))*((Table16[[#This Row],[I_1]]*Table16[[#This Row],[I_2]]+((Table16[[#This Row],[I_1]]-Table16[[#This Row],[I_2]])^2)/3))))</f>
        <v>0</v>
      </c>
      <c r="AQ142" s="345">
        <f>Rdson4*Table16[[#This Row],[Irms BoCtlr]]^2</f>
        <v>0</v>
      </c>
      <c r="AR142" s="345">
        <f>CHOOSE(Table16[[#This Row],[Mode Digit]], 0, (Vout*Table16[[#This Row],[Iin]]/2)*(Fsw)*(Tr_boost+Tf_boost), (Vout*Iout/2)*(Fsw/1)*(Tr_boost+Tf_boost))</f>
        <v>0</v>
      </c>
      <c r="AS142" s="253">
        <f>IF(Table16[[#This Row],[Vin]]&gt;Vout, 0, IF(Table16[[#This Row],[Iin]]&gt;Table16[[#This Row],[Ripple Current pk-pk]]/2,0,ABS(Table16[[#This Row],[Iin]]-Table16[[#This Row],[Ripple Current pk-pk]]/2)*Vsd_Q4*Deadtime*Fsw))</f>
        <v>0</v>
      </c>
      <c r="AT142" s="345">
        <f>(Table16[[#This Row],[Dead Time Loss BoCtlr]]+Table16[[#This Row],[Transition Loss BoCtlr]]+Table16[[#This Row],[RDS(on) Loss BoCtlr]]*(1+RdsonTopTc*Ta-RdsonTopTc*25))/(1-Table16[[#This Row],[RDS(on) Loss BoCtlr]]*RdsonTopTc*ThetaJA_Q4)</f>
        <v>0</v>
      </c>
      <c r="AU142"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8.3758669088670423</v>
      </c>
      <c r="AV142" s="345">
        <f>Rdson3*Table16[[#This Row],[Irms BoSync]]^2</f>
        <v>0.2455430126626888</v>
      </c>
      <c r="AW142"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42" s="345">
        <f>(Table16[[#This Row],[Deadtime Loss BoSync]]+Table16[[#This Row],[RDS(on) Loss BoSync]]*(1+RdsonBotTc*Ta-RdsonBotTc*25))/(1-Table16[[#This Row],[RDS(on) Loss BoSync]]*RdsonBotTc*ThetaJA_Q3)</f>
        <v>0.26228777455327357</v>
      </c>
      <c r="AY142" s="345">
        <f>CHOOSE(Table16[[#This Row],[Mode Digit]], Rdson3*Table16[[#This Row],[Irms Lf]]^2, Rdson1*Table16[[#This Row],[Irms Lf]]^2, 0)</f>
        <v>0.2455430126626888</v>
      </c>
      <c r="AZ142" s="345">
        <f>CHOOSE(Table16[[#This Row],[Mode Digit]], 2*Deadtime*Fsw*IF(VfdSky_Q2&gt;0,VfdSky_Q2,0)*Table16[[#This Row],[Iout]], 2*Deadtime*Fsw*IF(VfdSky_Q3&gt;0,VfdSky_Q3,0)*Table16[[#This Row],[Iin]], 2*Deadtime*Fsw*IF(VfdSky_Q2&gt;0,VfdSky_Q2,0)*Table16[[#This Row],[Iout]]+2*Deadtime*Fsw*IF(VfdSky_Q3&gt;0,VfdSky_Q3,0)*Table16[[#This Row],[Iin]])</f>
        <v>0</v>
      </c>
      <c r="BA142" s="345">
        <f>CHOOSE(Table16[[#This Row],[Mode Digit]], IF(QrrSky_Q2&gt;0,QrrSky_Q2,Qrr_Q2)*Fsw*(Table16[[#This Row],[Vin]]-Table16[[#This Row],[Iout]]*Rdson1),0,  IF(QrrSky_Q2&gt;0,QrrSky_Q2,Qrr_Q2)*Fsw*(Table16[[#This Row],[Vin]]-Table16[[#This Row],[Iout]]*Rdson1)+IF(QrrSky_Q3&gt;0,QrrSky_Q3,Qrr_Q3)*Fsw*Vout)</f>
        <v>0.46426302000000003</v>
      </c>
      <c r="BB142" s="345">
        <f>CHOOSE(Table16[[#This Row],[Mode Digit]],0, IF(QrrSky_Q3&gt;0,QrrSky_Q3,Qrr_Q3)*Fsw*Vout,  IF(QrrSky_Q2&gt;0,QrrSky_Q2,Qrr_Q2)*Fsw*(Table16[[#This Row],[Vin]]-Table16[[#This Row],[Iout]]*Rdson1)+IF(QrrSky_Q3&gt;0,QrrSky_Q3,Qrr_Q3)*Fsw*Vout)</f>
        <v>0</v>
      </c>
      <c r="BC142" s="345">
        <f>CHOOSE(Table16[[#This Row],[Mode Digit]], Rs*Table16[[#This Row],[Irms BuSync]]^2, Rs*Table16[[#This Row],[Irms BoCtlr]]^2, Rs*(Table16[[#This Row],[Irms BuSync]]^2+Table16[[#This Row],[Irms BoCtlr]]^2))</f>
        <v>3.4767122580870925E-2</v>
      </c>
      <c r="BD142" s="345">
        <f t="shared" si="8"/>
        <v>0.64</v>
      </c>
      <c r="BE142" s="345">
        <f>IF(Vout&gt;8, Iq*Vout, Iq*Table16[[#This Row],[Vin]])</f>
        <v>4.8000000000000001E-2</v>
      </c>
      <c r="BF142" s="345">
        <f>CHOOSE(Table16[[#This Row],[Mode Digit]], (Qg_Q1+Qg_Q2)*Fsw, (Qg_Q3+Qg_Q4)*Fsw, (Qg_Q1+Qg_Q2+Qg_Q3+Qg_Q4)*Fsw)*IF(Vout&gt;8, Vout, Table16[[#This Row],[Vin]])</f>
        <v>0.85331200000000007</v>
      </c>
      <c r="BG142" s="345">
        <f t="shared" si="9"/>
        <v>0.50594479787234037</v>
      </c>
      <c r="BH142" s="345">
        <f>Table16[[#This Row],[IQ Loss]]+Table16[[#This Row],[Switching Current Loss]]</f>
        <v>0.90131200000000011</v>
      </c>
      <c r="BI142"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6.9812748724040317</v>
      </c>
      <c r="BJ142" s="253">
        <f>Vout*Table16[[#This Row],[Iout]]</f>
        <v>128</v>
      </c>
      <c r="BK142" s="684">
        <f>Table16[[#This Row],[Pout]]/(Table16[[#This Row],[Pout]]+Table16[[#This Row],[Total Loss]])</f>
        <v>0.94827967894803666</v>
      </c>
      <c r="BL142"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62.860731232756386</v>
      </c>
      <c r="BM142" s="685">
        <f>IF(Table16[[#This Row],[Vin]]&gt;Vout, Table16[[#This Row],[Total Sync Bu MOSFET Loss]]*ThetaJA_Q2, ThetaJA_Q3*Table16[[#This Row],[Total Sync Bo MOSFET Loss]])</f>
        <v>22.145193716823361</v>
      </c>
      <c r="BN142" s="640"/>
      <c r="BO142" s="292">
        <f>Table16[[#This Row],[EFF, h]]*100</f>
        <v>94.827967894803663</v>
      </c>
      <c r="BP142" s="345">
        <f>Table16[[#This Row],[Total Inductor Loss]]</f>
        <v>3.3254535097388773</v>
      </c>
      <c r="BQ142" s="345">
        <f>Table16[[#This Row],[Total Control Bu MOSFET Loss]]+Table16[[#This Row],[Total Sync Bu MOSFET Loss]]+Table16[[#This Row],[Total Control Bo MOSFET Loss]]+Table16[[#This Row],[Total Sync Bo MOSFET Loss]]+Table16[[#This Row],[Reverse Recovery Loss MOSFET D BUCK]]+Table16[[#This Row],[Reverse Recovery Loss MOSFET D BOOST]]</f>
        <v>2.0343342553160393</v>
      </c>
      <c r="BR142" s="345">
        <f>Table16[[#This Row],[Total Control Bu MOSFET Loss]]+Table16[[#This Row],[Reverse Recovery Loss MOSFET D BUCK]]*0.66</f>
        <v>1.2735017660116368</v>
      </c>
      <c r="BS142" s="345">
        <f>Table16[[#This Row],[Total Sync Bu MOSFET Loss]]+Table16[[#This Row],[Reverse Recovery Loss MOSFET D BUCK]]*0.33</f>
        <v>0.49390208455112866</v>
      </c>
      <c r="BT142" s="345">
        <f xml:space="preserve"> Table16[[#This Row],[Total Control Bo MOSFET Loss]]+Table16[[#This Row],[Reverse Recovery Loss MOSFET D BOOST]]*0.66</f>
        <v>0</v>
      </c>
      <c r="BU142" s="345">
        <f xml:space="preserve"> Table16[[#This Row],[Total Sync Bo MOSFET Loss]]+Table16[[#This Row],[Reverse Recovery Loss MOSFET D BOOST]]*0.33</f>
        <v>0.26228777455327357</v>
      </c>
      <c r="BV142" s="345">
        <f>Table16[[#This Row],[Isense Shunt Loss]]</f>
        <v>3.4767122580870925E-2</v>
      </c>
    </row>
    <row r="143" spans="7:74" x14ac:dyDescent="0.2">
      <c r="G143" s="253">
        <v>134</v>
      </c>
      <c r="H143" s="286">
        <f>VIN_min+(VIN_max-VIN_min)*(Table16[[#This Row],[Step]]/200)</f>
        <v>26.1</v>
      </c>
      <c r="I143" s="292" t="str">
        <f>IF(Mode = 2,IF(Table16[[#This Row],[Vin]]&gt;Vout, "BUCK","BOOST"),IF(Table16[[#This Row],[Vin]]&gt;VIN_BB_to_buck, "BUCK", IF(Table16[[#This Row],[Vin]]&lt;=VIN_boost_to_BB,"BOOST","BUCK-BST")))</f>
        <v>BUCK</v>
      </c>
      <c r="J143" s="253">
        <f>IF(Table16[[#This Row],[Mode]]="BOOST",2, IF(Table16[[#This Row],[Mode]]="BUCK", 1,3))</f>
        <v>1</v>
      </c>
      <c r="K143" s="253">
        <f t="shared" si="7"/>
        <v>8</v>
      </c>
      <c r="L143" s="292">
        <f>Vout*Table16[[#This Row],[Iout]]/(Table16[[#This Row],[Vin]]*Efficiency)</f>
        <v>5.1623311151441822</v>
      </c>
      <c r="M143" s="682">
        <f>MIN(1/Fsw,CHOOSE(Table16[[#This Row],[Mode Digit]],(Vout+(Rdson2+Rs+Rdcr)*Table16[[#This Row],[Iout]])/(Table16[[#This Row],[Vin]]+(Rs+Rdson2-Rdson1)*Table16[[#This Row],[Iout]])/Fsw,(Vout+(Rdson3+Rdcr)*Table16[[#This Row],[Iin]]-Table16[[#This Row],[Vin]])/(Vout+(Rdson3-Rdson4-Rs)*Table16[[#This Row],[Iin]])/Fsw,t1_Ph_II))</f>
        <v>1.5458135089935859E-6</v>
      </c>
      <c r="N143" s="518">
        <f>CHOOSE(Table16[[#This Row],[Mode Digit]],1/Fsw-Table16[[#This Row],[t1_Ph_II]],1/Fsw-Table16[[#This Row],[t1_Ph_II]],(Vout/Fsw-Table16[[#This Row],[Vin]]*t1_Ph_II)/(Table16[[#This Row],[Vin]]+Vout))</f>
        <v>9.6674930507676598E-7</v>
      </c>
      <c r="O143" s="518">
        <f>1/Fsw-(Table16[[#This Row],[t1_Ph_II]]+Table16[[#This Row],[t2_Ph_I]])</f>
        <v>0</v>
      </c>
      <c r="P143"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3.663134321990217</v>
      </c>
      <c r="Q143" s="292">
        <f>CHOOSE(Table16[[#This Row],[Mode Digit]],Table16[[#This Row],[I_0]]+1/Lf*(Table16[[#This Row],[Vin]]-Vout)*Table16[[#This Row],[t1_Ph_II]],Table16[[#This Row],[I_0]]+1/Lf*Table16[[#This Row],[Vin]]*Table16[[#This Row],[t1_Ph_II]],Table16[[#This Row],[I_0]]+(Table16[[#This Row],[Vin]]-Vout)/L*Table16[[#This Row],[t1_Ph_II]])</f>
        <v>12.336865678009783</v>
      </c>
      <c r="R143" s="292">
        <f>CHOOSE(Table16[[#This Row],[Mode Digit]],0,0,Table16[[#This Row],[I_1]]+Table16[[#This Row],[Vin]]/L*Table16[[#This Row],[t2_Ph_I]])</f>
        <v>0</v>
      </c>
      <c r="S143" s="292">
        <f>Fsw*(Table16[[#This Row],[I_0]]*Table16[[#This Row],[t1_Ph_II]]+Table16[[#This Row],[I_1]]*Table16[[#This Row],[t2_Ph_I]]+Table16[[#This Row],[I_2]]*Table16[[#This Row],[t3_Ph_III]])</f>
        <v>7.0004931788102969</v>
      </c>
      <c r="T143" s="345">
        <f>MIN(1,CHOOSE(Table16[[#This Row],[Mode Digit]],(Vout+(Rdson2+Rs+Rdcr)*Table16[[#This Row],[Iout]])/(Table16[[#This Row],[Vin]]+(Rs+Rdson2-Rdson1)*Table16[[#This Row],[Iout]]),1,Fsw*Table16[[#This Row],[t2_Ph_I]]+Table16[[#This Row],[t1_Ph_II]]))</f>
        <v>0.61523377657944722</v>
      </c>
      <c r="U143" s="345">
        <f>MIN(1,CHOOSE(Table16[[#This Row],[Mode Digit]],0,(Vout+(Rdson3+Rdcr)*Table16[[#This Row],[Iin]]-Table16[[#This Row],[Vin]])/(Vout+(Rdson3-Rdson4-Rs)*Table16[[#This Row],[Iin]]),Fsw*Table16[[#This Row],[t1_Ph_II]]+Table16[[#This Row],[t3_Ph_III]]))</f>
        <v>0</v>
      </c>
      <c r="V143" s="292">
        <f>MAX(Table16[[#This Row],[I_0]:[I_2]])-MIN(Table16[[#This Row],[I_0]:[I_1]])</f>
        <v>8.6737313560195659</v>
      </c>
      <c r="W143"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8.3826885883766273</v>
      </c>
      <c r="X143" s="345">
        <f>(Table16[[#This Row],[Irms Lf]]^2*Rdcr*(1+Ltc*Ta-Ltc*25))/(1-Table16[[#This Row],[Irms Lf]]^2*Rdcr*Ltc*ThetaCa)</f>
        <v>0.22898144093456743</v>
      </c>
      <c r="Y143" s="345">
        <f>ABS(7.759*10^-3*Fsw^0.9458*(0.00787*Table16[[#This Row],[Ripple Current pk-pk]])^2.304)</f>
        <v>3.1632061238173272</v>
      </c>
      <c r="Z143" s="345">
        <f>Table16[[#This Row],[DCR    Loss]]+Table16[[#This Row],[Core Loss]]</f>
        <v>3.3921875647518949</v>
      </c>
      <c r="AA143" s="292">
        <f>IF(Table16[[#This Row],[Vin]]&gt;Vout, Table16[[#This Row],[Ripple Current pk-pk]]/SQRT(12), SQRT(Table16[[#This Row],[Duty Cycle BOOST Leg]]/(1-Table16[[#This Row],[Duty Cycle BOOST Leg]]))*SQRT(Table16[[#This Row],[Iout]]^2+(Table16[[#This Row],[Ripple Current pk-pk]]^2)/12))</f>
        <v>2.503890566638197</v>
      </c>
      <c r="AB143" s="345">
        <f>RCoutEsr*Table16[[#This Row],[Irms Cout]]^2</f>
        <v>1.2538935939399504E-2</v>
      </c>
      <c r="AC143" s="345">
        <f>Table16[[#This Row],[Cout ESR Loss]]</f>
        <v>1.2538935939399504E-2</v>
      </c>
      <c r="AD143" s="345">
        <f>IF(Table16[[#This Row],[Vin]]&gt;Vout, SQRT(Table16[[#This Row],[Duty Cycle BUCK Leg]]*(1-Table16[[#This Row],[Duty Cycle BUCK Leg]]))*SQRT(Table16[[#This Row],[Iout]]^2+(Table16[[#This Row],[Ripple Current pk-pk]]^2)/12), Table16[[#This Row],[Ripple Current pk-pk]]/SQRT(12))</f>
        <v>4.0785133500267516</v>
      </c>
      <c r="AE143" s="345">
        <f>RCinEsr*Table16[[#This Row],[Irms Cin]]^2</f>
        <v>3.3268542292692868E-2</v>
      </c>
      <c r="AF143" s="683">
        <f>Table16[[#This Row],[Cin ESR Loss]]</f>
        <v>3.3268542292692868E-2</v>
      </c>
      <c r="AG143"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6.575115980515239</v>
      </c>
      <c r="AH143" s="345">
        <f>Rdson1*Table16[[#This Row],[Irms BuCtrl]]^2</f>
        <v>0.15131252555029406</v>
      </c>
      <c r="AI143" s="345">
        <f>CHOOSE(Table16[[#This Row],[Mode Digit]], (Table16[[#This Row],[Vin]]*Table16[[#This Row],[Iout]]/2)*(Fsw)*(Tr_buck+Tf_buck), 0, (Table16[[#This Row],[Vin]]*Table16[[#This Row],[Avg IL]]/2)*(Fsw/1)*(Tr_buck+Tf_buck))</f>
        <v>0.78143592058585531</v>
      </c>
      <c r="AJ143" s="253">
        <f>IF(Table16[[#This Row],[Vin]]&gt;Vout, IF(Table16[[#This Row],[Iout]]&gt;Table16[[#This Row],[Ripple Current pk-pk]]/2,0,ABS(Table16[[#This Row],[Iout]]-Table16[[#This Row],[Ripple Current pk-pk]]/2)*Vsd_Q1*Deadtime*Fsw),0)</f>
        <v>0</v>
      </c>
      <c r="AK143" s="345">
        <f>(Table16[[#This Row],[Dead Time Loss BuCtrl]]+Table16[[#This Row],[Transition Loss BuCtrl]]+Table16[[#This Row],[RDS(on) Loss BuCtrl]]*(1+RdsonTopTc*Ta-RdsonTopTc*25))/(1-Table16[[#This Row],[RDS(on) Loss BuCtrl]]*RdsonTopTc*ThetaJA_Q1)</f>
        <v>0.97094670983449904</v>
      </c>
      <c r="AL143" s="345">
        <f>CHOOSE(Table16[[#This Row],[Mode Digit]],SQRT((Fsw*(Table16[[#This Row],[t2_Ph_I]]+0))*((Table16[[#This Row],[I_0]]*Table16[[#This Row],[I_1]]+((Table16[[#This Row],[I_0]]-Table16[[#This Row],[I_1]])^2)/3))),0,SQRT((Fsw*(Table16[[#This Row],[t3_Ph_III]]+0))*((Table16[[#This Row],[I_0]]*Table16[[#This Row],[I_2]]+((Table16[[#This Row],[I_0]]-Table16[[#This Row],[I_2]])^2)/3))))</f>
        <v>5.1997420909572885</v>
      </c>
      <c r="AM143" s="345">
        <f>Rdson2*Table16[[#This Row],[Irms BuSync]]^2</f>
        <v>9.4630612343655066E-2</v>
      </c>
      <c r="AN143"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43" s="345">
        <f>(Table16[[#This Row],[Deadtime Loss BuSync]]+Table16[[#This Row],[RDS(on) Loss BuSync]]*(1+RdsonBotTc*Ta-RdsonBotTc*25))/(1-Table16[[#This Row],[RDS(on) Loss BuSync]]*RdsonBotTc*ThetaJA_Q2)</f>
        <v>0.34184126077995797</v>
      </c>
      <c r="AP143" s="345">
        <f>CHOOSE(Table16[[#This Row],[Mode Digit]],0,SQRT((Fsw*(Table16[[#This Row],[t1_Ph_II]]+0))*((Table16[[#This Row],[I_0]]*Table16[[#This Row],[I_1]]+((Table16[[#This Row],[I_0]]-Table16[[#This Row],[I_1]])^2)/3))),SQRT((Fsw*(Table16[[#This Row],[t2_Ph_I]]+0))*((Table16[[#This Row],[I_1]]*Table16[[#This Row],[I_2]]+((Table16[[#This Row],[I_1]]-Table16[[#This Row],[I_2]])^2)/3))))</f>
        <v>0</v>
      </c>
      <c r="AQ143" s="345">
        <f>Rdson4*Table16[[#This Row],[Irms BoCtlr]]^2</f>
        <v>0</v>
      </c>
      <c r="AR143" s="345">
        <f>CHOOSE(Table16[[#This Row],[Mode Digit]], 0, (Vout*Table16[[#This Row],[Iin]]/2)*(Fsw)*(Tr_boost+Tf_boost), (Vout*Iout/2)*(Fsw/1)*(Tr_boost+Tf_boost))</f>
        <v>0</v>
      </c>
      <c r="AS143" s="253">
        <f>IF(Table16[[#This Row],[Vin]]&gt;Vout, 0, IF(Table16[[#This Row],[Iin]]&gt;Table16[[#This Row],[Ripple Current pk-pk]]/2,0,ABS(Table16[[#This Row],[Iin]]-Table16[[#This Row],[Ripple Current pk-pk]]/2)*Vsd_Q4*Deadtime*Fsw))</f>
        <v>0</v>
      </c>
      <c r="AT143" s="345">
        <f>(Table16[[#This Row],[Dead Time Loss BoCtlr]]+Table16[[#This Row],[Transition Loss BoCtlr]]+Table16[[#This Row],[RDS(on) Loss BoCtlr]]*(1+RdsonTopTc*Ta-RdsonTopTc*25))/(1-Table16[[#This Row],[RDS(on) Loss BoCtlr]]*RdsonTopTc*ThetaJA_Q4)</f>
        <v>0</v>
      </c>
      <c r="AU143"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8.3826885883766273</v>
      </c>
      <c r="AV143" s="345">
        <f>Rdson3*Table16[[#This Row],[Irms BoSync]]^2</f>
        <v>0.24594313789394906</v>
      </c>
      <c r="AW143"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43" s="345">
        <f>(Table16[[#This Row],[Deadtime Loss BoSync]]+Table16[[#This Row],[RDS(on) Loss BoSync]]*(1+RdsonBotTc*Ta-RdsonBotTc*25))/(1-Table16[[#This Row],[RDS(on) Loss BoSync]]*RdsonBotTc*ThetaJA_Q3)</f>
        <v>0.26274438425943136</v>
      </c>
      <c r="AY143" s="345">
        <f>CHOOSE(Table16[[#This Row],[Mode Digit]], Rdson3*Table16[[#This Row],[Irms Lf]]^2, Rdson1*Table16[[#This Row],[Irms Lf]]^2, 0)</f>
        <v>0.24594313789394906</v>
      </c>
      <c r="AZ143" s="345">
        <f>CHOOSE(Table16[[#This Row],[Mode Digit]], 2*Deadtime*Fsw*IF(VfdSky_Q2&gt;0,VfdSky_Q2,0)*Table16[[#This Row],[Iout]], 2*Deadtime*Fsw*IF(VfdSky_Q3&gt;0,VfdSky_Q3,0)*Table16[[#This Row],[Iin]], 2*Deadtime*Fsw*IF(VfdSky_Q2&gt;0,VfdSky_Q2,0)*Table16[[#This Row],[Iout]]+2*Deadtime*Fsw*IF(VfdSky_Q3&gt;0,VfdSky_Q3,0)*Table16[[#This Row],[Iin]])</f>
        <v>0</v>
      </c>
      <c r="BA143" s="345">
        <f>CHOOSE(Table16[[#This Row],[Mode Digit]], IF(QrrSky_Q2&gt;0,QrrSky_Q2,Qrr_Q2)*Fsw*(Table16[[#This Row],[Vin]]-Table16[[#This Row],[Iout]]*Rdson1),0,  IF(QrrSky_Q2&gt;0,QrrSky_Q2,Qrr_Q2)*Fsw*(Table16[[#This Row],[Vin]]-Table16[[#This Row],[Iout]]*Rdson1)+IF(QrrSky_Q3&gt;0,QrrSky_Q3,Qrr_Q3)*Fsw*Vout)</f>
        <v>0.46694952000000001</v>
      </c>
      <c r="BB143" s="345">
        <f>CHOOSE(Table16[[#This Row],[Mode Digit]],0, IF(QrrSky_Q3&gt;0,QrrSky_Q3,Qrr_Q3)*Fsw*Vout,  IF(QrrSky_Q2&gt;0,QrrSky_Q2,Qrr_Q2)*Fsw*(Table16[[#This Row],[Vin]]-Table16[[#This Row],[Iout]]*Rdson1)+IF(QrrSky_Q3&gt;0,QrrSky_Q3,Qrr_Q3)*Fsw*Vout)</f>
        <v>0</v>
      </c>
      <c r="BC143" s="345">
        <f>CHOOSE(Table16[[#This Row],[Mode Digit]], Rs*Table16[[#This Row],[Irms BuSync]]^2, Rs*Table16[[#This Row],[Irms BoCtlr]]^2, Rs*(Table16[[#This Row],[Irms BuSync]]^2+Table16[[#This Row],[Irms BoCtlr]]^2))</f>
        <v>3.5148513156214735E-2</v>
      </c>
      <c r="BD143" s="345">
        <f t="shared" si="8"/>
        <v>0.64</v>
      </c>
      <c r="BE143" s="345">
        <f>IF(Vout&gt;8, Iq*Vout, Iq*Table16[[#This Row],[Vin]])</f>
        <v>4.8000000000000001E-2</v>
      </c>
      <c r="BF143" s="345">
        <f>CHOOSE(Table16[[#This Row],[Mode Digit]], (Qg_Q1+Qg_Q2)*Fsw, (Qg_Q3+Qg_Q4)*Fsw, (Qg_Q1+Qg_Q2+Qg_Q3+Qg_Q4)*Fsw)*IF(Vout&gt;8, Vout, Table16[[#This Row],[Vin]])</f>
        <v>0.85331200000000007</v>
      </c>
      <c r="BG143" s="345">
        <f t="shared" si="9"/>
        <v>0.50594479787234037</v>
      </c>
      <c r="BH143" s="345">
        <f>Table16[[#This Row],[IQ Loss]]+Table16[[#This Row],[Switching Current Loss]]</f>
        <v>0.90131200000000011</v>
      </c>
      <c r="BI143"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7.0569374310140898</v>
      </c>
      <c r="BJ143" s="253">
        <f>Vout*Table16[[#This Row],[Iout]]</f>
        <v>128</v>
      </c>
      <c r="BK143" s="684">
        <f>Table16[[#This Row],[Pout]]/(Table16[[#This Row],[Pout]]+Table16[[#This Row],[Total Loss]])</f>
        <v>0.94774842695793604</v>
      </c>
      <c r="BL143"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63.111536139242439</v>
      </c>
      <c r="BM143" s="685">
        <f>IF(Table16[[#This Row],[Vin]]&gt;Vout, Table16[[#This Row],[Total Sync Bu MOSFET Loss]]*ThetaJA_Q2, ThetaJA_Q3*Table16[[#This Row],[Total Sync Bo MOSFET Loss]])</f>
        <v>22.219681950697268</v>
      </c>
      <c r="BN143" s="640"/>
      <c r="BO143" s="292">
        <f>Table16[[#This Row],[EFF, h]]*100</f>
        <v>94.774842695793609</v>
      </c>
      <c r="BP143" s="345">
        <f>Table16[[#This Row],[Total Inductor Loss]]</f>
        <v>3.3921875647518949</v>
      </c>
      <c r="BQ143" s="345">
        <f>Table16[[#This Row],[Total Control Bu MOSFET Loss]]+Table16[[#This Row],[Total Sync Bu MOSFET Loss]]+Table16[[#This Row],[Total Control Bo MOSFET Loss]]+Table16[[#This Row],[Total Sync Bo MOSFET Loss]]+Table16[[#This Row],[Reverse Recovery Loss MOSFET D BUCK]]+Table16[[#This Row],[Reverse Recovery Loss MOSFET D BOOST]]</f>
        <v>2.0424818748738884</v>
      </c>
      <c r="BR143" s="345">
        <f>Table16[[#This Row],[Total Control Bu MOSFET Loss]]+Table16[[#This Row],[Reverse Recovery Loss MOSFET D BUCK]]*0.66</f>
        <v>1.279133393034499</v>
      </c>
      <c r="BS143" s="345">
        <f>Table16[[#This Row],[Total Sync Bu MOSFET Loss]]+Table16[[#This Row],[Reverse Recovery Loss MOSFET D BUCK]]*0.33</f>
        <v>0.49593460237995801</v>
      </c>
      <c r="BT143" s="345">
        <f xml:space="preserve"> Table16[[#This Row],[Total Control Bo MOSFET Loss]]+Table16[[#This Row],[Reverse Recovery Loss MOSFET D BOOST]]*0.66</f>
        <v>0</v>
      </c>
      <c r="BU143" s="345">
        <f xml:space="preserve"> Table16[[#This Row],[Total Sync Bo MOSFET Loss]]+Table16[[#This Row],[Reverse Recovery Loss MOSFET D BOOST]]*0.33</f>
        <v>0.26274438425943136</v>
      </c>
      <c r="BV143" s="345">
        <f>Table16[[#This Row],[Isense Shunt Loss]]</f>
        <v>3.5148513156214735E-2</v>
      </c>
    </row>
    <row r="144" spans="7:74" x14ac:dyDescent="0.2">
      <c r="G144" s="253">
        <v>135</v>
      </c>
      <c r="H144" s="286">
        <f>VIN_min+(VIN_max-VIN_min)*(Table16[[#This Row],[Step]]/200)</f>
        <v>26.25</v>
      </c>
      <c r="I144" s="292" t="str">
        <f>IF(Mode = 2,IF(Table16[[#This Row],[Vin]]&gt;Vout, "BUCK","BOOST"),IF(Table16[[#This Row],[Vin]]&gt;VIN_BB_to_buck, "BUCK", IF(Table16[[#This Row],[Vin]]&lt;=VIN_boost_to_BB,"BOOST","BUCK-BST")))</f>
        <v>BUCK</v>
      </c>
      <c r="J144" s="253">
        <f>IF(Table16[[#This Row],[Mode]]="BOOST",2, IF(Table16[[#This Row],[Mode]]="BUCK", 1,3))</f>
        <v>1</v>
      </c>
      <c r="K144" s="253">
        <f t="shared" si="7"/>
        <v>8</v>
      </c>
      <c r="L144" s="292">
        <f>Vout*Table16[[#This Row],[Iout]]/(Table16[[#This Row],[Vin]]*Efficiency)</f>
        <v>5.132832080200501</v>
      </c>
      <c r="M144" s="682">
        <f>MIN(1/Fsw,CHOOSE(Table16[[#This Row],[Mode Digit]],(Vout+(Rdson2+Rs+Rdcr)*Table16[[#This Row],[Iout]])/(Table16[[#This Row],[Vin]]+(Rs+Rdson2-Rdson1)*Table16[[#This Row],[Iout]])/Fsw,(Vout+(Rdson3+Rdcr)*Table16[[#This Row],[Iin]]-Table16[[#This Row],[Vin]])/(Vout+(Rdson3-Rdson4-Rs)*Table16[[#This Row],[Iin]])/Fsw,t1_Ph_II))</f>
        <v>1.5369837871938787E-6</v>
      </c>
      <c r="N144" s="518">
        <f>CHOOSE(Table16[[#This Row],[Mode Digit]],1/Fsw-Table16[[#This Row],[t1_Ph_II]],1/Fsw-Table16[[#This Row],[t1_Ph_II]],(Vout/Fsw-Table16[[#This Row],[Vin]]*t1_Ph_II)/(Table16[[#This Row],[Vin]]+Vout))</f>
        <v>9.7557902687647324E-7</v>
      </c>
      <c r="O144" s="518">
        <f>1/Fsw-(Table16[[#This Row],[t1_Ph_II]]+Table16[[#This Row],[t2_Ph_I]])</f>
        <v>0</v>
      </c>
      <c r="P144"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3.6238656059063183</v>
      </c>
      <c r="Q144" s="292">
        <f>CHOOSE(Table16[[#This Row],[Mode Digit]],Table16[[#This Row],[I_0]]+1/Lf*(Table16[[#This Row],[Vin]]-Vout)*Table16[[#This Row],[t1_Ph_II]],Table16[[#This Row],[I_0]]+1/Lf*Table16[[#This Row],[Vin]]*Table16[[#This Row],[t1_Ph_II]],Table16[[#This Row],[I_0]]+(Table16[[#This Row],[Vin]]-Vout)/L*Table16[[#This Row],[t1_Ph_II]])</f>
        <v>12.376134394093683</v>
      </c>
      <c r="R144" s="292">
        <f>CHOOSE(Table16[[#This Row],[Mode Digit]],0,0,Table16[[#This Row],[I_1]]+Table16[[#This Row],[Vin]]/L*Table16[[#This Row],[t2_Ph_I]])</f>
        <v>0</v>
      </c>
      <c r="S144" s="292">
        <f>Fsw*(Table16[[#This Row],[I_0]]*Table16[[#This Row],[t1_Ph_II]]+Table16[[#This Row],[I_1]]*Table16[[#This Row],[t2_Ph_I]]+Table16[[#This Row],[I_2]]*Table16[[#This Row],[t3_Ph_III]])</f>
        <v>7.0222004931080999</v>
      </c>
      <c r="T144" s="345">
        <f>MIN(1,CHOOSE(Table16[[#This Row],[Mode Digit]],(Vout+(Rdson2+Rs+Rdcr)*Table16[[#This Row],[Iout]])/(Table16[[#This Row],[Vin]]+(Rs+Rdson2-Rdson1)*Table16[[#This Row],[Iout]]),1,Fsw*Table16[[#This Row],[t2_Ph_I]]+Table16[[#This Row],[t1_Ph_II]]))</f>
        <v>0.61171954730316369</v>
      </c>
      <c r="U144" s="345">
        <f>MIN(1,CHOOSE(Table16[[#This Row],[Mode Digit]],0,(Vout+(Rdson3+Rdcr)*Table16[[#This Row],[Iin]]-Table16[[#This Row],[Vin]])/(Vout+(Rdson3-Rdson4-Rs)*Table16[[#This Row],[Iin]]),Fsw*Table16[[#This Row],[t1_Ph_II]]+Table16[[#This Row],[t3_Ph_III]]))</f>
        <v>0</v>
      </c>
      <c r="V144" s="292">
        <f>MAX(Table16[[#This Row],[I_0]:[I_2]])-MIN(Table16[[#This Row],[I_0]:[I_1]])</f>
        <v>8.7522687881873651</v>
      </c>
      <c r="W144"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8.3894885071572283</v>
      </c>
      <c r="X144" s="345">
        <f>(Table16[[#This Row],[Irms Lf]]^2*Rdcr*(1+Ltc*Ta-Ltc*25))/(1-Table16[[#This Row],[Irms Lf]]^2*Rdcr*Ltc*ThetaCa)</f>
        <v>0.22935990385486341</v>
      </c>
      <c r="Y144" s="345">
        <f>ABS(7.759*10^-3*Fsw^0.9458*(0.00787*Table16[[#This Row],[Ripple Current pk-pk]])^2.304)</f>
        <v>3.2295864533095648</v>
      </c>
      <c r="Z144" s="345">
        <f>Table16[[#This Row],[DCR    Loss]]+Table16[[#This Row],[Core Loss]]</f>
        <v>3.4589463571644283</v>
      </c>
      <c r="AA144" s="292">
        <f>IF(Table16[[#This Row],[Vin]]&gt;Vout, Table16[[#This Row],[Ripple Current pk-pk]]/SQRT(12), SQRT(Table16[[#This Row],[Duty Cycle BOOST Leg]]/(1-Table16[[#This Row],[Duty Cycle BOOST Leg]]))*SQRT(Table16[[#This Row],[Iout]]^2+(Table16[[#This Row],[Ripple Current pk-pk]]^2)/12))</f>
        <v>2.5265623704399678</v>
      </c>
      <c r="AB144" s="345">
        <f>RCoutEsr*Table16[[#This Row],[Irms Cout]]^2</f>
        <v>1.2767034823446459E-2</v>
      </c>
      <c r="AC144" s="345">
        <f>Table16[[#This Row],[Cout ESR Loss]]</f>
        <v>1.2767034823446459E-2</v>
      </c>
      <c r="AD144" s="345">
        <f>IF(Table16[[#This Row],[Vin]]&gt;Vout, SQRT(Table16[[#This Row],[Duty Cycle BUCK Leg]]*(1-Table16[[#This Row],[Duty Cycle BUCK Leg]]))*SQRT(Table16[[#This Row],[Iout]]^2+(Table16[[#This Row],[Ripple Current pk-pk]]^2)/12), Table16[[#This Row],[Ripple Current pk-pk]]/SQRT(12))</f>
        <v>4.0886922806664856</v>
      </c>
      <c r="AE144" s="345">
        <f>RCinEsr*Table16[[#This Row],[Irms Cin]]^2</f>
        <v>3.3434809131963415E-2</v>
      </c>
      <c r="AF144" s="683">
        <f>Table16[[#This Row],[Cin ESR Loss]]</f>
        <v>3.3434809131963415E-2</v>
      </c>
      <c r="AG144"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6.5616288685587572</v>
      </c>
      <c r="AH144" s="345">
        <f>Rdson1*Table16[[#This Row],[Irms BuCtrl]]^2</f>
        <v>0.15069240693046287</v>
      </c>
      <c r="AI144" s="345">
        <f>CHOOSE(Table16[[#This Row],[Mode Digit]], (Table16[[#This Row],[Vin]]*Table16[[#This Row],[Iout]]/2)*(Fsw)*(Tr_buck+Tf_buck), 0, (Table16[[#This Row],[Vin]]*Table16[[#This Row],[Avg IL]]/2)*(Fsw/1)*(Tr_buck+Tf_buck))</f>
        <v>0.78592693162370508</v>
      </c>
      <c r="AJ144" s="253">
        <f>IF(Table16[[#This Row],[Vin]]&gt;Vout, IF(Table16[[#This Row],[Iout]]&gt;Table16[[#This Row],[Ripple Current pk-pk]]/2,0,ABS(Table16[[#This Row],[Iout]]-Table16[[#This Row],[Ripple Current pk-pk]]/2)*Vsd_Q1*Deadtime*Fsw),0)</f>
        <v>0</v>
      </c>
      <c r="AK144" s="345">
        <f>(Table16[[#This Row],[Dead Time Loss BuCtrl]]+Table16[[#This Row],[Transition Loss BuCtrl]]+Table16[[#This Row],[RDS(on) Loss BuCtrl]]*(1+RdsonTopTc*Ta-RdsonTopTc*25))/(1-Table16[[#This Row],[RDS(on) Loss BuCtrl]]*RdsonTopTc*ThetaJA_Q1)</f>
        <v>0.97481251816802617</v>
      </c>
      <c r="AL144" s="345">
        <f>CHOOSE(Table16[[#This Row],[Mode Digit]],SQRT((Fsw*(Table16[[#This Row],[t2_Ph_I]]+0))*((Table16[[#This Row],[I_0]]*Table16[[#This Row],[I_1]]+((Table16[[#This Row],[I_0]]-Table16[[#This Row],[I_1]])^2)/3))),0,SQRT((Fsw*(Table16[[#This Row],[t3_Ph_III]]+0))*((Table16[[#This Row],[I_0]]*Table16[[#This Row],[I_2]]+((Table16[[#This Row],[I_0]]-Table16[[#This Row],[I_2]])^2)/3))))</f>
        <v>5.2276709922315847</v>
      </c>
      <c r="AM144" s="345">
        <f>Rdson2*Table16[[#This Row],[Irms BuSync]]^2</f>
        <v>9.5649904010568471E-2</v>
      </c>
      <c r="AN144"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44" s="345">
        <f>(Table16[[#This Row],[Deadtime Loss BuSync]]+Table16[[#This Row],[RDS(on) Loss BuSync]]*(1+RdsonBotTc*Ta-RdsonBotTc*25))/(1-Table16[[#This Row],[RDS(on) Loss BuSync]]*RdsonBotTc*ThetaJA_Q2)</f>
        <v>0.34297945142831449</v>
      </c>
      <c r="AP144" s="345">
        <f>CHOOSE(Table16[[#This Row],[Mode Digit]],0,SQRT((Fsw*(Table16[[#This Row],[t1_Ph_II]]+0))*((Table16[[#This Row],[I_0]]*Table16[[#This Row],[I_1]]+((Table16[[#This Row],[I_0]]-Table16[[#This Row],[I_1]])^2)/3))),SQRT((Fsw*(Table16[[#This Row],[t2_Ph_I]]+0))*((Table16[[#This Row],[I_1]]*Table16[[#This Row],[I_2]]+((Table16[[#This Row],[I_1]]-Table16[[#This Row],[I_2]])^2)/3))))</f>
        <v>0</v>
      </c>
      <c r="AQ144" s="345">
        <f>Rdson4*Table16[[#This Row],[Irms BoCtlr]]^2</f>
        <v>0</v>
      </c>
      <c r="AR144" s="345">
        <f>CHOOSE(Table16[[#This Row],[Mode Digit]], 0, (Vout*Table16[[#This Row],[Iin]]/2)*(Fsw)*(Tr_boost+Tf_boost), (Vout*Iout/2)*(Fsw/1)*(Tr_boost+Tf_boost))</f>
        <v>0</v>
      </c>
      <c r="AS144" s="253">
        <f>IF(Table16[[#This Row],[Vin]]&gt;Vout, 0, IF(Table16[[#This Row],[Iin]]&gt;Table16[[#This Row],[Ripple Current pk-pk]]/2,0,ABS(Table16[[#This Row],[Iin]]-Table16[[#This Row],[Ripple Current pk-pk]]/2)*Vsd_Q4*Deadtime*Fsw))</f>
        <v>0</v>
      </c>
      <c r="AT144" s="345">
        <f>(Table16[[#This Row],[Dead Time Loss BoCtlr]]+Table16[[#This Row],[Transition Loss BoCtlr]]+Table16[[#This Row],[RDS(on) Loss BoCtlr]]*(1+RdsonTopTc*Ta-RdsonTopTc*25))/(1-Table16[[#This Row],[RDS(on) Loss BoCtlr]]*RdsonTopTc*ThetaJA_Q4)</f>
        <v>0</v>
      </c>
      <c r="AU144"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8.3894885071572283</v>
      </c>
      <c r="AV144" s="345">
        <f>Rdson3*Table16[[#This Row],[Irms BoSync]]^2</f>
        <v>0.24634231094103126</v>
      </c>
      <c r="AW144"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44" s="345">
        <f>(Table16[[#This Row],[Deadtime Loss BoSync]]+Table16[[#This Row],[RDS(on) Loss BoSync]]*(1+RdsonBotTc*Ta-RdsonBotTc*25))/(1-Table16[[#This Row],[RDS(on) Loss BoSync]]*RdsonBotTc*ThetaJA_Q3)</f>
        <v>0.26320000850829578</v>
      </c>
      <c r="AY144" s="345">
        <f>CHOOSE(Table16[[#This Row],[Mode Digit]], Rdson3*Table16[[#This Row],[Irms Lf]]^2, Rdson1*Table16[[#This Row],[Irms Lf]]^2, 0)</f>
        <v>0.24634231094103126</v>
      </c>
      <c r="AZ144" s="345">
        <f>CHOOSE(Table16[[#This Row],[Mode Digit]], 2*Deadtime*Fsw*IF(VfdSky_Q2&gt;0,VfdSky_Q2,0)*Table16[[#This Row],[Iout]], 2*Deadtime*Fsw*IF(VfdSky_Q3&gt;0,VfdSky_Q3,0)*Table16[[#This Row],[Iin]], 2*Deadtime*Fsw*IF(VfdSky_Q2&gt;0,VfdSky_Q2,0)*Table16[[#This Row],[Iout]]+2*Deadtime*Fsw*IF(VfdSky_Q3&gt;0,VfdSky_Q3,0)*Table16[[#This Row],[Iin]])</f>
        <v>0</v>
      </c>
      <c r="BA144" s="345">
        <f>CHOOSE(Table16[[#This Row],[Mode Digit]], IF(QrrSky_Q2&gt;0,QrrSky_Q2,Qrr_Q2)*Fsw*(Table16[[#This Row],[Vin]]-Table16[[#This Row],[Iout]]*Rdson1),0,  IF(QrrSky_Q2&gt;0,QrrSky_Q2,Qrr_Q2)*Fsw*(Table16[[#This Row],[Vin]]-Table16[[#This Row],[Iout]]*Rdson1)+IF(QrrSky_Q3&gt;0,QrrSky_Q3,Qrr_Q3)*Fsw*Vout)</f>
        <v>0.46963601999999999</v>
      </c>
      <c r="BB144" s="345">
        <f>CHOOSE(Table16[[#This Row],[Mode Digit]],0, IF(QrrSky_Q3&gt;0,QrrSky_Q3,Qrr_Q3)*Fsw*Vout,  IF(QrrSky_Q2&gt;0,QrrSky_Q2,Qrr_Q2)*Fsw*(Table16[[#This Row],[Vin]]-Table16[[#This Row],[Iout]]*Rdson1)+IF(QrrSky_Q3&gt;0,QrrSky_Q3,Qrr_Q3)*Fsw*Vout)</f>
        <v>0</v>
      </c>
      <c r="BC144" s="345">
        <f>CHOOSE(Table16[[#This Row],[Mode Digit]], Rs*Table16[[#This Row],[Irms BuSync]]^2, Rs*Table16[[#This Row],[Irms BoCtlr]]^2, Rs*(Table16[[#This Row],[Irms BuSync]]^2+Table16[[#This Row],[Irms BoCtlr]]^2))</f>
        <v>3.5527107203925427E-2</v>
      </c>
      <c r="BD144" s="345">
        <f t="shared" si="8"/>
        <v>0.64</v>
      </c>
      <c r="BE144" s="345">
        <f>IF(Vout&gt;8, Iq*Vout, Iq*Table16[[#This Row],[Vin]])</f>
        <v>4.8000000000000001E-2</v>
      </c>
      <c r="BF144" s="345">
        <f>CHOOSE(Table16[[#This Row],[Mode Digit]], (Qg_Q1+Qg_Q2)*Fsw, (Qg_Q3+Qg_Q4)*Fsw, (Qg_Q1+Qg_Q2+Qg_Q3+Qg_Q4)*Fsw)*IF(Vout&gt;8, Vout, Table16[[#This Row],[Vin]])</f>
        <v>0.85331200000000007</v>
      </c>
      <c r="BG144" s="345">
        <f t="shared" si="9"/>
        <v>0.50594479787234037</v>
      </c>
      <c r="BH144" s="345">
        <f>Table16[[#This Row],[IQ Loss]]+Table16[[#This Row],[Switching Current Loss]]</f>
        <v>0.90131200000000011</v>
      </c>
      <c r="BI144"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7.1326153064284004</v>
      </c>
      <c r="BJ144" s="253">
        <f>Vout*Table16[[#This Row],[Iout]]</f>
        <v>128</v>
      </c>
      <c r="BK144" s="684">
        <f>Table16[[#This Row],[Pout]]/(Table16[[#This Row],[Pout]]+Table16[[#This Row],[Total Loss]])</f>
        <v>0.94721766251430584</v>
      </c>
      <c r="BL144"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63.362813680921704</v>
      </c>
      <c r="BM144" s="685">
        <f>IF(Table16[[#This Row],[Vin]]&gt;Vout, Table16[[#This Row],[Total Sync Bu MOSFET Loss]]*ThetaJA_Q2, ThetaJA_Q3*Table16[[#This Row],[Total Sync Bo MOSFET Loss]])</f>
        <v>22.29366434284044</v>
      </c>
      <c r="BN144" s="640"/>
      <c r="BO144" s="292">
        <f>Table16[[#This Row],[EFF, h]]*100</f>
        <v>94.72176625143058</v>
      </c>
      <c r="BP144" s="345">
        <f>Table16[[#This Row],[Total Inductor Loss]]</f>
        <v>3.4589463571644283</v>
      </c>
      <c r="BQ144" s="345">
        <f>Table16[[#This Row],[Total Control Bu MOSFET Loss]]+Table16[[#This Row],[Total Sync Bu MOSFET Loss]]+Table16[[#This Row],[Total Control Bo MOSFET Loss]]+Table16[[#This Row],[Total Sync Bo MOSFET Loss]]+Table16[[#This Row],[Reverse Recovery Loss MOSFET D BUCK]]+Table16[[#This Row],[Reverse Recovery Loss MOSFET D BOOST]]</f>
        <v>2.0506279981046363</v>
      </c>
      <c r="BR144" s="345">
        <f>Table16[[#This Row],[Total Control Bu MOSFET Loss]]+Table16[[#This Row],[Reverse Recovery Loss MOSFET D BUCK]]*0.66</f>
        <v>1.2847722913680262</v>
      </c>
      <c r="BS144" s="345">
        <f>Table16[[#This Row],[Total Sync Bu MOSFET Loss]]+Table16[[#This Row],[Reverse Recovery Loss MOSFET D BUCK]]*0.33</f>
        <v>0.49795933802831449</v>
      </c>
      <c r="BT144" s="345">
        <f xml:space="preserve"> Table16[[#This Row],[Total Control Bo MOSFET Loss]]+Table16[[#This Row],[Reverse Recovery Loss MOSFET D BOOST]]*0.66</f>
        <v>0</v>
      </c>
      <c r="BU144" s="345">
        <f xml:space="preserve"> Table16[[#This Row],[Total Sync Bo MOSFET Loss]]+Table16[[#This Row],[Reverse Recovery Loss MOSFET D BOOST]]*0.33</f>
        <v>0.26320000850829578</v>
      </c>
      <c r="BV144" s="345">
        <f>Table16[[#This Row],[Isense Shunt Loss]]</f>
        <v>3.5527107203925427E-2</v>
      </c>
    </row>
    <row r="145" spans="7:74" x14ac:dyDescent="0.2">
      <c r="G145" s="253">
        <v>136</v>
      </c>
      <c r="H145" s="286">
        <f>VIN_min+(VIN_max-VIN_min)*(Table16[[#This Row],[Step]]/200)</f>
        <v>26.400000000000002</v>
      </c>
      <c r="I145" s="292" t="str">
        <f>IF(Mode = 2,IF(Table16[[#This Row],[Vin]]&gt;Vout, "BUCK","BOOST"),IF(Table16[[#This Row],[Vin]]&gt;VIN_BB_to_buck, "BUCK", IF(Table16[[#This Row],[Vin]]&lt;=VIN_boost_to_BB,"BOOST","BUCK-BST")))</f>
        <v>BUCK</v>
      </c>
      <c r="J145" s="253">
        <f>IF(Table16[[#This Row],[Mode]]="BOOST",2, IF(Table16[[#This Row],[Mode]]="BUCK", 1,3))</f>
        <v>1</v>
      </c>
      <c r="K145" s="253">
        <f t="shared" si="7"/>
        <v>8</v>
      </c>
      <c r="L145" s="292">
        <f>Vout*Table16[[#This Row],[Iout]]/(Table16[[#This Row],[Vin]]*Efficiency)</f>
        <v>5.1036682615629978</v>
      </c>
      <c r="M145" s="682">
        <f>MIN(1/Fsw,CHOOSE(Table16[[#This Row],[Mode Digit]],(Vout+(Rdson2+Rs+Rdcr)*Table16[[#This Row],[Iout]])/(Table16[[#This Row],[Vin]]+(Rs+Rdson2-Rdson1)*Table16[[#This Row],[Iout]])/Fsw,(Vout+(Rdson3+Rdcr)*Table16[[#This Row],[Iin]]-Table16[[#This Row],[Vin]])/(Vout+(Rdson3-Rdson4-Rs)*Table16[[#This Row],[Iin]])/Fsw,t1_Ph_II))</f>
        <v>1.5282543636304686E-6</v>
      </c>
      <c r="N145" s="518">
        <f>CHOOSE(Table16[[#This Row],[Mode Digit]],1/Fsw-Table16[[#This Row],[t1_Ph_II]],1/Fsw-Table16[[#This Row],[t1_Ph_II]],(Vout/Fsw-Table16[[#This Row],[Vin]]*t1_Ph_II)/(Table16[[#This Row],[Vin]]+Vout))</f>
        <v>9.8430845043988326E-7</v>
      </c>
      <c r="O145" s="518">
        <f>1/Fsw-(Table16[[#This Row],[t1_Ph_II]]+Table16[[#This Row],[t2_Ph_I]])</f>
        <v>0</v>
      </c>
      <c r="P145"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3.5850429495119798</v>
      </c>
      <c r="Q145" s="292">
        <f>CHOOSE(Table16[[#This Row],[Mode Digit]],Table16[[#This Row],[I_0]]+1/Lf*(Table16[[#This Row],[Vin]]-Vout)*Table16[[#This Row],[t1_Ph_II]],Table16[[#This Row],[I_0]]+1/Lf*Table16[[#This Row],[Vin]]*Table16[[#This Row],[t1_Ph_II]],Table16[[#This Row],[I_0]]+(Table16[[#This Row],[Vin]]-Vout)/L*Table16[[#This Row],[t1_Ph_II]])</f>
        <v>12.41495705048802</v>
      </c>
      <c r="R145" s="292">
        <f>CHOOSE(Table16[[#This Row],[Mode Digit]],0,0,Table16[[#This Row],[I_1]]+Table16[[#This Row],[Vin]]/L*Table16[[#This Row],[t2_Ph_I]])</f>
        <v>0</v>
      </c>
      <c r="S145" s="292">
        <f>Fsw*(Table16[[#This Row],[I_0]]*Table16[[#This Row],[t1_Ph_II]]+Table16[[#This Row],[I_1]]*Table16[[#This Row],[t2_Ph_I]]+Table16[[#This Row],[I_2]]*Table16[[#This Row],[t3_Ph_III]])</f>
        <v>7.0442038578790829</v>
      </c>
      <c r="T145" s="345">
        <f>MIN(1,CHOOSE(Table16[[#This Row],[Mode Digit]],(Vout+(Rdson2+Rs+Rdcr)*Table16[[#This Row],[Iout]])/(Table16[[#This Row],[Vin]]+(Rs+Rdson2-Rdson1)*Table16[[#This Row],[Iout]]),1,Fsw*Table16[[#This Row],[t2_Ph_I]]+Table16[[#This Row],[t1_Ph_II]]))</f>
        <v>0.60824523672492647</v>
      </c>
      <c r="U145" s="345">
        <f>MIN(1,CHOOSE(Table16[[#This Row],[Mode Digit]],0,(Vout+(Rdson3+Rdcr)*Table16[[#This Row],[Iin]]-Table16[[#This Row],[Vin]])/(Vout+(Rdson3-Rdson4-Rs)*Table16[[#This Row],[Iin]]),Fsw*Table16[[#This Row],[t1_Ph_II]]+Table16[[#This Row],[t3_Ph_III]]))</f>
        <v>0</v>
      </c>
      <c r="V145" s="292">
        <f>MAX(Table16[[#This Row],[I_0]:[I_2]])-MIN(Table16[[#This Row],[I_0]:[I_1]])</f>
        <v>8.8299141009760405</v>
      </c>
      <c r="W145"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8.3962659509580782</v>
      </c>
      <c r="X145" s="345">
        <f>(Table16[[#This Row],[Irms Lf]]^2*Rdcr*(1+Ltc*Ta-Ltc*25))/(1-Table16[[#This Row],[Irms Lf]]^2*Rdcr*Ltc*ThetaCa)</f>
        <v>0.22973744366689539</v>
      </c>
      <c r="Y145" s="345">
        <f>ABS(7.759*10^-3*Fsw^0.9458*(0.00787*Table16[[#This Row],[Ripple Current pk-pk]])^2.304)</f>
        <v>3.2959807891665558</v>
      </c>
      <c r="Z145" s="345">
        <f>Table16[[#This Row],[DCR    Loss]]+Table16[[#This Row],[Core Loss]]</f>
        <v>3.5257182328334511</v>
      </c>
      <c r="AA145" s="292">
        <f>IF(Table16[[#This Row],[Vin]]&gt;Vout, Table16[[#This Row],[Ripple Current pk-pk]]/SQRT(12), SQRT(Table16[[#This Row],[Duty Cycle BOOST Leg]]/(1-Table16[[#This Row],[Duty Cycle BOOST Leg]]))*SQRT(Table16[[#This Row],[Iout]]^2+(Table16[[#This Row],[Ripple Current pk-pk]]^2)/12))</f>
        <v>2.5489766415598947</v>
      </c>
      <c r="AB145" s="345">
        <f>RCoutEsr*Table16[[#This Row],[Irms Cout]]^2</f>
        <v>1.299456383843592E-2</v>
      </c>
      <c r="AC145" s="345">
        <f>Table16[[#This Row],[Cout ESR Loss]]</f>
        <v>1.299456383843592E-2</v>
      </c>
      <c r="AD145" s="345">
        <f>IF(Table16[[#This Row],[Vin]]&gt;Vout, SQRT(Table16[[#This Row],[Duty Cycle BUCK Leg]]*(1-Table16[[#This Row],[Duty Cycle BUCK Leg]]))*SQRT(Table16[[#This Row],[Iout]]^2+(Table16[[#This Row],[Ripple Current pk-pk]]^2)/12), Table16[[#This Row],[Ripple Current pk-pk]]/SQRT(12))</f>
        <v>4.0985731203494131</v>
      </c>
      <c r="AE145" s="345">
        <f>RCinEsr*Table16[[#This Row],[Irms Cin]]^2</f>
        <v>3.3596603245701455E-2</v>
      </c>
      <c r="AF145" s="683">
        <f>Table16[[#This Row],[Cin ESR Loss]]</f>
        <v>3.3596603245701455E-2</v>
      </c>
      <c r="AG145"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6.5482544185010569</v>
      </c>
      <c r="AH145" s="345">
        <f>Rdson1*Table16[[#This Row],[Irms BuCtrl]]^2</f>
        <v>0.15007872575296516</v>
      </c>
      <c r="AI145" s="345">
        <f>CHOOSE(Table16[[#This Row],[Mode Digit]], (Table16[[#This Row],[Vin]]*Table16[[#This Row],[Iout]]/2)*(Fsw)*(Tr_buck+Tf_buck), 0, (Table16[[#This Row],[Vin]]*Table16[[#This Row],[Avg IL]]/2)*(Fsw/1)*(Tr_buck+Tf_buck))</f>
        <v>0.79041794266155485</v>
      </c>
      <c r="AJ145" s="253">
        <f>IF(Table16[[#This Row],[Vin]]&gt;Vout, IF(Table16[[#This Row],[Iout]]&gt;Table16[[#This Row],[Ripple Current pk-pk]]/2,0,ABS(Table16[[#This Row],[Iout]]-Table16[[#This Row],[Ripple Current pk-pk]]/2)*Vsd_Q1*Deadtime*Fsw),0)</f>
        <v>0</v>
      </c>
      <c r="AK145" s="345">
        <f>(Table16[[#This Row],[Dead Time Loss BuCtrl]]+Table16[[#This Row],[Transition Loss BuCtrl]]+Table16[[#This Row],[RDS(on) Loss BuCtrl]]*(1+RdsonTopTc*Ta-RdsonTopTc*25))/(1-Table16[[#This Row],[RDS(on) Loss BuCtrl]]*RdsonTopTc*ThetaJA_Q1)</f>
        <v>0.9786854327043677</v>
      </c>
      <c r="AL145" s="345">
        <f>CHOOSE(Table16[[#This Row],[Mode Digit]],SQRT((Fsw*(Table16[[#This Row],[t2_Ph_I]]+0))*((Table16[[#This Row],[I_0]]*Table16[[#This Row],[I_1]]+((Table16[[#This Row],[I_0]]-Table16[[#This Row],[I_1]])^2)/3))),0,SQRT((Fsw*(Table16[[#This Row],[t3_Ph_III]]+0))*((Table16[[#This Row],[I_0]]*Table16[[#This Row],[I_2]]+((Table16[[#This Row],[I_0]]-Table16[[#This Row],[I_2]])^2)/3))))</f>
        <v>5.2552493746538191</v>
      </c>
      <c r="AM145" s="345">
        <f>Rdson2*Table16[[#This Row],[Irms BuSync]]^2</f>
        <v>9.6661760964297752E-2</v>
      </c>
      <c r="AN145"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45" s="345">
        <f>(Table16[[#This Row],[Deadtime Loss BuSync]]+Table16[[#This Row],[RDS(on) Loss BuSync]]*(1+RdsonBotTc*Ta-RdsonBotTc*25))/(1-Table16[[#This Row],[RDS(on) Loss BuSync]]*RdsonBotTc*ThetaJA_Q2)</f>
        <v>0.34410995218973778</v>
      </c>
      <c r="AP145" s="345">
        <f>CHOOSE(Table16[[#This Row],[Mode Digit]],0,SQRT((Fsw*(Table16[[#This Row],[t1_Ph_II]]+0))*((Table16[[#This Row],[I_0]]*Table16[[#This Row],[I_1]]+((Table16[[#This Row],[I_0]]-Table16[[#This Row],[I_1]])^2)/3))),SQRT((Fsw*(Table16[[#This Row],[t2_Ph_I]]+0))*((Table16[[#This Row],[I_1]]*Table16[[#This Row],[I_2]]+((Table16[[#This Row],[I_1]]-Table16[[#This Row],[I_2]])^2)/3))))</f>
        <v>0</v>
      </c>
      <c r="AQ145" s="345">
        <f>Rdson4*Table16[[#This Row],[Irms BoCtlr]]^2</f>
        <v>0</v>
      </c>
      <c r="AR145" s="345">
        <f>CHOOSE(Table16[[#This Row],[Mode Digit]], 0, (Vout*Table16[[#This Row],[Iin]]/2)*(Fsw)*(Tr_boost+Tf_boost), (Vout*Iout/2)*(Fsw/1)*(Tr_boost+Tf_boost))</f>
        <v>0</v>
      </c>
      <c r="AS145" s="253">
        <f>IF(Table16[[#This Row],[Vin]]&gt;Vout, 0, IF(Table16[[#This Row],[Iin]]&gt;Table16[[#This Row],[Ripple Current pk-pk]]/2,0,ABS(Table16[[#This Row],[Iin]]-Table16[[#This Row],[Ripple Current pk-pk]]/2)*Vsd_Q4*Deadtime*Fsw))</f>
        <v>0</v>
      </c>
      <c r="AT145" s="345">
        <f>(Table16[[#This Row],[Dead Time Loss BoCtlr]]+Table16[[#This Row],[Transition Loss BoCtlr]]+Table16[[#This Row],[RDS(on) Loss BoCtlr]]*(1+RdsonTopTc*Ta-RdsonTopTc*25))/(1-Table16[[#This Row],[RDS(on) Loss BoCtlr]]*RdsonTopTc*ThetaJA_Q4)</f>
        <v>0</v>
      </c>
      <c r="AU145"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8.3962659509580782</v>
      </c>
      <c r="AV145" s="345">
        <f>Rdson3*Table16[[#This Row],[Irms BoSync]]^2</f>
        <v>0.24674048671726284</v>
      </c>
      <c r="AW145"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45" s="345">
        <f>(Table16[[#This Row],[Deadtime Loss BoSync]]+Table16[[#This Row],[RDS(on) Loss BoSync]]*(1+RdsonBotTc*Ta-RdsonBotTc*25))/(1-Table16[[#This Row],[RDS(on) Loss BoSync]]*RdsonBotTc*ThetaJA_Q3)</f>
        <v>0.26365459513047423</v>
      </c>
      <c r="AY145" s="345">
        <f>CHOOSE(Table16[[#This Row],[Mode Digit]], Rdson3*Table16[[#This Row],[Irms Lf]]^2, Rdson1*Table16[[#This Row],[Irms Lf]]^2, 0)</f>
        <v>0.24674048671726284</v>
      </c>
      <c r="AZ145" s="345">
        <f>CHOOSE(Table16[[#This Row],[Mode Digit]], 2*Deadtime*Fsw*IF(VfdSky_Q2&gt;0,VfdSky_Q2,0)*Table16[[#This Row],[Iout]], 2*Deadtime*Fsw*IF(VfdSky_Q3&gt;0,VfdSky_Q3,0)*Table16[[#This Row],[Iin]], 2*Deadtime*Fsw*IF(VfdSky_Q2&gt;0,VfdSky_Q2,0)*Table16[[#This Row],[Iout]]+2*Deadtime*Fsw*IF(VfdSky_Q3&gt;0,VfdSky_Q3,0)*Table16[[#This Row],[Iin]])</f>
        <v>0</v>
      </c>
      <c r="BA145" s="345">
        <f>CHOOSE(Table16[[#This Row],[Mode Digit]], IF(QrrSky_Q2&gt;0,QrrSky_Q2,Qrr_Q2)*Fsw*(Table16[[#This Row],[Vin]]-Table16[[#This Row],[Iout]]*Rdson1),0,  IF(QrrSky_Q2&gt;0,QrrSky_Q2,Qrr_Q2)*Fsw*(Table16[[#This Row],[Vin]]-Table16[[#This Row],[Iout]]*Rdson1)+IF(QrrSky_Q3&gt;0,QrrSky_Q3,Qrr_Q3)*Fsw*Vout)</f>
        <v>0.47232252000000002</v>
      </c>
      <c r="BB145" s="345">
        <f>CHOOSE(Table16[[#This Row],[Mode Digit]],0, IF(QrrSky_Q3&gt;0,QrrSky_Q3,Qrr_Q3)*Fsw*Vout,  IF(QrrSky_Q2&gt;0,QrrSky_Q2,Qrr_Q2)*Fsw*(Table16[[#This Row],[Vin]]-Table16[[#This Row],[Iout]]*Rdson1)+IF(QrrSky_Q3&gt;0,QrrSky_Q3,Qrr_Q3)*Fsw*Vout)</f>
        <v>0</v>
      </c>
      <c r="BC145" s="345">
        <f>CHOOSE(Table16[[#This Row],[Mode Digit]], Rs*Table16[[#This Row],[Irms BuSync]]^2, Rs*Table16[[#This Row],[Irms BoCtlr]]^2, Rs*(Table16[[#This Row],[Irms BuSync]]^2+Table16[[#This Row],[Irms BoCtlr]]^2))</f>
        <v>3.5902939786739162E-2</v>
      </c>
      <c r="BD145" s="345">
        <f t="shared" si="8"/>
        <v>0.64</v>
      </c>
      <c r="BE145" s="345">
        <f>IF(Vout&gt;8, Iq*Vout, Iq*Table16[[#This Row],[Vin]])</f>
        <v>4.8000000000000001E-2</v>
      </c>
      <c r="BF145" s="345">
        <f>CHOOSE(Table16[[#This Row],[Mode Digit]], (Qg_Q1+Qg_Q2)*Fsw, (Qg_Q3+Qg_Q4)*Fsw, (Qg_Q1+Qg_Q2+Qg_Q3+Qg_Q4)*Fsw)*IF(Vout&gt;8, Vout, Table16[[#This Row],[Vin]])</f>
        <v>0.85331200000000007</v>
      </c>
      <c r="BG145" s="345">
        <f t="shared" si="9"/>
        <v>0.50594479787234037</v>
      </c>
      <c r="BH145" s="345">
        <f>Table16[[#This Row],[IQ Loss]]+Table16[[#This Row],[Switching Current Loss]]</f>
        <v>0.90131200000000011</v>
      </c>
      <c r="BI145"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7.2082968397289076</v>
      </c>
      <c r="BJ145" s="253">
        <f>Vout*Table16[[#This Row],[Iout]]</f>
        <v>128</v>
      </c>
      <c r="BK145" s="684">
        <f>Table16[[#This Row],[Pout]]/(Table16[[#This Row],[Pout]]+Table16[[#This Row],[Total Loss]])</f>
        <v>0.94668746661106618</v>
      </c>
      <c r="BL145"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63.6145531257839</v>
      </c>
      <c r="BM145" s="685">
        <f>IF(Table16[[#This Row],[Vin]]&gt;Vout, Table16[[#This Row],[Total Sync Bu MOSFET Loss]]*ThetaJA_Q2, ThetaJA_Q3*Table16[[#This Row],[Total Sync Bo MOSFET Loss]])</f>
        <v>22.367146892332954</v>
      </c>
      <c r="BN145" s="640"/>
      <c r="BO145" s="292">
        <f>Table16[[#This Row],[EFF, h]]*100</f>
        <v>94.668746661106624</v>
      </c>
      <c r="BP145" s="345">
        <f>Table16[[#This Row],[Total Inductor Loss]]</f>
        <v>3.5257182328334511</v>
      </c>
      <c r="BQ145" s="345">
        <f>Table16[[#This Row],[Total Control Bu MOSFET Loss]]+Table16[[#This Row],[Total Sync Bu MOSFET Loss]]+Table16[[#This Row],[Total Control Bo MOSFET Loss]]+Table16[[#This Row],[Total Sync Bo MOSFET Loss]]+Table16[[#This Row],[Reverse Recovery Loss MOSFET D BUCK]]+Table16[[#This Row],[Reverse Recovery Loss MOSFET D BOOST]]</f>
        <v>2.0587725000245798</v>
      </c>
      <c r="BR145" s="345">
        <f>Table16[[#This Row],[Total Control Bu MOSFET Loss]]+Table16[[#This Row],[Reverse Recovery Loss MOSFET D BUCK]]*0.66</f>
        <v>1.2904182959043677</v>
      </c>
      <c r="BS145" s="345">
        <f>Table16[[#This Row],[Total Sync Bu MOSFET Loss]]+Table16[[#This Row],[Reverse Recovery Loss MOSFET D BUCK]]*0.33</f>
        <v>0.4999763837897378</v>
      </c>
      <c r="BT145" s="345">
        <f xml:space="preserve"> Table16[[#This Row],[Total Control Bo MOSFET Loss]]+Table16[[#This Row],[Reverse Recovery Loss MOSFET D BOOST]]*0.66</f>
        <v>0</v>
      </c>
      <c r="BU145" s="345">
        <f xml:space="preserve"> Table16[[#This Row],[Total Sync Bo MOSFET Loss]]+Table16[[#This Row],[Reverse Recovery Loss MOSFET D BOOST]]*0.33</f>
        <v>0.26365459513047423</v>
      </c>
      <c r="BV145" s="345">
        <f>Table16[[#This Row],[Isense Shunt Loss]]</f>
        <v>3.5902939786739162E-2</v>
      </c>
    </row>
    <row r="146" spans="7:74" x14ac:dyDescent="0.2">
      <c r="G146" s="253">
        <v>137</v>
      </c>
      <c r="H146" s="286">
        <f>VIN_min+(VIN_max-VIN_min)*(Table16[[#This Row],[Step]]/200)</f>
        <v>26.55</v>
      </c>
      <c r="I146" s="292" t="str">
        <f>IF(Mode = 2,IF(Table16[[#This Row],[Vin]]&gt;Vout, "BUCK","BOOST"),IF(Table16[[#This Row],[Vin]]&gt;VIN_BB_to_buck, "BUCK", IF(Table16[[#This Row],[Vin]]&lt;=VIN_boost_to_BB,"BOOST","BUCK-BST")))</f>
        <v>BUCK</v>
      </c>
      <c r="J146" s="253">
        <f>IF(Table16[[#This Row],[Mode]]="BOOST",2, IF(Table16[[#This Row],[Mode]]="BUCK", 1,3))</f>
        <v>1</v>
      </c>
      <c r="K146" s="253">
        <f t="shared" si="7"/>
        <v>8</v>
      </c>
      <c r="L146" s="292">
        <f>Vout*Table16[[#This Row],[Iout]]/(Table16[[#This Row],[Vin]]*Efficiency)</f>
        <v>5.0748339775993658</v>
      </c>
      <c r="M146" s="682">
        <f>MIN(1/Fsw,CHOOSE(Table16[[#This Row],[Mode Digit]],(Vout+(Rdson2+Rs+Rdcr)*Table16[[#This Row],[Iout]])/(Table16[[#This Row],[Vin]]+(Rs+Rdson2-Rdson1)*Table16[[#This Row],[Iout]])/Fsw,(Vout+(Rdson3+Rdcr)*Table16[[#This Row],[Iin]]-Table16[[#This Row],[Vin]])/(Vout+(Rdson3-Rdson4-Rs)*Table16[[#This Row],[Iin]])/Fsw,t1_Ph_II))</f>
        <v>1.5196235389988904E-6</v>
      </c>
      <c r="N146" s="518">
        <f>CHOOSE(Table16[[#This Row],[Mode Digit]],1/Fsw-Table16[[#This Row],[t1_Ph_II]],1/Fsw-Table16[[#This Row],[t1_Ph_II]],(Vout/Fsw-Table16[[#This Row],[Vin]]*t1_Ph_II)/(Table16[[#This Row],[Vin]]+Vout))</f>
        <v>9.9293927507146154E-7</v>
      </c>
      <c r="O146" s="518">
        <f>1/Fsw-(Table16[[#This Row],[t1_Ph_II]]+Table16[[#This Row],[t2_Ph_I]])</f>
        <v>0</v>
      </c>
      <c r="P146"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3.5466587954338076</v>
      </c>
      <c r="Q146" s="292">
        <f>CHOOSE(Table16[[#This Row],[Mode Digit]],Table16[[#This Row],[I_0]]+1/Lf*(Table16[[#This Row],[Vin]]-Vout)*Table16[[#This Row],[t1_Ph_II]],Table16[[#This Row],[I_0]]+1/Lf*Table16[[#This Row],[Vin]]*Table16[[#This Row],[t1_Ph_II]],Table16[[#This Row],[I_0]]+(Table16[[#This Row],[Vin]]-Vout)/L*Table16[[#This Row],[t1_Ph_II]])</f>
        <v>12.453341204566193</v>
      </c>
      <c r="R146" s="292">
        <f>CHOOSE(Table16[[#This Row],[Mode Digit]],0,0,Table16[[#This Row],[I_1]]+Table16[[#This Row],[Vin]]/L*Table16[[#This Row],[t2_Ph_I]])</f>
        <v>0</v>
      </c>
      <c r="S146" s="292">
        <f>Fsw*(Table16[[#This Row],[I_0]]*Table16[[#This Row],[t1_Ph_II]]+Table16[[#This Row],[I_1]]*Table16[[#This Row],[t2_Ph_I]]+Table16[[#This Row],[I_2]]*Table16[[#This Row],[t3_Ph_III]])</f>
        <v>7.0664891157308363</v>
      </c>
      <c r="T146" s="345">
        <f>MIN(1,CHOOSE(Table16[[#This Row],[Mode Digit]],(Vout+(Rdson2+Rs+Rdcr)*Table16[[#This Row],[Iout]])/(Table16[[#This Row],[Vin]]+(Rs+Rdson2-Rdson1)*Table16[[#This Row],[Iout]]),1,Fsw*Table16[[#This Row],[t2_Ph_I]]+Table16[[#This Row],[t1_Ph_II]]))</f>
        <v>0.60481016852155833</v>
      </c>
      <c r="U146" s="345">
        <f>MIN(1,CHOOSE(Table16[[#This Row],[Mode Digit]],0,(Vout+(Rdson3+Rdcr)*Table16[[#This Row],[Iin]]-Table16[[#This Row],[Vin]])/(Vout+(Rdson3-Rdson4-Rs)*Table16[[#This Row],[Iin]]),Fsw*Table16[[#This Row],[t1_Ph_II]]+Table16[[#This Row],[t3_Ph_III]]))</f>
        <v>0</v>
      </c>
      <c r="V146" s="292">
        <f>MAX(Table16[[#This Row],[I_0]:[I_2]])-MIN(Table16[[#This Row],[I_0]:[I_1]])</f>
        <v>8.9066824091323866</v>
      </c>
      <c r="W146"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8.4030202483846477</v>
      </c>
      <c r="X146" s="345">
        <f>(Table16[[#This Row],[Irms Lf]]^2*Rdcr*(1+Ltc*Ta-Ltc*25))/(1-Table16[[#This Row],[Irms Lf]]^2*Rdcr*Ltc*ThetaCa)</f>
        <v>0.23011401972233045</v>
      </c>
      <c r="Y146" s="345">
        <f>ABS(7.759*10^-3*Fsw^0.9458*(0.00787*Table16[[#This Row],[Ripple Current pk-pk]])^2.304)</f>
        <v>3.3623779739386306</v>
      </c>
      <c r="Z146" s="345">
        <f>Table16[[#This Row],[DCR    Loss]]+Table16[[#This Row],[Core Loss]]</f>
        <v>3.5924919936609609</v>
      </c>
      <c r="AA146" s="292">
        <f>IF(Table16[[#This Row],[Vin]]&gt;Vout, Table16[[#This Row],[Ripple Current pk-pk]]/SQRT(12), SQRT(Table16[[#This Row],[Duty Cycle BOOST Leg]]/(1-Table16[[#This Row],[Duty Cycle BOOST Leg]]))*SQRT(Table16[[#This Row],[Iout]]^2+(Table16[[#This Row],[Ripple Current pk-pk]]^2)/12))</f>
        <v>2.5711377432495439</v>
      </c>
      <c r="AB146" s="345">
        <f>RCoutEsr*Table16[[#This Row],[Irms Cout]]^2</f>
        <v>1.3221498589524715E-2</v>
      </c>
      <c r="AC146" s="345">
        <f>Table16[[#This Row],[Cout ESR Loss]]</f>
        <v>1.3221498589524715E-2</v>
      </c>
      <c r="AD146" s="345">
        <f>IF(Table16[[#This Row],[Vin]]&gt;Vout, SQRT(Table16[[#This Row],[Duty Cycle BUCK Leg]]*(1-Table16[[#This Row],[Duty Cycle BUCK Leg]]))*SQRT(Table16[[#This Row],[Iout]]^2+(Table16[[#This Row],[Ripple Current pk-pk]]^2)/12), Table16[[#This Row],[Ripple Current pk-pk]]/SQRT(12))</f>
        <v>4.1081645704868475</v>
      </c>
      <c r="AE146" s="345">
        <f>RCinEsr*Table16[[#This Row],[Irms Cin]]^2</f>
        <v>3.3754032276406769E-2</v>
      </c>
      <c r="AF146" s="683">
        <f>Table16[[#This Row],[Cin ESR Loss]]</f>
        <v>3.3754032276406769E-2</v>
      </c>
      <c r="AG146"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6.534990373397557</v>
      </c>
      <c r="AH146" s="345">
        <f>Rdson1*Table16[[#This Row],[Irms BuCtrl]]^2</f>
        <v>0.14947134713139559</v>
      </c>
      <c r="AI146" s="345">
        <f>CHOOSE(Table16[[#This Row],[Mode Digit]], (Table16[[#This Row],[Vin]]*Table16[[#This Row],[Iout]]/2)*(Fsw)*(Tr_buck+Tf_buck), 0, (Table16[[#This Row],[Vin]]*Table16[[#This Row],[Avg IL]]/2)*(Fsw/1)*(Tr_buck+Tf_buck))</f>
        <v>0.79490895369940451</v>
      </c>
      <c r="AJ146" s="253">
        <f>IF(Table16[[#This Row],[Vin]]&gt;Vout, IF(Table16[[#This Row],[Iout]]&gt;Table16[[#This Row],[Ripple Current pk-pk]]/2,0,ABS(Table16[[#This Row],[Iout]]-Table16[[#This Row],[Ripple Current pk-pk]]/2)*Vsd_Q1*Deadtime*Fsw),0)</f>
        <v>0</v>
      </c>
      <c r="AK146" s="345">
        <f>(Table16[[#This Row],[Dead Time Loss BuCtrl]]+Table16[[#This Row],[Transition Loss BuCtrl]]+Table16[[#This Row],[RDS(on) Loss BuCtrl]]*(1+RdsonTopTc*Ta-RdsonTopTc*25))/(1-Table16[[#This Row],[RDS(on) Loss BuCtrl]]*RdsonTopTc*ThetaJA_Q1)</f>
        <v>0.98256529394472314</v>
      </c>
      <c r="AL146" s="345">
        <f>CHOOSE(Table16[[#This Row],[Mode Digit]],SQRT((Fsw*(Table16[[#This Row],[t2_Ph_I]]+0))*((Table16[[#This Row],[I_0]]*Table16[[#This Row],[I_1]]+((Table16[[#This Row],[I_0]]-Table16[[#This Row],[I_1]])^2)/3))),0,SQRT((Fsw*(Table16[[#This Row],[t3_Ph_III]]+0))*((Table16[[#This Row],[I_0]]*Table16[[#This Row],[I_2]]+((Table16[[#This Row],[I_0]]-Table16[[#This Row],[I_2]])^2)/3))))</f>
        <v>5.2824852214051328</v>
      </c>
      <c r="AM146" s="345">
        <f>Rdson2*Table16[[#This Row],[Irms BuSync]]^2</f>
        <v>9.7666275400272715E-2</v>
      </c>
      <c r="AN146"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46" s="345">
        <f>(Table16[[#This Row],[Deadtime Loss BuSync]]+Table16[[#This Row],[RDS(on) Loss BuSync]]*(1+RdsonBotTc*Ta-RdsonBotTc*25))/(1-Table16[[#This Row],[RDS(on) Loss BuSync]]*RdsonBotTc*ThetaJA_Q2)</f>
        <v>0.34523285319888625</v>
      </c>
      <c r="AP146" s="345">
        <f>CHOOSE(Table16[[#This Row],[Mode Digit]],0,SQRT((Fsw*(Table16[[#This Row],[t1_Ph_II]]+0))*((Table16[[#This Row],[I_0]]*Table16[[#This Row],[I_1]]+((Table16[[#This Row],[I_0]]-Table16[[#This Row],[I_1]])^2)/3))),SQRT((Fsw*(Table16[[#This Row],[t2_Ph_I]]+0))*((Table16[[#This Row],[I_1]]*Table16[[#This Row],[I_2]]+((Table16[[#This Row],[I_1]]-Table16[[#This Row],[I_2]])^2)/3))))</f>
        <v>0</v>
      </c>
      <c r="AQ146" s="345">
        <f>Rdson4*Table16[[#This Row],[Irms BoCtlr]]^2</f>
        <v>0</v>
      </c>
      <c r="AR146" s="345">
        <f>CHOOSE(Table16[[#This Row],[Mode Digit]], 0, (Vout*Table16[[#This Row],[Iin]]/2)*(Fsw)*(Tr_boost+Tf_boost), (Vout*Iout/2)*(Fsw/1)*(Tr_boost+Tf_boost))</f>
        <v>0</v>
      </c>
      <c r="AS146" s="253">
        <f>IF(Table16[[#This Row],[Vin]]&gt;Vout, 0, IF(Table16[[#This Row],[Iin]]&gt;Table16[[#This Row],[Ripple Current pk-pk]]/2,0,ABS(Table16[[#This Row],[Iin]]-Table16[[#This Row],[Ripple Current pk-pk]]/2)*Vsd_Q4*Deadtime*Fsw))</f>
        <v>0</v>
      </c>
      <c r="AT146" s="345">
        <f>(Table16[[#This Row],[Dead Time Loss BoCtlr]]+Table16[[#This Row],[Transition Loss BoCtlr]]+Table16[[#This Row],[RDS(on) Loss BoCtlr]]*(1+RdsonTopTc*Ta-RdsonTopTc*25))/(1-Table16[[#This Row],[RDS(on) Loss BoCtlr]]*RdsonTopTc*ThetaJA_Q4)</f>
        <v>0</v>
      </c>
      <c r="AU146"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8.4030202483846477</v>
      </c>
      <c r="AV146" s="345">
        <f>Rdson3*Table16[[#This Row],[Irms BoSync]]^2</f>
        <v>0.24713762253166835</v>
      </c>
      <c r="AW146"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46" s="345">
        <f>(Table16[[#This Row],[Deadtime Loss BoSync]]+Table16[[#This Row],[RDS(on) Loss BoSync]]*(1+RdsonBotTc*Ta-RdsonBotTc*25))/(1-Table16[[#This Row],[RDS(on) Loss BoSync]]*RdsonBotTc*ThetaJA_Q3)</f>
        <v>0.26410809464838897</v>
      </c>
      <c r="AY146" s="345">
        <f>CHOOSE(Table16[[#This Row],[Mode Digit]], Rdson3*Table16[[#This Row],[Irms Lf]]^2, Rdson1*Table16[[#This Row],[Irms Lf]]^2, 0)</f>
        <v>0.24713762253166835</v>
      </c>
      <c r="AZ146" s="345">
        <f>CHOOSE(Table16[[#This Row],[Mode Digit]], 2*Deadtime*Fsw*IF(VfdSky_Q2&gt;0,VfdSky_Q2,0)*Table16[[#This Row],[Iout]], 2*Deadtime*Fsw*IF(VfdSky_Q3&gt;0,VfdSky_Q3,0)*Table16[[#This Row],[Iin]], 2*Deadtime*Fsw*IF(VfdSky_Q2&gt;0,VfdSky_Q2,0)*Table16[[#This Row],[Iout]]+2*Deadtime*Fsw*IF(VfdSky_Q3&gt;0,VfdSky_Q3,0)*Table16[[#This Row],[Iin]])</f>
        <v>0</v>
      </c>
      <c r="BA146" s="345">
        <f>CHOOSE(Table16[[#This Row],[Mode Digit]], IF(QrrSky_Q2&gt;0,QrrSky_Q2,Qrr_Q2)*Fsw*(Table16[[#This Row],[Vin]]-Table16[[#This Row],[Iout]]*Rdson1),0,  IF(QrrSky_Q2&gt;0,QrrSky_Q2,Qrr_Q2)*Fsw*(Table16[[#This Row],[Vin]]-Table16[[#This Row],[Iout]]*Rdson1)+IF(QrrSky_Q3&gt;0,QrrSky_Q3,Qrr_Q3)*Fsw*Vout)</f>
        <v>0.47500902</v>
      </c>
      <c r="BB146" s="345">
        <f>CHOOSE(Table16[[#This Row],[Mode Digit]],0, IF(QrrSky_Q3&gt;0,QrrSky_Q3,Qrr_Q3)*Fsw*Vout,  IF(QrrSky_Q2&gt;0,QrrSky_Q2,Qrr_Q2)*Fsw*(Table16[[#This Row],[Vin]]-Table16[[#This Row],[Iout]]*Rdson1)+IF(QrrSky_Q3&gt;0,QrrSky_Q3,Qrr_Q3)*Fsw*Vout)</f>
        <v>0</v>
      </c>
      <c r="BC146" s="345">
        <f>CHOOSE(Table16[[#This Row],[Mode Digit]], Rs*Table16[[#This Row],[Irms BuSync]]^2, Rs*Table16[[#This Row],[Irms BoCtlr]]^2, Rs*(Table16[[#This Row],[Irms BuSync]]^2+Table16[[#This Row],[Irms BoCtlr]]^2))</f>
        <v>3.627604514867272E-2</v>
      </c>
      <c r="BD146" s="345">
        <f t="shared" si="8"/>
        <v>0.64</v>
      </c>
      <c r="BE146" s="345">
        <f>IF(Vout&gt;8, Iq*Vout, Iq*Table16[[#This Row],[Vin]])</f>
        <v>4.8000000000000001E-2</v>
      </c>
      <c r="BF146" s="345">
        <f>CHOOSE(Table16[[#This Row],[Mode Digit]], (Qg_Q1+Qg_Q2)*Fsw, (Qg_Q3+Qg_Q4)*Fsw, (Qg_Q1+Qg_Q2+Qg_Q3+Qg_Q4)*Fsw)*IF(Vout&gt;8, Vout, Table16[[#This Row],[Vin]])</f>
        <v>0.85331200000000007</v>
      </c>
      <c r="BG146" s="345">
        <f t="shared" si="9"/>
        <v>0.50594479787234037</v>
      </c>
      <c r="BH146" s="345">
        <f>Table16[[#This Row],[IQ Loss]]+Table16[[#This Row],[Switching Current Loss]]</f>
        <v>0.90131200000000011</v>
      </c>
      <c r="BI146"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7.2839708314675624</v>
      </c>
      <c r="BJ146" s="253">
        <f>Vout*Table16[[#This Row],[Iout]]</f>
        <v>128</v>
      </c>
      <c r="BK146" s="684">
        <f>Table16[[#This Row],[Pout]]/(Table16[[#This Row],[Pout]]+Table16[[#This Row],[Total Loss]])</f>
        <v>0.94615791666448268</v>
      </c>
      <c r="BL146"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63.866744106407005</v>
      </c>
      <c r="BM146" s="685">
        <f>IF(Table16[[#This Row],[Vin]]&gt;Vout, Table16[[#This Row],[Total Sync Bu MOSFET Loss]]*ThetaJA_Q2, ThetaJA_Q3*Table16[[#This Row],[Total Sync Bo MOSFET Loss]])</f>
        <v>22.440135457927607</v>
      </c>
      <c r="BN146" s="640"/>
      <c r="BO146" s="292">
        <f>Table16[[#This Row],[EFF, h]]*100</f>
        <v>94.615791666448274</v>
      </c>
      <c r="BP146" s="345">
        <f>Table16[[#This Row],[Total Inductor Loss]]</f>
        <v>3.5924919936609609</v>
      </c>
      <c r="BQ146" s="345">
        <f>Table16[[#This Row],[Total Control Bu MOSFET Loss]]+Table16[[#This Row],[Total Sync Bu MOSFET Loss]]+Table16[[#This Row],[Total Control Bo MOSFET Loss]]+Table16[[#This Row],[Total Sync Bo MOSFET Loss]]+Table16[[#This Row],[Reverse Recovery Loss MOSFET D BUCK]]+Table16[[#This Row],[Reverse Recovery Loss MOSFET D BOOST]]</f>
        <v>2.0669152617919981</v>
      </c>
      <c r="BR146" s="345">
        <f>Table16[[#This Row],[Total Control Bu MOSFET Loss]]+Table16[[#This Row],[Reverse Recovery Loss MOSFET D BUCK]]*0.66</f>
        <v>1.2960712471447231</v>
      </c>
      <c r="BS146" s="345">
        <f>Table16[[#This Row],[Total Sync Bu MOSFET Loss]]+Table16[[#This Row],[Reverse Recovery Loss MOSFET D BUCK]]*0.33</f>
        <v>0.50198582979888628</v>
      </c>
      <c r="BT146" s="345">
        <f xml:space="preserve"> Table16[[#This Row],[Total Control Bo MOSFET Loss]]+Table16[[#This Row],[Reverse Recovery Loss MOSFET D BOOST]]*0.66</f>
        <v>0</v>
      </c>
      <c r="BU146" s="345">
        <f xml:space="preserve"> Table16[[#This Row],[Total Sync Bo MOSFET Loss]]+Table16[[#This Row],[Reverse Recovery Loss MOSFET D BOOST]]*0.33</f>
        <v>0.26410809464838897</v>
      </c>
      <c r="BV146" s="345">
        <f>Table16[[#This Row],[Isense Shunt Loss]]</f>
        <v>3.627604514867272E-2</v>
      </c>
    </row>
    <row r="147" spans="7:74" x14ac:dyDescent="0.2">
      <c r="G147" s="253">
        <v>138</v>
      </c>
      <c r="H147" s="286">
        <f>VIN_min+(VIN_max-VIN_min)*(Table16[[#This Row],[Step]]/200)</f>
        <v>26.7</v>
      </c>
      <c r="I147" s="292" t="str">
        <f>IF(Mode = 2,IF(Table16[[#This Row],[Vin]]&gt;Vout, "BUCK","BOOST"),IF(Table16[[#This Row],[Vin]]&gt;VIN_BB_to_buck, "BUCK", IF(Table16[[#This Row],[Vin]]&lt;=VIN_boost_to_BB,"BOOST","BUCK-BST")))</f>
        <v>BUCK</v>
      </c>
      <c r="J147" s="253">
        <f>IF(Table16[[#This Row],[Mode]]="BOOST",2, IF(Table16[[#This Row],[Mode]]="BUCK", 1,3))</f>
        <v>1</v>
      </c>
      <c r="K147" s="253">
        <f t="shared" si="7"/>
        <v>8</v>
      </c>
      <c r="L147" s="292">
        <f>Vout*Table16[[#This Row],[Iout]]/(Table16[[#This Row],[Vin]]*Efficiency)</f>
        <v>5.0463236743544257</v>
      </c>
      <c r="M147" s="682">
        <f>MIN(1/Fsw,CHOOSE(Table16[[#This Row],[Mode Digit]],(Vout+(Rdson2+Rs+Rdcr)*Table16[[#This Row],[Iout]])/(Table16[[#This Row],[Vin]]+(Rs+Rdson2-Rdson1)*Table16[[#This Row],[Iout]])/Fsw,(Vout+(Rdson3+Rdcr)*Table16[[#This Row],[Iin]]-Table16[[#This Row],[Vin]])/(Vout+(Rdson3-Rdson4-Rs)*Table16[[#This Row],[Iin]])/Fsw,t1_Ph_II))</f>
        <v>1.5110896521664271E-6</v>
      </c>
      <c r="N147" s="518">
        <f>CHOOSE(Table16[[#This Row],[Mode Digit]],1/Fsw-Table16[[#This Row],[t1_Ph_II]],1/Fsw-Table16[[#This Row],[t1_Ph_II]],(Vout/Fsw-Table16[[#This Row],[Vin]]*t1_Ph_II)/(Table16[[#This Row],[Vin]]+Vout))</f>
        <v>1.0014731619039248E-6</v>
      </c>
      <c r="O147" s="518">
        <f>1/Fsw-(Table16[[#This Row],[t1_Ph_II]]+Table16[[#This Row],[t2_Ph_I]])</f>
        <v>0</v>
      </c>
      <c r="P147"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3.5087057560608983</v>
      </c>
      <c r="Q147" s="292">
        <f>CHOOSE(Table16[[#This Row],[Mode Digit]],Table16[[#This Row],[I_0]]+1/Lf*(Table16[[#This Row],[Vin]]-Vout)*Table16[[#This Row],[t1_Ph_II]],Table16[[#This Row],[I_0]]+1/Lf*Table16[[#This Row],[Vin]]*Table16[[#This Row],[t1_Ph_II]],Table16[[#This Row],[I_0]]+(Table16[[#This Row],[Vin]]-Vout)/L*Table16[[#This Row],[t1_Ph_II]])</f>
        <v>12.491294243939102</v>
      </c>
      <c r="R147" s="292">
        <f>CHOOSE(Table16[[#This Row],[Mode Digit]],0,0,Table16[[#This Row],[I_1]]+Table16[[#This Row],[Vin]]/L*Table16[[#This Row],[t2_Ph_I]])</f>
        <v>0</v>
      </c>
      <c r="S147" s="292">
        <f>Fsw*(Table16[[#This Row],[I_0]]*Table16[[#This Row],[t1_Ph_II]]+Table16[[#This Row],[I_1]]*Table16[[#This Row],[t2_Ph_I]]+Table16[[#This Row],[I_2]]*Table16[[#This Row],[t3_Ph_III]])</f>
        <v>7.0890426314856958</v>
      </c>
      <c r="T147" s="345">
        <f>MIN(1,CHOOSE(Table16[[#This Row],[Mode Digit]],(Vout+(Rdson2+Rs+Rdcr)*Table16[[#This Row],[Iout]])/(Table16[[#This Row],[Vin]]+(Rs+Rdson2-Rdson1)*Table16[[#This Row],[Iout]]),1,Fsw*Table16[[#This Row],[t2_Ph_I]]+Table16[[#This Row],[t1_Ph_II]]))</f>
        <v>0.60141368156223796</v>
      </c>
      <c r="U147" s="345">
        <f>MIN(1,CHOOSE(Table16[[#This Row],[Mode Digit]],0,(Vout+(Rdson3+Rdcr)*Table16[[#This Row],[Iin]]-Table16[[#This Row],[Vin]])/(Vout+(Rdson3-Rdson4-Rs)*Table16[[#This Row],[Iin]]),Fsw*Table16[[#This Row],[t1_Ph_II]]+Table16[[#This Row],[t3_Ph_III]]))</f>
        <v>0</v>
      </c>
      <c r="V147" s="292">
        <f>MAX(Table16[[#This Row],[I_0]:[I_2]])-MIN(Table16[[#This Row],[I_0]:[I_1]])</f>
        <v>8.9825884878782034</v>
      </c>
      <c r="W147"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8.409750768911854</v>
      </c>
      <c r="X147" s="345">
        <f>(Table16[[#This Row],[Irms Lf]]^2*Rdcr*(1+Ltc*Ta-Ltc*25))/(1-Table16[[#This Row],[Irms Lf]]^2*Rdcr*Ltc*ThetaCa)</f>
        <v>0.2304895935352865</v>
      </c>
      <c r="Y147" s="345">
        <f>ABS(7.759*10^-3*Fsw^0.9458*(0.00787*Table16[[#This Row],[Ripple Current pk-pk]])^2.304)</f>
        <v>3.4287672880497038</v>
      </c>
      <c r="Z147" s="345">
        <f>Table16[[#This Row],[DCR    Loss]]+Table16[[#This Row],[Core Loss]]</f>
        <v>3.6592568815849904</v>
      </c>
      <c r="AA147" s="292">
        <f>IF(Table16[[#This Row],[Vin]]&gt;Vout, Table16[[#This Row],[Ripple Current pk-pk]]/SQRT(12), SQRT(Table16[[#This Row],[Duty Cycle BOOST Leg]]/(1-Table16[[#This Row],[Duty Cycle BOOST Leg]]))*SQRT(Table16[[#This Row],[Iout]]^2+(Table16[[#This Row],[Ripple Current pk-pk]]^2)/12))</f>
        <v>2.5930499407480574</v>
      </c>
      <c r="AB147" s="345">
        <f>RCoutEsr*Table16[[#This Row],[Irms Cout]]^2</f>
        <v>1.3447815990427008E-2</v>
      </c>
      <c r="AC147" s="345">
        <f>Table16[[#This Row],[Cout ESR Loss]]</f>
        <v>1.3447815990427008E-2</v>
      </c>
      <c r="AD147" s="345">
        <f>IF(Table16[[#This Row],[Vin]]&gt;Vout, SQRT(Table16[[#This Row],[Duty Cycle BUCK Leg]]*(1-Table16[[#This Row],[Duty Cycle BUCK Leg]]))*SQRT(Table16[[#This Row],[Iout]]^2+(Table16[[#This Row],[Ripple Current pk-pk]]^2)/12), Table16[[#This Row],[Ripple Current pk-pk]]/SQRT(12))</f>
        <v>4.1174749981617031</v>
      </c>
      <c r="AE147" s="345">
        <f>RCinEsr*Table16[[#This Row],[Irms Cin]]^2</f>
        <v>3.3907200720973439E-2</v>
      </c>
      <c r="AF147" s="683">
        <f>Table16[[#This Row],[Cin ESR Loss]]</f>
        <v>3.3907200720973439E-2</v>
      </c>
      <c r="AG147"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6.521834548796094</v>
      </c>
      <c r="AH147" s="345">
        <f>Rdson1*Table16[[#This Row],[Irms BuCtrl]]^2</f>
        <v>0.14887014058654624</v>
      </c>
      <c r="AI147" s="345">
        <f>CHOOSE(Table16[[#This Row],[Mode Digit]], (Table16[[#This Row],[Vin]]*Table16[[#This Row],[Iout]]/2)*(Fsw)*(Tr_buck+Tf_buck), 0, (Table16[[#This Row],[Vin]]*Table16[[#This Row],[Avg IL]]/2)*(Fsw/1)*(Tr_buck+Tf_buck))</f>
        <v>0.79939996473725428</v>
      </c>
      <c r="AJ147" s="253">
        <f>IF(Table16[[#This Row],[Vin]]&gt;Vout, IF(Table16[[#This Row],[Iout]]&gt;Table16[[#This Row],[Ripple Current pk-pk]]/2,0,ABS(Table16[[#This Row],[Iout]]-Table16[[#This Row],[Ripple Current pk-pk]]/2)*Vsd_Q1*Deadtime*Fsw),0)</f>
        <v>0</v>
      </c>
      <c r="AK147" s="345">
        <f>(Table16[[#This Row],[Dead Time Loss BuCtrl]]+Table16[[#This Row],[Transition Loss BuCtrl]]+Table16[[#This Row],[RDS(on) Loss BuCtrl]]*(1+RdsonTopTc*Ta-RdsonTopTc*25))/(1-Table16[[#This Row],[RDS(on) Loss BuCtrl]]*RdsonTopTc*ThetaJA_Q1)</f>
        <v>0.98645194776153489</v>
      </c>
      <c r="AL147" s="345">
        <f>CHOOSE(Table16[[#This Row],[Mode Digit]],SQRT((Fsw*(Table16[[#This Row],[t2_Ph_I]]+0))*((Table16[[#This Row],[I_0]]*Table16[[#This Row],[I_1]]+((Table16[[#This Row],[I_0]]-Table16[[#This Row],[I_1]])^2)/3))),0,SQRT((Fsw*(Table16[[#This Row],[t3_Ph_III]]+0))*((Table16[[#This Row],[I_0]]*Table16[[#This Row],[I_2]]+((Table16[[#This Row],[I_0]]-Table16[[#This Row],[I_2]])^2)/3))))</f>
        <v>5.3093862275542882</v>
      </c>
      <c r="AM147" s="345">
        <f>Rdson2*Table16[[#This Row],[Irms BuSync]]^2</f>
        <v>9.8663537396701056E-2</v>
      </c>
      <c r="AN147"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47" s="345">
        <f>(Table16[[#This Row],[Deadtime Loss BuSync]]+Table16[[#This Row],[RDS(on) Loss BuSync]]*(1+RdsonBotTc*Ta-RdsonBotTc*25))/(1-Table16[[#This Row],[RDS(on) Loss BuSync]]*RdsonBotTc*ThetaJA_Q2)</f>
        <v>0.34634824251899521</v>
      </c>
      <c r="AP147" s="345">
        <f>CHOOSE(Table16[[#This Row],[Mode Digit]],0,SQRT((Fsw*(Table16[[#This Row],[t1_Ph_II]]+0))*((Table16[[#This Row],[I_0]]*Table16[[#This Row],[I_1]]+((Table16[[#This Row],[I_0]]-Table16[[#This Row],[I_1]])^2)/3))),SQRT((Fsw*(Table16[[#This Row],[t2_Ph_I]]+0))*((Table16[[#This Row],[I_1]]*Table16[[#This Row],[I_2]]+((Table16[[#This Row],[I_1]]-Table16[[#This Row],[I_2]])^2)/3))))</f>
        <v>0</v>
      </c>
      <c r="AQ147" s="345">
        <f>Rdson4*Table16[[#This Row],[Irms BoCtlr]]^2</f>
        <v>0</v>
      </c>
      <c r="AR147" s="345">
        <f>CHOOSE(Table16[[#This Row],[Mode Digit]], 0, (Vout*Table16[[#This Row],[Iin]]/2)*(Fsw)*(Tr_boost+Tf_boost), (Vout*Iout/2)*(Fsw/1)*(Tr_boost+Tf_boost))</f>
        <v>0</v>
      </c>
      <c r="AS147" s="253">
        <f>IF(Table16[[#This Row],[Vin]]&gt;Vout, 0, IF(Table16[[#This Row],[Iin]]&gt;Table16[[#This Row],[Ripple Current pk-pk]]/2,0,ABS(Table16[[#This Row],[Iin]]-Table16[[#This Row],[Ripple Current pk-pk]]/2)*Vsd_Q4*Deadtime*Fsw))</f>
        <v>0</v>
      </c>
      <c r="AT147" s="345">
        <f>(Table16[[#This Row],[Dead Time Loss BoCtlr]]+Table16[[#This Row],[Transition Loss BoCtlr]]+Table16[[#This Row],[RDS(on) Loss BoCtlr]]*(1+RdsonTopTc*Ta-RdsonTopTc*25))/(1-Table16[[#This Row],[RDS(on) Loss BoCtlr]]*RdsonTopTc*ThetaJA_Q4)</f>
        <v>0</v>
      </c>
      <c r="AU147"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8.409750768911854</v>
      </c>
      <c r="AV147" s="345">
        <f>Rdson3*Table16[[#This Row],[Irms BoSync]]^2</f>
        <v>0.24753367798324732</v>
      </c>
      <c r="AW147"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47" s="345">
        <f>(Table16[[#This Row],[Deadtime Loss BoSync]]+Table16[[#This Row],[RDS(on) Loss BoSync]]*(1+RdsonBotTc*Ta-RdsonBotTc*25))/(1-Table16[[#This Row],[RDS(on) Loss BoSync]]*RdsonBotTc*ThetaJA_Q3)</f>
        <v>0.26456046015877843</v>
      </c>
      <c r="AY147" s="345">
        <f>CHOOSE(Table16[[#This Row],[Mode Digit]], Rdson3*Table16[[#This Row],[Irms Lf]]^2, Rdson1*Table16[[#This Row],[Irms Lf]]^2, 0)</f>
        <v>0.24753367798324732</v>
      </c>
      <c r="AZ147" s="345">
        <f>CHOOSE(Table16[[#This Row],[Mode Digit]], 2*Deadtime*Fsw*IF(VfdSky_Q2&gt;0,VfdSky_Q2,0)*Table16[[#This Row],[Iout]], 2*Deadtime*Fsw*IF(VfdSky_Q3&gt;0,VfdSky_Q3,0)*Table16[[#This Row],[Iin]], 2*Deadtime*Fsw*IF(VfdSky_Q2&gt;0,VfdSky_Q2,0)*Table16[[#This Row],[Iout]]+2*Deadtime*Fsw*IF(VfdSky_Q3&gt;0,VfdSky_Q3,0)*Table16[[#This Row],[Iin]])</f>
        <v>0</v>
      </c>
      <c r="BA147" s="345">
        <f>CHOOSE(Table16[[#This Row],[Mode Digit]], IF(QrrSky_Q2&gt;0,QrrSky_Q2,Qrr_Q2)*Fsw*(Table16[[#This Row],[Vin]]-Table16[[#This Row],[Iout]]*Rdson1),0,  IF(QrrSky_Q2&gt;0,QrrSky_Q2,Qrr_Q2)*Fsw*(Table16[[#This Row],[Vin]]-Table16[[#This Row],[Iout]]*Rdson1)+IF(QrrSky_Q3&gt;0,QrrSky_Q3,Qrr_Q3)*Fsw*Vout)</f>
        <v>0.47769551999999998</v>
      </c>
      <c r="BB147" s="345">
        <f>CHOOSE(Table16[[#This Row],[Mode Digit]],0, IF(QrrSky_Q3&gt;0,QrrSky_Q3,Qrr_Q3)*Fsw*Vout,  IF(QrrSky_Q2&gt;0,QrrSky_Q2,Qrr_Q2)*Fsw*(Table16[[#This Row],[Vin]]-Table16[[#This Row],[Iout]]*Rdson1)+IF(QrrSky_Q3&gt;0,QrrSky_Q3,Qrr_Q3)*Fsw*Vout)</f>
        <v>0</v>
      </c>
      <c r="BC147" s="345">
        <f>CHOOSE(Table16[[#This Row],[Mode Digit]], Rs*Table16[[#This Row],[Irms BuSync]]^2, Rs*Table16[[#This Row],[Irms BoCtlr]]^2, Rs*(Table16[[#This Row],[Irms BuSync]]^2+Table16[[#This Row],[Irms BoCtlr]]^2))</f>
        <v>3.6646456747346103E-2</v>
      </c>
      <c r="BD147" s="345">
        <f t="shared" si="8"/>
        <v>0.64</v>
      </c>
      <c r="BE147" s="345">
        <f>IF(Vout&gt;8, Iq*Vout, Iq*Table16[[#This Row],[Vin]])</f>
        <v>4.8000000000000001E-2</v>
      </c>
      <c r="BF147" s="345">
        <f>CHOOSE(Table16[[#This Row],[Mode Digit]], (Qg_Q1+Qg_Q2)*Fsw, (Qg_Q3+Qg_Q4)*Fsw, (Qg_Q1+Qg_Q2+Qg_Q3+Qg_Q4)*Fsw)*IF(Vout&gt;8, Vout, Table16[[#This Row],[Vin]])</f>
        <v>0.85331200000000007</v>
      </c>
      <c r="BG147" s="345">
        <f t="shared" si="9"/>
        <v>0.50594479787234037</v>
      </c>
      <c r="BH147" s="345">
        <f>Table16[[#This Row],[IQ Loss]]+Table16[[#This Row],[Switching Current Loss]]</f>
        <v>0.90131200000000011</v>
      </c>
      <c r="BI147"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7.3596265254830442</v>
      </c>
      <c r="BJ147" s="253">
        <f>Vout*Table16[[#This Row],[Iout]]</f>
        <v>128</v>
      </c>
      <c r="BK147" s="684">
        <f>Table16[[#This Row],[Pout]]/(Table16[[#This Row],[Pout]]+Table16[[#This Row],[Total Loss]])</f>
        <v>0.94562908664573253</v>
      </c>
      <c r="BL147"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64.119376604499763</v>
      </c>
      <c r="BM147" s="685">
        <f>IF(Table16[[#This Row],[Vin]]&gt;Vout, Table16[[#This Row],[Total Sync Bu MOSFET Loss]]*ThetaJA_Q2, ThetaJA_Q3*Table16[[#This Row],[Total Sync Bo MOSFET Loss]])</f>
        <v>22.512635763734689</v>
      </c>
      <c r="BN147" s="640"/>
      <c r="BO147" s="292">
        <f>Table16[[#This Row],[EFF, h]]*100</f>
        <v>94.562908664573257</v>
      </c>
      <c r="BP147" s="345">
        <f>Table16[[#This Row],[Total Inductor Loss]]</f>
        <v>3.6592568815849904</v>
      </c>
      <c r="BQ147" s="345">
        <f>Table16[[#This Row],[Total Control Bu MOSFET Loss]]+Table16[[#This Row],[Total Sync Bu MOSFET Loss]]+Table16[[#This Row],[Total Control Bo MOSFET Loss]]+Table16[[#This Row],[Total Sync Bo MOSFET Loss]]+Table16[[#This Row],[Reverse Recovery Loss MOSFET D BUCK]]+Table16[[#This Row],[Reverse Recovery Loss MOSFET D BOOST]]</f>
        <v>2.0750561704393089</v>
      </c>
      <c r="BR147" s="345">
        <f>Table16[[#This Row],[Total Control Bu MOSFET Loss]]+Table16[[#This Row],[Reverse Recovery Loss MOSFET D BUCK]]*0.66</f>
        <v>1.3017309909615349</v>
      </c>
      <c r="BS147" s="345">
        <f>Table16[[#This Row],[Total Sync Bu MOSFET Loss]]+Table16[[#This Row],[Reverse Recovery Loss MOSFET D BUCK]]*0.33</f>
        <v>0.50398776411899515</v>
      </c>
      <c r="BT147" s="345">
        <f xml:space="preserve"> Table16[[#This Row],[Total Control Bo MOSFET Loss]]+Table16[[#This Row],[Reverse Recovery Loss MOSFET D BOOST]]*0.66</f>
        <v>0</v>
      </c>
      <c r="BU147" s="345">
        <f xml:space="preserve"> Table16[[#This Row],[Total Sync Bo MOSFET Loss]]+Table16[[#This Row],[Reverse Recovery Loss MOSFET D BOOST]]*0.33</f>
        <v>0.26456046015877843</v>
      </c>
      <c r="BV147" s="345">
        <f>Table16[[#This Row],[Isense Shunt Loss]]</f>
        <v>3.6646456747346103E-2</v>
      </c>
    </row>
    <row r="148" spans="7:74" x14ac:dyDescent="0.2">
      <c r="G148" s="253">
        <v>139</v>
      </c>
      <c r="H148" s="286">
        <f>VIN_min+(VIN_max-VIN_min)*(Table16[[#This Row],[Step]]/200)</f>
        <v>26.849999999999998</v>
      </c>
      <c r="I148" s="292" t="str">
        <f>IF(Mode = 2,IF(Table16[[#This Row],[Vin]]&gt;Vout, "BUCK","BOOST"),IF(Table16[[#This Row],[Vin]]&gt;VIN_BB_to_buck, "BUCK", IF(Table16[[#This Row],[Vin]]&lt;=VIN_boost_to_BB,"BOOST","BUCK-BST")))</f>
        <v>BUCK</v>
      </c>
      <c r="J148" s="253">
        <f>IF(Table16[[#This Row],[Mode]]="BOOST",2, IF(Table16[[#This Row],[Mode]]="BUCK", 1,3))</f>
        <v>1</v>
      </c>
      <c r="K148" s="253">
        <f t="shared" si="7"/>
        <v>8</v>
      </c>
      <c r="L148" s="292">
        <f>Vout*Table16[[#This Row],[Iout]]/(Table16[[#This Row],[Vin]]*Efficiency)</f>
        <v>5.0181319219837306</v>
      </c>
      <c r="M148" s="682">
        <f>MIN(1/Fsw,CHOOSE(Table16[[#This Row],[Mode Digit]],(Vout+(Rdson2+Rs+Rdcr)*Table16[[#This Row],[Iout]])/(Table16[[#This Row],[Vin]]+(Rs+Rdson2-Rdson1)*Table16[[#This Row],[Iout]])/Fsw,(Vout+(Rdson3+Rdcr)*Table16[[#This Row],[Iin]]-Table16[[#This Row],[Vin]])/(Vout+(Rdson3-Rdson4-Rs)*Table16[[#This Row],[Iin]])/Fsw,t1_Ph_II))</f>
        <v>1.5026510791062729E-6</v>
      </c>
      <c r="N148" s="518">
        <f>CHOOSE(Table16[[#This Row],[Mode Digit]],1/Fsw-Table16[[#This Row],[t1_Ph_II]],1/Fsw-Table16[[#This Row],[t1_Ph_II]],(Vout/Fsw-Table16[[#This Row],[Vin]]*t1_Ph_II)/(Table16[[#This Row],[Vin]]+Vout))</f>
        <v>1.009911734964079E-6</v>
      </c>
      <c r="O148" s="518">
        <f>1/Fsw-(Table16[[#This Row],[t1_Ph_II]]+Table16[[#This Row],[t2_Ph_I]])</f>
        <v>0</v>
      </c>
      <c r="P148"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3.4711766088047069</v>
      </c>
      <c r="Q148" s="292">
        <f>CHOOSE(Table16[[#This Row],[Mode Digit]],Table16[[#This Row],[I_0]]+1/Lf*(Table16[[#This Row],[Vin]]-Vout)*Table16[[#This Row],[t1_Ph_II]],Table16[[#This Row],[I_0]]+1/Lf*Table16[[#This Row],[Vin]]*Table16[[#This Row],[t1_Ph_II]],Table16[[#This Row],[I_0]]+(Table16[[#This Row],[Vin]]-Vout)/L*Table16[[#This Row],[t1_Ph_II]])</f>
        <v>12.528823391195292</v>
      </c>
      <c r="R148" s="292">
        <f>CHOOSE(Table16[[#This Row],[Mode Digit]],0,0,Table16[[#This Row],[I_1]]+Table16[[#This Row],[Vin]]/L*Table16[[#This Row],[t2_Ph_I]])</f>
        <v>0</v>
      </c>
      <c r="S148" s="292">
        <f>Fsw*(Table16[[#This Row],[I_0]]*Table16[[#This Row],[t1_Ph_II]]+Table16[[#This Row],[I_1]]*Table16[[#This Row],[t2_Ph_I]]+Table16[[#This Row],[I_2]]*Table16[[#This Row],[t3_Ph_III]])</f>
        <v>7.1118512719296696</v>
      </c>
      <c r="T148" s="345">
        <f>MIN(1,CHOOSE(Table16[[#This Row],[Mode Digit]],(Vout+(Rdson2+Rs+Rdcr)*Table16[[#This Row],[Iout]])/(Table16[[#This Row],[Vin]]+(Rs+Rdson2-Rdson1)*Table16[[#This Row],[Iout]]),1,Fsw*Table16[[#This Row],[t2_Ph_I]]+Table16[[#This Row],[t1_Ph_II]]))</f>
        <v>0.59805512948429662</v>
      </c>
      <c r="U148" s="345">
        <f>MIN(1,CHOOSE(Table16[[#This Row],[Mode Digit]],0,(Vout+(Rdson3+Rdcr)*Table16[[#This Row],[Iin]]-Table16[[#This Row],[Vin]])/(Vout+(Rdson3-Rdson4-Rs)*Table16[[#This Row],[Iin]]),Fsw*Table16[[#This Row],[t1_Ph_II]]+Table16[[#This Row],[t3_Ph_III]]))</f>
        <v>0</v>
      </c>
      <c r="V148" s="292">
        <f>MAX(Table16[[#This Row],[I_0]:[I_2]])-MIN(Table16[[#This Row],[I_0]:[I_1]])</f>
        <v>9.0576467823905844</v>
      </c>
      <c r="W148"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8.4164569209899245</v>
      </c>
      <c r="X148" s="345">
        <f>(Table16[[#This Row],[Irms Lf]]^2*Rdcr*(1+Ltc*Ta-Ltc*25))/(1-Table16[[#This Row],[Irms Lf]]^2*Rdcr*Ltc*ThetaCa)</f>
        <v>0.23086412868734515</v>
      </c>
      <c r="Y148" s="345">
        <f>ABS(7.759*10^-3*Fsw^0.9458*(0.00787*Table16[[#This Row],[Ripple Current pk-pk]])^2.304)</f>
        <v>3.4951384344271657</v>
      </c>
      <c r="Z148" s="345">
        <f>Table16[[#This Row],[DCR    Loss]]+Table16[[#This Row],[Core Loss]]</f>
        <v>3.7260025631145108</v>
      </c>
      <c r="AA148" s="292">
        <f>IF(Table16[[#This Row],[Vin]]&gt;Vout, Table16[[#This Row],[Ripple Current pk-pk]]/SQRT(12), SQRT(Table16[[#This Row],[Duty Cycle BOOST Leg]]/(1-Table16[[#This Row],[Duty Cycle BOOST Leg]]))*SQRT(Table16[[#This Row],[Iout]]^2+(Table16[[#This Row],[Ripple Current pk-pk]]^2)/12))</f>
        <v>2.6147174040188759</v>
      </c>
      <c r="AB148" s="345">
        <f>RCoutEsr*Table16[[#This Row],[Irms Cout]]^2</f>
        <v>1.3673494205758419E-2</v>
      </c>
      <c r="AC148" s="345">
        <f>Table16[[#This Row],[Cout ESR Loss]]</f>
        <v>1.3673494205758419E-2</v>
      </c>
      <c r="AD148" s="345">
        <f>IF(Table16[[#This Row],[Vin]]&gt;Vout, SQRT(Table16[[#This Row],[Duty Cycle BUCK Leg]]*(1-Table16[[#This Row],[Duty Cycle BUCK Leg]]))*SQRT(Table16[[#This Row],[Iout]]^2+(Table16[[#This Row],[Ripple Current pk-pk]]^2)/12), Table16[[#This Row],[Ripple Current pk-pk]]/SQRT(12))</f>
        <v>4.1265124528296777</v>
      </c>
      <c r="AE148" s="345">
        <f>RCinEsr*Table16[[#This Row],[Irms Cin]]^2</f>
        <v>3.4056210046716807E-2</v>
      </c>
      <c r="AF148" s="683">
        <f>Table16[[#This Row],[Cin ESR Loss]]</f>
        <v>3.4056210046716807E-2</v>
      </c>
      <c r="AG148"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6.5087848298172215</v>
      </c>
      <c r="AH148" s="345">
        <f>Rdson1*Table16[[#This Row],[Irms BuCtrl]]^2</f>
        <v>0.14827497986300578</v>
      </c>
      <c r="AI148" s="345">
        <f>CHOOSE(Table16[[#This Row],[Mode Digit]], (Table16[[#This Row],[Vin]]*Table16[[#This Row],[Iout]]/2)*(Fsw)*(Tr_buck+Tf_buck), 0, (Table16[[#This Row],[Vin]]*Table16[[#This Row],[Avg IL]]/2)*(Fsw/1)*(Tr_buck+Tf_buck))</f>
        <v>0.80389097577510404</v>
      </c>
      <c r="AJ148" s="253">
        <f>IF(Table16[[#This Row],[Vin]]&gt;Vout, IF(Table16[[#This Row],[Iout]]&gt;Table16[[#This Row],[Ripple Current pk-pk]]/2,0,ABS(Table16[[#This Row],[Iout]]-Table16[[#This Row],[Ripple Current pk-pk]]/2)*Vsd_Q1*Deadtime*Fsw),0)</f>
        <v>0</v>
      </c>
      <c r="AK148" s="345">
        <f>(Table16[[#This Row],[Dead Time Loss BuCtrl]]+Table16[[#This Row],[Transition Loss BuCtrl]]+Table16[[#This Row],[RDS(on) Loss BuCtrl]]*(1+RdsonTopTc*Ta-RdsonTopTc*25))/(1-Table16[[#This Row],[RDS(on) Loss BuCtrl]]*RdsonTopTc*ThetaJA_Q1)</f>
        <v>0.99034524517229983</v>
      </c>
      <c r="AL148" s="345">
        <f>CHOOSE(Table16[[#This Row],[Mode Digit]],SQRT((Fsw*(Table16[[#This Row],[t2_Ph_I]]+0))*((Table16[[#This Row],[I_0]]*Table16[[#This Row],[I_1]]+((Table16[[#This Row],[I_0]]-Table16[[#This Row],[I_1]])^2)/3))),0,SQRT((Fsw*(Table16[[#This Row],[t3_Ph_III]]+0))*((Table16[[#This Row],[I_0]]*Table16[[#This Row],[I_2]]+((Table16[[#This Row],[I_0]]-Table16[[#This Row],[I_2]])^2)/3))))</f>
        <v>5.3359598145057658</v>
      </c>
      <c r="AM148" s="345">
        <f>Rdson2*Table16[[#This Row],[Irms BuSync]]^2</f>
        <v>9.965363499707143E-2</v>
      </c>
      <c r="AN148"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48" s="345">
        <f>(Table16[[#This Row],[Deadtime Loss BuSync]]+Table16[[#This Row],[RDS(on) Loss BuSync]]*(1+RdsonBotTc*Ta-RdsonBotTc*25))/(1-Table16[[#This Row],[RDS(on) Loss BuSync]]*RdsonBotTc*ThetaJA_Q2)</f>
        <v>0.34745620622474421</v>
      </c>
      <c r="AP148" s="345">
        <f>CHOOSE(Table16[[#This Row],[Mode Digit]],0,SQRT((Fsw*(Table16[[#This Row],[t1_Ph_II]]+0))*((Table16[[#This Row],[I_0]]*Table16[[#This Row],[I_1]]+((Table16[[#This Row],[I_0]]-Table16[[#This Row],[I_1]])^2)/3))),SQRT((Fsw*(Table16[[#This Row],[t2_Ph_I]]+0))*((Table16[[#This Row],[I_1]]*Table16[[#This Row],[I_2]]+((Table16[[#This Row],[I_1]]-Table16[[#This Row],[I_2]])^2)/3))))</f>
        <v>0</v>
      </c>
      <c r="AQ148" s="345">
        <f>Rdson4*Table16[[#This Row],[Irms BoCtlr]]^2</f>
        <v>0</v>
      </c>
      <c r="AR148" s="345">
        <f>CHOOSE(Table16[[#This Row],[Mode Digit]], 0, (Vout*Table16[[#This Row],[Iin]]/2)*(Fsw)*(Tr_boost+Tf_boost), (Vout*Iout/2)*(Fsw/1)*(Tr_boost+Tf_boost))</f>
        <v>0</v>
      </c>
      <c r="AS148" s="253">
        <f>IF(Table16[[#This Row],[Vin]]&gt;Vout, 0, IF(Table16[[#This Row],[Iin]]&gt;Table16[[#This Row],[Ripple Current pk-pk]]/2,0,ABS(Table16[[#This Row],[Iin]]-Table16[[#This Row],[Ripple Current pk-pk]]/2)*Vsd_Q4*Deadtime*Fsw))</f>
        <v>0</v>
      </c>
      <c r="AT148" s="345">
        <f>(Table16[[#This Row],[Dead Time Loss BoCtlr]]+Table16[[#This Row],[Transition Loss BoCtlr]]+Table16[[#This Row],[RDS(on) Loss BoCtlr]]*(1+RdsonTopTc*Ta-RdsonTopTc*25))/(1-Table16[[#This Row],[RDS(on) Loss BoCtlr]]*RdsonTopTc*ThetaJA_Q4)</f>
        <v>0</v>
      </c>
      <c r="AU148"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8.4164569209899245</v>
      </c>
      <c r="AV148" s="345">
        <f>Rdson3*Table16[[#This Row],[Irms BoSync]]^2</f>
        <v>0.2479286148600772</v>
      </c>
      <c r="AW148"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48" s="345">
        <f>(Table16[[#This Row],[Deadtime Loss BoSync]]+Table16[[#This Row],[RDS(on) Loss BoSync]]*(1+RdsonBotTc*Ta-RdsonBotTc*25))/(1-Table16[[#This Row],[RDS(on) Loss BoSync]]*RdsonBotTc*ThetaJA_Q3)</f>
        <v>0.26501164722054316</v>
      </c>
      <c r="AY148" s="345">
        <f>CHOOSE(Table16[[#This Row],[Mode Digit]], Rdson3*Table16[[#This Row],[Irms Lf]]^2, Rdson1*Table16[[#This Row],[Irms Lf]]^2, 0)</f>
        <v>0.2479286148600772</v>
      </c>
      <c r="AZ148" s="345">
        <f>CHOOSE(Table16[[#This Row],[Mode Digit]], 2*Deadtime*Fsw*IF(VfdSky_Q2&gt;0,VfdSky_Q2,0)*Table16[[#This Row],[Iout]], 2*Deadtime*Fsw*IF(VfdSky_Q3&gt;0,VfdSky_Q3,0)*Table16[[#This Row],[Iin]], 2*Deadtime*Fsw*IF(VfdSky_Q2&gt;0,VfdSky_Q2,0)*Table16[[#This Row],[Iout]]+2*Deadtime*Fsw*IF(VfdSky_Q3&gt;0,VfdSky_Q3,0)*Table16[[#This Row],[Iin]])</f>
        <v>0</v>
      </c>
      <c r="BA148" s="345">
        <f>CHOOSE(Table16[[#This Row],[Mode Digit]], IF(QrrSky_Q2&gt;0,QrrSky_Q2,Qrr_Q2)*Fsw*(Table16[[#This Row],[Vin]]-Table16[[#This Row],[Iout]]*Rdson1),0,  IF(QrrSky_Q2&gt;0,QrrSky_Q2,Qrr_Q2)*Fsw*(Table16[[#This Row],[Vin]]-Table16[[#This Row],[Iout]]*Rdson1)+IF(QrrSky_Q3&gt;0,QrrSky_Q3,Qrr_Q3)*Fsw*Vout)</f>
        <v>0.48038201999999997</v>
      </c>
      <c r="BB148" s="345">
        <f>CHOOSE(Table16[[#This Row],[Mode Digit]],0, IF(QrrSky_Q3&gt;0,QrrSky_Q3,Qrr_Q3)*Fsw*Vout,  IF(QrrSky_Q2&gt;0,QrrSky_Q2,Qrr_Q2)*Fsw*(Table16[[#This Row],[Vin]]-Table16[[#This Row],[Iout]]*Rdson1)+IF(QrrSky_Q3&gt;0,QrrSky_Q3,Qrr_Q3)*Fsw*Vout)</f>
        <v>0</v>
      </c>
      <c r="BC148" s="345">
        <f>CHOOSE(Table16[[#This Row],[Mode Digit]], Rs*Table16[[#This Row],[Irms BuSync]]^2, Rs*Table16[[#This Row],[Irms BoCtlr]]^2, Rs*(Table16[[#This Row],[Irms BuSync]]^2+Table16[[#This Row],[Irms BoCtlr]]^2))</f>
        <v>3.7014207284626524E-2</v>
      </c>
      <c r="BD148" s="345">
        <f t="shared" si="8"/>
        <v>0.64</v>
      </c>
      <c r="BE148" s="345">
        <f>IF(Vout&gt;8, Iq*Vout, Iq*Table16[[#This Row],[Vin]])</f>
        <v>4.8000000000000001E-2</v>
      </c>
      <c r="BF148" s="345">
        <f>CHOOSE(Table16[[#This Row],[Mode Digit]], (Qg_Q1+Qg_Q2)*Fsw, (Qg_Q3+Qg_Q4)*Fsw, (Qg_Q1+Qg_Q2+Qg_Q3+Qg_Q4)*Fsw)*IF(Vout&gt;8, Vout, Table16[[#This Row],[Vin]])</f>
        <v>0.85331200000000007</v>
      </c>
      <c r="BG148" s="345">
        <f t="shared" si="9"/>
        <v>0.50594479787234037</v>
      </c>
      <c r="BH148" s="345">
        <f>Table16[[#This Row],[IQ Loss]]+Table16[[#This Row],[Switching Current Loss]]</f>
        <v>0.90131200000000011</v>
      </c>
      <c r="BI148"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7.4352535932691994</v>
      </c>
      <c r="BJ148" s="253">
        <f>Vout*Table16[[#This Row],[Iout]]</f>
        <v>128</v>
      </c>
      <c r="BK148" s="684">
        <f>Table16[[#This Row],[Pout]]/(Table16[[#This Row],[Pout]]+Table16[[#This Row],[Total Loss]])</f>
        <v>0.94510104720888766</v>
      </c>
      <c r="BL148"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64.372440936199496</v>
      </c>
      <c r="BM148" s="685">
        <f>IF(Table16[[#This Row],[Vin]]&gt;Vout, Table16[[#This Row],[Total Sync Bu MOSFET Loss]]*ThetaJA_Q2, ThetaJA_Q3*Table16[[#This Row],[Total Sync Bo MOSFET Loss]])</f>
        <v>22.584653404608375</v>
      </c>
      <c r="BN148" s="640"/>
      <c r="BO148" s="292">
        <f>Table16[[#This Row],[EFF, h]]*100</f>
        <v>94.510104720888762</v>
      </c>
      <c r="BP148" s="345">
        <f>Table16[[#This Row],[Total Inductor Loss]]</f>
        <v>3.7260025631145108</v>
      </c>
      <c r="BQ148" s="345">
        <f>Table16[[#This Row],[Total Control Bu MOSFET Loss]]+Table16[[#This Row],[Total Sync Bu MOSFET Loss]]+Table16[[#This Row],[Total Control Bo MOSFET Loss]]+Table16[[#This Row],[Total Sync Bo MOSFET Loss]]+Table16[[#This Row],[Reverse Recovery Loss MOSFET D BUCK]]+Table16[[#This Row],[Reverse Recovery Loss MOSFET D BOOST]]</f>
        <v>2.0831951186175872</v>
      </c>
      <c r="BR148" s="345">
        <f>Table16[[#This Row],[Total Control Bu MOSFET Loss]]+Table16[[#This Row],[Reverse Recovery Loss MOSFET D BUCK]]*0.66</f>
        <v>1.3073973783722999</v>
      </c>
      <c r="BS148" s="345">
        <f>Table16[[#This Row],[Total Sync Bu MOSFET Loss]]+Table16[[#This Row],[Reverse Recovery Loss MOSFET D BUCK]]*0.33</f>
        <v>0.50598227282474417</v>
      </c>
      <c r="BT148" s="345">
        <f xml:space="preserve"> Table16[[#This Row],[Total Control Bo MOSFET Loss]]+Table16[[#This Row],[Reverse Recovery Loss MOSFET D BOOST]]*0.66</f>
        <v>0</v>
      </c>
      <c r="BU148" s="345">
        <f xml:space="preserve"> Table16[[#This Row],[Total Sync Bo MOSFET Loss]]+Table16[[#This Row],[Reverse Recovery Loss MOSFET D BOOST]]*0.33</f>
        <v>0.26501164722054316</v>
      </c>
      <c r="BV148" s="345">
        <f>Table16[[#This Row],[Isense Shunt Loss]]</f>
        <v>3.7014207284626524E-2</v>
      </c>
    </row>
    <row r="149" spans="7:74" x14ac:dyDescent="0.2">
      <c r="G149" s="253">
        <v>140</v>
      </c>
      <c r="H149" s="286">
        <f>VIN_min+(VIN_max-VIN_min)*(Table16[[#This Row],[Step]]/200)</f>
        <v>27</v>
      </c>
      <c r="I149" s="292" t="str">
        <f>IF(Mode = 2,IF(Table16[[#This Row],[Vin]]&gt;Vout, "BUCK","BOOST"),IF(Table16[[#This Row],[Vin]]&gt;VIN_BB_to_buck, "BUCK", IF(Table16[[#This Row],[Vin]]&lt;=VIN_boost_to_BB,"BOOST","BUCK-BST")))</f>
        <v>BUCK</v>
      </c>
      <c r="J149" s="253">
        <f>IF(Table16[[#This Row],[Mode]]="BOOST",2, IF(Table16[[#This Row],[Mode]]="BUCK", 1,3))</f>
        <v>1</v>
      </c>
      <c r="K149" s="253">
        <f t="shared" si="7"/>
        <v>8</v>
      </c>
      <c r="L149" s="292">
        <f>Vout*Table16[[#This Row],[Iout]]/(Table16[[#This Row],[Vin]]*Efficiency)</f>
        <v>4.9902534113060435</v>
      </c>
      <c r="M149" s="682">
        <f>MIN(1/Fsw,CHOOSE(Table16[[#This Row],[Mode Digit]],(Vout+(Rdson2+Rs+Rdcr)*Table16[[#This Row],[Iout]])/(Table16[[#This Row],[Vin]]+(Rs+Rdson2-Rdson1)*Table16[[#This Row],[Iout]])/Fsw,(Vout+(Rdson3+Rdcr)*Table16[[#This Row],[Iin]]-Table16[[#This Row],[Vin]])/(Vout+(Rdson3-Rdson4-Rs)*Table16[[#This Row],[Iin]])/Fsw,t1_Ph_II))</f>
        <v>1.4943062318672117E-6</v>
      </c>
      <c r="N149" s="518">
        <f>CHOOSE(Table16[[#This Row],[Mode Digit]],1/Fsw-Table16[[#This Row],[t1_Ph_II]],1/Fsw-Table16[[#This Row],[t1_Ph_II]],(Vout/Fsw-Table16[[#This Row],[Vin]]*t1_Ph_II)/(Table16[[#This Row],[Vin]]+Vout))</f>
        <v>1.0182565822031402E-6</v>
      </c>
      <c r="O149" s="518">
        <f>1/Fsw-(Table16[[#This Row],[t1_Ph_II]]+Table16[[#This Row],[t2_Ph_I]])</f>
        <v>0</v>
      </c>
      <c r="P149"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3.4340642915168536</v>
      </c>
      <c r="Q149" s="292">
        <f>CHOOSE(Table16[[#This Row],[Mode Digit]],Table16[[#This Row],[I_0]]+1/Lf*(Table16[[#This Row],[Vin]]-Vout)*Table16[[#This Row],[t1_Ph_II]],Table16[[#This Row],[I_0]]+1/Lf*Table16[[#This Row],[Vin]]*Table16[[#This Row],[t1_Ph_II]],Table16[[#This Row],[I_0]]+(Table16[[#This Row],[Vin]]-Vout)/L*Table16[[#This Row],[t1_Ph_II]])</f>
        <v>12.565935708483146</v>
      </c>
      <c r="R149" s="292">
        <f>CHOOSE(Table16[[#This Row],[Mode Digit]],0,0,Table16[[#This Row],[I_1]]+Table16[[#This Row],[Vin]]/L*Table16[[#This Row],[t2_Ph_I]])</f>
        <v>0</v>
      </c>
      <c r="S149" s="292">
        <f>Fsw*(Table16[[#This Row],[I_0]]*Table16[[#This Row],[t1_Ph_II]]+Table16[[#This Row],[I_1]]*Table16[[#This Row],[t2_Ph_I]]+Table16[[#This Row],[I_2]]*Table16[[#This Row],[t3_Ph_III]])</f>
        <v>7.1349023864239944</v>
      </c>
      <c r="T149" s="345">
        <f>MIN(1,CHOOSE(Table16[[#This Row],[Mode Digit]],(Vout+(Rdson2+Rs+Rdcr)*Table16[[#This Row],[Iout]])/(Table16[[#This Row],[Vin]]+(Rs+Rdson2-Rdson1)*Table16[[#This Row],[Iout]]),1,Fsw*Table16[[#This Row],[t2_Ph_I]]+Table16[[#This Row],[t1_Ph_II]]))</f>
        <v>0.59473388028315022</v>
      </c>
      <c r="U149" s="345">
        <f>MIN(1,CHOOSE(Table16[[#This Row],[Mode Digit]],0,(Vout+(Rdson3+Rdcr)*Table16[[#This Row],[Iin]]-Table16[[#This Row],[Vin]])/(Vout+(Rdson3-Rdson4-Rs)*Table16[[#This Row],[Iin]]),Fsw*Table16[[#This Row],[t1_Ph_II]]+Table16[[#This Row],[t3_Ph_III]]))</f>
        <v>0</v>
      </c>
      <c r="V149" s="292">
        <f>MAX(Table16[[#This Row],[I_0]:[I_2]])-MIN(Table16[[#This Row],[I_0]:[I_1]])</f>
        <v>9.1318714169662911</v>
      </c>
      <c r="W149"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8.4231381502383353</v>
      </c>
      <c r="X149" s="345">
        <f>(Table16[[#This Row],[Irms Lf]]^2*Rdcr*(1+Ltc*Ta-Ltc*25))/(1-Table16[[#This Row],[Irms Lf]]^2*Rdcr*Ltc*ThetaCa)</f>
        <v>0.23123759073687783</v>
      </c>
      <c r="Y149" s="345">
        <f>ABS(7.759*10^-3*Fsw^0.9458*(0.00787*Table16[[#This Row],[Ripple Current pk-pk]])^2.304)</f>
        <v>3.5614815236552739</v>
      </c>
      <c r="Z149" s="345">
        <f>Table16[[#This Row],[DCR    Loss]]+Table16[[#This Row],[Core Loss]]</f>
        <v>3.7927191143921517</v>
      </c>
      <c r="AA149" s="292">
        <f>IF(Table16[[#This Row],[Vin]]&gt;Vout, Table16[[#This Row],[Ripple Current pk-pk]]/SQRT(12), SQRT(Table16[[#This Row],[Duty Cycle BOOST Leg]]/(1-Table16[[#This Row],[Duty Cycle BOOST Leg]]))*SQRT(Table16[[#This Row],[Iout]]^2+(Table16[[#This Row],[Ripple Current pk-pk]]^2)/12))</f>
        <v>2.636144210395269</v>
      </c>
      <c r="AB149" s="345">
        <f>RCoutEsr*Table16[[#This Row],[Irms Cout]]^2</f>
        <v>1.3898512596000993E-2</v>
      </c>
      <c r="AC149" s="345">
        <f>Table16[[#This Row],[Cout ESR Loss]]</f>
        <v>1.3898512596000993E-2</v>
      </c>
      <c r="AD149" s="345">
        <f>IF(Table16[[#This Row],[Vin]]&gt;Vout, SQRT(Table16[[#This Row],[Duty Cycle BUCK Leg]]*(1-Table16[[#This Row],[Duty Cycle BUCK Leg]]))*SQRT(Table16[[#This Row],[Iout]]^2+(Table16[[#This Row],[Ripple Current pk-pk]]^2)/12), Table16[[#This Row],[Ripple Current pk-pk]]/SQRT(12))</f>
        <v>4.1352846819831806</v>
      </c>
      <c r="AE149" s="345">
        <f>RCinEsr*Table16[[#This Row],[Irms Cin]]^2</f>
        <v>3.4201158802089467E-2</v>
      </c>
      <c r="AF149" s="683">
        <f>Table16[[#This Row],[Cin ESR Loss]]</f>
        <v>3.4201158802089467E-2</v>
      </c>
      <c r="AG149"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6.4958391683687458</v>
      </c>
      <c r="AH149" s="345">
        <f>Rdson1*Table16[[#This Row],[Irms BuCtrl]]^2</f>
        <v>0.14768574275459745</v>
      </c>
      <c r="AI149" s="345">
        <f>CHOOSE(Table16[[#This Row],[Mode Digit]], (Table16[[#This Row],[Vin]]*Table16[[#This Row],[Iout]]/2)*(Fsw)*(Tr_buck+Tf_buck), 0, (Table16[[#This Row],[Vin]]*Table16[[#This Row],[Avg IL]]/2)*(Fsw/1)*(Tr_buck+Tf_buck))</f>
        <v>0.80838198681295381</v>
      </c>
      <c r="AJ149" s="253">
        <f>IF(Table16[[#This Row],[Vin]]&gt;Vout, IF(Table16[[#This Row],[Iout]]&gt;Table16[[#This Row],[Ripple Current pk-pk]]/2,0,ABS(Table16[[#This Row],[Iout]]-Table16[[#This Row],[Ripple Current pk-pk]]/2)*Vsd_Q1*Deadtime*Fsw),0)</f>
        <v>0</v>
      </c>
      <c r="AK149" s="345">
        <f>(Table16[[#This Row],[Dead Time Loss BuCtrl]]+Table16[[#This Row],[Transition Loss BuCtrl]]+Table16[[#This Row],[RDS(on) Loss BuCtrl]]*(1+RdsonTopTc*Ta-RdsonTopTc*25))/(1-Table16[[#This Row],[RDS(on) Loss BuCtrl]]*RdsonTopTc*ThetaJA_Q1)</f>
        <v>0.99424504212436671</v>
      </c>
      <c r="AL149" s="345">
        <f>CHOOSE(Table16[[#This Row],[Mode Digit]],SQRT((Fsw*(Table16[[#This Row],[t2_Ph_I]]+0))*((Table16[[#This Row],[I_0]]*Table16[[#This Row],[I_1]]+((Table16[[#This Row],[I_0]]-Table16[[#This Row],[I_1]])^2)/3))),0,SQRT((Fsw*(Table16[[#This Row],[t3_Ph_III]]+0))*((Table16[[#This Row],[I_0]]*Table16[[#This Row],[I_2]]+((Table16[[#This Row],[I_0]]-Table16[[#This Row],[I_2]])^2)/3))))</f>
        <v>5.3622131435338263</v>
      </c>
      <c r="AM149" s="345">
        <f>Rdson2*Table16[[#This Row],[Irms BuSync]]^2</f>
        <v>0.10063665428840422</v>
      </c>
      <c r="AN149"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49" s="345">
        <f>(Table16[[#This Row],[Deadtime Loss BuSync]]+Table16[[#This Row],[RDS(on) Loss BuSync]]*(1+RdsonBotTc*Ta-RdsonBotTc*25))/(1-Table16[[#This Row],[RDS(on) Loss BuSync]]*RdsonBotTc*ThetaJA_Q2)</f>
        <v>0.34855682848080233</v>
      </c>
      <c r="AP149" s="345">
        <f>CHOOSE(Table16[[#This Row],[Mode Digit]],0,SQRT((Fsw*(Table16[[#This Row],[t1_Ph_II]]+0))*((Table16[[#This Row],[I_0]]*Table16[[#This Row],[I_1]]+((Table16[[#This Row],[I_0]]-Table16[[#This Row],[I_1]])^2)/3))),SQRT((Fsw*(Table16[[#This Row],[t2_Ph_I]]+0))*((Table16[[#This Row],[I_1]]*Table16[[#This Row],[I_2]]+((Table16[[#This Row],[I_1]]-Table16[[#This Row],[I_2]])^2)/3))))</f>
        <v>0</v>
      </c>
      <c r="AQ149" s="345">
        <f>Rdson4*Table16[[#This Row],[Irms BoCtlr]]^2</f>
        <v>0</v>
      </c>
      <c r="AR149" s="345">
        <f>CHOOSE(Table16[[#This Row],[Mode Digit]], 0, (Vout*Table16[[#This Row],[Iin]]/2)*(Fsw)*(Tr_boost+Tf_boost), (Vout*Iout/2)*(Fsw/1)*(Tr_boost+Tf_boost))</f>
        <v>0</v>
      </c>
      <c r="AS149" s="253">
        <f>IF(Table16[[#This Row],[Vin]]&gt;Vout, 0, IF(Table16[[#This Row],[Iin]]&gt;Table16[[#This Row],[Ripple Current pk-pk]]/2,0,ABS(Table16[[#This Row],[Iin]]-Table16[[#This Row],[Ripple Current pk-pk]]/2)*Vsd_Q4*Deadtime*Fsw))</f>
        <v>0</v>
      </c>
      <c r="AT149" s="345">
        <f>(Table16[[#This Row],[Dead Time Loss BoCtlr]]+Table16[[#This Row],[Transition Loss BoCtlr]]+Table16[[#This Row],[RDS(on) Loss BoCtlr]]*(1+RdsonTopTc*Ta-RdsonTopTc*25))/(1-Table16[[#This Row],[RDS(on) Loss BoCtlr]]*RdsonTopTc*ThetaJA_Q4)</f>
        <v>0</v>
      </c>
      <c r="AU149"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8.4231381502383353</v>
      </c>
      <c r="AV149" s="345">
        <f>Rdson3*Table16[[#This Row],[Irms BoSync]]^2</f>
        <v>0.24832239704300171</v>
      </c>
      <c r="AW149"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49" s="345">
        <f>(Table16[[#This Row],[Deadtime Loss BoSync]]+Table16[[#This Row],[RDS(on) Loss BoSync]]*(1+RdsonBotTc*Ta-RdsonBotTc*25))/(1-Table16[[#This Row],[RDS(on) Loss BoSync]]*RdsonBotTc*ThetaJA_Q3)</f>
        <v>0.26546161374767019</v>
      </c>
      <c r="AY149" s="345">
        <f>CHOOSE(Table16[[#This Row],[Mode Digit]], Rdson3*Table16[[#This Row],[Irms Lf]]^2, Rdson1*Table16[[#This Row],[Irms Lf]]^2, 0)</f>
        <v>0.24832239704300171</v>
      </c>
      <c r="AZ149" s="345">
        <f>CHOOSE(Table16[[#This Row],[Mode Digit]], 2*Deadtime*Fsw*IF(VfdSky_Q2&gt;0,VfdSky_Q2,0)*Table16[[#This Row],[Iout]], 2*Deadtime*Fsw*IF(VfdSky_Q3&gt;0,VfdSky_Q3,0)*Table16[[#This Row],[Iin]], 2*Deadtime*Fsw*IF(VfdSky_Q2&gt;0,VfdSky_Q2,0)*Table16[[#This Row],[Iout]]+2*Deadtime*Fsw*IF(VfdSky_Q3&gt;0,VfdSky_Q3,0)*Table16[[#This Row],[Iin]])</f>
        <v>0</v>
      </c>
      <c r="BA149" s="345">
        <f>CHOOSE(Table16[[#This Row],[Mode Digit]], IF(QrrSky_Q2&gt;0,QrrSky_Q2,Qrr_Q2)*Fsw*(Table16[[#This Row],[Vin]]-Table16[[#This Row],[Iout]]*Rdson1),0,  IF(QrrSky_Q2&gt;0,QrrSky_Q2,Qrr_Q2)*Fsw*(Table16[[#This Row],[Vin]]-Table16[[#This Row],[Iout]]*Rdson1)+IF(QrrSky_Q3&gt;0,QrrSky_Q3,Qrr_Q3)*Fsw*Vout)</f>
        <v>0.48306852</v>
      </c>
      <c r="BB149" s="345">
        <f>CHOOSE(Table16[[#This Row],[Mode Digit]],0, IF(QrrSky_Q3&gt;0,QrrSky_Q3,Qrr_Q3)*Fsw*Vout,  IF(QrrSky_Q2&gt;0,QrrSky_Q2,Qrr_Q2)*Fsw*(Table16[[#This Row],[Vin]]-Table16[[#This Row],[Iout]]*Rdson1)+IF(QrrSky_Q3&gt;0,QrrSky_Q3,Qrr_Q3)*Fsw*Vout)</f>
        <v>0</v>
      </c>
      <c r="BC149" s="345">
        <f>CHOOSE(Table16[[#This Row],[Mode Digit]], Rs*Table16[[#This Row],[Irms BuSync]]^2, Rs*Table16[[#This Row],[Irms BoCtlr]]^2, Rs*(Table16[[#This Row],[Irms BuSync]]^2+Table16[[#This Row],[Irms BoCtlr]]^2))</f>
        <v>3.7379328735692996E-2</v>
      </c>
      <c r="BD149" s="345">
        <f t="shared" si="8"/>
        <v>0.64</v>
      </c>
      <c r="BE149" s="345">
        <f>IF(Vout&gt;8, Iq*Vout, Iq*Table16[[#This Row],[Vin]])</f>
        <v>4.8000000000000001E-2</v>
      </c>
      <c r="BF149" s="345">
        <f>CHOOSE(Table16[[#This Row],[Mode Digit]], (Qg_Q1+Qg_Q2)*Fsw, (Qg_Q3+Qg_Q4)*Fsw, (Qg_Q1+Qg_Q2+Qg_Q3+Qg_Q4)*Fsw)*IF(Vout&gt;8, Vout, Table16[[#This Row],[Vin]])</f>
        <v>0.85331200000000007</v>
      </c>
      <c r="BG149" s="345">
        <f t="shared" si="9"/>
        <v>0.50594479787234037</v>
      </c>
      <c r="BH149" s="345">
        <f>Table16[[#This Row],[IQ Loss]]+Table16[[#This Row],[Switching Current Loss]]</f>
        <v>0.90131200000000011</v>
      </c>
      <c r="BI149"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7.5108421188787746</v>
      </c>
      <c r="BJ149" s="253">
        <f>Vout*Table16[[#This Row],[Iout]]</f>
        <v>128</v>
      </c>
      <c r="BK149" s="684">
        <f>Table16[[#This Row],[Pout]]/(Table16[[#This Row],[Pout]]+Table16[[#This Row],[Total Loss]])</f>
        <v>0.94457386581444325</v>
      </c>
      <c r="BL149"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64.625927738083831</v>
      </c>
      <c r="BM149" s="685">
        <f>IF(Table16[[#This Row],[Vin]]&gt;Vout, Table16[[#This Row],[Total Sync Bu MOSFET Loss]]*ThetaJA_Q2, ThetaJA_Q3*Table16[[#This Row],[Total Sync Bo MOSFET Loss]])</f>
        <v>22.656193851252151</v>
      </c>
      <c r="BN149" s="640"/>
      <c r="BO149" s="292">
        <f>Table16[[#This Row],[EFF, h]]*100</f>
        <v>94.457386581444325</v>
      </c>
      <c r="BP149" s="345">
        <f>Table16[[#This Row],[Total Inductor Loss]]</f>
        <v>3.7927191143921517</v>
      </c>
      <c r="BQ149" s="345">
        <f>Table16[[#This Row],[Total Control Bu MOSFET Loss]]+Table16[[#This Row],[Total Sync Bu MOSFET Loss]]+Table16[[#This Row],[Total Control Bo MOSFET Loss]]+Table16[[#This Row],[Total Sync Bo MOSFET Loss]]+Table16[[#This Row],[Reverse Recovery Loss MOSFET D BUCK]]+Table16[[#This Row],[Reverse Recovery Loss MOSFET D BOOST]]</f>
        <v>2.0913320043528394</v>
      </c>
      <c r="BR149" s="345">
        <f>Table16[[#This Row],[Total Control Bu MOSFET Loss]]+Table16[[#This Row],[Reverse Recovery Loss MOSFET D BUCK]]*0.66</f>
        <v>1.3130702653243667</v>
      </c>
      <c r="BS149" s="345">
        <f>Table16[[#This Row],[Total Sync Bu MOSFET Loss]]+Table16[[#This Row],[Reverse Recovery Loss MOSFET D BUCK]]*0.33</f>
        <v>0.50796944008080236</v>
      </c>
      <c r="BT149" s="345">
        <f xml:space="preserve"> Table16[[#This Row],[Total Control Bo MOSFET Loss]]+Table16[[#This Row],[Reverse Recovery Loss MOSFET D BOOST]]*0.66</f>
        <v>0</v>
      </c>
      <c r="BU149" s="345">
        <f xml:space="preserve"> Table16[[#This Row],[Total Sync Bo MOSFET Loss]]+Table16[[#This Row],[Reverse Recovery Loss MOSFET D BOOST]]*0.33</f>
        <v>0.26546161374767019</v>
      </c>
      <c r="BV149" s="345">
        <f>Table16[[#This Row],[Isense Shunt Loss]]</f>
        <v>3.7379328735692996E-2</v>
      </c>
    </row>
    <row r="150" spans="7:74" x14ac:dyDescent="0.2">
      <c r="G150" s="253">
        <v>141</v>
      </c>
      <c r="H150" s="286">
        <f>VIN_min+(VIN_max-VIN_min)*(Table16[[#This Row],[Step]]/200)</f>
        <v>27.15</v>
      </c>
      <c r="I150" s="292" t="str">
        <f>IF(Mode = 2,IF(Table16[[#This Row],[Vin]]&gt;Vout, "BUCK","BOOST"),IF(Table16[[#This Row],[Vin]]&gt;VIN_BB_to_buck, "BUCK", IF(Table16[[#This Row],[Vin]]&lt;=VIN_boost_to_BB,"BOOST","BUCK-BST")))</f>
        <v>BUCK</v>
      </c>
      <c r="J150" s="253">
        <f>IF(Table16[[#This Row],[Mode]]="BOOST",2, IF(Table16[[#This Row],[Mode]]="BUCK", 1,3))</f>
        <v>1</v>
      </c>
      <c r="K150" s="253">
        <f t="shared" si="7"/>
        <v>8</v>
      </c>
      <c r="L150" s="292">
        <f>Vout*Table16[[#This Row],[Iout]]/(Table16[[#This Row],[Vin]]*Efficiency)</f>
        <v>4.9626829504700982</v>
      </c>
      <c r="M150" s="682">
        <f>MIN(1/Fsw,CHOOSE(Table16[[#This Row],[Mode Digit]],(Vout+(Rdson2+Rs+Rdcr)*Table16[[#This Row],[Iout]])/(Table16[[#This Row],[Vin]]+(Rs+Rdson2-Rdson1)*Table16[[#This Row],[Iout]])/Fsw,(Vout+(Rdson3+Rdcr)*Table16[[#This Row],[Iin]]-Table16[[#This Row],[Vin]])/(Vout+(Rdson3-Rdson4-Rs)*Table16[[#This Row],[Iin]])/Fsw,t1_Ph_II))</f>
        <v>1.4860535575774336E-6</v>
      </c>
      <c r="N150" s="518">
        <f>CHOOSE(Table16[[#This Row],[Mode Digit]],1/Fsw-Table16[[#This Row],[t1_Ph_II]],1/Fsw-Table16[[#This Row],[t1_Ph_II]],(Vout/Fsw-Table16[[#This Row],[Vin]]*t1_Ph_II)/(Table16[[#This Row],[Vin]]+Vout))</f>
        <v>1.0265092564929183E-6</v>
      </c>
      <c r="O150" s="518">
        <f>1/Fsw-(Table16[[#This Row],[t1_Ph_II]]+Table16[[#This Row],[t2_Ph_I]])</f>
        <v>0</v>
      </c>
      <c r="P150"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3.397361898058783</v>
      </c>
      <c r="Q150" s="292">
        <f>CHOOSE(Table16[[#This Row],[Mode Digit]],Table16[[#This Row],[I_0]]+1/Lf*(Table16[[#This Row],[Vin]]-Vout)*Table16[[#This Row],[t1_Ph_II]],Table16[[#This Row],[I_0]]+1/Lf*Table16[[#This Row],[Vin]]*Table16[[#This Row],[t1_Ph_II]],Table16[[#This Row],[I_0]]+(Table16[[#This Row],[Vin]]-Vout)/L*Table16[[#This Row],[t1_Ph_II]])</f>
        <v>12.602638101941217</v>
      </c>
      <c r="R150" s="292">
        <f>CHOOSE(Table16[[#This Row],[Mode Digit]],0,0,Table16[[#This Row],[I_1]]+Table16[[#This Row],[Vin]]/L*Table16[[#This Row],[t2_Ph_I]])</f>
        <v>0</v>
      </c>
      <c r="S150" s="292">
        <f>Fsw*(Table16[[#This Row],[I_0]]*Table16[[#This Row],[t1_Ph_II]]+Table16[[#This Row],[I_1]]*Table16[[#This Row],[t2_Ph_I]]+Table16[[#This Row],[I_2]]*Table16[[#This Row],[t3_Ph_III]])</f>
        <v>7.1581837883387882</v>
      </c>
      <c r="T150" s="345">
        <f>MIN(1,CHOOSE(Table16[[#This Row],[Mode Digit]],(Vout+(Rdson2+Rs+Rdcr)*Table16[[#This Row],[Iout]])/(Table16[[#This Row],[Vin]]+(Rs+Rdson2-Rdson1)*Table16[[#This Row],[Iout]]),1,Fsw*Table16[[#This Row],[t2_Ph_I]]+Table16[[#This Row],[t1_Ph_II]]))</f>
        <v>0.59144931591581862</v>
      </c>
      <c r="U150" s="345">
        <f>MIN(1,CHOOSE(Table16[[#This Row],[Mode Digit]],0,(Vout+(Rdson3+Rdcr)*Table16[[#This Row],[Iin]]-Table16[[#This Row],[Vin]])/(Vout+(Rdson3-Rdson4-Rs)*Table16[[#This Row],[Iin]]),Fsw*Table16[[#This Row],[t1_Ph_II]]+Table16[[#This Row],[t3_Ph_III]]))</f>
        <v>0</v>
      </c>
      <c r="V150" s="292">
        <f>MAX(Table16[[#This Row],[I_0]:[I_2]])-MIN(Table16[[#This Row],[I_0]:[I_1]])</f>
        <v>9.2052762038824341</v>
      </c>
      <c r="W150"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8.4297939377235291</v>
      </c>
      <c r="X150" s="345">
        <f>(Table16[[#This Row],[Irms Lf]]^2*Rdcr*(1+Ltc*Ta-Ltc*25))/(1-Table16[[#This Row],[Irms Lf]]^2*Rdcr*Ltc*ThetaCa)</f>
        <v>0.23160994713247321</v>
      </c>
      <c r="Y150" s="345">
        <f>ABS(7.759*10^-3*Fsw^0.9458*(0.00787*Table16[[#This Row],[Ripple Current pk-pk]])^2.304)</f>
        <v>3.6277870596365935</v>
      </c>
      <c r="Z150" s="345">
        <f>Table16[[#This Row],[DCR    Loss]]+Table16[[#This Row],[Core Loss]]</f>
        <v>3.8593970067690666</v>
      </c>
      <c r="AA150" s="292">
        <f>IF(Table16[[#This Row],[Vin]]&gt;Vout, Table16[[#This Row],[Ripple Current pk-pk]]/SQRT(12), SQRT(Table16[[#This Row],[Duty Cycle BOOST Leg]]/(1-Table16[[#This Row],[Duty Cycle BOOST Leg]]))*SQRT(Table16[[#This Row],[Iout]]^2+(Table16[[#This Row],[Ripple Current pk-pk]]^2)/12))</f>
        <v>2.6573343471381898</v>
      </c>
      <c r="AB150" s="345">
        <f>RCoutEsr*Table16[[#This Row],[Irms Cout]]^2</f>
        <v>1.41228516649607E-2</v>
      </c>
      <c r="AC150" s="345">
        <f>Table16[[#This Row],[Cout ESR Loss]]</f>
        <v>1.41228516649607E-2</v>
      </c>
      <c r="AD150" s="345">
        <f>IF(Table16[[#This Row],[Vin]]&gt;Vout, SQRT(Table16[[#This Row],[Duty Cycle BUCK Leg]]*(1-Table16[[#This Row],[Duty Cycle BUCK Leg]]))*SQRT(Table16[[#This Row],[Iout]]^2+(Table16[[#This Row],[Ripple Current pk-pk]]^2)/12), Table16[[#This Row],[Ripple Current pk-pk]]/SQRT(12))</f>
        <v>4.1437991458549197</v>
      </c>
      <c r="AE150" s="345">
        <f>RCinEsr*Table16[[#This Row],[Irms Cin]]^2</f>
        <v>3.4342142722375929E-2</v>
      </c>
      <c r="AF150" s="683">
        <f>Table16[[#This Row],[Cin ESR Loss]]</f>
        <v>3.4342142722375929E-2</v>
      </c>
      <c r="AG150"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6.4829955804877102</v>
      </c>
      <c r="AH150" s="345">
        <f>Rdson1*Table16[[#This Row],[Irms BuCtrl]]^2</f>
        <v>0.14710231093818116</v>
      </c>
      <c r="AI150" s="345">
        <f>CHOOSE(Table16[[#This Row],[Mode Digit]], (Table16[[#This Row],[Vin]]*Table16[[#This Row],[Iout]]/2)*(Fsw)*(Tr_buck+Tf_buck), 0, (Table16[[#This Row],[Vin]]*Table16[[#This Row],[Avg IL]]/2)*(Fsw/1)*(Tr_buck+Tf_buck))</f>
        <v>0.81287299785080347</v>
      </c>
      <c r="AJ150" s="253">
        <f>IF(Table16[[#This Row],[Vin]]&gt;Vout, IF(Table16[[#This Row],[Iout]]&gt;Table16[[#This Row],[Ripple Current pk-pk]]/2,0,ABS(Table16[[#This Row],[Iout]]-Table16[[#This Row],[Ripple Current pk-pk]]/2)*Vsd_Q1*Deadtime*Fsw),0)</f>
        <v>0</v>
      </c>
      <c r="AK150" s="345">
        <f>(Table16[[#This Row],[Dead Time Loss BuCtrl]]+Table16[[#This Row],[Transition Loss BuCtrl]]+Table16[[#This Row],[RDS(on) Loss BuCtrl]]*(1+RdsonTopTc*Ta-RdsonTopTc*25))/(1-Table16[[#This Row],[RDS(on) Loss BuCtrl]]*RdsonTopTc*ThetaJA_Q1)</f>
        <v>0.99815119929012097</v>
      </c>
      <c r="AL150" s="345">
        <f>CHOOSE(Table16[[#This Row],[Mode Digit]],SQRT((Fsw*(Table16[[#This Row],[t2_Ph_I]]+0))*((Table16[[#This Row],[I_0]]*Table16[[#This Row],[I_1]]+((Table16[[#This Row],[I_0]]-Table16[[#This Row],[I_1]])^2)/3))),0,SQRT((Fsw*(Table16[[#This Row],[t3_Ph_III]]+0))*((Table16[[#This Row],[I_0]]*Table16[[#This Row],[I_2]]+((Table16[[#This Row],[I_0]]-Table16[[#This Row],[I_2]])^2)/3))))</f>
        <v>5.3881531284714965</v>
      </c>
      <c r="AM150" s="345">
        <f>Rdson2*Table16[[#This Row],[Irms BuSync]]^2</f>
        <v>0.10161267947550011</v>
      </c>
      <c r="AN150"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50" s="345">
        <f>(Table16[[#This Row],[Deadtime Loss BuSync]]+Table16[[#This Row],[RDS(on) Loss BuSync]]*(1+RdsonBotTc*Ta-RdsonBotTc*25))/(1-Table16[[#This Row],[RDS(on) Loss BuSync]]*RdsonBotTc*ThetaJA_Q2)</f>
        <v>0.34965019161630639</v>
      </c>
      <c r="AP150" s="345">
        <f>CHOOSE(Table16[[#This Row],[Mode Digit]],0,SQRT((Fsw*(Table16[[#This Row],[t1_Ph_II]]+0))*((Table16[[#This Row],[I_0]]*Table16[[#This Row],[I_1]]+((Table16[[#This Row],[I_0]]-Table16[[#This Row],[I_1]])^2)/3))),SQRT((Fsw*(Table16[[#This Row],[t2_Ph_I]]+0))*((Table16[[#This Row],[I_1]]*Table16[[#This Row],[I_2]]+((Table16[[#This Row],[I_1]]-Table16[[#This Row],[I_2]])^2)/3))))</f>
        <v>0</v>
      </c>
      <c r="AQ150" s="345">
        <f>Rdson4*Table16[[#This Row],[Irms BoCtlr]]^2</f>
        <v>0</v>
      </c>
      <c r="AR150" s="345">
        <f>CHOOSE(Table16[[#This Row],[Mode Digit]], 0, (Vout*Table16[[#This Row],[Iin]]/2)*(Fsw)*(Tr_boost+Tf_boost), (Vout*Iout/2)*(Fsw/1)*(Tr_boost+Tf_boost))</f>
        <v>0</v>
      </c>
      <c r="AS150" s="253">
        <f>IF(Table16[[#This Row],[Vin]]&gt;Vout, 0, IF(Table16[[#This Row],[Iin]]&gt;Table16[[#This Row],[Ripple Current pk-pk]]/2,0,ABS(Table16[[#This Row],[Iin]]-Table16[[#This Row],[Ripple Current pk-pk]]/2)*Vsd_Q4*Deadtime*Fsw))</f>
        <v>0</v>
      </c>
      <c r="AT150" s="345">
        <f>(Table16[[#This Row],[Dead Time Loss BoCtlr]]+Table16[[#This Row],[Transition Loss BoCtlr]]+Table16[[#This Row],[RDS(on) Loss BoCtlr]]*(1+RdsonTopTc*Ta-RdsonTopTc*25))/(1-Table16[[#This Row],[RDS(on) Loss BoCtlr]]*RdsonTopTc*ThetaJA_Q4)</f>
        <v>0</v>
      </c>
      <c r="AU150"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8.4297939377235291</v>
      </c>
      <c r="AV150" s="345">
        <f>Rdson3*Table16[[#This Row],[Irms BoSync]]^2</f>
        <v>0.24871499041368128</v>
      </c>
      <c r="AW150"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50" s="345">
        <f>(Table16[[#This Row],[Deadtime Loss BoSync]]+Table16[[#This Row],[RDS(on) Loss BoSync]]*(1+RdsonBotTc*Ta-RdsonBotTc*25))/(1-Table16[[#This Row],[RDS(on) Loss BoSync]]*RdsonBotTc*ThetaJA_Q3)</f>
        <v>0.26591031990698832</v>
      </c>
      <c r="AY150" s="345">
        <f>CHOOSE(Table16[[#This Row],[Mode Digit]], Rdson3*Table16[[#This Row],[Irms Lf]]^2, Rdson1*Table16[[#This Row],[Irms Lf]]^2, 0)</f>
        <v>0.24871499041368128</v>
      </c>
      <c r="AZ150" s="345">
        <f>CHOOSE(Table16[[#This Row],[Mode Digit]], 2*Deadtime*Fsw*IF(VfdSky_Q2&gt;0,VfdSky_Q2,0)*Table16[[#This Row],[Iout]], 2*Deadtime*Fsw*IF(VfdSky_Q3&gt;0,VfdSky_Q3,0)*Table16[[#This Row],[Iin]], 2*Deadtime*Fsw*IF(VfdSky_Q2&gt;0,VfdSky_Q2,0)*Table16[[#This Row],[Iout]]+2*Deadtime*Fsw*IF(VfdSky_Q3&gt;0,VfdSky_Q3,0)*Table16[[#This Row],[Iin]])</f>
        <v>0</v>
      </c>
      <c r="BA150" s="345">
        <f>CHOOSE(Table16[[#This Row],[Mode Digit]], IF(QrrSky_Q2&gt;0,QrrSky_Q2,Qrr_Q2)*Fsw*(Table16[[#This Row],[Vin]]-Table16[[#This Row],[Iout]]*Rdson1),0,  IF(QrrSky_Q2&gt;0,QrrSky_Q2,Qrr_Q2)*Fsw*(Table16[[#This Row],[Vin]]-Table16[[#This Row],[Iout]]*Rdson1)+IF(QrrSky_Q3&gt;0,QrrSky_Q3,Qrr_Q3)*Fsw*Vout)</f>
        <v>0.48575501999999998</v>
      </c>
      <c r="BB150" s="345">
        <f>CHOOSE(Table16[[#This Row],[Mode Digit]],0, IF(QrrSky_Q3&gt;0,QrrSky_Q3,Qrr_Q3)*Fsw*Vout,  IF(QrrSky_Q2&gt;0,QrrSky_Q2,Qrr_Q2)*Fsw*(Table16[[#This Row],[Vin]]-Table16[[#This Row],[Iout]]*Rdson1)+IF(QrrSky_Q3&gt;0,QrrSky_Q3,Qrr_Q3)*Fsw*Vout)</f>
        <v>0</v>
      </c>
      <c r="BC150" s="345">
        <f>CHOOSE(Table16[[#This Row],[Mode Digit]], Rs*Table16[[#This Row],[Irms BuSync]]^2, Rs*Table16[[#This Row],[Irms BoCtlr]]^2, Rs*(Table16[[#This Row],[Irms BuSync]]^2+Table16[[#This Row],[Irms BoCtlr]]^2))</f>
        <v>3.7741852376614322E-2</v>
      </c>
      <c r="BD150" s="345">
        <f t="shared" si="8"/>
        <v>0.64</v>
      </c>
      <c r="BE150" s="345">
        <f>IF(Vout&gt;8, Iq*Vout, Iq*Table16[[#This Row],[Vin]])</f>
        <v>4.8000000000000001E-2</v>
      </c>
      <c r="BF150" s="345">
        <f>CHOOSE(Table16[[#This Row],[Mode Digit]], (Qg_Q1+Qg_Q2)*Fsw, (Qg_Q3+Qg_Q4)*Fsw, (Qg_Q1+Qg_Q2+Qg_Q3+Qg_Q4)*Fsw)*IF(Vout&gt;8, Vout, Table16[[#This Row],[Vin]])</f>
        <v>0.85331200000000007</v>
      </c>
      <c r="BG150" s="345">
        <f t="shared" si="9"/>
        <v>0.50594479787234037</v>
      </c>
      <c r="BH150" s="345">
        <f>Table16[[#This Row],[IQ Loss]]+Table16[[#This Row],[Switching Current Loss]]</f>
        <v>0.90131200000000011</v>
      </c>
      <c r="BI150"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7.5863825843464321</v>
      </c>
      <c r="BJ150" s="253">
        <f>Vout*Table16[[#This Row],[Iout]]</f>
        <v>128</v>
      </c>
      <c r="BK150" s="684">
        <f>Table16[[#This Row],[Pout]]/(Table16[[#This Row],[Pout]]+Table16[[#This Row],[Total Loss]])</f>
        <v>0.94404760684851918</v>
      </c>
      <c r="BL150"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64.87982795385787</v>
      </c>
      <c r="BM150" s="685">
        <f>IF(Table16[[#This Row],[Vin]]&gt;Vout, Table16[[#This Row],[Total Sync Bu MOSFET Loss]]*ThetaJA_Q2, ThetaJA_Q3*Table16[[#This Row],[Total Sync Bo MOSFET Loss]])</f>
        <v>22.727262455059915</v>
      </c>
      <c r="BN150" s="640"/>
      <c r="BO150" s="292">
        <f>Table16[[#This Row],[EFF, h]]*100</f>
        <v>94.404760684851922</v>
      </c>
      <c r="BP150" s="345">
        <f>Table16[[#This Row],[Total Inductor Loss]]</f>
        <v>3.8593970067690666</v>
      </c>
      <c r="BQ150" s="345">
        <f>Table16[[#This Row],[Total Control Bu MOSFET Loss]]+Table16[[#This Row],[Total Sync Bu MOSFET Loss]]+Table16[[#This Row],[Total Control Bo MOSFET Loss]]+Table16[[#This Row],[Total Sync Bo MOSFET Loss]]+Table16[[#This Row],[Reverse Recovery Loss MOSFET D BUCK]]+Table16[[#This Row],[Reverse Recovery Loss MOSFET D BOOST]]</f>
        <v>2.0994667308134156</v>
      </c>
      <c r="BR150" s="345">
        <f>Table16[[#This Row],[Total Control Bu MOSFET Loss]]+Table16[[#This Row],[Reverse Recovery Loss MOSFET D BUCK]]*0.66</f>
        <v>1.318749512490121</v>
      </c>
      <c r="BS150" s="345">
        <f>Table16[[#This Row],[Total Sync Bu MOSFET Loss]]+Table16[[#This Row],[Reverse Recovery Loss MOSFET D BUCK]]*0.33</f>
        <v>0.50994934821630644</v>
      </c>
      <c r="BT150" s="345">
        <f xml:space="preserve"> Table16[[#This Row],[Total Control Bo MOSFET Loss]]+Table16[[#This Row],[Reverse Recovery Loss MOSFET D BOOST]]*0.66</f>
        <v>0</v>
      </c>
      <c r="BU150" s="345">
        <f xml:space="preserve"> Table16[[#This Row],[Total Sync Bo MOSFET Loss]]+Table16[[#This Row],[Reverse Recovery Loss MOSFET D BOOST]]*0.33</f>
        <v>0.26591031990698832</v>
      </c>
      <c r="BV150" s="345">
        <f>Table16[[#This Row],[Isense Shunt Loss]]</f>
        <v>3.7741852376614322E-2</v>
      </c>
    </row>
    <row r="151" spans="7:74" x14ac:dyDescent="0.2">
      <c r="G151" s="253">
        <v>142</v>
      </c>
      <c r="H151" s="286">
        <f>VIN_min+(VIN_max-VIN_min)*(Table16[[#This Row],[Step]]/200)</f>
        <v>27.299999999999997</v>
      </c>
      <c r="I151" s="292" t="str">
        <f>IF(Mode = 2,IF(Table16[[#This Row],[Vin]]&gt;Vout, "BUCK","BOOST"),IF(Table16[[#This Row],[Vin]]&gt;VIN_BB_to_buck, "BUCK", IF(Table16[[#This Row],[Vin]]&lt;=VIN_boost_to_BB,"BOOST","BUCK-BST")))</f>
        <v>BUCK</v>
      </c>
      <c r="J151" s="253">
        <f>IF(Table16[[#This Row],[Mode]]="BOOST",2, IF(Table16[[#This Row],[Mode]]="BUCK", 1,3))</f>
        <v>1</v>
      </c>
      <c r="K151" s="253">
        <f t="shared" si="7"/>
        <v>8</v>
      </c>
      <c r="L151" s="292">
        <f>Vout*Table16[[#This Row],[Iout]]/(Table16[[#This Row],[Vin]]*Efficiency)</f>
        <v>4.9354154617312522</v>
      </c>
      <c r="M151" s="682">
        <f>MIN(1/Fsw,CHOOSE(Table16[[#This Row],[Mode Digit]],(Vout+(Rdson2+Rs+Rdcr)*Table16[[#This Row],[Iout]])/(Table16[[#This Row],[Vin]]+(Rs+Rdson2-Rdson1)*Table16[[#This Row],[Iout]])/Fsw,(Vout+(Rdson3+Rdcr)*Table16[[#This Row],[Iin]]-Table16[[#This Row],[Vin]])/(Vout+(Rdson3-Rdson4-Rs)*Table16[[#This Row],[Iin]])/Fsw,t1_Ph_II))</f>
        <v>1.4778915374811844E-6</v>
      </c>
      <c r="N151" s="518">
        <f>CHOOSE(Table16[[#This Row],[Mode Digit]],1/Fsw-Table16[[#This Row],[t1_Ph_II]],1/Fsw-Table16[[#This Row],[t1_Ph_II]],(Vout/Fsw-Table16[[#This Row],[Vin]]*t1_Ph_II)/(Table16[[#This Row],[Vin]]+Vout))</f>
        <v>1.0346712765891675E-6</v>
      </c>
      <c r="O151" s="518">
        <f>1/Fsw-(Table16[[#This Row],[t1_Ph_II]]+Table16[[#This Row],[t2_Ph_I]])</f>
        <v>0</v>
      </c>
      <c r="P151"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3.3610626740173952</v>
      </c>
      <c r="Q151" s="292">
        <f>CHOOSE(Table16[[#This Row],[Mode Digit]],Table16[[#This Row],[I_0]]+1/Lf*(Table16[[#This Row],[Vin]]-Vout)*Table16[[#This Row],[t1_Ph_II]],Table16[[#This Row],[I_0]]+1/Lf*Table16[[#This Row],[Vin]]*Table16[[#This Row],[t1_Ph_II]],Table16[[#This Row],[I_0]]+(Table16[[#This Row],[Vin]]-Vout)/L*Table16[[#This Row],[t1_Ph_II]])</f>
        <v>12.638937325982605</v>
      </c>
      <c r="R151" s="292">
        <f>CHOOSE(Table16[[#This Row],[Mode Digit]],0,0,Table16[[#This Row],[I_1]]+Table16[[#This Row],[Vin]]/L*Table16[[#This Row],[t2_Ph_I]])</f>
        <v>0</v>
      </c>
      <c r="S151" s="292">
        <f>Fsw*(Table16[[#This Row],[I_0]]*Table16[[#This Row],[t1_Ph_II]]+Table16[[#This Row],[I_1]]*Table16[[#This Row],[t2_Ph_I]]+Table16[[#This Row],[I_2]]*Table16[[#This Row],[t3_Ph_III]])</f>
        <v>7.1816837372702791</v>
      </c>
      <c r="T151" s="345">
        <f>MIN(1,CHOOSE(Table16[[#This Row],[Mode Digit]],(Vout+(Rdson2+Rs+Rdcr)*Table16[[#This Row],[Iout]])/(Table16[[#This Row],[Vin]]+(Rs+Rdson2-Rdson1)*Table16[[#This Row],[Iout]]),1,Fsw*Table16[[#This Row],[t2_Ph_I]]+Table16[[#This Row],[t1_Ph_II]]))</f>
        <v>0.58820083191751138</v>
      </c>
      <c r="U151" s="345">
        <f>MIN(1,CHOOSE(Table16[[#This Row],[Mode Digit]],0,(Vout+(Rdson3+Rdcr)*Table16[[#This Row],[Iin]]-Table16[[#This Row],[Vin]])/(Vout+(Rdson3-Rdson4-Rs)*Table16[[#This Row],[Iin]]),Fsw*Table16[[#This Row],[t1_Ph_II]]+Table16[[#This Row],[t3_Ph_III]]))</f>
        <v>0</v>
      </c>
      <c r="V151" s="292">
        <f>MAX(Table16[[#This Row],[I_0]:[I_2]])-MIN(Table16[[#This Row],[I_0]:[I_1]])</f>
        <v>9.2778746519652096</v>
      </c>
      <c r="W151"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8.4364237983163353</v>
      </c>
      <c r="X151" s="345">
        <f>(Table16[[#This Row],[Irms Lf]]^2*Rdcr*(1+Ltc*Ta-Ltc*25))/(1-Table16[[#This Row],[Irms Lf]]^2*Rdcr*Ltc*ThetaCa)</f>
        <v>0.23198116713026842</v>
      </c>
      <c r="Y151" s="345">
        <f>ABS(7.759*10^-3*Fsw^0.9458*(0.00787*Table16[[#This Row],[Ripple Current pk-pk]])^2.304)</f>
        <v>3.6940459257459128</v>
      </c>
      <c r="Z151" s="345">
        <f>Table16[[#This Row],[DCR    Loss]]+Table16[[#This Row],[Core Loss]]</f>
        <v>3.9260270928761813</v>
      </c>
      <c r="AA151" s="292">
        <f>IF(Table16[[#This Row],[Vin]]&gt;Vout, Table16[[#This Row],[Ripple Current pk-pk]]/SQRT(12), SQRT(Table16[[#This Row],[Duty Cycle BOOST Leg]]/(1-Table16[[#This Row],[Duty Cycle BOOST Leg]]))*SQRT(Table16[[#This Row],[Iout]]^2+(Table16[[#This Row],[Ripple Current pk-pk]]^2)/12))</f>
        <v>2.6782917139098599</v>
      </c>
      <c r="AB151" s="345">
        <f>RCoutEsr*Table16[[#This Row],[Irms Cout]]^2</f>
        <v>1.434649300959643E-2</v>
      </c>
      <c r="AC151" s="345">
        <f>Table16[[#This Row],[Cout ESR Loss]]</f>
        <v>1.434649300959643E-2</v>
      </c>
      <c r="AD151" s="345">
        <f>IF(Table16[[#This Row],[Vin]]&gt;Vout, SQRT(Table16[[#This Row],[Duty Cycle BUCK Leg]]*(1-Table16[[#This Row],[Duty Cycle BUCK Leg]]))*SQRT(Table16[[#This Row],[Iout]]^2+(Table16[[#This Row],[Ripple Current pk-pk]]^2)/12), Table16[[#This Row],[Ripple Current pk-pk]]/SQRT(12))</f>
        <v>4.152063031231422</v>
      </c>
      <c r="AE151" s="345">
        <f>RCinEsr*Table16[[#This Row],[Irms Cin]]^2</f>
        <v>3.4479254830637331E-2</v>
      </c>
      <c r="AF151" s="683">
        <f>Table16[[#This Row],[Cin ESR Loss]]</f>
        <v>3.4479254830637331E-2</v>
      </c>
      <c r="AG151"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6.4702521438033944</v>
      </c>
      <c r="AH151" s="345">
        <f>Rdson1*Table16[[#This Row],[Irms BuCtrl]]^2</f>
        <v>0.14652456981537348</v>
      </c>
      <c r="AI151" s="345">
        <f>CHOOSE(Table16[[#This Row],[Mode Digit]], (Table16[[#This Row],[Vin]]*Table16[[#This Row],[Iout]]/2)*(Fsw)*(Tr_buck+Tf_buck), 0, (Table16[[#This Row],[Vin]]*Table16[[#This Row],[Avg IL]]/2)*(Fsw/1)*(Tr_buck+Tf_buck))</f>
        <v>0.81736400888865313</v>
      </c>
      <c r="AJ151" s="253">
        <f>IF(Table16[[#This Row],[Vin]]&gt;Vout, IF(Table16[[#This Row],[Iout]]&gt;Table16[[#This Row],[Ripple Current pk-pk]]/2,0,ABS(Table16[[#This Row],[Iout]]-Table16[[#This Row],[Ripple Current pk-pk]]/2)*Vsd_Q1*Deadtime*Fsw),0)</f>
        <v>0</v>
      </c>
      <c r="AK151" s="345">
        <f>(Table16[[#This Row],[Dead Time Loss BuCtrl]]+Table16[[#This Row],[Transition Loss BuCtrl]]+Table16[[#This Row],[RDS(on) Loss BuCtrl]]*(1+RdsonTopTc*Ta-RdsonTopTc*25))/(1-Table16[[#This Row],[RDS(on) Loss BuCtrl]]*RdsonTopTc*ThetaJA_Q1)</f>
        <v>1.002063581872003</v>
      </c>
      <c r="AL151" s="345">
        <f>CHOOSE(Table16[[#This Row],[Mode Digit]],SQRT((Fsw*(Table16[[#This Row],[t2_Ph_I]]+0))*((Table16[[#This Row],[I_0]]*Table16[[#This Row],[I_1]]+((Table16[[#This Row],[I_0]]-Table16[[#This Row],[I_1]])^2)/3))),0,SQRT((Fsw*(Table16[[#This Row],[t3_Ph_III]]+0))*((Table16[[#This Row],[I_0]]*Table16[[#This Row],[I_2]]+((Table16[[#This Row],[I_0]]-Table16[[#This Row],[I_2]])^2)/3))))</f>
        <v>5.4137864476173974</v>
      </c>
      <c r="AM151" s="345">
        <f>Rdson2*Table16[[#This Row],[Irms BuSync]]^2</f>
        <v>0.10258179295142031</v>
      </c>
      <c r="AN151"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51" s="345">
        <f>(Table16[[#This Row],[Deadtime Loss BuSync]]+Table16[[#This Row],[RDS(on) Loss BuSync]]*(1+RdsonBotTc*Ta-RdsonBotTc*25))/(1-Table16[[#This Row],[RDS(on) Loss BuSync]]*RdsonBotTc*ThetaJA_Q2)</f>
        <v>0.35073637619550924</v>
      </c>
      <c r="AP151" s="345">
        <f>CHOOSE(Table16[[#This Row],[Mode Digit]],0,SQRT((Fsw*(Table16[[#This Row],[t1_Ph_II]]+0))*((Table16[[#This Row],[I_0]]*Table16[[#This Row],[I_1]]+((Table16[[#This Row],[I_0]]-Table16[[#This Row],[I_1]])^2)/3))),SQRT((Fsw*(Table16[[#This Row],[t2_Ph_I]]+0))*((Table16[[#This Row],[I_1]]*Table16[[#This Row],[I_2]]+((Table16[[#This Row],[I_1]]-Table16[[#This Row],[I_2]])^2)/3))))</f>
        <v>0</v>
      </c>
      <c r="AQ151" s="345">
        <f>Rdson4*Table16[[#This Row],[Irms BoCtlr]]^2</f>
        <v>0</v>
      </c>
      <c r="AR151" s="345">
        <f>CHOOSE(Table16[[#This Row],[Mode Digit]], 0, (Vout*Table16[[#This Row],[Iin]]/2)*(Fsw)*(Tr_boost+Tf_boost), (Vout*Iout/2)*(Fsw/1)*(Tr_boost+Tf_boost))</f>
        <v>0</v>
      </c>
      <c r="AS151" s="253">
        <f>IF(Table16[[#This Row],[Vin]]&gt;Vout, 0, IF(Table16[[#This Row],[Iin]]&gt;Table16[[#This Row],[Ripple Current pk-pk]]/2,0,ABS(Table16[[#This Row],[Iin]]-Table16[[#This Row],[Ripple Current pk-pk]]/2)*Vsd_Q4*Deadtime*Fsw))</f>
        <v>0</v>
      </c>
      <c r="AT151" s="345">
        <f>(Table16[[#This Row],[Dead Time Loss BoCtlr]]+Table16[[#This Row],[Transition Loss BoCtlr]]+Table16[[#This Row],[RDS(on) Loss BoCtlr]]*(1+RdsonTopTc*Ta-RdsonTopTc*25))/(1-Table16[[#This Row],[RDS(on) Loss BoCtlr]]*RdsonTopTc*ThetaJA_Q4)</f>
        <v>0</v>
      </c>
      <c r="AU151"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8.4364237983163353</v>
      </c>
      <c r="AV151" s="345">
        <f>Rdson3*Table16[[#This Row],[Irms BoSync]]^2</f>
        <v>0.24910636276679377</v>
      </c>
      <c r="AW151"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51" s="345">
        <f>(Table16[[#This Row],[Deadtime Loss BoSync]]+Table16[[#This Row],[RDS(on) Loss BoSync]]*(1+RdsonBotTc*Ta-RdsonBotTc*25))/(1-Table16[[#This Row],[RDS(on) Loss BoSync]]*RdsonBotTc*ThetaJA_Q3)</f>
        <v>0.26635772802051849</v>
      </c>
      <c r="AY151" s="345">
        <f>CHOOSE(Table16[[#This Row],[Mode Digit]], Rdson3*Table16[[#This Row],[Irms Lf]]^2, Rdson1*Table16[[#This Row],[Irms Lf]]^2, 0)</f>
        <v>0.24910636276679377</v>
      </c>
      <c r="AZ151" s="345">
        <f>CHOOSE(Table16[[#This Row],[Mode Digit]], 2*Deadtime*Fsw*IF(VfdSky_Q2&gt;0,VfdSky_Q2,0)*Table16[[#This Row],[Iout]], 2*Deadtime*Fsw*IF(VfdSky_Q3&gt;0,VfdSky_Q3,0)*Table16[[#This Row],[Iin]], 2*Deadtime*Fsw*IF(VfdSky_Q2&gt;0,VfdSky_Q2,0)*Table16[[#This Row],[Iout]]+2*Deadtime*Fsw*IF(VfdSky_Q3&gt;0,VfdSky_Q3,0)*Table16[[#This Row],[Iin]])</f>
        <v>0</v>
      </c>
      <c r="BA151" s="345">
        <f>CHOOSE(Table16[[#This Row],[Mode Digit]], IF(QrrSky_Q2&gt;0,QrrSky_Q2,Qrr_Q2)*Fsw*(Table16[[#This Row],[Vin]]-Table16[[#This Row],[Iout]]*Rdson1),0,  IF(QrrSky_Q2&gt;0,QrrSky_Q2,Qrr_Q2)*Fsw*(Table16[[#This Row],[Vin]]-Table16[[#This Row],[Iout]]*Rdson1)+IF(QrrSky_Q3&gt;0,QrrSky_Q3,Qrr_Q3)*Fsw*Vout)</f>
        <v>0.48844151999999996</v>
      </c>
      <c r="BB151" s="345">
        <f>CHOOSE(Table16[[#This Row],[Mode Digit]],0, IF(QrrSky_Q3&gt;0,QrrSky_Q3,Qrr_Q3)*Fsw*Vout,  IF(QrrSky_Q2&gt;0,QrrSky_Q2,Qrr_Q2)*Fsw*(Table16[[#This Row],[Vin]]-Table16[[#This Row],[Iout]]*Rdson1)+IF(QrrSky_Q3&gt;0,QrrSky_Q3,Qrr_Q3)*Fsw*Vout)</f>
        <v>0</v>
      </c>
      <c r="BC151" s="345">
        <f>CHOOSE(Table16[[#This Row],[Mode Digit]], Rs*Table16[[#This Row],[Irms BuSync]]^2, Rs*Table16[[#This Row],[Irms BoCtlr]]^2, Rs*(Table16[[#This Row],[Irms BuSync]]^2+Table16[[#This Row],[Irms BoCtlr]]^2))</f>
        <v>3.8101808810527542E-2</v>
      </c>
      <c r="BD151" s="345">
        <f t="shared" si="8"/>
        <v>0.64</v>
      </c>
      <c r="BE151" s="345">
        <f>IF(Vout&gt;8, Iq*Vout, Iq*Table16[[#This Row],[Vin]])</f>
        <v>4.8000000000000001E-2</v>
      </c>
      <c r="BF151" s="345">
        <f>CHOOSE(Table16[[#This Row],[Mode Digit]], (Qg_Q1+Qg_Q2)*Fsw, (Qg_Q3+Qg_Q4)*Fsw, (Qg_Q1+Qg_Q2+Qg_Q3+Qg_Q4)*Fsw)*IF(Vout&gt;8, Vout, Table16[[#This Row],[Vin]])</f>
        <v>0.85331200000000007</v>
      </c>
      <c r="BG151" s="345">
        <f t="shared" si="9"/>
        <v>0.50594479787234037</v>
      </c>
      <c r="BH151" s="345">
        <f>Table16[[#This Row],[IQ Loss]]+Table16[[#This Row],[Switching Current Loss]]</f>
        <v>0.90131200000000011</v>
      </c>
      <c r="BI151"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7.6618658556149724</v>
      </c>
      <c r="BJ151" s="253">
        <f>Vout*Table16[[#This Row],[Iout]]</f>
        <v>128</v>
      </c>
      <c r="BK151" s="684">
        <f>Table16[[#This Row],[Pout]]/(Table16[[#This Row],[Pout]]+Table16[[#This Row],[Total Loss]])</f>
        <v>0.94352233173787026</v>
      </c>
      <c r="BL151"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65.134132821680197</v>
      </c>
      <c r="BM151" s="685">
        <f>IF(Table16[[#This Row],[Vin]]&gt;Vout, Table16[[#This Row],[Total Sync Bu MOSFET Loss]]*ThetaJA_Q2, ThetaJA_Q3*Table16[[#This Row],[Total Sync Bo MOSFET Loss]])</f>
        <v>22.797864452708101</v>
      </c>
      <c r="BN151" s="640"/>
      <c r="BO151" s="292">
        <f>Table16[[#This Row],[EFF, h]]*100</f>
        <v>94.352233173787027</v>
      </c>
      <c r="BP151" s="345">
        <f>Table16[[#This Row],[Total Inductor Loss]]</f>
        <v>3.9260270928761813</v>
      </c>
      <c r="BQ151" s="345">
        <f>Table16[[#This Row],[Total Control Bu MOSFET Loss]]+Table16[[#This Row],[Total Sync Bu MOSFET Loss]]+Table16[[#This Row],[Total Control Bo MOSFET Loss]]+Table16[[#This Row],[Total Sync Bo MOSFET Loss]]+Table16[[#This Row],[Reverse Recovery Loss MOSFET D BUCK]]+Table16[[#This Row],[Reverse Recovery Loss MOSFET D BOOST]]</f>
        <v>2.1075992060880306</v>
      </c>
      <c r="BR151" s="345">
        <f>Table16[[#This Row],[Total Control Bu MOSFET Loss]]+Table16[[#This Row],[Reverse Recovery Loss MOSFET D BUCK]]*0.66</f>
        <v>1.324434985072003</v>
      </c>
      <c r="BS151" s="345">
        <f>Table16[[#This Row],[Total Sync Bu MOSFET Loss]]+Table16[[#This Row],[Reverse Recovery Loss MOSFET D BUCK]]*0.33</f>
        <v>0.51192207779550924</v>
      </c>
      <c r="BT151" s="345">
        <f xml:space="preserve"> Table16[[#This Row],[Total Control Bo MOSFET Loss]]+Table16[[#This Row],[Reverse Recovery Loss MOSFET D BOOST]]*0.66</f>
        <v>0</v>
      </c>
      <c r="BU151" s="345">
        <f xml:space="preserve"> Table16[[#This Row],[Total Sync Bo MOSFET Loss]]+Table16[[#This Row],[Reverse Recovery Loss MOSFET D BOOST]]*0.33</f>
        <v>0.26635772802051849</v>
      </c>
      <c r="BV151" s="345">
        <f>Table16[[#This Row],[Isense Shunt Loss]]</f>
        <v>3.8101808810527542E-2</v>
      </c>
    </row>
    <row r="152" spans="7:74" x14ac:dyDescent="0.2">
      <c r="G152" s="253">
        <v>143</v>
      </c>
      <c r="H152" s="286">
        <f>VIN_min+(VIN_max-VIN_min)*(Table16[[#This Row],[Step]]/200)</f>
        <v>27.45</v>
      </c>
      <c r="I152" s="292" t="str">
        <f>IF(Mode = 2,IF(Table16[[#This Row],[Vin]]&gt;Vout, "BUCK","BOOST"),IF(Table16[[#This Row],[Vin]]&gt;VIN_BB_to_buck, "BUCK", IF(Table16[[#This Row],[Vin]]&lt;=VIN_boost_to_BB,"BOOST","BUCK-BST")))</f>
        <v>BUCK</v>
      </c>
      <c r="J152" s="253">
        <f>IF(Table16[[#This Row],[Mode]]="BOOST",2, IF(Table16[[#This Row],[Mode]]="BUCK", 1,3))</f>
        <v>1</v>
      </c>
      <c r="K152" s="253">
        <f t="shared" si="7"/>
        <v>8</v>
      </c>
      <c r="L152" s="292">
        <f>Vout*Table16[[#This Row],[Iout]]/(Table16[[#This Row],[Vin]]*Efficiency)</f>
        <v>4.9084459783338135</v>
      </c>
      <c r="M152" s="682">
        <f>MIN(1/Fsw,CHOOSE(Table16[[#This Row],[Mode Digit]],(Vout+(Rdson2+Rs+Rdcr)*Table16[[#This Row],[Iout]])/(Table16[[#This Row],[Vin]]+(Rs+Rdson2-Rdson1)*Table16[[#This Row],[Iout]])/Fsw,(Vout+(Rdson3+Rdcr)*Table16[[#This Row],[Iin]]-Table16[[#This Row],[Vin]])/(Vout+(Rdson3-Rdson4-Rs)*Table16[[#This Row],[Iin]])/Fsw,t1_Ph_II))</f>
        <v>1.469818686006982E-6</v>
      </c>
      <c r="N152" s="518">
        <f>CHOOSE(Table16[[#This Row],[Mode Digit]],1/Fsw-Table16[[#This Row],[t1_Ph_II]],1/Fsw-Table16[[#This Row],[t1_Ph_II]],(Vout/Fsw-Table16[[#This Row],[Vin]]*t1_Ph_II)/(Table16[[#This Row],[Vin]]+Vout))</f>
        <v>1.0427441280633699E-6</v>
      </c>
      <c r="O152" s="518">
        <f>1/Fsw-(Table16[[#This Row],[t1_Ph_II]]+Table16[[#This Row],[t2_Ph_I]])</f>
        <v>0</v>
      </c>
      <c r="P152"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3.3251600125611276</v>
      </c>
      <c r="Q152" s="292">
        <f>CHOOSE(Table16[[#This Row],[Mode Digit]],Table16[[#This Row],[I_0]]+1/Lf*(Table16[[#This Row],[Vin]]-Vout)*Table16[[#This Row],[t1_Ph_II]],Table16[[#This Row],[I_0]]+1/Lf*Table16[[#This Row],[Vin]]*Table16[[#This Row],[t1_Ph_II]],Table16[[#This Row],[I_0]]+(Table16[[#This Row],[Vin]]-Vout)/L*Table16[[#This Row],[t1_Ph_II]])</f>
        <v>12.674839987438872</v>
      </c>
      <c r="R152" s="292">
        <f>CHOOSE(Table16[[#This Row],[Mode Digit]],0,0,Table16[[#This Row],[I_1]]+Table16[[#This Row],[Vin]]/L*Table16[[#This Row],[t2_Ph_I]])</f>
        <v>0</v>
      </c>
      <c r="S152" s="292">
        <f>Fsw*(Table16[[#This Row],[I_0]]*Table16[[#This Row],[t1_Ph_II]]+Table16[[#This Row],[I_1]]*Table16[[#This Row],[t2_Ph_I]]+Table16[[#This Row],[I_2]]*Table16[[#This Row],[t3_Ph_III]])</f>
        <v>7.2053909220051544</v>
      </c>
      <c r="T152" s="345">
        <f>MIN(1,CHOOSE(Table16[[#This Row],[Mode Digit]],(Vout+(Rdson2+Rs+Rdcr)*Table16[[#This Row],[Iout]])/(Table16[[#This Row],[Vin]]+(Rs+Rdson2-Rdson1)*Table16[[#This Row],[Iout]]),1,Fsw*Table16[[#This Row],[t2_Ph_I]]+Table16[[#This Row],[t1_Ph_II]]))</f>
        <v>0.58498783703077883</v>
      </c>
      <c r="U152" s="345">
        <f>MIN(1,CHOOSE(Table16[[#This Row],[Mode Digit]],0,(Vout+(Rdson3+Rdcr)*Table16[[#This Row],[Iin]]-Table16[[#This Row],[Vin]])/(Vout+(Rdson3-Rdson4-Rs)*Table16[[#This Row],[Iin]]),Fsw*Table16[[#This Row],[t1_Ph_II]]+Table16[[#This Row],[t3_Ph_III]]))</f>
        <v>0</v>
      </c>
      <c r="V152" s="292">
        <f>MAX(Table16[[#This Row],[I_0]:[I_2]])-MIN(Table16[[#This Row],[I_0]:[I_1]])</f>
        <v>9.3496799748777448</v>
      </c>
      <c r="W152"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8.4430272791252126</v>
      </c>
      <c r="X152" s="345">
        <f>(Table16[[#This Row],[Irms Lf]]^2*Rdcr*(1+Ltc*Ta-Ltc*25))/(1-Table16[[#This Row],[Irms Lf]]^2*Rdcr*Ltc*ThetaCa)</f>
        <v>0.23235122171499303</v>
      </c>
      <c r="Y152" s="345">
        <f>ABS(7.759*10^-3*Fsw^0.9458*(0.00787*Table16[[#This Row],[Ripple Current pk-pk]])^2.304)</f>
        <v>3.7602493714614145</v>
      </c>
      <c r="Z152" s="345">
        <f>Table16[[#This Row],[DCR    Loss]]+Table16[[#This Row],[Core Loss]]</f>
        <v>3.9926005931764075</v>
      </c>
      <c r="AA152" s="292">
        <f>IF(Table16[[#This Row],[Vin]]&gt;Vout, Table16[[#This Row],[Ripple Current pk-pk]]/SQRT(12), SQRT(Table16[[#This Row],[Duty Cycle BOOST Leg]]/(1-Table16[[#This Row],[Duty Cycle BOOST Leg]]))*SQRT(Table16[[#This Row],[Iout]]^2+(Table16[[#This Row],[Ripple Current pk-pk]]^2)/12))</f>
        <v>2.69902012516626</v>
      </c>
      <c r="AB152" s="345">
        <f>RCoutEsr*Table16[[#This Row],[Irms Cout]]^2</f>
        <v>1.4569419272104988E-2</v>
      </c>
      <c r="AC152" s="345">
        <f>Table16[[#This Row],[Cout ESR Loss]]</f>
        <v>1.4569419272104988E-2</v>
      </c>
      <c r="AD152" s="345">
        <f>IF(Table16[[#This Row],[Vin]]&gt;Vout, SQRT(Table16[[#This Row],[Duty Cycle BUCK Leg]]*(1-Table16[[#This Row],[Duty Cycle BUCK Leg]]))*SQRT(Table16[[#This Row],[Iout]]^2+(Table16[[#This Row],[Ripple Current pk-pk]]^2)/12), Table16[[#This Row],[Ripple Current pk-pk]]/SQRT(12))</f>
        <v>4.1600832644408587</v>
      </c>
      <c r="AE152" s="345">
        <f>RCinEsr*Table16[[#This Row],[Irms Cin]]^2</f>
        <v>3.4612585534161827E-2</v>
      </c>
      <c r="AF152" s="683">
        <f>Table16[[#This Row],[Cin ESR Loss]]</f>
        <v>3.4612585534161827E-2</v>
      </c>
      <c r="AG152"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6.4576069951152544</v>
      </c>
      <c r="AH152" s="345">
        <f>Rdson1*Table16[[#This Row],[Irms BuCtrl]]^2</f>
        <v>0.14595240836176512</v>
      </c>
      <c r="AI152" s="345">
        <f>CHOOSE(Table16[[#This Row],[Mode Digit]], (Table16[[#This Row],[Vin]]*Table16[[#This Row],[Iout]]/2)*(Fsw)*(Tr_buck+Tf_buck), 0, (Table16[[#This Row],[Vin]]*Table16[[#This Row],[Avg IL]]/2)*(Fsw/1)*(Tr_buck+Tf_buck))</f>
        <v>0.82185501992650301</v>
      </c>
      <c r="AJ152" s="253">
        <f>IF(Table16[[#This Row],[Vin]]&gt;Vout, IF(Table16[[#This Row],[Iout]]&gt;Table16[[#This Row],[Ripple Current pk-pk]]/2,0,ABS(Table16[[#This Row],[Iout]]-Table16[[#This Row],[Ripple Current pk-pk]]/2)*Vsd_Q1*Deadtime*Fsw),0)</f>
        <v>0</v>
      </c>
      <c r="AK152" s="345">
        <f>(Table16[[#This Row],[Dead Time Loss BuCtrl]]+Table16[[#This Row],[Transition Loss BuCtrl]]+Table16[[#This Row],[RDS(on) Loss BuCtrl]]*(1+RdsonTopTc*Ta-RdsonTopTc*25))/(1-Table16[[#This Row],[RDS(on) Loss BuCtrl]]*RdsonTopTc*ThetaJA_Q1)</f>
        <v>1.0059820594168278</v>
      </c>
      <c r="AL152" s="345">
        <f>CHOOSE(Table16[[#This Row],[Mode Digit]],SQRT((Fsw*(Table16[[#This Row],[t2_Ph_I]]+0))*((Table16[[#This Row],[I_0]]*Table16[[#This Row],[I_1]]+((Table16[[#This Row],[I_0]]-Table16[[#This Row],[I_1]])^2)/3))),0,SQRT((Fsw*(Table16[[#This Row],[t3_Ph_III]]+0))*((Table16[[#This Row],[I_0]]*Table16[[#This Row],[I_2]]+((Table16[[#This Row],[I_0]]-Table16[[#This Row],[I_2]])^2)/3))))</f>
        <v>5.4391195549179674</v>
      </c>
      <c r="AM152" s="345">
        <f>Rdson2*Table16[[#This Row],[Irms BuSync]]^2</f>
        <v>0.10354407536441861</v>
      </c>
      <c r="AN152"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52" s="345">
        <f>(Table16[[#This Row],[Deadtime Loss BuSync]]+Table16[[#This Row],[RDS(on) Loss BuSync]]*(1+RdsonBotTc*Ta-RdsonBotTc*25))/(1-Table16[[#This Row],[RDS(on) Loss BuSync]]*RdsonBotTc*ThetaJA_Q2)</f>
        <v>0.35181546108482153</v>
      </c>
      <c r="AP152" s="345">
        <f>CHOOSE(Table16[[#This Row],[Mode Digit]],0,SQRT((Fsw*(Table16[[#This Row],[t1_Ph_II]]+0))*((Table16[[#This Row],[I_0]]*Table16[[#This Row],[I_1]]+((Table16[[#This Row],[I_0]]-Table16[[#This Row],[I_1]])^2)/3))),SQRT((Fsw*(Table16[[#This Row],[t2_Ph_I]]+0))*((Table16[[#This Row],[I_1]]*Table16[[#This Row],[I_2]]+((Table16[[#This Row],[I_1]]-Table16[[#This Row],[I_2]])^2)/3))))</f>
        <v>0</v>
      </c>
      <c r="AQ152" s="345">
        <f>Rdson4*Table16[[#This Row],[Irms BoCtlr]]^2</f>
        <v>0</v>
      </c>
      <c r="AR152" s="345">
        <f>CHOOSE(Table16[[#This Row],[Mode Digit]], 0, (Vout*Table16[[#This Row],[Iin]]/2)*(Fsw)*(Tr_boost+Tf_boost), (Vout*Iout/2)*(Fsw/1)*(Tr_boost+Tf_boost))</f>
        <v>0</v>
      </c>
      <c r="AS152" s="253">
        <f>IF(Table16[[#This Row],[Vin]]&gt;Vout, 0, IF(Table16[[#This Row],[Iin]]&gt;Table16[[#This Row],[Ripple Current pk-pk]]/2,0,ABS(Table16[[#This Row],[Iin]]-Table16[[#This Row],[Ripple Current pk-pk]]/2)*Vsd_Q4*Deadtime*Fsw))</f>
        <v>0</v>
      </c>
      <c r="AT152" s="345">
        <f>(Table16[[#This Row],[Dead Time Loss BoCtlr]]+Table16[[#This Row],[Transition Loss BoCtlr]]+Table16[[#This Row],[RDS(on) Loss BoCtlr]]*(1+RdsonTopTc*Ta-RdsonTopTc*25))/(1-Table16[[#This Row],[RDS(on) Loss BoCtlr]]*RdsonTopTc*ThetaJA_Q4)</f>
        <v>0</v>
      </c>
      <c r="AU152"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8.4430272791252126</v>
      </c>
      <c r="AV152" s="345">
        <f>Rdson3*Table16[[#This Row],[Irms BoSync]]^2</f>
        <v>0.24949648372618369</v>
      </c>
      <c r="AW152"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52" s="345">
        <f>(Table16[[#This Row],[Deadtime Loss BoSync]]+Table16[[#This Row],[RDS(on) Loss BoSync]]*(1+RdsonBotTc*Ta-RdsonBotTc*25))/(1-Table16[[#This Row],[RDS(on) Loss BoSync]]*RdsonBotTc*ThetaJA_Q3)</f>
        <v>0.26680380247219665</v>
      </c>
      <c r="AY152" s="345">
        <f>CHOOSE(Table16[[#This Row],[Mode Digit]], Rdson3*Table16[[#This Row],[Irms Lf]]^2, Rdson1*Table16[[#This Row],[Irms Lf]]^2, 0)</f>
        <v>0.24949648372618369</v>
      </c>
      <c r="AZ152" s="345">
        <f>CHOOSE(Table16[[#This Row],[Mode Digit]], 2*Deadtime*Fsw*IF(VfdSky_Q2&gt;0,VfdSky_Q2,0)*Table16[[#This Row],[Iout]], 2*Deadtime*Fsw*IF(VfdSky_Q3&gt;0,VfdSky_Q3,0)*Table16[[#This Row],[Iin]], 2*Deadtime*Fsw*IF(VfdSky_Q2&gt;0,VfdSky_Q2,0)*Table16[[#This Row],[Iout]]+2*Deadtime*Fsw*IF(VfdSky_Q3&gt;0,VfdSky_Q3,0)*Table16[[#This Row],[Iin]])</f>
        <v>0</v>
      </c>
      <c r="BA152" s="345">
        <f>CHOOSE(Table16[[#This Row],[Mode Digit]], IF(QrrSky_Q2&gt;0,QrrSky_Q2,Qrr_Q2)*Fsw*(Table16[[#This Row],[Vin]]-Table16[[#This Row],[Iout]]*Rdson1),0,  IF(QrrSky_Q2&gt;0,QrrSky_Q2,Qrr_Q2)*Fsw*(Table16[[#This Row],[Vin]]-Table16[[#This Row],[Iout]]*Rdson1)+IF(QrrSky_Q3&gt;0,QrrSky_Q3,Qrr_Q3)*Fsw*Vout)</f>
        <v>0.49112802</v>
      </c>
      <c r="BB152" s="345">
        <f>CHOOSE(Table16[[#This Row],[Mode Digit]],0, IF(QrrSky_Q3&gt;0,QrrSky_Q3,Qrr_Q3)*Fsw*Vout,  IF(QrrSky_Q2&gt;0,QrrSky_Q2,Qrr_Q2)*Fsw*(Table16[[#This Row],[Vin]]-Table16[[#This Row],[Iout]]*Rdson1)+IF(QrrSky_Q3&gt;0,QrrSky_Q3,Qrr_Q3)*Fsw*Vout)</f>
        <v>0</v>
      </c>
      <c r="BC152" s="345">
        <f>CHOOSE(Table16[[#This Row],[Mode Digit]], Rs*Table16[[#This Row],[Irms BuSync]]^2, Rs*Table16[[#This Row],[Irms BoCtlr]]^2, Rs*(Table16[[#This Row],[Irms BuSync]]^2+Table16[[#This Row],[Irms BoCtlr]]^2))</f>
        <v>3.8459227992498339E-2</v>
      </c>
      <c r="BD152" s="345">
        <f t="shared" si="8"/>
        <v>0.64</v>
      </c>
      <c r="BE152" s="345">
        <f>IF(Vout&gt;8, Iq*Vout, Iq*Table16[[#This Row],[Vin]])</f>
        <v>4.8000000000000001E-2</v>
      </c>
      <c r="BF152" s="345">
        <f>CHOOSE(Table16[[#This Row],[Mode Digit]], (Qg_Q1+Qg_Q2)*Fsw, (Qg_Q3+Qg_Q4)*Fsw, (Qg_Q1+Qg_Q2+Qg_Q3+Qg_Q4)*Fsw)*IF(Vout&gt;8, Vout, Table16[[#This Row],[Vin]])</f>
        <v>0.85331200000000007</v>
      </c>
      <c r="BG152" s="345">
        <f t="shared" si="9"/>
        <v>0.50594479787234037</v>
      </c>
      <c r="BH152" s="345">
        <f>Table16[[#This Row],[IQ Loss]]+Table16[[#This Row],[Switching Current Loss]]</f>
        <v>0.90131200000000011</v>
      </c>
      <c r="BI152"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7.737283168949018</v>
      </c>
      <c r="BJ152" s="253">
        <f>Vout*Table16[[#This Row],[Iout]]</f>
        <v>128</v>
      </c>
      <c r="BK152" s="684">
        <f>Table16[[#This Row],[Pout]]/(Table16[[#This Row],[Pout]]+Table16[[#This Row],[Total Loss]])</f>
        <v>0.94299809906082621</v>
      </c>
      <c r="BL152"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65.388833862093804</v>
      </c>
      <c r="BM152" s="685">
        <f>IF(Table16[[#This Row],[Vin]]&gt;Vout, Table16[[#This Row],[Total Sync Bu MOSFET Loss]]*ThetaJA_Q2, ThetaJA_Q3*Table16[[#This Row],[Total Sync Bo MOSFET Loss]])</f>
        <v>22.8680049705134</v>
      </c>
      <c r="BN152" s="640"/>
      <c r="BO152" s="292">
        <f>Table16[[#This Row],[EFF, h]]*100</f>
        <v>94.299809906082615</v>
      </c>
      <c r="BP152" s="345">
        <f>Table16[[#This Row],[Total Inductor Loss]]</f>
        <v>3.9926005931764075</v>
      </c>
      <c r="BQ152" s="345">
        <f>Table16[[#This Row],[Total Control Bu MOSFET Loss]]+Table16[[#This Row],[Total Sync Bu MOSFET Loss]]+Table16[[#This Row],[Total Control Bo MOSFET Loss]]+Table16[[#This Row],[Total Sync Bo MOSFET Loss]]+Table16[[#This Row],[Reverse Recovery Loss MOSFET D BUCK]]+Table16[[#This Row],[Reverse Recovery Loss MOSFET D BOOST]]</f>
        <v>2.1157293429738462</v>
      </c>
      <c r="BR152" s="345">
        <f>Table16[[#This Row],[Total Control Bu MOSFET Loss]]+Table16[[#This Row],[Reverse Recovery Loss MOSFET D BUCK]]*0.66</f>
        <v>1.3301265526168278</v>
      </c>
      <c r="BS152" s="345">
        <f>Table16[[#This Row],[Total Sync Bu MOSFET Loss]]+Table16[[#This Row],[Reverse Recovery Loss MOSFET D BUCK]]*0.33</f>
        <v>0.5138877076848215</v>
      </c>
      <c r="BT152" s="345">
        <f xml:space="preserve"> Table16[[#This Row],[Total Control Bo MOSFET Loss]]+Table16[[#This Row],[Reverse Recovery Loss MOSFET D BOOST]]*0.66</f>
        <v>0</v>
      </c>
      <c r="BU152" s="345">
        <f xml:space="preserve"> Table16[[#This Row],[Total Sync Bo MOSFET Loss]]+Table16[[#This Row],[Reverse Recovery Loss MOSFET D BOOST]]*0.33</f>
        <v>0.26680380247219665</v>
      </c>
      <c r="BV152" s="345">
        <f>Table16[[#This Row],[Isense Shunt Loss]]</f>
        <v>3.8459227992498339E-2</v>
      </c>
    </row>
    <row r="153" spans="7:74" x14ac:dyDescent="0.2">
      <c r="G153" s="253">
        <v>144</v>
      </c>
      <c r="H153" s="286">
        <f>VIN_min+(VIN_max-VIN_min)*(Table16[[#This Row],[Step]]/200)</f>
        <v>27.599999999999998</v>
      </c>
      <c r="I153" s="292" t="str">
        <f>IF(Mode = 2,IF(Table16[[#This Row],[Vin]]&gt;Vout, "BUCK","BOOST"),IF(Table16[[#This Row],[Vin]]&gt;VIN_BB_to_buck, "BUCK", IF(Table16[[#This Row],[Vin]]&lt;=VIN_boost_to_BB,"BOOST","BUCK-BST")))</f>
        <v>BUCK</v>
      </c>
      <c r="J153" s="253">
        <f>IF(Table16[[#This Row],[Mode]]="BOOST",2, IF(Table16[[#This Row],[Mode]]="BUCK", 1,3))</f>
        <v>1</v>
      </c>
      <c r="K153" s="253">
        <f t="shared" si="7"/>
        <v>8</v>
      </c>
      <c r="L153" s="292">
        <f>Vout*Table16[[#This Row],[Iout]]/(Table16[[#This Row],[Vin]]*Efficiency)</f>
        <v>4.8817696414950431</v>
      </c>
      <c r="M153" s="682">
        <f>MIN(1/Fsw,CHOOSE(Table16[[#This Row],[Mode Digit]],(Vout+(Rdson2+Rs+Rdcr)*Table16[[#This Row],[Iout]])/(Table16[[#This Row],[Vin]]+(Rs+Rdson2-Rdson1)*Table16[[#This Row],[Iout]])/Fsw,(Vout+(Rdson3+Rdcr)*Table16[[#This Row],[Iin]]-Table16[[#This Row],[Vin]])/(Vout+(Rdson3-Rdson4-Rs)*Table16[[#This Row],[Iin]])/Fsw,t1_Ph_II))</f>
        <v>1.4618335498662146E-6</v>
      </c>
      <c r="N153" s="518">
        <f>CHOOSE(Table16[[#This Row],[Mode Digit]],1/Fsw-Table16[[#This Row],[t1_Ph_II]],1/Fsw-Table16[[#This Row],[t1_Ph_II]],(Vout/Fsw-Table16[[#This Row],[Vin]]*t1_Ph_II)/(Table16[[#This Row],[Vin]]+Vout))</f>
        <v>1.0507292642041373E-6</v>
      </c>
      <c r="O153" s="518">
        <f>1/Fsw-(Table16[[#This Row],[t1_Ph_II]]+Table16[[#This Row],[t2_Ph_I]])</f>
        <v>0</v>
      </c>
      <c r="P153"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3.2896474504310875</v>
      </c>
      <c r="Q153" s="292">
        <f>CHOOSE(Table16[[#This Row],[Mode Digit]],Table16[[#This Row],[I_0]]+1/Lf*(Table16[[#This Row],[Vin]]-Vout)*Table16[[#This Row],[t1_Ph_II]],Table16[[#This Row],[I_0]]+1/Lf*Table16[[#This Row],[Vin]]*Table16[[#This Row],[t1_Ph_II]],Table16[[#This Row],[I_0]]+(Table16[[#This Row],[Vin]]-Vout)/L*Table16[[#This Row],[t1_Ph_II]])</f>
        <v>12.710352549568913</v>
      </c>
      <c r="R153" s="292">
        <f>CHOOSE(Table16[[#This Row],[Mode Digit]],0,0,Table16[[#This Row],[I_1]]+Table16[[#This Row],[Vin]]/L*Table16[[#This Row],[t2_Ph_I]])</f>
        <v>0</v>
      </c>
      <c r="S153" s="292">
        <f>Fsw*(Table16[[#This Row],[I_0]]*Table16[[#This Row],[t1_Ph_II]]+Table16[[#This Row],[I_1]]*Table16[[#This Row],[t2_Ph_I]]+Table16[[#This Row],[I_2]]*Table16[[#This Row],[t3_Ph_III]])</f>
        <v>7.2292944441973859</v>
      </c>
      <c r="T153" s="345">
        <f>MIN(1,CHOOSE(Table16[[#This Row],[Mode Digit]],(Vout+(Rdson2+Rs+Rdcr)*Table16[[#This Row],[Iout]])/(Table16[[#This Row],[Vin]]+(Rs+Rdson2-Rdson1)*Table16[[#This Row],[Iout]]),1,Fsw*Table16[[#This Row],[t2_Ph_I]]+Table16[[#This Row],[t1_Ph_II]]))</f>
        <v>0.5818097528467534</v>
      </c>
      <c r="U153" s="345">
        <f>MIN(1,CHOOSE(Table16[[#This Row],[Mode Digit]],0,(Vout+(Rdson3+Rdcr)*Table16[[#This Row],[Iin]]-Table16[[#This Row],[Vin]])/(Vout+(Rdson3-Rdson4-Rs)*Table16[[#This Row],[Iin]]),Fsw*Table16[[#This Row],[t1_Ph_II]]+Table16[[#This Row],[t3_Ph_III]]))</f>
        <v>0</v>
      </c>
      <c r="V153" s="292">
        <f>MAX(Table16[[#This Row],[I_0]:[I_2]])-MIN(Table16[[#This Row],[I_0]:[I_1]])</f>
        <v>9.4207050991378267</v>
      </c>
      <c r="W153"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8.4496039580016298</v>
      </c>
      <c r="X153" s="345">
        <f>(Table16[[#This Row],[Irms Lf]]^2*Rdcr*(1+Ltc*Ta-Ltc*25))/(1-Table16[[#This Row],[Irms Lf]]^2*Rdcr*Ltc*ThetaCa)</f>
        <v>0.2327200835245461</v>
      </c>
      <c r="Y153" s="345">
        <f>ABS(7.759*10^-3*Fsw^0.9458*(0.00787*Table16[[#This Row],[Ripple Current pk-pk]])^2.304)</f>
        <v>3.8263889994581053</v>
      </c>
      <c r="Z153" s="345">
        <f>Table16[[#This Row],[DCR    Loss]]+Table16[[#This Row],[Core Loss]]</f>
        <v>4.0591090829826513</v>
      </c>
      <c r="AA153" s="292">
        <f>IF(Table16[[#This Row],[Vin]]&gt;Vout, Table16[[#This Row],[Ripple Current pk-pk]]/SQRT(12), SQRT(Table16[[#This Row],[Duty Cycle BOOST Leg]]/(1-Table16[[#This Row],[Duty Cycle BOOST Leg]]))*SQRT(Table16[[#This Row],[Iout]]^2+(Table16[[#This Row],[Ripple Current pk-pk]]^2)/12))</f>
        <v>2.7195233124716522</v>
      </c>
      <c r="AB153" s="345">
        <f>RCoutEsr*Table16[[#This Row],[Irms Cout]]^2</f>
        <v>1.4791614094153577E-2</v>
      </c>
      <c r="AC153" s="345">
        <f>Table16[[#This Row],[Cout ESR Loss]]</f>
        <v>1.4791614094153577E-2</v>
      </c>
      <c r="AD153" s="345">
        <f>IF(Table16[[#This Row],[Vin]]&gt;Vout, SQRT(Table16[[#This Row],[Duty Cycle BUCK Leg]]*(1-Table16[[#This Row],[Duty Cycle BUCK Leg]]))*SQRT(Table16[[#This Row],[Iout]]^2+(Table16[[#This Row],[Ripple Current pk-pk]]^2)/12), Table16[[#This Row],[Ripple Current pk-pk]]/SQRT(12))</f>
        <v>4.1678665235740908</v>
      </c>
      <c r="AE153" s="345">
        <f>RCinEsr*Table16[[#This Row],[Irms Cin]]^2</f>
        <v>3.4742222716659159E-2</v>
      </c>
      <c r="AF153" s="683">
        <f>Table16[[#This Row],[Cin ESR Loss]]</f>
        <v>3.4742222716659159E-2</v>
      </c>
      <c r="AG153"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6.4450583280800684</v>
      </c>
      <c r="AH153" s="345">
        <f>Rdson1*Table16[[#This Row],[Irms BuCtrl]]^2</f>
        <v>0.14538571898323988</v>
      </c>
      <c r="AI153" s="345">
        <f>CHOOSE(Table16[[#This Row],[Mode Digit]], (Table16[[#This Row],[Vin]]*Table16[[#This Row],[Iout]]/2)*(Fsw)*(Tr_buck+Tf_buck), 0, (Table16[[#This Row],[Vin]]*Table16[[#This Row],[Avg IL]]/2)*(Fsw/1)*(Tr_buck+Tf_buck))</f>
        <v>0.82634603096435277</v>
      </c>
      <c r="AJ153" s="253">
        <f>IF(Table16[[#This Row],[Vin]]&gt;Vout, IF(Table16[[#This Row],[Iout]]&gt;Table16[[#This Row],[Ripple Current pk-pk]]/2,0,ABS(Table16[[#This Row],[Iout]]-Table16[[#This Row],[Ripple Current pk-pk]]/2)*Vsd_Q1*Deadtime*Fsw),0)</f>
        <v>0</v>
      </c>
      <c r="AK153" s="345">
        <f>(Table16[[#This Row],[Dead Time Loss BuCtrl]]+Table16[[#This Row],[Transition Loss BuCtrl]]+Table16[[#This Row],[RDS(on) Loss BuCtrl]]*(1+RdsonTopTc*Ta-RdsonTopTc*25))/(1-Table16[[#This Row],[RDS(on) Loss BuCtrl]]*RdsonTopTc*ThetaJA_Q1)</f>
        <v>1.0099065056389156</v>
      </c>
      <c r="AL153" s="345">
        <f>CHOOSE(Table16[[#This Row],[Mode Digit]],SQRT((Fsw*(Table16[[#This Row],[t2_Ph_I]]+0))*((Table16[[#This Row],[I_0]]*Table16[[#This Row],[I_1]]+((Table16[[#This Row],[I_0]]-Table16[[#This Row],[I_1]])^2)/3))),0,SQRT((Fsw*(Table16[[#This Row],[t3_Ph_III]]+0))*((Table16[[#This Row],[I_0]]*Table16[[#This Row],[I_2]]+((Table16[[#This Row],[I_0]]-Table16[[#This Row],[I_2]])^2)/3))))</f>
        <v>5.464158690477662</v>
      </c>
      <c r="AM153" s="345">
        <f>Rdson2*Table16[[#This Row],[Irms BuSync]]^2</f>
        <v>0.10449960568152895</v>
      </c>
      <c r="AN153"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53" s="345">
        <f>(Table16[[#This Row],[Deadtime Loss BuSync]]+Table16[[#This Row],[RDS(on) Loss BuSync]]*(1+RdsonBotTc*Ta-RdsonBotTc*25))/(1-Table16[[#This Row],[RDS(on) Loss BuSync]]*RdsonBotTc*ThetaJA_Q2)</f>
        <v>0.35288752351645308</v>
      </c>
      <c r="AP153" s="345">
        <f>CHOOSE(Table16[[#This Row],[Mode Digit]],0,SQRT((Fsw*(Table16[[#This Row],[t1_Ph_II]]+0))*((Table16[[#This Row],[I_0]]*Table16[[#This Row],[I_1]]+((Table16[[#This Row],[I_0]]-Table16[[#This Row],[I_1]])^2)/3))),SQRT((Fsw*(Table16[[#This Row],[t2_Ph_I]]+0))*((Table16[[#This Row],[I_1]]*Table16[[#This Row],[I_2]]+((Table16[[#This Row],[I_1]]-Table16[[#This Row],[I_2]])^2)/3))))</f>
        <v>0</v>
      </c>
      <c r="AQ153" s="345">
        <f>Rdson4*Table16[[#This Row],[Irms BoCtlr]]^2</f>
        <v>0</v>
      </c>
      <c r="AR153" s="345">
        <f>CHOOSE(Table16[[#This Row],[Mode Digit]], 0, (Vout*Table16[[#This Row],[Iin]]/2)*(Fsw)*(Tr_boost+Tf_boost), (Vout*Iout/2)*(Fsw/1)*(Tr_boost+Tf_boost))</f>
        <v>0</v>
      </c>
      <c r="AS153" s="253">
        <f>IF(Table16[[#This Row],[Vin]]&gt;Vout, 0, IF(Table16[[#This Row],[Iin]]&gt;Table16[[#This Row],[Ripple Current pk-pk]]/2,0,ABS(Table16[[#This Row],[Iin]]-Table16[[#This Row],[Ripple Current pk-pk]]/2)*Vsd_Q4*Deadtime*Fsw))</f>
        <v>0</v>
      </c>
      <c r="AT153" s="345">
        <f>(Table16[[#This Row],[Dead Time Loss BoCtlr]]+Table16[[#This Row],[Transition Loss BoCtlr]]+Table16[[#This Row],[RDS(on) Loss BoCtlr]]*(1+RdsonTopTc*Ta-RdsonTopTc*25))/(1-Table16[[#This Row],[RDS(on) Loss BoCtlr]]*RdsonTopTc*ThetaJA_Q4)</f>
        <v>0</v>
      </c>
      <c r="AU153"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8.4496039580016298</v>
      </c>
      <c r="AV153" s="345">
        <f>Rdson3*Table16[[#This Row],[Irms BoSync]]^2</f>
        <v>0.24988532466476882</v>
      </c>
      <c r="AW153"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53" s="345">
        <f>(Table16[[#This Row],[Deadtime Loss BoSync]]+Table16[[#This Row],[RDS(on) Loss BoSync]]*(1+RdsonBotTc*Ta-RdsonBotTc*25))/(1-Table16[[#This Row],[RDS(on) Loss BoSync]]*RdsonBotTc*ThetaJA_Q3)</f>
        <v>0.26724850961875601</v>
      </c>
      <c r="AY153" s="345">
        <f>CHOOSE(Table16[[#This Row],[Mode Digit]], Rdson3*Table16[[#This Row],[Irms Lf]]^2, Rdson1*Table16[[#This Row],[Irms Lf]]^2, 0)</f>
        <v>0.24988532466476882</v>
      </c>
      <c r="AZ153" s="345">
        <f>CHOOSE(Table16[[#This Row],[Mode Digit]], 2*Deadtime*Fsw*IF(VfdSky_Q2&gt;0,VfdSky_Q2,0)*Table16[[#This Row],[Iout]], 2*Deadtime*Fsw*IF(VfdSky_Q3&gt;0,VfdSky_Q3,0)*Table16[[#This Row],[Iin]], 2*Deadtime*Fsw*IF(VfdSky_Q2&gt;0,VfdSky_Q2,0)*Table16[[#This Row],[Iout]]+2*Deadtime*Fsw*IF(VfdSky_Q3&gt;0,VfdSky_Q3,0)*Table16[[#This Row],[Iin]])</f>
        <v>0</v>
      </c>
      <c r="BA153" s="345">
        <f>CHOOSE(Table16[[#This Row],[Mode Digit]], IF(QrrSky_Q2&gt;0,QrrSky_Q2,Qrr_Q2)*Fsw*(Table16[[#This Row],[Vin]]-Table16[[#This Row],[Iout]]*Rdson1),0,  IF(QrrSky_Q2&gt;0,QrrSky_Q2,Qrr_Q2)*Fsw*(Table16[[#This Row],[Vin]]-Table16[[#This Row],[Iout]]*Rdson1)+IF(QrrSky_Q3&gt;0,QrrSky_Q3,Qrr_Q3)*Fsw*Vout)</f>
        <v>0.49381451999999998</v>
      </c>
      <c r="BB153" s="345">
        <f>CHOOSE(Table16[[#This Row],[Mode Digit]],0, IF(QrrSky_Q3&gt;0,QrrSky_Q3,Qrr_Q3)*Fsw*Vout,  IF(QrrSky_Q2&gt;0,QrrSky_Q2,Qrr_Q2)*Fsw*(Table16[[#This Row],[Vin]]-Table16[[#This Row],[Iout]]*Rdson1)+IF(QrrSky_Q3&gt;0,QrrSky_Q3,Qrr_Q3)*Fsw*Vout)</f>
        <v>0</v>
      </c>
      <c r="BC153" s="345">
        <f>CHOOSE(Table16[[#This Row],[Mode Digit]], Rs*Table16[[#This Row],[Irms BuSync]]^2, Rs*Table16[[#This Row],[Irms BoCtlr]]^2, Rs*(Table16[[#This Row],[Irms BuSync]]^2+Table16[[#This Row],[Irms BoCtlr]]^2))</f>
        <v>3.8814139253139326E-2</v>
      </c>
      <c r="BD153" s="345">
        <f t="shared" si="8"/>
        <v>0.64</v>
      </c>
      <c r="BE153" s="345">
        <f>IF(Vout&gt;8, Iq*Vout, Iq*Table16[[#This Row],[Vin]])</f>
        <v>4.8000000000000001E-2</v>
      </c>
      <c r="BF153" s="345">
        <f>CHOOSE(Table16[[#This Row],[Mode Digit]], (Qg_Q1+Qg_Q2)*Fsw, (Qg_Q3+Qg_Q4)*Fsw, (Qg_Q1+Qg_Q2+Qg_Q3+Qg_Q4)*Fsw)*IF(Vout&gt;8, Vout, Table16[[#This Row],[Vin]])</f>
        <v>0.85331200000000007</v>
      </c>
      <c r="BG153" s="345">
        <f t="shared" si="9"/>
        <v>0.50594479787234037</v>
      </c>
      <c r="BH153" s="345">
        <f>Table16[[#This Row],[IQ Loss]]+Table16[[#This Row],[Switching Current Loss]]</f>
        <v>0.90131200000000011</v>
      </c>
      <c r="BI153"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7.8126261178207281</v>
      </c>
      <c r="BJ153" s="253">
        <f>Vout*Table16[[#This Row],[Iout]]</f>
        <v>128</v>
      </c>
      <c r="BK153" s="684">
        <f>Table16[[#This Row],[Pout]]/(Table16[[#This Row],[Pout]]+Table16[[#This Row],[Total Loss]])</f>
        <v>0.94247496465429437</v>
      </c>
      <c r="BL153"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65.643922866529508</v>
      </c>
      <c r="BM153" s="685">
        <f>IF(Table16[[#This Row],[Vin]]&gt;Vout, Table16[[#This Row],[Total Sync Bu MOSFET Loss]]*ThetaJA_Q2, ThetaJA_Q3*Table16[[#This Row],[Total Sync Bo MOSFET Loss]])</f>
        <v>22.937689028569451</v>
      </c>
      <c r="BN153" s="640"/>
      <c r="BO153" s="292">
        <f>Table16[[#This Row],[EFF, h]]*100</f>
        <v>94.247496465429435</v>
      </c>
      <c r="BP153" s="345">
        <f>Table16[[#This Row],[Total Inductor Loss]]</f>
        <v>4.0591090829826513</v>
      </c>
      <c r="BQ153" s="345">
        <f>Table16[[#This Row],[Total Control Bu MOSFET Loss]]+Table16[[#This Row],[Total Sync Bu MOSFET Loss]]+Table16[[#This Row],[Total Control Bo MOSFET Loss]]+Table16[[#This Row],[Total Sync Bo MOSFET Loss]]+Table16[[#This Row],[Reverse Recovery Loss MOSFET D BUCK]]+Table16[[#This Row],[Reverse Recovery Loss MOSFET D BOOST]]</f>
        <v>2.1238570587741248</v>
      </c>
      <c r="BR153" s="345">
        <f>Table16[[#This Row],[Total Control Bu MOSFET Loss]]+Table16[[#This Row],[Reverse Recovery Loss MOSFET D BUCK]]*0.66</f>
        <v>1.3358240888389157</v>
      </c>
      <c r="BS153" s="345">
        <f>Table16[[#This Row],[Total Sync Bu MOSFET Loss]]+Table16[[#This Row],[Reverse Recovery Loss MOSFET D BUCK]]*0.33</f>
        <v>0.51584631511645307</v>
      </c>
      <c r="BT153" s="345">
        <f xml:space="preserve"> Table16[[#This Row],[Total Control Bo MOSFET Loss]]+Table16[[#This Row],[Reverse Recovery Loss MOSFET D BOOST]]*0.66</f>
        <v>0</v>
      </c>
      <c r="BU153" s="345">
        <f xml:space="preserve"> Table16[[#This Row],[Total Sync Bo MOSFET Loss]]+Table16[[#This Row],[Reverse Recovery Loss MOSFET D BOOST]]*0.33</f>
        <v>0.26724850961875601</v>
      </c>
      <c r="BV153" s="345">
        <f>Table16[[#This Row],[Isense Shunt Loss]]</f>
        <v>3.8814139253139326E-2</v>
      </c>
    </row>
    <row r="154" spans="7:74" x14ac:dyDescent="0.2">
      <c r="G154" s="253">
        <v>145</v>
      </c>
      <c r="H154" s="286">
        <f>VIN_min+(VIN_max-VIN_min)*(Table16[[#This Row],[Step]]/200)</f>
        <v>27.75</v>
      </c>
      <c r="I154" s="292" t="str">
        <f>IF(Mode = 2,IF(Table16[[#This Row],[Vin]]&gt;Vout, "BUCK","BOOST"),IF(Table16[[#This Row],[Vin]]&gt;VIN_BB_to_buck, "BUCK", IF(Table16[[#This Row],[Vin]]&lt;=VIN_boost_to_BB,"BOOST","BUCK-BST")))</f>
        <v>BUCK</v>
      </c>
      <c r="J154" s="253">
        <f>IF(Table16[[#This Row],[Mode]]="BOOST",2, IF(Table16[[#This Row],[Mode]]="BUCK", 1,3))</f>
        <v>1</v>
      </c>
      <c r="K154" s="253">
        <f t="shared" si="7"/>
        <v>8</v>
      </c>
      <c r="L154" s="292">
        <f>Vout*Table16[[#This Row],[Iout]]/(Table16[[#This Row],[Vin]]*Efficiency)</f>
        <v>4.855381697486961</v>
      </c>
      <c r="M154" s="682">
        <f>MIN(1/Fsw,CHOOSE(Table16[[#This Row],[Mode Digit]],(Vout+(Rdson2+Rs+Rdcr)*Table16[[#This Row],[Iout]])/(Table16[[#This Row],[Vin]]+(Rs+Rdson2-Rdson1)*Table16[[#This Row],[Iout]])/Fsw,(Vout+(Rdson3+Rdcr)*Table16[[#This Row],[Iin]]-Table16[[#This Row],[Vin]])/(Vout+(Rdson3-Rdson4-Rs)*Table16[[#This Row],[Iin]])/Fsw,t1_Ph_II))</f>
        <v>1.4539347071809533E-6</v>
      </c>
      <c r="N154" s="518">
        <f>CHOOSE(Table16[[#This Row],[Mode Digit]],1/Fsw-Table16[[#This Row],[t1_Ph_II]],1/Fsw-Table16[[#This Row],[t1_Ph_II]],(Vout/Fsw-Table16[[#This Row],[Vin]]*t1_Ph_II)/(Table16[[#This Row],[Vin]]+Vout))</f>
        <v>1.0586281068893986E-6</v>
      </c>
      <c r="O154" s="518">
        <f>1/Fsw-(Table16[[#This Row],[t1_Ph_II]]+Table16[[#This Row],[t2_Ph_I]])</f>
        <v>0</v>
      </c>
      <c r="P154"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3.2545186640621671</v>
      </c>
      <c r="Q154" s="292">
        <f>CHOOSE(Table16[[#This Row],[Mode Digit]],Table16[[#This Row],[I_0]]+1/Lf*(Table16[[#This Row],[Vin]]-Vout)*Table16[[#This Row],[t1_Ph_II]],Table16[[#This Row],[I_0]]+1/Lf*Table16[[#This Row],[Vin]]*Table16[[#This Row],[t1_Ph_II]],Table16[[#This Row],[I_0]]+(Table16[[#This Row],[Vin]]-Vout)/L*Table16[[#This Row],[t1_Ph_II]])</f>
        <v>12.745481335937832</v>
      </c>
      <c r="R154" s="292">
        <f>CHOOSE(Table16[[#This Row],[Mode Digit]],0,0,Table16[[#This Row],[I_1]]+Table16[[#This Row],[Vin]]/L*Table16[[#This Row],[t2_Ph_I]])</f>
        <v>0</v>
      </c>
      <c r="S154" s="292">
        <f>Fsw*(Table16[[#This Row],[I_0]]*Table16[[#This Row],[t1_Ph_II]]+Table16[[#This Row],[I_1]]*Table16[[#This Row],[t2_Ph_I]]+Table16[[#This Row],[I_2]]*Table16[[#This Row],[t3_Ph_III]])</f>
        <v>7.2533838027246693</v>
      </c>
      <c r="T154" s="345">
        <f>MIN(1,CHOOSE(Table16[[#This Row],[Mode Digit]],(Vout+(Rdson2+Rs+Rdcr)*Table16[[#This Row],[Iout]])/(Table16[[#This Row],[Vin]]+(Rs+Rdson2-Rdson1)*Table16[[#This Row],[Iout]]),1,Fsw*Table16[[#This Row],[t2_Ph_I]]+Table16[[#This Row],[t1_Ph_II]]))</f>
        <v>0.57866601345801938</v>
      </c>
      <c r="U154" s="345">
        <f>MIN(1,CHOOSE(Table16[[#This Row],[Mode Digit]],0,(Vout+(Rdson3+Rdcr)*Table16[[#This Row],[Iin]]-Table16[[#This Row],[Vin]])/(Vout+(Rdson3-Rdson4-Rs)*Table16[[#This Row],[Iin]]),Fsw*Table16[[#This Row],[t1_Ph_II]]+Table16[[#This Row],[t3_Ph_III]]))</f>
        <v>0</v>
      </c>
      <c r="V154" s="292">
        <f>MAX(Table16[[#This Row],[I_0]:[I_2]])-MIN(Table16[[#This Row],[I_0]:[I_1]])</f>
        <v>9.4909626718756641</v>
      </c>
      <c r="W154"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8.4561534421140969</v>
      </c>
      <c r="X154" s="345">
        <f>(Table16[[#This Row],[Irms Lf]]^2*Rdcr*(1+Ltc*Ta-Ltc*25))/(1-Table16[[#This Row],[Irms Lf]]^2*Rdcr*Ltc*ThetaCa)</f>
        <v>0.23308772677793749</v>
      </c>
      <c r="Y154" s="345">
        <f>ABS(7.759*10^-3*Fsw^0.9458*(0.00787*Table16[[#This Row],[Ripple Current pk-pk]])^2.304)</f>
        <v>3.8924567531487133</v>
      </c>
      <c r="Z154" s="345">
        <f>Table16[[#This Row],[DCR    Loss]]+Table16[[#This Row],[Core Loss]]</f>
        <v>4.125544479926651</v>
      </c>
      <c r="AA154" s="292">
        <f>IF(Table16[[#This Row],[Vin]]&gt;Vout, Table16[[#This Row],[Ripple Current pk-pk]]/SQRT(12), SQRT(Table16[[#This Row],[Duty Cycle BOOST Leg]]/(1-Table16[[#This Row],[Duty Cycle BOOST Leg]]))*SQRT(Table16[[#This Row],[Iout]]^2+(Table16[[#This Row],[Ripple Current pk-pk]]^2)/12))</f>
        <v>2.7398049267380524</v>
      </c>
      <c r="AB154" s="345">
        <f>RCoutEsr*Table16[[#This Row],[Irms Cout]]^2</f>
        <v>1.5013062073156209E-2</v>
      </c>
      <c r="AC154" s="345">
        <f>Table16[[#This Row],[Cout ESR Loss]]</f>
        <v>1.5013062073156209E-2</v>
      </c>
      <c r="AD154" s="345">
        <f>IF(Table16[[#This Row],[Vin]]&gt;Vout, SQRT(Table16[[#This Row],[Duty Cycle BUCK Leg]]*(1-Table16[[#This Row],[Duty Cycle BUCK Leg]]))*SQRT(Table16[[#This Row],[Iout]]^2+(Table16[[#This Row],[Ripple Current pk-pk]]^2)/12), Table16[[#This Row],[Ripple Current pk-pk]]/SQRT(12))</f>
        <v>4.1754192499930145</v>
      </c>
      <c r="AE154" s="345">
        <f>RCinEsr*Table16[[#This Row],[Irms Cin]]^2</f>
        <v>3.4868251826424453E-2</v>
      </c>
      <c r="AF154" s="683">
        <f>Table16[[#This Row],[Cin ESR Loss]]</f>
        <v>3.4868251826424453E-2</v>
      </c>
      <c r="AG154"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6.4326043910028217</v>
      </c>
      <c r="AH154" s="345">
        <f>Rdson1*Table16[[#This Row],[Irms BuCtrl]]^2</f>
        <v>0.14482439737902075</v>
      </c>
      <c r="AI154" s="345">
        <f>CHOOSE(Table16[[#This Row],[Mode Digit]], (Table16[[#This Row],[Vin]]*Table16[[#This Row],[Iout]]/2)*(Fsw)*(Tr_buck+Tf_buck), 0, (Table16[[#This Row],[Vin]]*Table16[[#This Row],[Avg IL]]/2)*(Fsw/1)*(Tr_buck+Tf_buck))</f>
        <v>0.83083704200220243</v>
      </c>
      <c r="AJ154" s="253">
        <f>IF(Table16[[#This Row],[Vin]]&gt;Vout, IF(Table16[[#This Row],[Iout]]&gt;Table16[[#This Row],[Ripple Current pk-pk]]/2,0,ABS(Table16[[#This Row],[Iout]]-Table16[[#This Row],[Ripple Current pk-pk]]/2)*Vsd_Q1*Deadtime*Fsw),0)</f>
        <v>0</v>
      </c>
      <c r="AK154" s="345">
        <f>(Table16[[#This Row],[Dead Time Loss BuCtrl]]+Table16[[#This Row],[Transition Loss BuCtrl]]+Table16[[#This Row],[RDS(on) Loss BuCtrl]]*(1+RdsonTopTc*Ta-RdsonTopTc*25))/(1-Table16[[#This Row],[RDS(on) Loss BuCtrl]]*RdsonTopTc*ThetaJA_Q1)</f>
        <v>1.0138367982515624</v>
      </c>
      <c r="AL154" s="345">
        <f>CHOOSE(Table16[[#This Row],[Mode Digit]],SQRT((Fsw*(Table16[[#This Row],[t2_Ph_I]]+0))*((Table16[[#This Row],[I_0]]*Table16[[#This Row],[I_1]]+((Table16[[#This Row],[I_0]]-Table16[[#This Row],[I_1]])^2)/3))),0,SQRT((Fsw*(Table16[[#This Row],[t3_Ph_III]]+0))*((Table16[[#This Row],[I_0]]*Table16[[#This Row],[I_2]]+((Table16[[#This Row],[I_0]]-Table16[[#This Row],[I_2]])^2)/3))))</f>
        <v>5.4889098904453979</v>
      </c>
      <c r="AM154" s="345">
        <f>Rdson2*Table16[[#This Row],[Irms BuSync]]^2</f>
        <v>0.10544846124900259</v>
      </c>
      <c r="AN154"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54" s="345">
        <f>(Table16[[#This Row],[Deadtime Loss BuSync]]+Table16[[#This Row],[RDS(on) Loss BuSync]]*(1+RdsonBotTc*Ta-RdsonBotTc*25))/(1-Table16[[#This Row],[RDS(on) Loss BuSync]]*RdsonBotTc*ThetaJA_Q2)</f>
        <v>0.35395263914885272</v>
      </c>
      <c r="AP154" s="345">
        <f>CHOOSE(Table16[[#This Row],[Mode Digit]],0,SQRT((Fsw*(Table16[[#This Row],[t1_Ph_II]]+0))*((Table16[[#This Row],[I_0]]*Table16[[#This Row],[I_1]]+((Table16[[#This Row],[I_0]]-Table16[[#This Row],[I_1]])^2)/3))),SQRT((Fsw*(Table16[[#This Row],[t2_Ph_I]]+0))*((Table16[[#This Row],[I_1]]*Table16[[#This Row],[I_2]]+((Table16[[#This Row],[I_1]]-Table16[[#This Row],[I_2]])^2)/3))))</f>
        <v>0</v>
      </c>
      <c r="AQ154" s="345">
        <f>Rdson4*Table16[[#This Row],[Irms BoCtlr]]^2</f>
        <v>0</v>
      </c>
      <c r="AR154" s="345">
        <f>CHOOSE(Table16[[#This Row],[Mode Digit]], 0, (Vout*Table16[[#This Row],[Iin]]/2)*(Fsw)*(Tr_boost+Tf_boost), (Vout*Iout/2)*(Fsw/1)*(Tr_boost+Tf_boost))</f>
        <v>0</v>
      </c>
      <c r="AS154" s="253">
        <f>IF(Table16[[#This Row],[Vin]]&gt;Vout, 0, IF(Table16[[#This Row],[Iin]]&gt;Table16[[#This Row],[Ripple Current pk-pk]]/2,0,ABS(Table16[[#This Row],[Iin]]-Table16[[#This Row],[Ripple Current pk-pk]]/2)*Vsd_Q4*Deadtime*Fsw))</f>
        <v>0</v>
      </c>
      <c r="AT154" s="345">
        <f>(Table16[[#This Row],[Dead Time Loss BoCtlr]]+Table16[[#This Row],[Transition Loss BoCtlr]]+Table16[[#This Row],[RDS(on) Loss BoCtlr]]*(1+RdsonTopTc*Ta-RdsonTopTc*25))/(1-Table16[[#This Row],[RDS(on) Loss BoCtlr]]*RdsonTopTc*ThetaJA_Q4)</f>
        <v>0</v>
      </c>
      <c r="AU154"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8.4561534421140969</v>
      </c>
      <c r="AV154" s="345">
        <f>Rdson3*Table16[[#This Row],[Irms BoSync]]^2</f>
        <v>0.25027285862802334</v>
      </c>
      <c r="AW154"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54" s="345">
        <f>(Table16[[#This Row],[Deadtime Loss BoSync]]+Table16[[#This Row],[RDS(on) Loss BoSync]]*(1+RdsonBotTc*Ta-RdsonBotTc*25))/(1-Table16[[#This Row],[RDS(on) Loss BoSync]]*RdsonBotTc*ThetaJA_Q3)</f>
        <v>0.26769181770456946</v>
      </c>
      <c r="AY154" s="345">
        <f>CHOOSE(Table16[[#This Row],[Mode Digit]], Rdson3*Table16[[#This Row],[Irms Lf]]^2, Rdson1*Table16[[#This Row],[Irms Lf]]^2, 0)</f>
        <v>0.25027285862802334</v>
      </c>
      <c r="AZ154" s="345">
        <f>CHOOSE(Table16[[#This Row],[Mode Digit]], 2*Deadtime*Fsw*IF(VfdSky_Q2&gt;0,VfdSky_Q2,0)*Table16[[#This Row],[Iout]], 2*Deadtime*Fsw*IF(VfdSky_Q3&gt;0,VfdSky_Q3,0)*Table16[[#This Row],[Iin]], 2*Deadtime*Fsw*IF(VfdSky_Q2&gt;0,VfdSky_Q2,0)*Table16[[#This Row],[Iout]]+2*Deadtime*Fsw*IF(VfdSky_Q3&gt;0,VfdSky_Q3,0)*Table16[[#This Row],[Iin]])</f>
        <v>0</v>
      </c>
      <c r="BA154" s="345">
        <f>CHOOSE(Table16[[#This Row],[Mode Digit]], IF(QrrSky_Q2&gt;0,QrrSky_Q2,Qrr_Q2)*Fsw*(Table16[[#This Row],[Vin]]-Table16[[#This Row],[Iout]]*Rdson1),0,  IF(QrrSky_Q2&gt;0,QrrSky_Q2,Qrr_Q2)*Fsw*(Table16[[#This Row],[Vin]]-Table16[[#This Row],[Iout]]*Rdson1)+IF(QrrSky_Q3&gt;0,QrrSky_Q3,Qrr_Q3)*Fsw*Vout)</f>
        <v>0.49650102000000002</v>
      </c>
      <c r="BB154" s="345">
        <f>CHOOSE(Table16[[#This Row],[Mode Digit]],0, IF(QrrSky_Q3&gt;0,QrrSky_Q3,Qrr_Q3)*Fsw*Vout,  IF(QrrSky_Q2&gt;0,QrrSky_Q2,Qrr_Q2)*Fsw*(Table16[[#This Row],[Vin]]-Table16[[#This Row],[Iout]]*Rdson1)+IF(QrrSky_Q3&gt;0,QrrSky_Q3,Qrr_Q3)*Fsw*Vout)</f>
        <v>0</v>
      </c>
      <c r="BC154" s="345">
        <f>CHOOSE(Table16[[#This Row],[Mode Digit]], Rs*Table16[[#This Row],[Irms BuSync]]^2, Rs*Table16[[#This Row],[Irms BoCtlr]]^2, Rs*(Table16[[#This Row],[Irms BuSync]]^2+Table16[[#This Row],[Irms BoCtlr]]^2))</f>
        <v>3.9166571321058101E-2</v>
      </c>
      <c r="BD154" s="345">
        <f t="shared" si="8"/>
        <v>0.64</v>
      </c>
      <c r="BE154" s="345">
        <f>IF(Vout&gt;8, Iq*Vout, Iq*Table16[[#This Row],[Vin]])</f>
        <v>4.8000000000000001E-2</v>
      </c>
      <c r="BF154" s="345">
        <f>CHOOSE(Table16[[#This Row],[Mode Digit]], (Qg_Q1+Qg_Q2)*Fsw, (Qg_Q3+Qg_Q4)*Fsw, (Qg_Q1+Qg_Q2+Qg_Q3+Qg_Q4)*Fsw)*IF(Vout&gt;8, Vout, Table16[[#This Row],[Vin]])</f>
        <v>0.85331200000000007</v>
      </c>
      <c r="BG154" s="345">
        <f t="shared" si="9"/>
        <v>0.50594479787234037</v>
      </c>
      <c r="BH154" s="345">
        <f>Table16[[#This Row],[IQ Loss]]+Table16[[#This Row],[Switching Current Loss]]</f>
        <v>0.90131200000000011</v>
      </c>
      <c r="BI154"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7.8878866402522725</v>
      </c>
      <c r="BJ154" s="253">
        <f>Vout*Table16[[#This Row],[Iout]]</f>
        <v>128</v>
      </c>
      <c r="BK154" s="684">
        <f>Table16[[#This Row],[Pout]]/(Table16[[#This Row],[Pout]]+Table16[[#This Row],[Total Loss]])</f>
        <v>0.94195298171694608</v>
      </c>
      <c r="BL154"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65.899391886351552</v>
      </c>
      <c r="BM154" s="685">
        <f>IF(Table16[[#This Row],[Vin]]&gt;Vout, Table16[[#This Row],[Total Sync Bu MOSFET Loss]]*ThetaJA_Q2, ThetaJA_Q3*Table16[[#This Row],[Total Sync Bo MOSFET Loss]])</f>
        <v>23.006921544675428</v>
      </c>
      <c r="BN154" s="640"/>
      <c r="BO154" s="292">
        <f>Table16[[#This Row],[EFF, h]]*100</f>
        <v>94.195298171694603</v>
      </c>
      <c r="BP154" s="345">
        <f>Table16[[#This Row],[Total Inductor Loss]]</f>
        <v>4.125544479926651</v>
      </c>
      <c r="BQ154" s="345">
        <f>Table16[[#This Row],[Total Control Bu MOSFET Loss]]+Table16[[#This Row],[Total Sync Bu MOSFET Loss]]+Table16[[#This Row],[Total Control Bo MOSFET Loss]]+Table16[[#This Row],[Total Sync Bo MOSFET Loss]]+Table16[[#This Row],[Reverse Recovery Loss MOSFET D BUCK]]+Table16[[#This Row],[Reverse Recovery Loss MOSFET D BOOST]]</f>
        <v>2.1319822751049848</v>
      </c>
      <c r="BR154" s="345">
        <f>Table16[[#This Row],[Total Control Bu MOSFET Loss]]+Table16[[#This Row],[Reverse Recovery Loss MOSFET D BUCK]]*0.66</f>
        <v>1.3415274714515624</v>
      </c>
      <c r="BS154" s="345">
        <f>Table16[[#This Row],[Total Sync Bu MOSFET Loss]]+Table16[[#This Row],[Reverse Recovery Loss MOSFET D BUCK]]*0.33</f>
        <v>0.51779797574885267</v>
      </c>
      <c r="BT154" s="345">
        <f xml:space="preserve"> Table16[[#This Row],[Total Control Bo MOSFET Loss]]+Table16[[#This Row],[Reverse Recovery Loss MOSFET D BOOST]]*0.66</f>
        <v>0</v>
      </c>
      <c r="BU154" s="345">
        <f xml:space="preserve"> Table16[[#This Row],[Total Sync Bo MOSFET Loss]]+Table16[[#This Row],[Reverse Recovery Loss MOSFET D BOOST]]*0.33</f>
        <v>0.26769181770456946</v>
      </c>
      <c r="BV154" s="345">
        <f>Table16[[#This Row],[Isense Shunt Loss]]</f>
        <v>3.9166571321058101E-2</v>
      </c>
    </row>
    <row r="155" spans="7:74" x14ac:dyDescent="0.2">
      <c r="G155" s="253">
        <v>146</v>
      </c>
      <c r="H155" s="286">
        <f>VIN_min+(VIN_max-VIN_min)*(Table16[[#This Row],[Step]]/200)</f>
        <v>27.9</v>
      </c>
      <c r="I155" s="292" t="str">
        <f>IF(Mode = 2,IF(Table16[[#This Row],[Vin]]&gt;Vout, "BUCK","BOOST"),IF(Table16[[#This Row],[Vin]]&gt;VIN_BB_to_buck, "BUCK", IF(Table16[[#This Row],[Vin]]&lt;=VIN_boost_to_BB,"BOOST","BUCK-BST")))</f>
        <v>BUCK</v>
      </c>
      <c r="J155" s="253">
        <f>IF(Table16[[#This Row],[Mode]]="BOOST",2, IF(Table16[[#This Row],[Mode]]="BUCK", 1,3))</f>
        <v>1</v>
      </c>
      <c r="K155" s="253">
        <f t="shared" si="7"/>
        <v>8</v>
      </c>
      <c r="L155" s="292">
        <f>Vout*Table16[[#This Row],[Iout]]/(Table16[[#This Row],[Vin]]*Efficiency)</f>
        <v>4.8292774948122998</v>
      </c>
      <c r="M155" s="682">
        <f>MIN(1/Fsw,CHOOSE(Table16[[#This Row],[Mode Digit]],(Vout+(Rdson2+Rs+Rdcr)*Table16[[#This Row],[Iout]])/(Table16[[#This Row],[Vin]]+(Rs+Rdson2-Rdson1)*Table16[[#This Row],[Iout]])/Fsw,(Vout+(Rdson3+Rdcr)*Table16[[#This Row],[Iin]]-Table16[[#This Row],[Vin]])/(Vout+(Rdson3-Rdson4-Rs)*Table16[[#This Row],[Iin]])/Fsw,t1_Ph_II))</f>
        <v>1.4461207666398952E-6</v>
      </c>
      <c r="N155" s="518">
        <f>CHOOSE(Table16[[#This Row],[Mode Digit]],1/Fsw-Table16[[#This Row],[t1_Ph_II]],1/Fsw-Table16[[#This Row],[t1_Ph_II]],(Vout/Fsw-Table16[[#This Row],[Vin]]*t1_Ph_II)/(Table16[[#This Row],[Vin]]+Vout))</f>
        <v>1.0664420474304567E-6</v>
      </c>
      <c r="O155" s="518">
        <f>1/Fsw-(Table16[[#This Row],[t1_Ph_II]]+Table16[[#This Row],[t2_Ph_I]])</f>
        <v>0</v>
      </c>
      <c r="P155"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3.2197674658292357</v>
      </c>
      <c r="Q155" s="292">
        <f>CHOOSE(Table16[[#This Row],[Mode Digit]],Table16[[#This Row],[I_0]]+1/Lf*(Table16[[#This Row],[Vin]]-Vout)*Table16[[#This Row],[t1_Ph_II]],Table16[[#This Row],[I_0]]+1/Lf*Table16[[#This Row],[Vin]]*Table16[[#This Row],[t1_Ph_II]],Table16[[#This Row],[I_0]]+(Table16[[#This Row],[Vin]]-Vout)/L*Table16[[#This Row],[t1_Ph_II]])</f>
        <v>12.780232534170764</v>
      </c>
      <c r="R155" s="292">
        <f>CHOOSE(Table16[[#This Row],[Mode Digit]],0,0,Table16[[#This Row],[I_1]]+Table16[[#This Row],[Vin]]/L*Table16[[#This Row],[t2_Ph_I]])</f>
        <v>0</v>
      </c>
      <c r="S155" s="292">
        <f>Fsw*(Table16[[#This Row],[I_0]]*Table16[[#This Row],[t1_Ph_II]]+Table16[[#This Row],[I_1]]*Table16[[#This Row],[t2_Ph_I]]+Table16[[#This Row],[I_2]]*Table16[[#This Row],[t3_Ph_III]])</f>
        <v>7.2776488786932969</v>
      </c>
      <c r="T155" s="345">
        <f>MIN(1,CHOOSE(Table16[[#This Row],[Mode Digit]],(Vout+(Rdson2+Rs+Rdcr)*Table16[[#This Row],[Iout]])/(Table16[[#This Row],[Vin]]+(Rs+Rdson2-Rdson1)*Table16[[#This Row],[Iout]]),1,Fsw*Table16[[#This Row],[t2_Ph_I]]+Table16[[#This Row],[t1_Ph_II]]))</f>
        <v>0.57555606512267832</v>
      </c>
      <c r="U155" s="345">
        <f>MIN(1,CHOOSE(Table16[[#This Row],[Mode Digit]],0,(Vout+(Rdson3+Rdcr)*Table16[[#This Row],[Iin]]-Table16[[#This Row],[Vin]])/(Vout+(Rdson3-Rdson4-Rs)*Table16[[#This Row],[Iin]]),Fsw*Table16[[#This Row],[t1_Ph_II]]+Table16[[#This Row],[t3_Ph_III]]))</f>
        <v>0</v>
      </c>
      <c r="V155" s="292">
        <f>MAX(Table16[[#This Row],[I_0]:[I_2]])-MIN(Table16[[#This Row],[I_0]:[I_1]])</f>
        <v>9.5604650683415286</v>
      </c>
      <c r="W155"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8.4626753665875789</v>
      </c>
      <c r="X155" s="345">
        <f>(Table16[[#This Row],[Irms Lf]]^2*Rdcr*(1+Ltc*Ta-Ltc*25))/(1-Table16[[#This Row],[Irms Lf]]^2*Rdcr*Ltc*ThetaCa)</f>
        <v>0.23345412720643258</v>
      </c>
      <c r="Y155" s="345">
        <f>ABS(7.759*10^-3*Fsw^0.9458*(0.00787*Table16[[#This Row],[Ripple Current pk-pk]])^2.304)</f>
        <v>3.9584449046575583</v>
      </c>
      <c r="Z155" s="345">
        <f>Table16[[#This Row],[DCR    Loss]]+Table16[[#This Row],[Core Loss]]</f>
        <v>4.1918990318639908</v>
      </c>
      <c r="AA155" s="292">
        <f>IF(Table16[[#This Row],[Vin]]&gt;Vout, Table16[[#This Row],[Ripple Current pk-pk]]/SQRT(12), SQRT(Table16[[#This Row],[Duty Cycle BOOST Leg]]/(1-Table16[[#This Row],[Duty Cycle BOOST Leg]]))*SQRT(Table16[[#This Row],[Iout]]^2+(Table16[[#This Row],[Ripple Current pk-pk]]^2)/12))</f>
        <v>2.7598685403924978</v>
      </c>
      <c r="AB155" s="345">
        <f>RCoutEsr*Table16[[#This Row],[Irms Cout]]^2</f>
        <v>1.5233748720496433E-2</v>
      </c>
      <c r="AC155" s="345">
        <f>Table16[[#This Row],[Cout ESR Loss]]</f>
        <v>1.5233748720496433E-2</v>
      </c>
      <c r="AD155" s="345">
        <f>IF(Table16[[#This Row],[Vin]]&gt;Vout, SQRT(Table16[[#This Row],[Duty Cycle BUCK Leg]]*(1-Table16[[#This Row],[Duty Cycle BUCK Leg]]))*SQRT(Table16[[#This Row],[Iout]]^2+(Table16[[#This Row],[Ripple Current pk-pk]]^2)/12), Table16[[#This Row],[Ripple Current pk-pk]]/SQRT(12))</f>
        <v>4.1827476591758437</v>
      </c>
      <c r="AE155" s="345">
        <f>RCinEsr*Table16[[#This Row],[Irms Cin]]^2</f>
        <v>3.4990755960682005E-2</v>
      </c>
      <c r="AF155" s="683">
        <f>Table16[[#This Row],[Cin ESR Loss]]</f>
        <v>3.4990755960682005E-2</v>
      </c>
      <c r="AG155"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6.4202434847262371</v>
      </c>
      <c r="AH155" s="345">
        <f>Rdson1*Table16[[#This Row],[Irms BuCtrl]]^2</f>
        <v>0.14426834241109393</v>
      </c>
      <c r="AI155" s="345">
        <f>CHOOSE(Table16[[#This Row],[Mode Digit]], (Table16[[#This Row],[Vin]]*Table16[[#This Row],[Iout]]/2)*(Fsw)*(Tr_buck+Tf_buck), 0, (Table16[[#This Row],[Vin]]*Table16[[#This Row],[Avg IL]]/2)*(Fsw/1)*(Tr_buck+Tf_buck))</f>
        <v>0.8353280530400522</v>
      </c>
      <c r="AJ155" s="253">
        <f>IF(Table16[[#This Row],[Vin]]&gt;Vout, IF(Table16[[#This Row],[Iout]]&gt;Table16[[#This Row],[Ripple Current pk-pk]]/2,0,ABS(Table16[[#This Row],[Iout]]-Table16[[#This Row],[Ripple Current pk-pk]]/2)*Vsd_Q1*Deadtime*Fsw),0)</f>
        <v>0</v>
      </c>
      <c r="AK155" s="345">
        <f>(Table16[[#This Row],[Dead Time Loss BuCtrl]]+Table16[[#This Row],[Transition Loss BuCtrl]]+Table16[[#This Row],[RDS(on) Loss BuCtrl]]*(1+RdsonTopTc*Ta-RdsonTopTc*25))/(1-Table16[[#This Row],[RDS(on) Loss BuCtrl]]*RdsonTopTc*ThetaJA_Q1)</f>
        <v>1.0177728188064159</v>
      </c>
      <c r="AL155" s="345">
        <f>CHOOSE(Table16[[#This Row],[Mode Digit]],SQRT((Fsw*(Table16[[#This Row],[t2_Ph_I]]+0))*((Table16[[#This Row],[I_0]]*Table16[[#This Row],[I_1]]+((Table16[[#This Row],[I_0]]-Table16[[#This Row],[I_1]])^2)/3))),0,SQRT((Fsw*(Table16[[#This Row],[t3_Ph_III]]+0))*((Table16[[#This Row],[I_0]]*Table16[[#This Row],[I_2]]+((Table16[[#This Row],[I_0]]-Table16[[#This Row],[I_2]])^2)/3))))</f>
        <v>5.5133789963214506</v>
      </c>
      <c r="AM155" s="345">
        <f>Rdson2*Table16[[#This Row],[Irms BuSync]]^2</f>
        <v>0.10639071784977484</v>
      </c>
      <c r="AN155"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55" s="345">
        <f>(Table16[[#This Row],[Deadtime Loss BuSync]]+Table16[[#This Row],[RDS(on) Loss BuSync]]*(1+RdsonBotTc*Ta-RdsonBotTc*25))/(1-Table16[[#This Row],[RDS(on) Loss BuSync]]*RdsonBotTc*ThetaJA_Q2)</f>
        <v>0.3550108821241284</v>
      </c>
      <c r="AP155" s="345">
        <f>CHOOSE(Table16[[#This Row],[Mode Digit]],0,SQRT((Fsw*(Table16[[#This Row],[t1_Ph_II]]+0))*((Table16[[#This Row],[I_0]]*Table16[[#This Row],[I_1]]+((Table16[[#This Row],[I_0]]-Table16[[#This Row],[I_1]])^2)/3))),SQRT((Fsw*(Table16[[#This Row],[t2_Ph_I]]+0))*((Table16[[#This Row],[I_1]]*Table16[[#This Row],[I_2]]+((Table16[[#This Row],[I_1]]-Table16[[#This Row],[I_2]])^2)/3))))</f>
        <v>0</v>
      </c>
      <c r="AQ155" s="345">
        <f>Rdson4*Table16[[#This Row],[Irms BoCtlr]]^2</f>
        <v>0</v>
      </c>
      <c r="AR155" s="345">
        <f>CHOOSE(Table16[[#This Row],[Mode Digit]], 0, (Vout*Table16[[#This Row],[Iin]]/2)*(Fsw)*(Tr_boost+Tf_boost), (Vout*Iout/2)*(Fsw/1)*(Tr_boost+Tf_boost))</f>
        <v>0</v>
      </c>
      <c r="AS155" s="253">
        <f>IF(Table16[[#This Row],[Vin]]&gt;Vout, 0, IF(Table16[[#This Row],[Iin]]&gt;Table16[[#This Row],[Ripple Current pk-pk]]/2,0,ABS(Table16[[#This Row],[Iin]]-Table16[[#This Row],[Ripple Current pk-pk]]/2)*Vsd_Q4*Deadtime*Fsw))</f>
        <v>0</v>
      </c>
      <c r="AT155" s="345">
        <f>(Table16[[#This Row],[Dead Time Loss BoCtlr]]+Table16[[#This Row],[Transition Loss BoCtlr]]+Table16[[#This Row],[RDS(on) Loss BoCtlr]]*(1+RdsonTopTc*Ta-RdsonTopTc*25))/(1-Table16[[#This Row],[RDS(on) Loss BoCtlr]]*RdsonTopTc*ThetaJA_Q4)</f>
        <v>0</v>
      </c>
      <c r="AU155"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8.4626753665875789</v>
      </c>
      <c r="AV155" s="345">
        <f>Rdson3*Table16[[#This Row],[Irms BoSync]]^2</f>
        <v>0.25065906026086876</v>
      </c>
      <c r="AW155"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55" s="345">
        <f>(Table16[[#This Row],[Deadtime Loss BoSync]]+Table16[[#This Row],[RDS(on) Loss BoSync]]*(1+RdsonBotTc*Ta-RdsonBotTc*25))/(1-Table16[[#This Row],[RDS(on) Loss BoSync]]*RdsonBotTc*ThetaJA_Q3)</f>
        <v>0.26813369678026433</v>
      </c>
      <c r="AY155" s="345">
        <f>CHOOSE(Table16[[#This Row],[Mode Digit]], Rdson3*Table16[[#This Row],[Irms Lf]]^2, Rdson1*Table16[[#This Row],[Irms Lf]]^2, 0)</f>
        <v>0.25065906026086876</v>
      </c>
      <c r="AZ155" s="345">
        <f>CHOOSE(Table16[[#This Row],[Mode Digit]], 2*Deadtime*Fsw*IF(VfdSky_Q2&gt;0,VfdSky_Q2,0)*Table16[[#This Row],[Iout]], 2*Deadtime*Fsw*IF(VfdSky_Q3&gt;0,VfdSky_Q3,0)*Table16[[#This Row],[Iin]], 2*Deadtime*Fsw*IF(VfdSky_Q2&gt;0,VfdSky_Q2,0)*Table16[[#This Row],[Iout]]+2*Deadtime*Fsw*IF(VfdSky_Q3&gt;0,VfdSky_Q3,0)*Table16[[#This Row],[Iin]])</f>
        <v>0</v>
      </c>
      <c r="BA155" s="345">
        <f>CHOOSE(Table16[[#This Row],[Mode Digit]], IF(QrrSky_Q2&gt;0,QrrSky_Q2,Qrr_Q2)*Fsw*(Table16[[#This Row],[Vin]]-Table16[[#This Row],[Iout]]*Rdson1),0,  IF(QrrSky_Q2&gt;0,QrrSky_Q2,Qrr_Q2)*Fsw*(Table16[[#This Row],[Vin]]-Table16[[#This Row],[Iout]]*Rdson1)+IF(QrrSky_Q3&gt;0,QrrSky_Q3,Qrr_Q3)*Fsw*Vout)</f>
        <v>0.49918751999999994</v>
      </c>
      <c r="BB155" s="345">
        <f>CHOOSE(Table16[[#This Row],[Mode Digit]],0, IF(QrrSky_Q3&gt;0,QrrSky_Q3,Qrr_Q3)*Fsw*Vout,  IF(QrrSky_Q2&gt;0,QrrSky_Q2,Qrr_Q2)*Fsw*(Table16[[#This Row],[Vin]]-Table16[[#This Row],[Iout]]*Rdson1)+IF(QrrSky_Q3&gt;0,QrrSky_Q3,Qrr_Q3)*Fsw*Vout)</f>
        <v>0</v>
      </c>
      <c r="BC155" s="345">
        <f>CHOOSE(Table16[[#This Row],[Mode Digit]], Rs*Table16[[#This Row],[Irms BuSync]]^2, Rs*Table16[[#This Row],[Irms BoCtlr]]^2, Rs*(Table16[[#This Row],[Irms BuSync]]^2+Table16[[#This Row],[Irms BoCtlr]]^2))</f>
        <v>3.951655234420208E-2</v>
      </c>
      <c r="BD155" s="345">
        <f t="shared" si="8"/>
        <v>0.64</v>
      </c>
      <c r="BE155" s="345">
        <f>IF(Vout&gt;8, Iq*Vout, Iq*Table16[[#This Row],[Vin]])</f>
        <v>4.8000000000000001E-2</v>
      </c>
      <c r="BF155" s="345">
        <f>CHOOSE(Table16[[#This Row],[Mode Digit]], (Qg_Q1+Qg_Q2)*Fsw, (Qg_Q3+Qg_Q4)*Fsw, (Qg_Q1+Qg_Q2+Qg_Q3+Qg_Q4)*Fsw)*IF(Vout&gt;8, Vout, Table16[[#This Row],[Vin]])</f>
        <v>0.85331200000000007</v>
      </c>
      <c r="BG155" s="345">
        <f t="shared" si="9"/>
        <v>0.50594479787234037</v>
      </c>
      <c r="BH155" s="345">
        <f>Table16[[#This Row],[IQ Loss]]+Table16[[#This Row],[Switching Current Loss]]</f>
        <v>0.90131200000000011</v>
      </c>
      <c r="BI155"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7.96305700660018</v>
      </c>
      <c r="BJ155" s="253">
        <f>Vout*Table16[[#This Row],[Iout]]</f>
        <v>128</v>
      </c>
      <c r="BK155" s="684">
        <f>Table16[[#This Row],[Pout]]/(Table16[[#This Row],[Pout]]+Table16[[#This Row],[Total Loss]])</f>
        <v>0.94143220090871005</v>
      </c>
      <c r="BL155"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66.155233222417039</v>
      </c>
      <c r="BM155" s="685">
        <f>IF(Table16[[#This Row],[Vin]]&gt;Vout, Table16[[#This Row],[Total Sync Bu MOSFET Loss]]*ThetaJA_Q2, ThetaJA_Q3*Table16[[#This Row],[Total Sync Bo MOSFET Loss]])</f>
        <v>23.075707338068344</v>
      </c>
      <c r="BN155" s="640"/>
      <c r="BO155" s="292">
        <f>Table16[[#This Row],[EFF, h]]*100</f>
        <v>94.143220090871012</v>
      </c>
      <c r="BP155" s="345">
        <f>Table16[[#This Row],[Total Inductor Loss]]</f>
        <v>4.1918990318639908</v>
      </c>
      <c r="BQ155" s="345">
        <f>Table16[[#This Row],[Total Control Bu MOSFET Loss]]+Table16[[#This Row],[Total Sync Bu MOSFET Loss]]+Table16[[#This Row],[Total Control Bo MOSFET Loss]]+Table16[[#This Row],[Total Sync Bo MOSFET Loss]]+Table16[[#This Row],[Reverse Recovery Loss MOSFET D BUCK]]+Table16[[#This Row],[Reverse Recovery Loss MOSFET D BOOST]]</f>
        <v>2.1401049177108087</v>
      </c>
      <c r="BR155" s="345">
        <f>Table16[[#This Row],[Total Control Bu MOSFET Loss]]+Table16[[#This Row],[Reverse Recovery Loss MOSFET D BUCK]]*0.66</f>
        <v>1.3472365820064158</v>
      </c>
      <c r="BS155" s="345">
        <f>Table16[[#This Row],[Total Sync Bu MOSFET Loss]]+Table16[[#This Row],[Reverse Recovery Loss MOSFET D BUCK]]*0.33</f>
        <v>0.51974276372412842</v>
      </c>
      <c r="BT155" s="345">
        <f xml:space="preserve"> Table16[[#This Row],[Total Control Bo MOSFET Loss]]+Table16[[#This Row],[Reverse Recovery Loss MOSFET D BOOST]]*0.66</f>
        <v>0</v>
      </c>
      <c r="BU155" s="345">
        <f xml:space="preserve"> Table16[[#This Row],[Total Sync Bo MOSFET Loss]]+Table16[[#This Row],[Reverse Recovery Loss MOSFET D BOOST]]*0.33</f>
        <v>0.26813369678026433</v>
      </c>
      <c r="BV155" s="345">
        <f>Table16[[#This Row],[Isense Shunt Loss]]</f>
        <v>3.951655234420208E-2</v>
      </c>
    </row>
    <row r="156" spans="7:74" x14ac:dyDescent="0.2">
      <c r="G156" s="253">
        <v>147</v>
      </c>
      <c r="H156" s="286">
        <f>VIN_min+(VIN_max-VIN_min)*(Table16[[#This Row],[Step]]/200)</f>
        <v>28.05</v>
      </c>
      <c r="I156" s="292" t="str">
        <f>IF(Mode = 2,IF(Table16[[#This Row],[Vin]]&gt;Vout, "BUCK","BOOST"),IF(Table16[[#This Row],[Vin]]&gt;VIN_BB_to_buck, "BUCK", IF(Table16[[#This Row],[Vin]]&lt;=VIN_boost_to_BB,"BOOST","BUCK-BST")))</f>
        <v>BUCK</v>
      </c>
      <c r="J156" s="253">
        <f>IF(Table16[[#This Row],[Mode]]="BOOST",2, IF(Table16[[#This Row],[Mode]]="BUCK", 1,3))</f>
        <v>1</v>
      </c>
      <c r="K156" s="253">
        <f t="shared" si="7"/>
        <v>8</v>
      </c>
      <c r="L156" s="292">
        <f>Vout*Table16[[#This Row],[Iout]]/(Table16[[#This Row],[Vin]]*Efficiency)</f>
        <v>4.8034524814710569</v>
      </c>
      <c r="M156" s="682">
        <f>MIN(1/Fsw,CHOOSE(Table16[[#This Row],[Mode Digit]],(Vout+(Rdson2+Rs+Rdcr)*Table16[[#This Row],[Iout]])/(Table16[[#This Row],[Vin]]+(Rs+Rdson2-Rdson1)*Table16[[#This Row],[Iout]])/Fsw,(Vout+(Rdson3+Rdcr)*Table16[[#This Row],[Iin]]-Table16[[#This Row],[Vin]])/(Vout+(Rdson3-Rdson4-Rs)*Table16[[#This Row],[Iin]])/Fsw,t1_Ph_II))</f>
        <v>1.4383903666813775E-6</v>
      </c>
      <c r="N156" s="518">
        <f>CHOOSE(Table16[[#This Row],[Mode Digit]],1/Fsw-Table16[[#This Row],[t1_Ph_II]],1/Fsw-Table16[[#This Row],[t1_Ph_II]],(Vout/Fsw-Table16[[#This Row],[Vin]]*t1_Ph_II)/(Table16[[#This Row],[Vin]]+Vout))</f>
        <v>1.0741724473889744E-6</v>
      </c>
      <c r="O156" s="518">
        <f>1/Fsw-(Table16[[#This Row],[t1_Ph_II]]+Table16[[#This Row],[t2_Ph_I]])</f>
        <v>0</v>
      </c>
      <c r="P156"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3.1853878004137224</v>
      </c>
      <c r="Q156" s="292">
        <f>CHOOSE(Table16[[#This Row],[Mode Digit]],Table16[[#This Row],[I_0]]+1/Lf*(Table16[[#This Row],[Vin]]-Vout)*Table16[[#This Row],[t1_Ph_II]],Table16[[#This Row],[I_0]]+1/Lf*Table16[[#This Row],[Vin]]*Table16[[#This Row],[t1_Ph_II]],Table16[[#This Row],[I_0]]+(Table16[[#This Row],[Vin]]-Vout)/L*Table16[[#This Row],[t1_Ph_II]])</f>
        <v>12.814612199586279</v>
      </c>
      <c r="R156" s="292">
        <f>CHOOSE(Table16[[#This Row],[Mode Digit]],0,0,Table16[[#This Row],[I_1]]+Table16[[#This Row],[Vin]]/L*Table16[[#This Row],[t2_Ph_I]])</f>
        <v>0</v>
      </c>
      <c r="S156" s="292">
        <f>Fsw*(Table16[[#This Row],[I_0]]*Table16[[#This Row],[t1_Ph_II]]+Table16[[#This Row],[I_1]]*Table16[[#This Row],[t2_Ph_I]]+Table16[[#This Row],[I_2]]*Table16[[#This Row],[t3_Ph_III]])</f>
        <v>7.3020799210618135</v>
      </c>
      <c r="T156" s="345">
        <f>MIN(1,CHOOSE(Table16[[#This Row],[Mode Digit]],(Vout+(Rdson2+Rs+Rdcr)*Table16[[#This Row],[Iout]])/(Table16[[#This Row],[Vin]]+(Rs+Rdson2-Rdson1)*Table16[[#This Row],[Iout]]),1,Fsw*Table16[[#This Row],[t2_Ph_I]]+Table16[[#This Row],[t1_Ph_II]]))</f>
        <v>0.57247936593918824</v>
      </c>
      <c r="U156" s="345">
        <f>MIN(1,CHOOSE(Table16[[#This Row],[Mode Digit]],0,(Vout+(Rdson3+Rdcr)*Table16[[#This Row],[Iin]]-Table16[[#This Row],[Vin]])/(Vout+(Rdson3-Rdson4-Rs)*Table16[[#This Row],[Iin]]),Fsw*Table16[[#This Row],[t1_Ph_II]]+Table16[[#This Row],[t3_Ph_III]]))</f>
        <v>0</v>
      </c>
      <c r="V156" s="292">
        <f>MAX(Table16[[#This Row],[I_0]:[I_2]])-MIN(Table16[[#This Row],[I_0]:[I_1]])</f>
        <v>9.629224399172557</v>
      </c>
      <c r="W156"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8.4691693932050782</v>
      </c>
      <c r="X156" s="345">
        <f>(Table16[[#This Row],[Irms Lf]]^2*Rdcr*(1+Ltc*Ta-Ltc*25))/(1-Table16[[#This Row],[Irms Lf]]^2*Rdcr*Ltc*ThetaCa)</f>
        <v>0.23381926198774555</v>
      </c>
      <c r="Y156" s="345">
        <f>ABS(7.759*10^-3*Fsw^0.9458*(0.00787*Table16[[#This Row],[Ripple Current pk-pk]])^2.304)</f>
        <v>4.0243460432132885</v>
      </c>
      <c r="Z156" s="345">
        <f>Table16[[#This Row],[DCR    Loss]]+Table16[[#This Row],[Core Loss]]</f>
        <v>4.2581653052010342</v>
      </c>
      <c r="AA156" s="292">
        <f>IF(Table16[[#This Row],[Vin]]&gt;Vout, Table16[[#This Row],[Ripple Current pk-pk]]/SQRT(12), SQRT(Table16[[#This Row],[Duty Cycle BOOST Leg]]/(1-Table16[[#This Row],[Duty Cycle BOOST Leg]]))*SQRT(Table16[[#This Row],[Iout]]^2+(Table16[[#This Row],[Ripple Current pk-pk]]^2)/12))</f>
        <v>2.7797176494747942</v>
      </c>
      <c r="AB156" s="345">
        <f>RCoutEsr*Table16[[#This Row],[Irms Cout]]^2</f>
        <v>1.5453660421603349E-2</v>
      </c>
      <c r="AC156" s="345">
        <f>Table16[[#This Row],[Cout ESR Loss]]</f>
        <v>1.5453660421603349E-2</v>
      </c>
      <c r="AD156" s="345">
        <f>IF(Table16[[#This Row],[Vin]]&gt;Vout, SQRT(Table16[[#This Row],[Duty Cycle BUCK Leg]]*(1-Table16[[#This Row],[Duty Cycle BUCK Leg]]))*SQRT(Table16[[#This Row],[Iout]]^2+(Table16[[#This Row],[Ripple Current pk-pk]]^2)/12), Table16[[#This Row],[Ripple Current pk-pk]]/SQRT(12))</f>
        <v>4.1898577509449808</v>
      </c>
      <c r="AE156" s="345">
        <f>RCinEsr*Table16[[#This Row],[Irms Cin]]^2</f>
        <v>3.5109815946307465E-2</v>
      </c>
      <c r="AF156" s="683">
        <f>Table16[[#This Row],[Cin ESR Loss]]</f>
        <v>3.5109815946307465E-2</v>
      </c>
      <c r="AG156"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6.4079739606140373</v>
      </c>
      <c r="AH156" s="345">
        <f>Rdson1*Table16[[#This Row],[Irms BuCtrl]]^2</f>
        <v>0.14371745597967642</v>
      </c>
      <c r="AI156" s="345">
        <f>CHOOSE(Table16[[#This Row],[Mode Digit]], (Table16[[#This Row],[Vin]]*Table16[[#This Row],[Iout]]/2)*(Fsw)*(Tr_buck+Tf_buck), 0, (Table16[[#This Row],[Vin]]*Table16[[#This Row],[Avg IL]]/2)*(Fsw/1)*(Tr_buck+Tf_buck))</f>
        <v>0.83981906407790197</v>
      </c>
      <c r="AJ156" s="253">
        <f>IF(Table16[[#This Row],[Vin]]&gt;Vout, IF(Table16[[#This Row],[Iout]]&gt;Table16[[#This Row],[Ripple Current pk-pk]]/2,0,ABS(Table16[[#This Row],[Iout]]-Table16[[#This Row],[Ripple Current pk-pk]]/2)*Vsd_Q1*Deadtime*Fsw),0)</f>
        <v>0</v>
      </c>
      <c r="AK156" s="345">
        <f>(Table16[[#This Row],[Dead Time Loss BuCtrl]]+Table16[[#This Row],[Transition Loss BuCtrl]]+Table16[[#This Row],[RDS(on) Loss BuCtrl]]*(1+RdsonTopTc*Ta-RdsonTopTc*25))/(1-Table16[[#This Row],[RDS(on) Loss BuCtrl]]*RdsonTopTc*ThetaJA_Q1)</f>
        <v>1.0217144525403372</v>
      </c>
      <c r="AL156" s="345">
        <f>CHOOSE(Table16[[#This Row],[Mode Digit]],SQRT((Fsw*(Table16[[#This Row],[t2_Ph_I]]+0))*((Table16[[#This Row],[I_0]]*Table16[[#This Row],[I_1]]+((Table16[[#This Row],[I_0]]-Table16[[#This Row],[I_1]])^2)/3))),0,SQRT((Fsw*(Table16[[#This Row],[t3_Ph_III]]+0))*((Table16[[#This Row],[I_0]]*Table16[[#This Row],[I_2]]+((Table16[[#This Row],[I_0]]-Table16[[#This Row],[I_2]])^2)/3))))</f>
        <v>5.5375716637253669</v>
      </c>
      <c r="AM156" s="345">
        <f>Rdson2*Table16[[#This Row],[Irms BuSync]]^2</f>
        <v>0.10732644975812945</v>
      </c>
      <c r="AN156"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56" s="345">
        <f>(Table16[[#This Row],[Deadtime Loss BuSync]]+Table16[[#This Row],[RDS(on) Loss BuSync]]*(1+RdsonBotTc*Ta-RdsonBotTc*25))/(1-Table16[[#This Row],[RDS(on) Loss BuSync]]*RdsonBotTc*ThetaJA_Q2)</f>
        <v>0.35606232512261859</v>
      </c>
      <c r="AP156" s="345">
        <f>CHOOSE(Table16[[#This Row],[Mode Digit]],0,SQRT((Fsw*(Table16[[#This Row],[t1_Ph_II]]+0))*((Table16[[#This Row],[I_0]]*Table16[[#This Row],[I_1]]+((Table16[[#This Row],[I_0]]-Table16[[#This Row],[I_1]])^2)/3))),SQRT((Fsw*(Table16[[#This Row],[t2_Ph_I]]+0))*((Table16[[#This Row],[I_1]]*Table16[[#This Row],[I_2]]+((Table16[[#This Row],[I_1]]-Table16[[#This Row],[I_2]])^2)/3))))</f>
        <v>0</v>
      </c>
      <c r="AQ156" s="345">
        <f>Rdson4*Table16[[#This Row],[Irms BoCtlr]]^2</f>
        <v>0</v>
      </c>
      <c r="AR156" s="345">
        <f>CHOOSE(Table16[[#This Row],[Mode Digit]], 0, (Vout*Table16[[#This Row],[Iin]]/2)*(Fsw)*(Tr_boost+Tf_boost), (Vout*Iout/2)*(Fsw/1)*(Tr_boost+Tf_boost))</f>
        <v>0</v>
      </c>
      <c r="AS156" s="253">
        <f>IF(Table16[[#This Row],[Vin]]&gt;Vout, 0, IF(Table16[[#This Row],[Iin]]&gt;Table16[[#This Row],[Ripple Current pk-pk]]/2,0,ABS(Table16[[#This Row],[Iin]]-Table16[[#This Row],[Ripple Current pk-pk]]/2)*Vsd_Q4*Deadtime*Fsw))</f>
        <v>0</v>
      </c>
      <c r="AT156" s="345">
        <f>(Table16[[#This Row],[Dead Time Loss BoCtlr]]+Table16[[#This Row],[Transition Loss BoCtlr]]+Table16[[#This Row],[RDS(on) Loss BoCtlr]]*(1+RdsonTopTc*Ta-RdsonTopTc*25))/(1-Table16[[#This Row],[RDS(on) Loss BoCtlr]]*RdsonTopTc*ThetaJA_Q4)</f>
        <v>0</v>
      </c>
      <c r="AU156"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8.4691693932050782</v>
      </c>
      <c r="AV156" s="345">
        <f>Rdson3*Table16[[#This Row],[Irms BoSync]]^2</f>
        <v>0.25104390573780588</v>
      </c>
      <c r="AW156"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56" s="345">
        <f>(Table16[[#This Row],[Deadtime Loss BoSync]]+Table16[[#This Row],[RDS(on) Loss BoSync]]*(1+RdsonBotTc*Ta-RdsonBotTc*25))/(1-Table16[[#This Row],[RDS(on) Loss BoSync]]*RdsonBotTc*ThetaJA_Q3)</f>
        <v>0.26857411862492531</v>
      </c>
      <c r="AY156" s="345">
        <f>CHOOSE(Table16[[#This Row],[Mode Digit]], Rdson3*Table16[[#This Row],[Irms Lf]]^2, Rdson1*Table16[[#This Row],[Irms Lf]]^2, 0)</f>
        <v>0.25104390573780588</v>
      </c>
      <c r="AZ156" s="345">
        <f>CHOOSE(Table16[[#This Row],[Mode Digit]], 2*Deadtime*Fsw*IF(VfdSky_Q2&gt;0,VfdSky_Q2,0)*Table16[[#This Row],[Iout]], 2*Deadtime*Fsw*IF(VfdSky_Q3&gt;0,VfdSky_Q3,0)*Table16[[#This Row],[Iin]], 2*Deadtime*Fsw*IF(VfdSky_Q2&gt;0,VfdSky_Q2,0)*Table16[[#This Row],[Iout]]+2*Deadtime*Fsw*IF(VfdSky_Q3&gt;0,VfdSky_Q3,0)*Table16[[#This Row],[Iin]])</f>
        <v>0</v>
      </c>
      <c r="BA156" s="345">
        <f>CHOOSE(Table16[[#This Row],[Mode Digit]], IF(QrrSky_Q2&gt;0,QrrSky_Q2,Qrr_Q2)*Fsw*(Table16[[#This Row],[Vin]]-Table16[[#This Row],[Iout]]*Rdson1),0,  IF(QrrSky_Q2&gt;0,QrrSky_Q2,Qrr_Q2)*Fsw*(Table16[[#This Row],[Vin]]-Table16[[#This Row],[Iout]]*Rdson1)+IF(QrrSky_Q3&gt;0,QrrSky_Q3,Qrr_Q3)*Fsw*Vout)</f>
        <v>0.50187402000000003</v>
      </c>
      <c r="BB156" s="345">
        <f>CHOOSE(Table16[[#This Row],[Mode Digit]],0, IF(QrrSky_Q3&gt;0,QrrSky_Q3,Qrr_Q3)*Fsw*Vout,  IF(QrrSky_Q2&gt;0,QrrSky_Q2,Qrr_Q2)*Fsw*(Table16[[#This Row],[Vin]]-Table16[[#This Row],[Iout]]*Rdson1)+IF(QrrSky_Q3&gt;0,QrrSky_Q3,Qrr_Q3)*Fsw*Vout)</f>
        <v>0</v>
      </c>
      <c r="BC156" s="345">
        <f>CHOOSE(Table16[[#This Row],[Mode Digit]], Rs*Table16[[#This Row],[Irms BuSync]]^2, Rs*Table16[[#This Row],[Irms BoCtlr]]^2, Rs*(Table16[[#This Row],[Irms BuSync]]^2+Table16[[#This Row],[Irms BoCtlr]]^2))</f>
        <v>3.9864109910162364E-2</v>
      </c>
      <c r="BD156" s="345">
        <f t="shared" si="8"/>
        <v>0.64</v>
      </c>
      <c r="BE156" s="345">
        <f>IF(Vout&gt;8, Iq*Vout, Iq*Table16[[#This Row],[Vin]])</f>
        <v>4.8000000000000001E-2</v>
      </c>
      <c r="BF156" s="345">
        <f>CHOOSE(Table16[[#This Row],[Mode Digit]], (Qg_Q1+Qg_Q2)*Fsw, (Qg_Q3+Qg_Q4)*Fsw, (Qg_Q1+Qg_Q2+Qg_Q3+Qg_Q4)*Fsw)*IF(Vout&gt;8, Vout, Table16[[#This Row],[Vin]])</f>
        <v>0.85331200000000007</v>
      </c>
      <c r="BG156" s="345">
        <f t="shared" si="9"/>
        <v>0.50594479787234037</v>
      </c>
      <c r="BH156" s="345">
        <f>Table16[[#This Row],[IQ Loss]]+Table16[[#This Row],[Switching Current Loss]]</f>
        <v>0.90131200000000011</v>
      </c>
      <c r="BI156"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8.0381298077669872</v>
      </c>
      <c r="BJ156" s="253">
        <f>Vout*Table16[[#This Row],[Iout]]</f>
        <v>128</v>
      </c>
      <c r="BK156" s="684">
        <f>Table16[[#This Row],[Pout]]/(Table16[[#This Row],[Pout]]+Table16[[#This Row],[Total Loss]])</f>
        <v>0.9409126704466938</v>
      </c>
      <c r="BL156"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66.411439415121919</v>
      </c>
      <c r="BM156" s="685">
        <f>IF(Table16[[#This Row],[Vin]]&gt;Vout, Table16[[#This Row],[Total Sync Bu MOSFET Loss]]*ThetaJA_Q2, ThetaJA_Q3*Table16[[#This Row],[Total Sync Bo MOSFET Loss]])</f>
        <v>23.144051132970208</v>
      </c>
      <c r="BN156" s="640"/>
      <c r="BO156" s="292">
        <f>Table16[[#This Row],[EFF, h]]*100</f>
        <v>94.09126704466938</v>
      </c>
      <c r="BP156" s="345">
        <f>Table16[[#This Row],[Total Inductor Loss]]</f>
        <v>4.2581653052010342</v>
      </c>
      <c r="BQ156" s="345">
        <f>Table16[[#This Row],[Total Control Bu MOSFET Loss]]+Table16[[#This Row],[Total Sync Bu MOSFET Loss]]+Table16[[#This Row],[Total Control Bo MOSFET Loss]]+Table16[[#This Row],[Total Sync Bo MOSFET Loss]]+Table16[[#This Row],[Reverse Recovery Loss MOSFET D BUCK]]+Table16[[#This Row],[Reverse Recovery Loss MOSFET D BOOST]]</f>
        <v>2.148224916287881</v>
      </c>
      <c r="BR156" s="345">
        <f>Table16[[#This Row],[Total Control Bu MOSFET Loss]]+Table16[[#This Row],[Reverse Recovery Loss MOSFET D BUCK]]*0.66</f>
        <v>1.3529513057403373</v>
      </c>
      <c r="BS156" s="345">
        <f>Table16[[#This Row],[Total Sync Bu MOSFET Loss]]+Table16[[#This Row],[Reverse Recovery Loss MOSFET D BUCK]]*0.33</f>
        <v>0.52168075172261863</v>
      </c>
      <c r="BT156" s="345">
        <f xml:space="preserve"> Table16[[#This Row],[Total Control Bo MOSFET Loss]]+Table16[[#This Row],[Reverse Recovery Loss MOSFET D BOOST]]*0.66</f>
        <v>0</v>
      </c>
      <c r="BU156" s="345">
        <f xml:space="preserve"> Table16[[#This Row],[Total Sync Bo MOSFET Loss]]+Table16[[#This Row],[Reverse Recovery Loss MOSFET D BOOST]]*0.33</f>
        <v>0.26857411862492531</v>
      </c>
      <c r="BV156" s="345">
        <f>Table16[[#This Row],[Isense Shunt Loss]]</f>
        <v>3.9864109910162364E-2</v>
      </c>
    </row>
    <row r="157" spans="7:74" x14ac:dyDescent="0.2">
      <c r="G157" s="253">
        <v>148</v>
      </c>
      <c r="H157" s="286">
        <f>VIN_min+(VIN_max-VIN_min)*(Table16[[#This Row],[Step]]/200)</f>
        <v>28.2</v>
      </c>
      <c r="I157" s="292" t="str">
        <f>IF(Mode = 2,IF(Table16[[#This Row],[Vin]]&gt;Vout, "BUCK","BOOST"),IF(Table16[[#This Row],[Vin]]&gt;VIN_BB_to_buck, "BUCK", IF(Table16[[#This Row],[Vin]]&lt;=VIN_boost_to_BB,"BOOST","BUCK-BST")))</f>
        <v>BUCK</v>
      </c>
      <c r="J157" s="253">
        <f>IF(Table16[[#This Row],[Mode]]="BOOST",2, IF(Table16[[#This Row],[Mode]]="BUCK", 1,3))</f>
        <v>1</v>
      </c>
      <c r="K157" s="253">
        <f t="shared" si="7"/>
        <v>8</v>
      </c>
      <c r="L157" s="292">
        <f>Vout*Table16[[#This Row],[Iout]]/(Table16[[#This Row],[Vin]]*Efficiency)</f>
        <v>4.777902202314297</v>
      </c>
      <c r="M157" s="682">
        <f>MIN(1/Fsw,CHOOSE(Table16[[#This Row],[Mode Digit]],(Vout+(Rdson2+Rs+Rdcr)*Table16[[#This Row],[Iout]])/(Table16[[#This Row],[Vin]]+(Rs+Rdson2-Rdson1)*Table16[[#This Row],[Iout]])/Fsw,(Vout+(Rdson3+Rdcr)*Table16[[#This Row],[Iin]]-Table16[[#This Row],[Vin]])/(Vout+(Rdson3-Rdson4-Rs)*Table16[[#This Row],[Iin]])/Fsw,t1_Ph_II))</f>
        <v>1.4307421747024548E-6</v>
      </c>
      <c r="N157" s="518">
        <f>CHOOSE(Table16[[#This Row],[Mode Digit]],1/Fsw-Table16[[#This Row],[t1_Ph_II]],1/Fsw-Table16[[#This Row],[t1_Ph_II]],(Vout/Fsw-Table16[[#This Row],[Vin]]*t1_Ph_II)/(Table16[[#This Row],[Vin]]+Vout))</f>
        <v>1.0818206393678971E-6</v>
      </c>
      <c r="O157" s="518">
        <f>1/Fsw-(Table16[[#This Row],[t1_Ph_II]]+Table16[[#This Row],[t2_Ph_I]])</f>
        <v>0</v>
      </c>
      <c r="P157"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3.1513737412861262</v>
      </c>
      <c r="Q157" s="292">
        <f>CHOOSE(Table16[[#This Row],[Mode Digit]],Table16[[#This Row],[I_0]]+1/Lf*(Table16[[#This Row],[Vin]]-Vout)*Table16[[#This Row],[t1_Ph_II]],Table16[[#This Row],[I_0]]+1/Lf*Table16[[#This Row],[Vin]]*Table16[[#This Row],[t1_Ph_II]],Table16[[#This Row],[I_0]]+(Table16[[#This Row],[Vin]]-Vout)/L*Table16[[#This Row],[t1_Ph_II]])</f>
        <v>12.848626258713875</v>
      </c>
      <c r="R157" s="292">
        <f>CHOOSE(Table16[[#This Row],[Mode Digit]],0,0,Table16[[#This Row],[I_1]]+Table16[[#This Row],[Vin]]/L*Table16[[#This Row],[t2_Ph_I]])</f>
        <v>0</v>
      </c>
      <c r="S157" s="292">
        <f>Fsw*(Table16[[#This Row],[I_0]]*Table16[[#This Row],[t1_Ph_II]]+Table16[[#This Row],[I_1]]*Table16[[#This Row],[t2_Ph_I]]+Table16[[#This Row],[I_2]]*Table16[[#This Row],[t3_Ph_III]])</f>
        <v>7.3266675328553497</v>
      </c>
      <c r="T157" s="345">
        <f>MIN(1,CHOOSE(Table16[[#This Row],[Mode Digit]],(Vout+(Rdson2+Rs+Rdcr)*Table16[[#This Row],[Iout]])/(Table16[[#This Row],[Vin]]+(Rs+Rdson2-Rdson1)*Table16[[#This Row],[Iout]]),1,Fsw*Table16[[#This Row],[t2_Ph_I]]+Table16[[#This Row],[t1_Ph_II]]))</f>
        <v>0.56943538553157702</v>
      </c>
      <c r="U157" s="345">
        <f>MIN(1,CHOOSE(Table16[[#This Row],[Mode Digit]],0,(Vout+(Rdson3+Rdcr)*Table16[[#This Row],[Iin]]-Table16[[#This Row],[Vin]])/(Vout+(Rdson3-Rdson4-Rs)*Table16[[#This Row],[Iin]]),Fsw*Table16[[#This Row],[t1_Ph_II]]+Table16[[#This Row],[t3_Ph_III]]))</f>
        <v>0</v>
      </c>
      <c r="V157" s="292">
        <f>MAX(Table16[[#This Row],[I_0]:[I_2]])-MIN(Table16[[#This Row],[I_0]:[I_1]])</f>
        <v>9.6972525174277493</v>
      </c>
      <c r="W157"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8.4756352091684892</v>
      </c>
      <c r="X157" s="345">
        <f>(Table16[[#This Row],[Irms Lf]]^2*Rdcr*(1+Ltc*Ta-Ltc*25))/(1-Table16[[#This Row],[Irms Lf]]^2*Rdcr*Ltc*ThetaCa)</f>
        <v>0.23418310968313918</v>
      </c>
      <c r="Y157" s="345">
        <f>ABS(7.759*10^-3*Fsw^0.9458*(0.00787*Table16[[#This Row],[Ripple Current pk-pk]])^2.304)</f>
        <v>4.0901530639466115</v>
      </c>
      <c r="Z157" s="345">
        <f>Table16[[#This Row],[DCR    Loss]]+Table16[[#This Row],[Core Loss]]</f>
        <v>4.3243361736297503</v>
      </c>
      <c r="AA157" s="292">
        <f>IF(Table16[[#This Row],[Vin]]&gt;Vout, Table16[[#This Row],[Ripple Current pk-pk]]/SQRT(12), SQRT(Table16[[#This Row],[Duty Cycle BOOST Leg]]/(1-Table16[[#This Row],[Duty Cycle BOOST Leg]]))*SQRT(Table16[[#This Row],[Iout]]^2+(Table16[[#This Row],[Ripple Current pk-pk]]^2)/12))</f>
        <v>2.7993556756683438</v>
      </c>
      <c r="AB157" s="345">
        <f>RCoutEsr*Table16[[#This Row],[Irms Cout]]^2</f>
        <v>1.5672784397793141E-2</v>
      </c>
      <c r="AC157" s="345">
        <f>Table16[[#This Row],[Cout ESR Loss]]</f>
        <v>1.5672784397793141E-2</v>
      </c>
      <c r="AD157" s="345">
        <f>IF(Table16[[#This Row],[Vin]]&gt;Vout, SQRT(Table16[[#This Row],[Duty Cycle BUCK Leg]]*(1-Table16[[#This Row],[Duty Cycle BUCK Leg]]))*SQRT(Table16[[#This Row],[Iout]]^2+(Table16[[#This Row],[Ripple Current pk-pk]]^2)/12), Table16[[#This Row],[Ripple Current pk-pk]]/SQRT(12))</f>
        <v>4.1967553191194522</v>
      </c>
      <c r="AE157" s="345">
        <f>RCinEsr*Table16[[#This Row],[Irms Cin]]^2</f>
        <v>3.5225510417114837E-2</v>
      </c>
      <c r="AF157" s="683">
        <f>Table16[[#This Row],[Cin ESR Loss]]</f>
        <v>3.5225510417114837E-2</v>
      </c>
      <c r="AG157"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6.3957942186233794</v>
      </c>
      <c r="AH157" s="345">
        <f>Rdson1*Table16[[#This Row],[Irms BuCtrl]]^2</f>
        <v>0.14317164290441683</v>
      </c>
      <c r="AI157" s="345">
        <f>CHOOSE(Table16[[#This Row],[Mode Digit]], (Table16[[#This Row],[Vin]]*Table16[[#This Row],[Iout]]/2)*(Fsw)*(Tr_buck+Tf_buck), 0, (Table16[[#This Row],[Vin]]*Table16[[#This Row],[Avg IL]]/2)*(Fsw/1)*(Tr_buck+Tf_buck))</f>
        <v>0.84431007511575173</v>
      </c>
      <c r="AJ157" s="253">
        <f>IF(Table16[[#This Row],[Vin]]&gt;Vout, IF(Table16[[#This Row],[Iout]]&gt;Table16[[#This Row],[Ripple Current pk-pk]]/2,0,ABS(Table16[[#This Row],[Iout]]-Table16[[#This Row],[Ripple Current pk-pk]]/2)*Vsd_Q1*Deadtime*Fsw),0)</f>
        <v>0</v>
      </c>
      <c r="AK157" s="345">
        <f>(Table16[[#This Row],[Dead Time Loss BuCtrl]]+Table16[[#This Row],[Transition Loss BuCtrl]]+Table16[[#This Row],[RDS(on) Loss BuCtrl]]*(1+RdsonTopTc*Ta-RdsonTopTc*25))/(1-Table16[[#This Row],[RDS(on) Loss BuCtrl]]*RdsonTopTc*ThetaJA_Q1)</f>
        <v>1.025661588229364</v>
      </c>
      <c r="AL157" s="345">
        <f>CHOOSE(Table16[[#This Row],[Mode Digit]],SQRT((Fsw*(Table16[[#This Row],[t2_Ph_I]]+0))*((Table16[[#This Row],[I_0]]*Table16[[#This Row],[I_1]]+((Table16[[#This Row],[I_0]]-Table16[[#This Row],[I_1]])^2)/3))),0,SQRT((Fsw*(Table16[[#This Row],[t3_Ph_III]]+0))*((Table16[[#This Row],[I_0]]*Table16[[#This Row],[I_2]]+((Table16[[#This Row],[I_0]]-Table16[[#This Row],[I_2]])^2)/3))))</f>
        <v>5.5614933706622667</v>
      </c>
      <c r="AM157" s="345">
        <f>Rdson2*Table16[[#This Row],[Irms BuSync]]^2</f>
        <v>0.1082557297917212</v>
      </c>
      <c r="AN157"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57" s="345">
        <f>(Table16[[#This Row],[Deadtime Loss BuSync]]+Table16[[#This Row],[RDS(on) Loss BuSync]]*(1+RdsonBotTc*Ta-RdsonBotTc*25))/(1-Table16[[#This Row],[RDS(on) Loss BuSync]]*RdsonBotTc*ThetaJA_Q2)</f>
        <v>0.35710703941477923</v>
      </c>
      <c r="AP157" s="345">
        <f>CHOOSE(Table16[[#This Row],[Mode Digit]],0,SQRT((Fsw*(Table16[[#This Row],[t1_Ph_II]]+0))*((Table16[[#This Row],[I_0]]*Table16[[#This Row],[I_1]]+((Table16[[#This Row],[I_0]]-Table16[[#This Row],[I_1]])^2)/3))),SQRT((Fsw*(Table16[[#This Row],[t2_Ph_I]]+0))*((Table16[[#This Row],[I_1]]*Table16[[#This Row],[I_2]]+((Table16[[#This Row],[I_1]]-Table16[[#This Row],[I_2]])^2)/3))))</f>
        <v>0</v>
      </c>
      <c r="AQ157" s="345">
        <f>Rdson4*Table16[[#This Row],[Irms BoCtlr]]^2</f>
        <v>0</v>
      </c>
      <c r="AR157" s="345">
        <f>CHOOSE(Table16[[#This Row],[Mode Digit]], 0, (Vout*Table16[[#This Row],[Iin]]/2)*(Fsw)*(Tr_boost+Tf_boost), (Vout*Iout/2)*(Fsw/1)*(Tr_boost+Tf_boost))</f>
        <v>0</v>
      </c>
      <c r="AS157" s="253">
        <f>IF(Table16[[#This Row],[Vin]]&gt;Vout, 0, IF(Table16[[#This Row],[Iin]]&gt;Table16[[#This Row],[Ripple Current pk-pk]]/2,0,ABS(Table16[[#This Row],[Iin]]-Table16[[#This Row],[Ripple Current pk-pk]]/2)*Vsd_Q4*Deadtime*Fsw))</f>
        <v>0</v>
      </c>
      <c r="AT157" s="345">
        <f>(Table16[[#This Row],[Dead Time Loss BoCtlr]]+Table16[[#This Row],[Transition Loss BoCtlr]]+Table16[[#This Row],[RDS(on) Loss BoCtlr]]*(1+RdsonTopTc*Ta-RdsonTopTc*25))/(1-Table16[[#This Row],[RDS(on) Loss BoCtlr]]*RdsonTopTc*ThetaJA_Q4)</f>
        <v>0</v>
      </c>
      <c r="AU157"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8.4756352091684892</v>
      </c>
      <c r="AV157" s="345">
        <f>Rdson3*Table16[[#This Row],[Irms BoSync]]^2</f>
        <v>0.25142737269613802</v>
      </c>
      <c r="AW157"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57" s="345">
        <f>(Table16[[#This Row],[Deadtime Loss BoSync]]+Table16[[#This Row],[RDS(on) Loss BoSync]]*(1+RdsonBotTc*Ta-RdsonBotTc*25))/(1-Table16[[#This Row],[RDS(on) Loss BoSync]]*RdsonBotTc*ThetaJA_Q3)</f>
        <v>0.26901305667171921</v>
      </c>
      <c r="AY157" s="345">
        <f>CHOOSE(Table16[[#This Row],[Mode Digit]], Rdson3*Table16[[#This Row],[Irms Lf]]^2, Rdson1*Table16[[#This Row],[Irms Lf]]^2, 0)</f>
        <v>0.25142737269613802</v>
      </c>
      <c r="AZ157" s="345">
        <f>CHOOSE(Table16[[#This Row],[Mode Digit]], 2*Deadtime*Fsw*IF(VfdSky_Q2&gt;0,VfdSky_Q2,0)*Table16[[#This Row],[Iout]], 2*Deadtime*Fsw*IF(VfdSky_Q3&gt;0,VfdSky_Q3,0)*Table16[[#This Row],[Iin]], 2*Deadtime*Fsw*IF(VfdSky_Q2&gt;0,VfdSky_Q2,0)*Table16[[#This Row],[Iout]]+2*Deadtime*Fsw*IF(VfdSky_Q3&gt;0,VfdSky_Q3,0)*Table16[[#This Row],[Iin]])</f>
        <v>0</v>
      </c>
      <c r="BA157" s="345">
        <f>CHOOSE(Table16[[#This Row],[Mode Digit]], IF(QrrSky_Q2&gt;0,QrrSky_Q2,Qrr_Q2)*Fsw*(Table16[[#This Row],[Vin]]-Table16[[#This Row],[Iout]]*Rdson1),0,  IF(QrrSky_Q2&gt;0,QrrSky_Q2,Qrr_Q2)*Fsw*(Table16[[#This Row],[Vin]]-Table16[[#This Row],[Iout]]*Rdson1)+IF(QrrSky_Q3&gt;0,QrrSky_Q3,Qrr_Q3)*Fsw*Vout)</f>
        <v>0.50456051999999996</v>
      </c>
      <c r="BB157" s="345">
        <f>CHOOSE(Table16[[#This Row],[Mode Digit]],0, IF(QrrSky_Q3&gt;0,QrrSky_Q3,Qrr_Q3)*Fsw*Vout,  IF(QrrSky_Q2&gt;0,QrrSky_Q2,Qrr_Q2)*Fsw*(Table16[[#This Row],[Vin]]-Table16[[#This Row],[Iout]]*Rdson1)+IF(QrrSky_Q3&gt;0,QrrSky_Q3,Qrr_Q3)*Fsw*Vout)</f>
        <v>0</v>
      </c>
      <c r="BC157" s="345">
        <f>CHOOSE(Table16[[#This Row],[Mode Digit]], Rs*Table16[[#This Row],[Irms BuSync]]^2, Rs*Table16[[#This Row],[Irms BoCtlr]]^2, Rs*(Table16[[#This Row],[Irms BuSync]]^2+Table16[[#This Row],[Irms BoCtlr]]^2))</f>
        <v>4.0209271065496439E-2</v>
      </c>
      <c r="BD157" s="345">
        <f t="shared" si="8"/>
        <v>0.64</v>
      </c>
      <c r="BE157" s="345">
        <f>IF(Vout&gt;8, Iq*Vout, Iq*Table16[[#This Row],[Vin]])</f>
        <v>4.8000000000000001E-2</v>
      </c>
      <c r="BF157" s="345">
        <f>CHOOSE(Table16[[#This Row],[Mode Digit]], (Qg_Q1+Qg_Q2)*Fsw, (Qg_Q3+Qg_Q4)*Fsw, (Qg_Q1+Qg_Q2+Qg_Q3+Qg_Q4)*Fsw)*IF(Vout&gt;8, Vout, Table16[[#This Row],[Vin]])</f>
        <v>0.85331200000000007</v>
      </c>
      <c r="BG157" s="345">
        <f t="shared" si="9"/>
        <v>0.50594479787234037</v>
      </c>
      <c r="BH157" s="345">
        <f>Table16[[#This Row],[IQ Loss]]+Table16[[#This Row],[Switching Current Loss]]</f>
        <v>0.90131200000000011</v>
      </c>
      <c r="BI157"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8.1130979438260162</v>
      </c>
      <c r="BJ157" s="253">
        <f>Vout*Table16[[#This Row],[Iout]]</f>
        <v>128</v>
      </c>
      <c r="BK157" s="684">
        <f>Table16[[#This Row],[Pout]]/(Table16[[#This Row],[Pout]]+Table16[[#This Row],[Total Loss]])</f>
        <v>0.94039443619765173</v>
      </c>
      <c r="BL157"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66.668003234908667</v>
      </c>
      <c r="BM157" s="685">
        <f>IF(Table16[[#This Row],[Vin]]&gt;Vout, Table16[[#This Row],[Total Sync Bu MOSFET Loss]]*ThetaJA_Q2, ThetaJA_Q3*Table16[[#This Row],[Total Sync Bo MOSFET Loss]])</f>
        <v>23.211957561960649</v>
      </c>
      <c r="BN157" s="640"/>
      <c r="BO157" s="292">
        <f>Table16[[#This Row],[EFF, h]]*100</f>
        <v>94.039443619765166</v>
      </c>
      <c r="BP157" s="345">
        <f>Table16[[#This Row],[Total Inductor Loss]]</f>
        <v>4.3243361736297503</v>
      </c>
      <c r="BQ157" s="345">
        <f>Table16[[#This Row],[Total Control Bu MOSFET Loss]]+Table16[[#This Row],[Total Sync Bu MOSFET Loss]]+Table16[[#This Row],[Total Control Bo MOSFET Loss]]+Table16[[#This Row],[Total Sync Bo MOSFET Loss]]+Table16[[#This Row],[Reverse Recovery Loss MOSFET D BUCK]]+Table16[[#This Row],[Reverse Recovery Loss MOSFET D BOOST]]</f>
        <v>2.1563422043158624</v>
      </c>
      <c r="BR157" s="345">
        <f>Table16[[#This Row],[Total Control Bu MOSFET Loss]]+Table16[[#This Row],[Reverse Recovery Loss MOSFET D BUCK]]*0.66</f>
        <v>1.358671531429364</v>
      </c>
      <c r="BS157" s="345">
        <f>Table16[[#This Row],[Total Sync Bu MOSFET Loss]]+Table16[[#This Row],[Reverse Recovery Loss MOSFET D BUCK]]*0.33</f>
        <v>0.52361201101477928</v>
      </c>
      <c r="BT157" s="345">
        <f xml:space="preserve"> Table16[[#This Row],[Total Control Bo MOSFET Loss]]+Table16[[#This Row],[Reverse Recovery Loss MOSFET D BOOST]]*0.66</f>
        <v>0</v>
      </c>
      <c r="BU157" s="345">
        <f xml:space="preserve"> Table16[[#This Row],[Total Sync Bo MOSFET Loss]]+Table16[[#This Row],[Reverse Recovery Loss MOSFET D BOOST]]*0.33</f>
        <v>0.26901305667171921</v>
      </c>
      <c r="BV157" s="345">
        <f>Table16[[#This Row],[Isense Shunt Loss]]</f>
        <v>4.0209271065496439E-2</v>
      </c>
    </row>
    <row r="158" spans="7:74" x14ac:dyDescent="0.2">
      <c r="G158" s="253">
        <v>149</v>
      </c>
      <c r="H158" s="286">
        <f>VIN_min+(VIN_max-VIN_min)*(Table16[[#This Row],[Step]]/200)</f>
        <v>28.35</v>
      </c>
      <c r="I158" s="292" t="str">
        <f>IF(Mode = 2,IF(Table16[[#This Row],[Vin]]&gt;Vout, "BUCK","BOOST"),IF(Table16[[#This Row],[Vin]]&gt;VIN_BB_to_buck, "BUCK", IF(Table16[[#This Row],[Vin]]&lt;=VIN_boost_to_BB,"BOOST","BUCK-BST")))</f>
        <v>BUCK</v>
      </c>
      <c r="J158" s="253">
        <f>IF(Table16[[#This Row],[Mode]]="BOOST",2, IF(Table16[[#This Row],[Mode]]="BUCK", 1,3))</f>
        <v>1</v>
      </c>
      <c r="K158" s="253">
        <f t="shared" si="7"/>
        <v>8</v>
      </c>
      <c r="L158" s="292">
        <f>Vout*Table16[[#This Row],[Iout]]/(Table16[[#This Row],[Vin]]*Efficiency)</f>
        <v>4.7526222964819453</v>
      </c>
      <c r="M158" s="682">
        <f>MIN(1/Fsw,CHOOSE(Table16[[#This Row],[Mode Digit]],(Vout+(Rdson2+Rs+Rdcr)*Table16[[#This Row],[Iout]])/(Table16[[#This Row],[Vin]]+(Rs+Rdson2-Rdson1)*Table16[[#This Row],[Iout]])/Fsw,(Vout+(Rdson3+Rdcr)*Table16[[#This Row],[Iin]]-Table16[[#This Row],[Vin]])/(Vout+(Rdson3-Rdson4-Rs)*Table16[[#This Row],[Iin]])/Fsw,t1_Ph_II))</f>
        <v>1.4231748862930752E-6</v>
      </c>
      <c r="N158" s="518">
        <f>CHOOSE(Table16[[#This Row],[Mode Digit]],1/Fsw-Table16[[#This Row],[t1_Ph_II]],1/Fsw-Table16[[#This Row],[t1_Ph_II]],(Vout/Fsw-Table16[[#This Row],[Vin]]*t1_Ph_II)/(Table16[[#This Row],[Vin]]+Vout))</f>
        <v>1.0893879277772766E-6</v>
      </c>
      <c r="O158" s="518">
        <f>1/Fsw-(Table16[[#This Row],[t1_Ph_II]]+Table16[[#This Row],[t2_Ph_I]])</f>
        <v>0</v>
      </c>
      <c r="P158"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3.1177194873001444</v>
      </c>
      <c r="Q158" s="292">
        <f>CHOOSE(Table16[[#This Row],[Mode Digit]],Table16[[#This Row],[I_0]]+1/Lf*(Table16[[#This Row],[Vin]]-Vout)*Table16[[#This Row],[t1_Ph_II]],Table16[[#This Row],[I_0]]+1/Lf*Table16[[#This Row],[Vin]]*Table16[[#This Row],[t1_Ph_II]],Table16[[#This Row],[I_0]]+(Table16[[#This Row],[Vin]]-Vout)/L*Table16[[#This Row],[t1_Ph_II]])</f>
        <v>12.882280512699856</v>
      </c>
      <c r="R158" s="292">
        <f>CHOOSE(Table16[[#This Row],[Mode Digit]],0,0,Table16[[#This Row],[I_1]]+Table16[[#This Row],[Vin]]/L*Table16[[#This Row],[t2_Ph_I]])</f>
        <v>0</v>
      </c>
      <c r="S158" s="292">
        <f>Fsw*(Table16[[#This Row],[I_0]]*Table16[[#This Row],[t1_Ph_II]]+Table16[[#This Row],[I_1]]*Table16[[#This Row],[t2_Ph_I]]+Table16[[#This Row],[I_2]]*Table16[[#This Row],[t3_Ph_III]])</f>
        <v>7.3514026579438951</v>
      </c>
      <c r="T158" s="345">
        <f>MIN(1,CHOOSE(Table16[[#This Row],[Mode Digit]],(Vout+(Rdson2+Rs+Rdcr)*Table16[[#This Row],[Iout]])/(Table16[[#This Row],[Vin]]+(Rs+Rdson2-Rdson1)*Table16[[#This Row],[Iout]]),1,Fsw*Table16[[#This Row],[t2_Ph_I]]+Table16[[#This Row],[t1_Ph_II]]))</f>
        <v>0.56642360474464393</v>
      </c>
      <c r="U158" s="345">
        <f>MIN(1,CHOOSE(Table16[[#This Row],[Mode Digit]],0,(Vout+(Rdson3+Rdcr)*Table16[[#This Row],[Iin]]-Table16[[#This Row],[Vin]])/(Vout+(Rdson3-Rdson4-Rs)*Table16[[#This Row],[Iin]]),Fsw*Table16[[#This Row],[t1_Ph_II]]+Table16[[#This Row],[t3_Ph_III]]))</f>
        <v>0</v>
      </c>
      <c r="V158" s="292">
        <f>MAX(Table16[[#This Row],[I_0]:[I_2]])-MIN(Table16[[#This Row],[I_0]:[I_1]])</f>
        <v>9.7645610253997113</v>
      </c>
      <c r="W158"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8.4820725259158358</v>
      </c>
      <c r="X158" s="345">
        <f>(Table16[[#This Row],[Irms Lf]]^2*Rdcr*(1+Ltc*Ta-Ltc*25))/(1-Table16[[#This Row],[Irms Lf]]^2*Rdcr*Ltc*ThetaCa)</f>
        <v>0.23454565017729201</v>
      </c>
      <c r="Y158" s="345">
        <f>ABS(7.759*10^-3*Fsw^0.9458*(0.00787*Table16[[#This Row],[Ripple Current pk-pk]])^2.304)</f>
        <v>4.1558591570794601</v>
      </c>
      <c r="Z158" s="345">
        <f>Table16[[#This Row],[DCR    Loss]]+Table16[[#This Row],[Core Loss]]</f>
        <v>4.3904048072567523</v>
      </c>
      <c r="AA158" s="292">
        <f>IF(Table16[[#This Row],[Vin]]&gt;Vout, Table16[[#This Row],[Ripple Current pk-pk]]/SQRT(12), SQRT(Table16[[#This Row],[Duty Cycle BOOST Leg]]/(1-Table16[[#This Row],[Duty Cycle BOOST Leg]]))*SQRT(Table16[[#This Row],[Iout]]^2+(Table16[[#This Row],[Ripple Current pk-pk]]^2)/12))</f>
        <v>2.8187859682665257</v>
      </c>
      <c r="AB158" s="345">
        <f>RCoutEsr*Table16[[#This Row],[Irms Cout]]^2</f>
        <v>1.5891108669792511E-2</v>
      </c>
      <c r="AC158" s="345">
        <f>Table16[[#This Row],[Cout ESR Loss]]</f>
        <v>1.5891108669792511E-2</v>
      </c>
      <c r="AD158" s="345">
        <f>IF(Table16[[#This Row],[Vin]]&gt;Vout, SQRT(Table16[[#This Row],[Duty Cycle BUCK Leg]]*(1-Table16[[#This Row],[Duty Cycle BUCK Leg]]))*SQRT(Table16[[#This Row],[Iout]]^2+(Table16[[#This Row],[Ripple Current pk-pk]]^2)/12), Table16[[#This Row],[Ripple Current pk-pk]]/SQRT(12))</f>
        <v>4.2034459606306056</v>
      </c>
      <c r="AE158" s="345">
        <f>RCinEsr*Table16[[#This Row],[Irms Cin]]^2</f>
        <v>3.5337915887883514E-2</v>
      </c>
      <c r="AF158" s="683">
        <f>Table16[[#This Row],[Cin ESR Loss]]</f>
        <v>3.5337915887883514E-2</v>
      </c>
      <c r="AG158"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6.3837027054620572</v>
      </c>
      <c r="AH158" s="345">
        <f>Rdson1*Table16[[#This Row],[Irms BuCtrl]]^2</f>
        <v>0.14263081081103257</v>
      </c>
      <c r="AI158" s="345">
        <f>CHOOSE(Table16[[#This Row],[Mode Digit]], (Table16[[#This Row],[Vin]]*Table16[[#This Row],[Iout]]/2)*(Fsw)*(Tr_buck+Tf_buck), 0, (Table16[[#This Row],[Vin]]*Table16[[#This Row],[Avg IL]]/2)*(Fsw/1)*(Tr_buck+Tf_buck))</f>
        <v>0.8488010861536015</v>
      </c>
      <c r="AJ158" s="253">
        <f>IF(Table16[[#This Row],[Vin]]&gt;Vout, IF(Table16[[#This Row],[Iout]]&gt;Table16[[#This Row],[Ripple Current pk-pk]]/2,0,ABS(Table16[[#This Row],[Iout]]-Table16[[#This Row],[Ripple Current pk-pk]]/2)*Vsd_Q1*Deadtime*Fsw),0)</f>
        <v>0</v>
      </c>
      <c r="AK158" s="345">
        <f>(Table16[[#This Row],[Dead Time Loss BuCtrl]]+Table16[[#This Row],[Transition Loss BuCtrl]]+Table16[[#This Row],[RDS(on) Loss BuCtrl]]*(1+RdsonTopTc*Ta-RdsonTopTc*25))/(1-Table16[[#This Row],[RDS(on) Loss BuCtrl]]*RdsonTopTc*ThetaJA_Q1)</f>
        <v>1.0296141180494007</v>
      </c>
      <c r="AL158" s="345">
        <f>CHOOSE(Table16[[#This Row],[Mode Digit]],SQRT((Fsw*(Table16[[#This Row],[t2_Ph_I]]+0))*((Table16[[#This Row],[I_0]]*Table16[[#This Row],[I_1]]+((Table16[[#This Row],[I_0]]-Table16[[#This Row],[I_1]])^2)/3))),0,SQRT((Fsw*(Table16[[#This Row],[t3_Ph_III]]+0))*((Table16[[#This Row],[I_0]]*Table16[[#This Row],[I_2]]+((Table16[[#This Row],[I_0]]-Table16[[#This Row],[I_2]])^2)/3))))</f>
        <v>5.5851494253218226</v>
      </c>
      <c r="AM158" s="345">
        <f>Rdson2*Table16[[#This Row],[Irms BuSync]]^2</f>
        <v>0.1091786293611044</v>
      </c>
      <c r="AN158"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58" s="345">
        <f>(Table16[[#This Row],[Deadtime Loss BuSync]]+Table16[[#This Row],[RDS(on) Loss BuSync]]*(1+RdsonBotTc*Ta-RdsonBotTc*25))/(1-Table16[[#This Row],[RDS(on) Loss BuSync]]*RdsonBotTc*ThetaJA_Q2)</f>
        <v>0.35814509491053542</v>
      </c>
      <c r="AP158" s="345">
        <f>CHOOSE(Table16[[#This Row],[Mode Digit]],0,SQRT((Fsw*(Table16[[#This Row],[t1_Ph_II]]+0))*((Table16[[#This Row],[I_0]]*Table16[[#This Row],[I_1]]+((Table16[[#This Row],[I_0]]-Table16[[#This Row],[I_1]])^2)/3))),SQRT((Fsw*(Table16[[#This Row],[t2_Ph_I]]+0))*((Table16[[#This Row],[I_1]]*Table16[[#This Row],[I_2]]+((Table16[[#This Row],[I_1]]-Table16[[#This Row],[I_2]])^2)/3))))</f>
        <v>0</v>
      </c>
      <c r="AQ158" s="345">
        <f>Rdson4*Table16[[#This Row],[Irms BoCtlr]]^2</f>
        <v>0</v>
      </c>
      <c r="AR158" s="345">
        <f>CHOOSE(Table16[[#This Row],[Mode Digit]], 0, (Vout*Table16[[#This Row],[Iin]]/2)*(Fsw)*(Tr_boost+Tf_boost), (Vout*Iout/2)*(Fsw/1)*(Tr_boost+Tf_boost))</f>
        <v>0</v>
      </c>
      <c r="AS158" s="253">
        <f>IF(Table16[[#This Row],[Vin]]&gt;Vout, 0, IF(Table16[[#This Row],[Iin]]&gt;Table16[[#This Row],[Ripple Current pk-pk]]/2,0,ABS(Table16[[#This Row],[Iin]]-Table16[[#This Row],[Ripple Current pk-pk]]/2)*Vsd_Q4*Deadtime*Fsw))</f>
        <v>0</v>
      </c>
      <c r="AT158" s="345">
        <f>(Table16[[#This Row],[Dead Time Loss BoCtlr]]+Table16[[#This Row],[Transition Loss BoCtlr]]+Table16[[#This Row],[RDS(on) Loss BoCtlr]]*(1+RdsonTopTc*Ta-RdsonTopTc*25))/(1-Table16[[#This Row],[RDS(on) Loss BoCtlr]]*RdsonTopTc*ThetaJA_Q4)</f>
        <v>0</v>
      </c>
      <c r="AU158"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8.4820725259158358</v>
      </c>
      <c r="AV158" s="345">
        <f>Rdson3*Table16[[#This Row],[Irms BoSync]]^2</f>
        <v>0.25180944017213686</v>
      </c>
      <c r="AW158"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58" s="345">
        <f>(Table16[[#This Row],[Deadtime Loss BoSync]]+Table16[[#This Row],[RDS(on) Loss BoSync]]*(1+RdsonBotTc*Ta-RdsonBotTc*25))/(1-Table16[[#This Row],[RDS(on) Loss BoSync]]*RdsonBotTc*ThetaJA_Q3)</f>
        <v>0.26945048593677795</v>
      </c>
      <c r="AY158" s="345">
        <f>CHOOSE(Table16[[#This Row],[Mode Digit]], Rdson3*Table16[[#This Row],[Irms Lf]]^2, Rdson1*Table16[[#This Row],[Irms Lf]]^2, 0)</f>
        <v>0.25180944017213686</v>
      </c>
      <c r="AZ158" s="345">
        <f>CHOOSE(Table16[[#This Row],[Mode Digit]], 2*Deadtime*Fsw*IF(VfdSky_Q2&gt;0,VfdSky_Q2,0)*Table16[[#This Row],[Iout]], 2*Deadtime*Fsw*IF(VfdSky_Q3&gt;0,VfdSky_Q3,0)*Table16[[#This Row],[Iin]], 2*Deadtime*Fsw*IF(VfdSky_Q2&gt;0,VfdSky_Q2,0)*Table16[[#This Row],[Iout]]+2*Deadtime*Fsw*IF(VfdSky_Q3&gt;0,VfdSky_Q3,0)*Table16[[#This Row],[Iin]])</f>
        <v>0</v>
      </c>
      <c r="BA158" s="345">
        <f>CHOOSE(Table16[[#This Row],[Mode Digit]], IF(QrrSky_Q2&gt;0,QrrSky_Q2,Qrr_Q2)*Fsw*(Table16[[#This Row],[Vin]]-Table16[[#This Row],[Iout]]*Rdson1),0,  IF(QrrSky_Q2&gt;0,QrrSky_Q2,Qrr_Q2)*Fsw*(Table16[[#This Row],[Vin]]-Table16[[#This Row],[Iout]]*Rdson1)+IF(QrrSky_Q3&gt;0,QrrSky_Q3,Qrr_Q3)*Fsw*Vout)</f>
        <v>0.50724701999999999</v>
      </c>
      <c r="BB158" s="345">
        <f>CHOOSE(Table16[[#This Row],[Mode Digit]],0, IF(QrrSky_Q3&gt;0,QrrSky_Q3,Qrr_Q3)*Fsw*Vout,  IF(QrrSky_Q2&gt;0,QrrSky_Q2,Qrr_Q2)*Fsw*(Table16[[#This Row],[Vin]]-Table16[[#This Row],[Iout]]*Rdson1)+IF(QrrSky_Q3&gt;0,QrrSky_Q3,Qrr_Q3)*Fsw*Vout)</f>
        <v>0</v>
      </c>
      <c r="BC158" s="345">
        <f>CHOOSE(Table16[[#This Row],[Mode Digit]], Rs*Table16[[#This Row],[Irms BuSync]]^2, Rs*Table16[[#This Row],[Irms BoCtlr]]^2, Rs*(Table16[[#This Row],[Irms BuSync]]^2+Table16[[#This Row],[Irms BoCtlr]]^2))</f>
        <v>4.0552062334124492E-2</v>
      </c>
      <c r="BD158" s="345">
        <f t="shared" si="8"/>
        <v>0.64</v>
      </c>
      <c r="BE158" s="345">
        <f>IF(Vout&gt;8, Iq*Vout, Iq*Table16[[#This Row],[Vin]])</f>
        <v>4.8000000000000001E-2</v>
      </c>
      <c r="BF158" s="345">
        <f>CHOOSE(Table16[[#This Row],[Mode Digit]], (Qg_Q1+Qg_Q2)*Fsw, (Qg_Q3+Qg_Q4)*Fsw, (Qg_Q1+Qg_Q2+Qg_Q3+Qg_Q4)*Fsw)*IF(Vout&gt;8, Vout, Table16[[#This Row],[Vin]])</f>
        <v>0.85331200000000007</v>
      </c>
      <c r="BG158" s="345">
        <f t="shared" si="9"/>
        <v>0.50594479787234037</v>
      </c>
      <c r="BH158" s="345">
        <f>Table16[[#This Row],[IQ Loss]]+Table16[[#This Row],[Switching Current Loss]]</f>
        <v>0.90131200000000011</v>
      </c>
      <c r="BI158"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8.1879546130452674</v>
      </c>
      <c r="BJ158" s="253">
        <f>Vout*Table16[[#This Row],[Iout]]</f>
        <v>128</v>
      </c>
      <c r="BK158" s="684">
        <f>Table16[[#This Row],[Pout]]/(Table16[[#This Row],[Pout]]+Table16[[#This Row],[Total Loss]])</f>
        <v>0.93987754176711202</v>
      </c>
      <c r="BL158"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66.924917673211041</v>
      </c>
      <c r="BM158" s="685">
        <f>IF(Table16[[#This Row],[Vin]]&gt;Vout, Table16[[#This Row],[Total Sync Bu MOSFET Loss]]*ThetaJA_Q2, ThetaJA_Q3*Table16[[#This Row],[Total Sync Bo MOSFET Loss]])</f>
        <v>23.279431169184804</v>
      </c>
      <c r="BN158" s="640"/>
      <c r="BO158" s="292">
        <f>Table16[[#This Row],[EFF, h]]*100</f>
        <v>93.987754176711206</v>
      </c>
      <c r="BP158" s="345">
        <f>Table16[[#This Row],[Total Inductor Loss]]</f>
        <v>4.3904048072567523</v>
      </c>
      <c r="BQ158" s="345">
        <f>Table16[[#This Row],[Total Control Bu MOSFET Loss]]+Table16[[#This Row],[Total Sync Bu MOSFET Loss]]+Table16[[#This Row],[Total Control Bo MOSFET Loss]]+Table16[[#This Row],[Total Sync Bo MOSFET Loss]]+Table16[[#This Row],[Reverse Recovery Loss MOSFET D BUCK]]+Table16[[#This Row],[Reverse Recovery Loss MOSFET D BOOST]]</f>
        <v>2.1644567188967141</v>
      </c>
      <c r="BR158" s="345">
        <f>Table16[[#This Row],[Total Control Bu MOSFET Loss]]+Table16[[#This Row],[Reverse Recovery Loss MOSFET D BUCK]]*0.66</f>
        <v>1.3643971512494009</v>
      </c>
      <c r="BS158" s="345">
        <f>Table16[[#This Row],[Total Sync Bu MOSFET Loss]]+Table16[[#This Row],[Reverse Recovery Loss MOSFET D BUCK]]*0.33</f>
        <v>0.52553661151053543</v>
      </c>
      <c r="BT158" s="345">
        <f xml:space="preserve"> Table16[[#This Row],[Total Control Bo MOSFET Loss]]+Table16[[#This Row],[Reverse Recovery Loss MOSFET D BOOST]]*0.66</f>
        <v>0</v>
      </c>
      <c r="BU158" s="345">
        <f xml:space="preserve"> Table16[[#This Row],[Total Sync Bo MOSFET Loss]]+Table16[[#This Row],[Reverse Recovery Loss MOSFET D BOOST]]*0.33</f>
        <v>0.26945048593677795</v>
      </c>
      <c r="BV158" s="345">
        <f>Table16[[#This Row],[Isense Shunt Loss]]</f>
        <v>4.0552062334124492E-2</v>
      </c>
    </row>
    <row r="159" spans="7:74" x14ac:dyDescent="0.2">
      <c r="G159" s="253">
        <v>150</v>
      </c>
      <c r="H159" s="286">
        <f>VIN_min+(VIN_max-VIN_min)*(Table16[[#This Row],[Step]]/200)</f>
        <v>28.5</v>
      </c>
      <c r="I159" s="292" t="str">
        <f>IF(Mode = 2,IF(Table16[[#This Row],[Vin]]&gt;Vout, "BUCK","BOOST"),IF(Table16[[#This Row],[Vin]]&gt;VIN_BB_to_buck, "BUCK", IF(Table16[[#This Row],[Vin]]&lt;=VIN_boost_to_BB,"BOOST","BUCK-BST")))</f>
        <v>BUCK</v>
      </c>
      <c r="J159" s="253">
        <f>IF(Table16[[#This Row],[Mode]]="BOOST",2, IF(Table16[[#This Row],[Mode]]="BUCK", 1,3))</f>
        <v>1</v>
      </c>
      <c r="K159" s="253">
        <f t="shared" si="7"/>
        <v>8</v>
      </c>
      <c r="L159" s="292">
        <f>Vout*Table16[[#This Row],[Iout]]/(Table16[[#This Row],[Vin]]*Efficiency)</f>
        <v>4.7276084949215145</v>
      </c>
      <c r="M159" s="682">
        <f>MIN(1/Fsw,CHOOSE(Table16[[#This Row],[Mode Digit]],(Vout+(Rdson2+Rs+Rdcr)*Table16[[#This Row],[Iout]])/(Table16[[#This Row],[Vin]]+(Rs+Rdson2-Rdson1)*Table16[[#This Row],[Iout]])/Fsw,(Vout+(Rdson3+Rdcr)*Table16[[#This Row],[Iin]]-Table16[[#This Row],[Vin]])/(Vout+(Rdson3-Rdson4-Rs)*Table16[[#This Row],[Iin]])/Fsw,t1_Ph_II))</f>
        <v>1.4156872244944346E-6</v>
      </c>
      <c r="N159" s="518">
        <f>CHOOSE(Table16[[#This Row],[Mode Digit]],1/Fsw-Table16[[#This Row],[t1_Ph_II]],1/Fsw-Table16[[#This Row],[t1_Ph_II]],(Vout/Fsw-Table16[[#This Row],[Vin]]*t1_Ph_II)/(Table16[[#This Row],[Vin]]+Vout))</f>
        <v>1.0968755895759173E-6</v>
      </c>
      <c r="O159" s="518">
        <f>1/Fsw-(Table16[[#This Row],[t1_Ph_II]]+Table16[[#This Row],[t2_Ph_I]])</f>
        <v>0</v>
      </c>
      <c r="P159"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3.0844193593943245</v>
      </c>
      <c r="Q159" s="292">
        <f>CHOOSE(Table16[[#This Row],[Mode Digit]],Table16[[#This Row],[I_0]]+1/Lf*(Table16[[#This Row],[Vin]]-Vout)*Table16[[#This Row],[t1_Ph_II]],Table16[[#This Row],[I_0]]+1/Lf*Table16[[#This Row],[Vin]]*Table16[[#This Row],[t1_Ph_II]],Table16[[#This Row],[I_0]]+(Table16[[#This Row],[Vin]]-Vout)/L*Table16[[#This Row],[t1_Ph_II]])</f>
        <v>12.915580640605675</v>
      </c>
      <c r="R159" s="292">
        <f>CHOOSE(Table16[[#This Row],[Mode Digit]],0,0,Table16[[#This Row],[I_1]]+Table16[[#This Row],[Vin]]/L*Table16[[#This Row],[t2_Ph_I]])</f>
        <v>0</v>
      </c>
      <c r="S159" s="292">
        <f>Fsw*(Table16[[#This Row],[I_0]]*Table16[[#This Row],[t1_Ph_II]]+Table16[[#This Row],[I_1]]*Table16[[#This Row],[t2_Ph_I]]+Table16[[#This Row],[I_2]]*Table16[[#This Row],[t3_Ph_III]])</f>
        <v>7.3762765683590876</v>
      </c>
      <c r="T159" s="345">
        <f>MIN(1,CHOOSE(Table16[[#This Row],[Mode Digit]],(Vout+(Rdson2+Rs+Rdcr)*Table16[[#This Row],[Iout]])/(Table16[[#This Row],[Vin]]+(Rs+Rdson2-Rdson1)*Table16[[#This Row],[Iout]]),1,Fsw*Table16[[#This Row],[t2_Ph_I]]+Table16[[#This Row],[t1_Ph_II]]))</f>
        <v>0.56344351534878501</v>
      </c>
      <c r="U159" s="345">
        <f>MIN(1,CHOOSE(Table16[[#This Row],[Mode Digit]],0,(Vout+(Rdson3+Rdcr)*Table16[[#This Row],[Iin]]-Table16[[#This Row],[Vin]])/(Vout+(Rdson3-Rdson4-Rs)*Table16[[#This Row],[Iin]]),Fsw*Table16[[#This Row],[t1_Ph_II]]+Table16[[#This Row],[t3_Ph_III]]))</f>
        <v>0</v>
      </c>
      <c r="V159" s="292">
        <f>MAX(Table16[[#This Row],[I_0]:[I_2]])-MIN(Table16[[#This Row],[I_0]:[I_1]])</f>
        <v>9.8311612812113509</v>
      </c>
      <c r="W159"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8.4884810779922475</v>
      </c>
      <c r="X159" s="345">
        <f>(Table16[[#This Row],[Irms Lf]]^2*Rdcr*(1+Ltc*Ta-Ltc*25))/(1-Table16[[#This Row],[Irms Lf]]^2*Rdcr*Ltc*ThetaCa)</f>
        <v>0.2349068646208034</v>
      </c>
      <c r="Y159" s="345">
        <f>ABS(7.759*10^-3*Fsw^0.9458*(0.00787*Table16[[#This Row],[Ripple Current pk-pk]])^2.304)</f>
        <v>4.2214577974925076</v>
      </c>
      <c r="Z159" s="345">
        <f>Table16[[#This Row],[DCR    Loss]]+Table16[[#This Row],[Core Loss]]</f>
        <v>4.4563646621133106</v>
      </c>
      <c r="AA159" s="292">
        <f>IF(Table16[[#This Row],[Vin]]&gt;Vout, Table16[[#This Row],[Ripple Current pk-pk]]/SQRT(12), SQRT(Table16[[#This Row],[Duty Cycle BOOST Leg]]/(1-Table16[[#This Row],[Duty Cycle BOOST Leg]]))*SQRT(Table16[[#This Row],[Iout]]^2+(Table16[[#This Row],[Ripple Current pk-pk]]^2)/12))</f>
        <v>2.8380118060770001</v>
      </c>
      <c r="AB159" s="345">
        <f>RCoutEsr*Table16[[#This Row],[Irms Cout]]^2</f>
        <v>1.6108622022864873E-2</v>
      </c>
      <c r="AC159" s="345">
        <f>Table16[[#This Row],[Cout ESR Loss]]</f>
        <v>1.6108622022864873E-2</v>
      </c>
      <c r="AD159" s="345">
        <f>IF(Table16[[#This Row],[Vin]]&gt;Vout, SQRT(Table16[[#This Row],[Duty Cycle BUCK Leg]]*(1-Table16[[#This Row],[Duty Cycle BUCK Leg]]))*SQRT(Table16[[#This Row],[Iout]]^2+(Table16[[#This Row],[Ripple Current pk-pk]]^2)/12), Table16[[#This Row],[Ripple Current pk-pk]]/SQRT(12))</f>
        <v>4.2099350841367311</v>
      </c>
      <c r="AE159" s="345">
        <f>RCinEsr*Table16[[#This Row],[Irms Cin]]^2</f>
        <v>3.5447106825290689E-2</v>
      </c>
      <c r="AF159" s="683">
        <f>Table16[[#This Row],[Cin ESR Loss]]</f>
        <v>3.5447106825290689E-2</v>
      </c>
      <c r="AG159"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6.3716979128263889</v>
      </c>
      <c r="AH159" s="345">
        <f>Rdson1*Table16[[#This Row],[Irms BuCtrl]]^2</f>
        <v>0.14209487002310656</v>
      </c>
      <c r="AI159" s="345">
        <f>CHOOSE(Table16[[#This Row],[Mode Digit]], (Table16[[#This Row],[Vin]]*Table16[[#This Row],[Iout]]/2)*(Fsw)*(Tr_buck+Tf_buck), 0, (Table16[[#This Row],[Vin]]*Table16[[#This Row],[Avg IL]]/2)*(Fsw/1)*(Tr_buck+Tf_buck))</f>
        <v>0.85329209719145116</v>
      </c>
      <c r="AJ159" s="253">
        <f>IF(Table16[[#This Row],[Vin]]&gt;Vout, IF(Table16[[#This Row],[Iout]]&gt;Table16[[#This Row],[Ripple Current pk-pk]]/2,0,ABS(Table16[[#This Row],[Iout]]-Table16[[#This Row],[Ripple Current pk-pk]]/2)*Vsd_Q1*Deadtime*Fsw),0)</f>
        <v>0</v>
      </c>
      <c r="AK159" s="345">
        <f>(Table16[[#This Row],[Dead Time Loss BuCtrl]]+Table16[[#This Row],[Transition Loss BuCtrl]]+Table16[[#This Row],[RDS(on) Loss BuCtrl]]*(1+RdsonTopTc*Ta-RdsonTopTc*25))/(1-Table16[[#This Row],[RDS(on) Loss BuCtrl]]*RdsonTopTc*ThetaJA_Q1)</f>
        <v>1.033571937443297</v>
      </c>
      <c r="AL159" s="345">
        <f>CHOOSE(Table16[[#This Row],[Mode Digit]],SQRT((Fsw*(Table16[[#This Row],[t2_Ph_I]]+0))*((Table16[[#This Row],[I_0]]*Table16[[#This Row],[I_1]]+((Table16[[#This Row],[I_0]]-Table16[[#This Row],[I_1]])^2)/3))),0,SQRT((Fsw*(Table16[[#This Row],[t3_Ph_III]]+0))*((Table16[[#This Row],[I_0]]*Table16[[#This Row],[I_2]]+((Table16[[#This Row],[I_0]]-Table16[[#This Row],[I_2]])^2)/3))))</f>
        <v>5.6085449734415329</v>
      </c>
      <c r="AM159" s="345">
        <f>Rdson2*Table16[[#This Row],[Irms BuSync]]^2</f>
        <v>0.11009521851690701</v>
      </c>
      <c r="AN159"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59" s="345">
        <f>(Table16[[#This Row],[Deadtime Loss BuSync]]+Table16[[#This Row],[RDS(on) Loss BuSync]]*(1+RdsonBotTc*Ta-RdsonBotTc*25))/(1-Table16[[#This Row],[RDS(on) Loss BuSync]]*RdsonBotTc*ThetaJA_Q2)</f>
        <v>0.35917656020624183</v>
      </c>
      <c r="AP159" s="345">
        <f>CHOOSE(Table16[[#This Row],[Mode Digit]],0,SQRT((Fsw*(Table16[[#This Row],[t1_Ph_II]]+0))*((Table16[[#This Row],[I_0]]*Table16[[#This Row],[I_1]]+((Table16[[#This Row],[I_0]]-Table16[[#This Row],[I_1]])^2)/3))),SQRT((Fsw*(Table16[[#This Row],[t2_Ph_I]]+0))*((Table16[[#This Row],[I_1]]*Table16[[#This Row],[I_2]]+((Table16[[#This Row],[I_1]]-Table16[[#This Row],[I_2]])^2)/3))))</f>
        <v>0</v>
      </c>
      <c r="AQ159" s="345">
        <f>Rdson4*Table16[[#This Row],[Irms BoCtlr]]^2</f>
        <v>0</v>
      </c>
      <c r="AR159" s="345">
        <f>CHOOSE(Table16[[#This Row],[Mode Digit]], 0, (Vout*Table16[[#This Row],[Iin]]/2)*(Fsw)*(Tr_boost+Tf_boost), (Vout*Iout/2)*(Fsw/1)*(Tr_boost+Tf_boost))</f>
        <v>0</v>
      </c>
      <c r="AS159" s="253">
        <f>IF(Table16[[#This Row],[Vin]]&gt;Vout, 0, IF(Table16[[#This Row],[Iin]]&gt;Table16[[#This Row],[Ripple Current pk-pk]]/2,0,ABS(Table16[[#This Row],[Iin]]-Table16[[#This Row],[Ripple Current pk-pk]]/2)*Vsd_Q4*Deadtime*Fsw))</f>
        <v>0</v>
      </c>
      <c r="AT159" s="345">
        <f>(Table16[[#This Row],[Dead Time Loss BoCtlr]]+Table16[[#This Row],[Transition Loss BoCtlr]]+Table16[[#This Row],[RDS(on) Loss BoCtlr]]*(1+RdsonTopTc*Ta-RdsonTopTc*25))/(1-Table16[[#This Row],[RDS(on) Loss BoCtlr]]*RdsonTopTc*ThetaJA_Q4)</f>
        <v>0</v>
      </c>
      <c r="AU159"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8.4884810779922475</v>
      </c>
      <c r="AV159" s="345">
        <f>Rdson3*Table16[[#This Row],[Irms BoSync]]^2</f>
        <v>0.25219008854001351</v>
      </c>
      <c r="AW159"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59" s="345">
        <f>(Table16[[#This Row],[Deadtime Loss BoSync]]+Table16[[#This Row],[RDS(on) Loss BoSync]]*(1+RdsonBotTc*Ta-RdsonBotTc*25))/(1-Table16[[#This Row],[RDS(on) Loss BoSync]]*RdsonBotTc*ThetaJA_Q3)</f>
        <v>0.26988638295118644</v>
      </c>
      <c r="AY159" s="345">
        <f>CHOOSE(Table16[[#This Row],[Mode Digit]], Rdson3*Table16[[#This Row],[Irms Lf]]^2, Rdson1*Table16[[#This Row],[Irms Lf]]^2, 0)</f>
        <v>0.25219008854001351</v>
      </c>
      <c r="AZ159" s="345">
        <f>CHOOSE(Table16[[#This Row],[Mode Digit]], 2*Deadtime*Fsw*IF(VfdSky_Q2&gt;0,VfdSky_Q2,0)*Table16[[#This Row],[Iout]], 2*Deadtime*Fsw*IF(VfdSky_Q3&gt;0,VfdSky_Q3,0)*Table16[[#This Row],[Iin]], 2*Deadtime*Fsw*IF(VfdSky_Q2&gt;0,VfdSky_Q2,0)*Table16[[#This Row],[Iout]]+2*Deadtime*Fsw*IF(VfdSky_Q3&gt;0,VfdSky_Q3,0)*Table16[[#This Row],[Iin]])</f>
        <v>0</v>
      </c>
      <c r="BA159" s="345">
        <f>CHOOSE(Table16[[#This Row],[Mode Digit]], IF(QrrSky_Q2&gt;0,QrrSky_Q2,Qrr_Q2)*Fsw*(Table16[[#This Row],[Vin]]-Table16[[#This Row],[Iout]]*Rdson1),0,  IF(QrrSky_Q2&gt;0,QrrSky_Q2,Qrr_Q2)*Fsw*(Table16[[#This Row],[Vin]]-Table16[[#This Row],[Iout]]*Rdson1)+IF(QrrSky_Q3&gt;0,QrrSky_Q3,Qrr_Q3)*Fsw*Vout)</f>
        <v>0.50993352000000003</v>
      </c>
      <c r="BB159" s="345">
        <f>CHOOSE(Table16[[#This Row],[Mode Digit]],0, IF(QrrSky_Q3&gt;0,QrrSky_Q3,Qrr_Q3)*Fsw*Vout,  IF(QrrSky_Q2&gt;0,QrrSky_Q2,Qrr_Q2)*Fsw*(Table16[[#This Row],[Vin]]-Table16[[#This Row],[Iout]]*Rdson1)+IF(QrrSky_Q3&gt;0,QrrSky_Q3,Qrr_Q3)*Fsw*Vout)</f>
        <v>0</v>
      </c>
      <c r="BC159" s="345">
        <f>CHOOSE(Table16[[#This Row],[Mode Digit]], Rs*Table16[[#This Row],[Irms BuSync]]^2, Rs*Table16[[#This Row],[Irms BoCtlr]]^2, Rs*(Table16[[#This Row],[Irms BuSync]]^2+Table16[[#This Row],[Irms BoCtlr]]^2))</f>
        <v>4.0892509734851173E-2</v>
      </c>
      <c r="BD159" s="345">
        <f t="shared" si="8"/>
        <v>0.64</v>
      </c>
      <c r="BE159" s="345">
        <f>IF(Vout&gt;8, Iq*Vout, Iq*Table16[[#This Row],[Vin]])</f>
        <v>4.8000000000000001E-2</v>
      </c>
      <c r="BF159" s="345">
        <f>CHOOSE(Table16[[#This Row],[Mode Digit]], (Qg_Q1+Qg_Q2)*Fsw, (Qg_Q3+Qg_Q4)*Fsw, (Qg_Q1+Qg_Q2+Qg_Q3+Qg_Q4)*Fsw)*IF(Vout&gt;8, Vout, Table16[[#This Row],[Vin]])</f>
        <v>0.85331200000000007</v>
      </c>
      <c r="BG159" s="345">
        <f t="shared" si="9"/>
        <v>0.50594479787234037</v>
      </c>
      <c r="BH159" s="345">
        <f>Table16[[#This Row],[IQ Loss]]+Table16[[#This Row],[Switching Current Loss]]</f>
        <v>0.90131200000000011</v>
      </c>
      <c r="BI159"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8.2626933012970429</v>
      </c>
      <c r="BJ159" s="253">
        <f>Vout*Table16[[#This Row],[Iout]]</f>
        <v>128</v>
      </c>
      <c r="BK159" s="684">
        <f>Table16[[#This Row],[Pout]]/(Table16[[#This Row],[Pout]]+Table16[[#This Row],[Total Loss]])</f>
        <v>0.93936202858527829</v>
      </c>
      <c r="BL159"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67.182175933814307</v>
      </c>
      <c r="BM159" s="685">
        <f>IF(Table16[[#This Row],[Vin]]&gt;Vout, Table16[[#This Row],[Total Sync Bu MOSFET Loss]]*ThetaJA_Q2, ThetaJA_Q3*Table16[[#This Row],[Total Sync Bo MOSFET Loss]])</f>
        <v>23.346476413405718</v>
      </c>
      <c r="BN159" s="640"/>
      <c r="BO159" s="292">
        <f>Table16[[#This Row],[EFF, h]]*100</f>
        <v>93.936202858527835</v>
      </c>
      <c r="BP159" s="345">
        <f>Table16[[#This Row],[Total Inductor Loss]]</f>
        <v>4.4563646621133106</v>
      </c>
      <c r="BQ159" s="345">
        <f>Table16[[#This Row],[Total Control Bu MOSFET Loss]]+Table16[[#This Row],[Total Sync Bu MOSFET Loss]]+Table16[[#This Row],[Total Control Bo MOSFET Loss]]+Table16[[#This Row],[Total Sync Bo MOSFET Loss]]+Table16[[#This Row],[Reverse Recovery Loss MOSFET D BUCK]]+Table16[[#This Row],[Reverse Recovery Loss MOSFET D BOOST]]</f>
        <v>2.1725684006007251</v>
      </c>
      <c r="BR159" s="345">
        <f>Table16[[#This Row],[Total Control Bu MOSFET Loss]]+Table16[[#This Row],[Reverse Recovery Loss MOSFET D BUCK]]*0.66</f>
        <v>1.3701280606432971</v>
      </c>
      <c r="BS159" s="345">
        <f>Table16[[#This Row],[Total Sync Bu MOSFET Loss]]+Table16[[#This Row],[Reverse Recovery Loss MOSFET D BUCK]]*0.33</f>
        <v>0.52745462180624192</v>
      </c>
      <c r="BT159" s="345">
        <f xml:space="preserve"> Table16[[#This Row],[Total Control Bo MOSFET Loss]]+Table16[[#This Row],[Reverse Recovery Loss MOSFET D BOOST]]*0.66</f>
        <v>0</v>
      </c>
      <c r="BU159" s="345">
        <f xml:space="preserve"> Table16[[#This Row],[Total Sync Bo MOSFET Loss]]+Table16[[#This Row],[Reverse Recovery Loss MOSFET D BOOST]]*0.33</f>
        <v>0.26988638295118644</v>
      </c>
      <c r="BV159" s="345">
        <f>Table16[[#This Row],[Isense Shunt Loss]]</f>
        <v>4.0892509734851173E-2</v>
      </c>
    </row>
    <row r="160" spans="7:74" x14ac:dyDescent="0.2">
      <c r="G160" s="253">
        <v>151</v>
      </c>
      <c r="H160" s="286">
        <f>VIN_min+(VIN_max-VIN_min)*(Table16[[#This Row],[Step]]/200)</f>
        <v>28.65</v>
      </c>
      <c r="I160" s="292" t="str">
        <f>IF(Mode = 2,IF(Table16[[#This Row],[Vin]]&gt;Vout, "BUCK","BOOST"),IF(Table16[[#This Row],[Vin]]&gt;VIN_BB_to_buck, "BUCK", IF(Table16[[#This Row],[Vin]]&lt;=VIN_boost_to_BB,"BOOST","BUCK-BST")))</f>
        <v>BUCK</v>
      </c>
      <c r="J160" s="253">
        <f>IF(Table16[[#This Row],[Mode]]="BOOST",2, IF(Table16[[#This Row],[Mode]]="BUCK", 1,3))</f>
        <v>1</v>
      </c>
      <c r="K160" s="253">
        <f t="shared" si="7"/>
        <v>8</v>
      </c>
      <c r="L160" s="292">
        <f>Vout*Table16[[#This Row],[Iout]]/(Table16[[#This Row],[Vin]]*Efficiency)</f>
        <v>4.7028566179847529</v>
      </c>
      <c r="M160" s="682">
        <f>MIN(1/Fsw,CHOOSE(Table16[[#This Row],[Mode Digit]],(Vout+(Rdson2+Rs+Rdcr)*Table16[[#This Row],[Iout]])/(Table16[[#This Row],[Vin]]+(Rs+Rdson2-Rdson1)*Table16[[#This Row],[Iout]])/Fsw,(Vout+(Rdson3+Rdcr)*Table16[[#This Row],[Iin]]-Table16[[#This Row],[Vin]])/(Vout+(Rdson3-Rdson4-Rs)*Table16[[#This Row],[Iin]])/Fsw,t1_Ph_II))</f>
        <v>1.4082779390806175E-6</v>
      </c>
      <c r="N160" s="518">
        <f>CHOOSE(Table16[[#This Row],[Mode Digit]],1/Fsw-Table16[[#This Row],[t1_Ph_II]],1/Fsw-Table16[[#This Row],[t1_Ph_II]],(Vout/Fsw-Table16[[#This Row],[Vin]]*t1_Ph_II)/(Table16[[#This Row],[Vin]]+Vout))</f>
        <v>1.1042848749897344E-6</v>
      </c>
      <c r="O160" s="518">
        <f>1/Fsw-(Table16[[#This Row],[t1_Ph_II]]+Table16[[#This Row],[t2_Ph_I]])</f>
        <v>0</v>
      </c>
      <c r="P160"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3.0514677973972759</v>
      </c>
      <c r="Q160" s="292">
        <f>CHOOSE(Table16[[#This Row],[Mode Digit]],Table16[[#This Row],[I_0]]+1/Lf*(Table16[[#This Row],[Vin]]-Vout)*Table16[[#This Row],[t1_Ph_II]],Table16[[#This Row],[I_0]]+1/Lf*Table16[[#This Row],[Vin]]*Table16[[#This Row],[t1_Ph_II]],Table16[[#This Row],[I_0]]+(Table16[[#This Row],[Vin]]-Vout)/L*Table16[[#This Row],[t1_Ph_II]])</f>
        <v>12.948532202602724</v>
      </c>
      <c r="R160" s="292">
        <f>CHOOSE(Table16[[#This Row],[Mode Digit]],0,0,Table16[[#This Row],[I_1]]+Table16[[#This Row],[Vin]]/L*Table16[[#This Row],[t2_Ph_I]])</f>
        <v>0</v>
      </c>
      <c r="S160" s="292">
        <f>Fsw*(Table16[[#This Row],[I_0]]*Table16[[#This Row],[t1_Ph_II]]+Table16[[#This Row],[I_1]]*Table16[[#This Row],[t2_Ph_I]]+Table16[[#This Row],[I_2]]*Table16[[#This Row],[t3_Ph_III]])</f>
        <v>7.4012808521253994</v>
      </c>
      <c r="T160" s="345">
        <f>MIN(1,CHOOSE(Table16[[#This Row],[Mode Digit]],(Vout+(Rdson2+Rs+Rdcr)*Table16[[#This Row],[Iout]])/(Table16[[#This Row],[Vin]]+(Rs+Rdson2-Rdson1)*Table16[[#This Row],[Iout]]),1,Fsw*Table16[[#This Row],[t2_Ph_I]]+Table16[[#This Row],[t1_Ph_II]]))</f>
        <v>0.56049461975408577</v>
      </c>
      <c r="U160" s="345">
        <f>MIN(1,CHOOSE(Table16[[#This Row],[Mode Digit]],0,(Vout+(Rdson3+Rdcr)*Table16[[#This Row],[Iin]]-Table16[[#This Row],[Vin]])/(Vout+(Rdson3-Rdson4-Rs)*Table16[[#This Row],[Iin]]),Fsw*Table16[[#This Row],[t1_Ph_II]]+Table16[[#This Row],[t3_Ph_III]]))</f>
        <v>0</v>
      </c>
      <c r="V160" s="292">
        <f>MAX(Table16[[#This Row],[I_0]:[I_2]])-MIN(Table16[[#This Row],[I_0]:[I_1]])</f>
        <v>9.8970644052054482</v>
      </c>
      <c r="W160"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8.4948606219720908</v>
      </c>
      <c r="X160" s="345">
        <f>(Table16[[#This Row],[Irms Lf]]^2*Rdcr*(1+Ltc*Ta-Ltc*25))/(1-Table16[[#This Row],[Irms Lf]]^2*Rdcr*Ltc*ThetaCa)</f>
        <v>0.23526673537521164</v>
      </c>
      <c r="Y160" s="345">
        <f>ABS(7.759*10^-3*Fsw^0.9458*(0.00787*Table16[[#This Row],[Ripple Current pk-pk]])^2.304)</f>
        <v>4.2869427346581883</v>
      </c>
      <c r="Z160" s="345">
        <f>Table16[[#This Row],[DCR    Loss]]+Table16[[#This Row],[Core Loss]]</f>
        <v>4.5222094700333999</v>
      </c>
      <c r="AA160" s="292">
        <f>IF(Table16[[#This Row],[Vin]]&gt;Vout, Table16[[#This Row],[Ripple Current pk-pk]]/SQRT(12), SQRT(Table16[[#This Row],[Duty Cycle BOOST Leg]]/(1-Table16[[#This Row],[Duty Cycle BOOST Leg]]))*SQRT(Table16[[#This Row],[Iout]]^2+(Table16[[#This Row],[Ripple Current pk-pk]]^2)/12))</f>
        <v>2.8570363992662147</v>
      </c>
      <c r="AB160" s="345">
        <f>RCoutEsr*Table16[[#This Row],[Irms Cout]]^2</f>
        <v>1.6325313973464116E-2</v>
      </c>
      <c r="AC160" s="345">
        <f>Table16[[#This Row],[Cout ESR Loss]]</f>
        <v>1.6325313973464116E-2</v>
      </c>
      <c r="AD160" s="345">
        <f>IF(Table16[[#This Row],[Vin]]&gt;Vout, SQRT(Table16[[#This Row],[Duty Cycle BUCK Leg]]*(1-Table16[[#This Row],[Duty Cycle BUCK Leg]]))*SQRT(Table16[[#This Row],[Iout]]^2+(Table16[[#This Row],[Ripple Current pk-pk]]^2)/12), Table16[[#This Row],[Ripple Current pk-pk]]/SQRT(12))</f>
        <v>4.2162279181695244</v>
      </c>
      <c r="AE160" s="345">
        <f>RCinEsr*Table16[[#This Row],[Irms Cin]]^2</f>
        <v>3.5553155715904242E-2</v>
      </c>
      <c r="AF160" s="683">
        <f>Table16[[#This Row],[Cin ESR Loss]]</f>
        <v>3.5553155715904242E-2</v>
      </c>
      <c r="AG160"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6.3597783757158473</v>
      </c>
      <c r="AH160" s="345">
        <f>Rdson1*Table16[[#This Row],[Irms BuCtrl]]^2</f>
        <v>0.14156373345878015</v>
      </c>
      <c r="AI160" s="345">
        <f>CHOOSE(Table16[[#This Row],[Mode Digit]], (Table16[[#This Row],[Vin]]*Table16[[#This Row],[Iout]]/2)*(Fsw)*(Tr_buck+Tf_buck), 0, (Table16[[#This Row],[Vin]]*Table16[[#This Row],[Avg IL]]/2)*(Fsw/1)*(Tr_buck+Tf_buck))</f>
        <v>0.85778310822930093</v>
      </c>
      <c r="AJ160" s="253">
        <f>IF(Table16[[#This Row],[Vin]]&gt;Vout, IF(Table16[[#This Row],[Iout]]&gt;Table16[[#This Row],[Ripple Current pk-pk]]/2,0,ABS(Table16[[#This Row],[Iout]]-Table16[[#This Row],[Ripple Current pk-pk]]/2)*Vsd_Q1*Deadtime*Fsw),0)</f>
        <v>0</v>
      </c>
      <c r="AK160" s="345">
        <f>(Table16[[#This Row],[Dead Time Loss BuCtrl]]+Table16[[#This Row],[Transition Loss BuCtrl]]+Table16[[#This Row],[RDS(on) Loss BuCtrl]]*(1+RdsonTopTc*Ta-RdsonTopTc*25))/(1-Table16[[#This Row],[RDS(on) Loss BuCtrl]]*RdsonTopTc*ThetaJA_Q1)</f>
        <v>1.0375349449939786</v>
      </c>
      <c r="AL160" s="345">
        <f>CHOOSE(Table16[[#This Row],[Mode Digit]],SQRT((Fsw*(Table16[[#This Row],[t2_Ph_I]]+0))*((Table16[[#This Row],[I_0]]*Table16[[#This Row],[I_1]]+((Table16[[#This Row],[I_0]]-Table16[[#This Row],[I_1]])^2)/3))),0,SQRT((Fsw*(Table16[[#This Row],[t3_Ph_III]]+0))*((Table16[[#This Row],[I_0]]*Table16[[#This Row],[I_2]]+((Table16[[#This Row],[I_0]]-Table16[[#This Row],[I_2]])^2)/3))))</f>
        <v>5.6316850052634475</v>
      </c>
      <c r="AM160" s="345">
        <f>Rdson2*Table16[[#This Row],[Irms BuSync]]^2</f>
        <v>0.11100556599478206</v>
      </c>
      <c r="AN160"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60" s="345">
        <f>(Table16[[#This Row],[Deadtime Loss BuSync]]+Table16[[#This Row],[RDS(on) Loss BuSync]]*(1+RdsonBotTc*Ta-RdsonBotTc*25))/(1-Table16[[#This Row],[RDS(on) Loss BuSync]]*RdsonBotTc*ThetaJA_Q2)</f>
        <v>0.36020150262938394</v>
      </c>
      <c r="AP160" s="345">
        <f>CHOOSE(Table16[[#This Row],[Mode Digit]],0,SQRT((Fsw*(Table16[[#This Row],[t1_Ph_II]]+0))*((Table16[[#This Row],[I_0]]*Table16[[#This Row],[I_1]]+((Table16[[#This Row],[I_0]]-Table16[[#This Row],[I_1]])^2)/3))),SQRT((Fsw*(Table16[[#This Row],[t2_Ph_I]]+0))*((Table16[[#This Row],[I_1]]*Table16[[#This Row],[I_2]]+((Table16[[#This Row],[I_1]]-Table16[[#This Row],[I_2]])^2)/3))))</f>
        <v>0</v>
      </c>
      <c r="AQ160" s="345">
        <f>Rdson4*Table16[[#This Row],[Irms BoCtlr]]^2</f>
        <v>0</v>
      </c>
      <c r="AR160" s="345">
        <f>CHOOSE(Table16[[#This Row],[Mode Digit]], 0, (Vout*Table16[[#This Row],[Iin]]/2)*(Fsw)*(Tr_boost+Tf_boost), (Vout*Iout/2)*(Fsw/1)*(Tr_boost+Tf_boost))</f>
        <v>0</v>
      </c>
      <c r="AS160" s="253">
        <f>IF(Table16[[#This Row],[Vin]]&gt;Vout, 0, IF(Table16[[#This Row],[Iin]]&gt;Table16[[#This Row],[Ripple Current pk-pk]]/2,0,ABS(Table16[[#This Row],[Iin]]-Table16[[#This Row],[Ripple Current pk-pk]]/2)*Vsd_Q4*Deadtime*Fsw))</f>
        <v>0</v>
      </c>
      <c r="AT160" s="345">
        <f>(Table16[[#This Row],[Dead Time Loss BoCtlr]]+Table16[[#This Row],[Transition Loss BoCtlr]]+Table16[[#This Row],[RDS(on) Loss BoCtlr]]*(1+RdsonTopTc*Ta-RdsonTopTc*25))/(1-Table16[[#This Row],[RDS(on) Loss BoCtlr]]*RdsonTopTc*ThetaJA_Q4)</f>
        <v>0</v>
      </c>
      <c r="AU160"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8.4948606219720908</v>
      </c>
      <c r="AV160" s="345">
        <f>Rdson3*Table16[[#This Row],[Irms BoSync]]^2</f>
        <v>0.25256929945356221</v>
      </c>
      <c r="AW160"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60" s="345">
        <f>(Table16[[#This Row],[Deadtime Loss BoSync]]+Table16[[#This Row],[RDS(on) Loss BoSync]]*(1+RdsonBotTc*Ta-RdsonBotTc*25))/(1-Table16[[#This Row],[RDS(on) Loss BoSync]]*RdsonBotTc*ThetaJA_Q3)</f>
        <v>0.27032072569593013</v>
      </c>
      <c r="AY160" s="345">
        <f>CHOOSE(Table16[[#This Row],[Mode Digit]], Rdson3*Table16[[#This Row],[Irms Lf]]^2, Rdson1*Table16[[#This Row],[Irms Lf]]^2, 0)</f>
        <v>0.25256929945356221</v>
      </c>
      <c r="AZ160" s="345">
        <f>CHOOSE(Table16[[#This Row],[Mode Digit]], 2*Deadtime*Fsw*IF(VfdSky_Q2&gt;0,VfdSky_Q2,0)*Table16[[#This Row],[Iout]], 2*Deadtime*Fsw*IF(VfdSky_Q3&gt;0,VfdSky_Q3,0)*Table16[[#This Row],[Iin]], 2*Deadtime*Fsw*IF(VfdSky_Q2&gt;0,VfdSky_Q2,0)*Table16[[#This Row],[Iout]]+2*Deadtime*Fsw*IF(VfdSky_Q3&gt;0,VfdSky_Q3,0)*Table16[[#This Row],[Iin]])</f>
        <v>0</v>
      </c>
      <c r="BA160" s="345">
        <f>CHOOSE(Table16[[#This Row],[Mode Digit]], IF(QrrSky_Q2&gt;0,QrrSky_Q2,Qrr_Q2)*Fsw*(Table16[[#This Row],[Vin]]-Table16[[#This Row],[Iout]]*Rdson1),0,  IF(QrrSky_Q2&gt;0,QrrSky_Q2,Qrr_Q2)*Fsw*(Table16[[#This Row],[Vin]]-Table16[[#This Row],[Iout]]*Rdson1)+IF(QrrSky_Q3&gt;0,QrrSky_Q3,Qrr_Q3)*Fsw*Vout)</f>
        <v>0.51262001999999995</v>
      </c>
      <c r="BB160" s="345">
        <f>CHOOSE(Table16[[#This Row],[Mode Digit]],0, IF(QrrSky_Q3&gt;0,QrrSky_Q3,Qrr_Q3)*Fsw*Vout,  IF(QrrSky_Q2&gt;0,QrrSky_Q2,Qrr_Q2)*Fsw*(Table16[[#This Row],[Vin]]-Table16[[#This Row],[Iout]]*Rdson1)+IF(QrrSky_Q3&gt;0,QrrSky_Q3,Qrr_Q3)*Fsw*Vout)</f>
        <v>0</v>
      </c>
      <c r="BC160" s="345">
        <f>CHOOSE(Table16[[#This Row],[Mode Digit]], Rs*Table16[[#This Row],[Irms BuSync]]^2, Rs*Table16[[#This Row],[Irms BoCtlr]]^2, Rs*(Table16[[#This Row],[Irms BuSync]]^2+Table16[[#This Row],[Irms BoCtlr]]^2))</f>
        <v>4.1230638798061901E-2</v>
      </c>
      <c r="BD160" s="345">
        <f t="shared" si="8"/>
        <v>0.64</v>
      </c>
      <c r="BE160" s="345">
        <f>IF(Vout&gt;8, Iq*Vout, Iq*Table16[[#This Row],[Vin]])</f>
        <v>4.8000000000000001E-2</v>
      </c>
      <c r="BF160" s="345">
        <f>CHOOSE(Table16[[#This Row],[Mode Digit]], (Qg_Q1+Qg_Q2)*Fsw, (Qg_Q3+Qg_Q4)*Fsw, (Qg_Q1+Qg_Q2+Qg_Q3+Qg_Q4)*Fsw)*IF(Vout&gt;8, Vout, Table16[[#This Row],[Vin]])</f>
        <v>0.85331200000000007</v>
      </c>
      <c r="BG160" s="345">
        <f t="shared" si="9"/>
        <v>0.50594479787234037</v>
      </c>
      <c r="BH160" s="345">
        <f>Table16[[#This Row],[IQ Loss]]+Table16[[#This Row],[Switching Current Loss]]</f>
        <v>0.90131200000000011</v>
      </c>
      <c r="BI160"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8.3373077718401234</v>
      </c>
      <c r="BJ160" s="253">
        <f>Vout*Table16[[#This Row],[Iout]]</f>
        <v>128</v>
      </c>
      <c r="BK160" s="684">
        <f>Table16[[#This Row],[Pout]]/(Table16[[#This Row],[Pout]]+Table16[[#This Row],[Total Loss]])</f>
        <v>0.93884793598981298</v>
      </c>
      <c r="BL160"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67.439771424608608</v>
      </c>
      <c r="BM160" s="685">
        <f>IF(Table16[[#This Row],[Vin]]&gt;Vout, Table16[[#This Row],[Total Sync Bu MOSFET Loss]]*ThetaJA_Q2, ThetaJA_Q3*Table16[[#This Row],[Total Sync Bo MOSFET Loss]])</f>
        <v>23.413097670909956</v>
      </c>
      <c r="BN160" s="640"/>
      <c r="BO160" s="292">
        <f>Table16[[#This Row],[EFF, h]]*100</f>
        <v>93.884793598981304</v>
      </c>
      <c r="BP160" s="345">
        <f>Table16[[#This Row],[Total Inductor Loss]]</f>
        <v>4.5222094700333999</v>
      </c>
      <c r="BQ160" s="345">
        <f>Table16[[#This Row],[Total Control Bu MOSFET Loss]]+Table16[[#This Row],[Total Sync Bu MOSFET Loss]]+Table16[[#This Row],[Total Control Bo MOSFET Loss]]+Table16[[#This Row],[Total Sync Bo MOSFET Loss]]+Table16[[#This Row],[Reverse Recovery Loss MOSFET D BUCK]]+Table16[[#This Row],[Reverse Recovery Loss MOSFET D BOOST]]</f>
        <v>2.1806771933192923</v>
      </c>
      <c r="BR160" s="345">
        <f>Table16[[#This Row],[Total Control Bu MOSFET Loss]]+Table16[[#This Row],[Reverse Recovery Loss MOSFET D BUCK]]*0.66</f>
        <v>1.3758641581939786</v>
      </c>
      <c r="BS160" s="345">
        <f>Table16[[#This Row],[Total Sync Bu MOSFET Loss]]+Table16[[#This Row],[Reverse Recovery Loss MOSFET D BUCK]]*0.33</f>
        <v>0.52936610922938399</v>
      </c>
      <c r="BT160" s="345">
        <f xml:space="preserve"> Table16[[#This Row],[Total Control Bo MOSFET Loss]]+Table16[[#This Row],[Reverse Recovery Loss MOSFET D BOOST]]*0.66</f>
        <v>0</v>
      </c>
      <c r="BU160" s="345">
        <f xml:space="preserve"> Table16[[#This Row],[Total Sync Bo MOSFET Loss]]+Table16[[#This Row],[Reverse Recovery Loss MOSFET D BOOST]]*0.33</f>
        <v>0.27032072569593013</v>
      </c>
      <c r="BV160" s="345">
        <f>Table16[[#This Row],[Isense Shunt Loss]]</f>
        <v>4.1230638798061901E-2</v>
      </c>
    </row>
    <row r="161" spans="7:74" x14ac:dyDescent="0.2">
      <c r="G161" s="253">
        <v>152</v>
      </c>
      <c r="H161" s="286">
        <f>VIN_min+(VIN_max-VIN_min)*(Table16[[#This Row],[Step]]/200)</f>
        <v>28.8</v>
      </c>
      <c r="I161" s="292" t="str">
        <f>IF(Mode = 2,IF(Table16[[#This Row],[Vin]]&gt;Vout, "BUCK","BOOST"),IF(Table16[[#This Row],[Vin]]&gt;VIN_BB_to_buck, "BUCK", IF(Table16[[#This Row],[Vin]]&lt;=VIN_boost_to_BB,"BOOST","BUCK-BST")))</f>
        <v>BUCK</v>
      </c>
      <c r="J161" s="253">
        <f>IF(Table16[[#This Row],[Mode]]="BOOST",2, IF(Table16[[#This Row],[Mode]]="BUCK", 1,3))</f>
        <v>1</v>
      </c>
      <c r="K161" s="253">
        <f t="shared" si="7"/>
        <v>8</v>
      </c>
      <c r="L161" s="292">
        <f>Vout*Table16[[#This Row],[Iout]]/(Table16[[#This Row],[Vin]]*Efficiency)</f>
        <v>4.6783625730994149</v>
      </c>
      <c r="M161" s="682">
        <f>MIN(1/Fsw,CHOOSE(Table16[[#This Row],[Mode Digit]],(Vout+(Rdson2+Rs+Rdcr)*Table16[[#This Row],[Iout]])/(Table16[[#This Row],[Vin]]+(Rs+Rdson2-Rdson1)*Table16[[#This Row],[Iout]])/Fsw,(Vout+(Rdson3+Rdcr)*Table16[[#This Row],[Iin]]-Table16[[#This Row],[Vin]])/(Vout+(Rdson3-Rdson4-Rs)*Table16[[#This Row],[Iin]])/Fsw,t1_Ph_II))</f>
        <v>1.4009458058626792E-6</v>
      </c>
      <c r="N161" s="518">
        <f>CHOOSE(Table16[[#This Row],[Mode Digit]],1/Fsw-Table16[[#This Row],[t1_Ph_II]],1/Fsw-Table16[[#This Row],[t1_Ph_II]],(Vout/Fsw-Table16[[#This Row],[Vin]]*t1_Ph_II)/(Table16[[#This Row],[Vin]]+Vout))</f>
        <v>1.1116170082076727E-6</v>
      </c>
      <c r="O161" s="518">
        <f>1/Fsw-(Table16[[#This Row],[t1_Ph_II]]+Table16[[#This Row],[t2_Ph_I]])</f>
        <v>0</v>
      </c>
      <c r="P161"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3.0188593569326967</v>
      </c>
      <c r="Q161" s="292">
        <f>CHOOSE(Table16[[#This Row],[Mode Digit]],Table16[[#This Row],[I_0]]+1/Lf*(Table16[[#This Row],[Vin]]-Vout)*Table16[[#This Row],[t1_Ph_II]],Table16[[#This Row],[I_0]]+1/Lf*Table16[[#This Row],[Vin]]*Table16[[#This Row],[t1_Ph_II]],Table16[[#This Row],[I_0]]+(Table16[[#This Row],[Vin]]-Vout)/L*Table16[[#This Row],[t1_Ph_II]])</f>
        <v>12.981140643067302</v>
      </c>
      <c r="R161" s="292">
        <f>CHOOSE(Table16[[#This Row],[Mode Digit]],0,0,Table16[[#This Row],[I_1]]+Table16[[#This Row],[Vin]]/L*Table16[[#This Row],[t2_Ph_I]])</f>
        <v>0</v>
      </c>
      <c r="S161" s="292">
        <f>Fsw*(Table16[[#This Row],[I_0]]*Table16[[#This Row],[t1_Ph_II]]+Table16[[#This Row],[I_1]]*Table16[[#This Row],[t2_Ph_I]]+Table16[[#This Row],[I_2]]*Table16[[#This Row],[t3_Ph_III]])</f>
        <v>7.4264074015827592</v>
      </c>
      <c r="T161" s="345">
        <f>MIN(1,CHOOSE(Table16[[#This Row],[Mode Digit]],(Vout+(Rdson2+Rs+Rdcr)*Table16[[#This Row],[Iout]])/(Table16[[#This Row],[Vin]]+(Rs+Rdson2-Rdson1)*Table16[[#This Row],[Iout]]),1,Fsw*Table16[[#This Row],[t2_Ph_I]]+Table16[[#This Row],[t1_Ph_II]]))</f>
        <v>0.55757643073334628</v>
      </c>
      <c r="U161" s="345">
        <f>MIN(1,CHOOSE(Table16[[#This Row],[Mode Digit]],0,(Vout+(Rdson3+Rdcr)*Table16[[#This Row],[Iin]]-Table16[[#This Row],[Vin]])/(Vout+(Rdson3-Rdson4-Rs)*Table16[[#This Row],[Iin]]),Fsw*Table16[[#This Row],[t1_Ph_II]]+Table16[[#This Row],[t3_Ph_III]]))</f>
        <v>0</v>
      </c>
      <c r="V161" s="292">
        <f>MAX(Table16[[#This Row],[I_0]:[I_2]])-MIN(Table16[[#This Row],[I_0]:[I_1]])</f>
        <v>9.9622812861346048</v>
      </c>
      <c r="W161"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8.5012109354298637</v>
      </c>
      <c r="X161" s="345">
        <f>(Table16[[#This Row],[Irms Lf]]^2*Rdcr*(1+Ltc*Ta-Ltc*25))/(1-Table16[[#This Row],[Irms Lf]]^2*Rdcr*Ltc*ThetaCa)</f>
        <v>0.23562524596040973</v>
      </c>
      <c r="Y161" s="345">
        <f>ABS(7.759*10^-3*Fsw^0.9458*(0.00787*Table16[[#This Row],[Ripple Current pk-pk]])^2.304)</f>
        <v>4.35230798292669</v>
      </c>
      <c r="Z161" s="345">
        <f>Table16[[#This Row],[DCR    Loss]]+Table16[[#This Row],[Core Loss]]</f>
        <v>4.5879332288871</v>
      </c>
      <c r="AA161" s="292">
        <f>IF(Table16[[#This Row],[Vin]]&gt;Vout, Table16[[#This Row],[Ripple Current pk-pk]]/SQRT(12), SQRT(Table16[[#This Row],[Duty Cycle BOOST Leg]]/(1-Table16[[#This Row],[Duty Cycle BOOST Leg]]))*SQRT(Table16[[#This Row],[Iout]]^2+(Table16[[#This Row],[Ripple Current pk-pk]]^2)/12))</f>
        <v>2.8758628911462929</v>
      </c>
      <c r="AB161" s="345">
        <f>RCoutEsr*Table16[[#This Row],[Irms Cout]]^2</f>
        <v>1.6541174737344629E-2</v>
      </c>
      <c r="AC161" s="345">
        <f>Table16[[#This Row],[Cout ESR Loss]]</f>
        <v>1.6541174737344629E-2</v>
      </c>
      <c r="AD161" s="345">
        <f>IF(Table16[[#This Row],[Vin]]&gt;Vout, SQRT(Table16[[#This Row],[Duty Cycle BUCK Leg]]*(1-Table16[[#This Row],[Duty Cycle BUCK Leg]]))*SQRT(Table16[[#This Row],[Iout]]^2+(Table16[[#This Row],[Ripple Current pk-pk]]^2)/12), Table16[[#This Row],[Ripple Current pk-pk]]/SQRT(12))</f>
        <v>4.2223295188428089</v>
      </c>
      <c r="AE161" s="345">
        <f>RCinEsr*Table16[[#This Row],[Irms Cin]]^2</f>
        <v>3.5656133131382696E-2</v>
      </c>
      <c r="AF161" s="683">
        <f>Table16[[#This Row],[Cin ESR Loss]]</f>
        <v>3.5656133131382696E-2</v>
      </c>
      <c r="AG161"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6.3479426708207409</v>
      </c>
      <c r="AH161" s="345">
        <f>Rdson1*Table16[[#This Row],[Irms BuCtrl]]^2</f>
        <v>0.14103731653209367</v>
      </c>
      <c r="AI161" s="345">
        <f>CHOOSE(Table16[[#This Row],[Mode Digit]], (Table16[[#This Row],[Vin]]*Table16[[#This Row],[Iout]]/2)*(Fsw)*(Tr_buck+Tf_buck), 0, (Table16[[#This Row],[Vin]]*Table16[[#This Row],[Avg IL]]/2)*(Fsw/1)*(Tr_buck+Tf_buck))</f>
        <v>0.8622741192671507</v>
      </c>
      <c r="AJ161" s="253">
        <f>IF(Table16[[#This Row],[Vin]]&gt;Vout, IF(Table16[[#This Row],[Iout]]&gt;Table16[[#This Row],[Ripple Current pk-pk]]/2,0,ABS(Table16[[#This Row],[Iout]]-Table16[[#This Row],[Ripple Current pk-pk]]/2)*Vsd_Q1*Deadtime*Fsw),0)</f>
        <v>0</v>
      </c>
      <c r="AK161" s="345">
        <f>(Table16[[#This Row],[Dead Time Loss BuCtrl]]+Table16[[#This Row],[Transition Loss BuCtrl]]+Table16[[#This Row],[RDS(on) Loss BuCtrl]]*(1+RdsonTopTc*Ta-RdsonTopTc*25))/(1-Table16[[#This Row],[RDS(on) Loss BuCtrl]]*RdsonTopTc*ThetaJA_Q1)</f>
        <v>1.0415030423033271</v>
      </c>
      <c r="AL161" s="345">
        <f>CHOOSE(Table16[[#This Row],[Mode Digit]],SQRT((Fsw*(Table16[[#This Row],[t2_Ph_I]]+0))*((Table16[[#This Row],[I_0]]*Table16[[#This Row],[I_1]]+((Table16[[#This Row],[I_0]]-Table16[[#This Row],[I_1]])^2)/3))),0,SQRT((Fsw*(Table16[[#This Row],[t3_Ph_III]]+0))*((Table16[[#This Row],[I_0]]*Table16[[#This Row],[I_2]]+((Table16[[#This Row],[I_0]]-Table16[[#This Row],[I_2]])^2)/3))))</f>
        <v>5.6545743621112221</v>
      </c>
      <c r="AM161" s="345">
        <f>Rdson2*Table16[[#This Row],[Irms BuSync]]^2</f>
        <v>0.11190973925825938</v>
      </c>
      <c r="AN161"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61" s="345">
        <f>(Table16[[#This Row],[Deadtime Loss BuSync]]+Table16[[#This Row],[RDS(on) Loss BuSync]]*(1+RdsonBotTc*Ta-RdsonBotTc*25))/(1-Table16[[#This Row],[RDS(on) Loss BuSync]]*RdsonBotTc*ThetaJA_Q2)</f>
        <v>0.36121998828114715</v>
      </c>
      <c r="AP161" s="345">
        <f>CHOOSE(Table16[[#This Row],[Mode Digit]],0,SQRT((Fsw*(Table16[[#This Row],[t1_Ph_II]]+0))*((Table16[[#This Row],[I_0]]*Table16[[#This Row],[I_1]]+((Table16[[#This Row],[I_0]]-Table16[[#This Row],[I_1]])^2)/3))),SQRT((Fsw*(Table16[[#This Row],[t2_Ph_I]]+0))*((Table16[[#This Row],[I_1]]*Table16[[#This Row],[I_2]]+((Table16[[#This Row],[I_1]]-Table16[[#This Row],[I_2]])^2)/3))))</f>
        <v>0</v>
      </c>
      <c r="AQ161" s="345">
        <f>Rdson4*Table16[[#This Row],[Irms BoCtlr]]^2</f>
        <v>0</v>
      </c>
      <c r="AR161" s="345">
        <f>CHOOSE(Table16[[#This Row],[Mode Digit]], 0, (Vout*Table16[[#This Row],[Iin]]/2)*(Fsw)*(Tr_boost+Tf_boost), (Vout*Iout/2)*(Fsw/1)*(Tr_boost+Tf_boost))</f>
        <v>0</v>
      </c>
      <c r="AS161" s="253">
        <f>IF(Table16[[#This Row],[Vin]]&gt;Vout, 0, IF(Table16[[#This Row],[Iin]]&gt;Table16[[#This Row],[Ripple Current pk-pk]]/2,0,ABS(Table16[[#This Row],[Iin]]-Table16[[#This Row],[Ripple Current pk-pk]]/2)*Vsd_Q4*Deadtime*Fsw))</f>
        <v>0</v>
      </c>
      <c r="AT161" s="345">
        <f>(Table16[[#This Row],[Dead Time Loss BoCtlr]]+Table16[[#This Row],[Transition Loss BoCtlr]]+Table16[[#This Row],[RDS(on) Loss BoCtlr]]*(1+RdsonTopTc*Ta-RdsonTopTc*25))/(1-Table16[[#This Row],[RDS(on) Loss BoCtlr]]*RdsonTopTc*ThetaJA_Q4)</f>
        <v>0</v>
      </c>
      <c r="AU161"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8.5012109354298637</v>
      </c>
      <c r="AV161" s="345">
        <f>Rdson3*Table16[[#This Row],[Irms BoSync]]^2</f>
        <v>0.25294705579035304</v>
      </c>
      <c r="AW161"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61" s="345">
        <f>(Table16[[#This Row],[Deadtime Loss BoSync]]+Table16[[#This Row],[RDS(on) Loss BoSync]]*(1+RdsonBotTc*Ta-RdsonBotTc*25))/(1-Table16[[#This Row],[RDS(on) Loss BoSync]]*RdsonBotTc*ThetaJA_Q3)</f>
        <v>0.27075349353966371</v>
      </c>
      <c r="AY161" s="345">
        <f>CHOOSE(Table16[[#This Row],[Mode Digit]], Rdson3*Table16[[#This Row],[Irms Lf]]^2, Rdson1*Table16[[#This Row],[Irms Lf]]^2, 0)</f>
        <v>0.25294705579035304</v>
      </c>
      <c r="AZ161" s="345">
        <f>CHOOSE(Table16[[#This Row],[Mode Digit]], 2*Deadtime*Fsw*IF(VfdSky_Q2&gt;0,VfdSky_Q2,0)*Table16[[#This Row],[Iout]], 2*Deadtime*Fsw*IF(VfdSky_Q3&gt;0,VfdSky_Q3,0)*Table16[[#This Row],[Iin]], 2*Deadtime*Fsw*IF(VfdSky_Q2&gt;0,VfdSky_Q2,0)*Table16[[#This Row],[Iout]]+2*Deadtime*Fsw*IF(VfdSky_Q3&gt;0,VfdSky_Q3,0)*Table16[[#This Row],[Iin]])</f>
        <v>0</v>
      </c>
      <c r="BA161" s="345">
        <f>CHOOSE(Table16[[#This Row],[Mode Digit]], IF(QrrSky_Q2&gt;0,QrrSky_Q2,Qrr_Q2)*Fsw*(Table16[[#This Row],[Vin]]-Table16[[#This Row],[Iout]]*Rdson1),0,  IF(QrrSky_Q2&gt;0,QrrSky_Q2,Qrr_Q2)*Fsw*(Table16[[#This Row],[Vin]]-Table16[[#This Row],[Iout]]*Rdson1)+IF(QrrSky_Q3&gt;0,QrrSky_Q3,Qrr_Q3)*Fsw*Vout)</f>
        <v>0.51530651999999999</v>
      </c>
      <c r="BB161" s="345">
        <f>CHOOSE(Table16[[#This Row],[Mode Digit]],0, IF(QrrSky_Q3&gt;0,QrrSky_Q3,Qrr_Q3)*Fsw*Vout,  IF(QrrSky_Q2&gt;0,QrrSky_Q2,Qrr_Q2)*Fsw*(Table16[[#This Row],[Vin]]-Table16[[#This Row],[Iout]]*Rdson1)+IF(QrrSky_Q3&gt;0,QrrSky_Q3,Qrr_Q3)*Fsw*Vout)</f>
        <v>0</v>
      </c>
      <c r="BC161" s="345">
        <f>CHOOSE(Table16[[#This Row],[Mode Digit]], Rs*Table16[[#This Row],[Irms BuSync]]^2, Rs*Table16[[#This Row],[Irms BoCtlr]]^2, Rs*(Table16[[#This Row],[Irms BuSync]]^2+Table16[[#This Row],[Irms BoCtlr]]^2))</f>
        <v>4.1566474581639194E-2</v>
      </c>
      <c r="BD161" s="345">
        <f t="shared" si="8"/>
        <v>0.64</v>
      </c>
      <c r="BE161" s="345">
        <f>IF(Vout&gt;8, Iq*Vout, Iq*Table16[[#This Row],[Vin]])</f>
        <v>4.8000000000000001E-2</v>
      </c>
      <c r="BF161" s="345">
        <f>CHOOSE(Table16[[#This Row],[Mode Digit]], (Qg_Q1+Qg_Q2)*Fsw, (Qg_Q3+Qg_Q4)*Fsw, (Qg_Q1+Qg_Q2+Qg_Q3+Qg_Q4)*Fsw)*IF(Vout&gt;8, Vout, Table16[[#This Row],[Vin]])</f>
        <v>0.85331200000000007</v>
      </c>
      <c r="BG161" s="345">
        <f t="shared" si="9"/>
        <v>0.50594479787234037</v>
      </c>
      <c r="BH161" s="345">
        <f>Table16[[#This Row],[IQ Loss]]+Table16[[#This Row],[Switching Current Loss]]</f>
        <v>0.90131200000000011</v>
      </c>
      <c r="BI161"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8.4117920554616035</v>
      </c>
      <c r="BJ161" s="253">
        <f>Vout*Table16[[#This Row],[Iout]]</f>
        <v>128</v>
      </c>
      <c r="BK161" s="684">
        <f>Table16[[#This Row],[Pout]]/(Table16[[#This Row],[Pout]]+Table16[[#This Row],[Total Loss]])</f>
        <v>0.9383353013056116</v>
      </c>
      <c r="BL161"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67.697697749716269</v>
      </c>
      <c r="BM161" s="685">
        <f>IF(Table16[[#This Row],[Vin]]&gt;Vout, Table16[[#This Row],[Total Sync Bu MOSFET Loss]]*ThetaJA_Q2, ThetaJA_Q3*Table16[[#This Row],[Total Sync Bo MOSFET Loss]])</f>
        <v>23.479299238274564</v>
      </c>
      <c r="BN161" s="640"/>
      <c r="BO161" s="292">
        <f>Table16[[#This Row],[EFF, h]]*100</f>
        <v>93.833530130561158</v>
      </c>
      <c r="BP161" s="345">
        <f>Table16[[#This Row],[Total Inductor Loss]]</f>
        <v>4.5879332288871</v>
      </c>
      <c r="BQ161" s="345">
        <f>Table16[[#This Row],[Total Control Bu MOSFET Loss]]+Table16[[#This Row],[Total Sync Bu MOSFET Loss]]+Table16[[#This Row],[Total Control Bo MOSFET Loss]]+Table16[[#This Row],[Total Sync Bo MOSFET Loss]]+Table16[[#This Row],[Reverse Recovery Loss MOSFET D BUCK]]+Table16[[#This Row],[Reverse Recovery Loss MOSFET D BOOST]]</f>
        <v>2.188783044124138</v>
      </c>
      <c r="BR161" s="345">
        <f>Table16[[#This Row],[Total Control Bu MOSFET Loss]]+Table16[[#This Row],[Reverse Recovery Loss MOSFET D BUCK]]*0.66</f>
        <v>1.3816053455033273</v>
      </c>
      <c r="BS161" s="345">
        <f>Table16[[#This Row],[Total Sync Bu MOSFET Loss]]+Table16[[#This Row],[Reverse Recovery Loss MOSFET D BUCK]]*0.33</f>
        <v>0.53127113988114716</v>
      </c>
      <c r="BT161" s="345">
        <f xml:space="preserve"> Table16[[#This Row],[Total Control Bo MOSFET Loss]]+Table16[[#This Row],[Reverse Recovery Loss MOSFET D BOOST]]*0.66</f>
        <v>0</v>
      </c>
      <c r="BU161" s="345">
        <f xml:space="preserve"> Table16[[#This Row],[Total Sync Bo MOSFET Loss]]+Table16[[#This Row],[Reverse Recovery Loss MOSFET D BOOST]]*0.33</f>
        <v>0.27075349353966371</v>
      </c>
      <c r="BV161" s="345">
        <f>Table16[[#This Row],[Isense Shunt Loss]]</f>
        <v>4.1566474581639194E-2</v>
      </c>
    </row>
    <row r="162" spans="7:74" x14ac:dyDescent="0.2">
      <c r="G162" s="253">
        <v>153</v>
      </c>
      <c r="H162" s="286">
        <f>VIN_min+(VIN_max-VIN_min)*(Table16[[#This Row],[Step]]/200)</f>
        <v>28.95</v>
      </c>
      <c r="I162" s="292" t="str">
        <f>IF(Mode = 2,IF(Table16[[#This Row],[Vin]]&gt;Vout, "BUCK","BOOST"),IF(Table16[[#This Row],[Vin]]&gt;VIN_BB_to_buck, "BUCK", IF(Table16[[#This Row],[Vin]]&lt;=VIN_boost_to_BB,"BOOST","BUCK-BST")))</f>
        <v>BUCK</v>
      </c>
      <c r="J162" s="253">
        <f>IF(Table16[[#This Row],[Mode]]="BOOST",2, IF(Table16[[#This Row],[Mode]]="BUCK", 1,3))</f>
        <v>1</v>
      </c>
      <c r="K162" s="253">
        <f t="shared" si="7"/>
        <v>8</v>
      </c>
      <c r="L162" s="292">
        <f>Vout*Table16[[#This Row],[Iout]]/(Table16[[#This Row],[Vin]]*Efficiency)</f>
        <v>4.6541223525134079</v>
      </c>
      <c r="M162" s="682">
        <f>MIN(1/Fsw,CHOOSE(Table16[[#This Row],[Mode Digit]],(Vout+(Rdson2+Rs+Rdcr)*Table16[[#This Row],[Iout]])/(Table16[[#This Row],[Vin]]+(Rs+Rdson2-Rdson1)*Table16[[#This Row],[Iout]])/Fsw,(Vout+(Rdson3+Rdcr)*Table16[[#This Row],[Iin]]-Table16[[#This Row],[Vin]])/(Vout+(Rdson3-Rdson4-Rs)*Table16[[#This Row],[Iin]])/Fsw,t1_Ph_II))</f>
        <v>1.393689626014355E-6</v>
      </c>
      <c r="N162" s="518">
        <f>CHOOSE(Table16[[#This Row],[Mode Digit]],1/Fsw-Table16[[#This Row],[t1_Ph_II]],1/Fsw-Table16[[#This Row],[t1_Ph_II]],(Vout/Fsw-Table16[[#This Row],[Vin]]*t1_Ph_II)/(Table16[[#This Row],[Vin]]+Vout))</f>
        <v>1.1188731880559969E-6</v>
      </c>
      <c r="O162" s="518">
        <f>1/Fsw-(Table16[[#This Row],[t1_Ph_II]]+Table16[[#This Row],[t2_Ph_I]])</f>
        <v>0</v>
      </c>
      <c r="P162"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2.9865887064205845</v>
      </c>
      <c r="Q162" s="292">
        <f>CHOOSE(Table16[[#This Row],[Mode Digit]],Table16[[#This Row],[I_0]]+1/Lf*(Table16[[#This Row],[Vin]]-Vout)*Table16[[#This Row],[t1_Ph_II]],Table16[[#This Row],[I_0]]+1/Lf*Table16[[#This Row],[Vin]]*Table16[[#This Row],[t1_Ph_II]],Table16[[#This Row],[I_0]]+(Table16[[#This Row],[Vin]]-Vout)/L*Table16[[#This Row],[t1_Ph_II]])</f>
        <v>13.013411293579416</v>
      </c>
      <c r="R162" s="292">
        <f>CHOOSE(Table16[[#This Row],[Mode Digit]],0,0,Table16[[#This Row],[I_1]]+Table16[[#This Row],[Vin]]/L*Table16[[#This Row],[t2_Ph_I]])</f>
        <v>0</v>
      </c>
      <c r="S162" s="292">
        <f>Fsw*(Table16[[#This Row],[I_0]]*Table16[[#This Row],[t1_Ph_II]]+Table16[[#This Row],[I_1]]*Table16[[#This Row],[t2_Ph_I]]+Table16[[#This Row],[I_2]]*Table16[[#This Row],[t3_Ph_III]])</f>
        <v>7.4516484021787637</v>
      </c>
      <c r="T162" s="345">
        <f>MIN(1,CHOOSE(Table16[[#This Row],[Mode Digit]],(Vout+(Rdson2+Rs+Rdcr)*Table16[[#This Row],[Iout]])/(Table16[[#This Row],[Vin]]+(Rs+Rdson2-Rdson1)*Table16[[#This Row],[Iout]]),1,Fsw*Table16[[#This Row],[t2_Ph_I]]+Table16[[#This Row],[t1_Ph_II]]))</f>
        <v>0.55468847115371334</v>
      </c>
      <c r="U162" s="345">
        <f>MIN(1,CHOOSE(Table16[[#This Row],[Mode Digit]],0,(Vout+(Rdson3+Rdcr)*Table16[[#This Row],[Iin]]-Table16[[#This Row],[Vin]])/(Vout+(Rdson3-Rdson4-Rs)*Table16[[#This Row],[Iin]]),Fsw*Table16[[#This Row],[t1_Ph_II]]+Table16[[#This Row],[t3_Ph_III]]))</f>
        <v>0</v>
      </c>
      <c r="V162" s="292">
        <f>MAX(Table16[[#This Row],[I_0]:[I_2]])-MIN(Table16[[#This Row],[I_0]:[I_1]])</f>
        <v>10.026822587158833</v>
      </c>
      <c r="W162"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8.5075318159575453</v>
      </c>
      <c r="X162" s="345">
        <f>(Table16[[#This Row],[Irms Lf]]^2*Rdcr*(1+Ltc*Ta-Ltc*25))/(1-Table16[[#This Row],[Irms Lf]]^2*Rdcr*Ltc*ThetaCa)</f>
        <v>0.23598238100434576</v>
      </c>
      <c r="Y162" s="345">
        <f>ABS(7.759*10^-3*Fsw^0.9458*(0.00787*Table16[[#This Row],[Ripple Current pk-pk]])^2.304)</f>
        <v>4.4175478121529208</v>
      </c>
      <c r="Z162" s="345">
        <f>Table16[[#This Row],[DCR    Loss]]+Table16[[#This Row],[Core Loss]]</f>
        <v>4.6535301931572661</v>
      </c>
      <c r="AA162" s="292">
        <f>IF(Table16[[#This Row],[Vin]]&gt;Vout, Table16[[#This Row],[Ripple Current pk-pk]]/SQRT(12), SQRT(Table16[[#This Row],[Duty Cycle BOOST Leg]]/(1-Table16[[#This Row],[Duty Cycle BOOST Leg]]))*SQRT(Table16[[#This Row],[Iout]]^2+(Table16[[#This Row],[Ripple Current pk-pk]]^2)/12))</f>
        <v>2.8944943599063859</v>
      </c>
      <c r="AB162" s="345">
        <f>RCoutEsr*Table16[[#This Row],[Irms Cout]]^2</f>
        <v>1.6756195199059756E-2</v>
      </c>
      <c r="AC162" s="345">
        <f>Table16[[#This Row],[Cout ESR Loss]]</f>
        <v>1.6756195199059756E-2</v>
      </c>
      <c r="AD162" s="345">
        <f>IF(Table16[[#This Row],[Vin]]&gt;Vout, SQRT(Table16[[#This Row],[Duty Cycle BUCK Leg]]*(1-Table16[[#This Row],[Duty Cycle BUCK Leg]]))*SQRT(Table16[[#This Row],[Iout]]^2+(Table16[[#This Row],[Ripple Current pk-pk]]^2)/12), Table16[[#This Row],[Ripple Current pk-pk]]/SQRT(12))</f>
        <v>4.2282447771516285</v>
      </c>
      <c r="AE162" s="345">
        <f>RCinEsr*Table16[[#This Row],[Irms Cin]]^2</f>
        <v>3.575610779102005E-2</v>
      </c>
      <c r="AF162" s="683">
        <f>Table16[[#This Row],[Cin ESR Loss]]</f>
        <v>3.575610779102005E-2</v>
      </c>
      <c r="AG162"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6.3361894149794393</v>
      </c>
      <c r="AH162" s="345">
        <f>Rdson1*Table16[[#This Row],[Irms BuCtrl]]^2</f>
        <v>0.1405155370587412</v>
      </c>
      <c r="AI162" s="345">
        <f>CHOOSE(Table16[[#This Row],[Mode Digit]], (Table16[[#This Row],[Vin]]*Table16[[#This Row],[Iout]]/2)*(Fsw)*(Tr_buck+Tf_buck), 0, (Table16[[#This Row],[Vin]]*Table16[[#This Row],[Avg IL]]/2)*(Fsw/1)*(Tr_buck+Tf_buck))</f>
        <v>0.86676513030500046</v>
      </c>
      <c r="AJ162" s="253">
        <f>IF(Table16[[#This Row],[Vin]]&gt;Vout, IF(Table16[[#This Row],[Iout]]&gt;Table16[[#This Row],[Ripple Current pk-pk]]/2,0,ABS(Table16[[#This Row],[Iout]]-Table16[[#This Row],[Ripple Current pk-pk]]/2)*Vsd_Q1*Deadtime*Fsw),0)</f>
        <v>0</v>
      </c>
      <c r="AK162" s="345">
        <f>(Table16[[#This Row],[Dead Time Loss BuCtrl]]+Table16[[#This Row],[Transition Loss BuCtrl]]+Table16[[#This Row],[RDS(on) Loss BuCtrl]]*(1+RdsonTopTc*Ta-RdsonTopTc*25))/(1-Table16[[#This Row],[RDS(on) Loss BuCtrl]]*RdsonTopTc*ThetaJA_Q1)</f>
        <v>1.0454761338765182</v>
      </c>
      <c r="AL162" s="345">
        <f>CHOOSE(Table16[[#This Row],[Mode Digit]],SQRT((Fsw*(Table16[[#This Row],[t2_Ph_I]]+0))*((Table16[[#This Row],[I_0]]*Table16[[#This Row],[I_1]]+((Table16[[#This Row],[I_0]]-Table16[[#This Row],[I_1]])^2)/3))),0,SQRT((Fsw*(Table16[[#This Row],[t3_Ph_III]]+0))*((Table16[[#This Row],[I_0]]*Table16[[#This Row],[I_2]]+((Table16[[#This Row],[I_0]]-Table16[[#This Row],[I_2]])^2)/3))))</f>
        <v>5.6772177426123456</v>
      </c>
      <c r="AM162" s="345">
        <f>Rdson2*Table16[[#This Row],[Irms BuSync]]^2</f>
        <v>0.11280780453961345</v>
      </c>
      <c r="AN162"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62" s="345">
        <f>(Table16[[#This Row],[Deadtime Loss BuSync]]+Table16[[#This Row],[RDS(on) Loss BuSync]]*(1+RdsonBotTc*Ta-RdsonBotTc*25))/(1-Table16[[#This Row],[RDS(on) Loss BuSync]]*RdsonBotTc*ThetaJA_Q2)</f>
        <v>0.36223208207697161</v>
      </c>
      <c r="AP162" s="345">
        <f>CHOOSE(Table16[[#This Row],[Mode Digit]],0,SQRT((Fsw*(Table16[[#This Row],[t1_Ph_II]]+0))*((Table16[[#This Row],[I_0]]*Table16[[#This Row],[I_1]]+((Table16[[#This Row],[I_0]]-Table16[[#This Row],[I_1]])^2)/3))),SQRT((Fsw*(Table16[[#This Row],[t2_Ph_I]]+0))*((Table16[[#This Row],[I_1]]*Table16[[#This Row],[I_2]]+((Table16[[#This Row],[I_1]]-Table16[[#This Row],[I_2]])^2)/3))))</f>
        <v>0</v>
      </c>
      <c r="AQ162" s="345">
        <f>Rdson4*Table16[[#This Row],[Irms BoCtlr]]^2</f>
        <v>0</v>
      </c>
      <c r="AR162" s="345">
        <f>CHOOSE(Table16[[#This Row],[Mode Digit]], 0, (Vout*Table16[[#This Row],[Iin]]/2)*(Fsw)*(Tr_boost+Tf_boost), (Vout*Iout/2)*(Fsw/1)*(Tr_boost+Tf_boost))</f>
        <v>0</v>
      </c>
      <c r="AS162" s="253">
        <f>IF(Table16[[#This Row],[Vin]]&gt;Vout, 0, IF(Table16[[#This Row],[Iin]]&gt;Table16[[#This Row],[Ripple Current pk-pk]]/2,0,ABS(Table16[[#This Row],[Iin]]-Table16[[#This Row],[Ripple Current pk-pk]]/2)*Vsd_Q4*Deadtime*Fsw))</f>
        <v>0</v>
      </c>
      <c r="AT162" s="345">
        <f>(Table16[[#This Row],[Dead Time Loss BoCtlr]]+Table16[[#This Row],[Transition Loss BoCtlr]]+Table16[[#This Row],[RDS(on) Loss BoCtlr]]*(1+RdsonTopTc*Ta-RdsonTopTc*25))/(1-Table16[[#This Row],[RDS(on) Loss BoCtlr]]*RdsonTopTc*ThetaJA_Q4)</f>
        <v>0</v>
      </c>
      <c r="AU162"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8.5075318159575453</v>
      </c>
      <c r="AV162" s="345">
        <f>Rdson3*Table16[[#This Row],[Irms BoSync]]^2</f>
        <v>0.25332334159835462</v>
      </c>
      <c r="AW162"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62" s="345">
        <f>(Table16[[#This Row],[Deadtime Loss BoSync]]+Table16[[#This Row],[RDS(on) Loss BoSync]]*(1+RdsonBotTc*Ta-RdsonBotTc*25))/(1-Table16[[#This Row],[RDS(on) Loss BoSync]]*RdsonBotTc*ThetaJA_Q3)</f>
        <v>0.27118466717917161</v>
      </c>
      <c r="AY162" s="345">
        <f>CHOOSE(Table16[[#This Row],[Mode Digit]], Rdson3*Table16[[#This Row],[Irms Lf]]^2, Rdson1*Table16[[#This Row],[Irms Lf]]^2, 0)</f>
        <v>0.25332334159835462</v>
      </c>
      <c r="AZ162" s="345">
        <f>CHOOSE(Table16[[#This Row],[Mode Digit]], 2*Deadtime*Fsw*IF(VfdSky_Q2&gt;0,VfdSky_Q2,0)*Table16[[#This Row],[Iout]], 2*Deadtime*Fsw*IF(VfdSky_Q3&gt;0,VfdSky_Q3,0)*Table16[[#This Row],[Iin]], 2*Deadtime*Fsw*IF(VfdSky_Q2&gt;0,VfdSky_Q2,0)*Table16[[#This Row],[Iout]]+2*Deadtime*Fsw*IF(VfdSky_Q3&gt;0,VfdSky_Q3,0)*Table16[[#This Row],[Iin]])</f>
        <v>0</v>
      </c>
      <c r="BA162" s="345">
        <f>CHOOSE(Table16[[#This Row],[Mode Digit]], IF(QrrSky_Q2&gt;0,QrrSky_Q2,Qrr_Q2)*Fsw*(Table16[[#This Row],[Vin]]-Table16[[#This Row],[Iout]]*Rdson1),0,  IF(QrrSky_Q2&gt;0,QrrSky_Q2,Qrr_Q2)*Fsw*(Table16[[#This Row],[Vin]]-Table16[[#This Row],[Iout]]*Rdson1)+IF(QrrSky_Q3&gt;0,QrrSky_Q3,Qrr_Q3)*Fsw*Vout)</f>
        <v>0.51799302000000003</v>
      </c>
      <c r="BB162" s="345">
        <f>CHOOSE(Table16[[#This Row],[Mode Digit]],0, IF(QrrSky_Q3&gt;0,QrrSky_Q3,Qrr_Q3)*Fsw*Vout,  IF(QrrSky_Q2&gt;0,QrrSky_Q2,Qrr_Q2)*Fsw*(Table16[[#This Row],[Vin]]-Table16[[#This Row],[Iout]]*Rdson1)+IF(QrrSky_Q3&gt;0,QrrSky_Q3,Qrr_Q3)*Fsw*Vout)</f>
        <v>0</v>
      </c>
      <c r="BC162" s="345">
        <f>CHOOSE(Table16[[#This Row],[Mode Digit]], Rs*Table16[[#This Row],[Irms BuSync]]^2, Rs*Table16[[#This Row],[Irms BoCtlr]]^2, Rs*(Table16[[#This Row],[Irms BuSync]]^2+Table16[[#This Row],[Irms BoCtlr]]^2))</f>
        <v>4.1900041686142135E-2</v>
      </c>
      <c r="BD162" s="345">
        <f t="shared" si="8"/>
        <v>0.64</v>
      </c>
      <c r="BE162" s="345">
        <f>IF(Vout&gt;8, Iq*Vout, Iq*Table16[[#This Row],[Vin]])</f>
        <v>4.8000000000000001E-2</v>
      </c>
      <c r="BF162" s="345">
        <f>CHOOSE(Table16[[#This Row],[Mode Digit]], (Qg_Q1+Qg_Q2)*Fsw, (Qg_Q3+Qg_Q4)*Fsw, (Qg_Q1+Qg_Q2+Qg_Q3+Qg_Q4)*Fsw)*IF(Vout&gt;8, Vout, Table16[[#This Row],[Vin]])</f>
        <v>0.85331200000000007</v>
      </c>
      <c r="BG162" s="345">
        <f t="shared" si="9"/>
        <v>0.50594479787234037</v>
      </c>
      <c r="BH162" s="345">
        <f>Table16[[#This Row],[IQ Loss]]+Table16[[#This Row],[Switching Current Loss]]</f>
        <v>0.90131200000000011</v>
      </c>
      <c r="BI162"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8.4861404409661478</v>
      </c>
      <c r="BJ162" s="253">
        <f>Vout*Table16[[#This Row],[Iout]]</f>
        <v>128</v>
      </c>
      <c r="BK162" s="684">
        <f>Table16[[#This Row],[Pout]]/(Table16[[#This Row],[Pout]]+Table16[[#This Row],[Total Loss]])</f>
        <v>0.9378241599216689</v>
      </c>
      <c r="BL162"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67.955948701973682</v>
      </c>
      <c r="BM162" s="685">
        <f>IF(Table16[[#This Row],[Vin]]&gt;Vout, Table16[[#This Row],[Total Sync Bu MOSFET Loss]]*ThetaJA_Q2, ThetaJA_Q3*Table16[[#This Row],[Total Sync Bo MOSFET Loss]])</f>
        <v>23.545085335003154</v>
      </c>
      <c r="BN162" s="640"/>
      <c r="BO162" s="292">
        <f>Table16[[#This Row],[EFF, h]]*100</f>
        <v>93.782415992166889</v>
      </c>
      <c r="BP162" s="345">
        <f>Table16[[#This Row],[Total Inductor Loss]]</f>
        <v>4.6535301931572661</v>
      </c>
      <c r="BQ162" s="345">
        <f>Table16[[#This Row],[Total Control Bu MOSFET Loss]]+Table16[[#This Row],[Total Sync Bu MOSFET Loss]]+Table16[[#This Row],[Total Control Bo MOSFET Loss]]+Table16[[#This Row],[Total Sync Bo MOSFET Loss]]+Table16[[#This Row],[Reverse Recovery Loss MOSFET D BUCK]]+Table16[[#This Row],[Reverse Recovery Loss MOSFET D BOOST]]</f>
        <v>2.1968859031326611</v>
      </c>
      <c r="BR162" s="345">
        <f>Table16[[#This Row],[Total Control Bu MOSFET Loss]]+Table16[[#This Row],[Reverse Recovery Loss MOSFET D BUCK]]*0.66</f>
        <v>1.3873515270765182</v>
      </c>
      <c r="BS162" s="345">
        <f>Table16[[#This Row],[Total Sync Bu MOSFET Loss]]+Table16[[#This Row],[Reverse Recovery Loss MOSFET D BUCK]]*0.33</f>
        <v>0.53316977867697157</v>
      </c>
      <c r="BT162" s="345">
        <f xml:space="preserve"> Table16[[#This Row],[Total Control Bo MOSFET Loss]]+Table16[[#This Row],[Reverse Recovery Loss MOSFET D BOOST]]*0.66</f>
        <v>0</v>
      </c>
      <c r="BU162" s="345">
        <f xml:space="preserve"> Table16[[#This Row],[Total Sync Bo MOSFET Loss]]+Table16[[#This Row],[Reverse Recovery Loss MOSFET D BOOST]]*0.33</f>
        <v>0.27118466717917161</v>
      </c>
      <c r="BV162" s="345">
        <f>Table16[[#This Row],[Isense Shunt Loss]]</f>
        <v>4.1900041686142135E-2</v>
      </c>
    </row>
    <row r="163" spans="7:74" x14ac:dyDescent="0.2">
      <c r="G163" s="253">
        <v>154</v>
      </c>
      <c r="H163" s="286">
        <f>VIN_min+(VIN_max-VIN_min)*(Table16[[#This Row],[Step]]/200)</f>
        <v>29.1</v>
      </c>
      <c r="I163" s="292" t="str">
        <f>IF(Mode = 2,IF(Table16[[#This Row],[Vin]]&gt;Vout, "BUCK","BOOST"),IF(Table16[[#This Row],[Vin]]&gt;VIN_BB_to_buck, "BUCK", IF(Table16[[#This Row],[Vin]]&lt;=VIN_boost_to_BB,"BOOST","BUCK-BST")))</f>
        <v>BUCK</v>
      </c>
      <c r="J163" s="253">
        <f>IF(Table16[[#This Row],[Mode]]="BOOST",2, IF(Table16[[#This Row],[Mode]]="BUCK", 1,3))</f>
        <v>1</v>
      </c>
      <c r="K163" s="253">
        <f t="shared" si="7"/>
        <v>8</v>
      </c>
      <c r="L163" s="292">
        <f>Vout*Table16[[#This Row],[Iout]]/(Table16[[#This Row],[Vin]]*Efficiency)</f>
        <v>4.6301320311086993</v>
      </c>
      <c r="M163" s="682">
        <f>MIN(1/Fsw,CHOOSE(Table16[[#This Row],[Mode Digit]],(Vout+(Rdson2+Rs+Rdcr)*Table16[[#This Row],[Iout]])/(Table16[[#This Row],[Vin]]+(Rs+Rdson2-Rdson1)*Table16[[#This Row],[Iout]])/Fsw,(Vout+(Rdson3+Rdcr)*Table16[[#This Row],[Iin]]-Table16[[#This Row],[Vin]])/(Vout+(Rdson3-Rdson4-Rs)*Table16[[#This Row],[Iin]])/Fsw,t1_Ph_II))</f>
        <v>1.3865082254186177E-6</v>
      </c>
      <c r="N163" s="518">
        <f>CHOOSE(Table16[[#This Row],[Mode Digit]],1/Fsw-Table16[[#This Row],[t1_Ph_II]],1/Fsw-Table16[[#This Row],[t1_Ph_II]],(Vout/Fsw-Table16[[#This Row],[Vin]]*t1_Ph_II)/(Table16[[#This Row],[Vin]]+Vout))</f>
        <v>1.1260545886517342E-6</v>
      </c>
      <c r="O163" s="518">
        <f>1/Fsw-(Table16[[#This Row],[t1_Ph_II]]+Table16[[#This Row],[t2_Ph_I]])</f>
        <v>0</v>
      </c>
      <c r="P163"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2.9546506241711405</v>
      </c>
      <c r="Q163" s="292">
        <f>CHOOSE(Table16[[#This Row],[Mode Digit]],Table16[[#This Row],[I_0]]+1/Lf*(Table16[[#This Row],[Vin]]-Vout)*Table16[[#This Row],[t1_Ph_II]],Table16[[#This Row],[I_0]]+1/Lf*Table16[[#This Row],[Vin]]*Table16[[#This Row],[t1_Ph_II]],Table16[[#This Row],[I_0]]+(Table16[[#This Row],[Vin]]-Vout)/L*Table16[[#This Row],[t1_Ph_II]])</f>
        <v>13.045349375828859</v>
      </c>
      <c r="R163" s="292">
        <f>CHOOSE(Table16[[#This Row],[Mode Digit]],0,0,Table16[[#This Row],[I_1]]+Table16[[#This Row],[Vin]]/L*Table16[[#This Row],[t2_Ph_I]])</f>
        <v>0</v>
      </c>
      <c r="S163" s="292">
        <f>Fsw*(Table16[[#This Row],[I_0]]*Table16[[#This Row],[t1_Ph_II]]+Table16[[#This Row],[I_1]]*Table16[[#This Row],[t2_Ph_I]]+Table16[[#This Row],[I_2]]*Table16[[#This Row],[t3_Ph_III]])</f>
        <v>7.4769963217097279</v>
      </c>
      <c r="T163" s="345">
        <f>MIN(1,CHOOSE(Table16[[#This Row],[Mode Digit]],(Vout+(Rdson2+Rs+Rdcr)*Table16[[#This Row],[Iout]])/(Table16[[#This Row],[Vin]]+(Rs+Rdson2-Rdson1)*Table16[[#This Row],[Iout]]),1,Fsw*Table16[[#This Row],[t2_Ph_I]]+Table16[[#This Row],[t1_Ph_II]]))</f>
        <v>0.55183027371660986</v>
      </c>
      <c r="U163" s="345">
        <f>MIN(1,CHOOSE(Table16[[#This Row],[Mode Digit]],0,(Vout+(Rdson3+Rdcr)*Table16[[#This Row],[Iin]]-Table16[[#This Row],[Vin]])/(Vout+(Rdson3-Rdson4-Rs)*Table16[[#This Row],[Iin]]),Fsw*Table16[[#This Row],[t1_Ph_II]]+Table16[[#This Row],[t3_Ph_III]]))</f>
        <v>0</v>
      </c>
      <c r="V163" s="292">
        <f>MAX(Table16[[#This Row],[I_0]:[I_2]])-MIN(Table16[[#This Row],[I_0]:[I_1]])</f>
        <v>10.090698751657719</v>
      </c>
      <c r="W163"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8.5138230802261923</v>
      </c>
      <c r="X163" s="345">
        <f>(Table16[[#This Row],[Irms Lf]]^2*Rdcr*(1+Ltc*Ta-Ltc*25))/(1-Table16[[#This Row],[Irms Lf]]^2*Rdcr*Ltc*ThetaCa)</f>
        <v>0.23633812619490174</v>
      </c>
      <c r="Y163" s="345">
        <f>ABS(7.759*10^-3*Fsw^0.9458*(0.00787*Table16[[#This Row],[Ripple Current pk-pk]])^2.304)</f>
        <v>4.4826567386525324</v>
      </c>
      <c r="Z163" s="345">
        <f>Table16[[#This Row],[DCR    Loss]]+Table16[[#This Row],[Core Loss]]</f>
        <v>4.718994864847434</v>
      </c>
      <c r="AA163" s="292">
        <f>IF(Table16[[#This Row],[Vin]]&gt;Vout, Table16[[#This Row],[Ripple Current pk-pk]]/SQRT(12), SQRT(Table16[[#This Row],[Duty Cycle BOOST Leg]]/(1-Table16[[#This Row],[Duty Cycle BOOST Leg]]))*SQRT(Table16[[#This Row],[Iout]]^2+(Table16[[#This Row],[Ripple Current pk-pk]]^2)/12))</f>
        <v>2.9129338202905024</v>
      </c>
      <c r="AB163" s="345">
        <f>RCoutEsr*Table16[[#This Row],[Irms Cout]]^2</f>
        <v>1.6970366882784443E-2</v>
      </c>
      <c r="AC163" s="345">
        <f>Table16[[#This Row],[Cout ESR Loss]]</f>
        <v>1.6970366882784443E-2</v>
      </c>
      <c r="AD163" s="345">
        <f>IF(Table16[[#This Row],[Vin]]&gt;Vout, SQRT(Table16[[#This Row],[Duty Cycle BUCK Leg]]*(1-Table16[[#This Row],[Duty Cycle BUCK Leg]]))*SQRT(Table16[[#This Row],[Iout]]^2+(Table16[[#This Row],[Ripple Current pk-pk]]^2)/12), Table16[[#This Row],[Ripple Current pk-pk]]/SQRT(12))</f>
        <v>4.233978425887738</v>
      </c>
      <c r="AE163" s="345">
        <f>RCinEsr*Table16[[#This Row],[Irms Cin]]^2</f>
        <v>3.5853146621765621E-2</v>
      </c>
      <c r="AF163" s="683">
        <f>Table16[[#This Row],[Cin ESR Loss]]</f>
        <v>3.5853146621765621E-2</v>
      </c>
      <c r="AG163"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6.3245172637018037</v>
      </c>
      <c r="AH163" s="345">
        <f>Rdson1*Table16[[#This Row],[Irms BuCtrl]]^2</f>
        <v>0.13999831516601752</v>
      </c>
      <c r="AI163" s="345">
        <f>CHOOSE(Table16[[#This Row],[Mode Digit]], (Table16[[#This Row],[Vin]]*Table16[[#This Row],[Iout]]/2)*(Fsw)*(Tr_buck+Tf_buck), 0, (Table16[[#This Row],[Vin]]*Table16[[#This Row],[Avg IL]]/2)*(Fsw/1)*(Tr_buck+Tf_buck))</f>
        <v>0.87125614134285012</v>
      </c>
      <c r="AJ163" s="253">
        <f>IF(Table16[[#This Row],[Vin]]&gt;Vout, IF(Table16[[#This Row],[Iout]]&gt;Table16[[#This Row],[Ripple Current pk-pk]]/2,0,ABS(Table16[[#This Row],[Iout]]-Table16[[#This Row],[Ripple Current pk-pk]]/2)*Vsd_Q1*Deadtime*Fsw),0)</f>
        <v>0</v>
      </c>
      <c r="AK163" s="345">
        <f>(Table16[[#This Row],[Dead Time Loss BuCtrl]]+Table16[[#This Row],[Transition Loss BuCtrl]]+Table16[[#This Row],[RDS(on) Loss BuCtrl]]*(1+RdsonTopTc*Ta-RdsonTopTc*25))/(1-Table16[[#This Row],[RDS(on) Loss BuCtrl]]*RdsonTopTc*ThetaJA_Q1)</f>
        <v>1.0494541270115336</v>
      </c>
      <c r="AL163" s="345">
        <f>CHOOSE(Table16[[#This Row],[Mode Digit]],SQRT((Fsw*(Table16[[#This Row],[t2_Ph_I]]+0))*((Table16[[#This Row],[I_0]]*Table16[[#This Row],[I_1]]+((Table16[[#This Row],[I_0]]-Table16[[#This Row],[I_1]])^2)/3))),0,SQRT((Fsw*(Table16[[#This Row],[t3_Ph_III]]+0))*((Table16[[#This Row],[I_0]]*Table16[[#This Row],[I_2]]+((Table16[[#This Row],[I_0]]-Table16[[#This Row],[I_2]])^2)/3))))</f>
        <v>5.6996197085884672</v>
      </c>
      <c r="AM163" s="345">
        <f>Rdson2*Table16[[#This Row],[Irms BuSync]]^2</f>
        <v>0.1136998268788553</v>
      </c>
      <c r="AN163"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63" s="345">
        <f>(Table16[[#This Row],[Deadtime Loss BuSync]]+Table16[[#This Row],[RDS(on) Loss BuSync]]*(1+RdsonBotTc*Ta-RdsonBotTc*25))/(1-Table16[[#This Row],[RDS(on) Loss BuSync]]*RdsonBotTc*ThetaJA_Q2)</f>
        <v>0.36323784778520191</v>
      </c>
      <c r="AP163" s="345">
        <f>CHOOSE(Table16[[#This Row],[Mode Digit]],0,SQRT((Fsw*(Table16[[#This Row],[t1_Ph_II]]+0))*((Table16[[#This Row],[I_0]]*Table16[[#This Row],[I_1]]+((Table16[[#This Row],[I_0]]-Table16[[#This Row],[I_1]])^2)/3))),SQRT((Fsw*(Table16[[#This Row],[t2_Ph_I]]+0))*((Table16[[#This Row],[I_1]]*Table16[[#This Row],[I_2]]+((Table16[[#This Row],[I_1]]-Table16[[#This Row],[I_2]])^2)/3))))</f>
        <v>0</v>
      </c>
      <c r="AQ163" s="345">
        <f>Rdson4*Table16[[#This Row],[Irms BoCtlr]]^2</f>
        <v>0</v>
      </c>
      <c r="AR163" s="345">
        <f>CHOOSE(Table16[[#This Row],[Mode Digit]], 0, (Vout*Table16[[#This Row],[Iin]]/2)*(Fsw)*(Tr_boost+Tf_boost), (Vout*Iout/2)*(Fsw/1)*(Tr_boost+Tf_boost))</f>
        <v>0</v>
      </c>
      <c r="AS163" s="253">
        <f>IF(Table16[[#This Row],[Vin]]&gt;Vout, 0, IF(Table16[[#This Row],[Iin]]&gt;Table16[[#This Row],[Ripple Current pk-pk]]/2,0,ABS(Table16[[#This Row],[Iin]]-Table16[[#This Row],[Ripple Current pk-pk]]/2)*Vsd_Q4*Deadtime*Fsw))</f>
        <v>0</v>
      </c>
      <c r="AT163" s="345">
        <f>(Table16[[#This Row],[Dead Time Loss BoCtlr]]+Table16[[#This Row],[Transition Loss BoCtlr]]+Table16[[#This Row],[RDS(on) Loss BoCtlr]]*(1+RdsonTopTc*Ta-RdsonTopTc*25))/(1-Table16[[#This Row],[RDS(on) Loss BoCtlr]]*RdsonTopTc*ThetaJA_Q4)</f>
        <v>0</v>
      </c>
      <c r="AU163"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8.5138230802261923</v>
      </c>
      <c r="AV163" s="345">
        <f>Rdson3*Table16[[#This Row],[Irms BoSync]]^2</f>
        <v>0.25369814204487273</v>
      </c>
      <c r="AW163"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63" s="345">
        <f>(Table16[[#This Row],[Deadtime Loss BoSync]]+Table16[[#This Row],[RDS(on) Loss BoSync]]*(1+RdsonBotTc*Ta-RdsonBotTc*25))/(1-Table16[[#This Row],[RDS(on) Loss BoSync]]*RdsonBotTc*ThetaJA_Q3)</f>
        <v>0.27161422858239181</v>
      </c>
      <c r="AY163" s="345">
        <f>CHOOSE(Table16[[#This Row],[Mode Digit]], Rdson3*Table16[[#This Row],[Irms Lf]]^2, Rdson1*Table16[[#This Row],[Irms Lf]]^2, 0)</f>
        <v>0.25369814204487273</v>
      </c>
      <c r="AZ163" s="345">
        <f>CHOOSE(Table16[[#This Row],[Mode Digit]], 2*Deadtime*Fsw*IF(VfdSky_Q2&gt;0,VfdSky_Q2,0)*Table16[[#This Row],[Iout]], 2*Deadtime*Fsw*IF(VfdSky_Q3&gt;0,VfdSky_Q3,0)*Table16[[#This Row],[Iin]], 2*Deadtime*Fsw*IF(VfdSky_Q2&gt;0,VfdSky_Q2,0)*Table16[[#This Row],[Iout]]+2*Deadtime*Fsw*IF(VfdSky_Q3&gt;0,VfdSky_Q3,0)*Table16[[#This Row],[Iin]])</f>
        <v>0</v>
      </c>
      <c r="BA163" s="345">
        <f>CHOOSE(Table16[[#This Row],[Mode Digit]], IF(QrrSky_Q2&gt;0,QrrSky_Q2,Qrr_Q2)*Fsw*(Table16[[#This Row],[Vin]]-Table16[[#This Row],[Iout]]*Rdson1),0,  IF(QrrSky_Q2&gt;0,QrrSky_Q2,Qrr_Q2)*Fsw*(Table16[[#This Row],[Vin]]-Table16[[#This Row],[Iout]]*Rdson1)+IF(QrrSky_Q3&gt;0,QrrSky_Q3,Qrr_Q3)*Fsw*Vout)</f>
        <v>0.52067952000000006</v>
      </c>
      <c r="BB163" s="345">
        <f>CHOOSE(Table16[[#This Row],[Mode Digit]],0, IF(QrrSky_Q3&gt;0,QrrSky_Q3,Qrr_Q3)*Fsw*Vout,  IF(QrrSky_Q2&gt;0,QrrSky_Q2,Qrr_Q2)*Fsw*(Table16[[#This Row],[Vin]]-Table16[[#This Row],[Iout]]*Rdson1)+IF(QrrSky_Q3&gt;0,QrrSky_Q3,Qrr_Q3)*Fsw*Vout)</f>
        <v>0</v>
      </c>
      <c r="BC163" s="345">
        <f>CHOOSE(Table16[[#This Row],[Mode Digit]], Rs*Table16[[#This Row],[Irms BuSync]]^2, Rs*Table16[[#This Row],[Irms BoCtlr]]^2, Rs*(Table16[[#This Row],[Irms BuSync]]^2+Table16[[#This Row],[Irms BoCtlr]]^2))</f>
        <v>4.2231364269289105E-2</v>
      </c>
      <c r="BD163" s="345">
        <f t="shared" si="8"/>
        <v>0.64</v>
      </c>
      <c r="BE163" s="345">
        <f>IF(Vout&gt;8, Iq*Vout, Iq*Table16[[#This Row],[Vin]])</f>
        <v>4.8000000000000001E-2</v>
      </c>
      <c r="BF163" s="345">
        <f>CHOOSE(Table16[[#This Row],[Mode Digit]], (Qg_Q1+Qg_Q2)*Fsw, (Qg_Q3+Qg_Q4)*Fsw, (Qg_Q1+Qg_Q2+Qg_Q3+Qg_Q4)*Fsw)*IF(Vout&gt;8, Vout, Table16[[#This Row],[Vin]])</f>
        <v>0.85331200000000007</v>
      </c>
      <c r="BG163" s="345">
        <f t="shared" si="9"/>
        <v>0.50594479787234037</v>
      </c>
      <c r="BH163" s="345">
        <f>Table16[[#This Row],[IQ Loss]]+Table16[[#This Row],[Switching Current Loss]]</f>
        <v>0.90131200000000011</v>
      </c>
      <c r="BI163"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8.5603474660004011</v>
      </c>
      <c r="BJ163" s="253">
        <f>Vout*Table16[[#This Row],[Iout]]</f>
        <v>128</v>
      </c>
      <c r="BK163" s="684">
        <f>Table16[[#This Row],[Pout]]/(Table16[[#This Row],[Pout]]+Table16[[#This Row],[Total Loss]])</f>
        <v>0.93731454536514214</v>
      </c>
      <c r="BL163"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68.214518255749681</v>
      </c>
      <c r="BM163" s="685">
        <f>IF(Table16[[#This Row],[Vin]]&gt;Vout, Table16[[#This Row],[Total Sync Bu MOSFET Loss]]*ThetaJA_Q2, ThetaJA_Q3*Table16[[#This Row],[Total Sync Bo MOSFET Loss]])</f>
        <v>23.610460106038126</v>
      </c>
      <c r="BN163" s="640"/>
      <c r="BO163" s="292">
        <f>Table16[[#This Row],[EFF, h]]*100</f>
        <v>93.731454536514207</v>
      </c>
      <c r="BP163" s="345">
        <f>Table16[[#This Row],[Total Inductor Loss]]</f>
        <v>4.718994864847434</v>
      </c>
      <c r="BQ163" s="345">
        <f>Table16[[#This Row],[Total Control Bu MOSFET Loss]]+Table16[[#This Row],[Total Sync Bu MOSFET Loss]]+Table16[[#This Row],[Total Control Bo MOSFET Loss]]+Table16[[#This Row],[Total Sync Bo MOSFET Loss]]+Table16[[#This Row],[Reverse Recovery Loss MOSFET D BUCK]]+Table16[[#This Row],[Reverse Recovery Loss MOSFET D BOOST]]</f>
        <v>2.204985723379127</v>
      </c>
      <c r="BR163" s="345">
        <f>Table16[[#This Row],[Total Control Bu MOSFET Loss]]+Table16[[#This Row],[Reverse Recovery Loss MOSFET D BUCK]]*0.66</f>
        <v>1.3931026102115336</v>
      </c>
      <c r="BS163" s="345">
        <f>Table16[[#This Row],[Total Sync Bu MOSFET Loss]]+Table16[[#This Row],[Reverse Recovery Loss MOSFET D BUCK]]*0.33</f>
        <v>0.53506208938520194</v>
      </c>
      <c r="BT163" s="345">
        <f xml:space="preserve"> Table16[[#This Row],[Total Control Bo MOSFET Loss]]+Table16[[#This Row],[Reverse Recovery Loss MOSFET D BOOST]]*0.66</f>
        <v>0</v>
      </c>
      <c r="BU163" s="345">
        <f xml:space="preserve"> Table16[[#This Row],[Total Sync Bo MOSFET Loss]]+Table16[[#This Row],[Reverse Recovery Loss MOSFET D BOOST]]*0.33</f>
        <v>0.27161422858239181</v>
      </c>
      <c r="BV163" s="345">
        <f>Table16[[#This Row],[Isense Shunt Loss]]</f>
        <v>4.2231364269289105E-2</v>
      </c>
    </row>
    <row r="164" spans="7:74" x14ac:dyDescent="0.2">
      <c r="G164" s="253">
        <v>155</v>
      </c>
      <c r="H164" s="286">
        <f>VIN_min+(VIN_max-VIN_min)*(Table16[[#This Row],[Step]]/200)</f>
        <v>29.25</v>
      </c>
      <c r="I164" s="292" t="str">
        <f>IF(Mode = 2,IF(Table16[[#This Row],[Vin]]&gt;Vout, "BUCK","BOOST"),IF(Table16[[#This Row],[Vin]]&gt;VIN_BB_to_buck, "BUCK", IF(Table16[[#This Row],[Vin]]&lt;=VIN_boost_to_BB,"BOOST","BUCK-BST")))</f>
        <v>BUCK</v>
      </c>
      <c r="J164" s="253">
        <f>IF(Table16[[#This Row],[Mode]]="BOOST",2, IF(Table16[[#This Row],[Mode]]="BUCK", 1,3))</f>
        <v>1</v>
      </c>
      <c r="K164" s="253">
        <f t="shared" si="7"/>
        <v>8</v>
      </c>
      <c r="L164" s="292">
        <f>Vout*Table16[[#This Row],[Iout]]/(Table16[[#This Row],[Vin]]*Efficiency)</f>
        <v>4.6063877642825011</v>
      </c>
      <c r="M164" s="682">
        <f>MIN(1/Fsw,CHOOSE(Table16[[#This Row],[Mode Digit]],(Vout+(Rdson2+Rs+Rdcr)*Table16[[#This Row],[Iout]])/(Table16[[#This Row],[Vin]]+(Rs+Rdson2-Rdson1)*Table16[[#This Row],[Iout]])/Fsw,(Vout+(Rdson3+Rdcr)*Table16[[#This Row],[Iin]]-Table16[[#This Row],[Vin]])/(Vout+(Rdson3-Rdson4-Rs)*Table16[[#This Row],[Iin]])/Fsw,t1_Ph_II))</f>
        <v>1.3794004540343307E-6</v>
      </c>
      <c r="N164" s="518">
        <f>CHOOSE(Table16[[#This Row],[Mode Digit]],1/Fsw-Table16[[#This Row],[t1_Ph_II]],1/Fsw-Table16[[#This Row],[t1_Ph_II]],(Vout/Fsw-Table16[[#This Row],[Vin]]*t1_Ph_II)/(Table16[[#This Row],[Vin]]+Vout))</f>
        <v>1.1331623600360212E-6</v>
      </c>
      <c r="O164" s="518">
        <f>1/Fsw-(Table16[[#This Row],[t1_Ph_II]]+Table16[[#This Row],[t2_Ph_I]])</f>
        <v>0</v>
      </c>
      <c r="P164"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2.9230399955680895</v>
      </c>
      <c r="Q164" s="292">
        <f>CHOOSE(Table16[[#This Row],[Mode Digit]],Table16[[#This Row],[I_0]]+1/Lf*(Table16[[#This Row],[Vin]]-Vout)*Table16[[#This Row],[t1_Ph_II]],Table16[[#This Row],[I_0]]+1/Lf*Table16[[#This Row],[Vin]]*Table16[[#This Row],[t1_Ph_II]],Table16[[#This Row],[I_0]]+(Table16[[#This Row],[Vin]]-Vout)/L*Table16[[#This Row],[t1_Ph_II]])</f>
        <v>13.076960004431911</v>
      </c>
      <c r="R164" s="292">
        <f>CHOOSE(Table16[[#This Row],[Mode Digit]],0,0,Table16[[#This Row],[I_1]]+Table16[[#This Row],[Vin]]/L*Table16[[#This Row],[t2_Ph_I]])</f>
        <v>0</v>
      </c>
      <c r="S164" s="292">
        <f>Fsw*(Table16[[#This Row],[I_0]]*Table16[[#This Row],[t1_Ph_II]]+Table16[[#This Row],[I_1]]*Table16[[#This Row],[t2_Ph_I]]+Table16[[#This Row],[I_2]]*Table16[[#This Row],[t3_Ph_III]])</f>
        <v>7.5024438999908103</v>
      </c>
      <c r="T164" s="345">
        <f>MIN(1,CHOOSE(Table16[[#This Row],[Mode Digit]],(Vout+(Rdson2+Rs+Rdcr)*Table16[[#This Row],[Iout]])/(Table16[[#This Row],[Vin]]+(Rs+Rdson2-Rdson1)*Table16[[#This Row],[Iout]]),1,Fsw*Table16[[#This Row],[t2_Ph_I]]+Table16[[#This Row],[t1_Ph_II]]))</f>
        <v>0.54900138070566362</v>
      </c>
      <c r="U164" s="345">
        <f>MIN(1,CHOOSE(Table16[[#This Row],[Mode Digit]],0,(Vout+(Rdson3+Rdcr)*Table16[[#This Row],[Iin]]-Table16[[#This Row],[Vin]])/(Vout+(Rdson3-Rdson4-Rs)*Table16[[#This Row],[Iin]]),Fsw*Table16[[#This Row],[t1_Ph_II]]+Table16[[#This Row],[t3_Ph_III]]))</f>
        <v>0</v>
      </c>
      <c r="V164" s="292">
        <f>MAX(Table16[[#This Row],[I_0]:[I_2]])-MIN(Table16[[#This Row],[I_0]:[I_1]])</f>
        <v>10.153920008863821</v>
      </c>
      <c r="W164"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8.5200845630897604</v>
      </c>
      <c r="X164" s="345">
        <f>(Table16[[#This Row],[Irms Lf]]^2*Rdcr*(1+Ltc*Ta-Ltc*25))/(1-Table16[[#This Row],[Irms Lf]]^2*Rdcr*Ltc*ThetaCa)</f>
        <v>0.23669246823385293</v>
      </c>
      <c r="Y164" s="345">
        <f>ABS(7.759*10^-3*Fsw^0.9458*(0.00787*Table16[[#This Row],[Ripple Current pk-pk]])^2.304)</f>
        <v>4.5476295164757969</v>
      </c>
      <c r="Z164" s="345">
        <f>Table16[[#This Row],[DCR    Loss]]+Table16[[#This Row],[Core Loss]]</f>
        <v>4.7843219847096501</v>
      </c>
      <c r="AA164" s="292">
        <f>IF(Table16[[#This Row],[Vin]]&gt;Vout, Table16[[#This Row],[Ripple Current pk-pk]]/SQRT(12), SQRT(Table16[[#This Row],[Duty Cycle BOOST Leg]]/(1-Table16[[#This Row],[Duty Cycle BOOST Leg]]))*SQRT(Table16[[#This Row],[Iout]]^2+(Table16[[#This Row],[Ripple Current pk-pk]]^2)/12))</f>
        <v>2.9311842252237272</v>
      </c>
      <c r="AB164" s="345">
        <f>RCoutEsr*Table16[[#This Row],[Irms Cout]]^2</f>
        <v>1.7183681924400843E-2</v>
      </c>
      <c r="AC164" s="345">
        <f>Table16[[#This Row],[Cout ESR Loss]]</f>
        <v>1.7183681924400843E-2</v>
      </c>
      <c r="AD164" s="345">
        <f>IF(Table16[[#This Row],[Vin]]&gt;Vout, SQRT(Table16[[#This Row],[Duty Cycle BUCK Leg]]*(1-Table16[[#This Row],[Duty Cycle BUCK Leg]]))*SQRT(Table16[[#This Row],[Iout]]^2+(Table16[[#This Row],[Ripple Current pk-pk]]^2)/12), Table16[[#This Row],[Ripple Current pk-pk]]/SQRT(12))</f>
        <v>4.2395350461956109</v>
      </c>
      <c r="AE164" s="345">
        <f>RCinEsr*Table16[[#This Row],[Irms Cin]]^2</f>
        <v>3.5947314815841645E-2</v>
      </c>
      <c r="AF164" s="683">
        <f>Table16[[#This Row],[Cin ESR Loss]]</f>
        <v>3.5947314815841645E-2</v>
      </c>
      <c r="AG164"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6.3129249097556972</v>
      </c>
      <c r="AH164" s="345">
        <f>Rdson1*Table16[[#This Row],[Irms BuCtrl]]^2</f>
        <v>0.13948557320674893</v>
      </c>
      <c r="AI164" s="345">
        <f>CHOOSE(Table16[[#This Row],[Mode Digit]], (Table16[[#This Row],[Vin]]*Table16[[#This Row],[Iout]]/2)*(Fsw)*(Tr_buck+Tf_buck), 0, (Table16[[#This Row],[Vin]]*Table16[[#This Row],[Avg IL]]/2)*(Fsw/1)*(Tr_buck+Tf_buck))</f>
        <v>0.87574715238069989</v>
      </c>
      <c r="AJ164" s="253">
        <f>IF(Table16[[#This Row],[Vin]]&gt;Vout, IF(Table16[[#This Row],[Iout]]&gt;Table16[[#This Row],[Ripple Current pk-pk]]/2,0,ABS(Table16[[#This Row],[Iout]]-Table16[[#This Row],[Ripple Current pk-pk]]/2)*Vsd_Q1*Deadtime*Fsw),0)</f>
        <v>0</v>
      </c>
      <c r="AK164" s="345">
        <f>(Table16[[#This Row],[Dead Time Loss BuCtrl]]+Table16[[#This Row],[Transition Loss BuCtrl]]+Table16[[#This Row],[RDS(on) Loss BuCtrl]]*(1+RdsonTopTc*Ta-RdsonTopTc*25))/(1-Table16[[#This Row],[RDS(on) Loss BuCtrl]]*RdsonTopTc*ThetaJA_Q1)</f>
        <v>1.0534369316936036</v>
      </c>
      <c r="AL164" s="345">
        <f>CHOOSE(Table16[[#This Row],[Mode Digit]],SQRT((Fsw*(Table16[[#This Row],[t2_Ph_I]]+0))*((Table16[[#This Row],[I_0]]*Table16[[#This Row],[I_1]]+((Table16[[#This Row],[I_0]]-Table16[[#This Row],[I_1]])^2)/3))),0,SQRT((Fsw*(Table16[[#This Row],[t3_Ph_III]]+0))*((Table16[[#This Row],[I_0]]*Table16[[#This Row],[I_2]]+((Table16[[#This Row],[I_0]]-Table16[[#This Row],[I_2]])^2)/3))))</f>
        <v>5.7217846906351211</v>
      </c>
      <c r="AM164" s="345">
        <f>Rdson2*Table16[[#This Row],[Irms BuSync]]^2</f>
        <v>0.11458587016095258</v>
      </c>
      <c r="AN164"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64" s="345">
        <f>(Table16[[#This Row],[Deadtime Loss BuSync]]+Table16[[#This Row],[RDS(on) Loss BuSync]]*(1+RdsonBotTc*Ta-RdsonBotTc*25))/(1-Table16[[#This Row],[RDS(on) Loss BuSync]]*RdsonBotTc*ThetaJA_Q2)</f>
        <v>0.36423734806393882</v>
      </c>
      <c r="AP164" s="345">
        <f>CHOOSE(Table16[[#This Row],[Mode Digit]],0,SQRT((Fsw*(Table16[[#This Row],[t1_Ph_II]]+0))*((Table16[[#This Row],[I_0]]*Table16[[#This Row],[I_1]]+((Table16[[#This Row],[I_0]]-Table16[[#This Row],[I_1]])^2)/3))),SQRT((Fsw*(Table16[[#This Row],[t2_Ph_I]]+0))*((Table16[[#This Row],[I_1]]*Table16[[#This Row],[I_2]]+((Table16[[#This Row],[I_1]]-Table16[[#This Row],[I_2]])^2)/3))))</f>
        <v>0</v>
      </c>
      <c r="AQ164" s="345">
        <f>Rdson4*Table16[[#This Row],[Irms BoCtlr]]^2</f>
        <v>0</v>
      </c>
      <c r="AR164" s="345">
        <f>CHOOSE(Table16[[#This Row],[Mode Digit]], 0, (Vout*Table16[[#This Row],[Iin]]/2)*(Fsw)*(Tr_boost+Tf_boost), (Vout*Iout/2)*(Fsw/1)*(Tr_boost+Tf_boost))</f>
        <v>0</v>
      </c>
      <c r="AS164" s="253">
        <f>IF(Table16[[#This Row],[Vin]]&gt;Vout, 0, IF(Table16[[#This Row],[Iin]]&gt;Table16[[#This Row],[Ripple Current pk-pk]]/2,0,ABS(Table16[[#This Row],[Iin]]-Table16[[#This Row],[Ripple Current pk-pk]]/2)*Vsd_Q4*Deadtime*Fsw))</f>
        <v>0</v>
      </c>
      <c r="AT164" s="345">
        <f>(Table16[[#This Row],[Dead Time Loss BoCtlr]]+Table16[[#This Row],[Transition Loss BoCtlr]]+Table16[[#This Row],[RDS(on) Loss BoCtlr]]*(1+RdsonTopTc*Ta-RdsonTopTc*25))/(1-Table16[[#This Row],[RDS(on) Loss BoCtlr]]*RdsonTopTc*ThetaJA_Q4)</f>
        <v>0</v>
      </c>
      <c r="AU164"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8.5200845630897604</v>
      </c>
      <c r="AV164" s="345">
        <f>Rdson3*Table16[[#This Row],[Irms BoSync]]^2</f>
        <v>0.25407144336770154</v>
      </c>
      <c r="AW164"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64" s="345">
        <f>(Table16[[#This Row],[Deadtime Loss BoSync]]+Table16[[#This Row],[RDS(on) Loss BoSync]]*(1+RdsonBotTc*Ta-RdsonBotTc*25))/(1-Table16[[#This Row],[RDS(on) Loss BoSync]]*RdsonBotTc*ThetaJA_Q3)</f>
        <v>0.2720421609338905</v>
      </c>
      <c r="AY164" s="345">
        <f>CHOOSE(Table16[[#This Row],[Mode Digit]], Rdson3*Table16[[#This Row],[Irms Lf]]^2, Rdson1*Table16[[#This Row],[Irms Lf]]^2, 0)</f>
        <v>0.25407144336770154</v>
      </c>
      <c r="AZ164" s="345">
        <f>CHOOSE(Table16[[#This Row],[Mode Digit]], 2*Deadtime*Fsw*IF(VfdSky_Q2&gt;0,VfdSky_Q2,0)*Table16[[#This Row],[Iout]], 2*Deadtime*Fsw*IF(VfdSky_Q3&gt;0,VfdSky_Q3,0)*Table16[[#This Row],[Iin]], 2*Deadtime*Fsw*IF(VfdSky_Q2&gt;0,VfdSky_Q2,0)*Table16[[#This Row],[Iout]]+2*Deadtime*Fsw*IF(VfdSky_Q3&gt;0,VfdSky_Q3,0)*Table16[[#This Row],[Iin]])</f>
        <v>0</v>
      </c>
      <c r="BA164" s="345">
        <f>CHOOSE(Table16[[#This Row],[Mode Digit]], IF(QrrSky_Q2&gt;0,QrrSky_Q2,Qrr_Q2)*Fsw*(Table16[[#This Row],[Vin]]-Table16[[#This Row],[Iout]]*Rdson1),0,  IF(QrrSky_Q2&gt;0,QrrSky_Q2,Qrr_Q2)*Fsw*(Table16[[#This Row],[Vin]]-Table16[[#This Row],[Iout]]*Rdson1)+IF(QrrSky_Q3&gt;0,QrrSky_Q3,Qrr_Q3)*Fsw*Vout)</f>
        <v>0.52336601999999999</v>
      </c>
      <c r="BB164" s="345">
        <f>CHOOSE(Table16[[#This Row],[Mode Digit]],0, IF(QrrSky_Q3&gt;0,QrrSky_Q3,Qrr_Q3)*Fsw*Vout,  IF(QrrSky_Q2&gt;0,QrrSky_Q2,Qrr_Q2)*Fsw*(Table16[[#This Row],[Vin]]-Table16[[#This Row],[Iout]]*Rdson1)+IF(QrrSky_Q3&gt;0,QrrSky_Q3,Qrr_Q3)*Fsw*Vout)</f>
        <v>0</v>
      </c>
      <c r="BC164" s="345">
        <f>CHOOSE(Table16[[#This Row],[Mode Digit]], Rs*Table16[[#This Row],[Irms BuSync]]^2, Rs*Table16[[#This Row],[Irms BoCtlr]]^2, Rs*(Table16[[#This Row],[Irms BuSync]]^2+Table16[[#This Row],[Irms BoCtlr]]^2))</f>
        <v>4.2560466059782386E-2</v>
      </c>
      <c r="BD164" s="345">
        <f t="shared" si="8"/>
        <v>0.64</v>
      </c>
      <c r="BE164" s="345">
        <f>IF(Vout&gt;8, Iq*Vout, Iq*Table16[[#This Row],[Vin]])</f>
        <v>4.8000000000000001E-2</v>
      </c>
      <c r="BF164" s="345">
        <f>CHOOSE(Table16[[#This Row],[Mode Digit]], (Qg_Q1+Qg_Q2)*Fsw, (Qg_Q3+Qg_Q4)*Fsw, (Qg_Q1+Qg_Q2+Qg_Q3+Qg_Q4)*Fsw)*IF(Vout&gt;8, Vout, Table16[[#This Row],[Vin]])</f>
        <v>0.85331200000000007</v>
      </c>
      <c r="BG164" s="345">
        <f t="shared" si="9"/>
        <v>0.50594479787234037</v>
      </c>
      <c r="BH164" s="345">
        <f>Table16[[#This Row],[IQ Loss]]+Table16[[#This Row],[Switching Current Loss]]</f>
        <v>0.90131200000000011</v>
      </c>
      <c r="BI164"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8.6344079082011085</v>
      </c>
      <c r="BJ164" s="253">
        <f>Vout*Table16[[#This Row],[Iout]]</f>
        <v>128</v>
      </c>
      <c r="BK164" s="684">
        <f>Table16[[#This Row],[Pout]]/(Table16[[#This Row],[Pout]]+Table16[[#This Row],[Total Loss]])</f>
        <v>0.93680648937270472</v>
      </c>
      <c r="BL164"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68.473400560084229</v>
      </c>
      <c r="BM164" s="685">
        <f>IF(Table16[[#This Row],[Vin]]&gt;Vout, Table16[[#This Row],[Total Sync Bu MOSFET Loss]]*ThetaJA_Q2, ThetaJA_Q3*Table16[[#This Row],[Total Sync Bo MOSFET Loss]])</f>
        <v>23.675427624156022</v>
      </c>
      <c r="BN164" s="640"/>
      <c r="BO164" s="292">
        <f>Table16[[#This Row],[EFF, h]]*100</f>
        <v>93.680648937270476</v>
      </c>
      <c r="BP164" s="345">
        <f>Table16[[#This Row],[Total Inductor Loss]]</f>
        <v>4.7843219847096501</v>
      </c>
      <c r="BQ164" s="345">
        <f>Table16[[#This Row],[Total Control Bu MOSFET Loss]]+Table16[[#This Row],[Total Sync Bu MOSFET Loss]]+Table16[[#This Row],[Total Control Bo MOSFET Loss]]+Table16[[#This Row],[Total Sync Bo MOSFET Loss]]+Table16[[#This Row],[Reverse Recovery Loss MOSFET D BUCK]]+Table16[[#This Row],[Reverse Recovery Loss MOSFET D BOOST]]</f>
        <v>2.213082460691433</v>
      </c>
      <c r="BR164" s="345">
        <f>Table16[[#This Row],[Total Control Bu MOSFET Loss]]+Table16[[#This Row],[Reverse Recovery Loss MOSFET D BUCK]]*0.66</f>
        <v>1.3988585048936035</v>
      </c>
      <c r="BS164" s="345">
        <f>Table16[[#This Row],[Total Sync Bu MOSFET Loss]]+Table16[[#This Row],[Reverse Recovery Loss MOSFET D BUCK]]*0.33</f>
        <v>0.53694813466393887</v>
      </c>
      <c r="BT164" s="345">
        <f xml:space="preserve"> Table16[[#This Row],[Total Control Bo MOSFET Loss]]+Table16[[#This Row],[Reverse Recovery Loss MOSFET D BOOST]]*0.66</f>
        <v>0</v>
      </c>
      <c r="BU164" s="345">
        <f xml:space="preserve"> Table16[[#This Row],[Total Sync Bo MOSFET Loss]]+Table16[[#This Row],[Reverse Recovery Loss MOSFET D BOOST]]*0.33</f>
        <v>0.2720421609338905</v>
      </c>
      <c r="BV164" s="345">
        <f>Table16[[#This Row],[Isense Shunt Loss]]</f>
        <v>4.2560466059782386E-2</v>
      </c>
    </row>
    <row r="165" spans="7:74" x14ac:dyDescent="0.2">
      <c r="G165" s="253">
        <v>156</v>
      </c>
      <c r="H165" s="286">
        <f>VIN_min+(VIN_max-VIN_min)*(Table16[[#This Row],[Step]]/200)</f>
        <v>29.400000000000002</v>
      </c>
      <c r="I165" s="292" t="str">
        <f>IF(Mode = 2,IF(Table16[[#This Row],[Vin]]&gt;Vout, "BUCK","BOOST"),IF(Table16[[#This Row],[Vin]]&gt;VIN_BB_to_buck, "BUCK", IF(Table16[[#This Row],[Vin]]&lt;=VIN_boost_to_BB,"BOOST","BUCK-BST")))</f>
        <v>BUCK</v>
      </c>
      <c r="J165" s="253">
        <f>IF(Table16[[#This Row],[Mode]]="BOOST",2, IF(Table16[[#This Row],[Mode]]="BUCK", 1,3))</f>
        <v>1</v>
      </c>
      <c r="K165" s="253">
        <f t="shared" si="7"/>
        <v>8</v>
      </c>
      <c r="L165" s="292">
        <f>Vout*Table16[[#This Row],[Iout]]/(Table16[[#This Row],[Vin]]*Efficiency)</f>
        <v>4.5828857858933043</v>
      </c>
      <c r="M165" s="682">
        <f>MIN(1/Fsw,CHOOSE(Table16[[#This Row],[Mode Digit]],(Vout+(Rdson2+Rs+Rdcr)*Table16[[#This Row],[Iout]])/(Table16[[#This Row],[Vin]]+(Rs+Rdson2-Rdson1)*Table16[[#This Row],[Iout]])/Fsw,(Vout+(Rdson3+Rdcr)*Table16[[#This Row],[Iin]]-Table16[[#This Row],[Vin]])/(Vout+(Rdson3-Rdson4-Rs)*Table16[[#This Row],[Iin]])/Fsw,t1_Ph_II))</f>
        <v>1.3723651852822856E-6</v>
      </c>
      <c r="N165" s="518">
        <f>CHOOSE(Table16[[#This Row],[Mode Digit]],1/Fsw-Table16[[#This Row],[t1_Ph_II]],1/Fsw-Table16[[#This Row],[t1_Ph_II]],(Vout/Fsw-Table16[[#This Row],[Vin]]*t1_Ph_II)/(Table16[[#This Row],[Vin]]+Vout))</f>
        <v>1.1401976287880663E-6</v>
      </c>
      <c r="O165" s="518">
        <f>1/Fsw-(Table16[[#This Row],[t1_Ph_II]]+Table16[[#This Row],[t2_Ph_I]])</f>
        <v>0</v>
      </c>
      <c r="P165"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2.8917518103381585</v>
      </c>
      <c r="Q165" s="292">
        <f>CHOOSE(Table16[[#This Row],[Mode Digit]],Table16[[#This Row],[I_0]]+1/Lf*(Table16[[#This Row],[Vin]]-Vout)*Table16[[#This Row],[t1_Ph_II]],Table16[[#This Row],[I_0]]+1/Lf*Table16[[#This Row],[Vin]]*Table16[[#This Row],[t1_Ph_II]],Table16[[#This Row],[I_0]]+(Table16[[#This Row],[Vin]]-Vout)/L*Table16[[#This Row],[t1_Ph_II]])</f>
        <v>13.108248189661841</v>
      </c>
      <c r="R165" s="292">
        <f>CHOOSE(Table16[[#This Row],[Mode Digit]],0,0,Table16[[#This Row],[I_1]]+Table16[[#This Row],[Vin]]/L*Table16[[#This Row],[t2_Ph_I]])</f>
        <v>0</v>
      </c>
      <c r="S165" s="292">
        <f>Fsw*(Table16[[#This Row],[I_0]]*Table16[[#This Row],[t1_Ph_II]]+Table16[[#This Row],[I_1]]*Table16[[#This Row],[t2_Ph_I]]+Table16[[#This Row],[I_2]]*Table16[[#This Row],[t3_Ph_III]])</f>
        <v>7.5279841389363957</v>
      </c>
      <c r="T165" s="345">
        <f>MIN(1,CHOOSE(Table16[[#This Row],[Mode Digit]],(Vout+(Rdson2+Rs+Rdcr)*Table16[[#This Row],[Iout]])/(Table16[[#This Row],[Vin]]+(Rs+Rdson2-Rdson1)*Table16[[#This Row],[Iout]]),1,Fsw*Table16[[#This Row],[t2_Ph_I]]+Table16[[#This Row],[t1_Ph_II]]))</f>
        <v>0.54620134374234963</v>
      </c>
      <c r="U165" s="345">
        <f>MIN(1,CHOOSE(Table16[[#This Row],[Mode Digit]],0,(Vout+(Rdson3+Rdcr)*Table16[[#This Row],[Iin]]-Table16[[#This Row],[Vin]])/(Vout+(Rdson3-Rdson4-Rs)*Table16[[#This Row],[Iin]]),Fsw*Table16[[#This Row],[t1_Ph_II]]+Table16[[#This Row],[t3_Ph_III]]))</f>
        <v>0</v>
      </c>
      <c r="V165" s="292">
        <f>MAX(Table16[[#This Row],[I_0]:[I_2]])-MIN(Table16[[#This Row],[I_0]:[I_1]])</f>
        <v>10.216496379323683</v>
      </c>
      <c r="W165"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8.5263161167291059</v>
      </c>
      <c r="X165" s="345">
        <f>(Table16[[#This Row],[Irms Lf]]^2*Rdcr*(1+Ltc*Ta-Ltc*25))/(1-Table16[[#This Row],[Irms Lf]]^2*Rdcr*Ltc*ThetaCa)</f>
        <v>0.23704539479280795</v>
      </c>
      <c r="Y165" s="345">
        <f>ABS(7.759*10^-3*Fsw^0.9458*(0.00787*Table16[[#This Row],[Ripple Current pk-pk]])^2.304)</f>
        <v>4.6124611289880733</v>
      </c>
      <c r="Z165" s="345">
        <f>Table16[[#This Row],[DCR    Loss]]+Table16[[#This Row],[Core Loss]]</f>
        <v>4.8495065237808817</v>
      </c>
      <c r="AA165" s="292">
        <f>IF(Table16[[#This Row],[Vin]]&gt;Vout, Table16[[#This Row],[Ripple Current pk-pk]]/SQRT(12), SQRT(Table16[[#This Row],[Duty Cycle BOOST Leg]]/(1-Table16[[#This Row],[Duty Cycle BOOST Leg]]))*SQRT(Table16[[#This Row],[Iout]]^2+(Table16[[#This Row],[Ripple Current pk-pk]]^2)/12))</f>
        <v>2.9492484673886827</v>
      </c>
      <c r="AB165" s="345">
        <f>RCoutEsr*Table16[[#This Row],[Irms Cout]]^2</f>
        <v>1.739613304478899E-2</v>
      </c>
      <c r="AC165" s="345">
        <f>Table16[[#This Row],[Cout ESR Loss]]</f>
        <v>1.739613304478899E-2</v>
      </c>
      <c r="AD165" s="345">
        <f>IF(Table16[[#This Row],[Vin]]&gt;Vout, SQRT(Table16[[#This Row],[Duty Cycle BUCK Leg]]*(1-Table16[[#This Row],[Duty Cycle BUCK Leg]]))*SQRT(Table16[[#This Row],[Iout]]^2+(Table16[[#This Row],[Ripple Current pk-pk]]^2)/12), Table16[[#This Row],[Ripple Current pk-pk]]/SQRT(12))</f>
        <v>4.2449190737912783</v>
      </c>
      <c r="AE165" s="345">
        <f>RCinEsr*Table16[[#This Row],[Irms Cin]]^2</f>
        <v>3.6038675886074012E-2</v>
      </c>
      <c r="AF165" s="683">
        <f>Table16[[#This Row],[Cin ESR Loss]]</f>
        <v>3.6038675886074012E-2</v>
      </c>
      <c r="AG165"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6.3014110818135487</v>
      </c>
      <c r="AH165" s="345">
        <f>Rdson1*Table16[[#This Row],[Irms BuCtrl]]^2</f>
        <v>0.13897723567700909</v>
      </c>
      <c r="AI165" s="345">
        <f>CHOOSE(Table16[[#This Row],[Mode Digit]], (Table16[[#This Row],[Vin]]*Table16[[#This Row],[Iout]]/2)*(Fsw)*(Tr_buck+Tf_buck), 0, (Table16[[#This Row],[Vin]]*Table16[[#This Row],[Avg IL]]/2)*(Fsw/1)*(Tr_buck+Tf_buck))</f>
        <v>0.88023816341854966</v>
      </c>
      <c r="AJ165" s="253">
        <f>IF(Table16[[#This Row],[Vin]]&gt;Vout, IF(Table16[[#This Row],[Iout]]&gt;Table16[[#This Row],[Ripple Current pk-pk]]/2,0,ABS(Table16[[#This Row],[Iout]]-Table16[[#This Row],[Ripple Current pk-pk]]/2)*Vsd_Q1*Deadtime*Fsw),0)</f>
        <v>0</v>
      </c>
      <c r="AK165" s="345">
        <f>(Table16[[#This Row],[Dead Time Loss BuCtrl]]+Table16[[#This Row],[Transition Loss BuCtrl]]+Table16[[#This Row],[RDS(on) Loss BuCtrl]]*(1+RdsonTopTc*Ta-RdsonTopTc*25))/(1-Table16[[#This Row],[RDS(on) Loss BuCtrl]]*RdsonTopTc*ThetaJA_Q1)</f>
        <v>1.0574244604943144</v>
      </c>
      <c r="AL165" s="345">
        <f>CHOOSE(Table16[[#This Row],[Mode Digit]],SQRT((Fsw*(Table16[[#This Row],[t2_Ph_I]]+0))*((Table16[[#This Row],[I_0]]*Table16[[#This Row],[I_1]]+((Table16[[#This Row],[I_0]]-Table16[[#This Row],[I_1]])^2)/3))),0,SQRT((Fsw*(Table16[[#This Row],[t3_Ph_III]]+0))*((Table16[[#This Row],[I_0]]*Table16[[#This Row],[I_2]]+((Table16[[#This Row],[I_0]]-Table16[[#This Row],[I_2]])^2)/3))))</f>
        <v>5.7437169934104428</v>
      </c>
      <c r="AM165" s="345">
        <f>Rdson2*Table16[[#This Row],[Irms BuSync]]^2</f>
        <v>0.11546599715137165</v>
      </c>
      <c r="AN165"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65" s="345">
        <f>(Table16[[#This Row],[Deadtime Loss BuSync]]+Table16[[#This Row],[RDS(on) Loss BuSync]]*(1+RdsonBotTc*Ta-RdsonBotTc*25))/(1-Table16[[#This Row],[RDS(on) Loss BuSync]]*RdsonBotTc*ThetaJA_Q2)</f>
        <v>0.36523064449618919</v>
      </c>
      <c r="AP165" s="345">
        <f>CHOOSE(Table16[[#This Row],[Mode Digit]],0,SQRT((Fsw*(Table16[[#This Row],[t1_Ph_II]]+0))*((Table16[[#This Row],[I_0]]*Table16[[#This Row],[I_1]]+((Table16[[#This Row],[I_0]]-Table16[[#This Row],[I_1]])^2)/3))),SQRT((Fsw*(Table16[[#This Row],[t2_Ph_I]]+0))*((Table16[[#This Row],[I_1]]*Table16[[#This Row],[I_2]]+((Table16[[#This Row],[I_1]]-Table16[[#This Row],[I_2]])^2)/3))))</f>
        <v>0</v>
      </c>
      <c r="AQ165" s="345">
        <f>Rdson4*Table16[[#This Row],[Irms BoCtlr]]^2</f>
        <v>0</v>
      </c>
      <c r="AR165" s="345">
        <f>CHOOSE(Table16[[#This Row],[Mode Digit]], 0, (Vout*Table16[[#This Row],[Iin]]/2)*(Fsw)*(Tr_boost+Tf_boost), (Vout*Iout/2)*(Fsw/1)*(Tr_boost+Tf_boost))</f>
        <v>0</v>
      </c>
      <c r="AS165" s="253">
        <f>IF(Table16[[#This Row],[Vin]]&gt;Vout, 0, IF(Table16[[#This Row],[Iin]]&gt;Table16[[#This Row],[Ripple Current pk-pk]]/2,0,ABS(Table16[[#This Row],[Iin]]-Table16[[#This Row],[Ripple Current pk-pk]]/2)*Vsd_Q4*Deadtime*Fsw))</f>
        <v>0</v>
      </c>
      <c r="AT165" s="345">
        <f>(Table16[[#This Row],[Dead Time Loss BoCtlr]]+Table16[[#This Row],[Transition Loss BoCtlr]]+Table16[[#This Row],[RDS(on) Loss BoCtlr]]*(1+RdsonTopTc*Ta-RdsonTopTc*25))/(1-Table16[[#This Row],[RDS(on) Loss BoCtlr]]*RdsonTopTc*ThetaJA_Q4)</f>
        <v>0</v>
      </c>
      <c r="AU165"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8.5263161167291059</v>
      </c>
      <c r="AV165" s="345">
        <f>Rdson3*Table16[[#This Row],[Irms BoSync]]^2</f>
        <v>0.25444323282838077</v>
      </c>
      <c r="AW165"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65" s="345">
        <f>(Table16[[#This Row],[Deadtime Loss BoSync]]+Table16[[#This Row],[RDS(on) Loss BoSync]]*(1+RdsonBotTc*Ta-RdsonBotTc*25))/(1-Table16[[#This Row],[RDS(on) Loss BoSync]]*RdsonBotTc*ThetaJA_Q3)</f>
        <v>0.27246844858266878</v>
      </c>
      <c r="AY165" s="345">
        <f>CHOOSE(Table16[[#This Row],[Mode Digit]], Rdson3*Table16[[#This Row],[Irms Lf]]^2, Rdson1*Table16[[#This Row],[Irms Lf]]^2, 0)</f>
        <v>0.25444323282838077</v>
      </c>
      <c r="AZ165" s="345">
        <f>CHOOSE(Table16[[#This Row],[Mode Digit]], 2*Deadtime*Fsw*IF(VfdSky_Q2&gt;0,VfdSky_Q2,0)*Table16[[#This Row],[Iout]], 2*Deadtime*Fsw*IF(VfdSky_Q3&gt;0,VfdSky_Q3,0)*Table16[[#This Row],[Iin]], 2*Deadtime*Fsw*IF(VfdSky_Q2&gt;0,VfdSky_Q2,0)*Table16[[#This Row],[Iout]]+2*Deadtime*Fsw*IF(VfdSky_Q3&gt;0,VfdSky_Q3,0)*Table16[[#This Row],[Iin]])</f>
        <v>0</v>
      </c>
      <c r="BA165" s="345">
        <f>CHOOSE(Table16[[#This Row],[Mode Digit]], IF(QrrSky_Q2&gt;0,QrrSky_Q2,Qrr_Q2)*Fsw*(Table16[[#This Row],[Vin]]-Table16[[#This Row],[Iout]]*Rdson1),0,  IF(QrrSky_Q2&gt;0,QrrSky_Q2,Qrr_Q2)*Fsw*(Table16[[#This Row],[Vin]]-Table16[[#This Row],[Iout]]*Rdson1)+IF(QrrSky_Q3&gt;0,QrrSky_Q3,Qrr_Q3)*Fsw*Vout)</f>
        <v>0.52605252000000002</v>
      </c>
      <c r="BB165" s="345">
        <f>CHOOSE(Table16[[#This Row],[Mode Digit]],0, IF(QrrSky_Q3&gt;0,QrrSky_Q3,Qrr_Q3)*Fsw*Vout,  IF(QrrSky_Q2&gt;0,QrrSky_Q2,Qrr_Q2)*Fsw*(Table16[[#This Row],[Vin]]-Table16[[#This Row],[Iout]]*Rdson1)+IF(QrrSky_Q3&gt;0,QrrSky_Q3,Qrr_Q3)*Fsw*Vout)</f>
        <v>0</v>
      </c>
      <c r="BC165" s="345">
        <f>CHOOSE(Table16[[#This Row],[Mode Digit]], Rs*Table16[[#This Row],[Irms BuSync]]^2, Rs*Table16[[#This Row],[Irms BoCtlr]]^2, Rs*(Table16[[#This Row],[Irms BuSync]]^2+Table16[[#This Row],[Irms BoCtlr]]^2))</f>
        <v>4.2887370370509464E-2</v>
      </c>
      <c r="BD165" s="345">
        <f t="shared" si="8"/>
        <v>0.64</v>
      </c>
      <c r="BE165" s="345">
        <f>IF(Vout&gt;8, Iq*Vout, Iq*Table16[[#This Row],[Vin]])</f>
        <v>4.8000000000000001E-2</v>
      </c>
      <c r="BF165" s="345">
        <f>CHOOSE(Table16[[#This Row],[Mode Digit]], (Qg_Q1+Qg_Q2)*Fsw, (Qg_Q3+Qg_Q4)*Fsw, (Qg_Q1+Qg_Q2+Qg_Q3+Qg_Q4)*Fsw)*IF(Vout&gt;8, Vout, Table16[[#This Row],[Vin]])</f>
        <v>0.85331200000000007</v>
      </c>
      <c r="BG165" s="345">
        <f t="shared" si="9"/>
        <v>0.50594479787234037</v>
      </c>
      <c r="BH165" s="345">
        <f>Table16[[#This Row],[IQ Loss]]+Table16[[#This Row],[Switching Current Loss]]</f>
        <v>0.90131200000000011</v>
      </c>
      <c r="BI165"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8.7083167766554279</v>
      </c>
      <c r="BJ165" s="253">
        <f>Vout*Table16[[#This Row],[Iout]]</f>
        <v>128</v>
      </c>
      <c r="BK165" s="684">
        <f>Table16[[#This Row],[Pout]]/(Table16[[#This Row],[Pout]]+Table16[[#This Row],[Total Loss]])</f>
        <v>0.93630002195928952</v>
      </c>
      <c r="BL165"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68.732589932130438</v>
      </c>
      <c r="BM165" s="685">
        <f>IF(Table16[[#This Row],[Vin]]&gt;Vout, Table16[[#This Row],[Total Sync Bu MOSFET Loss]]*ThetaJA_Q2, ThetaJA_Q3*Table16[[#This Row],[Total Sync Bo MOSFET Loss]])</f>
        <v>23.739991892252299</v>
      </c>
      <c r="BN165" s="640"/>
      <c r="BO165" s="292">
        <f>Table16[[#This Row],[EFF, h]]*100</f>
        <v>93.630002195928952</v>
      </c>
      <c r="BP165" s="345">
        <f>Table16[[#This Row],[Total Inductor Loss]]</f>
        <v>4.8495065237808817</v>
      </c>
      <c r="BQ165" s="345">
        <f>Table16[[#This Row],[Total Control Bu MOSFET Loss]]+Table16[[#This Row],[Total Sync Bu MOSFET Loss]]+Table16[[#This Row],[Total Control Bo MOSFET Loss]]+Table16[[#This Row],[Total Sync Bo MOSFET Loss]]+Table16[[#This Row],[Reverse Recovery Loss MOSFET D BUCK]]+Table16[[#This Row],[Reverse Recovery Loss MOSFET D BOOST]]</f>
        <v>2.2211760735731723</v>
      </c>
      <c r="BR165" s="345">
        <f>Table16[[#This Row],[Total Control Bu MOSFET Loss]]+Table16[[#This Row],[Reverse Recovery Loss MOSFET D BUCK]]*0.66</f>
        <v>1.4046191236943144</v>
      </c>
      <c r="BS165" s="345">
        <f>Table16[[#This Row],[Total Sync Bu MOSFET Loss]]+Table16[[#This Row],[Reverse Recovery Loss MOSFET D BUCK]]*0.33</f>
        <v>0.53882797609618915</v>
      </c>
      <c r="BT165" s="345">
        <f xml:space="preserve"> Table16[[#This Row],[Total Control Bo MOSFET Loss]]+Table16[[#This Row],[Reverse Recovery Loss MOSFET D BOOST]]*0.66</f>
        <v>0</v>
      </c>
      <c r="BU165" s="345">
        <f xml:space="preserve"> Table16[[#This Row],[Total Sync Bo MOSFET Loss]]+Table16[[#This Row],[Reverse Recovery Loss MOSFET D BOOST]]*0.33</f>
        <v>0.27246844858266878</v>
      </c>
      <c r="BV165" s="345">
        <f>Table16[[#This Row],[Isense Shunt Loss]]</f>
        <v>4.2887370370509464E-2</v>
      </c>
    </row>
    <row r="166" spans="7:74" x14ac:dyDescent="0.2">
      <c r="G166" s="253">
        <v>157</v>
      </c>
      <c r="H166" s="286">
        <f>VIN_min+(VIN_max-VIN_min)*(Table16[[#This Row],[Step]]/200)</f>
        <v>29.55</v>
      </c>
      <c r="I166" s="292" t="str">
        <f>IF(Mode = 2,IF(Table16[[#This Row],[Vin]]&gt;Vout, "BUCK","BOOST"),IF(Table16[[#This Row],[Vin]]&gt;VIN_BB_to_buck, "BUCK", IF(Table16[[#This Row],[Vin]]&lt;=VIN_boost_to_BB,"BOOST","BUCK-BST")))</f>
        <v>BUCK</v>
      </c>
      <c r="J166" s="253">
        <f>IF(Table16[[#This Row],[Mode]]="BOOST",2, IF(Table16[[#This Row],[Mode]]="BUCK", 1,3))</f>
        <v>1</v>
      </c>
      <c r="K166" s="253">
        <f t="shared" si="7"/>
        <v>8</v>
      </c>
      <c r="L166" s="292">
        <f>Vout*Table16[[#This Row],[Iout]]/(Table16[[#This Row],[Vin]]*Efficiency)</f>
        <v>4.5596224062694812</v>
      </c>
      <c r="M166" s="682">
        <f>MIN(1/Fsw,CHOOSE(Table16[[#This Row],[Mode Digit]],(Vout+(Rdson2+Rs+Rdcr)*Table16[[#This Row],[Iout]])/(Table16[[#This Row],[Vin]]+(Rs+Rdson2-Rdson1)*Table16[[#This Row],[Iout]])/Fsw,(Vout+(Rdson3+Rdcr)*Table16[[#This Row],[Iin]]-Table16[[#This Row],[Vin]])/(Vout+(Rdson3-Rdson4-Rs)*Table16[[#This Row],[Iin]])/Fsw,t1_Ph_II))</f>
        <v>1.3654013154499307E-6</v>
      </c>
      <c r="N166" s="518">
        <f>CHOOSE(Table16[[#This Row],[Mode Digit]],1/Fsw-Table16[[#This Row],[t1_Ph_II]],1/Fsw-Table16[[#This Row],[t1_Ph_II]],(Vout/Fsw-Table16[[#This Row],[Vin]]*t1_Ph_II)/(Table16[[#This Row],[Vin]]+Vout))</f>
        <v>1.1471614986204212E-6</v>
      </c>
      <c r="O166" s="518">
        <f>1/Fsw-(Table16[[#This Row],[t1_Ph_II]]+Table16[[#This Row],[t2_Ph_I]])</f>
        <v>0</v>
      </c>
      <c r="P166"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2.860781159903734</v>
      </c>
      <c r="Q166" s="292">
        <f>CHOOSE(Table16[[#This Row],[Mode Digit]],Table16[[#This Row],[I_0]]+1/Lf*(Table16[[#This Row],[Vin]]-Vout)*Table16[[#This Row],[t1_Ph_II]],Table16[[#This Row],[I_0]]+1/Lf*Table16[[#This Row],[Vin]]*Table16[[#This Row],[t1_Ph_II]],Table16[[#This Row],[I_0]]+(Table16[[#This Row],[Vin]]-Vout)/L*Table16[[#This Row],[t1_Ph_II]])</f>
        <v>13.139218840096266</v>
      </c>
      <c r="R166" s="292">
        <f>CHOOSE(Table16[[#This Row],[Mode Digit]],0,0,Table16[[#This Row],[I_1]]+Table16[[#This Row],[Vin]]/L*Table16[[#This Row],[t2_Ph_I]])</f>
        <v>0</v>
      </c>
      <c r="S166" s="292">
        <f>Fsw*(Table16[[#This Row],[I_0]]*Table16[[#This Row],[t1_Ph_II]]+Table16[[#This Row],[I_1]]*Table16[[#This Row],[t2_Ph_I]]+Table16[[#This Row],[I_2]]*Table16[[#This Row],[t3_Ph_III]])</f>
        <v>7.5536102930328699</v>
      </c>
      <c r="T166" s="345">
        <f>MIN(1,CHOOSE(Table16[[#This Row],[Mode Digit]],(Vout+(Rdson2+Rs+Rdcr)*Table16[[#This Row],[Iout]])/(Table16[[#This Row],[Vin]]+(Rs+Rdson2-Rdson1)*Table16[[#This Row],[Iout]]),1,Fsw*Table16[[#This Row],[t2_Ph_I]]+Table16[[#This Row],[t1_Ph_II]]))</f>
        <v>0.54342972354907237</v>
      </c>
      <c r="U166" s="345">
        <f>MIN(1,CHOOSE(Table16[[#This Row],[Mode Digit]],0,(Vout+(Rdson3+Rdcr)*Table16[[#This Row],[Iin]]-Table16[[#This Row],[Vin]])/(Vout+(Rdson3-Rdson4-Rs)*Table16[[#This Row],[Iin]]),Fsw*Table16[[#This Row],[t1_Ph_II]]+Table16[[#This Row],[t3_Ph_III]]))</f>
        <v>0</v>
      </c>
      <c r="V166" s="292">
        <f>MAX(Table16[[#This Row],[I_0]:[I_2]])-MIN(Table16[[#This Row],[I_0]:[I_1]])</f>
        <v>10.278437680192532</v>
      </c>
      <c r="W166"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8.5325176098343594</v>
      </c>
      <c r="X166" s="345">
        <f>(Table16[[#This Row],[Irms Lf]]^2*Rdcr*(1+Ltc*Ta-Ltc*25))/(1-Table16[[#This Row],[Irms Lf]]^2*Rdcr*Ltc*ThetaCa)</f>
        <v>0.23739689447104342</v>
      </c>
      <c r="Y166" s="345">
        <f>ABS(7.759*10^-3*Fsw^0.9458*(0.00787*Table16[[#This Row],[Ripple Current pk-pk]])^2.304)</f>
        <v>4.6771467807462344</v>
      </c>
      <c r="Z166" s="345">
        <f>Table16[[#This Row],[DCR    Loss]]+Table16[[#This Row],[Core Loss]]</f>
        <v>4.9145436752172778</v>
      </c>
      <c r="AA166" s="292">
        <f>IF(Table16[[#This Row],[Vin]]&gt;Vout, Table16[[#This Row],[Ripple Current pk-pk]]/SQRT(12), SQRT(Table16[[#This Row],[Duty Cycle BOOST Leg]]/(1-Table16[[#This Row],[Duty Cycle BOOST Leg]]))*SQRT(Table16[[#This Row],[Iout]]^2+(Table16[[#This Row],[Ripple Current pk-pk]]^2)/12))</f>
        <v>2.9671293807539758</v>
      </c>
      <c r="AB166" s="345">
        <f>RCoutEsr*Table16[[#This Row],[Irms Cout]]^2</f>
        <v>1.7607713524266946E-2</v>
      </c>
      <c r="AC166" s="345">
        <f>Table16[[#This Row],[Cout ESR Loss]]</f>
        <v>1.7607713524266946E-2</v>
      </c>
      <c r="AD166" s="345">
        <f>IF(Table16[[#This Row],[Vin]]&gt;Vout, SQRT(Table16[[#This Row],[Duty Cycle BUCK Leg]]*(1-Table16[[#This Row],[Duty Cycle BUCK Leg]]))*SQRT(Table16[[#This Row],[Iout]]^2+(Table16[[#This Row],[Ripple Current pk-pk]]^2)/12), Table16[[#This Row],[Ripple Current pk-pk]]/SQRT(12))</f>
        <v>4.2501348048647882</v>
      </c>
      <c r="AE166" s="345">
        <f>RCinEsr*Table16[[#This Row],[Irms Cin]]^2</f>
        <v>3.6127291719046106E-2</v>
      </c>
      <c r="AF166" s="683">
        <f>Table16[[#This Row],[Cin ESR Loss]]</f>
        <v>3.6127291719046106E-2</v>
      </c>
      <c r="AG166"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6.2899745431561529</v>
      </c>
      <c r="AH166" s="345">
        <f>Rdson1*Table16[[#This Row],[Irms BuCtrl]]^2</f>
        <v>0.1384732291374336</v>
      </c>
      <c r="AI166" s="345">
        <f>CHOOSE(Table16[[#This Row],[Mode Digit]], (Table16[[#This Row],[Vin]]*Table16[[#This Row],[Iout]]/2)*(Fsw)*(Tr_buck+Tf_buck), 0, (Table16[[#This Row],[Vin]]*Table16[[#This Row],[Avg IL]]/2)*(Fsw/1)*(Tr_buck+Tf_buck))</f>
        <v>0.88472917445639943</v>
      </c>
      <c r="AJ166" s="253">
        <f>IF(Table16[[#This Row],[Vin]]&gt;Vout, IF(Table16[[#This Row],[Iout]]&gt;Table16[[#This Row],[Ripple Current pk-pk]]/2,0,ABS(Table16[[#This Row],[Iout]]-Table16[[#This Row],[Ripple Current pk-pk]]/2)*Vsd_Q1*Deadtime*Fsw),0)</f>
        <v>0</v>
      </c>
      <c r="AK166" s="345">
        <f>(Table16[[#This Row],[Dead Time Loss BuCtrl]]+Table16[[#This Row],[Transition Loss BuCtrl]]+Table16[[#This Row],[RDS(on) Loss BuCtrl]]*(1+RdsonTopTc*Ta-RdsonTopTc*25))/(1-Table16[[#This Row],[RDS(on) Loss BuCtrl]]*RdsonTopTc*ThetaJA_Q1)</f>
        <v>1.0614166284751652</v>
      </c>
      <c r="AL166" s="345">
        <f>CHOOSE(Table16[[#This Row],[Mode Digit]],SQRT((Fsw*(Table16[[#This Row],[t2_Ph_I]]+0))*((Table16[[#This Row],[I_0]]*Table16[[#This Row],[I_1]]+((Table16[[#This Row],[I_0]]-Table16[[#This Row],[I_1]])^2)/3))),0,SQRT((Fsw*(Table16[[#This Row],[t3_Ph_III]]+0))*((Table16[[#This Row],[I_0]]*Table16[[#This Row],[I_2]]+((Table16[[#This Row],[I_0]]-Table16[[#This Row],[I_2]])^2)/3))))</f>
        <v>5.7654208006511558</v>
      </c>
      <c r="AM166" s="345">
        <f>Rdson2*Table16[[#This Row],[Irms BuSync]]^2</f>
        <v>0.11634026953003357</v>
      </c>
      <c r="AN166"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66" s="345">
        <f>(Table16[[#This Row],[Deadtime Loss BuSync]]+Table16[[#This Row],[RDS(on) Loss BuSync]]*(1+RdsonBotTc*Ta-RdsonBotTc*25))/(1-Table16[[#This Row],[RDS(on) Loss BuSync]]*RdsonBotTc*ThetaJA_Q2)</f>
        <v>0.36621779762340612</v>
      </c>
      <c r="AP166" s="345">
        <f>CHOOSE(Table16[[#This Row],[Mode Digit]],0,SQRT((Fsw*(Table16[[#This Row],[t1_Ph_II]]+0))*((Table16[[#This Row],[I_0]]*Table16[[#This Row],[I_1]]+((Table16[[#This Row],[I_0]]-Table16[[#This Row],[I_1]])^2)/3))),SQRT((Fsw*(Table16[[#This Row],[t2_Ph_I]]+0))*((Table16[[#This Row],[I_1]]*Table16[[#This Row],[I_2]]+((Table16[[#This Row],[I_1]]-Table16[[#This Row],[I_2]])^2)/3))))</f>
        <v>0</v>
      </c>
      <c r="AQ166" s="345">
        <f>Rdson4*Table16[[#This Row],[Irms BoCtlr]]^2</f>
        <v>0</v>
      </c>
      <c r="AR166" s="345">
        <f>CHOOSE(Table16[[#This Row],[Mode Digit]], 0, (Vout*Table16[[#This Row],[Iin]]/2)*(Fsw)*(Tr_boost+Tf_boost), (Vout*Iout/2)*(Fsw/1)*(Tr_boost+Tf_boost))</f>
        <v>0</v>
      </c>
      <c r="AS166" s="253">
        <f>IF(Table16[[#This Row],[Vin]]&gt;Vout, 0, IF(Table16[[#This Row],[Iin]]&gt;Table16[[#This Row],[Ripple Current pk-pk]]/2,0,ABS(Table16[[#This Row],[Iin]]-Table16[[#This Row],[Ripple Current pk-pk]]/2)*Vsd_Q4*Deadtime*Fsw))</f>
        <v>0</v>
      </c>
      <c r="AT166" s="345">
        <f>(Table16[[#This Row],[Dead Time Loss BoCtlr]]+Table16[[#This Row],[Transition Loss BoCtlr]]+Table16[[#This Row],[RDS(on) Loss BoCtlr]]*(1+RdsonTopTc*Ta-RdsonTopTc*25))/(1-Table16[[#This Row],[RDS(on) Loss BoCtlr]]*RdsonTopTc*ThetaJA_Q4)</f>
        <v>0</v>
      </c>
      <c r="AU166"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8.5325176098343594</v>
      </c>
      <c r="AV166" s="345">
        <f>Rdson3*Table16[[#This Row],[Irms BoSync]]^2</f>
        <v>0.25481349866746705</v>
      </c>
      <c r="AW166"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66" s="345">
        <f>(Table16[[#This Row],[Deadtime Loss BoSync]]+Table16[[#This Row],[RDS(on) Loss BoSync]]*(1+RdsonBotTc*Ta-RdsonBotTc*25))/(1-Table16[[#This Row],[RDS(on) Loss BoSync]]*RdsonBotTc*ThetaJA_Q3)</f>
        <v>0.27289307699220045</v>
      </c>
      <c r="AY166" s="345">
        <f>CHOOSE(Table16[[#This Row],[Mode Digit]], Rdson3*Table16[[#This Row],[Irms Lf]]^2, Rdson1*Table16[[#This Row],[Irms Lf]]^2, 0)</f>
        <v>0.25481349866746705</v>
      </c>
      <c r="AZ166" s="345">
        <f>CHOOSE(Table16[[#This Row],[Mode Digit]], 2*Deadtime*Fsw*IF(VfdSky_Q2&gt;0,VfdSky_Q2,0)*Table16[[#This Row],[Iout]], 2*Deadtime*Fsw*IF(VfdSky_Q3&gt;0,VfdSky_Q3,0)*Table16[[#This Row],[Iin]], 2*Deadtime*Fsw*IF(VfdSky_Q2&gt;0,VfdSky_Q2,0)*Table16[[#This Row],[Iout]]+2*Deadtime*Fsw*IF(VfdSky_Q3&gt;0,VfdSky_Q3,0)*Table16[[#This Row],[Iin]])</f>
        <v>0</v>
      </c>
      <c r="BA166" s="345">
        <f>CHOOSE(Table16[[#This Row],[Mode Digit]], IF(QrrSky_Q2&gt;0,QrrSky_Q2,Qrr_Q2)*Fsw*(Table16[[#This Row],[Vin]]-Table16[[#This Row],[Iout]]*Rdson1),0,  IF(QrrSky_Q2&gt;0,QrrSky_Q2,Qrr_Q2)*Fsw*(Table16[[#This Row],[Vin]]-Table16[[#This Row],[Iout]]*Rdson1)+IF(QrrSky_Q3&gt;0,QrrSky_Q3,Qrr_Q3)*Fsw*Vout)</f>
        <v>0.52873901999999995</v>
      </c>
      <c r="BB166" s="345">
        <f>CHOOSE(Table16[[#This Row],[Mode Digit]],0, IF(QrrSky_Q3&gt;0,QrrSky_Q3,Qrr_Q3)*Fsw*Vout,  IF(QrrSky_Q2&gt;0,QrrSky_Q2,Qrr_Q2)*Fsw*(Table16[[#This Row],[Vin]]-Table16[[#This Row],[Iout]]*Rdson1)+IF(QrrSky_Q3&gt;0,QrrSky_Q3,Qrr_Q3)*Fsw*Vout)</f>
        <v>0</v>
      </c>
      <c r="BC166" s="345">
        <f>CHOOSE(Table16[[#This Row],[Mode Digit]], Rs*Table16[[#This Row],[Irms BuSync]]^2, Rs*Table16[[#This Row],[Irms BoCtlr]]^2, Rs*(Table16[[#This Row],[Irms BuSync]]^2+Table16[[#This Row],[Irms BoCtlr]]^2))</f>
        <v>4.3212100111155324E-2</v>
      </c>
      <c r="BD166" s="345">
        <f t="shared" si="8"/>
        <v>0.64</v>
      </c>
      <c r="BE166" s="345">
        <f>IF(Vout&gt;8, Iq*Vout, Iq*Table16[[#This Row],[Vin]])</f>
        <v>4.8000000000000001E-2</v>
      </c>
      <c r="BF166" s="345">
        <f>CHOOSE(Table16[[#This Row],[Mode Digit]], (Qg_Q1+Qg_Q2)*Fsw, (Qg_Q3+Qg_Q4)*Fsw, (Qg_Q1+Qg_Q2+Qg_Q3+Qg_Q4)*Fsw)*IF(Vout&gt;8, Vout, Table16[[#This Row],[Vin]])</f>
        <v>0.85331200000000007</v>
      </c>
      <c r="BG166" s="345">
        <f t="shared" si="9"/>
        <v>0.50594479787234037</v>
      </c>
      <c r="BH166" s="345">
        <f>Table16[[#This Row],[IQ Loss]]+Table16[[#This Row],[Switching Current Loss]]</f>
        <v>0.90131200000000011</v>
      </c>
      <c r="BI166"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8.782069303662519</v>
      </c>
      <c r="BJ166" s="253">
        <f>Vout*Table16[[#This Row],[Iout]]</f>
        <v>128</v>
      </c>
      <c r="BK166" s="684">
        <f>Table16[[#This Row],[Pout]]/(Table16[[#This Row],[Pout]]+Table16[[#This Row],[Total Loss]])</f>
        <v>0.93579517148431257</v>
      </c>
      <c r="BL166"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68.992080850885742</v>
      </c>
      <c r="BM166" s="685">
        <f>IF(Table16[[#This Row],[Vin]]&gt;Vout, Table16[[#This Row],[Total Sync Bu MOSFET Loss]]*ThetaJA_Q2, ThetaJA_Q3*Table16[[#This Row],[Total Sync Bo MOSFET Loss]])</f>
        <v>23.804156845521398</v>
      </c>
      <c r="BN166" s="640"/>
      <c r="BO166" s="292">
        <f>Table16[[#This Row],[EFF, h]]*100</f>
        <v>93.57951714843125</v>
      </c>
      <c r="BP166" s="345">
        <f>Table16[[#This Row],[Total Inductor Loss]]</f>
        <v>4.9145436752172778</v>
      </c>
      <c r="BQ166" s="345">
        <f>Table16[[#This Row],[Total Control Bu MOSFET Loss]]+Table16[[#This Row],[Total Sync Bu MOSFET Loss]]+Table16[[#This Row],[Total Control Bo MOSFET Loss]]+Table16[[#This Row],[Total Sync Bo MOSFET Loss]]+Table16[[#This Row],[Reverse Recovery Loss MOSFET D BUCK]]+Table16[[#This Row],[Reverse Recovery Loss MOSFET D BOOST]]</f>
        <v>2.2292665230907716</v>
      </c>
      <c r="BR166" s="345">
        <f>Table16[[#This Row],[Total Control Bu MOSFET Loss]]+Table16[[#This Row],[Reverse Recovery Loss MOSFET D BUCK]]*0.66</f>
        <v>1.4103843816751651</v>
      </c>
      <c r="BS166" s="345">
        <f>Table16[[#This Row],[Total Sync Bu MOSFET Loss]]+Table16[[#This Row],[Reverse Recovery Loss MOSFET D BUCK]]*0.33</f>
        <v>0.54070167422340609</v>
      </c>
      <c r="BT166" s="345">
        <f xml:space="preserve"> Table16[[#This Row],[Total Control Bo MOSFET Loss]]+Table16[[#This Row],[Reverse Recovery Loss MOSFET D BOOST]]*0.66</f>
        <v>0</v>
      </c>
      <c r="BU166" s="345">
        <f xml:space="preserve"> Table16[[#This Row],[Total Sync Bo MOSFET Loss]]+Table16[[#This Row],[Reverse Recovery Loss MOSFET D BOOST]]*0.33</f>
        <v>0.27289307699220045</v>
      </c>
      <c r="BV166" s="345">
        <f>Table16[[#This Row],[Isense Shunt Loss]]</f>
        <v>4.3212100111155324E-2</v>
      </c>
    </row>
    <row r="167" spans="7:74" x14ac:dyDescent="0.2">
      <c r="G167" s="253">
        <v>158</v>
      </c>
      <c r="H167" s="286">
        <f>VIN_min+(VIN_max-VIN_min)*(Table16[[#This Row],[Step]]/200)</f>
        <v>29.700000000000003</v>
      </c>
      <c r="I167" s="292" t="str">
        <f>IF(Mode = 2,IF(Table16[[#This Row],[Vin]]&gt;Vout, "BUCK","BOOST"),IF(Table16[[#This Row],[Vin]]&gt;VIN_BB_to_buck, "BUCK", IF(Table16[[#This Row],[Vin]]&lt;=VIN_boost_to_BB,"BOOST","BUCK-BST")))</f>
        <v>BUCK</v>
      </c>
      <c r="J167" s="253">
        <f>IF(Table16[[#This Row],[Mode]]="BOOST",2, IF(Table16[[#This Row],[Mode]]="BUCK", 1,3))</f>
        <v>1</v>
      </c>
      <c r="K167" s="253">
        <f t="shared" si="7"/>
        <v>8</v>
      </c>
      <c r="L167" s="292">
        <f>Vout*Table16[[#This Row],[Iout]]/(Table16[[#This Row],[Vin]]*Efficiency)</f>
        <v>4.536594010278221</v>
      </c>
      <c r="M167" s="682">
        <f>MIN(1/Fsw,CHOOSE(Table16[[#This Row],[Mode Digit]],(Vout+(Rdson2+Rs+Rdcr)*Table16[[#This Row],[Iout]])/(Table16[[#This Row],[Vin]]+(Rs+Rdson2-Rdson1)*Table16[[#This Row],[Iout]])/Fsw,(Vout+(Rdson3+Rdcr)*Table16[[#This Row],[Iin]]-Table16[[#This Row],[Vin]])/(Vout+(Rdson3-Rdson4-Rs)*Table16[[#This Row],[Iin]])/Fsw,t1_Ph_II))</f>
        <v>1.3585077631141327E-6</v>
      </c>
      <c r="N167" s="518">
        <f>CHOOSE(Table16[[#This Row],[Mode Digit]],1/Fsw-Table16[[#This Row],[t1_Ph_II]],1/Fsw-Table16[[#This Row],[t1_Ph_II]],(Vout/Fsw-Table16[[#This Row],[Vin]]*t1_Ph_II)/(Table16[[#This Row],[Vin]]+Vout))</f>
        <v>1.1540550509562192E-6</v>
      </c>
      <c r="O167" s="518">
        <f>1/Fsw-(Table16[[#This Row],[t1_Ph_II]]+Table16[[#This Row],[t2_Ph_I]])</f>
        <v>0</v>
      </c>
      <c r="P167"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2.8301232348156615</v>
      </c>
      <c r="Q167" s="292">
        <f>CHOOSE(Table16[[#This Row],[Mode Digit]],Table16[[#This Row],[I_0]]+1/Lf*(Table16[[#This Row],[Vin]]-Vout)*Table16[[#This Row],[t1_Ph_II]],Table16[[#This Row],[I_0]]+1/Lf*Table16[[#This Row],[Vin]]*Table16[[#This Row],[t1_Ph_II]],Table16[[#This Row],[I_0]]+(Table16[[#This Row],[Vin]]-Vout)/L*Table16[[#This Row],[t1_Ph_II]])</f>
        <v>13.169876765184338</v>
      </c>
      <c r="R167" s="292">
        <f>CHOOSE(Table16[[#This Row],[Mode Digit]],0,0,Table16[[#This Row],[I_1]]+Table16[[#This Row],[Vin]]/L*Table16[[#This Row],[t2_Ph_I]])</f>
        <v>0</v>
      </c>
      <c r="S167" s="292">
        <f>Fsw*(Table16[[#This Row],[I_0]]*Table16[[#This Row],[t1_Ph_II]]+Table16[[#This Row],[I_1]]*Table16[[#This Row],[t2_Ph_I]]+Table16[[#This Row],[I_2]]*Table16[[#This Row],[t3_Ph_III]])</f>
        <v>7.5793158601866804</v>
      </c>
      <c r="T167" s="345">
        <f>MIN(1,CHOOSE(Table16[[#This Row],[Mode Digit]],(Vout+(Rdson2+Rs+Rdcr)*Table16[[#This Row],[Iout]])/(Table16[[#This Row],[Vin]]+(Rs+Rdson2-Rdson1)*Table16[[#This Row],[Iout]]),1,Fsw*Table16[[#This Row],[t2_Ph_I]]+Table16[[#This Row],[t1_Ph_II]]))</f>
        <v>0.54068608971942478</v>
      </c>
      <c r="U167" s="345">
        <f>MIN(1,CHOOSE(Table16[[#This Row],[Mode Digit]],0,(Vout+(Rdson3+Rdcr)*Table16[[#This Row],[Iin]]-Table16[[#This Row],[Vin]])/(Vout+(Rdson3-Rdson4-Rs)*Table16[[#This Row],[Iin]]),Fsw*Table16[[#This Row],[t1_Ph_II]]+Table16[[#This Row],[t3_Ph_III]]))</f>
        <v>0</v>
      </c>
      <c r="V167" s="292">
        <f>MAX(Table16[[#This Row],[I_0]:[I_2]])-MIN(Table16[[#This Row],[I_0]:[I_1]])</f>
        <v>10.339753530368675</v>
      </c>
      <c r="W167"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8.5386889268238519</v>
      </c>
      <c r="X167" s="345">
        <f>(Table16[[#This Row],[Irms Lf]]^2*Rdcr*(1+Ltc*Ta-Ltc*25))/(1-Table16[[#This Row],[Irms Lf]]^2*Rdcr*Ltc*ThetaCa)</f>
        <v>0.23774695675514354</v>
      </c>
      <c r="Y167" s="345">
        <f>ABS(7.759*10^-3*Fsw^0.9458*(0.00787*Table16[[#This Row],[Ripple Current pk-pk]])^2.304)</f>
        <v>4.7416818896607209</v>
      </c>
      <c r="Z167" s="345">
        <f>Table16[[#This Row],[DCR    Loss]]+Table16[[#This Row],[Core Loss]]</f>
        <v>4.979428846415864</v>
      </c>
      <c r="AA167" s="292">
        <f>IF(Table16[[#This Row],[Vin]]&gt;Vout, Table16[[#This Row],[Ripple Current pk-pk]]/SQRT(12), SQRT(Table16[[#This Row],[Duty Cycle BOOST Leg]]/(1-Table16[[#This Row],[Duty Cycle BOOST Leg]]))*SQRT(Table16[[#This Row],[Iout]]^2+(Table16[[#This Row],[Ripple Current pk-pk]]^2)/12))</f>
        <v>2.9848297420563692</v>
      </c>
      <c r="AB167" s="345">
        <f>RCoutEsr*Table16[[#This Row],[Irms Cout]]^2</f>
        <v>1.7818417178128584E-2</v>
      </c>
      <c r="AC167" s="345">
        <f>Table16[[#This Row],[Cout ESR Loss]]</f>
        <v>1.7818417178128584E-2</v>
      </c>
      <c r="AD167" s="345">
        <f>IF(Table16[[#This Row],[Vin]]&gt;Vout, SQRT(Table16[[#This Row],[Duty Cycle BUCK Leg]]*(1-Table16[[#This Row],[Duty Cycle BUCK Leg]]))*SQRT(Table16[[#This Row],[Iout]]^2+(Table16[[#This Row],[Ripple Current pk-pk]]^2)/12), Table16[[#This Row],[Ripple Current pk-pk]]/SQRT(12))</f>
        <v>4.2551864016854948</v>
      </c>
      <c r="AE167" s="345">
        <f>RCinEsr*Table16[[#This Row],[Irms Cin]]^2</f>
        <v>3.62132226261783E-2</v>
      </c>
      <c r="AF167" s="683">
        <f>Table16[[#This Row],[Cin ESR Loss]]</f>
        <v>3.62132226261783E-2</v>
      </c>
      <c r="AG167"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6.2786140904310299</v>
      </c>
      <c r="AH167" s="345">
        <f>Rdson1*Table16[[#This Row],[Irms BuCtrl]]^2</f>
        <v>0.13797348213795677</v>
      </c>
      <c r="AI167" s="345">
        <f>CHOOSE(Table16[[#This Row],[Mode Digit]], (Table16[[#This Row],[Vin]]*Table16[[#This Row],[Iout]]/2)*(Fsw)*(Tr_buck+Tf_buck), 0, (Table16[[#This Row],[Vin]]*Table16[[#This Row],[Avg IL]]/2)*(Fsw/1)*(Tr_buck+Tf_buck))</f>
        <v>0.8892201854942493</v>
      </c>
      <c r="AJ167" s="253">
        <f>IF(Table16[[#This Row],[Vin]]&gt;Vout, IF(Table16[[#This Row],[Iout]]&gt;Table16[[#This Row],[Ripple Current pk-pk]]/2,0,ABS(Table16[[#This Row],[Iout]]-Table16[[#This Row],[Ripple Current pk-pk]]/2)*Vsd_Q1*Deadtime*Fsw),0)</f>
        <v>0</v>
      </c>
      <c r="AK167" s="345">
        <f>(Table16[[#This Row],[Dead Time Loss BuCtrl]]+Table16[[#This Row],[Transition Loss BuCtrl]]+Table16[[#This Row],[RDS(on) Loss BuCtrl]]*(1+RdsonTopTc*Ta-RdsonTopTc*25))/(1-Table16[[#This Row],[RDS(on) Loss BuCtrl]]*RdsonTopTc*ThetaJA_Q1)</f>
        <v>1.0654133530953447</v>
      </c>
      <c r="AL167" s="345">
        <f>CHOOSE(Table16[[#This Row],[Mode Digit]],SQRT((Fsw*(Table16[[#This Row],[t2_Ph_I]]+0))*((Table16[[#This Row],[I_0]]*Table16[[#This Row],[I_1]]+((Table16[[#This Row],[I_0]]-Table16[[#This Row],[I_1]])^2)/3))),0,SQRT((Fsw*(Table16[[#This Row],[t3_Ph_III]]+0))*((Table16[[#This Row],[I_0]]*Table16[[#This Row],[I_2]]+((Table16[[#This Row],[I_0]]-Table16[[#This Row],[I_2]])^2)/3))))</f>
        <v>5.786900179932708</v>
      </c>
      <c r="AM167" s="345">
        <f>Rdson2*Table16[[#This Row],[Irms BuSync]]^2</f>
        <v>0.11720874792376822</v>
      </c>
      <c r="AN167"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67" s="345">
        <f>(Table16[[#This Row],[Deadtime Loss BuSync]]+Table16[[#This Row],[RDS(on) Loss BuSync]]*(1+RdsonBotTc*Ta-RdsonBotTc*25))/(1-Table16[[#This Row],[RDS(on) Loss BuSync]]*RdsonBotTc*ThetaJA_Q2)</f>
        <v>0.36719886697750775</v>
      </c>
      <c r="AP167" s="345">
        <f>CHOOSE(Table16[[#This Row],[Mode Digit]],0,SQRT((Fsw*(Table16[[#This Row],[t1_Ph_II]]+0))*((Table16[[#This Row],[I_0]]*Table16[[#This Row],[I_1]]+((Table16[[#This Row],[I_0]]-Table16[[#This Row],[I_1]])^2)/3))),SQRT((Fsw*(Table16[[#This Row],[t2_Ph_I]]+0))*((Table16[[#This Row],[I_1]]*Table16[[#This Row],[I_2]]+((Table16[[#This Row],[I_1]]-Table16[[#This Row],[I_2]])^2)/3))))</f>
        <v>0</v>
      </c>
      <c r="AQ167" s="345">
        <f>Rdson4*Table16[[#This Row],[Irms BoCtlr]]^2</f>
        <v>0</v>
      </c>
      <c r="AR167" s="345">
        <f>CHOOSE(Table16[[#This Row],[Mode Digit]], 0, (Vout*Table16[[#This Row],[Iin]]/2)*(Fsw)*(Tr_boost+Tf_boost), (Vout*Iout/2)*(Fsw/1)*(Tr_boost+Tf_boost))</f>
        <v>0</v>
      </c>
      <c r="AS167" s="253">
        <f>IF(Table16[[#This Row],[Vin]]&gt;Vout, 0, IF(Table16[[#This Row],[Iin]]&gt;Table16[[#This Row],[Ripple Current pk-pk]]/2,0,ABS(Table16[[#This Row],[Iin]]-Table16[[#This Row],[Ripple Current pk-pk]]/2)*Vsd_Q4*Deadtime*Fsw))</f>
        <v>0</v>
      </c>
      <c r="AT167" s="345">
        <f>(Table16[[#This Row],[Dead Time Loss BoCtlr]]+Table16[[#This Row],[Transition Loss BoCtlr]]+Table16[[#This Row],[RDS(on) Loss BoCtlr]]*(1+RdsonTopTc*Ta-RdsonTopTc*25))/(1-Table16[[#This Row],[RDS(on) Loss BoCtlr]]*RdsonTopTc*ThetaJA_Q4)</f>
        <v>0</v>
      </c>
      <c r="AU167"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8.5386889268238519</v>
      </c>
      <c r="AV167" s="345">
        <f>Rdson3*Table16[[#This Row],[Irms BoSync]]^2</f>
        <v>0.25518223006172491</v>
      </c>
      <c r="AW167"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67" s="345">
        <f>(Table16[[#This Row],[Deadtime Loss BoSync]]+Table16[[#This Row],[RDS(on) Loss BoSync]]*(1+RdsonBotTc*Ta-RdsonBotTc*25))/(1-Table16[[#This Row],[RDS(on) Loss BoSync]]*RdsonBotTc*ThetaJA_Q3)</f>
        <v>0.27331603269259613</v>
      </c>
      <c r="AY167" s="345">
        <f>CHOOSE(Table16[[#This Row],[Mode Digit]], Rdson3*Table16[[#This Row],[Irms Lf]]^2, Rdson1*Table16[[#This Row],[Irms Lf]]^2, 0)</f>
        <v>0.25518223006172491</v>
      </c>
      <c r="AZ167" s="345">
        <f>CHOOSE(Table16[[#This Row],[Mode Digit]], 2*Deadtime*Fsw*IF(VfdSky_Q2&gt;0,VfdSky_Q2,0)*Table16[[#This Row],[Iout]], 2*Deadtime*Fsw*IF(VfdSky_Q3&gt;0,VfdSky_Q3,0)*Table16[[#This Row],[Iin]], 2*Deadtime*Fsw*IF(VfdSky_Q2&gt;0,VfdSky_Q2,0)*Table16[[#This Row],[Iout]]+2*Deadtime*Fsw*IF(VfdSky_Q3&gt;0,VfdSky_Q3,0)*Table16[[#This Row],[Iin]])</f>
        <v>0</v>
      </c>
      <c r="BA167" s="345">
        <f>CHOOSE(Table16[[#This Row],[Mode Digit]], IF(QrrSky_Q2&gt;0,QrrSky_Q2,Qrr_Q2)*Fsw*(Table16[[#This Row],[Vin]]-Table16[[#This Row],[Iout]]*Rdson1),0,  IF(QrrSky_Q2&gt;0,QrrSky_Q2,Qrr_Q2)*Fsw*(Table16[[#This Row],[Vin]]-Table16[[#This Row],[Iout]]*Rdson1)+IF(QrrSky_Q3&gt;0,QrrSky_Q3,Qrr_Q3)*Fsw*Vout)</f>
        <v>0.53142551999999998</v>
      </c>
      <c r="BB167" s="345">
        <f>CHOOSE(Table16[[#This Row],[Mode Digit]],0, IF(QrrSky_Q3&gt;0,QrrSky_Q3,Qrr_Q3)*Fsw*Vout,  IF(QrrSky_Q2&gt;0,QrrSky_Q2,Qrr_Q2)*Fsw*(Table16[[#This Row],[Vin]]-Table16[[#This Row],[Iout]]*Rdson1)+IF(QrrSky_Q3&gt;0,QrrSky_Q3,Qrr_Q3)*Fsw*Vout)</f>
        <v>0</v>
      </c>
      <c r="BC167" s="345">
        <f>CHOOSE(Table16[[#This Row],[Mode Digit]], Rs*Table16[[#This Row],[Irms BuSync]]^2, Rs*Table16[[#This Row],[Irms BoCtlr]]^2, Rs*(Table16[[#This Row],[Irms BuSync]]^2+Table16[[#This Row],[Irms BoCtlr]]^2))</f>
        <v>4.3534677800256764E-2</v>
      </c>
      <c r="BD167" s="345">
        <f t="shared" si="8"/>
        <v>0.64</v>
      </c>
      <c r="BE167" s="345">
        <f>IF(Vout&gt;8, Iq*Vout, Iq*Table16[[#This Row],[Vin]])</f>
        <v>4.8000000000000001E-2</v>
      </c>
      <c r="BF167" s="345">
        <f>CHOOSE(Table16[[#This Row],[Mode Digit]], (Qg_Q1+Qg_Q2)*Fsw, (Qg_Q3+Qg_Q4)*Fsw, (Qg_Q1+Qg_Q2+Qg_Q3+Qg_Q4)*Fsw)*IF(Vout&gt;8, Vout, Table16[[#This Row],[Vin]])</f>
        <v>0.85331200000000007</v>
      </c>
      <c r="BG167" s="345">
        <f t="shared" si="9"/>
        <v>0.50594479787234037</v>
      </c>
      <c r="BH167" s="345">
        <f>Table16[[#This Row],[IQ Loss]]+Table16[[#This Row],[Switching Current Loss]]</f>
        <v>0.90131200000000011</v>
      </c>
      <c r="BI167"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8.8556609367858758</v>
      </c>
      <c r="BJ167" s="253">
        <f>Vout*Table16[[#This Row],[Iout]]</f>
        <v>128</v>
      </c>
      <c r="BK167" s="684">
        <f>Table16[[#This Row],[Pout]]/(Table16[[#This Row],[Pout]]+Table16[[#This Row],[Total Loss]])</f>
        <v>0.93529196471546516</v>
      </c>
      <c r="BL167"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69.251867951197411</v>
      </c>
      <c r="BM167" s="685">
        <f>IF(Table16[[#This Row],[Vin]]&gt;Vout, Table16[[#This Row],[Total Sync Bu MOSFET Loss]]*ThetaJA_Q2, ThetaJA_Q3*Table16[[#This Row],[Total Sync Bo MOSFET Loss]])</f>
        <v>23.867926353538003</v>
      </c>
      <c r="BN167" s="640"/>
      <c r="BO167" s="292">
        <f>Table16[[#This Row],[EFF, h]]*100</f>
        <v>93.529196471546513</v>
      </c>
      <c r="BP167" s="345">
        <f>Table16[[#This Row],[Total Inductor Loss]]</f>
        <v>4.979428846415864</v>
      </c>
      <c r="BQ167" s="345">
        <f>Table16[[#This Row],[Total Control Bu MOSFET Loss]]+Table16[[#This Row],[Total Sync Bu MOSFET Loss]]+Table16[[#This Row],[Total Control Bo MOSFET Loss]]+Table16[[#This Row],[Total Sync Bo MOSFET Loss]]+Table16[[#This Row],[Reverse Recovery Loss MOSFET D BUCK]]+Table16[[#This Row],[Reverse Recovery Loss MOSFET D BOOST]]</f>
        <v>2.2373537727654487</v>
      </c>
      <c r="BR167" s="345">
        <f>Table16[[#This Row],[Total Control Bu MOSFET Loss]]+Table16[[#This Row],[Reverse Recovery Loss MOSFET D BUCK]]*0.66</f>
        <v>1.4161541962953446</v>
      </c>
      <c r="BS167" s="345">
        <f>Table16[[#This Row],[Total Sync Bu MOSFET Loss]]+Table16[[#This Row],[Reverse Recovery Loss MOSFET D BUCK]]*0.33</f>
        <v>0.54256928857750775</v>
      </c>
      <c r="BT167" s="345">
        <f xml:space="preserve"> Table16[[#This Row],[Total Control Bo MOSFET Loss]]+Table16[[#This Row],[Reverse Recovery Loss MOSFET D BOOST]]*0.66</f>
        <v>0</v>
      </c>
      <c r="BU167" s="345">
        <f xml:space="preserve"> Table16[[#This Row],[Total Sync Bo MOSFET Loss]]+Table16[[#This Row],[Reverse Recovery Loss MOSFET D BOOST]]*0.33</f>
        <v>0.27331603269259613</v>
      </c>
      <c r="BV167" s="345">
        <f>Table16[[#This Row],[Isense Shunt Loss]]</f>
        <v>4.3534677800256764E-2</v>
      </c>
    </row>
    <row r="168" spans="7:74" x14ac:dyDescent="0.2">
      <c r="G168" s="253">
        <v>159</v>
      </c>
      <c r="H168" s="286">
        <f>VIN_min+(VIN_max-VIN_min)*(Table16[[#This Row],[Step]]/200)</f>
        <v>29.85</v>
      </c>
      <c r="I168" s="292" t="str">
        <f>IF(Mode = 2,IF(Table16[[#This Row],[Vin]]&gt;Vout, "BUCK","BOOST"),IF(Table16[[#This Row],[Vin]]&gt;VIN_BB_to_buck, "BUCK", IF(Table16[[#This Row],[Vin]]&lt;=VIN_boost_to_BB,"BOOST","BUCK-BST")))</f>
        <v>BUCK</v>
      </c>
      <c r="J168" s="253">
        <f>IF(Table16[[#This Row],[Mode]]="BOOST",2, IF(Table16[[#This Row],[Mode]]="BUCK", 1,3))</f>
        <v>1</v>
      </c>
      <c r="K168" s="253">
        <f t="shared" si="7"/>
        <v>8</v>
      </c>
      <c r="L168" s="292">
        <f>Vout*Table16[[#This Row],[Iout]]/(Table16[[#This Row],[Vin]]*Efficiency)</f>
        <v>4.5137970554527023</v>
      </c>
      <c r="M168" s="682">
        <f>MIN(1/Fsw,CHOOSE(Table16[[#This Row],[Mode Digit]],(Vout+(Rdson2+Rs+Rdcr)*Table16[[#This Row],[Iout]])/(Table16[[#This Row],[Vin]]+(Rs+Rdson2-Rdson1)*Table16[[#This Row],[Iout]])/Fsw,(Vout+(Rdson3+Rdcr)*Table16[[#This Row],[Iin]]-Table16[[#This Row],[Vin]])/(Vout+(Rdson3-Rdson4-Rs)*Table16[[#This Row],[Iin]])/Fsw,t1_Ph_II))</f>
        <v>1.3516834685813362E-6</v>
      </c>
      <c r="N168" s="518">
        <f>CHOOSE(Table16[[#This Row],[Mode Digit]],1/Fsw-Table16[[#This Row],[t1_Ph_II]],1/Fsw-Table16[[#This Row],[t1_Ph_II]],(Vout/Fsw-Table16[[#This Row],[Vin]]*t1_Ph_II)/(Table16[[#This Row],[Vin]]+Vout))</f>
        <v>1.1608793454890157E-6</v>
      </c>
      <c r="O168" s="518">
        <f>1/Fsw-(Table16[[#This Row],[t1_Ph_II]]+Table16[[#This Row],[t2_Ph_I]])</f>
        <v>0</v>
      </c>
      <c r="P168"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2.7997733222634702</v>
      </c>
      <c r="Q168" s="292">
        <f>CHOOSE(Table16[[#This Row],[Mode Digit]],Table16[[#This Row],[I_0]]+1/Lf*(Table16[[#This Row],[Vin]]-Vout)*Table16[[#This Row],[t1_Ph_II]],Table16[[#This Row],[I_0]]+1/Lf*Table16[[#This Row],[Vin]]*Table16[[#This Row],[t1_Ph_II]],Table16[[#This Row],[I_0]]+(Table16[[#This Row],[Vin]]-Vout)/L*Table16[[#This Row],[t1_Ph_II]])</f>
        <v>13.200226677736531</v>
      </c>
      <c r="R168" s="292">
        <f>CHOOSE(Table16[[#This Row],[Mode Digit]],0,0,Table16[[#This Row],[I_1]]+Table16[[#This Row],[Vin]]/L*Table16[[#This Row],[t2_Ph_I]])</f>
        <v>0</v>
      </c>
      <c r="S168" s="292">
        <f>Fsw*(Table16[[#This Row],[I_0]]*Table16[[#This Row],[t1_Ph_II]]+Table16[[#This Row],[I_1]]*Table16[[#This Row],[t2_Ph_I]]+Table16[[#This Row],[I_2]]*Table16[[#This Row],[t3_Ph_III]])</f>
        <v>7.6050945729315318</v>
      </c>
      <c r="T168" s="345">
        <f>MIN(1,CHOOSE(Table16[[#This Row],[Mode Digit]],(Vout+(Rdson2+Rs+Rdcr)*Table16[[#This Row],[Iout]])/(Table16[[#This Row],[Vin]]+(Rs+Rdson2-Rdson1)*Table16[[#This Row],[Iout]]),1,Fsw*Table16[[#This Row],[t2_Ph_I]]+Table16[[#This Row],[t1_Ph_II]]))</f>
        <v>0.53797002049537179</v>
      </c>
      <c r="U168" s="345">
        <f>MIN(1,CHOOSE(Table16[[#This Row],[Mode Digit]],0,(Vout+(Rdson3+Rdcr)*Table16[[#This Row],[Iin]]-Table16[[#This Row],[Vin]])/(Vout+(Rdson3-Rdson4-Rs)*Table16[[#This Row],[Iin]]),Fsw*Table16[[#This Row],[t1_Ph_II]]+Table16[[#This Row],[t3_Ph_III]]))</f>
        <v>0</v>
      </c>
      <c r="V168" s="292">
        <f>MAX(Table16[[#This Row],[I_0]:[I_2]])-MIN(Table16[[#This Row],[I_0]:[I_1]])</f>
        <v>10.400453355473061</v>
      </c>
      <c r="W168"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8.5448299670978969</v>
      </c>
      <c r="X168" s="345">
        <f>(Table16[[#This Row],[Irms Lf]]^2*Rdcr*(1+Ltc*Ta-Ltc*25))/(1-Table16[[#This Row],[Irms Lf]]^2*Rdcr*Ltc*ThetaCa)</f>
        <v>0.23809557198036368</v>
      </c>
      <c r="Y168" s="345">
        <f>ABS(7.759*10^-3*Fsw^0.9458*(0.00787*Table16[[#This Row],[Ripple Current pk-pk]])^2.304)</f>
        <v>4.8060620794330688</v>
      </c>
      <c r="Z168" s="345">
        <f>Table16[[#This Row],[DCR    Loss]]+Table16[[#This Row],[Core Loss]]</f>
        <v>5.0441576514134328</v>
      </c>
      <c r="AA168" s="292">
        <f>IF(Table16[[#This Row],[Vin]]&gt;Vout, Table16[[#This Row],[Ripple Current pk-pk]]/SQRT(12), SQRT(Table16[[#This Row],[Duty Cycle BOOST Leg]]/(1-Table16[[#This Row],[Duty Cycle BOOST Leg]]))*SQRT(Table16[[#This Row],[Iout]]^2+(Table16[[#This Row],[Ripple Current pk-pk]]^2)/12))</f>
        <v>3.0023522722382596</v>
      </c>
      <c r="AB168" s="345">
        <f>RCoutEsr*Table16[[#This Row],[Irms Cout]]^2</f>
        <v>1.8028238333228485E-2</v>
      </c>
      <c r="AC168" s="345">
        <f>Table16[[#This Row],[Cout ESR Loss]]</f>
        <v>1.8028238333228485E-2</v>
      </c>
      <c r="AD168" s="345">
        <f>IF(Table16[[#This Row],[Vin]]&gt;Vout, SQRT(Table16[[#This Row],[Duty Cycle BUCK Leg]]*(1-Table16[[#This Row],[Duty Cycle BUCK Leg]]))*SQRT(Table16[[#This Row],[Iout]]^2+(Table16[[#This Row],[Ripple Current pk-pk]]^2)/12), Table16[[#This Row],[Ripple Current pk-pk]]/SQRT(12))</f>
        <v>4.2600778979280891</v>
      </c>
      <c r="AE168" s="345">
        <f>RCinEsr*Table16[[#This Row],[Irms Cin]]^2</f>
        <v>3.6296527392830812E-2</v>
      </c>
      <c r="AF168" s="683">
        <f>Table16[[#This Row],[Cin ESR Loss]]</f>
        <v>3.6296527392830812E-2</v>
      </c>
      <c r="AG168"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6.2673285524627627</v>
      </c>
      <c r="AH168" s="345">
        <f>Rdson1*Table16[[#This Row],[Irms BuCtrl]]^2</f>
        <v>0.13747792514580245</v>
      </c>
      <c r="AI168" s="345">
        <f>CHOOSE(Table16[[#This Row],[Mode Digit]], (Table16[[#This Row],[Vin]]*Table16[[#This Row],[Iout]]/2)*(Fsw)*(Tr_buck+Tf_buck), 0, (Table16[[#This Row],[Vin]]*Table16[[#This Row],[Avg IL]]/2)*(Fsw/1)*(Tr_buck+Tf_buck))</f>
        <v>0.89371119653209885</v>
      </c>
      <c r="AJ168" s="253">
        <f>IF(Table16[[#This Row],[Vin]]&gt;Vout, IF(Table16[[#This Row],[Iout]]&gt;Table16[[#This Row],[Ripple Current pk-pk]]/2,0,ABS(Table16[[#This Row],[Iout]]-Table16[[#This Row],[Ripple Current pk-pk]]/2)*Vsd_Q1*Deadtime*Fsw),0)</f>
        <v>0</v>
      </c>
      <c r="AK168" s="345">
        <f>(Table16[[#This Row],[Dead Time Loss BuCtrl]]+Table16[[#This Row],[Transition Loss BuCtrl]]+Table16[[#This Row],[RDS(on) Loss BuCtrl]]*(1+RdsonTopTc*Ta-RdsonTopTc*25))/(1-Table16[[#This Row],[RDS(on) Loss BuCtrl]]*RdsonTopTc*ThetaJA_Q1)</f>
        <v>1.0694145541235238</v>
      </c>
      <c r="AL168" s="345">
        <f>CHOOSE(Table16[[#This Row],[Mode Digit]],SQRT((Fsw*(Table16[[#This Row],[t2_Ph_I]]+0))*((Table16[[#This Row],[I_0]]*Table16[[#This Row],[I_1]]+((Table16[[#This Row],[I_0]]-Table16[[#This Row],[I_1]])^2)/3))),0,SQRT((Fsw*(Table16[[#This Row],[t3_Ph_III]]+0))*((Table16[[#This Row],[I_0]]*Table16[[#This Row],[I_2]]+((Table16[[#This Row],[I_0]]-Table16[[#This Row],[I_2]])^2)/3))))</f>
        <v>5.8081590871892681</v>
      </c>
      <c r="AM168" s="345">
        <f>Rdson2*Table16[[#This Row],[Irms BuSync]]^2</f>
        <v>0.11807149193734745</v>
      </c>
      <c r="AN168"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68" s="345">
        <f>(Table16[[#This Row],[Deadtime Loss BuSync]]+Table16[[#This Row],[RDS(on) Loss BuSync]]*(1+RdsonBotTc*Ta-RdsonBotTc*25))/(1-Table16[[#This Row],[RDS(on) Loss BuSync]]*RdsonBotTc*ThetaJA_Q2)</f>
        <v>0.36817391111145525</v>
      </c>
      <c r="AP168" s="345">
        <f>CHOOSE(Table16[[#This Row],[Mode Digit]],0,SQRT((Fsw*(Table16[[#This Row],[t1_Ph_II]]+0))*((Table16[[#This Row],[I_0]]*Table16[[#This Row],[I_1]]+((Table16[[#This Row],[I_0]]-Table16[[#This Row],[I_1]])^2)/3))),SQRT((Fsw*(Table16[[#This Row],[t2_Ph_I]]+0))*((Table16[[#This Row],[I_1]]*Table16[[#This Row],[I_2]]+((Table16[[#This Row],[I_1]]-Table16[[#This Row],[I_2]])^2)/3))))</f>
        <v>0</v>
      </c>
      <c r="AQ168" s="345">
        <f>Rdson4*Table16[[#This Row],[Irms BoCtlr]]^2</f>
        <v>0</v>
      </c>
      <c r="AR168" s="345">
        <f>CHOOSE(Table16[[#This Row],[Mode Digit]], 0, (Vout*Table16[[#This Row],[Iin]]/2)*(Fsw)*(Tr_boost+Tf_boost), (Vout*Iout/2)*(Fsw/1)*(Tr_boost+Tf_boost))</f>
        <v>0</v>
      </c>
      <c r="AS168" s="253">
        <f>IF(Table16[[#This Row],[Vin]]&gt;Vout, 0, IF(Table16[[#This Row],[Iin]]&gt;Table16[[#This Row],[Ripple Current pk-pk]]/2,0,ABS(Table16[[#This Row],[Iin]]-Table16[[#This Row],[Ripple Current pk-pk]]/2)*Vsd_Q4*Deadtime*Fsw))</f>
        <v>0</v>
      </c>
      <c r="AT168" s="345">
        <f>(Table16[[#This Row],[Dead Time Loss BoCtlr]]+Table16[[#This Row],[Transition Loss BoCtlr]]+Table16[[#This Row],[RDS(on) Loss BoCtlr]]*(1+RdsonTopTc*Ta-RdsonTopTc*25))/(1-Table16[[#This Row],[RDS(on) Loss BoCtlr]]*RdsonTopTc*ThetaJA_Q4)</f>
        <v>0</v>
      </c>
      <c r="AU168"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8.5448299670978969</v>
      </c>
      <c r="AV168" s="345">
        <f>Rdson3*Table16[[#This Row],[Irms BoSync]]^2</f>
        <v>0.25554941708314988</v>
      </c>
      <c r="AW168"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68" s="345">
        <f>(Table16[[#This Row],[Deadtime Loss BoSync]]+Table16[[#This Row],[RDS(on) Loss BoSync]]*(1+RdsonBotTc*Ta-RdsonBotTc*25))/(1-Table16[[#This Row],[RDS(on) Loss BoSync]]*RdsonBotTc*ThetaJA_Q3)</f>
        <v>0.273737303234797</v>
      </c>
      <c r="AY168" s="345">
        <f>CHOOSE(Table16[[#This Row],[Mode Digit]], Rdson3*Table16[[#This Row],[Irms Lf]]^2, Rdson1*Table16[[#This Row],[Irms Lf]]^2, 0)</f>
        <v>0.25554941708314988</v>
      </c>
      <c r="AZ168" s="345">
        <f>CHOOSE(Table16[[#This Row],[Mode Digit]], 2*Deadtime*Fsw*IF(VfdSky_Q2&gt;0,VfdSky_Q2,0)*Table16[[#This Row],[Iout]], 2*Deadtime*Fsw*IF(VfdSky_Q3&gt;0,VfdSky_Q3,0)*Table16[[#This Row],[Iin]], 2*Deadtime*Fsw*IF(VfdSky_Q2&gt;0,VfdSky_Q2,0)*Table16[[#This Row],[Iout]]+2*Deadtime*Fsw*IF(VfdSky_Q3&gt;0,VfdSky_Q3,0)*Table16[[#This Row],[Iin]])</f>
        <v>0</v>
      </c>
      <c r="BA168" s="345">
        <f>CHOOSE(Table16[[#This Row],[Mode Digit]], IF(QrrSky_Q2&gt;0,QrrSky_Q2,Qrr_Q2)*Fsw*(Table16[[#This Row],[Vin]]-Table16[[#This Row],[Iout]]*Rdson1),0,  IF(QrrSky_Q2&gt;0,QrrSky_Q2,Qrr_Q2)*Fsw*(Table16[[#This Row],[Vin]]-Table16[[#This Row],[Iout]]*Rdson1)+IF(QrrSky_Q3&gt;0,QrrSky_Q3,Qrr_Q3)*Fsw*Vout)</f>
        <v>0.53411202000000002</v>
      </c>
      <c r="BB168" s="345">
        <f>CHOOSE(Table16[[#This Row],[Mode Digit]],0, IF(QrrSky_Q3&gt;0,QrrSky_Q3,Qrr_Q3)*Fsw*Vout,  IF(QrrSky_Q2&gt;0,QrrSky_Q2,Qrr_Q2)*Fsw*(Table16[[#This Row],[Vin]]-Table16[[#This Row],[Iout]]*Rdson1)+IF(QrrSky_Q3&gt;0,QrrSky_Q3,Qrr_Q3)*Fsw*Vout)</f>
        <v>0</v>
      </c>
      <c r="BC168" s="345">
        <f>CHOOSE(Table16[[#This Row],[Mode Digit]], Rs*Table16[[#This Row],[Irms BuSync]]^2, Rs*Table16[[#This Row],[Irms BoCtlr]]^2, Rs*(Table16[[#This Row],[Irms BuSync]]^2+Table16[[#This Row],[Irms BoCtlr]]^2))</f>
        <v>4.3855125576729048E-2</v>
      </c>
      <c r="BD168" s="345">
        <f t="shared" si="8"/>
        <v>0.64</v>
      </c>
      <c r="BE168" s="345">
        <f>IF(Vout&gt;8, Iq*Vout, Iq*Table16[[#This Row],[Vin]])</f>
        <v>4.8000000000000001E-2</v>
      </c>
      <c r="BF168" s="345">
        <f>CHOOSE(Table16[[#This Row],[Mode Digit]], (Qg_Q1+Qg_Q2)*Fsw, (Qg_Q3+Qg_Q4)*Fsw, (Qg_Q1+Qg_Q2+Qg_Q3+Qg_Q4)*Fsw)*IF(Vout&gt;8, Vout, Table16[[#This Row],[Vin]])</f>
        <v>0.85331200000000007</v>
      </c>
      <c r="BG168" s="345">
        <f t="shared" si="9"/>
        <v>0.50594479787234037</v>
      </c>
      <c r="BH168" s="345">
        <f>Table16[[#This Row],[IQ Loss]]+Table16[[#This Row],[Switching Current Loss]]</f>
        <v>0.90131200000000011</v>
      </c>
      <c r="BI168"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8.9290873311859986</v>
      </c>
      <c r="BJ168" s="253">
        <f>Vout*Table16[[#This Row],[Iout]]</f>
        <v>128</v>
      </c>
      <c r="BK168" s="684">
        <f>Table16[[#This Row],[Pout]]/(Table16[[#This Row],[Pout]]+Table16[[#This Row],[Total Loss]])</f>
        <v>0.93479042689016467</v>
      </c>
      <c r="BL168"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69.51194601802905</v>
      </c>
      <c r="BM168" s="685">
        <f>IF(Table16[[#This Row],[Vin]]&gt;Vout, Table16[[#This Row],[Total Sync Bu MOSFET Loss]]*ThetaJA_Q2, ThetaJA_Q3*Table16[[#This Row],[Total Sync Bo MOSFET Loss]])</f>
        <v>23.931304222244592</v>
      </c>
      <c r="BN168" s="640"/>
      <c r="BO168" s="292">
        <f>Table16[[#This Row],[EFF, h]]*100</f>
        <v>93.479042689016467</v>
      </c>
      <c r="BP168" s="345">
        <f>Table16[[#This Row],[Total Inductor Loss]]</f>
        <v>5.0441576514134328</v>
      </c>
      <c r="BQ168" s="345">
        <f>Table16[[#This Row],[Total Control Bu MOSFET Loss]]+Table16[[#This Row],[Total Sync Bu MOSFET Loss]]+Table16[[#This Row],[Total Control Bo MOSFET Loss]]+Table16[[#This Row],[Total Sync Bo MOSFET Loss]]+Table16[[#This Row],[Reverse Recovery Loss MOSFET D BUCK]]+Table16[[#This Row],[Reverse Recovery Loss MOSFET D BOOST]]</f>
        <v>2.245437788469776</v>
      </c>
      <c r="BR168" s="345">
        <f>Table16[[#This Row],[Total Control Bu MOSFET Loss]]+Table16[[#This Row],[Reverse Recovery Loss MOSFET D BUCK]]*0.66</f>
        <v>1.4219284873235238</v>
      </c>
      <c r="BS168" s="345">
        <f>Table16[[#This Row],[Total Sync Bu MOSFET Loss]]+Table16[[#This Row],[Reverse Recovery Loss MOSFET D BUCK]]*0.33</f>
        <v>0.54443087771145526</v>
      </c>
      <c r="BT168" s="345">
        <f xml:space="preserve"> Table16[[#This Row],[Total Control Bo MOSFET Loss]]+Table16[[#This Row],[Reverse Recovery Loss MOSFET D BOOST]]*0.66</f>
        <v>0</v>
      </c>
      <c r="BU168" s="345">
        <f xml:space="preserve"> Table16[[#This Row],[Total Sync Bo MOSFET Loss]]+Table16[[#This Row],[Reverse Recovery Loss MOSFET D BOOST]]*0.33</f>
        <v>0.273737303234797</v>
      </c>
      <c r="BV168" s="345">
        <f>Table16[[#This Row],[Isense Shunt Loss]]</f>
        <v>4.3855125576729048E-2</v>
      </c>
    </row>
    <row r="169" spans="7:74" x14ac:dyDescent="0.2">
      <c r="G169" s="253">
        <v>160</v>
      </c>
      <c r="H169" s="286">
        <f>VIN_min+(VIN_max-VIN_min)*(Table16[[#This Row],[Step]]/200)</f>
        <v>30</v>
      </c>
      <c r="I169" s="292" t="str">
        <f>IF(Mode = 2,IF(Table16[[#This Row],[Vin]]&gt;Vout, "BUCK","BOOST"),IF(Table16[[#This Row],[Vin]]&gt;VIN_BB_to_buck, "BUCK", IF(Table16[[#This Row],[Vin]]&lt;=VIN_boost_to_BB,"BOOST","BUCK-BST")))</f>
        <v>BUCK</v>
      </c>
      <c r="J169" s="253">
        <f>IF(Table16[[#This Row],[Mode]]="BOOST",2, IF(Table16[[#This Row],[Mode]]="BUCK", 1,3))</f>
        <v>1</v>
      </c>
      <c r="K169" s="253">
        <f t="shared" si="7"/>
        <v>8</v>
      </c>
      <c r="L169" s="292">
        <f>Vout*Table16[[#This Row],[Iout]]/(Table16[[#This Row],[Vin]]*Efficiency)</f>
        <v>4.4912280701754383</v>
      </c>
      <c r="M169" s="682">
        <f>MIN(1/Fsw,CHOOSE(Table16[[#This Row],[Mode Digit]],(Vout+(Rdson2+Rs+Rdcr)*Table16[[#This Row],[Iout]])/(Table16[[#This Row],[Vin]]+(Rs+Rdson2-Rdson1)*Table16[[#This Row],[Iout]])/Fsw,(Vout+(Rdson3+Rdcr)*Table16[[#This Row],[Iin]]-Table16[[#This Row],[Vin]])/(Vout+(Rdson3-Rdson4-Rs)*Table16[[#This Row],[Iin]])/Fsw,t1_Ph_II))</f>
        <v>1.3449273933445116E-6</v>
      </c>
      <c r="N169" s="518">
        <f>CHOOSE(Table16[[#This Row],[Mode Digit]],1/Fsw-Table16[[#This Row],[t1_Ph_II]],1/Fsw-Table16[[#This Row],[t1_Ph_II]],(Vout/Fsw-Table16[[#This Row],[Vin]]*t1_Ph_II)/(Table16[[#This Row],[Vin]]+Vout))</f>
        <v>1.1676354207258403E-6</v>
      </c>
      <c r="O169" s="518">
        <f>1/Fsw-(Table16[[#This Row],[t1_Ph_II]]+Table16[[#This Row],[t2_Ph_I]])</f>
        <v>0</v>
      </c>
      <c r="P169"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2.7697268036602329</v>
      </c>
      <c r="Q169" s="292">
        <f>CHOOSE(Table16[[#This Row],[Mode Digit]],Table16[[#This Row],[I_0]]+1/Lf*(Table16[[#This Row],[Vin]]-Vout)*Table16[[#This Row],[t1_Ph_II]],Table16[[#This Row],[I_0]]+1/Lf*Table16[[#This Row],[Vin]]*Table16[[#This Row],[t1_Ph_II]],Table16[[#This Row],[I_0]]+(Table16[[#This Row],[Vin]]-Vout)/L*Table16[[#This Row],[t1_Ph_II]])</f>
        <v>13.230273196339766</v>
      </c>
      <c r="R169" s="292">
        <f>CHOOSE(Table16[[#This Row],[Mode Digit]],0,0,Table16[[#This Row],[I_1]]+Table16[[#This Row],[Vin]]/L*Table16[[#This Row],[t2_Ph_I]])</f>
        <v>0</v>
      </c>
      <c r="S169" s="292">
        <f>Fsw*(Table16[[#This Row],[I_0]]*Table16[[#This Row],[t1_Ph_II]]+Table16[[#This Row],[I_1]]*Table16[[#This Row],[t2_Ph_I]]+Table16[[#This Row],[I_2]]*Table16[[#This Row],[t3_Ph_III]])</f>
        <v>7.6309403899791715</v>
      </c>
      <c r="T169" s="345">
        <f>MIN(1,CHOOSE(Table16[[#This Row],[Mode Digit]],(Vout+(Rdson2+Rs+Rdcr)*Table16[[#This Row],[Iout]])/(Table16[[#This Row],[Vin]]+(Rs+Rdson2-Rdson1)*Table16[[#This Row],[Iout]]),1,Fsw*Table16[[#This Row],[t2_Ph_I]]+Table16[[#This Row],[t1_Ph_II]]))</f>
        <v>0.53528110255111561</v>
      </c>
      <c r="U169" s="345">
        <f>MIN(1,CHOOSE(Table16[[#This Row],[Mode Digit]],0,(Vout+(Rdson3+Rdcr)*Table16[[#This Row],[Iin]]-Table16[[#This Row],[Vin]])/(Vout+(Rdson3-Rdson4-Rs)*Table16[[#This Row],[Iin]]),Fsw*Table16[[#This Row],[t1_Ph_II]]+Table16[[#This Row],[t3_Ph_III]]))</f>
        <v>0</v>
      </c>
      <c r="V169" s="292">
        <f>MAX(Table16[[#This Row],[I_0]:[I_2]])-MIN(Table16[[#This Row],[I_0]:[I_1]])</f>
        <v>10.460546392679532</v>
      </c>
      <c r="W169"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8.5509406443258271</v>
      </c>
      <c r="X169" s="345">
        <f>(Table16[[#This Row],[Irms Lf]]^2*Rdcr*(1+Ltc*Ta-Ltc*25))/(1-Table16[[#This Row],[Irms Lf]]^2*Rdcr*Ltc*ThetaCa)</f>
        <v>0.23844273129363988</v>
      </c>
      <c r="Y169" s="345">
        <f>ABS(7.759*10^-3*Fsw^0.9458*(0.00787*Table16[[#This Row],[Ripple Current pk-pk]])^2.304)</f>
        <v>4.8702831722592688</v>
      </c>
      <c r="Z169" s="345">
        <f>Table16[[#This Row],[DCR    Loss]]+Table16[[#This Row],[Core Loss]]</f>
        <v>5.1087259035529087</v>
      </c>
      <c r="AA169" s="292">
        <f>IF(Table16[[#This Row],[Vin]]&gt;Vout, Table16[[#This Row],[Ripple Current pk-pk]]/SQRT(12), SQRT(Table16[[#This Row],[Duty Cycle BOOST Leg]]/(1-Table16[[#This Row],[Duty Cycle BOOST Leg]]))*SQRT(Table16[[#This Row],[Iout]]^2+(Table16[[#This Row],[Ripple Current pk-pk]]^2)/12))</f>
        <v>3.0196996378420486</v>
      </c>
      <c r="AB169" s="345">
        <f>RCoutEsr*Table16[[#This Row],[Irms Cout]]^2</f>
        <v>1.8237171805566801E-2</v>
      </c>
      <c r="AC169" s="345">
        <f>Table16[[#This Row],[Cout ESR Loss]]</f>
        <v>1.8237171805566801E-2</v>
      </c>
      <c r="AD169" s="345">
        <f>IF(Table16[[#This Row],[Vin]]&gt;Vout, SQRT(Table16[[#This Row],[Duty Cycle BUCK Leg]]*(1-Table16[[#This Row],[Duty Cycle BUCK Leg]]))*SQRT(Table16[[#This Row],[Iout]]^2+(Table16[[#This Row],[Ripple Current pk-pk]]^2)/12), Table16[[#This Row],[Ripple Current pk-pk]]/SQRT(12))</f>
        <v>4.2648132037360353</v>
      </c>
      <c r="AE169" s="345">
        <f>RCinEsr*Table16[[#This Row],[Irms Cin]]^2</f>
        <v>3.6377263325522449E-2</v>
      </c>
      <c r="AF169" s="683">
        <f>Table16[[#This Row],[Cin ESR Loss]]</f>
        <v>3.6377263325522449E-2</v>
      </c>
      <c r="AG169"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6.2561167891129044</v>
      </c>
      <c r="AH169" s="345">
        <f>Rdson1*Table16[[#This Row],[Irms BuCtrl]]^2</f>
        <v>0.13698649047657127</v>
      </c>
      <c r="AI169" s="345">
        <f>CHOOSE(Table16[[#This Row],[Mode Digit]], (Table16[[#This Row],[Vin]]*Table16[[#This Row],[Iout]]/2)*(Fsw)*(Tr_buck+Tf_buck), 0, (Table16[[#This Row],[Vin]]*Table16[[#This Row],[Avg IL]]/2)*(Fsw/1)*(Tr_buck+Tf_buck))</f>
        <v>0.89820220756994862</v>
      </c>
      <c r="AJ169" s="253">
        <f>IF(Table16[[#This Row],[Vin]]&gt;Vout, IF(Table16[[#This Row],[Iout]]&gt;Table16[[#This Row],[Ripple Current pk-pk]]/2,0,ABS(Table16[[#This Row],[Iout]]-Table16[[#This Row],[Ripple Current pk-pk]]/2)*Vsd_Q1*Deadtime*Fsw),0)</f>
        <v>0</v>
      </c>
      <c r="AK169" s="345">
        <f>(Table16[[#This Row],[Dead Time Loss BuCtrl]]+Table16[[#This Row],[Transition Loss BuCtrl]]+Table16[[#This Row],[RDS(on) Loss BuCtrl]]*(1+RdsonTopTc*Ta-RdsonTopTc*25))/(1-Table16[[#This Row],[RDS(on) Loss BuCtrl]]*RdsonTopTc*ThetaJA_Q1)</f>
        <v>1.0734201535534691</v>
      </c>
      <c r="AL169" s="345">
        <f>CHOOSE(Table16[[#This Row],[Mode Digit]],SQRT((Fsw*(Table16[[#This Row],[t2_Ph_I]]+0))*((Table16[[#This Row],[I_0]]*Table16[[#This Row],[I_1]]+((Table16[[#This Row],[I_0]]-Table16[[#This Row],[I_1]])^2)/3))),0,SQRT((Fsw*(Table16[[#This Row],[t3_Ph_III]]+0))*((Table16[[#This Row],[I_0]]*Table16[[#This Row],[I_2]]+((Table16[[#This Row],[I_0]]-Table16[[#This Row],[I_2]])^2)/3))))</f>
        <v>5.8292013710081285</v>
      </c>
      <c r="AM169" s="345">
        <f>Rdson2*Table16[[#This Row],[Irms BuSync]]^2</f>
        <v>0.11892856018317065</v>
      </c>
      <c r="AN169"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69" s="345">
        <f>(Table16[[#This Row],[Deadtime Loss BuSync]]+Table16[[#This Row],[RDS(on) Loss BuSync]]*(1+RdsonBotTc*Ta-RdsonBotTc*25))/(1-Table16[[#This Row],[RDS(on) Loss BuSync]]*RdsonBotTc*ThetaJA_Q2)</f>
        <v>0.36914298762846615</v>
      </c>
      <c r="AP169" s="345">
        <f>CHOOSE(Table16[[#This Row],[Mode Digit]],0,SQRT((Fsw*(Table16[[#This Row],[t1_Ph_II]]+0))*((Table16[[#This Row],[I_0]]*Table16[[#This Row],[I_1]]+((Table16[[#This Row],[I_0]]-Table16[[#This Row],[I_1]])^2)/3))),SQRT((Fsw*(Table16[[#This Row],[t2_Ph_I]]+0))*((Table16[[#This Row],[I_1]]*Table16[[#This Row],[I_2]]+((Table16[[#This Row],[I_1]]-Table16[[#This Row],[I_2]])^2)/3))))</f>
        <v>0</v>
      </c>
      <c r="AQ169" s="345">
        <f>Rdson4*Table16[[#This Row],[Irms BoCtlr]]^2</f>
        <v>0</v>
      </c>
      <c r="AR169" s="345">
        <f>CHOOSE(Table16[[#This Row],[Mode Digit]], 0, (Vout*Table16[[#This Row],[Iin]]/2)*(Fsw)*(Tr_boost+Tf_boost), (Vout*Iout/2)*(Fsw/1)*(Tr_boost+Tf_boost))</f>
        <v>0</v>
      </c>
      <c r="AS169" s="253">
        <f>IF(Table16[[#This Row],[Vin]]&gt;Vout, 0, IF(Table16[[#This Row],[Iin]]&gt;Table16[[#This Row],[Ripple Current pk-pk]]/2,0,ABS(Table16[[#This Row],[Iin]]-Table16[[#This Row],[Ripple Current pk-pk]]/2)*Vsd_Q4*Deadtime*Fsw))</f>
        <v>0</v>
      </c>
      <c r="AT169" s="345">
        <f>(Table16[[#This Row],[Dead Time Loss BoCtlr]]+Table16[[#This Row],[Transition Loss BoCtlr]]+Table16[[#This Row],[RDS(on) Loss BoCtlr]]*(1+RdsonTopTc*Ta-RdsonTopTc*25))/(1-Table16[[#This Row],[RDS(on) Loss BoCtlr]]*RdsonTopTc*ThetaJA_Q4)</f>
        <v>0</v>
      </c>
      <c r="AU169"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8.5509406443258271</v>
      </c>
      <c r="AV169" s="345">
        <f>Rdson3*Table16[[#This Row],[Irms BoSync]]^2</f>
        <v>0.25591505065974191</v>
      </c>
      <c r="AW169"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69" s="345">
        <f>(Table16[[#This Row],[Deadtime Loss BoSync]]+Table16[[#This Row],[RDS(on) Loss BoSync]]*(1+RdsonBotTc*Ta-RdsonBotTc*25))/(1-Table16[[#This Row],[RDS(on) Loss BoSync]]*RdsonBotTc*ThetaJA_Q3)</f>
        <v>0.27415687714670817</v>
      </c>
      <c r="AY169" s="345">
        <f>CHOOSE(Table16[[#This Row],[Mode Digit]], Rdson3*Table16[[#This Row],[Irms Lf]]^2, Rdson1*Table16[[#This Row],[Irms Lf]]^2, 0)</f>
        <v>0.25591505065974191</v>
      </c>
      <c r="AZ169" s="345">
        <f>CHOOSE(Table16[[#This Row],[Mode Digit]], 2*Deadtime*Fsw*IF(VfdSky_Q2&gt;0,VfdSky_Q2,0)*Table16[[#This Row],[Iout]], 2*Deadtime*Fsw*IF(VfdSky_Q3&gt;0,VfdSky_Q3,0)*Table16[[#This Row],[Iin]], 2*Deadtime*Fsw*IF(VfdSky_Q2&gt;0,VfdSky_Q2,0)*Table16[[#This Row],[Iout]]+2*Deadtime*Fsw*IF(VfdSky_Q3&gt;0,VfdSky_Q3,0)*Table16[[#This Row],[Iin]])</f>
        <v>0</v>
      </c>
      <c r="BA169" s="345">
        <f>CHOOSE(Table16[[#This Row],[Mode Digit]], IF(QrrSky_Q2&gt;0,QrrSky_Q2,Qrr_Q2)*Fsw*(Table16[[#This Row],[Vin]]-Table16[[#This Row],[Iout]]*Rdson1),0,  IF(QrrSky_Q2&gt;0,QrrSky_Q2,Qrr_Q2)*Fsw*(Table16[[#This Row],[Vin]]-Table16[[#This Row],[Iout]]*Rdson1)+IF(QrrSky_Q3&gt;0,QrrSky_Q3,Qrr_Q3)*Fsw*Vout)</f>
        <v>0.53679851999999995</v>
      </c>
      <c r="BB169" s="345">
        <f>CHOOSE(Table16[[#This Row],[Mode Digit]],0, IF(QrrSky_Q3&gt;0,QrrSky_Q3,Qrr_Q3)*Fsw*Vout,  IF(QrrSky_Q2&gt;0,QrrSky_Q2,Qrr_Q2)*Fsw*(Table16[[#This Row],[Vin]]-Table16[[#This Row],[Iout]]*Rdson1)+IF(QrrSky_Q3&gt;0,QrrSky_Q3,Qrr_Q3)*Fsw*Vout)</f>
        <v>0</v>
      </c>
      <c r="BC169" s="345">
        <f>CHOOSE(Table16[[#This Row],[Mode Digit]], Rs*Table16[[#This Row],[Irms BuSync]]^2, Rs*Table16[[#This Row],[Irms BoCtlr]]^2, Rs*(Table16[[#This Row],[Irms BuSync]]^2+Table16[[#This Row],[Irms BoCtlr]]^2))</f>
        <v>4.4173465210891952E-2</v>
      </c>
      <c r="BD169" s="345">
        <f t="shared" si="8"/>
        <v>0.64</v>
      </c>
      <c r="BE169" s="345">
        <f>IF(Vout&gt;8, Iq*Vout, Iq*Table16[[#This Row],[Vin]])</f>
        <v>4.8000000000000001E-2</v>
      </c>
      <c r="BF169" s="345">
        <f>CHOOSE(Table16[[#This Row],[Mode Digit]], (Qg_Q1+Qg_Q2)*Fsw, (Qg_Q3+Qg_Q4)*Fsw, (Qg_Q1+Qg_Q2+Qg_Q3+Qg_Q4)*Fsw)*IF(Vout&gt;8, Vout, Table16[[#This Row],[Vin]])</f>
        <v>0.85331200000000007</v>
      </c>
      <c r="BG169" s="345">
        <f t="shared" si="9"/>
        <v>0.50594479787234037</v>
      </c>
      <c r="BH169" s="345">
        <f>Table16[[#This Row],[IQ Loss]]+Table16[[#This Row],[Switching Current Loss]]</f>
        <v>0.90131200000000011</v>
      </c>
      <c r="BI169"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9.0023443422235339</v>
      </c>
      <c r="BJ169" s="253">
        <f>Vout*Table16[[#This Row],[Iout]]</f>
        <v>128</v>
      </c>
      <c r="BK169" s="684">
        <f>Table16[[#This Row],[Pout]]/(Table16[[#This Row],[Pout]]+Table16[[#This Row],[Total Loss]])</f>
        <v>0.93429058177474533</v>
      </c>
      <c r="BL169"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69.772309980975493</v>
      </c>
      <c r="BM169" s="685">
        <f>IF(Table16[[#This Row],[Vin]]&gt;Vout, Table16[[#This Row],[Total Sync Bu MOSFET Loss]]*ThetaJA_Q2, ThetaJA_Q3*Table16[[#This Row],[Total Sync Bo MOSFET Loss]])</f>
        <v>23.994294195850298</v>
      </c>
      <c r="BN169" s="640"/>
      <c r="BO169" s="292">
        <f>Table16[[#This Row],[EFF, h]]*100</f>
        <v>93.429058177474531</v>
      </c>
      <c r="BP169" s="345">
        <f>Table16[[#This Row],[Total Inductor Loss]]</f>
        <v>5.1087259035529087</v>
      </c>
      <c r="BQ169" s="345">
        <f>Table16[[#This Row],[Total Control Bu MOSFET Loss]]+Table16[[#This Row],[Total Sync Bu MOSFET Loss]]+Table16[[#This Row],[Total Control Bo MOSFET Loss]]+Table16[[#This Row],[Total Sync Bo MOSFET Loss]]+Table16[[#This Row],[Reverse Recovery Loss MOSFET D BUCK]]+Table16[[#This Row],[Reverse Recovery Loss MOSFET D BOOST]]</f>
        <v>2.2535185383286436</v>
      </c>
      <c r="BR169" s="345">
        <f>Table16[[#This Row],[Total Control Bu MOSFET Loss]]+Table16[[#This Row],[Reverse Recovery Loss MOSFET D BUCK]]*0.66</f>
        <v>1.427707176753469</v>
      </c>
      <c r="BS169" s="345">
        <f>Table16[[#This Row],[Total Sync Bu MOSFET Loss]]+Table16[[#This Row],[Reverse Recovery Loss MOSFET D BUCK]]*0.33</f>
        <v>0.54628649922846617</v>
      </c>
      <c r="BT169" s="345">
        <f xml:space="preserve"> Table16[[#This Row],[Total Control Bo MOSFET Loss]]+Table16[[#This Row],[Reverse Recovery Loss MOSFET D BOOST]]*0.66</f>
        <v>0</v>
      </c>
      <c r="BU169" s="345">
        <f xml:space="preserve"> Table16[[#This Row],[Total Sync Bo MOSFET Loss]]+Table16[[#This Row],[Reverse Recovery Loss MOSFET D BOOST]]*0.33</f>
        <v>0.27415687714670817</v>
      </c>
      <c r="BV169" s="345">
        <f>Table16[[#This Row],[Isense Shunt Loss]]</f>
        <v>4.4173465210891952E-2</v>
      </c>
    </row>
    <row r="170" spans="7:74" x14ac:dyDescent="0.2">
      <c r="G170" s="253">
        <v>161</v>
      </c>
      <c r="H170" s="286">
        <f>VIN_min+(VIN_max-VIN_min)*(Table16[[#This Row],[Step]]/200)</f>
        <v>30.150000000000002</v>
      </c>
      <c r="I170" s="292" t="str">
        <f>IF(Mode = 2,IF(Table16[[#This Row],[Vin]]&gt;Vout, "BUCK","BOOST"),IF(Table16[[#This Row],[Vin]]&gt;VIN_BB_to_buck, "BUCK", IF(Table16[[#This Row],[Vin]]&lt;=VIN_boost_to_BB,"BOOST","BUCK-BST")))</f>
        <v>BUCK</v>
      </c>
      <c r="J170" s="253">
        <f>IF(Table16[[#This Row],[Mode]]="BOOST",2, IF(Table16[[#This Row],[Mode]]="BUCK", 1,3))</f>
        <v>1</v>
      </c>
      <c r="K170" s="253">
        <f t="shared" si="7"/>
        <v>8</v>
      </c>
      <c r="L170" s="292">
        <f>Vout*Table16[[#This Row],[Iout]]/(Table16[[#This Row],[Vin]]*Efficiency)</f>
        <v>4.468883651915859</v>
      </c>
      <c r="M170" s="682">
        <f>MIN(1/Fsw,CHOOSE(Table16[[#This Row],[Mode Digit]],(Vout+(Rdson2+Rs+Rdcr)*Table16[[#This Row],[Iout]])/(Table16[[#This Row],[Vin]]+(Rs+Rdson2-Rdson1)*Table16[[#This Row],[Iout]])/Fsw,(Vout+(Rdson3+Rdcr)*Table16[[#This Row],[Iin]]-Table16[[#This Row],[Vin]])/(Vout+(Rdson3-Rdson4-Rs)*Table16[[#This Row],[Iin]])/Fsw,t1_Ph_II))</f>
        <v>1.3382385195563097E-6</v>
      </c>
      <c r="N170" s="518">
        <f>CHOOSE(Table16[[#This Row],[Mode Digit]],1/Fsw-Table16[[#This Row],[t1_Ph_II]],1/Fsw-Table16[[#This Row],[t1_Ph_II]],(Vout/Fsw-Table16[[#This Row],[Vin]]*t1_Ph_II)/(Table16[[#This Row],[Vin]]+Vout))</f>
        <v>1.1743242945140422E-6</v>
      </c>
      <c r="O170" s="518">
        <f>1/Fsw-(Table16[[#This Row],[t1_Ph_II]]+Table16[[#This Row],[t2_Ph_I]])</f>
        <v>0</v>
      </c>
      <c r="P170"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2.7399791522995045</v>
      </c>
      <c r="Q170" s="292">
        <f>CHOOSE(Table16[[#This Row],[Mode Digit]],Table16[[#This Row],[I_0]]+1/Lf*(Table16[[#This Row],[Vin]]-Vout)*Table16[[#This Row],[t1_Ph_II]],Table16[[#This Row],[I_0]]+1/Lf*Table16[[#This Row],[Vin]]*Table16[[#This Row],[t1_Ph_II]],Table16[[#This Row],[I_0]]+(Table16[[#This Row],[Vin]]-Vout)/L*Table16[[#This Row],[t1_Ph_II]])</f>
        <v>13.260020847700495</v>
      </c>
      <c r="R170" s="292">
        <f>CHOOSE(Table16[[#This Row],[Mode Digit]],0,0,Table16[[#This Row],[I_1]]+Table16[[#This Row],[Vin]]/L*Table16[[#This Row],[t2_Ph_I]])</f>
        <v>0</v>
      </c>
      <c r="S170" s="292">
        <f>Fsw*(Table16[[#This Row],[I_0]]*Table16[[#This Row],[t1_Ph_II]]+Table16[[#This Row],[I_1]]*Table16[[#This Row],[t2_Ph_I]]+Table16[[#This Row],[I_2]]*Table16[[#This Row],[t3_Ph_III]])</f>
        <v>7.6568474880991166</v>
      </c>
      <c r="T170" s="345">
        <f>MIN(1,CHOOSE(Table16[[#This Row],[Mode Digit]],(Vout+(Rdson2+Rs+Rdcr)*Table16[[#This Row],[Iout]])/(Table16[[#This Row],[Vin]]+(Rs+Rdson2-Rdson1)*Table16[[#This Row],[Iout]]),1,Fsw*Table16[[#This Row],[t2_Ph_I]]+Table16[[#This Row],[t1_Ph_II]]))</f>
        <v>0.53261893078341127</v>
      </c>
      <c r="U170" s="345">
        <f>MIN(1,CHOOSE(Table16[[#This Row],[Mode Digit]],0,(Vout+(Rdson3+Rdcr)*Table16[[#This Row],[Iin]]-Table16[[#This Row],[Vin]])/(Vout+(Rdson3-Rdson4-Rs)*Table16[[#This Row],[Iin]]),Fsw*Table16[[#This Row],[t1_Ph_II]]+Table16[[#This Row],[t3_Ph_III]]))</f>
        <v>0</v>
      </c>
      <c r="V170" s="292">
        <f>MAX(Table16[[#This Row],[I_0]:[I_2]])-MIN(Table16[[#This Row],[I_0]:[I_1]])</f>
        <v>10.520041695400991</v>
      </c>
      <c r="W170"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8.5570208857647785</v>
      </c>
      <c r="X170" s="345">
        <f>(Table16[[#This Row],[Irms Lf]]^2*Rdcr*(1+Ltc*Ta-Ltc*25))/(1-Table16[[#This Row],[Irms Lf]]^2*Rdcr*Ltc*ThetaCa)</f>
        <v>0.23878842661817151</v>
      </c>
      <c r="Y170" s="345">
        <f>ABS(7.759*10^-3*Fsw^0.9458*(0.00787*Table16[[#This Row],[Ripple Current pk-pk]])^2.304)</f>
        <v>4.9343411817895859</v>
      </c>
      <c r="Z170" s="345">
        <f>Table16[[#This Row],[DCR    Loss]]+Table16[[#This Row],[Core Loss]]</f>
        <v>5.1731296084077574</v>
      </c>
      <c r="AA170" s="292">
        <f>IF(Table16[[#This Row],[Vin]]&gt;Vout, Table16[[#This Row],[Ripple Current pk-pk]]/SQRT(12), SQRT(Table16[[#This Row],[Duty Cycle BOOST Leg]]/(1-Table16[[#This Row],[Duty Cycle BOOST Leg]]))*SQRT(Table16[[#This Row],[Iout]]^2+(Table16[[#This Row],[Ripple Current pk-pk]]^2)/12))</f>
        <v>3.036874452362925</v>
      </c>
      <c r="AB170" s="345">
        <f>RCoutEsr*Table16[[#This Row],[Irms Cout]]^2</f>
        <v>1.8445212878829231E-2</v>
      </c>
      <c r="AC170" s="345">
        <f>Table16[[#This Row],[Cout ESR Loss]]</f>
        <v>1.8445212878829231E-2</v>
      </c>
      <c r="AD170" s="345">
        <f>IF(Table16[[#This Row],[Vin]]&gt;Vout, SQRT(Table16[[#This Row],[Duty Cycle BUCK Leg]]*(1-Table16[[#This Row],[Duty Cycle BUCK Leg]]))*SQRT(Table16[[#This Row],[Iout]]^2+(Table16[[#This Row],[Ripple Current pk-pk]]^2)/12), Table16[[#This Row],[Ripple Current pk-pk]]/SQRT(12))</f>
        <v>4.2693961105378841</v>
      </c>
      <c r="AE170" s="345">
        <f>RCinEsr*Table16[[#This Row],[Irms Cin]]^2</f>
        <v>3.6455486297352027E-2</v>
      </c>
      <c r="AF170" s="683">
        <f>Table16[[#This Row],[Cin ESR Loss]]</f>
        <v>3.6455486297352027E-2</v>
      </c>
      <c r="AG170"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6.2449776901871745</v>
      </c>
      <c r="AH170" s="345">
        <f>Rdson1*Table16[[#This Row],[Irms BuCtrl]]^2</f>
        <v>0.13649911222827438</v>
      </c>
      <c r="AI170" s="345">
        <f>CHOOSE(Table16[[#This Row],[Mode Digit]], (Table16[[#This Row],[Vin]]*Table16[[#This Row],[Iout]]/2)*(Fsw)*(Tr_buck+Tf_buck), 0, (Table16[[#This Row],[Vin]]*Table16[[#This Row],[Avg IL]]/2)*(Fsw/1)*(Tr_buck+Tf_buck))</f>
        <v>0.90269321860779839</v>
      </c>
      <c r="AJ170" s="253">
        <f>IF(Table16[[#This Row],[Vin]]&gt;Vout, IF(Table16[[#This Row],[Iout]]&gt;Table16[[#This Row],[Ripple Current pk-pk]]/2,0,ABS(Table16[[#This Row],[Iout]]-Table16[[#This Row],[Ripple Current pk-pk]]/2)*Vsd_Q1*Deadtime*Fsw),0)</f>
        <v>0</v>
      </c>
      <c r="AK170" s="345">
        <f>(Table16[[#This Row],[Dead Time Loss BuCtrl]]+Table16[[#This Row],[Transition Loss BuCtrl]]+Table16[[#This Row],[RDS(on) Loss BuCtrl]]*(1+RdsonTopTc*Ta-RdsonTopTc*25))/(1-Table16[[#This Row],[RDS(on) Loss BuCtrl]]*RdsonTopTc*ThetaJA_Q1)</f>
        <v>1.0774300755232851</v>
      </c>
      <c r="AL170" s="345">
        <f>CHOOSE(Table16[[#This Row],[Mode Digit]],SQRT((Fsw*(Table16[[#This Row],[t2_Ph_I]]+0))*((Table16[[#This Row],[I_0]]*Table16[[#This Row],[I_1]]+((Table16[[#This Row],[I_0]]-Table16[[#This Row],[I_1]])^2)/3))),0,SQRT((Fsw*(Table16[[#This Row],[t3_Ph_III]]+0))*((Table16[[#This Row],[I_0]]*Table16[[#This Row],[I_2]]+((Table16[[#This Row],[I_0]]-Table16[[#This Row],[I_2]])^2)/3))))</f>
        <v>5.850030776712126</v>
      </c>
      <c r="AM170" s="345">
        <f>Rdson2*Table16[[#This Row],[Irms BuSync]]^2</f>
        <v>0.11978001030967679</v>
      </c>
      <c r="AN170"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70" s="345">
        <f>(Table16[[#This Row],[Deadtime Loss BuSync]]+Table16[[#This Row],[RDS(on) Loss BuSync]]*(1+RdsonBotTc*Ta-RdsonBotTc*25))/(1-Table16[[#This Row],[RDS(on) Loss BuSync]]*RdsonBotTc*ThetaJA_Q2)</f>
        <v>0.37010615320993867</v>
      </c>
      <c r="AP170" s="345">
        <f>CHOOSE(Table16[[#This Row],[Mode Digit]],0,SQRT((Fsw*(Table16[[#This Row],[t1_Ph_II]]+0))*((Table16[[#This Row],[I_0]]*Table16[[#This Row],[I_1]]+((Table16[[#This Row],[I_0]]-Table16[[#This Row],[I_1]])^2)/3))),SQRT((Fsw*(Table16[[#This Row],[t2_Ph_I]]+0))*((Table16[[#This Row],[I_1]]*Table16[[#This Row],[I_2]]+((Table16[[#This Row],[I_1]]-Table16[[#This Row],[I_2]])^2)/3))))</f>
        <v>0</v>
      </c>
      <c r="AQ170" s="345">
        <f>Rdson4*Table16[[#This Row],[Irms BoCtlr]]^2</f>
        <v>0</v>
      </c>
      <c r="AR170" s="345">
        <f>CHOOSE(Table16[[#This Row],[Mode Digit]], 0, (Vout*Table16[[#This Row],[Iin]]/2)*(Fsw)*(Tr_boost+Tf_boost), (Vout*Iout/2)*(Fsw/1)*(Tr_boost+Tf_boost))</f>
        <v>0</v>
      </c>
      <c r="AS170" s="253">
        <f>IF(Table16[[#This Row],[Vin]]&gt;Vout, 0, IF(Table16[[#This Row],[Iin]]&gt;Table16[[#This Row],[Ripple Current pk-pk]]/2,0,ABS(Table16[[#This Row],[Iin]]-Table16[[#This Row],[Ripple Current pk-pk]]/2)*Vsd_Q4*Deadtime*Fsw))</f>
        <v>0</v>
      </c>
      <c r="AT170" s="345">
        <f>(Table16[[#This Row],[Dead Time Loss BoCtlr]]+Table16[[#This Row],[Transition Loss BoCtlr]]+Table16[[#This Row],[RDS(on) Loss BoCtlr]]*(1+RdsonTopTc*Ta-RdsonTopTc*25))/(1-Table16[[#This Row],[RDS(on) Loss BoCtlr]]*RdsonTopTc*ThetaJA_Q4)</f>
        <v>0</v>
      </c>
      <c r="AU170"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8.5570208857647785</v>
      </c>
      <c r="AV170" s="345">
        <f>Rdson3*Table16[[#This Row],[Irms BoSync]]^2</f>
        <v>0.25627912253795121</v>
      </c>
      <c r="AW170"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70" s="345">
        <f>(Table16[[#This Row],[Deadtime Loss BoSync]]+Table16[[#This Row],[RDS(on) Loss BoSync]]*(1+RdsonBotTc*Ta-RdsonBotTc*25))/(1-Table16[[#This Row],[RDS(on) Loss BoSync]]*RdsonBotTc*ThetaJA_Q3)</f>
        <v>0.27457474389118525</v>
      </c>
      <c r="AY170" s="345">
        <f>CHOOSE(Table16[[#This Row],[Mode Digit]], Rdson3*Table16[[#This Row],[Irms Lf]]^2, Rdson1*Table16[[#This Row],[Irms Lf]]^2, 0)</f>
        <v>0.25627912253795121</v>
      </c>
      <c r="AZ170" s="345">
        <f>CHOOSE(Table16[[#This Row],[Mode Digit]], 2*Deadtime*Fsw*IF(VfdSky_Q2&gt;0,VfdSky_Q2,0)*Table16[[#This Row],[Iout]], 2*Deadtime*Fsw*IF(VfdSky_Q3&gt;0,VfdSky_Q3,0)*Table16[[#This Row],[Iin]], 2*Deadtime*Fsw*IF(VfdSky_Q2&gt;0,VfdSky_Q2,0)*Table16[[#This Row],[Iout]]+2*Deadtime*Fsw*IF(VfdSky_Q3&gt;0,VfdSky_Q3,0)*Table16[[#This Row],[Iin]])</f>
        <v>0</v>
      </c>
      <c r="BA170" s="345">
        <f>CHOOSE(Table16[[#This Row],[Mode Digit]], IF(QrrSky_Q2&gt;0,QrrSky_Q2,Qrr_Q2)*Fsw*(Table16[[#This Row],[Vin]]-Table16[[#This Row],[Iout]]*Rdson1),0,  IF(QrrSky_Q2&gt;0,QrrSky_Q2,Qrr_Q2)*Fsw*(Table16[[#This Row],[Vin]]-Table16[[#This Row],[Iout]]*Rdson1)+IF(QrrSky_Q3&gt;0,QrrSky_Q3,Qrr_Q3)*Fsw*Vout)</f>
        <v>0.53948501999999998</v>
      </c>
      <c r="BB170" s="345">
        <f>CHOOSE(Table16[[#This Row],[Mode Digit]],0, IF(QrrSky_Q3&gt;0,QrrSky_Q3,Qrr_Q3)*Fsw*Vout,  IF(QrrSky_Q2&gt;0,QrrSky_Q2,Qrr_Q2)*Fsw*(Table16[[#This Row],[Vin]]-Table16[[#This Row],[Iout]]*Rdson1)+IF(QrrSky_Q3&gt;0,QrrSky_Q3,Qrr_Q3)*Fsw*Vout)</f>
        <v>0</v>
      </c>
      <c r="BC170" s="345">
        <f>CHOOSE(Table16[[#This Row],[Mode Digit]], Rs*Table16[[#This Row],[Irms BuSync]]^2, Rs*Table16[[#This Row],[Irms BoCtlr]]^2, Rs*(Table16[[#This Row],[Irms BuSync]]^2+Table16[[#This Row],[Irms BoCtlr]]^2))</f>
        <v>4.4489718115022801E-2</v>
      </c>
      <c r="BD170" s="345">
        <f t="shared" si="8"/>
        <v>0.64</v>
      </c>
      <c r="BE170" s="345">
        <f>IF(Vout&gt;8, Iq*Vout, Iq*Table16[[#This Row],[Vin]])</f>
        <v>4.8000000000000001E-2</v>
      </c>
      <c r="BF170" s="345">
        <f>CHOOSE(Table16[[#This Row],[Mode Digit]], (Qg_Q1+Qg_Q2)*Fsw, (Qg_Q3+Qg_Q4)*Fsw, (Qg_Q1+Qg_Q2+Qg_Q3+Qg_Q4)*Fsw)*IF(Vout&gt;8, Vout, Table16[[#This Row],[Vin]])</f>
        <v>0.85331200000000007</v>
      </c>
      <c r="BG170" s="345">
        <f t="shared" si="9"/>
        <v>0.50594479787234037</v>
      </c>
      <c r="BH170" s="345">
        <f>Table16[[#This Row],[IQ Loss]]+Table16[[#This Row],[Switching Current Loss]]</f>
        <v>0.90131200000000011</v>
      </c>
      <c r="BI170"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9.07542801832337</v>
      </c>
      <c r="BJ170" s="253">
        <f>Vout*Table16[[#This Row],[Iout]]</f>
        <v>128</v>
      </c>
      <c r="BK170" s="684">
        <f>Table16[[#This Row],[Pout]]/(Table16[[#This Row],[Pout]]+Table16[[#This Row],[Total Loss]])</f>
        <v>0.93379245172146952</v>
      </c>
      <c r="BL170"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70.032954909013526</v>
      </c>
      <c r="BM170" s="685">
        <f>IF(Table16[[#This Row],[Vin]]&gt;Vout, Table16[[#This Row],[Total Sync Bu MOSFET Loss]]*ThetaJA_Q2, ThetaJA_Q3*Table16[[#This Row],[Total Sync Bo MOSFET Loss]])</f>
        <v>24.056899958646014</v>
      </c>
      <c r="BN170" s="640"/>
      <c r="BO170" s="292">
        <f>Table16[[#This Row],[EFF, h]]*100</f>
        <v>93.379245172146952</v>
      </c>
      <c r="BP170" s="345">
        <f>Table16[[#This Row],[Total Inductor Loss]]</f>
        <v>5.1731296084077574</v>
      </c>
      <c r="BQ170" s="345">
        <f>Table16[[#This Row],[Total Control Bu MOSFET Loss]]+Table16[[#This Row],[Total Sync Bu MOSFET Loss]]+Table16[[#This Row],[Total Control Bo MOSFET Loss]]+Table16[[#This Row],[Total Sync Bo MOSFET Loss]]+Table16[[#This Row],[Reverse Recovery Loss MOSFET D BUCK]]+Table16[[#This Row],[Reverse Recovery Loss MOSFET D BOOST]]</f>
        <v>2.2615959926244091</v>
      </c>
      <c r="BR170" s="345">
        <f>Table16[[#This Row],[Total Control Bu MOSFET Loss]]+Table16[[#This Row],[Reverse Recovery Loss MOSFET D BUCK]]*0.66</f>
        <v>1.4334901887232852</v>
      </c>
      <c r="BS170" s="345">
        <f>Table16[[#This Row],[Total Sync Bu MOSFET Loss]]+Table16[[#This Row],[Reverse Recovery Loss MOSFET D BUCK]]*0.33</f>
        <v>0.54813620980993871</v>
      </c>
      <c r="BT170" s="345">
        <f xml:space="preserve"> Table16[[#This Row],[Total Control Bo MOSFET Loss]]+Table16[[#This Row],[Reverse Recovery Loss MOSFET D BOOST]]*0.66</f>
        <v>0</v>
      </c>
      <c r="BU170" s="345">
        <f xml:space="preserve"> Table16[[#This Row],[Total Sync Bo MOSFET Loss]]+Table16[[#This Row],[Reverse Recovery Loss MOSFET D BOOST]]*0.33</f>
        <v>0.27457474389118525</v>
      </c>
      <c r="BV170" s="345">
        <f>Table16[[#This Row],[Isense Shunt Loss]]</f>
        <v>4.4489718115022801E-2</v>
      </c>
    </row>
    <row r="171" spans="7:74" x14ac:dyDescent="0.2">
      <c r="G171" s="253">
        <v>162</v>
      </c>
      <c r="H171" s="286">
        <f>VIN_min+(VIN_max-VIN_min)*(Table16[[#This Row],[Step]]/200)</f>
        <v>30.3</v>
      </c>
      <c r="I171" s="292" t="str">
        <f>IF(Mode = 2,IF(Table16[[#This Row],[Vin]]&gt;Vout, "BUCK","BOOST"),IF(Table16[[#This Row],[Vin]]&gt;VIN_BB_to_buck, "BUCK", IF(Table16[[#This Row],[Vin]]&lt;=VIN_boost_to_BB,"BOOST","BUCK-BST")))</f>
        <v>BUCK</v>
      </c>
      <c r="J171" s="253">
        <f>IF(Table16[[#This Row],[Mode]]="BOOST",2, IF(Table16[[#This Row],[Mode]]="BUCK", 1,3))</f>
        <v>1</v>
      </c>
      <c r="K171" s="253">
        <f t="shared" si="7"/>
        <v>8</v>
      </c>
      <c r="L171" s="292">
        <f>Vout*Table16[[#This Row],[Iout]]/(Table16[[#This Row],[Vin]]*Efficiency)</f>
        <v>4.446760465520236</v>
      </c>
      <c r="M171" s="682">
        <f>MIN(1/Fsw,CHOOSE(Table16[[#This Row],[Mode Digit]],(Vout+(Rdson2+Rs+Rdcr)*Table16[[#This Row],[Iout]])/(Table16[[#This Row],[Vin]]+(Rs+Rdson2-Rdson1)*Table16[[#This Row],[Iout]])/Fsw,(Vout+(Rdson3+Rdcr)*Table16[[#This Row],[Iin]]-Table16[[#This Row],[Vin]])/(Vout+(Rdson3-Rdson4-Rs)*Table16[[#This Row],[Iin]])/Fsw,t1_Ph_II))</f>
        <v>1.3316158495178595E-6</v>
      </c>
      <c r="N171" s="518">
        <f>CHOOSE(Table16[[#This Row],[Mode Digit]],1/Fsw-Table16[[#This Row],[t1_Ph_II]],1/Fsw-Table16[[#This Row],[t1_Ph_II]],(Vout/Fsw-Table16[[#This Row],[Vin]]*t1_Ph_II)/(Table16[[#This Row],[Vin]]+Vout))</f>
        <v>1.1809469645524924E-6</v>
      </c>
      <c r="O171" s="518">
        <f>1/Fsw-(Table16[[#This Row],[t1_Ph_II]]+Table16[[#This Row],[t2_Ph_I]])</f>
        <v>0</v>
      </c>
      <c r="P171"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2.7105259310818361</v>
      </c>
      <c r="Q171" s="292">
        <f>CHOOSE(Table16[[#This Row],[Mode Digit]],Table16[[#This Row],[I_0]]+1/Lf*(Table16[[#This Row],[Vin]]-Vout)*Table16[[#This Row],[t1_Ph_II]],Table16[[#This Row],[I_0]]+1/Lf*Table16[[#This Row],[Vin]]*Table16[[#This Row],[t1_Ph_II]],Table16[[#This Row],[I_0]]+(Table16[[#This Row],[Vin]]-Vout)/L*Table16[[#This Row],[t1_Ph_II]])</f>
        <v>13.289474068918164</v>
      </c>
      <c r="R171" s="292">
        <f>CHOOSE(Table16[[#This Row],[Mode Digit]],0,0,Table16[[#This Row],[I_1]]+Table16[[#This Row],[Vin]]/L*Table16[[#This Row],[t2_Ph_I]])</f>
        <v>0</v>
      </c>
      <c r="S171" s="292">
        <f>Fsw*(Table16[[#This Row],[I_0]]*Table16[[#This Row],[t1_Ph_II]]+Table16[[#This Row],[I_1]]*Table16[[#This Row],[t2_Ph_I]]+Table16[[#This Row],[I_2]]*Table16[[#This Row],[t3_Ph_III]])</f>
        <v>7.6828102543131847</v>
      </c>
      <c r="T171" s="345">
        <f>MIN(1,CHOOSE(Table16[[#This Row],[Mode Digit]],(Vout+(Rdson2+Rs+Rdcr)*Table16[[#This Row],[Iout]])/(Table16[[#This Row],[Vin]]+(Rs+Rdson2-Rdson1)*Table16[[#This Row],[Iout]]),1,Fsw*Table16[[#This Row],[t2_Ph_I]]+Table16[[#This Row],[t1_Ph_II]]))</f>
        <v>0.52998310810810811</v>
      </c>
      <c r="U171" s="345">
        <f>MIN(1,CHOOSE(Table16[[#This Row],[Mode Digit]],0,(Vout+(Rdson3+Rdcr)*Table16[[#This Row],[Iin]]-Table16[[#This Row],[Vin]])/(Vout+(Rdson3-Rdson4-Rs)*Table16[[#This Row],[Iin]]),Fsw*Table16[[#This Row],[t1_Ph_II]]+Table16[[#This Row],[t3_Ph_III]]))</f>
        <v>0</v>
      </c>
      <c r="V171" s="292">
        <f>MAX(Table16[[#This Row],[I_0]:[I_2]])-MIN(Table16[[#This Row],[I_0]:[I_1]])</f>
        <v>10.578948137836328</v>
      </c>
      <c r="W171"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8.5630706316086886</v>
      </c>
      <c r="X171" s="345">
        <f>(Table16[[#This Row],[Irms Lf]]^2*Rdcr*(1+Ltc*Ta-Ltc*25))/(1-Table16[[#This Row],[Irms Lf]]^2*Rdcr*Ltc*ThetaCa)</f>
        <v>0.23913265061950253</v>
      </c>
      <c r="Y171" s="345">
        <f>ABS(7.759*10^-3*Fsw^0.9458*(0.00787*Table16[[#This Row],[Ripple Current pk-pk]])^2.304)</f>
        <v>4.9982323063356269</v>
      </c>
      <c r="Z171" s="345">
        <f>Table16[[#This Row],[DCR    Loss]]+Table16[[#This Row],[Core Loss]]</f>
        <v>5.2373649569551297</v>
      </c>
      <c r="AA171" s="292">
        <f>IF(Table16[[#This Row],[Vin]]&gt;Vout, Table16[[#This Row],[Ripple Current pk-pk]]/SQRT(12), SQRT(Table16[[#This Row],[Duty Cycle BOOST Leg]]/(1-Table16[[#This Row],[Duty Cycle BOOST Leg]]))*SQRT(Table16[[#This Row],[Iout]]^2+(Table16[[#This Row],[Ripple Current pk-pk]]^2)/12))</f>
        <v>3.0538792775614474</v>
      </c>
      <c r="AB171" s="345">
        <f>RCoutEsr*Table16[[#This Row],[Irms Cout]]^2</f>
        <v>1.8652357283838454E-2</v>
      </c>
      <c r="AC171" s="345">
        <f>Table16[[#This Row],[Cout ESR Loss]]</f>
        <v>1.8652357283838454E-2</v>
      </c>
      <c r="AD171" s="345">
        <f>IF(Table16[[#This Row],[Vin]]&gt;Vout, SQRT(Table16[[#This Row],[Duty Cycle BUCK Leg]]*(1-Table16[[#This Row],[Duty Cycle BUCK Leg]]))*SQRT(Table16[[#This Row],[Iout]]^2+(Table16[[#This Row],[Ripple Current pk-pk]]^2)/12), Table16[[#This Row],[Ripple Current pk-pk]]/SQRT(12))</f>
        <v>4.2738302956308907</v>
      </c>
      <c r="AE171" s="345">
        <f>RCinEsr*Table16[[#This Row],[Irms Cin]]^2</f>
        <v>3.6531250791704849E-2</v>
      </c>
      <c r="AF171" s="683">
        <f>Table16[[#This Row],[Cin ESR Loss]]</f>
        <v>3.6531250791704849E-2</v>
      </c>
      <c r="AG171"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6.2339101743877192</v>
      </c>
      <c r="AH171" s="345">
        <f>Rdson1*Table16[[#This Row],[Irms BuCtrl]]^2</f>
        <v>0.13601572621817154</v>
      </c>
      <c r="AI171" s="345">
        <f>CHOOSE(Table16[[#This Row],[Mode Digit]], (Table16[[#This Row],[Vin]]*Table16[[#This Row],[Iout]]/2)*(Fsw)*(Tr_buck+Tf_buck), 0, (Table16[[#This Row],[Vin]]*Table16[[#This Row],[Avg IL]]/2)*(Fsw/1)*(Tr_buck+Tf_buck))</f>
        <v>0.90718422964564815</v>
      </c>
      <c r="AJ171" s="253">
        <f>IF(Table16[[#This Row],[Vin]]&gt;Vout, IF(Table16[[#This Row],[Iout]]&gt;Table16[[#This Row],[Ripple Current pk-pk]]/2,0,ABS(Table16[[#This Row],[Iout]]-Table16[[#This Row],[Ripple Current pk-pk]]/2)*Vsd_Q1*Deadtime*Fsw),0)</f>
        <v>0</v>
      </c>
      <c r="AK171" s="345">
        <f>(Table16[[#This Row],[Dead Time Loss BuCtrl]]+Table16[[#This Row],[Transition Loss BuCtrl]]+Table16[[#This Row],[RDS(on) Loss BuCtrl]]*(1+RdsonTopTc*Ta-RdsonTopTc*25))/(1-Table16[[#This Row],[RDS(on) Loss BuCtrl]]*RdsonTopTc*ThetaJA_Q1)</f>
        <v>1.0814442462381204</v>
      </c>
      <c r="AL171" s="345">
        <f>CHOOSE(Table16[[#This Row],[Mode Digit]],SQRT((Fsw*(Table16[[#This Row],[t2_Ph_I]]+0))*((Table16[[#This Row],[I_0]]*Table16[[#This Row],[I_1]]+((Table16[[#This Row],[I_0]]-Table16[[#This Row],[I_1]])^2)/3))),0,SQRT((Fsw*(Table16[[#This Row],[t3_Ph_III]]+0))*((Table16[[#This Row],[I_0]]*Table16[[#This Row],[I_2]]+((Table16[[#This Row],[I_0]]-Table16[[#This Row],[I_2]])^2)/3))))</f>
        <v>5.8706509502426139</v>
      </c>
      <c r="AM171" s="345">
        <f>Rdson2*Table16[[#This Row],[Irms BuSync]]^2</f>
        <v>0.12062589902854576</v>
      </c>
      <c r="AN171"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71" s="345">
        <f>(Table16[[#This Row],[Deadtime Loss BuSync]]+Table16[[#This Row],[RDS(on) Loss BuSync]]*(1+RdsonBotTc*Ta-RdsonBotTc*25))/(1-Table16[[#This Row],[RDS(on) Loss BuSync]]*RdsonBotTc*ThetaJA_Q2)</f>
        <v>0.37106346364215065</v>
      </c>
      <c r="AP171" s="345">
        <f>CHOOSE(Table16[[#This Row],[Mode Digit]],0,SQRT((Fsw*(Table16[[#This Row],[t1_Ph_II]]+0))*((Table16[[#This Row],[I_0]]*Table16[[#This Row],[I_1]]+((Table16[[#This Row],[I_0]]-Table16[[#This Row],[I_1]])^2)/3))),SQRT((Fsw*(Table16[[#This Row],[t2_Ph_I]]+0))*((Table16[[#This Row],[I_1]]*Table16[[#This Row],[I_2]]+((Table16[[#This Row],[I_1]]-Table16[[#This Row],[I_2]])^2)/3))))</f>
        <v>0</v>
      </c>
      <c r="AQ171" s="345">
        <f>Rdson4*Table16[[#This Row],[Irms BoCtlr]]^2</f>
        <v>0</v>
      </c>
      <c r="AR171" s="345">
        <f>CHOOSE(Table16[[#This Row],[Mode Digit]], 0, (Vout*Table16[[#This Row],[Iin]]/2)*(Fsw)*(Tr_boost+Tf_boost), (Vout*Iout/2)*(Fsw/1)*(Tr_boost+Tf_boost))</f>
        <v>0</v>
      </c>
      <c r="AS171" s="253">
        <f>IF(Table16[[#This Row],[Vin]]&gt;Vout, 0, IF(Table16[[#This Row],[Iin]]&gt;Table16[[#This Row],[Ripple Current pk-pk]]/2,0,ABS(Table16[[#This Row],[Iin]]-Table16[[#This Row],[Ripple Current pk-pk]]/2)*Vsd_Q4*Deadtime*Fsw))</f>
        <v>0</v>
      </c>
      <c r="AT171" s="345">
        <f>(Table16[[#This Row],[Dead Time Loss BoCtlr]]+Table16[[#This Row],[Transition Loss BoCtlr]]+Table16[[#This Row],[RDS(on) Loss BoCtlr]]*(1+RdsonTopTc*Ta-RdsonTopTc*25))/(1-Table16[[#This Row],[RDS(on) Loss BoCtlr]]*RdsonTopTc*ThetaJA_Q4)</f>
        <v>0</v>
      </c>
      <c r="AU171"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8.5630706316086886</v>
      </c>
      <c r="AV171" s="345">
        <f>Rdson3*Table16[[#This Row],[Irms BoSync]]^2</f>
        <v>0.2566416252467173</v>
      </c>
      <c r="AW171"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71" s="345">
        <f>(Table16[[#This Row],[Deadtime Loss BoSync]]+Table16[[#This Row],[RDS(on) Loss BoSync]]*(1+RdsonBotTc*Ta-RdsonBotTc*25))/(1-Table16[[#This Row],[RDS(on) Loss BoSync]]*RdsonBotTc*ThetaJA_Q3)</f>
        <v>0.27499089382578662</v>
      </c>
      <c r="AY171" s="345">
        <f>CHOOSE(Table16[[#This Row],[Mode Digit]], Rdson3*Table16[[#This Row],[Irms Lf]]^2, Rdson1*Table16[[#This Row],[Irms Lf]]^2, 0)</f>
        <v>0.2566416252467173</v>
      </c>
      <c r="AZ171" s="345">
        <f>CHOOSE(Table16[[#This Row],[Mode Digit]], 2*Deadtime*Fsw*IF(VfdSky_Q2&gt;0,VfdSky_Q2,0)*Table16[[#This Row],[Iout]], 2*Deadtime*Fsw*IF(VfdSky_Q3&gt;0,VfdSky_Q3,0)*Table16[[#This Row],[Iin]], 2*Deadtime*Fsw*IF(VfdSky_Q2&gt;0,VfdSky_Q2,0)*Table16[[#This Row],[Iout]]+2*Deadtime*Fsw*IF(VfdSky_Q3&gt;0,VfdSky_Q3,0)*Table16[[#This Row],[Iin]])</f>
        <v>0</v>
      </c>
      <c r="BA171" s="345">
        <f>CHOOSE(Table16[[#This Row],[Mode Digit]], IF(QrrSky_Q2&gt;0,QrrSky_Q2,Qrr_Q2)*Fsw*(Table16[[#This Row],[Vin]]-Table16[[#This Row],[Iout]]*Rdson1),0,  IF(QrrSky_Q2&gt;0,QrrSky_Q2,Qrr_Q2)*Fsw*(Table16[[#This Row],[Vin]]-Table16[[#This Row],[Iout]]*Rdson1)+IF(QrrSky_Q3&gt;0,QrrSky_Q3,Qrr_Q3)*Fsw*Vout)</f>
        <v>0.54217152000000002</v>
      </c>
      <c r="BB171" s="345">
        <f>CHOOSE(Table16[[#This Row],[Mode Digit]],0, IF(QrrSky_Q3&gt;0,QrrSky_Q3,Qrr_Q3)*Fsw*Vout,  IF(QrrSky_Q2&gt;0,QrrSky_Q2,Qrr_Q2)*Fsw*(Table16[[#This Row],[Vin]]-Table16[[#This Row],[Iout]]*Rdson1)+IF(QrrSky_Q3&gt;0,QrrSky_Q3,Qrr_Q3)*Fsw*Vout)</f>
        <v>0</v>
      </c>
      <c r="BC171" s="345">
        <f>CHOOSE(Table16[[#This Row],[Mode Digit]], Rs*Table16[[#This Row],[Irms BuSync]]^2, Rs*Table16[[#This Row],[Irms BoCtlr]]^2, Rs*(Table16[[#This Row],[Irms BuSync]]^2+Table16[[#This Row],[Irms BoCtlr]]^2))</f>
        <v>4.480390535345985E-2</v>
      </c>
      <c r="BD171" s="345">
        <f t="shared" si="8"/>
        <v>0.64</v>
      </c>
      <c r="BE171" s="345">
        <f>IF(Vout&gt;8, Iq*Vout, Iq*Table16[[#This Row],[Vin]])</f>
        <v>4.8000000000000001E-2</v>
      </c>
      <c r="BF171" s="345">
        <f>CHOOSE(Table16[[#This Row],[Mode Digit]], (Qg_Q1+Qg_Q2)*Fsw, (Qg_Q3+Qg_Q4)*Fsw, (Qg_Q1+Qg_Q2+Qg_Q3+Qg_Q4)*Fsw)*IF(Vout&gt;8, Vout, Table16[[#This Row],[Vin]])</f>
        <v>0.85331200000000007</v>
      </c>
      <c r="BG171" s="345">
        <f t="shared" si="9"/>
        <v>0.50594479787234037</v>
      </c>
      <c r="BH171" s="345">
        <f>Table16[[#This Row],[IQ Loss]]+Table16[[#This Row],[Switching Current Loss]]</f>
        <v>0.90131200000000011</v>
      </c>
      <c r="BI171"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9.1483345940901923</v>
      </c>
      <c r="BJ171" s="253">
        <f>Vout*Table16[[#This Row],[Iout]]</f>
        <v>128</v>
      </c>
      <c r="BK171" s="684">
        <f>Table16[[#This Row],[Pout]]/(Table16[[#This Row],[Pout]]+Table16[[#This Row],[Total Loss]])</f>
        <v>0.93329605772344248</v>
      </c>
      <c r="BL171"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70.293876005477827</v>
      </c>
      <c r="BM171" s="685">
        <f>IF(Table16[[#This Row],[Vin]]&gt;Vout, Table16[[#This Row],[Total Sync Bu MOSFET Loss]]*ThetaJA_Q2, ThetaJA_Q3*Table16[[#This Row],[Total Sync Bo MOSFET Loss]])</f>
        <v>24.119125136739793</v>
      </c>
      <c r="BN171" s="640"/>
      <c r="BO171" s="292">
        <f>Table16[[#This Row],[EFF, h]]*100</f>
        <v>93.329605772344252</v>
      </c>
      <c r="BP171" s="345">
        <f>Table16[[#This Row],[Total Inductor Loss]]</f>
        <v>5.2373649569551297</v>
      </c>
      <c r="BQ171" s="345">
        <f>Table16[[#This Row],[Total Control Bu MOSFET Loss]]+Table16[[#This Row],[Total Sync Bu MOSFET Loss]]+Table16[[#This Row],[Total Control Bo MOSFET Loss]]+Table16[[#This Row],[Total Sync Bo MOSFET Loss]]+Table16[[#This Row],[Reverse Recovery Loss MOSFET D BUCK]]+Table16[[#This Row],[Reverse Recovery Loss MOSFET D BOOST]]</f>
        <v>2.2696701237060575</v>
      </c>
      <c r="BR171" s="345">
        <f>Table16[[#This Row],[Total Control Bu MOSFET Loss]]+Table16[[#This Row],[Reverse Recovery Loss MOSFET D BUCK]]*0.66</f>
        <v>1.4392774494381204</v>
      </c>
      <c r="BS171" s="345">
        <f>Table16[[#This Row],[Total Sync Bu MOSFET Loss]]+Table16[[#This Row],[Reverse Recovery Loss MOSFET D BUCK]]*0.33</f>
        <v>0.54998006524215071</v>
      </c>
      <c r="BT171" s="345">
        <f xml:space="preserve"> Table16[[#This Row],[Total Control Bo MOSFET Loss]]+Table16[[#This Row],[Reverse Recovery Loss MOSFET D BOOST]]*0.66</f>
        <v>0</v>
      </c>
      <c r="BU171" s="345">
        <f xml:space="preserve"> Table16[[#This Row],[Total Sync Bo MOSFET Loss]]+Table16[[#This Row],[Reverse Recovery Loss MOSFET D BOOST]]*0.33</f>
        <v>0.27499089382578662</v>
      </c>
      <c r="BV171" s="345">
        <f>Table16[[#This Row],[Isense Shunt Loss]]</f>
        <v>4.480390535345985E-2</v>
      </c>
    </row>
    <row r="172" spans="7:74" x14ac:dyDescent="0.2">
      <c r="G172" s="253">
        <v>163</v>
      </c>
      <c r="H172" s="286">
        <f>VIN_min+(VIN_max-VIN_min)*(Table16[[#This Row],[Step]]/200)</f>
        <v>30.45</v>
      </c>
      <c r="I172" s="292" t="str">
        <f>IF(Mode = 2,IF(Table16[[#This Row],[Vin]]&gt;Vout, "BUCK","BOOST"),IF(Table16[[#This Row],[Vin]]&gt;VIN_BB_to_buck, "BUCK", IF(Table16[[#This Row],[Vin]]&lt;=VIN_boost_to_BB,"BOOST","BUCK-BST")))</f>
        <v>BUCK</v>
      </c>
      <c r="J172" s="253">
        <f>IF(Table16[[#This Row],[Mode]]="BOOST",2, IF(Table16[[#This Row],[Mode]]="BUCK", 1,3))</f>
        <v>1</v>
      </c>
      <c r="K172" s="253">
        <f t="shared" si="7"/>
        <v>8</v>
      </c>
      <c r="L172" s="292">
        <f>Vout*Table16[[#This Row],[Iout]]/(Table16[[#This Row],[Vin]]*Efficiency)</f>
        <v>4.4248552415521569</v>
      </c>
      <c r="M172" s="682">
        <f>MIN(1/Fsw,CHOOSE(Table16[[#This Row],[Mode Digit]],(Vout+(Rdson2+Rs+Rdcr)*Table16[[#This Row],[Iout]])/(Table16[[#This Row],[Vin]]+(Rs+Rdson2-Rdson1)*Table16[[#This Row],[Iout]])/Fsw,(Vout+(Rdson3+Rdcr)*Table16[[#This Row],[Iin]]-Table16[[#This Row],[Vin]])/(Vout+(Rdson3-Rdson4-Rs)*Table16[[#This Row],[Iin]])/Fsw,t1_Ph_II))</f>
        <v>1.3250584051826678E-6</v>
      </c>
      <c r="N172" s="518">
        <f>CHOOSE(Table16[[#This Row],[Mode Digit]],1/Fsw-Table16[[#This Row],[t1_Ph_II]],1/Fsw-Table16[[#This Row],[t1_Ph_II]],(Vout/Fsw-Table16[[#This Row],[Vin]]*t1_Ph_II)/(Table16[[#This Row],[Vin]]+Vout))</f>
        <v>1.1875044088876841E-6</v>
      </c>
      <c r="O172" s="518">
        <f>1/Fsw-(Table16[[#This Row],[t1_Ph_II]]+Table16[[#This Row],[t2_Ph_I]])</f>
        <v>0</v>
      </c>
      <c r="P172"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2.6813627903084587</v>
      </c>
      <c r="Q172" s="292">
        <f>CHOOSE(Table16[[#This Row],[Mode Digit]],Table16[[#This Row],[I_0]]+1/Lf*(Table16[[#This Row],[Vin]]-Vout)*Table16[[#This Row],[t1_Ph_II]],Table16[[#This Row],[I_0]]+1/Lf*Table16[[#This Row],[Vin]]*Table16[[#This Row],[t1_Ph_II]],Table16[[#This Row],[I_0]]+(Table16[[#This Row],[Vin]]-Vout)/L*Table16[[#This Row],[t1_Ph_II]])</f>
        <v>13.318637209691541</v>
      </c>
      <c r="R172" s="292">
        <f>CHOOSE(Table16[[#This Row],[Mode Digit]],0,0,Table16[[#This Row],[I_1]]+Table16[[#This Row],[Vin]]/L*Table16[[#This Row],[t2_Ph_I]])</f>
        <v>0</v>
      </c>
      <c r="S172" s="292">
        <f>Fsw*(Table16[[#This Row],[I_0]]*Table16[[#This Row],[t1_Ph_II]]+Table16[[#This Row],[I_1]]*Table16[[#This Row],[t2_Ph_I]]+Table16[[#This Row],[I_2]]*Table16[[#This Row],[t3_Ph_III]])</f>
        <v>7.7088232783915638</v>
      </c>
      <c r="T172" s="345">
        <f>MIN(1,CHOOSE(Table16[[#This Row],[Mode Digit]],(Vout+(Rdson2+Rs+Rdcr)*Table16[[#This Row],[Iout]])/(Table16[[#This Row],[Vin]]+(Rs+Rdson2-Rdson1)*Table16[[#This Row],[Iout]]),1,Fsw*Table16[[#This Row],[t2_Ph_I]]+Table16[[#This Row],[t1_Ph_II]]))</f>
        <v>0.5273732452627018</v>
      </c>
      <c r="U172" s="345">
        <f>MIN(1,CHOOSE(Table16[[#This Row],[Mode Digit]],0,(Vout+(Rdson3+Rdcr)*Table16[[#This Row],[Iin]]-Table16[[#This Row],[Vin]])/(Vout+(Rdson3-Rdson4-Rs)*Table16[[#This Row],[Iin]]),Fsw*Table16[[#This Row],[t1_Ph_II]]+Table16[[#This Row],[t3_Ph_III]]))</f>
        <v>0</v>
      </c>
      <c r="V172" s="292">
        <f>MAX(Table16[[#This Row],[I_0]:[I_2]])-MIN(Table16[[#This Row],[I_0]:[I_1]])</f>
        <v>10.637274419383083</v>
      </c>
      <c r="W172"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8.5690898343662187</v>
      </c>
      <c r="X172" s="345">
        <f>(Table16[[#This Row],[Irms Lf]]^2*Rdcr*(1+Ltc*Ta-Ltc*25))/(1-Table16[[#This Row],[Irms Lf]]^2*Rdcr*Ltc*ThetaCa)</f>
        <v>0.23947539667303952</v>
      </c>
      <c r="Y172" s="345">
        <f>ABS(7.759*10^-3*Fsw^0.9458*(0.00787*Table16[[#This Row],[Ripple Current pk-pk]])^2.304)</f>
        <v>5.0619529223160162</v>
      </c>
      <c r="Z172" s="345">
        <f>Table16[[#This Row],[DCR    Loss]]+Table16[[#This Row],[Core Loss]]</f>
        <v>5.3014283189890561</v>
      </c>
      <c r="AA172" s="292">
        <f>IF(Table16[[#This Row],[Vin]]&gt;Vout, Table16[[#This Row],[Ripple Current pk-pk]]/SQRT(12), SQRT(Table16[[#This Row],[Duty Cycle BOOST Leg]]/(1-Table16[[#This Row],[Duty Cycle BOOST Leg]]))*SQRT(Table16[[#This Row],[Iout]]^2+(Table16[[#This Row],[Ripple Current pk-pk]]^2)/12))</f>
        <v>3.0707166247373716</v>
      </c>
      <c r="AB172" s="345">
        <f>RCoutEsr*Table16[[#This Row],[Irms Cout]]^2</f>
        <v>1.8858601178876954E-2</v>
      </c>
      <c r="AC172" s="345">
        <f>Table16[[#This Row],[Cout ESR Loss]]</f>
        <v>1.8858601178876954E-2</v>
      </c>
      <c r="AD172" s="345">
        <f>IF(Table16[[#This Row],[Vin]]&gt;Vout, SQRT(Table16[[#This Row],[Duty Cycle BUCK Leg]]*(1-Table16[[#This Row],[Duty Cycle BUCK Leg]]))*SQRT(Table16[[#This Row],[Iout]]^2+(Table16[[#This Row],[Ripple Current pk-pk]]^2)/12), Table16[[#This Row],[Ripple Current pk-pk]]/SQRT(12))</f>
        <v>4.2781193265454265</v>
      </c>
      <c r="AE172" s="345">
        <f>RCinEsr*Table16[[#This Row],[Irms Cin]]^2</f>
        <v>3.6604609944322991E-2</v>
      </c>
      <c r="AF172" s="683">
        <f>Table16[[#This Row],[Cin ESR Loss]]</f>
        <v>3.6604609944322991E-2</v>
      </c>
      <c r="AG172"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6.2229131883083975</v>
      </c>
      <c r="AH172" s="345">
        <f>Rdson1*Table16[[#This Row],[Irms BuCtrl]]^2</f>
        <v>0.13553626992227905</v>
      </c>
      <c r="AI172" s="345">
        <f>CHOOSE(Table16[[#This Row],[Mode Digit]], (Table16[[#This Row],[Vin]]*Table16[[#This Row],[Iout]]/2)*(Fsw)*(Tr_buck+Tf_buck), 0, (Table16[[#This Row],[Vin]]*Table16[[#This Row],[Avg IL]]/2)*(Fsw/1)*(Tr_buck+Tf_buck))</f>
        <v>0.91167524068349781</v>
      </c>
      <c r="AJ172" s="253">
        <f>IF(Table16[[#This Row],[Vin]]&gt;Vout, IF(Table16[[#This Row],[Iout]]&gt;Table16[[#This Row],[Ripple Current pk-pk]]/2,0,ABS(Table16[[#This Row],[Iout]]-Table16[[#This Row],[Ripple Current pk-pk]]/2)*Vsd_Q1*Deadtime*Fsw),0)</f>
        <v>0</v>
      </c>
      <c r="AK172" s="345">
        <f>(Table16[[#This Row],[Dead Time Loss BuCtrl]]+Table16[[#This Row],[Transition Loss BuCtrl]]+Table16[[#This Row],[RDS(on) Loss BuCtrl]]*(1+RdsonTopTc*Ta-RdsonTopTc*25))/(1-Table16[[#This Row],[RDS(on) Loss BuCtrl]]*RdsonTopTc*ThetaJA_Q1)</f>
        <v>1.0854625938961571</v>
      </c>
      <c r="AL172" s="345">
        <f>CHOOSE(Table16[[#This Row],[Mode Digit]],SQRT((Fsw*(Table16[[#This Row],[t2_Ph_I]]+0))*((Table16[[#This Row],[I_0]]*Table16[[#This Row],[I_1]]+((Table16[[#This Row],[I_0]]-Table16[[#This Row],[I_1]])^2)/3))),0,SQRT((Fsw*(Table16[[#This Row],[t3_Ph_III]]+0))*((Table16[[#This Row],[I_0]]*Table16[[#This Row],[I_2]]+((Table16[[#This Row],[I_0]]-Table16[[#This Row],[I_2]])^2)/3))))</f>
        <v>5.8910654418547992</v>
      </c>
      <c r="AM172" s="345">
        <f>Rdson2*Table16[[#This Row],[Irms BuSync]]^2</f>
        <v>0.1214662821407556</v>
      </c>
      <c r="AN172"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72" s="345">
        <f>(Table16[[#This Row],[Deadtime Loss BuSync]]+Table16[[#This Row],[RDS(on) Loss BuSync]]*(1+RdsonBotTc*Ta-RdsonBotTc*25))/(1-Table16[[#This Row],[RDS(on) Loss BuSync]]*RdsonBotTc*ThetaJA_Q2)</f>
        <v>0.37201497384180165</v>
      </c>
      <c r="AP172" s="345">
        <f>CHOOSE(Table16[[#This Row],[Mode Digit]],0,SQRT((Fsw*(Table16[[#This Row],[t1_Ph_II]]+0))*((Table16[[#This Row],[I_0]]*Table16[[#This Row],[I_1]]+((Table16[[#This Row],[I_0]]-Table16[[#This Row],[I_1]])^2)/3))),SQRT((Fsw*(Table16[[#This Row],[t2_Ph_I]]+0))*((Table16[[#This Row],[I_1]]*Table16[[#This Row],[I_2]]+((Table16[[#This Row],[I_1]]-Table16[[#This Row],[I_2]])^2)/3))))</f>
        <v>0</v>
      </c>
      <c r="AQ172" s="345">
        <f>Rdson4*Table16[[#This Row],[Irms BoCtlr]]^2</f>
        <v>0</v>
      </c>
      <c r="AR172" s="345">
        <f>CHOOSE(Table16[[#This Row],[Mode Digit]], 0, (Vout*Table16[[#This Row],[Iin]]/2)*(Fsw)*(Tr_boost+Tf_boost), (Vout*Iout/2)*(Fsw/1)*(Tr_boost+Tf_boost))</f>
        <v>0</v>
      </c>
      <c r="AS172" s="253">
        <f>IF(Table16[[#This Row],[Vin]]&gt;Vout, 0, IF(Table16[[#This Row],[Iin]]&gt;Table16[[#This Row],[Ripple Current pk-pk]]/2,0,ABS(Table16[[#This Row],[Iin]]-Table16[[#This Row],[Ripple Current pk-pk]]/2)*Vsd_Q4*Deadtime*Fsw))</f>
        <v>0</v>
      </c>
      <c r="AT172" s="345">
        <f>(Table16[[#This Row],[Dead Time Loss BoCtlr]]+Table16[[#This Row],[Transition Loss BoCtlr]]+Table16[[#This Row],[RDS(on) Loss BoCtlr]]*(1+RdsonTopTc*Ta-RdsonTopTc*25))/(1-Table16[[#This Row],[RDS(on) Loss BoCtlr]]*RdsonTopTc*ThetaJA_Q4)</f>
        <v>0</v>
      </c>
      <c r="AU172"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8.5690898343662187</v>
      </c>
      <c r="AV172" s="345">
        <f>Rdson3*Table16[[#This Row],[Irms BoSync]]^2</f>
        <v>0.25700255206303463</v>
      </c>
      <c r="AW172"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72" s="345">
        <f>(Table16[[#This Row],[Deadtime Loss BoSync]]+Table16[[#This Row],[RDS(on) Loss BoSync]]*(1+RdsonBotTc*Ta-RdsonBotTc*25))/(1-Table16[[#This Row],[RDS(on) Loss BoSync]]*RdsonBotTc*ThetaJA_Q3)</f>
        <v>0.27540531816421804</v>
      </c>
      <c r="AY172" s="345">
        <f>CHOOSE(Table16[[#This Row],[Mode Digit]], Rdson3*Table16[[#This Row],[Irms Lf]]^2, Rdson1*Table16[[#This Row],[Irms Lf]]^2, 0)</f>
        <v>0.25700255206303463</v>
      </c>
      <c r="AZ172" s="345">
        <f>CHOOSE(Table16[[#This Row],[Mode Digit]], 2*Deadtime*Fsw*IF(VfdSky_Q2&gt;0,VfdSky_Q2,0)*Table16[[#This Row],[Iout]], 2*Deadtime*Fsw*IF(VfdSky_Q3&gt;0,VfdSky_Q3,0)*Table16[[#This Row],[Iin]], 2*Deadtime*Fsw*IF(VfdSky_Q2&gt;0,VfdSky_Q2,0)*Table16[[#This Row],[Iout]]+2*Deadtime*Fsw*IF(VfdSky_Q3&gt;0,VfdSky_Q3,0)*Table16[[#This Row],[Iin]])</f>
        <v>0</v>
      </c>
      <c r="BA172" s="345">
        <f>CHOOSE(Table16[[#This Row],[Mode Digit]], IF(QrrSky_Q2&gt;0,QrrSky_Q2,Qrr_Q2)*Fsw*(Table16[[#This Row],[Vin]]-Table16[[#This Row],[Iout]]*Rdson1),0,  IF(QrrSky_Q2&gt;0,QrrSky_Q2,Qrr_Q2)*Fsw*(Table16[[#This Row],[Vin]]-Table16[[#This Row],[Iout]]*Rdson1)+IF(QrrSky_Q3&gt;0,QrrSky_Q3,Qrr_Q3)*Fsw*Vout)</f>
        <v>0.54485801999999994</v>
      </c>
      <c r="BB172" s="345">
        <f>CHOOSE(Table16[[#This Row],[Mode Digit]],0, IF(QrrSky_Q3&gt;0,QrrSky_Q3,Qrr_Q3)*Fsw*Vout,  IF(QrrSky_Q2&gt;0,QrrSky_Q2,Qrr_Q2)*Fsw*(Table16[[#This Row],[Vin]]-Table16[[#This Row],[Iout]]*Rdson1)+IF(QrrSky_Q3&gt;0,QrrSky_Q3,Qrr_Q3)*Fsw*Vout)</f>
        <v>0</v>
      </c>
      <c r="BC172" s="345">
        <f>CHOOSE(Table16[[#This Row],[Mode Digit]], Rs*Table16[[#This Row],[Irms BuSync]]^2, Rs*Table16[[#This Row],[Irms BoCtlr]]^2, Rs*(Table16[[#This Row],[Irms BuSync]]^2+Table16[[#This Row],[Irms BoCtlr]]^2))</f>
        <v>4.5116047652280646E-2</v>
      </c>
      <c r="BD172" s="345">
        <f t="shared" si="8"/>
        <v>0.64</v>
      </c>
      <c r="BE172" s="345">
        <f>IF(Vout&gt;8, Iq*Vout, Iq*Table16[[#This Row],[Vin]])</f>
        <v>4.8000000000000001E-2</v>
      </c>
      <c r="BF172" s="345">
        <f>CHOOSE(Table16[[#This Row],[Mode Digit]], (Qg_Q1+Qg_Q2)*Fsw, (Qg_Q3+Qg_Q4)*Fsw, (Qg_Q1+Qg_Q2+Qg_Q3+Qg_Q4)*Fsw)*IF(Vout&gt;8, Vout, Table16[[#This Row],[Vin]])</f>
        <v>0.85331200000000007</v>
      </c>
      <c r="BG172" s="345">
        <f t="shared" si="9"/>
        <v>0.50594479787234037</v>
      </c>
      <c r="BH172" s="345">
        <f>Table16[[#This Row],[IQ Loss]]+Table16[[#This Row],[Switching Current Loss]]</f>
        <v>0.90131200000000011</v>
      </c>
      <c r="BI172"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9.2210604836667152</v>
      </c>
      <c r="BJ172" s="253">
        <f>Vout*Table16[[#This Row],[Iout]]</f>
        <v>128</v>
      </c>
      <c r="BK172" s="684">
        <f>Table16[[#This Row],[Pout]]/(Table16[[#This Row],[Pout]]+Table16[[#This Row],[Total Loss]])</f>
        <v>0.93280141946750006</v>
      </c>
      <c r="BL172"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70.555068603250206</v>
      </c>
      <c r="BM172" s="685">
        <f>IF(Table16[[#This Row],[Vin]]&gt;Vout, Table16[[#This Row],[Total Sync Bu MOSFET Loss]]*ThetaJA_Q2, ThetaJA_Q3*Table16[[#This Row],[Total Sync Bo MOSFET Loss]])</f>
        <v>24.180973299717106</v>
      </c>
      <c r="BN172" s="640"/>
      <c r="BO172" s="292">
        <f>Table16[[#This Row],[EFF, h]]*100</f>
        <v>93.280141946750007</v>
      </c>
      <c r="BP172" s="345">
        <f>Table16[[#This Row],[Total Inductor Loss]]</f>
        <v>5.3014283189890561</v>
      </c>
      <c r="BQ172" s="345">
        <f>Table16[[#This Row],[Total Control Bu MOSFET Loss]]+Table16[[#This Row],[Total Sync Bu MOSFET Loss]]+Table16[[#This Row],[Total Control Bo MOSFET Loss]]+Table16[[#This Row],[Total Sync Bo MOSFET Loss]]+Table16[[#This Row],[Reverse Recovery Loss MOSFET D BUCK]]+Table16[[#This Row],[Reverse Recovery Loss MOSFET D BOOST]]</f>
        <v>2.2777409059021769</v>
      </c>
      <c r="BR172" s="345">
        <f>Table16[[#This Row],[Total Control Bu MOSFET Loss]]+Table16[[#This Row],[Reverse Recovery Loss MOSFET D BUCK]]*0.66</f>
        <v>1.445068887096157</v>
      </c>
      <c r="BS172" s="345">
        <f>Table16[[#This Row],[Total Sync Bu MOSFET Loss]]+Table16[[#This Row],[Reverse Recovery Loss MOSFET D BUCK]]*0.33</f>
        <v>0.55181812044180167</v>
      </c>
      <c r="BT172" s="345">
        <f xml:space="preserve"> Table16[[#This Row],[Total Control Bo MOSFET Loss]]+Table16[[#This Row],[Reverse Recovery Loss MOSFET D BOOST]]*0.66</f>
        <v>0</v>
      </c>
      <c r="BU172" s="345">
        <f xml:space="preserve"> Table16[[#This Row],[Total Sync Bo MOSFET Loss]]+Table16[[#This Row],[Reverse Recovery Loss MOSFET D BOOST]]*0.33</f>
        <v>0.27540531816421804</v>
      </c>
      <c r="BV172" s="345">
        <f>Table16[[#This Row],[Isense Shunt Loss]]</f>
        <v>4.5116047652280646E-2</v>
      </c>
    </row>
    <row r="173" spans="7:74" x14ac:dyDescent="0.2">
      <c r="G173" s="253">
        <v>164</v>
      </c>
      <c r="H173" s="286">
        <f>VIN_min+(VIN_max-VIN_min)*(Table16[[#This Row],[Step]]/200)</f>
        <v>30.599999999999998</v>
      </c>
      <c r="I173" s="292" t="str">
        <f>IF(Mode = 2,IF(Table16[[#This Row],[Vin]]&gt;Vout, "BUCK","BOOST"),IF(Table16[[#This Row],[Vin]]&gt;VIN_BB_to_buck, "BUCK", IF(Table16[[#This Row],[Vin]]&lt;=VIN_boost_to_BB,"BOOST","BUCK-BST")))</f>
        <v>BUCK</v>
      </c>
      <c r="J173" s="253">
        <f>IF(Table16[[#This Row],[Mode]]="BOOST",2, IF(Table16[[#This Row],[Mode]]="BUCK", 1,3))</f>
        <v>1</v>
      </c>
      <c r="K173" s="253">
        <f t="shared" si="7"/>
        <v>8</v>
      </c>
      <c r="L173" s="292">
        <f>Vout*Table16[[#This Row],[Iout]]/(Table16[[#This Row],[Vin]]*Efficiency)</f>
        <v>4.4031647746818035</v>
      </c>
      <c r="M173" s="682">
        <f>MIN(1/Fsw,CHOOSE(Table16[[#This Row],[Mode Digit]],(Vout+(Rdson2+Rs+Rdcr)*Table16[[#This Row],[Iout]])/(Table16[[#This Row],[Vin]]+(Rs+Rdson2-Rdson1)*Table16[[#This Row],[Iout]])/Fsw,(Vout+(Rdson3+Rdcr)*Table16[[#This Row],[Iin]]-Table16[[#This Row],[Vin]])/(Vout+(Rdson3-Rdson4-Rs)*Table16[[#This Row],[Iin]])/Fsw,t1_Ph_II))</f>
        <v>1.3185652276751081E-6</v>
      </c>
      <c r="N173" s="518">
        <f>CHOOSE(Table16[[#This Row],[Mode Digit]],1/Fsw-Table16[[#This Row],[t1_Ph_II]],1/Fsw-Table16[[#This Row],[t1_Ph_II]],(Vout/Fsw-Table16[[#This Row],[Vin]]*t1_Ph_II)/(Table16[[#This Row],[Vin]]+Vout))</f>
        <v>1.1939975863952438E-6</v>
      </c>
      <c r="O173" s="518">
        <f>1/Fsw-(Table16[[#This Row],[t1_Ph_II]]+Table16[[#This Row],[t2_Ph_I]])</f>
        <v>0</v>
      </c>
      <c r="P173"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2.6524854655398409</v>
      </c>
      <c r="Q173" s="292">
        <f>CHOOSE(Table16[[#This Row],[Mode Digit]],Table16[[#This Row],[I_0]]+1/Lf*(Table16[[#This Row],[Vin]]-Vout)*Table16[[#This Row],[t1_Ph_II]],Table16[[#This Row],[I_0]]+1/Lf*Table16[[#This Row],[Vin]]*Table16[[#This Row],[t1_Ph_II]],Table16[[#This Row],[I_0]]+(Table16[[#This Row],[Vin]]-Vout)/L*Table16[[#This Row],[t1_Ph_II]])</f>
        <v>13.34751453446016</v>
      </c>
      <c r="R173" s="292">
        <f>CHOOSE(Table16[[#This Row],[Mode Digit]],0,0,Table16[[#This Row],[I_1]]+Table16[[#This Row],[Vin]]/L*Table16[[#This Row],[t2_Ph_I]])</f>
        <v>0</v>
      </c>
      <c r="S173" s="292">
        <f>Fsw*(Table16[[#This Row],[I_0]]*Table16[[#This Row],[t1_Ph_II]]+Table16[[#This Row],[I_1]]*Table16[[#This Row],[t2_Ph_I]]+Table16[[#This Row],[I_2]]*Table16[[#This Row],[t3_Ph_III]])</f>
        <v>7.7348813456375378</v>
      </c>
      <c r="T173" s="345">
        <f>MIN(1,CHOOSE(Table16[[#This Row],[Mode Digit]],(Vout+(Rdson2+Rs+Rdcr)*Table16[[#This Row],[Iout]])/(Table16[[#This Row],[Vin]]+(Rs+Rdson2-Rdson1)*Table16[[#This Row],[Iout]]),1,Fsw*Table16[[#This Row],[t2_Ph_I]]+Table16[[#This Row],[t1_Ph_II]]))</f>
        <v>0.52478896061469305</v>
      </c>
      <c r="U173" s="345">
        <f>MIN(1,CHOOSE(Table16[[#This Row],[Mode Digit]],0,(Vout+(Rdson3+Rdcr)*Table16[[#This Row],[Iin]]-Table16[[#This Row],[Vin]])/(Vout+(Rdson3-Rdson4-Rs)*Table16[[#This Row],[Iin]]),Fsw*Table16[[#This Row],[t1_Ph_II]]+Table16[[#This Row],[t3_Ph_III]]))</f>
        <v>0</v>
      </c>
      <c r="V173" s="292">
        <f>MAX(Table16[[#This Row],[I_0]:[I_2]])-MIN(Table16[[#This Row],[I_0]:[I_1]])</f>
        <v>10.69502906892032</v>
      </c>
      <c r="W173"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8.5750784582661925</v>
      </c>
      <c r="X173" s="345">
        <f>(Table16[[#This Row],[Irms Lf]]^2*Rdcr*(1+Ltc*Ta-Ltc*25))/(1-Table16[[#This Row],[Irms Lf]]^2*Rdcr*Ltc*ThetaCa)</f>
        <v>0.23981665883293762</v>
      </c>
      <c r="Y173" s="345">
        <f>ABS(7.759*10^-3*Fsw^0.9458*(0.00787*Table16[[#This Row],[Ripple Current pk-pk]])^2.304)</f>
        <v>5.1254995779321497</v>
      </c>
      <c r="Z173" s="345">
        <f>Table16[[#This Row],[DCR    Loss]]+Table16[[#This Row],[Core Loss]]</f>
        <v>5.3653162367650875</v>
      </c>
      <c r="AA173" s="292">
        <f>IF(Table16[[#This Row],[Vin]]&gt;Vout, Table16[[#This Row],[Ripple Current pk-pk]]/SQRT(12), SQRT(Table16[[#This Row],[Duty Cycle BOOST Leg]]/(1-Table16[[#This Row],[Duty Cycle BOOST Leg]]))*SQRT(Table16[[#This Row],[Iout]]^2+(Table16[[#This Row],[Ripple Current pk-pk]]^2)/12))</f>
        <v>3.0873889559660097</v>
      </c>
      <c r="AB173" s="345">
        <f>RCoutEsr*Table16[[#This Row],[Irms Cout]]^2</f>
        <v>1.9063941130841776E-2</v>
      </c>
      <c r="AC173" s="345">
        <f>Table16[[#This Row],[Cout ESR Loss]]</f>
        <v>1.9063941130841776E-2</v>
      </c>
      <c r="AD173" s="345">
        <f>IF(Table16[[#This Row],[Vin]]&gt;Vout, SQRT(Table16[[#This Row],[Duty Cycle BUCK Leg]]*(1-Table16[[#This Row],[Duty Cycle BUCK Leg]]))*SQRT(Table16[[#This Row],[Iout]]^2+(Table16[[#This Row],[Ripple Current pk-pk]]^2)/12), Table16[[#This Row],[Ripple Current pk-pk]]/SQRT(12))</f>
        <v>4.2822666652026866</v>
      </c>
      <c r="AE173" s="345">
        <f>RCinEsr*Table16[[#This Row],[Irms Cin]]^2</f>
        <v>3.6675615583812271E-2</v>
      </c>
      <c r="AF173" s="683">
        <f>Table16[[#This Row],[Cin ESR Loss]]</f>
        <v>3.6675615583812271E-2</v>
      </c>
      <c r="AG173"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6.2119857054711121</v>
      </c>
      <c r="AH173" s="345">
        <f>Rdson1*Table16[[#This Row],[Irms BuCtrl]]^2</f>
        <v>0.135060682417421</v>
      </c>
      <c r="AI173" s="345">
        <f>CHOOSE(Table16[[#This Row],[Mode Digit]], (Table16[[#This Row],[Vin]]*Table16[[#This Row],[Iout]]/2)*(Fsw)*(Tr_buck+Tf_buck), 0, (Table16[[#This Row],[Vin]]*Table16[[#This Row],[Avg IL]]/2)*(Fsw/1)*(Tr_buck+Tf_buck))</f>
        <v>0.91616625172134758</v>
      </c>
      <c r="AJ173" s="253">
        <f>IF(Table16[[#This Row],[Vin]]&gt;Vout, IF(Table16[[#This Row],[Iout]]&gt;Table16[[#This Row],[Ripple Current pk-pk]]/2,0,ABS(Table16[[#This Row],[Iout]]-Table16[[#This Row],[Ripple Current pk-pk]]/2)*Vsd_Q1*Deadtime*Fsw),0)</f>
        <v>0</v>
      </c>
      <c r="AK173" s="345">
        <f>(Table16[[#This Row],[Dead Time Loss BuCtrl]]+Table16[[#This Row],[Transition Loss BuCtrl]]+Table16[[#This Row],[RDS(on) Loss BuCtrl]]*(1+RdsonTopTc*Ta-RdsonTopTc*25))/(1-Table16[[#This Row],[RDS(on) Loss BuCtrl]]*RdsonTopTc*ThetaJA_Q1)</f>
        <v>1.0894850486177396</v>
      </c>
      <c r="AL173" s="345">
        <f>CHOOSE(Table16[[#This Row],[Mode Digit]],SQRT((Fsw*(Table16[[#This Row],[t2_Ph_I]]+0))*((Table16[[#This Row],[I_0]]*Table16[[#This Row],[I_1]]+((Table16[[#This Row],[I_0]]-Table16[[#This Row],[I_1]])^2)/3))),0,SQRT((Fsw*(Table16[[#This Row],[t3_Ph_III]]+0))*((Table16[[#This Row],[I_0]]*Table16[[#This Row],[I_2]]+((Table16[[#This Row],[I_0]]-Table16[[#This Row],[I_2]])^2)/3))))</f>
        <v>5.9112777096363409</v>
      </c>
      <c r="AM173" s="345">
        <f>Rdson2*Table16[[#This Row],[Irms BuSync]]^2</f>
        <v>0.12230121456155213</v>
      </c>
      <c r="AN173"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73" s="345">
        <f>(Table16[[#This Row],[Deadtime Loss BuSync]]+Table16[[#This Row],[RDS(on) Loss BuSync]]*(1+RdsonBotTc*Ta-RdsonBotTc*25))/(1-Table16[[#This Row],[RDS(on) Loss BuSync]]*RdsonBotTc*ThetaJA_Q2)</f>
        <v>0.37296073788045569</v>
      </c>
      <c r="AP173" s="345">
        <f>CHOOSE(Table16[[#This Row],[Mode Digit]],0,SQRT((Fsw*(Table16[[#This Row],[t1_Ph_II]]+0))*((Table16[[#This Row],[I_0]]*Table16[[#This Row],[I_1]]+((Table16[[#This Row],[I_0]]-Table16[[#This Row],[I_1]])^2)/3))),SQRT((Fsw*(Table16[[#This Row],[t2_Ph_I]]+0))*((Table16[[#This Row],[I_1]]*Table16[[#This Row],[I_2]]+((Table16[[#This Row],[I_1]]-Table16[[#This Row],[I_2]])^2)/3))))</f>
        <v>0</v>
      </c>
      <c r="AQ173" s="345">
        <f>Rdson4*Table16[[#This Row],[Irms BoCtlr]]^2</f>
        <v>0</v>
      </c>
      <c r="AR173" s="345">
        <f>CHOOSE(Table16[[#This Row],[Mode Digit]], 0, (Vout*Table16[[#This Row],[Iin]]/2)*(Fsw)*(Tr_boost+Tf_boost), (Vout*Iout/2)*(Fsw/1)*(Tr_boost+Tf_boost))</f>
        <v>0</v>
      </c>
      <c r="AS173" s="253">
        <f>IF(Table16[[#This Row],[Vin]]&gt;Vout, 0, IF(Table16[[#This Row],[Iin]]&gt;Table16[[#This Row],[Ripple Current pk-pk]]/2,0,ABS(Table16[[#This Row],[Iin]]-Table16[[#This Row],[Ripple Current pk-pk]]/2)*Vsd_Q4*Deadtime*Fsw))</f>
        <v>0</v>
      </c>
      <c r="AT173" s="345">
        <f>(Table16[[#This Row],[Dead Time Loss BoCtlr]]+Table16[[#This Row],[Transition Loss BoCtlr]]+Table16[[#This Row],[RDS(on) Loss BoCtlr]]*(1+RdsonTopTc*Ta-RdsonTopTc*25))/(1-Table16[[#This Row],[RDS(on) Loss BoCtlr]]*RdsonTopTc*ThetaJA_Q4)</f>
        <v>0</v>
      </c>
      <c r="AU173"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8.5750784582661925</v>
      </c>
      <c r="AV173" s="345">
        <f>Rdson3*Table16[[#This Row],[Irms BoSync]]^2</f>
        <v>0.25736189697897316</v>
      </c>
      <c r="AW173"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73" s="345">
        <f>(Table16[[#This Row],[Deadtime Loss BoSync]]+Table16[[#This Row],[RDS(on) Loss BoSync]]*(1+RdsonBotTc*Ta-RdsonBotTc*25))/(1-Table16[[#This Row],[RDS(on) Loss BoSync]]*RdsonBotTc*ThetaJA_Q3)</f>
        <v>0.2758180089393904</v>
      </c>
      <c r="AY173" s="345">
        <f>CHOOSE(Table16[[#This Row],[Mode Digit]], Rdson3*Table16[[#This Row],[Irms Lf]]^2, Rdson1*Table16[[#This Row],[Irms Lf]]^2, 0)</f>
        <v>0.25736189697897316</v>
      </c>
      <c r="AZ173" s="345">
        <f>CHOOSE(Table16[[#This Row],[Mode Digit]], 2*Deadtime*Fsw*IF(VfdSky_Q2&gt;0,VfdSky_Q2,0)*Table16[[#This Row],[Iout]], 2*Deadtime*Fsw*IF(VfdSky_Q3&gt;0,VfdSky_Q3,0)*Table16[[#This Row],[Iin]], 2*Deadtime*Fsw*IF(VfdSky_Q2&gt;0,VfdSky_Q2,0)*Table16[[#This Row],[Iout]]+2*Deadtime*Fsw*IF(VfdSky_Q3&gt;0,VfdSky_Q3,0)*Table16[[#This Row],[Iin]])</f>
        <v>0</v>
      </c>
      <c r="BA173" s="345">
        <f>CHOOSE(Table16[[#This Row],[Mode Digit]], IF(QrrSky_Q2&gt;0,QrrSky_Q2,Qrr_Q2)*Fsw*(Table16[[#This Row],[Vin]]-Table16[[#This Row],[Iout]]*Rdson1),0,  IF(QrrSky_Q2&gt;0,QrrSky_Q2,Qrr_Q2)*Fsw*(Table16[[#This Row],[Vin]]-Table16[[#This Row],[Iout]]*Rdson1)+IF(QrrSky_Q3&gt;0,QrrSky_Q3,Qrr_Q3)*Fsw*Vout)</f>
        <v>0.54754451999999998</v>
      </c>
      <c r="BB173" s="345">
        <f>CHOOSE(Table16[[#This Row],[Mode Digit]],0, IF(QrrSky_Q3&gt;0,QrrSky_Q3,Qrr_Q3)*Fsw*Vout,  IF(QrrSky_Q2&gt;0,QrrSky_Q2,Qrr_Q2)*Fsw*(Table16[[#This Row],[Vin]]-Table16[[#This Row],[Iout]]*Rdson1)+IF(QrrSky_Q3&gt;0,QrrSky_Q3,Qrr_Q3)*Fsw*Vout)</f>
        <v>0</v>
      </c>
      <c r="BC173" s="345">
        <f>CHOOSE(Table16[[#This Row],[Mode Digit]], Rs*Table16[[#This Row],[Irms BuSync]]^2, Rs*Table16[[#This Row],[Irms BoCtlr]]^2, Rs*(Table16[[#This Row],[Irms BuSync]]^2+Table16[[#This Row],[Irms BoCtlr]]^2))</f>
        <v>4.5426165408576503E-2</v>
      </c>
      <c r="BD173" s="345">
        <f t="shared" si="8"/>
        <v>0.64</v>
      </c>
      <c r="BE173" s="345">
        <f>IF(Vout&gt;8, Iq*Vout, Iq*Table16[[#This Row],[Vin]])</f>
        <v>4.8000000000000001E-2</v>
      </c>
      <c r="BF173" s="345">
        <f>CHOOSE(Table16[[#This Row],[Mode Digit]], (Qg_Q1+Qg_Q2)*Fsw, (Qg_Q3+Qg_Q4)*Fsw, (Qg_Q1+Qg_Q2+Qg_Q3+Qg_Q4)*Fsw)*IF(Vout&gt;8, Vout, Table16[[#This Row],[Vin]])</f>
        <v>0.85331200000000007</v>
      </c>
      <c r="BG173" s="345">
        <f t="shared" si="9"/>
        <v>0.50594479787234037</v>
      </c>
      <c r="BH173" s="345">
        <f>Table16[[#This Row],[IQ Loss]]+Table16[[#This Row],[Switching Current Loss]]</f>
        <v>0.90131200000000011</v>
      </c>
      <c r="BI173"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9.2936022743259041</v>
      </c>
      <c r="BJ173" s="253">
        <f>Vout*Table16[[#This Row],[Iout]]</f>
        <v>128</v>
      </c>
      <c r="BK173" s="684">
        <f>Table16[[#This Row],[Pout]]/(Table16[[#This Row],[Pout]]+Table16[[#This Row],[Total Loss]])</f>
        <v>0.93230855538514901</v>
      </c>
      <c r="BL173"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70.816528160153084</v>
      </c>
      <c r="BM173" s="685">
        <f>IF(Table16[[#This Row],[Vin]]&gt;Vout, Table16[[#This Row],[Total Sync Bu MOSFET Loss]]*ThetaJA_Q2, ThetaJA_Q3*Table16[[#This Row],[Total Sync Bo MOSFET Loss]])</f>
        <v>24.242447962229619</v>
      </c>
      <c r="BN173" s="640"/>
      <c r="BO173" s="292">
        <f>Table16[[#This Row],[EFF, h]]*100</f>
        <v>93.230855538514902</v>
      </c>
      <c r="BP173" s="345">
        <f>Table16[[#This Row],[Total Inductor Loss]]</f>
        <v>5.3653162367650875</v>
      </c>
      <c r="BQ173" s="345">
        <f>Table16[[#This Row],[Total Control Bu MOSFET Loss]]+Table16[[#This Row],[Total Sync Bu MOSFET Loss]]+Table16[[#This Row],[Total Control Bo MOSFET Loss]]+Table16[[#This Row],[Total Sync Bo MOSFET Loss]]+Table16[[#This Row],[Reverse Recovery Loss MOSFET D BUCK]]+Table16[[#This Row],[Reverse Recovery Loss MOSFET D BOOST]]</f>
        <v>2.2858083154375857</v>
      </c>
      <c r="BR173" s="345">
        <f>Table16[[#This Row],[Total Control Bu MOSFET Loss]]+Table16[[#This Row],[Reverse Recovery Loss MOSFET D BUCK]]*0.66</f>
        <v>1.4508644318177397</v>
      </c>
      <c r="BS173" s="345">
        <f>Table16[[#This Row],[Total Sync Bu MOSFET Loss]]+Table16[[#This Row],[Reverse Recovery Loss MOSFET D BUCK]]*0.33</f>
        <v>0.55365042948045573</v>
      </c>
      <c r="BT173" s="345">
        <f xml:space="preserve"> Table16[[#This Row],[Total Control Bo MOSFET Loss]]+Table16[[#This Row],[Reverse Recovery Loss MOSFET D BOOST]]*0.66</f>
        <v>0</v>
      </c>
      <c r="BU173" s="345">
        <f xml:space="preserve"> Table16[[#This Row],[Total Sync Bo MOSFET Loss]]+Table16[[#This Row],[Reverse Recovery Loss MOSFET D BOOST]]*0.33</f>
        <v>0.2758180089393904</v>
      </c>
      <c r="BV173" s="345">
        <f>Table16[[#This Row],[Isense Shunt Loss]]</f>
        <v>4.5426165408576503E-2</v>
      </c>
    </row>
    <row r="174" spans="7:74" x14ac:dyDescent="0.2">
      <c r="G174" s="253">
        <v>165</v>
      </c>
      <c r="H174" s="286">
        <f>VIN_min+(VIN_max-VIN_min)*(Table16[[#This Row],[Step]]/200)</f>
        <v>30.75</v>
      </c>
      <c r="I174" s="292" t="str">
        <f>IF(Mode = 2,IF(Table16[[#This Row],[Vin]]&gt;Vout, "BUCK","BOOST"),IF(Table16[[#This Row],[Vin]]&gt;VIN_BB_to_buck, "BUCK", IF(Table16[[#This Row],[Vin]]&lt;=VIN_boost_to_BB,"BOOST","BUCK-BST")))</f>
        <v>BUCK</v>
      </c>
      <c r="J174" s="253">
        <f>IF(Table16[[#This Row],[Mode]]="BOOST",2, IF(Table16[[#This Row],[Mode]]="BUCK", 1,3))</f>
        <v>1</v>
      </c>
      <c r="K174" s="253">
        <f t="shared" si="7"/>
        <v>8</v>
      </c>
      <c r="L174" s="292">
        <f>Vout*Table16[[#This Row],[Iout]]/(Table16[[#This Row],[Vin]]*Efficiency)</f>
        <v>4.3816859221223794</v>
      </c>
      <c r="M174" s="682">
        <f>MIN(1/Fsw,CHOOSE(Table16[[#This Row],[Mode Digit]],(Vout+(Rdson2+Rs+Rdcr)*Table16[[#This Row],[Iout]])/(Table16[[#This Row],[Vin]]+(Rs+Rdson2-Rdson1)*Table16[[#This Row],[Iout]])/Fsw,(Vout+(Rdson3+Rdcr)*Table16[[#This Row],[Iin]]-Table16[[#This Row],[Vin]])/(Vout+(Rdson3-Rdson4-Rs)*Table16[[#This Row],[Iin]])/Fsw,t1_Ph_II))</f>
        <v>1.3121353768229972E-6</v>
      </c>
      <c r="N174" s="518">
        <f>CHOOSE(Table16[[#This Row],[Mode Digit]],1/Fsw-Table16[[#This Row],[t1_Ph_II]],1/Fsw-Table16[[#This Row],[t1_Ph_II]],(Vout/Fsw-Table16[[#This Row],[Vin]]*t1_Ph_II)/(Table16[[#This Row],[Vin]]+Vout))</f>
        <v>1.2004274372473547E-6</v>
      </c>
      <c r="O174" s="518">
        <f>1/Fsw-(Table16[[#This Row],[t1_Ph_II]]+Table16[[#This Row],[t2_Ph_I]])</f>
        <v>0</v>
      </c>
      <c r="P174"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2.6238897755168864</v>
      </c>
      <c r="Q174" s="292">
        <f>CHOOSE(Table16[[#This Row],[Mode Digit]],Table16[[#This Row],[I_0]]+1/Lf*(Table16[[#This Row],[Vin]]-Vout)*Table16[[#This Row],[t1_Ph_II]],Table16[[#This Row],[I_0]]+1/Lf*Table16[[#This Row],[Vin]]*Table16[[#This Row],[t1_Ph_II]],Table16[[#This Row],[I_0]]+(Table16[[#This Row],[Vin]]-Vout)/L*Table16[[#This Row],[t1_Ph_II]])</f>
        <v>13.376110224483114</v>
      </c>
      <c r="R174" s="292">
        <f>CHOOSE(Table16[[#This Row],[Mode Digit]],0,0,Table16[[#This Row],[I_1]]+Table16[[#This Row],[Vin]]/L*Table16[[#This Row],[t2_Ph_I]])</f>
        <v>0</v>
      </c>
      <c r="S174" s="292">
        <f>Fsw*(Table16[[#This Row],[I_0]]*Table16[[#This Row],[t1_Ph_II]]+Table16[[#This Row],[I_1]]*Table16[[#This Row],[t2_Ph_I]]+Table16[[#This Row],[I_2]]*Table16[[#This Row],[t3_Ph_III]])</f>
        <v>7.7609794299487973</v>
      </c>
      <c r="T174" s="345">
        <f>MIN(1,CHOOSE(Table16[[#This Row],[Mode Digit]],(Vout+(Rdson2+Rs+Rdcr)*Table16[[#This Row],[Iout]])/(Table16[[#This Row],[Vin]]+(Rs+Rdson2-Rdson1)*Table16[[#This Row],[Iout]]),1,Fsw*Table16[[#This Row],[t2_Ph_I]]+Table16[[#This Row],[t1_Ph_II]]))</f>
        <v>0.52222987997555292</v>
      </c>
      <c r="U174" s="345">
        <f>MIN(1,CHOOSE(Table16[[#This Row],[Mode Digit]],0,(Vout+(Rdson3+Rdcr)*Table16[[#This Row],[Iin]]-Table16[[#This Row],[Vin]])/(Vout+(Rdson3-Rdson4-Rs)*Table16[[#This Row],[Iin]]),Fsw*Table16[[#This Row],[t1_Ph_II]]+Table16[[#This Row],[t3_Ph_III]]))</f>
        <v>0</v>
      </c>
      <c r="V174" s="292">
        <f>MAX(Table16[[#This Row],[I_0]:[I_2]])-MIN(Table16[[#This Row],[I_0]:[I_1]])</f>
        <v>10.752220448966227</v>
      </c>
      <c r="W174"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8.5810364786893487</v>
      </c>
      <c r="X174" s="345">
        <f>(Table16[[#This Row],[Irms Lf]]^2*Rdcr*(1+Ltc*Ta-Ltc*25))/(1-Table16[[#This Row],[Irms Lf]]^2*Rdcr*Ltc*ThetaCa)</f>
        <v>0.2401564318022964</v>
      </c>
      <c r="Y174" s="345">
        <f>ABS(7.759*10^-3*Fsw^0.9458*(0.00787*Table16[[#This Row],[Ripple Current pk-pk]])^2.304)</f>
        <v>5.1888689870658329</v>
      </c>
      <c r="Z174" s="345">
        <f>Table16[[#This Row],[DCR    Loss]]+Table16[[#This Row],[Core Loss]]</f>
        <v>5.4290254188681288</v>
      </c>
      <c r="AA174" s="292">
        <f>IF(Table16[[#This Row],[Vin]]&gt;Vout, Table16[[#This Row],[Ripple Current pk-pk]]/SQRT(12), SQRT(Table16[[#This Row],[Duty Cycle BOOST Leg]]/(1-Table16[[#This Row],[Duty Cycle BOOST Leg]]))*SQRT(Table16[[#This Row],[Iout]]^2+(Table16[[#This Row],[Ripple Current pk-pk]]^2)/12))</f>
        <v>3.1038986852984252</v>
      </c>
      <c r="AB174" s="345">
        <f>RCoutEsr*Table16[[#This Row],[Irms Cout]]^2</f>
        <v>1.9268374097194584E-2</v>
      </c>
      <c r="AC174" s="345">
        <f>Table16[[#This Row],[Cout ESR Loss]]</f>
        <v>1.9268374097194584E-2</v>
      </c>
      <c r="AD174" s="345">
        <f>IF(Table16[[#This Row],[Vin]]&gt;Vout, SQRT(Table16[[#This Row],[Duty Cycle BUCK Leg]]*(1-Table16[[#This Row],[Duty Cycle BUCK Leg]]))*SQRT(Table16[[#This Row],[Iout]]^2+(Table16[[#This Row],[Ripple Current pk-pk]]^2)/12), Table16[[#This Row],[Ripple Current pk-pk]]/SQRT(12))</f>
        <v>4.2862756718774477</v>
      </c>
      <c r="AE174" s="345">
        <f>RCinEsr*Table16[[#This Row],[Irms Cin]]^2</f>
        <v>3.6744318270656932E-2</v>
      </c>
      <c r="AF174" s="683">
        <f>Table16[[#This Row],[Cin ESR Loss]]</f>
        <v>3.6744318270656932E-2</v>
      </c>
      <c r="AG174"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6.20112672540131</v>
      </c>
      <c r="AH174" s="345">
        <f>Rdson1*Table16[[#This Row],[Irms BuCtrl]]^2</f>
        <v>0.13458890432570231</v>
      </c>
      <c r="AI174" s="345">
        <f>CHOOSE(Table16[[#This Row],[Mode Digit]], (Table16[[#This Row],[Vin]]*Table16[[#This Row],[Iout]]/2)*(Fsw)*(Tr_buck+Tf_buck), 0, (Table16[[#This Row],[Vin]]*Table16[[#This Row],[Avg IL]]/2)*(Fsw/1)*(Tr_buck+Tf_buck))</f>
        <v>0.92065726275919735</v>
      </c>
      <c r="AJ174" s="253">
        <f>IF(Table16[[#This Row],[Vin]]&gt;Vout, IF(Table16[[#This Row],[Iout]]&gt;Table16[[#This Row],[Ripple Current pk-pk]]/2,0,ABS(Table16[[#This Row],[Iout]]-Table16[[#This Row],[Ripple Current pk-pk]]/2)*Vsd_Q1*Deadtime*Fsw),0)</f>
        <v>0</v>
      </c>
      <c r="AK174" s="345">
        <f>(Table16[[#This Row],[Dead Time Loss BuCtrl]]+Table16[[#This Row],[Transition Loss BuCtrl]]+Table16[[#This Row],[RDS(on) Loss BuCtrl]]*(1+RdsonTopTc*Ta-RdsonTopTc*25))/(1-Table16[[#This Row],[RDS(on) Loss BuCtrl]]*RdsonTopTc*ThetaJA_Q1)</f>
        <v>1.0935115423774842</v>
      </c>
      <c r="AL174" s="345">
        <f>CHOOSE(Table16[[#This Row],[Mode Digit]],SQRT((Fsw*(Table16[[#This Row],[t2_Ph_I]]+0))*((Table16[[#This Row],[I_0]]*Table16[[#This Row],[I_1]]+((Table16[[#This Row],[I_0]]-Table16[[#This Row],[I_1]])^2)/3))),0,SQRT((Fsw*(Table16[[#This Row],[t3_Ph_III]]+0))*((Table16[[#This Row],[I_0]]*Table16[[#This Row],[I_2]]+((Table16[[#This Row],[I_0]]-Table16[[#This Row],[I_2]])^2)/3))))</f>
        <v>5.9312911228594167</v>
      </c>
      <c r="AM174" s="345">
        <f>Rdson2*Table16[[#This Row],[Irms BuSync]]^2</f>
        <v>0.12313075034438822</v>
      </c>
      <c r="AN174"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74" s="345">
        <f>(Table16[[#This Row],[Deadtime Loss BuSync]]+Table16[[#This Row],[RDS(on) Loss BuSync]]*(1+RdsonBotTc*Ta-RdsonBotTc*25))/(1-Table16[[#This Row],[RDS(on) Loss BuSync]]*RdsonBotTc*ThetaJA_Q2)</f>
        <v>0.37390080900794387</v>
      </c>
      <c r="AP174" s="345">
        <f>CHOOSE(Table16[[#This Row],[Mode Digit]],0,SQRT((Fsw*(Table16[[#This Row],[t1_Ph_II]]+0))*((Table16[[#This Row],[I_0]]*Table16[[#This Row],[I_1]]+((Table16[[#This Row],[I_0]]-Table16[[#This Row],[I_1]])^2)/3))),SQRT((Fsw*(Table16[[#This Row],[t2_Ph_I]]+0))*((Table16[[#This Row],[I_1]]*Table16[[#This Row],[I_2]]+((Table16[[#This Row],[I_1]]-Table16[[#This Row],[I_2]])^2)/3))))</f>
        <v>0</v>
      </c>
      <c r="AQ174" s="345">
        <f>Rdson4*Table16[[#This Row],[Irms BoCtlr]]^2</f>
        <v>0</v>
      </c>
      <c r="AR174" s="345">
        <f>CHOOSE(Table16[[#This Row],[Mode Digit]], 0, (Vout*Table16[[#This Row],[Iin]]/2)*(Fsw)*(Tr_boost+Tf_boost), (Vout*Iout/2)*(Fsw/1)*(Tr_boost+Tf_boost))</f>
        <v>0</v>
      </c>
      <c r="AS174" s="253">
        <f>IF(Table16[[#This Row],[Vin]]&gt;Vout, 0, IF(Table16[[#This Row],[Iin]]&gt;Table16[[#This Row],[Ripple Current pk-pk]]/2,0,ABS(Table16[[#This Row],[Iin]]-Table16[[#This Row],[Ripple Current pk-pk]]/2)*Vsd_Q4*Deadtime*Fsw))</f>
        <v>0</v>
      </c>
      <c r="AT174" s="345">
        <f>(Table16[[#This Row],[Dead Time Loss BoCtlr]]+Table16[[#This Row],[Transition Loss BoCtlr]]+Table16[[#This Row],[RDS(on) Loss BoCtlr]]*(1+RdsonTopTc*Ta-RdsonTopTc*25))/(1-Table16[[#This Row],[RDS(on) Loss BoCtlr]]*RdsonTopTc*ThetaJA_Q4)</f>
        <v>0</v>
      </c>
      <c r="AU174"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8.5810364786893487</v>
      </c>
      <c r="AV174" s="345">
        <f>Rdson3*Table16[[#This Row],[Irms BoSync]]^2</f>
        <v>0.25771965467009056</v>
      </c>
      <c r="AW174"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74" s="345">
        <f>(Table16[[#This Row],[Deadtime Loss BoSync]]+Table16[[#This Row],[RDS(on) Loss BoSync]]*(1+RdsonBotTc*Ta-RdsonBotTc*25))/(1-Table16[[#This Row],[RDS(on) Loss BoSync]]*RdsonBotTc*ThetaJA_Q3)</f>
        <v>0.27622895896802097</v>
      </c>
      <c r="AY174" s="345">
        <f>CHOOSE(Table16[[#This Row],[Mode Digit]], Rdson3*Table16[[#This Row],[Irms Lf]]^2, Rdson1*Table16[[#This Row],[Irms Lf]]^2, 0)</f>
        <v>0.25771965467009056</v>
      </c>
      <c r="AZ174" s="345">
        <f>CHOOSE(Table16[[#This Row],[Mode Digit]], 2*Deadtime*Fsw*IF(VfdSky_Q2&gt;0,VfdSky_Q2,0)*Table16[[#This Row],[Iout]], 2*Deadtime*Fsw*IF(VfdSky_Q3&gt;0,VfdSky_Q3,0)*Table16[[#This Row],[Iin]], 2*Deadtime*Fsw*IF(VfdSky_Q2&gt;0,VfdSky_Q2,0)*Table16[[#This Row],[Iout]]+2*Deadtime*Fsw*IF(VfdSky_Q3&gt;0,VfdSky_Q3,0)*Table16[[#This Row],[Iin]])</f>
        <v>0</v>
      </c>
      <c r="BA174" s="345">
        <f>CHOOSE(Table16[[#This Row],[Mode Digit]], IF(QrrSky_Q2&gt;0,QrrSky_Q2,Qrr_Q2)*Fsw*(Table16[[#This Row],[Vin]]-Table16[[#This Row],[Iout]]*Rdson1),0,  IF(QrrSky_Q2&gt;0,QrrSky_Q2,Qrr_Q2)*Fsw*(Table16[[#This Row],[Vin]]-Table16[[#This Row],[Iout]]*Rdson1)+IF(QrrSky_Q3&gt;0,QrrSky_Q3,Qrr_Q3)*Fsw*Vout)</f>
        <v>0.55023102000000002</v>
      </c>
      <c r="BB174" s="345">
        <f>CHOOSE(Table16[[#This Row],[Mode Digit]],0, IF(QrrSky_Q3&gt;0,QrrSky_Q3,Qrr_Q3)*Fsw*Vout,  IF(QrrSky_Q2&gt;0,QrrSky_Q2,Qrr_Q2)*Fsw*(Table16[[#This Row],[Vin]]-Table16[[#This Row],[Iout]]*Rdson1)+IF(QrrSky_Q3&gt;0,QrrSky_Q3,Qrr_Q3)*Fsw*Vout)</f>
        <v>0</v>
      </c>
      <c r="BC174" s="345">
        <f>CHOOSE(Table16[[#This Row],[Mode Digit]], Rs*Table16[[#This Row],[Irms BuSync]]^2, Rs*Table16[[#This Row],[Irms BoCtlr]]^2, Rs*(Table16[[#This Row],[Irms BuSync]]^2+Table16[[#This Row],[Irms BoCtlr]]^2))</f>
        <v>4.573427869934419E-2</v>
      </c>
      <c r="BD174" s="345">
        <f t="shared" si="8"/>
        <v>0.64</v>
      </c>
      <c r="BE174" s="345">
        <f>IF(Vout&gt;8, Iq*Vout, Iq*Table16[[#This Row],[Vin]])</f>
        <v>4.8000000000000001E-2</v>
      </c>
      <c r="BF174" s="345">
        <f>CHOOSE(Table16[[#This Row],[Mode Digit]], (Qg_Q1+Qg_Q2)*Fsw, (Qg_Q3+Qg_Q4)*Fsw, (Qg_Q1+Qg_Q2+Qg_Q3+Qg_Q4)*Fsw)*IF(Vout&gt;8, Vout, Table16[[#This Row],[Vin]])</f>
        <v>0.85331200000000007</v>
      </c>
      <c r="BG174" s="345">
        <f t="shared" si="9"/>
        <v>0.50594479787234037</v>
      </c>
      <c r="BH174" s="345">
        <f>Table16[[#This Row],[IQ Loss]]+Table16[[#This Row],[Switching Current Loss]]</f>
        <v>0.90131200000000011</v>
      </c>
      <c r="BI174"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9.365956720288775</v>
      </c>
      <c r="BJ174" s="253">
        <f>Vout*Table16[[#This Row],[Iout]]</f>
        <v>128</v>
      </c>
      <c r="BK174" s="684">
        <f>Table16[[#This Row],[Pout]]/(Table16[[#This Row],[Pout]]+Table16[[#This Row],[Total Loss]])</f>
        <v>0.93181748270162601</v>
      </c>
      <c r="BL174"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71.078250254536471</v>
      </c>
      <c r="BM174" s="685">
        <f>IF(Table16[[#This Row],[Vin]]&gt;Vout, Table16[[#This Row],[Total Sync Bu MOSFET Loss]]*ThetaJA_Q2, ThetaJA_Q3*Table16[[#This Row],[Total Sync Bo MOSFET Loss]])</f>
        <v>24.30355258551635</v>
      </c>
      <c r="BN174" s="640"/>
      <c r="BO174" s="292">
        <f>Table16[[#This Row],[EFF, h]]*100</f>
        <v>93.181748270162601</v>
      </c>
      <c r="BP174" s="345">
        <f>Table16[[#This Row],[Total Inductor Loss]]</f>
        <v>5.4290254188681288</v>
      </c>
      <c r="BQ174" s="345">
        <f>Table16[[#This Row],[Total Control Bu MOSFET Loss]]+Table16[[#This Row],[Total Sync Bu MOSFET Loss]]+Table16[[#This Row],[Total Control Bo MOSFET Loss]]+Table16[[#This Row],[Total Sync Bo MOSFET Loss]]+Table16[[#This Row],[Reverse Recovery Loss MOSFET D BUCK]]+Table16[[#This Row],[Reverse Recovery Loss MOSFET D BOOST]]</f>
        <v>2.293872330353449</v>
      </c>
      <c r="BR174" s="345">
        <f>Table16[[#This Row],[Total Control Bu MOSFET Loss]]+Table16[[#This Row],[Reverse Recovery Loss MOSFET D BUCK]]*0.66</f>
        <v>1.4566640155774842</v>
      </c>
      <c r="BS174" s="345">
        <f>Table16[[#This Row],[Total Sync Bu MOSFET Loss]]+Table16[[#This Row],[Reverse Recovery Loss MOSFET D BUCK]]*0.33</f>
        <v>0.55547704560794386</v>
      </c>
      <c r="BT174" s="345">
        <f xml:space="preserve"> Table16[[#This Row],[Total Control Bo MOSFET Loss]]+Table16[[#This Row],[Reverse Recovery Loss MOSFET D BOOST]]*0.66</f>
        <v>0</v>
      </c>
      <c r="BU174" s="345">
        <f xml:space="preserve"> Table16[[#This Row],[Total Sync Bo MOSFET Loss]]+Table16[[#This Row],[Reverse Recovery Loss MOSFET D BOOST]]*0.33</f>
        <v>0.27622895896802097</v>
      </c>
      <c r="BV174" s="345">
        <f>Table16[[#This Row],[Isense Shunt Loss]]</f>
        <v>4.573427869934419E-2</v>
      </c>
    </row>
    <row r="175" spans="7:74" x14ac:dyDescent="0.2">
      <c r="G175" s="253">
        <v>166</v>
      </c>
      <c r="H175" s="286">
        <f>VIN_min+(VIN_max-VIN_min)*(Table16[[#This Row],[Step]]/200)</f>
        <v>30.9</v>
      </c>
      <c r="I175" s="292" t="str">
        <f>IF(Mode = 2,IF(Table16[[#This Row],[Vin]]&gt;Vout, "BUCK","BOOST"),IF(Table16[[#This Row],[Vin]]&gt;VIN_BB_to_buck, "BUCK", IF(Table16[[#This Row],[Vin]]&lt;=VIN_boost_to_BB,"BOOST","BUCK-BST")))</f>
        <v>BUCK</v>
      </c>
      <c r="J175" s="253">
        <f>IF(Table16[[#This Row],[Mode]]="BOOST",2, IF(Table16[[#This Row],[Mode]]="BUCK", 1,3))</f>
        <v>1</v>
      </c>
      <c r="K175" s="253">
        <f t="shared" si="7"/>
        <v>8</v>
      </c>
      <c r="L175" s="292">
        <f>Vout*Table16[[#This Row],[Iout]]/(Table16[[#This Row],[Vin]]*Efficiency)</f>
        <v>4.3604156021120763</v>
      </c>
      <c r="M175" s="682">
        <f>MIN(1/Fsw,CHOOSE(Table16[[#This Row],[Mode Digit]],(Vout+(Rdson2+Rs+Rdcr)*Table16[[#This Row],[Iout]])/(Table16[[#This Row],[Vin]]+(Rs+Rdson2-Rdson1)*Table16[[#This Row],[Iout]])/Fsw,(Vout+(Rdson3+Rdcr)*Table16[[#This Row],[Iin]]-Table16[[#This Row],[Vin]])/(Vout+(Rdson3-Rdson4-Rs)*Table16[[#This Row],[Iin]])/Fsw,t1_Ph_II))</f>
        <v>1.3057679307037802E-6</v>
      </c>
      <c r="N175" s="518">
        <f>CHOOSE(Table16[[#This Row],[Mode Digit]],1/Fsw-Table16[[#This Row],[t1_Ph_II]],1/Fsw-Table16[[#This Row],[t1_Ph_II]],(Vout/Fsw-Table16[[#This Row],[Vin]]*t1_Ph_II)/(Table16[[#This Row],[Vin]]+Vout))</f>
        <v>1.2067948833665717E-6</v>
      </c>
      <c r="O175" s="518">
        <f>1/Fsw-(Table16[[#This Row],[t1_Ph_II]]+Table16[[#This Row],[t2_Ph_I]])</f>
        <v>0</v>
      </c>
      <c r="P175"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2.5955716201426888</v>
      </c>
      <c r="Q175" s="292">
        <f>CHOOSE(Table16[[#This Row],[Mode Digit]],Table16[[#This Row],[I_0]]+1/Lf*(Table16[[#This Row],[Vin]]-Vout)*Table16[[#This Row],[t1_Ph_II]],Table16[[#This Row],[I_0]]+1/Lf*Table16[[#This Row],[Vin]]*Table16[[#This Row],[t1_Ph_II]],Table16[[#This Row],[I_0]]+(Table16[[#This Row],[Vin]]-Vout)/L*Table16[[#This Row],[t1_Ph_II]])</f>
        <v>13.404428379857311</v>
      </c>
      <c r="R175" s="292">
        <f>CHOOSE(Table16[[#This Row],[Mode Digit]],0,0,Table16[[#This Row],[I_1]]+Table16[[#This Row],[Vin]]/L*Table16[[#This Row],[t2_Ph_I]])</f>
        <v>0</v>
      </c>
      <c r="S175" s="292">
        <f>Fsw*(Table16[[#This Row],[I_0]]*Table16[[#This Row],[t1_Ph_II]]+Table16[[#This Row],[I_1]]*Table16[[#This Row],[t2_Ph_I]]+Table16[[#This Row],[I_2]]*Table16[[#This Row],[t3_Ph_III]])</f>
        <v>7.7871126871436722</v>
      </c>
      <c r="T175" s="345">
        <f>MIN(1,CHOOSE(Table16[[#This Row],[Mode Digit]],(Vout+(Rdson2+Rs+Rdcr)*Table16[[#This Row],[Iout]])/(Table16[[#This Row],[Vin]]+(Rs+Rdson2-Rdson1)*Table16[[#This Row],[Iout]]),1,Fsw*Table16[[#This Row],[t2_Ph_I]]+Table16[[#This Row],[t1_Ph_II]]))</f>
        <v>0.51969563642010452</v>
      </c>
      <c r="U175" s="345">
        <f>MIN(1,CHOOSE(Table16[[#This Row],[Mode Digit]],0,(Vout+(Rdson3+Rdcr)*Table16[[#This Row],[Iin]]-Table16[[#This Row],[Vin]])/(Vout+(Rdson3-Rdson4-Rs)*Table16[[#This Row],[Iin]]),Fsw*Table16[[#This Row],[t1_Ph_II]]+Table16[[#This Row],[t3_Ph_III]]))</f>
        <v>0</v>
      </c>
      <c r="V175" s="292">
        <f>MAX(Table16[[#This Row],[I_0]:[I_2]])-MIN(Table16[[#This Row],[I_0]:[I_1]])</f>
        <v>10.808856759714622</v>
      </c>
      <c r="W175"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8.5869638816251985</v>
      </c>
      <c r="X175" s="345">
        <f>(Table16[[#This Row],[Irms Lf]]^2*Rdcr*(1+Ltc*Ta-Ltc*25))/(1-Table16[[#This Row],[Irms Lf]]^2*Rdcr*Ltc*ThetaCa)</f>
        <v>0.24049471090460736</v>
      </c>
      <c r="Y175" s="345">
        <f>ABS(7.759*10^-3*Fsw^0.9458*(0.00787*Table16[[#This Row],[Ripple Current pk-pk]])^2.304)</f>
        <v>5.2520580233908545</v>
      </c>
      <c r="Z175" s="345">
        <f>Table16[[#This Row],[DCR    Loss]]+Table16[[#This Row],[Core Loss]]</f>
        <v>5.4925527342954616</v>
      </c>
      <c r="AA175" s="292">
        <f>IF(Table16[[#This Row],[Vin]]&gt;Vout, Table16[[#This Row],[Ripple Current pk-pk]]/SQRT(12), SQRT(Table16[[#This Row],[Duty Cycle BOOST Leg]]/(1-Table16[[#This Row],[Duty Cycle BOOST Leg]]))*SQRT(Table16[[#This Row],[Iout]]^2+(Table16[[#This Row],[Ripple Current pk-pk]]^2)/12))</f>
        <v>3.1202481799266719</v>
      </c>
      <c r="AB175" s="345">
        <f>RCoutEsr*Table16[[#This Row],[Irms Cout]]^2</f>
        <v>1.9471897408671418E-2</v>
      </c>
      <c r="AC175" s="345">
        <f>Table16[[#This Row],[Cout ESR Loss]]</f>
        <v>1.9471897408671418E-2</v>
      </c>
      <c r="AD175" s="345">
        <f>IF(Table16[[#This Row],[Vin]]&gt;Vout, SQRT(Table16[[#This Row],[Duty Cycle BUCK Leg]]*(1-Table16[[#This Row],[Duty Cycle BUCK Leg]]))*SQRT(Table16[[#This Row],[Iout]]^2+(Table16[[#This Row],[Ripple Current pk-pk]]^2)/12), Table16[[#This Row],[Ripple Current pk-pk]]/SQRT(12))</f>
        <v>4.2901496089767992</v>
      </c>
      <c r="AE175" s="345">
        <f>RCinEsr*Table16[[#This Row],[Irms Cin]]^2</f>
        <v>3.6810767334807565E-2</v>
      </c>
      <c r="AF175" s="683">
        <f>Table16[[#This Row],[Cin ESR Loss]]</f>
        <v>3.6810767334807565E-2</v>
      </c>
      <c r="AG175"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6.1903352727408816</v>
      </c>
      <c r="AH175" s="345">
        <f>Rdson1*Table16[[#This Row],[Irms BuCtrl]]^2</f>
        <v>0.13412087776128973</v>
      </c>
      <c r="AI175" s="345">
        <f>CHOOSE(Table16[[#This Row],[Mode Digit]], (Table16[[#This Row],[Vin]]*Table16[[#This Row],[Iout]]/2)*(Fsw)*(Tr_buck+Tf_buck), 0, (Table16[[#This Row],[Vin]]*Table16[[#This Row],[Avg IL]]/2)*(Fsw/1)*(Tr_buck+Tf_buck))</f>
        <v>0.92514827379704712</v>
      </c>
      <c r="AJ175" s="253">
        <f>IF(Table16[[#This Row],[Vin]]&gt;Vout, IF(Table16[[#This Row],[Iout]]&gt;Table16[[#This Row],[Ripple Current pk-pk]]/2,0,ABS(Table16[[#This Row],[Iout]]-Table16[[#This Row],[Ripple Current pk-pk]]/2)*Vsd_Q1*Deadtime*Fsw),0)</f>
        <v>0</v>
      </c>
      <c r="AK175" s="345">
        <f>(Table16[[#This Row],[Dead Time Loss BuCtrl]]+Table16[[#This Row],[Transition Loss BuCtrl]]+Table16[[#This Row],[RDS(on) Loss BuCtrl]]*(1+RdsonTopTc*Ta-RdsonTopTc*25))/(1-Table16[[#This Row],[RDS(on) Loss BuCtrl]]*RdsonTopTc*ThetaJA_Q1)</f>
        <v>1.0975420089392296</v>
      </c>
      <c r="AL175" s="345">
        <f>CHOOSE(Table16[[#This Row],[Mode Digit]],SQRT((Fsw*(Table16[[#This Row],[t2_Ph_I]]+0))*((Table16[[#This Row],[I_0]]*Table16[[#This Row],[I_1]]+((Table16[[#This Row],[I_0]]-Table16[[#This Row],[I_1]])^2)/3))),0,SQRT((Fsw*(Table16[[#This Row],[t3_Ph_III]]+0))*((Table16[[#This Row],[I_0]]*Table16[[#This Row],[I_2]]+((Table16[[#This Row],[I_0]]-Table16[[#This Row],[I_2]])^2)/3))))</f>
        <v>5.9511089651758002</v>
      </c>
      <c r="AM175" s="345">
        <f>Rdson2*Table16[[#This Row],[Irms BuSync]]^2</f>
        <v>0.12395494270388524</v>
      </c>
      <c r="AN175"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75" s="345">
        <f>(Table16[[#This Row],[Deadtime Loss BuSync]]+Table16[[#This Row],[RDS(on) Loss BuSync]]*(1+RdsonBotTc*Ta-RdsonBotTc*25))/(1-Table16[[#This Row],[RDS(on) Loss BuSync]]*RdsonBotTc*ThetaJA_Q2)</f>
        <v>0.37483523967477911</v>
      </c>
      <c r="AP175" s="345">
        <f>CHOOSE(Table16[[#This Row],[Mode Digit]],0,SQRT((Fsw*(Table16[[#This Row],[t1_Ph_II]]+0))*((Table16[[#This Row],[I_0]]*Table16[[#This Row],[I_1]]+((Table16[[#This Row],[I_0]]-Table16[[#This Row],[I_1]])^2)/3))),SQRT((Fsw*(Table16[[#This Row],[t2_Ph_I]]+0))*((Table16[[#This Row],[I_1]]*Table16[[#This Row],[I_2]]+((Table16[[#This Row],[I_1]]-Table16[[#This Row],[I_2]])^2)/3))))</f>
        <v>0</v>
      </c>
      <c r="AQ175" s="345">
        <f>Rdson4*Table16[[#This Row],[Irms BoCtlr]]^2</f>
        <v>0</v>
      </c>
      <c r="AR175" s="345">
        <f>CHOOSE(Table16[[#This Row],[Mode Digit]], 0, (Vout*Table16[[#This Row],[Iin]]/2)*(Fsw)*(Tr_boost+Tf_boost), (Vout*Iout/2)*(Fsw/1)*(Tr_boost+Tf_boost))</f>
        <v>0</v>
      </c>
      <c r="AS175" s="253">
        <f>IF(Table16[[#This Row],[Vin]]&gt;Vout, 0, IF(Table16[[#This Row],[Iin]]&gt;Table16[[#This Row],[Ripple Current pk-pk]]/2,0,ABS(Table16[[#This Row],[Iin]]-Table16[[#This Row],[Ripple Current pk-pk]]/2)*Vsd_Q4*Deadtime*Fsw))</f>
        <v>0</v>
      </c>
      <c r="AT175" s="345">
        <f>(Table16[[#This Row],[Dead Time Loss BoCtlr]]+Table16[[#This Row],[Transition Loss BoCtlr]]+Table16[[#This Row],[RDS(on) Loss BoCtlr]]*(1+RdsonTopTc*Ta-RdsonTopTc*25))/(1-Table16[[#This Row],[RDS(on) Loss BoCtlr]]*RdsonTopTc*ThetaJA_Q4)</f>
        <v>0</v>
      </c>
      <c r="AU175"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8.5869638816251985</v>
      </c>
      <c r="AV175" s="345">
        <f>Rdson3*Table16[[#This Row],[Irms BoSync]]^2</f>
        <v>0.25807582046517497</v>
      </c>
      <c r="AW175"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75" s="345">
        <f>(Table16[[#This Row],[Deadtime Loss BoSync]]+Table16[[#This Row],[RDS(on) Loss BoSync]]*(1+RdsonBotTc*Ta-RdsonBotTc*25))/(1-Table16[[#This Row],[RDS(on) Loss BoSync]]*RdsonBotTc*ThetaJA_Q3)</f>
        <v>0.27663816181670947</v>
      </c>
      <c r="AY175" s="345">
        <f>CHOOSE(Table16[[#This Row],[Mode Digit]], Rdson3*Table16[[#This Row],[Irms Lf]]^2, Rdson1*Table16[[#This Row],[Irms Lf]]^2, 0)</f>
        <v>0.25807582046517497</v>
      </c>
      <c r="AZ175" s="345">
        <f>CHOOSE(Table16[[#This Row],[Mode Digit]], 2*Deadtime*Fsw*IF(VfdSky_Q2&gt;0,VfdSky_Q2,0)*Table16[[#This Row],[Iout]], 2*Deadtime*Fsw*IF(VfdSky_Q3&gt;0,VfdSky_Q3,0)*Table16[[#This Row],[Iin]], 2*Deadtime*Fsw*IF(VfdSky_Q2&gt;0,VfdSky_Q2,0)*Table16[[#This Row],[Iout]]+2*Deadtime*Fsw*IF(VfdSky_Q3&gt;0,VfdSky_Q3,0)*Table16[[#This Row],[Iin]])</f>
        <v>0</v>
      </c>
      <c r="BA175" s="345">
        <f>CHOOSE(Table16[[#This Row],[Mode Digit]], IF(QrrSky_Q2&gt;0,QrrSky_Q2,Qrr_Q2)*Fsw*(Table16[[#This Row],[Vin]]-Table16[[#This Row],[Iout]]*Rdson1),0,  IF(QrrSky_Q2&gt;0,QrrSky_Q2,Qrr_Q2)*Fsw*(Table16[[#This Row],[Vin]]-Table16[[#This Row],[Iout]]*Rdson1)+IF(QrrSky_Q3&gt;0,QrrSky_Q3,Qrr_Q3)*Fsw*Vout)</f>
        <v>0.55291751999999994</v>
      </c>
      <c r="BB175" s="345">
        <f>CHOOSE(Table16[[#This Row],[Mode Digit]],0, IF(QrrSky_Q3&gt;0,QrrSky_Q3,Qrr_Q3)*Fsw*Vout,  IF(QrrSky_Q2&gt;0,QrrSky_Q2,Qrr_Q2)*Fsw*(Table16[[#This Row],[Vin]]-Table16[[#This Row],[Iout]]*Rdson1)+IF(QrrSky_Q3&gt;0,QrrSky_Q3,Qrr_Q3)*Fsw*Vout)</f>
        <v>0</v>
      </c>
      <c r="BC175" s="345">
        <f>CHOOSE(Table16[[#This Row],[Mode Digit]], Rs*Table16[[#This Row],[Irms BuSync]]^2, Rs*Table16[[#This Row],[Irms BoCtlr]]^2, Rs*(Table16[[#This Row],[Irms BuSync]]^2+Table16[[#This Row],[Irms BoCtlr]]^2))</f>
        <v>4.6040407290014518E-2</v>
      </c>
      <c r="BD175" s="345">
        <f t="shared" si="8"/>
        <v>0.64</v>
      </c>
      <c r="BE175" s="345">
        <f>IF(Vout&gt;8, Iq*Vout, Iq*Table16[[#This Row],[Vin]])</f>
        <v>4.8000000000000001E-2</v>
      </c>
      <c r="BF175" s="345">
        <f>CHOOSE(Table16[[#This Row],[Mode Digit]], (Qg_Q1+Qg_Q2)*Fsw, (Qg_Q3+Qg_Q4)*Fsw, (Qg_Q1+Qg_Q2+Qg_Q3+Qg_Q4)*Fsw)*IF(Vout&gt;8, Vout, Table16[[#This Row],[Vin]])</f>
        <v>0.85331200000000007</v>
      </c>
      <c r="BG175" s="345">
        <f t="shared" si="9"/>
        <v>0.50594479787234037</v>
      </c>
      <c r="BH175" s="345">
        <f>Table16[[#This Row],[IQ Loss]]+Table16[[#This Row],[Switching Current Loss]]</f>
        <v>0.90131200000000011</v>
      </c>
      <c r="BI175"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9.4381207367596733</v>
      </c>
      <c r="BJ175" s="253">
        <f>Vout*Table16[[#This Row],[Iout]]</f>
        <v>128</v>
      </c>
      <c r="BK175" s="684">
        <f>Table16[[#This Row],[Pout]]/(Table16[[#This Row],[Pout]]+Table16[[#This Row],[Total Loss]])</f>
        <v>0.93132821748314742</v>
      </c>
      <c r="BL175"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71.340230581049923</v>
      </c>
      <c r="BM175" s="685">
        <f>IF(Table16[[#This Row],[Vin]]&gt;Vout, Table16[[#This Row],[Total Sync Bu MOSFET Loss]]*ThetaJA_Q2, ThetaJA_Q3*Table16[[#This Row],[Total Sync Bo MOSFET Loss]])</f>
        <v>24.364290578860643</v>
      </c>
      <c r="BN175" s="640"/>
      <c r="BO175" s="292">
        <f>Table16[[#This Row],[EFF, h]]*100</f>
        <v>93.13282174831474</v>
      </c>
      <c r="BP175" s="345">
        <f>Table16[[#This Row],[Total Inductor Loss]]</f>
        <v>5.4925527342954616</v>
      </c>
      <c r="BQ175" s="345">
        <f>Table16[[#This Row],[Total Control Bu MOSFET Loss]]+Table16[[#This Row],[Total Sync Bu MOSFET Loss]]+Table16[[#This Row],[Total Control Bo MOSFET Loss]]+Table16[[#This Row],[Total Sync Bo MOSFET Loss]]+Table16[[#This Row],[Reverse Recovery Loss MOSFET D BUCK]]+Table16[[#This Row],[Reverse Recovery Loss MOSFET D BOOST]]</f>
        <v>2.3019329304307181</v>
      </c>
      <c r="BR175" s="345">
        <f>Table16[[#This Row],[Total Control Bu MOSFET Loss]]+Table16[[#This Row],[Reverse Recovery Loss MOSFET D BUCK]]*0.66</f>
        <v>1.4624675721392295</v>
      </c>
      <c r="BS175" s="345">
        <f>Table16[[#This Row],[Total Sync Bu MOSFET Loss]]+Table16[[#This Row],[Reverse Recovery Loss MOSFET D BUCK]]*0.33</f>
        <v>0.55729802127477912</v>
      </c>
      <c r="BT175" s="345">
        <f xml:space="preserve"> Table16[[#This Row],[Total Control Bo MOSFET Loss]]+Table16[[#This Row],[Reverse Recovery Loss MOSFET D BOOST]]*0.66</f>
        <v>0</v>
      </c>
      <c r="BU175" s="345">
        <f xml:space="preserve"> Table16[[#This Row],[Total Sync Bo MOSFET Loss]]+Table16[[#This Row],[Reverse Recovery Loss MOSFET D BOOST]]*0.33</f>
        <v>0.27663816181670947</v>
      </c>
      <c r="BV175" s="345">
        <f>Table16[[#This Row],[Isense Shunt Loss]]</f>
        <v>4.6040407290014518E-2</v>
      </c>
    </row>
    <row r="176" spans="7:74" x14ac:dyDescent="0.2">
      <c r="G176" s="253">
        <v>167</v>
      </c>
      <c r="H176" s="286">
        <f>VIN_min+(VIN_max-VIN_min)*(Table16[[#This Row],[Step]]/200)</f>
        <v>31.049999999999997</v>
      </c>
      <c r="I176" s="292" t="str">
        <f>IF(Mode = 2,IF(Table16[[#This Row],[Vin]]&gt;Vout, "BUCK","BOOST"),IF(Table16[[#This Row],[Vin]]&gt;VIN_BB_to_buck, "BUCK", IF(Table16[[#This Row],[Vin]]&lt;=VIN_boost_to_BB,"BOOST","BUCK-BST")))</f>
        <v>BUCK</v>
      </c>
      <c r="J176" s="253">
        <f>IF(Table16[[#This Row],[Mode]]="BOOST",2, IF(Table16[[#This Row],[Mode]]="BUCK", 1,3))</f>
        <v>1</v>
      </c>
      <c r="K176" s="253">
        <f t="shared" si="7"/>
        <v>8</v>
      </c>
      <c r="L176" s="292">
        <f>Vout*Table16[[#This Row],[Iout]]/(Table16[[#This Row],[Vin]]*Efficiency)</f>
        <v>4.3393507924400376</v>
      </c>
      <c r="M176" s="682">
        <f>MIN(1/Fsw,CHOOSE(Table16[[#This Row],[Mode Digit]],(Vout+(Rdson2+Rs+Rdcr)*Table16[[#This Row],[Iout]])/(Table16[[#This Row],[Vin]]+(Rs+Rdson2-Rdson1)*Table16[[#This Row],[Iout]])/Fsw,(Vout+(Rdson3+Rdcr)*Table16[[#This Row],[Iin]]-Table16[[#This Row],[Vin]])/(Vout+(Rdson3-Rdson4-Rs)*Table16[[#This Row],[Iin]])/Fsw,t1_Ph_II))</f>
        <v>1.2994619852038652E-6</v>
      </c>
      <c r="N176" s="518">
        <f>CHOOSE(Table16[[#This Row],[Mode Digit]],1/Fsw-Table16[[#This Row],[t1_Ph_II]],1/Fsw-Table16[[#This Row],[t1_Ph_II]],(Vout/Fsw-Table16[[#This Row],[Vin]]*t1_Ph_II)/(Table16[[#This Row],[Vin]]+Vout))</f>
        <v>1.2131008288664867E-6</v>
      </c>
      <c r="O176" s="518">
        <f>1/Fsw-(Table16[[#This Row],[t1_Ph_II]]+Table16[[#This Row],[t2_Ph_I]])</f>
        <v>0</v>
      </c>
      <c r="P176"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2.5675269785227313</v>
      </c>
      <c r="Q176" s="292">
        <f>CHOOSE(Table16[[#This Row],[Mode Digit]],Table16[[#This Row],[I_0]]+1/Lf*(Table16[[#This Row],[Vin]]-Vout)*Table16[[#This Row],[t1_Ph_II]],Table16[[#This Row],[I_0]]+1/Lf*Table16[[#This Row],[Vin]]*Table16[[#This Row],[t1_Ph_II]],Table16[[#This Row],[I_0]]+(Table16[[#This Row],[Vin]]-Vout)/L*Table16[[#This Row],[t1_Ph_II]])</f>
        <v>13.432473021477268</v>
      </c>
      <c r="R176" s="292">
        <f>CHOOSE(Table16[[#This Row],[Mode Digit]],0,0,Table16[[#This Row],[I_1]]+Table16[[#This Row],[Vin]]/L*Table16[[#This Row],[t2_Ph_I]])</f>
        <v>0</v>
      </c>
      <c r="S176" s="292">
        <f>Fsw*(Table16[[#This Row],[I_0]]*Table16[[#This Row],[t1_Ph_II]]+Table16[[#This Row],[I_1]]*Table16[[#This Row],[t2_Ph_I]]+Table16[[#This Row],[I_2]]*Table16[[#This Row],[t3_Ph_III]])</f>
        <v>7.8132764485412576</v>
      </c>
      <c r="T176" s="345">
        <f>MIN(1,CHOOSE(Table16[[#This Row],[Mode Digit]],(Vout+(Rdson2+Rs+Rdcr)*Table16[[#This Row],[Iout]])/(Table16[[#This Row],[Vin]]+(Rs+Rdson2-Rdson1)*Table16[[#This Row],[Iout]]),1,Fsw*Table16[[#This Row],[t2_Ph_I]]+Table16[[#This Row],[t1_Ph_II]]))</f>
        <v>0.51718587011113837</v>
      </c>
      <c r="U176" s="345">
        <f>MIN(1,CHOOSE(Table16[[#This Row],[Mode Digit]],0,(Vout+(Rdson3+Rdcr)*Table16[[#This Row],[Iin]]-Table16[[#This Row],[Vin]])/(Vout+(Rdson3-Rdson4-Rs)*Table16[[#This Row],[Iin]]),Fsw*Table16[[#This Row],[t1_Ph_II]]+Table16[[#This Row],[t3_Ph_III]]))</f>
        <v>0</v>
      </c>
      <c r="V176" s="292">
        <f>MAX(Table16[[#This Row],[I_0]:[I_2]])-MIN(Table16[[#This Row],[I_0]:[I_1]])</f>
        <v>10.864946042954536</v>
      </c>
      <c r="W176"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8.5928606631528393</v>
      </c>
      <c r="X176" s="345">
        <f>(Table16[[#This Row],[Irms Lf]]^2*Rdcr*(1+Ltc*Ta-Ltc*25))/(1-Table16[[#This Row],[Irms Lf]]^2*Rdcr*Ltc*ThetaCa)</f>
        <v>0.2408314920563967</v>
      </c>
      <c r="Y176" s="345">
        <f>ABS(7.759*10^-3*Fsw^0.9458*(0.00787*Table16[[#This Row],[Ripple Current pk-pk]])^2.304)</f>
        <v>5.3150637146909618</v>
      </c>
      <c r="Z176" s="345">
        <f>Table16[[#This Row],[DCR    Loss]]+Table16[[#This Row],[Core Loss]]</f>
        <v>5.5558952067473584</v>
      </c>
      <c r="AA176" s="292">
        <f>IF(Table16[[#This Row],[Vin]]&gt;Vout, Table16[[#This Row],[Ripple Current pk-pk]]/SQRT(12), SQRT(Table16[[#This Row],[Duty Cycle BOOST Leg]]/(1-Table16[[#This Row],[Duty Cycle BOOST Leg]]))*SQRT(Table16[[#This Row],[Iout]]^2+(Table16[[#This Row],[Ripple Current pk-pk]]^2)/12))</f>
        <v>3.1364397613152804</v>
      </c>
      <c r="AB176" s="345">
        <f>RCoutEsr*Table16[[#This Row],[Irms Cout]]^2</f>
        <v>1.9674508752718908E-2</v>
      </c>
      <c r="AC176" s="345">
        <f>Table16[[#This Row],[Cout ESR Loss]]</f>
        <v>1.9674508752718908E-2</v>
      </c>
      <c r="AD176" s="345">
        <f>IF(Table16[[#This Row],[Vin]]&gt;Vout, SQRT(Table16[[#This Row],[Duty Cycle BUCK Leg]]*(1-Table16[[#This Row],[Duty Cycle BUCK Leg]]))*SQRT(Table16[[#This Row],[Iout]]^2+(Table16[[#This Row],[Ripple Current pk-pk]]^2)/12), Table16[[#This Row],[Ripple Current pk-pk]]/SQRT(12))</f>
        <v>4.293891644645087</v>
      </c>
      <c r="AE176" s="345">
        <f>RCinEsr*Table16[[#This Row],[Irms Cin]]^2</f>
        <v>3.6875010911905787E-2</v>
      </c>
      <c r="AF176" s="683">
        <f>Table16[[#This Row],[Cin ESR Loss]]</f>
        <v>3.6875010911905787E-2</v>
      </c>
      <c r="AG176"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6.1796103963967592</v>
      </c>
      <c r="AH176" s="345">
        <f>Rdson1*Table16[[#This Row],[Irms BuCtrl]]^2</f>
        <v>0.13365654627939219</v>
      </c>
      <c r="AI176" s="345">
        <f>CHOOSE(Table16[[#This Row],[Mode Digit]], (Table16[[#This Row],[Vin]]*Table16[[#This Row],[Iout]]/2)*(Fsw)*(Tr_buck+Tf_buck), 0, (Table16[[#This Row],[Vin]]*Table16[[#This Row],[Avg IL]]/2)*(Fsw/1)*(Tr_buck+Tf_buck))</f>
        <v>0.92963928483489666</v>
      </c>
      <c r="AJ176" s="253">
        <f>IF(Table16[[#This Row],[Vin]]&gt;Vout, IF(Table16[[#This Row],[Iout]]&gt;Table16[[#This Row],[Ripple Current pk-pk]]/2,0,ABS(Table16[[#This Row],[Iout]]-Table16[[#This Row],[Ripple Current pk-pk]]/2)*Vsd_Q1*Deadtime*Fsw),0)</f>
        <v>0</v>
      </c>
      <c r="AK176" s="345">
        <f>(Table16[[#This Row],[Dead Time Loss BuCtrl]]+Table16[[#This Row],[Transition Loss BuCtrl]]+Table16[[#This Row],[RDS(on) Loss BuCtrl]]*(1+RdsonTopTc*Ta-RdsonTopTc*25))/(1-Table16[[#This Row],[RDS(on) Loss BuCtrl]]*RdsonTopTc*ThetaJA_Q1)</f>
        <v>1.1015763837936989</v>
      </c>
      <c r="AL176" s="345">
        <f>CHOOSE(Table16[[#This Row],[Mode Digit]],SQRT((Fsw*(Table16[[#This Row],[t2_Ph_I]]+0))*((Table16[[#This Row],[I_0]]*Table16[[#This Row],[I_1]]+((Table16[[#This Row],[I_0]]-Table16[[#This Row],[I_1]])^2)/3))),0,SQRT((Fsw*(Table16[[#This Row],[t3_Ph_III]]+0))*((Table16[[#This Row],[I_0]]*Table16[[#This Row],[I_2]]+((Table16[[#This Row],[I_0]]-Table16[[#This Row],[I_2]])^2)/3))))</f>
        <v>5.9707344376638067</v>
      </c>
      <c r="AM176" s="345">
        <f>Rdson2*Table16[[#This Row],[Irms BuSync]]^2</f>
        <v>0.12477384403786589</v>
      </c>
      <c r="AN176"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76" s="345">
        <f>(Table16[[#This Row],[Deadtime Loss BuSync]]+Table16[[#This Row],[RDS(on) Loss BuSync]]*(1+RdsonBotTc*Ta-RdsonBotTc*25))/(1-Table16[[#This Row],[RDS(on) Loss BuSync]]*RdsonBotTc*ThetaJA_Q2)</f>
        <v>0.37576408155363522</v>
      </c>
      <c r="AP176" s="345">
        <f>CHOOSE(Table16[[#This Row],[Mode Digit]],0,SQRT((Fsw*(Table16[[#This Row],[t1_Ph_II]]+0))*((Table16[[#This Row],[I_0]]*Table16[[#This Row],[I_1]]+((Table16[[#This Row],[I_0]]-Table16[[#This Row],[I_1]])^2)/3))),SQRT((Fsw*(Table16[[#This Row],[t2_Ph_I]]+0))*((Table16[[#This Row],[I_1]]*Table16[[#This Row],[I_2]]+((Table16[[#This Row],[I_1]]-Table16[[#This Row],[I_2]])^2)/3))))</f>
        <v>0</v>
      </c>
      <c r="AQ176" s="345">
        <f>Rdson4*Table16[[#This Row],[Irms BoCtlr]]^2</f>
        <v>0</v>
      </c>
      <c r="AR176" s="345">
        <f>CHOOSE(Table16[[#This Row],[Mode Digit]], 0, (Vout*Table16[[#This Row],[Iin]]/2)*(Fsw)*(Tr_boost+Tf_boost), (Vout*Iout/2)*(Fsw/1)*(Tr_boost+Tf_boost))</f>
        <v>0</v>
      </c>
      <c r="AS176" s="253">
        <f>IF(Table16[[#This Row],[Vin]]&gt;Vout, 0, IF(Table16[[#This Row],[Iin]]&gt;Table16[[#This Row],[Ripple Current pk-pk]]/2,0,ABS(Table16[[#This Row],[Iin]]-Table16[[#This Row],[Ripple Current pk-pk]]/2)*Vsd_Q4*Deadtime*Fsw))</f>
        <v>0</v>
      </c>
      <c r="AT176" s="345">
        <f>(Table16[[#This Row],[Dead Time Loss BoCtlr]]+Table16[[#This Row],[Transition Loss BoCtlr]]+Table16[[#This Row],[RDS(on) Loss BoCtlr]]*(1+RdsonTopTc*Ta-RdsonTopTc*25))/(1-Table16[[#This Row],[RDS(on) Loss BoCtlr]]*RdsonTopTc*ThetaJA_Q4)</f>
        <v>0</v>
      </c>
      <c r="AU176"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8.5928606631528393</v>
      </c>
      <c r="AV176" s="345">
        <f>Rdson3*Table16[[#This Row],[Irms BoSync]]^2</f>
        <v>0.25843039031725812</v>
      </c>
      <c r="AW176"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76" s="345">
        <f>(Table16[[#This Row],[Deadtime Loss BoSync]]+Table16[[#This Row],[RDS(on) Loss BoSync]]*(1+RdsonBotTc*Ta-RdsonBotTc*25))/(1-Table16[[#This Row],[RDS(on) Loss BoSync]]*RdsonBotTc*ThetaJA_Q3)</f>
        <v>0.27704561176942466</v>
      </c>
      <c r="AY176" s="345">
        <f>CHOOSE(Table16[[#This Row],[Mode Digit]], Rdson3*Table16[[#This Row],[Irms Lf]]^2, Rdson1*Table16[[#This Row],[Irms Lf]]^2, 0)</f>
        <v>0.25843039031725812</v>
      </c>
      <c r="AZ176" s="345">
        <f>CHOOSE(Table16[[#This Row],[Mode Digit]], 2*Deadtime*Fsw*IF(VfdSky_Q2&gt;0,VfdSky_Q2,0)*Table16[[#This Row],[Iout]], 2*Deadtime*Fsw*IF(VfdSky_Q3&gt;0,VfdSky_Q3,0)*Table16[[#This Row],[Iin]], 2*Deadtime*Fsw*IF(VfdSky_Q2&gt;0,VfdSky_Q2,0)*Table16[[#This Row],[Iout]]+2*Deadtime*Fsw*IF(VfdSky_Q3&gt;0,VfdSky_Q3,0)*Table16[[#This Row],[Iin]])</f>
        <v>0</v>
      </c>
      <c r="BA176" s="345">
        <f>CHOOSE(Table16[[#This Row],[Mode Digit]], IF(QrrSky_Q2&gt;0,QrrSky_Q2,Qrr_Q2)*Fsw*(Table16[[#This Row],[Vin]]-Table16[[#This Row],[Iout]]*Rdson1),0,  IF(QrrSky_Q2&gt;0,QrrSky_Q2,Qrr_Q2)*Fsw*(Table16[[#This Row],[Vin]]-Table16[[#This Row],[Iout]]*Rdson1)+IF(QrrSky_Q3&gt;0,QrrSky_Q3,Qrr_Q3)*Fsw*Vout)</f>
        <v>0.55560401999999998</v>
      </c>
      <c r="BB176" s="345">
        <f>CHOOSE(Table16[[#This Row],[Mode Digit]],0, IF(QrrSky_Q3&gt;0,QrrSky_Q3,Qrr_Q3)*Fsw*Vout,  IF(QrrSky_Q2&gt;0,QrrSky_Q2,Qrr_Q2)*Fsw*(Table16[[#This Row],[Vin]]-Table16[[#This Row],[Iout]]*Rdson1)+IF(QrrSky_Q3&gt;0,QrrSky_Q3,Qrr_Q3)*Fsw*Vout)</f>
        <v>0</v>
      </c>
      <c r="BC176" s="345">
        <f>CHOOSE(Table16[[#This Row],[Mode Digit]], Rs*Table16[[#This Row],[Irms BuSync]]^2, Rs*Table16[[#This Row],[Irms BoCtlr]]^2, Rs*(Table16[[#This Row],[Irms BuSync]]^2+Table16[[#This Row],[Irms BoCtlr]]^2))</f>
        <v>4.6344570642635897E-2</v>
      </c>
      <c r="BD176" s="345">
        <f t="shared" si="8"/>
        <v>0.64</v>
      </c>
      <c r="BE176" s="345">
        <f>IF(Vout&gt;8, Iq*Vout, Iq*Table16[[#This Row],[Vin]])</f>
        <v>4.8000000000000001E-2</v>
      </c>
      <c r="BF176" s="345">
        <f>CHOOSE(Table16[[#This Row],[Mode Digit]], (Qg_Q1+Qg_Q2)*Fsw, (Qg_Q3+Qg_Q4)*Fsw, (Qg_Q1+Qg_Q2+Qg_Q3+Qg_Q4)*Fsw)*IF(Vout&gt;8, Vout, Table16[[#This Row],[Vin]])</f>
        <v>0.85331200000000007</v>
      </c>
      <c r="BG176" s="345">
        <f t="shared" si="9"/>
        <v>0.50594479787234037</v>
      </c>
      <c r="BH176" s="345">
        <f>Table16[[#This Row],[IQ Loss]]+Table16[[#This Row],[Switching Current Loss]]</f>
        <v>0.90131200000000011</v>
      </c>
      <c r="BI176"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9.5100913941713792</v>
      </c>
      <c r="BJ176" s="253">
        <f>Vout*Table16[[#This Row],[Iout]]</f>
        <v>128</v>
      </c>
      <c r="BK176" s="684">
        <f>Table16[[#This Row],[Pout]]/(Table16[[#This Row],[Pout]]+Table16[[#This Row],[Total Loss]])</f>
        <v>0.93084077468241366</v>
      </c>
      <c r="BL176"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71.60246494659043</v>
      </c>
      <c r="BM176" s="685">
        <f>IF(Table16[[#This Row],[Vin]]&gt;Vout, Table16[[#This Row],[Total Sync Bu MOSFET Loss]]*ThetaJA_Q2, ThetaJA_Q3*Table16[[#This Row],[Total Sync Bo MOSFET Loss]])</f>
        <v>24.424665300986291</v>
      </c>
      <c r="BN176" s="640"/>
      <c r="BO176" s="292">
        <f>Table16[[#This Row],[EFF, h]]*100</f>
        <v>93.084077468241361</v>
      </c>
      <c r="BP176" s="345">
        <f>Table16[[#This Row],[Total Inductor Loss]]</f>
        <v>5.5558952067473584</v>
      </c>
      <c r="BQ176" s="345">
        <f>Table16[[#This Row],[Total Control Bu MOSFET Loss]]+Table16[[#This Row],[Total Sync Bu MOSFET Loss]]+Table16[[#This Row],[Total Control Bo MOSFET Loss]]+Table16[[#This Row],[Total Sync Bo MOSFET Loss]]+Table16[[#This Row],[Reverse Recovery Loss MOSFET D BUCK]]+Table16[[#This Row],[Reverse Recovery Loss MOSFET D BOOST]]</f>
        <v>2.3099900971167586</v>
      </c>
      <c r="BR176" s="345">
        <f>Table16[[#This Row],[Total Control Bu MOSFET Loss]]+Table16[[#This Row],[Reverse Recovery Loss MOSFET D BUCK]]*0.66</f>
        <v>1.468275036993699</v>
      </c>
      <c r="BS176" s="345">
        <f>Table16[[#This Row],[Total Sync Bu MOSFET Loss]]+Table16[[#This Row],[Reverse Recovery Loss MOSFET D BUCK]]*0.33</f>
        <v>0.55911340815363519</v>
      </c>
      <c r="BT176" s="345">
        <f xml:space="preserve"> Table16[[#This Row],[Total Control Bo MOSFET Loss]]+Table16[[#This Row],[Reverse Recovery Loss MOSFET D BOOST]]*0.66</f>
        <v>0</v>
      </c>
      <c r="BU176" s="345">
        <f xml:space="preserve"> Table16[[#This Row],[Total Sync Bo MOSFET Loss]]+Table16[[#This Row],[Reverse Recovery Loss MOSFET D BOOST]]*0.33</f>
        <v>0.27704561176942466</v>
      </c>
      <c r="BV176" s="345">
        <f>Table16[[#This Row],[Isense Shunt Loss]]</f>
        <v>4.6344570642635897E-2</v>
      </c>
    </row>
    <row r="177" spans="7:74" x14ac:dyDescent="0.2">
      <c r="G177" s="253">
        <v>168</v>
      </c>
      <c r="H177" s="286">
        <f>VIN_min+(VIN_max-VIN_min)*(Table16[[#This Row],[Step]]/200)</f>
        <v>31.2</v>
      </c>
      <c r="I177" s="292" t="str">
        <f>IF(Mode = 2,IF(Table16[[#This Row],[Vin]]&gt;Vout, "BUCK","BOOST"),IF(Table16[[#This Row],[Vin]]&gt;VIN_BB_to_buck, "BUCK", IF(Table16[[#This Row],[Vin]]&lt;=VIN_boost_to_BB,"BOOST","BUCK-BST")))</f>
        <v>BUCK</v>
      </c>
      <c r="J177" s="253">
        <f>IF(Table16[[#This Row],[Mode]]="BOOST",2, IF(Table16[[#This Row],[Mode]]="BUCK", 1,3))</f>
        <v>1</v>
      </c>
      <c r="K177" s="253">
        <f t="shared" si="7"/>
        <v>8</v>
      </c>
      <c r="L177" s="292">
        <f>Vout*Table16[[#This Row],[Iout]]/(Table16[[#This Row],[Vin]]*Efficiency)</f>
        <v>4.3184885290148456</v>
      </c>
      <c r="M177" s="682">
        <f>MIN(1/Fsw,CHOOSE(Table16[[#This Row],[Mode Digit]],(Vout+(Rdson2+Rs+Rdcr)*Table16[[#This Row],[Iout]])/(Table16[[#This Row],[Vin]]+(Rs+Rdson2-Rdson1)*Table16[[#This Row],[Iout]])/Fsw,(Vout+(Rdson3+Rdcr)*Table16[[#This Row],[Iin]]-Table16[[#This Row],[Vin]])/(Vout+(Rdson3-Rdson4-Rs)*Table16[[#This Row],[Iin]])/Fsw,t1_Ph_II))</f>
        <v>1.2932166535906665E-6</v>
      </c>
      <c r="N177" s="518">
        <f>CHOOSE(Table16[[#This Row],[Mode Digit]],1/Fsw-Table16[[#This Row],[t1_Ph_II]],1/Fsw-Table16[[#This Row],[t1_Ph_II]],(Vout/Fsw-Table16[[#This Row],[Vin]]*t1_Ph_II)/(Table16[[#This Row],[Vin]]+Vout))</f>
        <v>1.2193461604796854E-6</v>
      </c>
      <c r="O177" s="518">
        <f>1/Fsw-(Table16[[#This Row],[t1_Ph_II]]+Table16[[#This Row],[t2_Ph_I]])</f>
        <v>0</v>
      </c>
      <c r="P177"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2.539751907061631</v>
      </c>
      <c r="Q177" s="292">
        <f>CHOOSE(Table16[[#This Row],[Mode Digit]],Table16[[#This Row],[I_0]]+1/Lf*(Table16[[#This Row],[Vin]]-Vout)*Table16[[#This Row],[t1_Ph_II]],Table16[[#This Row],[I_0]]+1/Lf*Table16[[#This Row],[Vin]]*Table16[[#This Row],[t1_Ph_II]],Table16[[#This Row],[I_0]]+(Table16[[#This Row],[Vin]]-Vout)/L*Table16[[#This Row],[t1_Ph_II]])</f>
        <v>13.460248092938368</v>
      </c>
      <c r="R177" s="292">
        <f>CHOOSE(Table16[[#This Row],[Mode Digit]],0,0,Table16[[#This Row],[I_1]]+Table16[[#This Row],[Vin]]/L*Table16[[#This Row],[t2_Ph_I]])</f>
        <v>0</v>
      </c>
      <c r="S177" s="292">
        <f>Fsw*(Table16[[#This Row],[I_0]]*Table16[[#This Row],[t1_Ph_II]]+Table16[[#This Row],[I_1]]*Table16[[#This Row],[t2_Ph_I]]+Table16[[#This Row],[I_2]]*Table16[[#This Row],[t3_Ph_III]])</f>
        <v>7.8394662147848067</v>
      </c>
      <c r="T177" s="345">
        <f>MIN(1,CHOOSE(Table16[[#This Row],[Mode Digit]],(Vout+(Rdson2+Rs+Rdcr)*Table16[[#This Row],[Iout]])/(Table16[[#This Row],[Vin]]+(Rs+Rdson2-Rdson1)*Table16[[#This Row],[Iout]]),1,Fsw*Table16[[#This Row],[t2_Ph_I]]+Table16[[#This Row],[t1_Ph_II]]))</f>
        <v>0.51470022812908522</v>
      </c>
      <c r="U177" s="345">
        <f>MIN(1,CHOOSE(Table16[[#This Row],[Mode Digit]],0,(Vout+(Rdson3+Rdcr)*Table16[[#This Row],[Iin]]-Table16[[#This Row],[Vin]])/(Vout+(Rdson3-Rdson4-Rs)*Table16[[#This Row],[Iin]]),Fsw*Table16[[#This Row],[t1_Ph_II]]+Table16[[#This Row],[t3_Ph_III]]))</f>
        <v>0</v>
      </c>
      <c r="V177" s="292">
        <f>MAX(Table16[[#This Row],[I_0]:[I_2]])-MIN(Table16[[#This Row],[I_0]:[I_1]])</f>
        <v>10.920496185876736</v>
      </c>
      <c r="W177"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8.5987268289446401</v>
      </c>
      <c r="X177" s="345">
        <f>(Table16[[#This Row],[Irms Lf]]^2*Rdcr*(1+Ltc*Ta-Ltc*25))/(1-Table16[[#This Row],[Irms Lf]]^2*Rdcr*Ltc*ThetaCa)</f>
        <v>0.24116677174101137</v>
      </c>
      <c r="Y177" s="345">
        <f>ABS(7.759*10^-3*Fsw^0.9458*(0.00787*Table16[[#This Row],[Ripple Current pk-pk]])^2.304)</f>
        <v>5.3778832373768557</v>
      </c>
      <c r="Z177" s="345">
        <f>Table16[[#This Row],[DCR    Loss]]+Table16[[#This Row],[Core Loss]]</f>
        <v>5.619050009117867</v>
      </c>
      <c r="AA177" s="292">
        <f>IF(Table16[[#This Row],[Vin]]&gt;Vout, Table16[[#This Row],[Ripple Current pk-pk]]/SQRT(12), SQRT(Table16[[#This Row],[Duty Cycle BOOST Leg]]/(1-Table16[[#This Row],[Duty Cycle BOOST Leg]]))*SQRT(Table16[[#This Row],[Iout]]^2+(Table16[[#This Row],[Ripple Current pk-pk]]^2)/12))</f>
        <v>3.1524757063001076</v>
      </c>
      <c r="AB177" s="345">
        <f>RCoutEsr*Table16[[#This Row],[Irms Cout]]^2</f>
        <v>1.9876206157624726E-2</v>
      </c>
      <c r="AC177" s="345">
        <f>Table16[[#This Row],[Cout ESR Loss]]</f>
        <v>1.9876206157624726E-2</v>
      </c>
      <c r="AD177" s="345">
        <f>IF(Table16[[#This Row],[Vin]]&gt;Vout, SQRT(Table16[[#This Row],[Duty Cycle BUCK Leg]]*(1-Table16[[#This Row],[Duty Cycle BUCK Leg]]))*SQRT(Table16[[#This Row],[Iout]]^2+(Table16[[#This Row],[Ripple Current pk-pk]]^2)/12), Table16[[#This Row],[Ripple Current pk-pk]]/SQRT(12))</f>
        <v>4.2975048562046378</v>
      </c>
      <c r="AE177" s="345">
        <f>RCinEsr*Table16[[#This Row],[Irms Cin]]^2</f>
        <v>3.6937095978204888E-2</v>
      </c>
      <c r="AF177" s="683">
        <f>Table16[[#This Row],[Cin ESR Loss]]</f>
        <v>3.6937095978204888E-2</v>
      </c>
      <c r="AG177"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6.1689511687236216</v>
      </c>
      <c r="AH177" s="345">
        <f>Rdson1*Table16[[#This Row],[Irms BuCtrl]]^2</f>
        <v>0.1331958548273379</v>
      </c>
      <c r="AI177" s="345">
        <f>CHOOSE(Table16[[#This Row],[Mode Digit]], (Table16[[#This Row],[Vin]]*Table16[[#This Row],[Iout]]/2)*(Fsw)*(Tr_buck+Tf_buck), 0, (Table16[[#This Row],[Vin]]*Table16[[#This Row],[Avg IL]]/2)*(Fsw/1)*(Tr_buck+Tf_buck))</f>
        <v>0.93413029587274654</v>
      </c>
      <c r="AJ177" s="253">
        <f>IF(Table16[[#This Row],[Vin]]&gt;Vout, IF(Table16[[#This Row],[Iout]]&gt;Table16[[#This Row],[Ripple Current pk-pk]]/2,0,ABS(Table16[[#This Row],[Iout]]-Table16[[#This Row],[Ripple Current pk-pk]]/2)*Vsd_Q1*Deadtime*Fsw),0)</f>
        <v>0</v>
      </c>
      <c r="AK177" s="345">
        <f>(Table16[[#This Row],[Dead Time Loss BuCtrl]]+Table16[[#This Row],[Transition Loss BuCtrl]]+Table16[[#This Row],[RDS(on) Loss BuCtrl]]*(1+RdsonTopTc*Ta-RdsonTopTc*25))/(1-Table16[[#This Row],[RDS(on) Loss BuCtrl]]*RdsonTopTc*ThetaJA_Q1)</f>
        <v>1.1056146040987398</v>
      </c>
      <c r="AL177" s="345">
        <f>CHOOSE(Table16[[#This Row],[Mode Digit]],SQRT((Fsw*(Table16[[#This Row],[t2_Ph_I]]+0))*((Table16[[#This Row],[I_0]]*Table16[[#This Row],[I_1]]+((Table16[[#This Row],[I_0]]-Table16[[#This Row],[I_1]])^2)/3))),0,SQRT((Fsw*(Table16[[#This Row],[t3_Ph_III]]+0))*((Table16[[#This Row],[I_0]]*Table16[[#This Row],[I_2]]+((Table16[[#This Row],[I_0]]-Table16[[#This Row],[I_2]])^2)/3))))</f>
        <v>5.9901706617354256</v>
      </c>
      <c r="AM177" s="345">
        <f>Rdson2*Table16[[#This Row],[Irms BuSync]]^2</f>
        <v>0.1255875059485054</v>
      </c>
      <c r="AN177"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77" s="345">
        <f>(Table16[[#This Row],[Deadtime Loss BuSync]]+Table16[[#This Row],[RDS(on) Loss BuSync]]*(1+RdsonBotTc*Ta-RdsonBotTc*25))/(1-Table16[[#This Row],[RDS(on) Loss BuSync]]*RdsonBotTc*ThetaJA_Q2)</f>
        <v>0.37668738555993653</v>
      </c>
      <c r="AP177" s="345">
        <f>CHOOSE(Table16[[#This Row],[Mode Digit]],0,SQRT((Fsw*(Table16[[#This Row],[t1_Ph_II]]+0))*((Table16[[#This Row],[I_0]]*Table16[[#This Row],[I_1]]+((Table16[[#This Row],[I_0]]-Table16[[#This Row],[I_1]])^2)/3))),SQRT((Fsw*(Table16[[#This Row],[t2_Ph_I]]+0))*((Table16[[#This Row],[I_1]]*Table16[[#This Row],[I_2]]+((Table16[[#This Row],[I_1]]-Table16[[#This Row],[I_2]])^2)/3))))</f>
        <v>0</v>
      </c>
      <c r="AQ177" s="345">
        <f>Rdson4*Table16[[#This Row],[Irms BoCtlr]]^2</f>
        <v>0</v>
      </c>
      <c r="AR177" s="345">
        <f>CHOOSE(Table16[[#This Row],[Mode Digit]], 0, (Vout*Table16[[#This Row],[Iin]]/2)*(Fsw)*(Tr_boost+Tf_boost), (Vout*Iout/2)*(Fsw/1)*(Tr_boost+Tf_boost))</f>
        <v>0</v>
      </c>
      <c r="AS177" s="253">
        <f>IF(Table16[[#This Row],[Vin]]&gt;Vout, 0, IF(Table16[[#This Row],[Iin]]&gt;Table16[[#This Row],[Ripple Current pk-pk]]/2,0,ABS(Table16[[#This Row],[Iin]]-Table16[[#This Row],[Ripple Current pk-pk]]/2)*Vsd_Q4*Deadtime*Fsw))</f>
        <v>0</v>
      </c>
      <c r="AT177" s="345">
        <f>(Table16[[#This Row],[Dead Time Loss BoCtlr]]+Table16[[#This Row],[Transition Loss BoCtlr]]+Table16[[#This Row],[RDS(on) Loss BoCtlr]]*(1+RdsonTopTc*Ta-RdsonTopTc*25))/(1-Table16[[#This Row],[RDS(on) Loss BoCtlr]]*RdsonTopTc*ThetaJA_Q4)</f>
        <v>0</v>
      </c>
      <c r="AU177"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8.5987268289446401</v>
      </c>
      <c r="AV177" s="345">
        <f>Rdson3*Table16[[#This Row],[Irms BoSync]]^2</f>
        <v>0.25878336077584324</v>
      </c>
      <c r="AW177"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77" s="345">
        <f>(Table16[[#This Row],[Deadtime Loss BoSync]]+Table16[[#This Row],[RDS(on) Loss BoSync]]*(1+RdsonBotTc*Ta-RdsonBotTc*25))/(1-Table16[[#This Row],[RDS(on) Loss BoSync]]*RdsonBotTc*ThetaJA_Q3)</f>
        <v>0.27745130379633776</v>
      </c>
      <c r="AY177" s="345">
        <f>CHOOSE(Table16[[#This Row],[Mode Digit]], Rdson3*Table16[[#This Row],[Irms Lf]]^2, Rdson1*Table16[[#This Row],[Irms Lf]]^2, 0)</f>
        <v>0.25878336077584324</v>
      </c>
      <c r="AZ177" s="345">
        <f>CHOOSE(Table16[[#This Row],[Mode Digit]], 2*Deadtime*Fsw*IF(VfdSky_Q2&gt;0,VfdSky_Q2,0)*Table16[[#This Row],[Iout]], 2*Deadtime*Fsw*IF(VfdSky_Q3&gt;0,VfdSky_Q3,0)*Table16[[#This Row],[Iin]], 2*Deadtime*Fsw*IF(VfdSky_Q2&gt;0,VfdSky_Q2,0)*Table16[[#This Row],[Iout]]+2*Deadtime*Fsw*IF(VfdSky_Q3&gt;0,VfdSky_Q3,0)*Table16[[#This Row],[Iin]])</f>
        <v>0</v>
      </c>
      <c r="BA177" s="345">
        <f>CHOOSE(Table16[[#This Row],[Mode Digit]], IF(QrrSky_Q2&gt;0,QrrSky_Q2,Qrr_Q2)*Fsw*(Table16[[#This Row],[Vin]]-Table16[[#This Row],[Iout]]*Rdson1),0,  IF(QrrSky_Q2&gt;0,QrrSky_Q2,Qrr_Q2)*Fsw*(Table16[[#This Row],[Vin]]-Table16[[#This Row],[Iout]]*Rdson1)+IF(QrrSky_Q3&gt;0,QrrSky_Q3,Qrr_Q3)*Fsw*Vout)</f>
        <v>0.55829052000000001</v>
      </c>
      <c r="BB177" s="345">
        <f>CHOOSE(Table16[[#This Row],[Mode Digit]],0, IF(QrrSky_Q3&gt;0,QrrSky_Q3,Qrr_Q3)*Fsw*Vout,  IF(QrrSky_Q2&gt;0,QrrSky_Q2,Qrr_Q2)*Fsw*(Table16[[#This Row],[Vin]]-Table16[[#This Row],[Iout]]*Rdson1)+IF(QrrSky_Q3&gt;0,QrrSky_Q3,Qrr_Q3)*Fsw*Vout)</f>
        <v>0</v>
      </c>
      <c r="BC177" s="345">
        <f>CHOOSE(Table16[[#This Row],[Mode Digit]], Rs*Table16[[#This Row],[Irms BuSync]]^2, Rs*Table16[[#This Row],[Irms BoCtlr]]^2, Rs*(Table16[[#This Row],[Irms BuSync]]^2+Table16[[#This Row],[Irms BoCtlr]]^2))</f>
        <v>4.6646787923730573E-2</v>
      </c>
      <c r="BD177" s="345">
        <f t="shared" si="8"/>
        <v>0.64</v>
      </c>
      <c r="BE177" s="345">
        <f>IF(Vout&gt;8, Iq*Vout, Iq*Table16[[#This Row],[Vin]])</f>
        <v>4.8000000000000001E-2</v>
      </c>
      <c r="BF177" s="345">
        <f>CHOOSE(Table16[[#This Row],[Mode Digit]], (Qg_Q1+Qg_Q2)*Fsw, (Qg_Q3+Qg_Q4)*Fsw, (Qg_Q1+Qg_Q2+Qg_Q3+Qg_Q4)*Fsw)*IF(Vout&gt;8, Vout, Table16[[#This Row],[Vin]])</f>
        <v>0.85331200000000007</v>
      </c>
      <c r="BG177" s="345">
        <f t="shared" si="9"/>
        <v>0.50594479787234037</v>
      </c>
      <c r="BH177" s="345">
        <f>Table16[[#This Row],[IQ Loss]]+Table16[[#This Row],[Switching Current Loss]]</f>
        <v>0.90131200000000011</v>
      </c>
      <c r="BI177"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9.5818659126324413</v>
      </c>
      <c r="BJ177" s="253">
        <f>Vout*Table16[[#This Row],[Iout]]</f>
        <v>128</v>
      </c>
      <c r="BK177" s="684">
        <f>Table16[[#This Row],[Pout]]/(Table16[[#This Row],[Pout]]+Table16[[#This Row],[Total Loss]])</f>
        <v>0.93035516818243225</v>
      </c>
      <c r="BL177"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71.86494926641808</v>
      </c>
      <c r="BM177" s="685">
        <f>IF(Table16[[#This Row],[Vin]]&gt;Vout, Table16[[#This Row],[Total Sync Bu MOSFET Loss]]*ThetaJA_Q2, ThetaJA_Q3*Table16[[#This Row],[Total Sync Bo MOSFET Loss]])</f>
        <v>24.484680061395874</v>
      </c>
      <c r="BN177" s="640"/>
      <c r="BO177" s="292">
        <f>Table16[[#This Row],[EFF, h]]*100</f>
        <v>93.035516818243224</v>
      </c>
      <c r="BP177" s="345">
        <f>Table16[[#This Row],[Total Inductor Loss]]</f>
        <v>5.619050009117867</v>
      </c>
      <c r="BQ177" s="345">
        <f>Table16[[#This Row],[Total Control Bu MOSFET Loss]]+Table16[[#This Row],[Total Sync Bu MOSFET Loss]]+Table16[[#This Row],[Total Control Bo MOSFET Loss]]+Table16[[#This Row],[Total Sync Bo MOSFET Loss]]+Table16[[#This Row],[Reverse Recovery Loss MOSFET D BUCK]]+Table16[[#This Row],[Reverse Recovery Loss MOSFET D BOOST]]</f>
        <v>2.3180438134550143</v>
      </c>
      <c r="BR177" s="345">
        <f>Table16[[#This Row],[Total Control Bu MOSFET Loss]]+Table16[[#This Row],[Reverse Recovery Loss MOSFET D BUCK]]*0.66</f>
        <v>1.4740863472987398</v>
      </c>
      <c r="BS177" s="345">
        <f>Table16[[#This Row],[Total Sync Bu MOSFET Loss]]+Table16[[#This Row],[Reverse Recovery Loss MOSFET D BUCK]]*0.33</f>
        <v>0.56092325715993652</v>
      </c>
      <c r="BT177" s="345">
        <f xml:space="preserve"> Table16[[#This Row],[Total Control Bo MOSFET Loss]]+Table16[[#This Row],[Reverse Recovery Loss MOSFET D BOOST]]*0.66</f>
        <v>0</v>
      </c>
      <c r="BU177" s="345">
        <f xml:space="preserve"> Table16[[#This Row],[Total Sync Bo MOSFET Loss]]+Table16[[#This Row],[Reverse Recovery Loss MOSFET D BOOST]]*0.33</f>
        <v>0.27745130379633776</v>
      </c>
      <c r="BV177" s="345">
        <f>Table16[[#This Row],[Isense Shunt Loss]]</f>
        <v>4.6646787923730573E-2</v>
      </c>
    </row>
    <row r="178" spans="7:74" x14ac:dyDescent="0.2">
      <c r="G178" s="253">
        <v>169</v>
      </c>
      <c r="H178" s="286">
        <f>VIN_min+(VIN_max-VIN_min)*(Table16[[#This Row],[Step]]/200)</f>
        <v>31.349999999999998</v>
      </c>
      <c r="I178" s="292" t="str">
        <f>IF(Mode = 2,IF(Table16[[#This Row],[Vin]]&gt;Vout, "BUCK","BOOST"),IF(Table16[[#This Row],[Vin]]&gt;VIN_BB_to_buck, "BUCK", IF(Table16[[#This Row],[Vin]]&lt;=VIN_boost_to_BB,"BOOST","BUCK-BST")))</f>
        <v>BUCK</v>
      </c>
      <c r="J178" s="253">
        <f>IF(Table16[[#This Row],[Mode]]="BOOST",2, IF(Table16[[#This Row],[Mode]]="BUCK", 1,3))</f>
        <v>1</v>
      </c>
      <c r="K178" s="253">
        <f t="shared" si="7"/>
        <v>8</v>
      </c>
      <c r="L178" s="292">
        <f>Vout*Table16[[#This Row],[Iout]]/(Table16[[#This Row],[Vin]]*Efficiency)</f>
        <v>4.297825904474105</v>
      </c>
      <c r="M178" s="682">
        <f>MIN(1/Fsw,CHOOSE(Table16[[#This Row],[Mode Digit]],(Vout+(Rdson2+Rs+Rdcr)*Table16[[#This Row],[Iout]])/(Table16[[#This Row],[Vin]]+(Rs+Rdson2-Rdson1)*Table16[[#This Row],[Iout]])/Fsw,(Vout+(Rdson3+Rdcr)*Table16[[#This Row],[Iin]]-Table16[[#This Row],[Vin]])/(Vout+(Rdson3-Rdson4-Rs)*Table16[[#This Row],[Iin]])/Fsw,t1_Ph_II))</f>
        <v>1.2870310660969291E-6</v>
      </c>
      <c r="N178" s="518">
        <f>CHOOSE(Table16[[#This Row],[Mode Digit]],1/Fsw-Table16[[#This Row],[t1_Ph_II]],1/Fsw-Table16[[#This Row],[t1_Ph_II]],(Vout/Fsw-Table16[[#This Row],[Vin]]*t1_Ph_II)/(Table16[[#This Row],[Vin]]+Vout))</f>
        <v>1.2255317479734228E-6</v>
      </c>
      <c r="O178" s="518">
        <f>1/Fsw-(Table16[[#This Row],[t1_Ph_II]]+Table16[[#This Row],[t2_Ph_I]])</f>
        <v>0</v>
      </c>
      <c r="P178"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2.5122425376144841</v>
      </c>
      <c r="Q178" s="292">
        <f>CHOOSE(Table16[[#This Row],[Mode Digit]],Table16[[#This Row],[I_0]]+1/Lf*(Table16[[#This Row],[Vin]]-Vout)*Table16[[#This Row],[t1_Ph_II]],Table16[[#This Row],[I_0]]+1/Lf*Table16[[#This Row],[Vin]]*Table16[[#This Row],[t1_Ph_II]],Table16[[#This Row],[I_0]]+(Table16[[#This Row],[Vin]]-Vout)/L*Table16[[#This Row],[t1_Ph_II]])</f>
        <v>13.487757462385517</v>
      </c>
      <c r="R178" s="292">
        <f>CHOOSE(Table16[[#This Row],[Mode Digit]],0,0,Table16[[#This Row],[I_1]]+Table16[[#This Row],[Vin]]/L*Table16[[#This Row],[t2_Ph_I]])</f>
        <v>0</v>
      </c>
      <c r="S178" s="292">
        <f>Fsw*(Table16[[#This Row],[I_0]]*Table16[[#This Row],[t1_Ph_II]]+Table16[[#This Row],[I_1]]*Table16[[#This Row],[t2_Ph_I]]+Table16[[#This Row],[I_2]]*Table16[[#This Row],[t3_Ph_III]])</f>
        <v>7.8656776498983723</v>
      </c>
      <c r="T178" s="345">
        <f>MIN(1,CHOOSE(Table16[[#This Row],[Mode Digit]],(Vout+(Rdson2+Rs+Rdcr)*Table16[[#This Row],[Iout]])/(Table16[[#This Row],[Vin]]+(Rs+Rdson2-Rdson1)*Table16[[#This Row],[Iout]]),1,Fsw*Table16[[#This Row],[t2_Ph_I]]+Table16[[#This Row],[t1_Ph_II]]))</f>
        <v>0.51223836430657776</v>
      </c>
      <c r="U178" s="345">
        <f>MIN(1,CHOOSE(Table16[[#This Row],[Mode Digit]],0,(Vout+(Rdson3+Rdcr)*Table16[[#This Row],[Iin]]-Table16[[#This Row],[Vin]])/(Vout+(Rdson3-Rdson4-Rs)*Table16[[#This Row],[Iin]]),Fsw*Table16[[#This Row],[t1_Ph_II]]+Table16[[#This Row],[t3_Ph_III]]))</f>
        <v>0</v>
      </c>
      <c r="V178" s="292">
        <f>MAX(Table16[[#This Row],[I_0]:[I_2]])-MIN(Table16[[#This Row],[I_0]:[I_1]])</f>
        <v>10.975514924771034</v>
      </c>
      <c r="W178"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8.6045623937917952</v>
      </c>
      <c r="X178" s="345">
        <f>(Table16[[#This Row],[Irms Lf]]^2*Rdcr*(1+Ltc*Ta-Ltc*25))/(1-Table16[[#This Row],[Irms Lf]]^2*Rdcr*Ltc*ThetaCa)</f>
        <v>0.24150054698349949</v>
      </c>
      <c r="Y178" s="345">
        <f>ABS(7.759*10^-3*Fsw^0.9458*(0.00787*Table16[[#This Row],[Ripple Current pk-pk]])^2.304)</f>
        <v>5.4405139111949499</v>
      </c>
      <c r="Z178" s="345">
        <f>Table16[[#This Row],[DCR    Loss]]+Table16[[#This Row],[Core Loss]]</f>
        <v>5.6820144581784495</v>
      </c>
      <c r="AA178" s="292">
        <f>IF(Table16[[#This Row],[Vin]]&gt;Vout, Table16[[#This Row],[Ripple Current pk-pk]]/SQRT(12), SQRT(Table16[[#This Row],[Duty Cycle BOOST Leg]]/(1-Table16[[#This Row],[Duty Cycle BOOST Leg]]))*SQRT(Table16[[#This Row],[Iout]]^2+(Table16[[#This Row],[Ripple Current pk-pk]]^2)/12))</f>
        <v>3.168358248155656</v>
      </c>
      <c r="AB178" s="345">
        <f>RCoutEsr*Table16[[#This Row],[Irms Cout]]^2</f>
        <v>2.0076987977311955E-2</v>
      </c>
      <c r="AC178" s="345">
        <f>Table16[[#This Row],[Cout ESR Loss]]</f>
        <v>2.0076987977311955E-2</v>
      </c>
      <c r="AD178" s="345">
        <f>IF(Table16[[#This Row],[Vin]]&gt;Vout, SQRT(Table16[[#This Row],[Duty Cycle BUCK Leg]]*(1-Table16[[#This Row],[Duty Cycle BUCK Leg]]))*SQRT(Table16[[#This Row],[Iout]]^2+(Table16[[#This Row],[Ripple Current pk-pk]]^2)/12), Table16[[#This Row],[Ripple Current pk-pk]]/SQRT(12))</f>
        <v>4.3009922334412121</v>
      </c>
      <c r="AE178" s="345">
        <f>RCinEsr*Table16[[#This Row],[Irms Cin]]^2</f>
        <v>3.6997068384243249E-2</v>
      </c>
      <c r="AF178" s="683">
        <f>Table16[[#This Row],[Cin ESR Loss]]</f>
        <v>3.6997068384243249E-2</v>
      </c>
      <c r="AG178"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6.1583566847391626</v>
      </c>
      <c r="AH178" s="345">
        <f>Rdson1*Table16[[#This Row],[Irms BuCtrl]]^2</f>
        <v>0.13273874969765037</v>
      </c>
      <c r="AI178" s="345">
        <f>CHOOSE(Table16[[#This Row],[Mode Digit]], (Table16[[#This Row],[Vin]]*Table16[[#This Row],[Iout]]/2)*(Fsw)*(Tr_buck+Tf_buck), 0, (Table16[[#This Row],[Vin]]*Table16[[#This Row],[Avg IL]]/2)*(Fsw/1)*(Tr_buck+Tf_buck))</f>
        <v>0.93862130691059631</v>
      </c>
      <c r="AJ178" s="253">
        <f>IF(Table16[[#This Row],[Vin]]&gt;Vout, IF(Table16[[#This Row],[Iout]]&gt;Table16[[#This Row],[Ripple Current pk-pk]]/2,0,ABS(Table16[[#This Row],[Iout]]-Table16[[#This Row],[Ripple Current pk-pk]]/2)*Vsd_Q1*Deadtime*Fsw),0)</f>
        <v>0</v>
      </c>
      <c r="AK178" s="345">
        <f>(Table16[[#This Row],[Dead Time Loss BuCtrl]]+Table16[[#This Row],[Transition Loss BuCtrl]]+Table16[[#This Row],[RDS(on) Loss BuCtrl]]*(1+RdsonTopTc*Ta-RdsonTopTc*25))/(1-Table16[[#This Row],[RDS(on) Loss BuCtrl]]*RdsonTopTc*ThetaJA_Q1)</f>
        <v>1.1096566086220245</v>
      </c>
      <c r="AL178" s="345">
        <f>CHOOSE(Table16[[#This Row],[Mode Digit]],SQRT((Fsw*(Table16[[#This Row],[t2_Ph_I]]+0))*((Table16[[#This Row],[I_0]]*Table16[[#This Row],[I_1]]+((Table16[[#This Row],[I_0]]-Table16[[#This Row],[I_1]])^2)/3))),0,SQRT((Fsw*(Table16[[#This Row],[t3_Ph_III]]+0))*((Table16[[#This Row],[I_0]]*Table16[[#This Row],[I_2]]+((Table16[[#This Row],[I_0]]-Table16[[#This Row],[I_2]])^2)/3))))</f>
        <v>6.0094206819113989</v>
      </c>
      <c r="AM178" s="345">
        <f>Rdson2*Table16[[#This Row],[Irms BuSync]]^2</f>
        <v>0.12639597926264562</v>
      </c>
      <c r="AN178"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78" s="345">
        <f>(Table16[[#This Row],[Deadtime Loss BuSync]]+Table16[[#This Row],[RDS(on) Loss BuSync]]*(1+RdsonBotTc*Ta-RdsonBotTc*25))/(1-Table16[[#This Row],[RDS(on) Loss BuSync]]*RdsonBotTc*ThetaJA_Q2)</f>
        <v>0.37760520187160557</v>
      </c>
      <c r="AP178" s="345">
        <f>CHOOSE(Table16[[#This Row],[Mode Digit]],0,SQRT((Fsw*(Table16[[#This Row],[t1_Ph_II]]+0))*((Table16[[#This Row],[I_0]]*Table16[[#This Row],[I_1]]+((Table16[[#This Row],[I_0]]-Table16[[#This Row],[I_1]])^2)/3))),SQRT((Fsw*(Table16[[#This Row],[t2_Ph_I]]+0))*((Table16[[#This Row],[I_1]]*Table16[[#This Row],[I_2]]+((Table16[[#This Row],[I_1]]-Table16[[#This Row],[I_2]])^2)/3))))</f>
        <v>0</v>
      </c>
      <c r="AQ178" s="345">
        <f>Rdson4*Table16[[#This Row],[Irms BoCtlr]]^2</f>
        <v>0</v>
      </c>
      <c r="AR178" s="345">
        <f>CHOOSE(Table16[[#This Row],[Mode Digit]], 0, (Vout*Table16[[#This Row],[Iin]]/2)*(Fsw)*(Tr_boost+Tf_boost), (Vout*Iout/2)*(Fsw/1)*(Tr_boost+Tf_boost))</f>
        <v>0</v>
      </c>
      <c r="AS178" s="253">
        <f>IF(Table16[[#This Row],[Vin]]&gt;Vout, 0, IF(Table16[[#This Row],[Iin]]&gt;Table16[[#This Row],[Ripple Current pk-pk]]/2,0,ABS(Table16[[#This Row],[Iin]]-Table16[[#This Row],[Ripple Current pk-pk]]/2)*Vsd_Q4*Deadtime*Fsw))</f>
        <v>0</v>
      </c>
      <c r="AT178" s="345">
        <f>(Table16[[#This Row],[Dead Time Loss BoCtlr]]+Table16[[#This Row],[Transition Loss BoCtlr]]+Table16[[#This Row],[RDS(on) Loss BoCtlr]]*(1+RdsonTopTc*Ta-RdsonTopTc*25))/(1-Table16[[#This Row],[RDS(on) Loss BoCtlr]]*RdsonTopTc*ThetaJA_Q4)</f>
        <v>0</v>
      </c>
      <c r="AU178"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8.6045623937917952</v>
      </c>
      <c r="AV178" s="345">
        <f>Rdson3*Table16[[#This Row],[Irms BoSync]]^2</f>
        <v>0.25913472896029593</v>
      </c>
      <c r="AW178"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78" s="345">
        <f>(Table16[[#This Row],[Deadtime Loss BoSync]]+Table16[[#This Row],[RDS(on) Loss BoSync]]*(1+RdsonBotTc*Ta-RdsonBotTc*25))/(1-Table16[[#This Row],[RDS(on) Loss BoSync]]*RdsonBotTc*ThetaJA_Q3)</f>
        <v>0.27785523352394714</v>
      </c>
      <c r="AY178" s="345">
        <f>CHOOSE(Table16[[#This Row],[Mode Digit]], Rdson3*Table16[[#This Row],[Irms Lf]]^2, Rdson1*Table16[[#This Row],[Irms Lf]]^2, 0)</f>
        <v>0.25913472896029593</v>
      </c>
      <c r="AZ178" s="345">
        <f>CHOOSE(Table16[[#This Row],[Mode Digit]], 2*Deadtime*Fsw*IF(VfdSky_Q2&gt;0,VfdSky_Q2,0)*Table16[[#This Row],[Iout]], 2*Deadtime*Fsw*IF(VfdSky_Q3&gt;0,VfdSky_Q3,0)*Table16[[#This Row],[Iin]], 2*Deadtime*Fsw*IF(VfdSky_Q2&gt;0,VfdSky_Q2,0)*Table16[[#This Row],[Iout]]+2*Deadtime*Fsw*IF(VfdSky_Q3&gt;0,VfdSky_Q3,0)*Table16[[#This Row],[Iin]])</f>
        <v>0</v>
      </c>
      <c r="BA178" s="345">
        <f>CHOOSE(Table16[[#This Row],[Mode Digit]], IF(QrrSky_Q2&gt;0,QrrSky_Q2,Qrr_Q2)*Fsw*(Table16[[#This Row],[Vin]]-Table16[[#This Row],[Iout]]*Rdson1),0,  IF(QrrSky_Q2&gt;0,QrrSky_Q2,Qrr_Q2)*Fsw*(Table16[[#This Row],[Vin]]-Table16[[#This Row],[Iout]]*Rdson1)+IF(QrrSky_Q3&gt;0,QrrSky_Q3,Qrr_Q3)*Fsw*Vout)</f>
        <v>0.56097701999999994</v>
      </c>
      <c r="BB178" s="345">
        <f>CHOOSE(Table16[[#This Row],[Mode Digit]],0, IF(QrrSky_Q3&gt;0,QrrSky_Q3,Qrr_Q3)*Fsw*Vout,  IF(QrrSky_Q2&gt;0,QrrSky_Q2,Qrr_Q2)*Fsw*(Table16[[#This Row],[Vin]]-Table16[[#This Row],[Iout]]*Rdson1)+IF(QrrSky_Q3&gt;0,QrrSky_Q3,Qrr_Q3)*Fsw*Vout)</f>
        <v>0</v>
      </c>
      <c r="BC178" s="345">
        <f>CHOOSE(Table16[[#This Row],[Mode Digit]], Rs*Table16[[#This Row],[Irms BuSync]]^2, Rs*Table16[[#This Row],[Irms BoCtlr]]^2, Rs*(Table16[[#This Row],[Irms BuSync]]^2+Table16[[#This Row],[Irms BoCtlr]]^2))</f>
        <v>4.6947078011839796E-2</v>
      </c>
      <c r="BD178" s="345">
        <f t="shared" si="8"/>
        <v>0.64</v>
      </c>
      <c r="BE178" s="345">
        <f>IF(Vout&gt;8, Iq*Vout, Iq*Table16[[#This Row],[Vin]])</f>
        <v>4.8000000000000001E-2</v>
      </c>
      <c r="BF178" s="345">
        <f>CHOOSE(Table16[[#This Row],[Mode Digit]], (Qg_Q1+Qg_Q2)*Fsw, (Qg_Q3+Qg_Q4)*Fsw, (Qg_Q1+Qg_Q2+Qg_Q3+Qg_Q4)*Fsw)*IF(Vout&gt;8, Vout, Table16[[#This Row],[Vin]])</f>
        <v>0.85331200000000007</v>
      </c>
      <c r="BG178" s="345">
        <f t="shared" si="9"/>
        <v>0.50594479787234037</v>
      </c>
      <c r="BH178" s="345">
        <f>Table16[[#This Row],[IQ Loss]]+Table16[[#This Row],[Switching Current Loss]]</f>
        <v>0.90131200000000011</v>
      </c>
      <c r="BI178"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9.6534416565694237</v>
      </c>
      <c r="BJ178" s="253">
        <f>Vout*Table16[[#This Row],[Iout]]</f>
        <v>128</v>
      </c>
      <c r="BK178" s="684">
        <f>Table16[[#This Row],[Pout]]/(Table16[[#This Row],[Pout]]+Table16[[#This Row],[Total Loss]])</f>
        <v>0.92987141083872271</v>
      </c>
      <c r="BL178"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72.127679560431588</v>
      </c>
      <c r="BM178" s="685">
        <f>IF(Table16[[#This Row],[Vin]]&gt;Vout, Table16[[#This Row],[Total Sync Bu MOSFET Loss]]*ThetaJA_Q2, ThetaJA_Q3*Table16[[#This Row],[Total Sync Bo MOSFET Loss]])</f>
        <v>24.544338121654363</v>
      </c>
      <c r="BN178" s="640"/>
      <c r="BO178" s="292">
        <f>Table16[[#This Row],[EFF, h]]*100</f>
        <v>92.987141083872274</v>
      </c>
      <c r="BP178" s="345">
        <f>Table16[[#This Row],[Total Inductor Loss]]</f>
        <v>5.6820144581784495</v>
      </c>
      <c r="BQ178" s="345">
        <f>Table16[[#This Row],[Total Control Bu MOSFET Loss]]+Table16[[#This Row],[Total Sync Bu MOSFET Loss]]+Table16[[#This Row],[Total Control Bo MOSFET Loss]]+Table16[[#This Row],[Total Sync Bo MOSFET Loss]]+Table16[[#This Row],[Reverse Recovery Loss MOSFET D BUCK]]+Table16[[#This Row],[Reverse Recovery Loss MOSFET D BOOST]]</f>
        <v>2.3260940640175773</v>
      </c>
      <c r="BR178" s="345">
        <f>Table16[[#This Row],[Total Control Bu MOSFET Loss]]+Table16[[#This Row],[Reverse Recovery Loss MOSFET D BUCK]]*0.66</f>
        <v>1.4799014418220244</v>
      </c>
      <c r="BS178" s="345">
        <f>Table16[[#This Row],[Total Sync Bu MOSFET Loss]]+Table16[[#This Row],[Reverse Recovery Loss MOSFET D BUCK]]*0.33</f>
        <v>0.56272761847160557</v>
      </c>
      <c r="BT178" s="345">
        <f xml:space="preserve"> Table16[[#This Row],[Total Control Bo MOSFET Loss]]+Table16[[#This Row],[Reverse Recovery Loss MOSFET D BOOST]]*0.66</f>
        <v>0</v>
      </c>
      <c r="BU178" s="345">
        <f xml:space="preserve"> Table16[[#This Row],[Total Sync Bo MOSFET Loss]]+Table16[[#This Row],[Reverse Recovery Loss MOSFET D BOOST]]*0.33</f>
        <v>0.27785523352394714</v>
      </c>
      <c r="BV178" s="345">
        <f>Table16[[#This Row],[Isense Shunt Loss]]</f>
        <v>4.6947078011839796E-2</v>
      </c>
    </row>
    <row r="179" spans="7:74" x14ac:dyDescent="0.2">
      <c r="G179" s="253">
        <v>170</v>
      </c>
      <c r="H179" s="286">
        <f>VIN_min+(VIN_max-VIN_min)*(Table16[[#This Row],[Step]]/200)</f>
        <v>31.5</v>
      </c>
      <c r="I179" s="292" t="str">
        <f>IF(Mode = 2,IF(Table16[[#This Row],[Vin]]&gt;Vout, "BUCK","BOOST"),IF(Table16[[#This Row],[Vin]]&gt;VIN_BB_to_buck, "BUCK", IF(Table16[[#This Row],[Vin]]&lt;=VIN_boost_to_BB,"BOOST","BUCK-BST")))</f>
        <v>BUCK</v>
      </c>
      <c r="J179" s="253">
        <f>IF(Table16[[#This Row],[Mode]]="BOOST",2, IF(Table16[[#This Row],[Mode]]="BUCK", 1,3))</f>
        <v>1</v>
      </c>
      <c r="K179" s="253">
        <f t="shared" si="7"/>
        <v>8</v>
      </c>
      <c r="L179" s="292">
        <f>Vout*Table16[[#This Row],[Iout]]/(Table16[[#This Row],[Vin]]*Efficiency)</f>
        <v>4.2773600668337517</v>
      </c>
      <c r="M179" s="682">
        <f>MIN(1/Fsw,CHOOSE(Table16[[#This Row],[Mode Digit]],(Vout+(Rdson2+Rs+Rdcr)*Table16[[#This Row],[Iout]])/(Table16[[#This Row],[Vin]]+(Rs+Rdson2-Rdson1)*Table16[[#This Row],[Iout]])/Fsw,(Vout+(Rdson3+Rdcr)*Table16[[#This Row],[Iin]]-Table16[[#This Row],[Vin]])/(Vout+(Rdson3-Rdson4-Rs)*Table16[[#This Row],[Iin]])/Fsw,t1_Ph_II))</f>
        <v>1.2809043695169255E-6</v>
      </c>
      <c r="N179" s="518">
        <f>CHOOSE(Table16[[#This Row],[Mode Digit]],1/Fsw-Table16[[#This Row],[t1_Ph_II]],1/Fsw-Table16[[#This Row],[t1_Ph_II]],(Vout/Fsw-Table16[[#This Row],[Vin]]*t1_Ph_II)/(Table16[[#This Row],[Vin]]+Vout))</f>
        <v>1.2316584445534264E-6</v>
      </c>
      <c r="O179" s="518">
        <f>1/Fsw-(Table16[[#This Row],[t1_Ph_II]]+Table16[[#This Row],[t2_Ph_I]])</f>
        <v>0</v>
      </c>
      <c r="P179"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2.4849950756910157</v>
      </c>
      <c r="Q179" s="292">
        <f>CHOOSE(Table16[[#This Row],[Mode Digit]],Table16[[#This Row],[I_0]]+1/Lf*(Table16[[#This Row],[Vin]]-Vout)*Table16[[#This Row],[t1_Ph_II]],Table16[[#This Row],[I_0]]+1/Lf*Table16[[#This Row],[Vin]]*Table16[[#This Row],[t1_Ph_II]],Table16[[#This Row],[I_0]]+(Table16[[#This Row],[Vin]]-Vout)/L*Table16[[#This Row],[t1_Ph_II]])</f>
        <v>13.515004924308984</v>
      </c>
      <c r="R179" s="292">
        <f>CHOOSE(Table16[[#This Row],[Mode Digit]],0,0,Table16[[#This Row],[I_1]]+Table16[[#This Row],[Vin]]/L*Table16[[#This Row],[t2_Ph_I]])</f>
        <v>0</v>
      </c>
      <c r="S179" s="292">
        <f>Fsw*(Table16[[#This Row],[I_0]]*Table16[[#This Row],[t1_Ph_II]]+Table16[[#This Row],[I_1]]*Table16[[#This Row],[t2_Ph_I]]+Table16[[#This Row],[I_2]]*Table16[[#This Row],[t3_Ph_III]])</f>
        <v>7.8919065755670141</v>
      </c>
      <c r="T179" s="345">
        <f>MIN(1,CHOOSE(Table16[[#This Row],[Mode Digit]],(Vout+(Rdson2+Rs+Rdcr)*Table16[[#This Row],[Iout]])/(Table16[[#This Row],[Vin]]+(Rs+Rdson2-Rdson1)*Table16[[#This Row],[Iout]]),1,Fsw*Table16[[#This Row],[t2_Ph_I]]+Table16[[#This Row],[t1_Ph_II]]))</f>
        <v>0.50979993906773635</v>
      </c>
      <c r="U179" s="345">
        <f>MIN(1,CHOOSE(Table16[[#This Row],[Mode Digit]],0,(Vout+(Rdson3+Rdcr)*Table16[[#This Row],[Iin]]-Table16[[#This Row],[Vin]])/(Vout+(Rdson3-Rdson4-Rs)*Table16[[#This Row],[Iin]]),Fsw*Table16[[#This Row],[t1_Ph_II]]+Table16[[#This Row],[t3_Ph_III]]))</f>
        <v>0</v>
      </c>
      <c r="V179" s="292">
        <f>MAX(Table16[[#This Row],[I_0]:[I_2]])-MIN(Table16[[#This Row],[I_0]:[I_1]])</f>
        <v>11.030009848617969</v>
      </c>
      <c r="W179"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8.6103673811507093</v>
      </c>
      <c r="X179" s="345">
        <f>(Table16[[#This Row],[Irms Lf]]^2*Rdcr*(1+Ltc*Ta-Ltc*25))/(1-Table16[[#This Row],[Irms Lf]]^2*Rdcr*Ltc*ThetaCa)</f>
        <v>0.24183281532653447</v>
      </c>
      <c r="Y179" s="345">
        <f>ABS(7.759*10^-3*Fsw^0.9458*(0.00787*Table16[[#This Row],[Ripple Current pk-pk]])^2.304)</f>
        <v>5.5029531941212984</v>
      </c>
      <c r="Z179" s="345">
        <f>Table16[[#This Row],[DCR    Loss]]+Table16[[#This Row],[Core Loss]]</f>
        <v>5.7447860094478331</v>
      </c>
      <c r="AA179" s="292">
        <f>IF(Table16[[#This Row],[Vin]]&gt;Vout, Table16[[#This Row],[Ripple Current pk-pk]]/SQRT(12), SQRT(Table16[[#This Row],[Duty Cycle BOOST Leg]]/(1-Table16[[#This Row],[Duty Cycle BOOST Leg]]))*SQRT(Table16[[#This Row],[Iout]]^2+(Table16[[#This Row],[Ripple Current pk-pk]]^2)/12))</f>
        <v>3.1840895776319038</v>
      </c>
      <c r="AB179" s="345">
        <f>RCoutEsr*Table16[[#This Row],[Irms Cout]]^2</f>
        <v>2.0276852876768232E-2</v>
      </c>
      <c r="AC179" s="345">
        <f>Table16[[#This Row],[Cout ESR Loss]]</f>
        <v>2.0276852876768232E-2</v>
      </c>
      <c r="AD179" s="345">
        <f>IF(Table16[[#This Row],[Vin]]&gt;Vout, SQRT(Table16[[#This Row],[Duty Cycle BUCK Leg]]*(1-Table16[[#This Row],[Duty Cycle BUCK Leg]]))*SQRT(Table16[[#This Row],[Iout]]^2+(Table16[[#This Row],[Ripple Current pk-pk]]^2)/12), Table16[[#This Row],[Ripple Current pk-pk]]/SQRT(12))</f>
        <v>4.3043566817425907</v>
      </c>
      <c r="AE179" s="345">
        <f>RCinEsr*Table16[[#This Row],[Irms Cin]]^2</f>
        <v>3.7054972887324171E-2</v>
      </c>
      <c r="AF179" s="683">
        <f>Table16[[#This Row],[Cin ESR Loss]]</f>
        <v>3.7054972887324171E-2</v>
      </c>
      <c r="AG179"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6.1478260613704805</v>
      </c>
      <c r="AH179" s="345">
        <f>Rdson1*Table16[[#This Row],[Irms BuCtrl]]^2</f>
        <v>0.13228517848303128</v>
      </c>
      <c r="AI179" s="345">
        <f>CHOOSE(Table16[[#This Row],[Mode Digit]], (Table16[[#This Row],[Vin]]*Table16[[#This Row],[Iout]]/2)*(Fsw)*(Tr_buck+Tf_buck), 0, (Table16[[#This Row],[Vin]]*Table16[[#This Row],[Avg IL]]/2)*(Fsw/1)*(Tr_buck+Tf_buck))</f>
        <v>0.94311231794844608</v>
      </c>
      <c r="AJ179" s="253">
        <f>IF(Table16[[#This Row],[Vin]]&gt;Vout, IF(Table16[[#This Row],[Iout]]&gt;Table16[[#This Row],[Ripple Current pk-pk]]/2,0,ABS(Table16[[#This Row],[Iout]]-Table16[[#This Row],[Ripple Current pk-pk]]/2)*Vsd_Q1*Deadtime*Fsw),0)</f>
        <v>0</v>
      </c>
      <c r="AK179" s="345">
        <f>(Table16[[#This Row],[Dead Time Loss BuCtrl]]+Table16[[#This Row],[Transition Loss BuCtrl]]+Table16[[#This Row],[RDS(on) Loss BuCtrl]]*(1+RdsonTopTc*Ta-RdsonTopTc*25))/(1-Table16[[#This Row],[RDS(on) Loss BuCtrl]]*RdsonTopTc*ThetaJA_Q1)</f>
        <v>1.1137023376860988</v>
      </c>
      <c r="AL179" s="345">
        <f>CHOOSE(Table16[[#This Row],[Mode Digit]],SQRT((Fsw*(Table16[[#This Row],[t2_Ph_I]]+0))*((Table16[[#This Row],[I_0]]*Table16[[#This Row],[I_1]]+((Table16[[#This Row],[I_0]]-Table16[[#This Row],[I_1]])^2)/3))),0,SQRT((Fsw*(Table16[[#This Row],[t3_Ph_III]]+0))*((Table16[[#This Row],[I_0]]*Table16[[#This Row],[I_2]]+((Table16[[#This Row],[I_0]]-Table16[[#This Row],[I_2]])^2)/3))))</f>
        <v>6.0284874684715106</v>
      </c>
      <c r="AM179" s="345">
        <f>Rdson2*Table16[[#This Row],[Irms BuSync]]^2</f>
        <v>0.12719931405131316</v>
      </c>
      <c r="AN179"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79" s="345">
        <f>(Table16[[#This Row],[Deadtime Loss BuSync]]+Table16[[#This Row],[RDS(on) Loss BuSync]]*(1+RdsonBotTc*Ta-RdsonBotTc*25))/(1-Table16[[#This Row],[RDS(on) Loss BuSync]]*RdsonBotTc*ThetaJA_Q2)</f>
        <v>0.37851757994800805</v>
      </c>
      <c r="AP179" s="345">
        <f>CHOOSE(Table16[[#This Row],[Mode Digit]],0,SQRT((Fsw*(Table16[[#This Row],[t1_Ph_II]]+0))*((Table16[[#This Row],[I_0]]*Table16[[#This Row],[I_1]]+((Table16[[#This Row],[I_0]]-Table16[[#This Row],[I_1]])^2)/3))),SQRT((Fsw*(Table16[[#This Row],[t2_Ph_I]]+0))*((Table16[[#This Row],[I_1]]*Table16[[#This Row],[I_2]]+((Table16[[#This Row],[I_1]]-Table16[[#This Row],[I_2]])^2)/3))))</f>
        <v>0</v>
      </c>
      <c r="AQ179" s="345">
        <f>Rdson4*Table16[[#This Row],[Irms BoCtlr]]^2</f>
        <v>0</v>
      </c>
      <c r="AR179" s="345">
        <f>CHOOSE(Table16[[#This Row],[Mode Digit]], 0, (Vout*Table16[[#This Row],[Iin]]/2)*(Fsw)*(Tr_boost+Tf_boost), (Vout*Iout/2)*(Fsw/1)*(Tr_boost+Tf_boost))</f>
        <v>0</v>
      </c>
      <c r="AS179" s="253">
        <f>IF(Table16[[#This Row],[Vin]]&gt;Vout, 0, IF(Table16[[#This Row],[Iin]]&gt;Table16[[#This Row],[Ripple Current pk-pk]]/2,0,ABS(Table16[[#This Row],[Iin]]-Table16[[#This Row],[Ripple Current pk-pk]]/2)*Vsd_Q4*Deadtime*Fsw))</f>
        <v>0</v>
      </c>
      <c r="AT179" s="345">
        <f>(Table16[[#This Row],[Dead Time Loss BoCtlr]]+Table16[[#This Row],[Transition Loss BoCtlr]]+Table16[[#This Row],[RDS(on) Loss BoCtlr]]*(1+RdsonTopTc*Ta-RdsonTopTc*25))/(1-Table16[[#This Row],[RDS(on) Loss BoCtlr]]*RdsonTopTc*ThetaJA_Q4)</f>
        <v>0</v>
      </c>
      <c r="AU179"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8.6103673811507093</v>
      </c>
      <c r="AV179" s="345">
        <f>Rdson3*Table16[[#This Row],[Irms BoSync]]^2</f>
        <v>0.25948449253434447</v>
      </c>
      <c r="AW179"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79" s="345">
        <f>(Table16[[#This Row],[Deadtime Loss BoSync]]+Table16[[#This Row],[RDS(on) Loss BoSync]]*(1+RdsonBotTc*Ta-RdsonBotTc*25))/(1-Table16[[#This Row],[RDS(on) Loss BoSync]]*RdsonBotTc*ThetaJA_Q3)</f>
        <v>0.27825739720643466</v>
      </c>
      <c r="AY179" s="345">
        <f>CHOOSE(Table16[[#This Row],[Mode Digit]], Rdson3*Table16[[#This Row],[Irms Lf]]^2, Rdson1*Table16[[#This Row],[Irms Lf]]^2, 0)</f>
        <v>0.25948449253434447</v>
      </c>
      <c r="AZ179" s="345">
        <f>CHOOSE(Table16[[#This Row],[Mode Digit]], 2*Deadtime*Fsw*IF(VfdSky_Q2&gt;0,VfdSky_Q2,0)*Table16[[#This Row],[Iout]], 2*Deadtime*Fsw*IF(VfdSky_Q3&gt;0,VfdSky_Q3,0)*Table16[[#This Row],[Iin]], 2*Deadtime*Fsw*IF(VfdSky_Q2&gt;0,VfdSky_Q2,0)*Table16[[#This Row],[Iout]]+2*Deadtime*Fsw*IF(VfdSky_Q3&gt;0,VfdSky_Q3,0)*Table16[[#This Row],[Iin]])</f>
        <v>0</v>
      </c>
      <c r="BA179" s="345">
        <f>CHOOSE(Table16[[#This Row],[Mode Digit]], IF(QrrSky_Q2&gt;0,QrrSky_Q2,Qrr_Q2)*Fsw*(Table16[[#This Row],[Vin]]-Table16[[#This Row],[Iout]]*Rdson1),0,  IF(QrrSky_Q2&gt;0,QrrSky_Q2,Qrr_Q2)*Fsw*(Table16[[#This Row],[Vin]]-Table16[[#This Row],[Iout]]*Rdson1)+IF(QrrSky_Q3&gt;0,QrrSky_Q3,Qrr_Q3)*Fsw*Vout)</f>
        <v>0.56366351999999997</v>
      </c>
      <c r="BB179" s="345">
        <f>CHOOSE(Table16[[#This Row],[Mode Digit]],0, IF(QrrSky_Q3&gt;0,QrrSky_Q3,Qrr_Q3)*Fsw*Vout,  IF(QrrSky_Q2&gt;0,QrrSky_Q2,Qrr_Q2)*Fsw*(Table16[[#This Row],[Vin]]-Table16[[#This Row],[Iout]]*Rdson1)+IF(QrrSky_Q3&gt;0,QrrSky_Q3,Qrr_Q3)*Fsw*Vout)</f>
        <v>0</v>
      </c>
      <c r="BC179" s="345">
        <f>CHOOSE(Table16[[#This Row],[Mode Digit]], Rs*Table16[[#This Row],[Irms BuSync]]^2, Rs*Table16[[#This Row],[Irms BoCtlr]]^2, Rs*(Table16[[#This Row],[Irms BuSync]]^2+Table16[[#This Row],[Irms BoCtlr]]^2))</f>
        <v>4.7245459504773456E-2</v>
      </c>
      <c r="BD179" s="345">
        <f t="shared" si="8"/>
        <v>0.64</v>
      </c>
      <c r="BE179" s="345">
        <f>IF(Vout&gt;8, Iq*Vout, Iq*Table16[[#This Row],[Vin]])</f>
        <v>4.8000000000000001E-2</v>
      </c>
      <c r="BF179" s="345">
        <f>CHOOSE(Table16[[#This Row],[Mode Digit]], (Qg_Q1+Qg_Q2)*Fsw, (Qg_Q3+Qg_Q4)*Fsw, (Qg_Q1+Qg_Q2+Qg_Q3+Qg_Q4)*Fsw)*IF(Vout&gt;8, Vout, Table16[[#This Row],[Vin]])</f>
        <v>0.85331200000000007</v>
      </c>
      <c r="BG179" s="345">
        <f t="shared" si="9"/>
        <v>0.50594479787234037</v>
      </c>
      <c r="BH179" s="345">
        <f>Table16[[#This Row],[IQ Loss]]+Table16[[#This Row],[Switching Current Loss]]</f>
        <v>0.90131200000000011</v>
      </c>
      <c r="BI179"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9.724816129557242</v>
      </c>
      <c r="BJ179" s="253">
        <f>Vout*Table16[[#This Row],[Iout]]</f>
        <v>128</v>
      </c>
      <c r="BK179" s="684">
        <f>Table16[[#This Row],[Pout]]/(Table16[[#This Row],[Pout]]+Table16[[#This Row],[Total Loss]])</f>
        <v>0.92938951451996032</v>
      </c>
      <c r="BL179"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72.390651949596418</v>
      </c>
      <c r="BM179" s="685">
        <f>IF(Table16[[#This Row],[Vin]]&gt;Vout, Table16[[#This Row],[Total Sync Bu MOSFET Loss]]*ThetaJA_Q2, ThetaJA_Q3*Table16[[#This Row],[Total Sync Bo MOSFET Loss]])</f>
        <v>24.603642696620522</v>
      </c>
      <c r="BN179" s="640"/>
      <c r="BO179" s="292">
        <f>Table16[[#This Row],[EFF, h]]*100</f>
        <v>92.938951451996033</v>
      </c>
      <c r="BP179" s="345">
        <f>Table16[[#This Row],[Total Inductor Loss]]</f>
        <v>5.7447860094478331</v>
      </c>
      <c r="BQ179" s="345">
        <f>Table16[[#This Row],[Total Control Bu MOSFET Loss]]+Table16[[#This Row],[Total Sync Bu MOSFET Loss]]+Table16[[#This Row],[Total Control Bo MOSFET Loss]]+Table16[[#This Row],[Total Sync Bo MOSFET Loss]]+Table16[[#This Row],[Reverse Recovery Loss MOSFET D BUCK]]+Table16[[#This Row],[Reverse Recovery Loss MOSFET D BOOST]]</f>
        <v>2.3341408348405412</v>
      </c>
      <c r="BR179" s="345">
        <f>Table16[[#This Row],[Total Control Bu MOSFET Loss]]+Table16[[#This Row],[Reverse Recovery Loss MOSFET D BUCK]]*0.66</f>
        <v>1.4857202608860989</v>
      </c>
      <c r="BS179" s="345">
        <f>Table16[[#This Row],[Total Sync Bu MOSFET Loss]]+Table16[[#This Row],[Reverse Recovery Loss MOSFET D BUCK]]*0.33</f>
        <v>0.56452654154800808</v>
      </c>
      <c r="BT179" s="345">
        <f xml:space="preserve"> Table16[[#This Row],[Total Control Bo MOSFET Loss]]+Table16[[#This Row],[Reverse Recovery Loss MOSFET D BOOST]]*0.66</f>
        <v>0</v>
      </c>
      <c r="BU179" s="345">
        <f xml:space="preserve"> Table16[[#This Row],[Total Sync Bo MOSFET Loss]]+Table16[[#This Row],[Reverse Recovery Loss MOSFET D BOOST]]*0.33</f>
        <v>0.27825739720643466</v>
      </c>
      <c r="BV179" s="345">
        <f>Table16[[#This Row],[Isense Shunt Loss]]</f>
        <v>4.7245459504773456E-2</v>
      </c>
    </row>
    <row r="180" spans="7:74" x14ac:dyDescent="0.2">
      <c r="G180" s="253">
        <v>171</v>
      </c>
      <c r="H180" s="286">
        <f>VIN_min+(VIN_max-VIN_min)*(Table16[[#This Row],[Step]]/200)</f>
        <v>31.65</v>
      </c>
      <c r="I180" s="292" t="str">
        <f>IF(Mode = 2,IF(Table16[[#This Row],[Vin]]&gt;Vout, "BUCK","BOOST"),IF(Table16[[#This Row],[Vin]]&gt;VIN_BB_to_buck, "BUCK", IF(Table16[[#This Row],[Vin]]&lt;=VIN_boost_to_BB,"BOOST","BUCK-BST")))</f>
        <v>BUCK</v>
      </c>
      <c r="J180" s="253">
        <f>IF(Table16[[#This Row],[Mode]]="BOOST",2, IF(Table16[[#This Row],[Mode]]="BUCK", 1,3))</f>
        <v>1</v>
      </c>
      <c r="K180" s="253">
        <f t="shared" si="7"/>
        <v>8</v>
      </c>
      <c r="L180" s="292">
        <f>Vout*Table16[[#This Row],[Iout]]/(Table16[[#This Row],[Vin]]*Efficiency)</f>
        <v>4.2570882181757712</v>
      </c>
      <c r="M180" s="682">
        <f>MIN(1/Fsw,CHOOSE(Table16[[#This Row],[Mode Digit]],(Vout+(Rdson2+Rs+Rdcr)*Table16[[#This Row],[Iout]])/(Table16[[#This Row],[Vin]]+(Rs+Rdson2-Rdson1)*Table16[[#This Row],[Iout]])/Fsw,(Vout+(Rdson3+Rdcr)*Table16[[#This Row],[Iin]]-Table16[[#This Row],[Vin]])/(Vout+(Rdson3-Rdson4-Rs)*Table16[[#This Row],[Iin]])/Fsw,t1_Ph_II))</f>
        <v>1.2748357268141317E-6</v>
      </c>
      <c r="N180" s="518">
        <f>CHOOSE(Table16[[#This Row],[Mode Digit]],1/Fsw-Table16[[#This Row],[t1_Ph_II]],1/Fsw-Table16[[#This Row],[t1_Ph_II]],(Vout/Fsw-Table16[[#This Row],[Vin]]*t1_Ph_II)/(Table16[[#This Row],[Vin]]+Vout))</f>
        <v>1.2377270872562202E-6</v>
      </c>
      <c r="O180" s="518">
        <f>1/Fsw-(Table16[[#This Row],[t1_Ph_II]]+Table16[[#This Row],[t2_Ph_I]])</f>
        <v>0</v>
      </c>
      <c r="P180"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2.4580057987107899</v>
      </c>
      <c r="Q180" s="292">
        <f>CHOOSE(Table16[[#This Row],[Mode Digit]],Table16[[#This Row],[I_0]]+1/Lf*(Table16[[#This Row],[Vin]]-Vout)*Table16[[#This Row],[t1_Ph_II]],Table16[[#This Row],[I_0]]+1/Lf*Table16[[#This Row],[Vin]]*Table16[[#This Row],[t1_Ph_II]],Table16[[#This Row],[I_0]]+(Table16[[#This Row],[Vin]]-Vout)/L*Table16[[#This Row],[t1_Ph_II]])</f>
        <v>13.54199420128921</v>
      </c>
      <c r="R180" s="292">
        <f>CHOOSE(Table16[[#This Row],[Mode Digit]],0,0,Table16[[#This Row],[I_1]]+Table16[[#This Row],[Vin]]/L*Table16[[#This Row],[t2_Ph_I]])</f>
        <v>0</v>
      </c>
      <c r="S180" s="292">
        <f>Fsw*(Table16[[#This Row],[I_0]]*Table16[[#This Row],[t1_Ph_II]]+Table16[[#This Row],[I_1]]*Table16[[#This Row],[t2_Ph_I]]+Table16[[#This Row],[I_2]]*Table16[[#This Row],[t3_Ph_III]])</f>
        <v>7.918148965631425</v>
      </c>
      <c r="T180" s="345">
        <f>MIN(1,CHOOSE(Table16[[#This Row],[Mode Digit]],(Vout+(Rdson2+Rs+Rdcr)*Table16[[#This Row],[Iout]])/(Table16[[#This Row],[Vin]]+(Rs+Rdson2-Rdson1)*Table16[[#This Row],[Iout]]),1,Fsw*Table16[[#This Row],[t2_Ph_I]]+Table16[[#This Row],[t1_Ph_II]]))</f>
        <v>0.50738461927202438</v>
      </c>
      <c r="U180" s="345">
        <f>MIN(1,CHOOSE(Table16[[#This Row],[Mode Digit]],0,(Vout+(Rdson3+Rdcr)*Table16[[#This Row],[Iin]]-Table16[[#This Row],[Vin]])/(Vout+(Rdson3-Rdson4-Rs)*Table16[[#This Row],[Iin]]),Fsw*Table16[[#This Row],[t1_Ph_II]]+Table16[[#This Row],[t3_Ph_III]]))</f>
        <v>0</v>
      </c>
      <c r="V180" s="292">
        <f>MAX(Table16[[#This Row],[I_0]:[I_2]])-MIN(Table16[[#This Row],[I_0]:[I_1]])</f>
        <v>11.08398840257842</v>
      </c>
      <c r="W180"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8.6161418227093431</v>
      </c>
      <c r="X180" s="345">
        <f>(Table16[[#This Row],[Irms Lf]]^2*Rdcr*(1+Ltc*Ta-Ltc*25))/(1-Table16[[#This Row],[Irms Lf]]^2*Rdcr*Ltc*ThetaCa)</f>
        <v>0.24216357480734116</v>
      </c>
      <c r="Y180" s="345">
        <f>ABS(7.759*10^-3*Fsw^0.9458*(0.00787*Table16[[#This Row],[Ripple Current pk-pk]])^2.304)</f>
        <v>5.5651986774338722</v>
      </c>
      <c r="Z180" s="345">
        <f>Table16[[#This Row],[DCR    Loss]]+Table16[[#This Row],[Core Loss]]</f>
        <v>5.8073622522412132</v>
      </c>
      <c r="AA180" s="292">
        <f>IF(Table16[[#This Row],[Vin]]&gt;Vout, Table16[[#This Row],[Ripple Current pk-pk]]/SQRT(12), SQRT(Table16[[#This Row],[Duty Cycle BOOST Leg]]/(1-Table16[[#This Row],[Duty Cycle BOOST Leg]]))*SQRT(Table16[[#This Row],[Iout]]^2+(Table16[[#This Row],[Ripple Current pk-pk]]^2)/12))</f>
        <v>3.1996718439616707</v>
      </c>
      <c r="AB180" s="345">
        <f>RCoutEsr*Table16[[#This Row],[Irms Cout]]^2</f>
        <v>2.0475799818082157E-2</v>
      </c>
      <c r="AC180" s="345">
        <f>Table16[[#This Row],[Cout ESR Loss]]</f>
        <v>2.0475799818082157E-2</v>
      </c>
      <c r="AD180" s="345">
        <f>IF(Table16[[#This Row],[Vin]]&gt;Vout, SQRT(Table16[[#This Row],[Duty Cycle BUCK Leg]]*(1-Table16[[#This Row],[Duty Cycle BUCK Leg]]))*SQRT(Table16[[#This Row],[Iout]]^2+(Table16[[#This Row],[Ripple Current pk-pk]]^2)/12), Table16[[#This Row],[Ripple Current pk-pk]]/SQRT(12))</f>
        <v>4.3076010250981467</v>
      </c>
      <c r="AE180" s="345">
        <f>RCinEsr*Table16[[#This Row],[Irms Cin]]^2</f>
        <v>3.7110853182853204E-2</v>
      </c>
      <c r="AF180" s="683">
        <f>Table16[[#This Row],[Cin ESR Loss]]</f>
        <v>3.7110853182853204E-2</v>
      </c>
      <c r="AG180"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6.1373584367302083</v>
      </c>
      <c r="AH180" s="345">
        <f>Rdson1*Table16[[#This Row],[Irms BuCtrl]]^2</f>
        <v>0.13183509003316213</v>
      </c>
      <c r="AI180" s="345">
        <f>CHOOSE(Table16[[#This Row],[Mode Digit]], (Table16[[#This Row],[Vin]]*Table16[[#This Row],[Iout]]/2)*(Fsw)*(Tr_buck+Tf_buck), 0, (Table16[[#This Row],[Vin]]*Table16[[#This Row],[Avg IL]]/2)*(Fsw/1)*(Tr_buck+Tf_buck))</f>
        <v>0.94760332898629585</v>
      </c>
      <c r="AJ180" s="253">
        <f>IF(Table16[[#This Row],[Vin]]&gt;Vout, IF(Table16[[#This Row],[Iout]]&gt;Table16[[#This Row],[Ripple Current pk-pk]]/2,0,ABS(Table16[[#This Row],[Iout]]-Table16[[#This Row],[Ripple Current pk-pk]]/2)*Vsd_Q1*Deadtime*Fsw),0)</f>
        <v>0</v>
      </c>
      <c r="AK180" s="345">
        <f>(Table16[[#This Row],[Dead Time Loss BuCtrl]]+Table16[[#This Row],[Transition Loss BuCtrl]]+Table16[[#This Row],[RDS(on) Loss BuCtrl]]*(1+RdsonTopTc*Ta-RdsonTopTc*25))/(1-Table16[[#This Row],[RDS(on) Loss BuCtrl]]*RdsonTopTc*ThetaJA_Q1)</f>
        <v>1.1177517331156648</v>
      </c>
      <c r="AL180" s="345">
        <f>CHOOSE(Table16[[#This Row],[Mode Digit]],SQRT((Fsw*(Table16[[#This Row],[t2_Ph_I]]+0))*((Table16[[#This Row],[I_0]]*Table16[[#This Row],[I_1]]+((Table16[[#This Row],[I_0]]-Table16[[#This Row],[I_1]])^2)/3))),0,SQRT((Fsw*(Table16[[#This Row],[t3_Ph_III]]+0))*((Table16[[#This Row],[I_0]]*Table16[[#This Row],[I_2]]+((Table16[[#This Row],[I_0]]-Table16[[#This Row],[I_2]])^2)/3))))</f>
        <v>6.0473739199868914</v>
      </c>
      <c r="AM180" s="345">
        <f>Rdson2*Table16[[#This Row],[Irms BuSync]]^2</f>
        <v>0.12799755964848167</v>
      </c>
      <c r="AN180"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80" s="345">
        <f>(Table16[[#This Row],[Deadtime Loss BuSync]]+Table16[[#This Row],[RDS(on) Loss BuSync]]*(1+RdsonBotTc*Ta-RdsonBotTc*25))/(1-Table16[[#This Row],[RDS(on) Loss BuSync]]*RdsonBotTc*ThetaJA_Q2)</f>
        <v>0.37942456854814</v>
      </c>
      <c r="AP180" s="345">
        <f>CHOOSE(Table16[[#This Row],[Mode Digit]],0,SQRT((Fsw*(Table16[[#This Row],[t1_Ph_II]]+0))*((Table16[[#This Row],[I_0]]*Table16[[#This Row],[I_1]]+((Table16[[#This Row],[I_0]]-Table16[[#This Row],[I_1]])^2)/3))),SQRT((Fsw*(Table16[[#This Row],[t2_Ph_I]]+0))*((Table16[[#This Row],[I_1]]*Table16[[#This Row],[I_2]]+((Table16[[#This Row],[I_1]]-Table16[[#This Row],[I_2]])^2)/3))))</f>
        <v>0</v>
      </c>
      <c r="AQ180" s="345">
        <f>Rdson4*Table16[[#This Row],[Irms BoCtlr]]^2</f>
        <v>0</v>
      </c>
      <c r="AR180" s="345">
        <f>CHOOSE(Table16[[#This Row],[Mode Digit]], 0, (Vout*Table16[[#This Row],[Iin]]/2)*(Fsw)*(Tr_boost+Tf_boost), (Vout*Iout/2)*(Fsw/1)*(Tr_boost+Tf_boost))</f>
        <v>0</v>
      </c>
      <c r="AS180" s="253">
        <f>IF(Table16[[#This Row],[Vin]]&gt;Vout, 0, IF(Table16[[#This Row],[Iin]]&gt;Table16[[#This Row],[Ripple Current pk-pk]]/2,0,ABS(Table16[[#This Row],[Iin]]-Table16[[#This Row],[Ripple Current pk-pk]]/2)*Vsd_Q4*Deadtime*Fsw))</f>
        <v>0</v>
      </c>
      <c r="AT180" s="345">
        <f>(Table16[[#This Row],[Dead Time Loss BoCtlr]]+Table16[[#This Row],[Transition Loss BoCtlr]]+Table16[[#This Row],[RDS(on) Loss BoCtlr]]*(1+RdsonTopTc*Ta-RdsonTopTc*25))/(1-Table16[[#This Row],[RDS(on) Loss BoCtlr]]*RdsonTopTc*ThetaJA_Q4)</f>
        <v>0</v>
      </c>
      <c r="AU180"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8.6161418227093431</v>
      </c>
      <c r="AV180" s="345">
        <f>Rdson3*Table16[[#This Row],[Irms BoSync]]^2</f>
        <v>0.25983264968164377</v>
      </c>
      <c r="AW180"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80" s="345">
        <f>(Table16[[#This Row],[Deadtime Loss BoSync]]+Table16[[#This Row],[RDS(on) Loss BoSync]]*(1+RdsonBotTc*Ta-RdsonBotTc*25))/(1-Table16[[#This Row],[RDS(on) Loss BoSync]]*RdsonBotTc*ThetaJA_Q3)</f>
        <v>0.27865779169820243</v>
      </c>
      <c r="AY180" s="345">
        <f>CHOOSE(Table16[[#This Row],[Mode Digit]], Rdson3*Table16[[#This Row],[Irms Lf]]^2, Rdson1*Table16[[#This Row],[Irms Lf]]^2, 0)</f>
        <v>0.25983264968164377</v>
      </c>
      <c r="AZ180" s="345">
        <f>CHOOSE(Table16[[#This Row],[Mode Digit]], 2*Deadtime*Fsw*IF(VfdSky_Q2&gt;0,VfdSky_Q2,0)*Table16[[#This Row],[Iout]], 2*Deadtime*Fsw*IF(VfdSky_Q3&gt;0,VfdSky_Q3,0)*Table16[[#This Row],[Iin]], 2*Deadtime*Fsw*IF(VfdSky_Q2&gt;0,VfdSky_Q2,0)*Table16[[#This Row],[Iout]]+2*Deadtime*Fsw*IF(VfdSky_Q3&gt;0,VfdSky_Q3,0)*Table16[[#This Row],[Iin]])</f>
        <v>0</v>
      </c>
      <c r="BA180" s="345">
        <f>CHOOSE(Table16[[#This Row],[Mode Digit]], IF(QrrSky_Q2&gt;0,QrrSky_Q2,Qrr_Q2)*Fsw*(Table16[[#This Row],[Vin]]-Table16[[#This Row],[Iout]]*Rdson1),0,  IF(QrrSky_Q2&gt;0,QrrSky_Q2,Qrr_Q2)*Fsw*(Table16[[#This Row],[Vin]]-Table16[[#This Row],[Iout]]*Rdson1)+IF(QrrSky_Q3&gt;0,QrrSky_Q3,Qrr_Q3)*Fsw*Vout)</f>
        <v>0.56635002000000001</v>
      </c>
      <c r="BB180" s="345">
        <f>CHOOSE(Table16[[#This Row],[Mode Digit]],0, IF(QrrSky_Q3&gt;0,QrrSky_Q3,Qrr_Q3)*Fsw*Vout,  IF(QrrSky_Q2&gt;0,QrrSky_Q2,Qrr_Q2)*Fsw*(Table16[[#This Row],[Vin]]-Table16[[#This Row],[Iout]]*Rdson1)+IF(QrrSky_Q3&gt;0,QrrSky_Q3,Qrr_Q3)*Fsw*Vout)</f>
        <v>0</v>
      </c>
      <c r="BC180" s="345">
        <f>CHOOSE(Table16[[#This Row],[Mode Digit]], Rs*Table16[[#This Row],[Irms BuSync]]^2, Rs*Table16[[#This Row],[Irms BoCtlr]]^2, Rs*(Table16[[#This Row],[Irms BuSync]]^2+Table16[[#This Row],[Irms BoCtlr]]^2))</f>
        <v>4.7541950726578901E-2</v>
      </c>
      <c r="BD180" s="345">
        <f t="shared" si="8"/>
        <v>0.64</v>
      </c>
      <c r="BE180" s="345">
        <f>IF(Vout&gt;8, Iq*Vout, Iq*Table16[[#This Row],[Vin]])</f>
        <v>4.8000000000000001E-2</v>
      </c>
      <c r="BF180" s="345">
        <f>CHOOSE(Table16[[#This Row],[Mode Digit]], (Qg_Q1+Qg_Q2)*Fsw, (Qg_Q3+Qg_Q4)*Fsw, (Qg_Q1+Qg_Q2+Qg_Q3+Qg_Q4)*Fsw)*IF(Vout&gt;8, Vout, Table16[[#This Row],[Vin]])</f>
        <v>0.85331200000000007</v>
      </c>
      <c r="BG180" s="345">
        <f t="shared" si="9"/>
        <v>0.50594479787234037</v>
      </c>
      <c r="BH180" s="345">
        <f>Table16[[#This Row],[IQ Loss]]+Table16[[#This Row],[Switching Current Loss]]</f>
        <v>0.90131200000000011</v>
      </c>
      <c r="BI180"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9.7959869693307375</v>
      </c>
      <c r="BJ180" s="253">
        <f>Vout*Table16[[#This Row],[Iout]]</f>
        <v>128</v>
      </c>
      <c r="BK180" s="684">
        <f>Table16[[#This Row],[Pout]]/(Table16[[#This Row],[Pout]]+Table16[[#This Row],[Total Loss]])</f>
        <v>0.92890949014711854</v>
      </c>
      <c r="BL180"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72.653862652518214</v>
      </c>
      <c r="BM180" s="685">
        <f>IF(Table16[[#This Row],[Vin]]&gt;Vout, Table16[[#This Row],[Total Sync Bu MOSFET Loss]]*ThetaJA_Q2, ThetaJA_Q3*Table16[[#This Row],[Total Sync Bo MOSFET Loss]])</f>
        <v>24.662596955629098</v>
      </c>
      <c r="BN180" s="640"/>
      <c r="BO180" s="292">
        <f>Table16[[#This Row],[EFF, h]]*100</f>
        <v>92.89094901471185</v>
      </c>
      <c r="BP180" s="345">
        <f>Table16[[#This Row],[Total Inductor Loss]]</f>
        <v>5.8073622522412132</v>
      </c>
      <c r="BQ180" s="345">
        <f>Table16[[#This Row],[Total Control Bu MOSFET Loss]]+Table16[[#This Row],[Total Sync Bu MOSFET Loss]]+Table16[[#This Row],[Total Control Bo MOSFET Loss]]+Table16[[#This Row],[Total Sync Bo MOSFET Loss]]+Table16[[#This Row],[Reverse Recovery Loss MOSFET D BUCK]]+Table16[[#This Row],[Reverse Recovery Loss MOSFET D BOOST]]</f>
        <v>2.3421841133620074</v>
      </c>
      <c r="BR180" s="345">
        <f>Table16[[#This Row],[Total Control Bu MOSFET Loss]]+Table16[[#This Row],[Reverse Recovery Loss MOSFET D BUCK]]*0.66</f>
        <v>1.4915427463156647</v>
      </c>
      <c r="BS180" s="345">
        <f>Table16[[#This Row],[Total Sync Bu MOSFET Loss]]+Table16[[#This Row],[Reverse Recovery Loss MOSFET D BUCK]]*0.33</f>
        <v>0.56632007514813998</v>
      </c>
      <c r="BT180" s="345">
        <f xml:space="preserve"> Table16[[#This Row],[Total Control Bo MOSFET Loss]]+Table16[[#This Row],[Reverse Recovery Loss MOSFET D BOOST]]*0.66</f>
        <v>0</v>
      </c>
      <c r="BU180" s="345">
        <f xml:space="preserve"> Table16[[#This Row],[Total Sync Bo MOSFET Loss]]+Table16[[#This Row],[Reverse Recovery Loss MOSFET D BOOST]]*0.33</f>
        <v>0.27865779169820243</v>
      </c>
      <c r="BV180" s="345">
        <f>Table16[[#This Row],[Isense Shunt Loss]]</f>
        <v>4.7541950726578901E-2</v>
      </c>
    </row>
    <row r="181" spans="7:74" x14ac:dyDescent="0.2">
      <c r="G181" s="253">
        <v>172</v>
      </c>
      <c r="H181" s="286">
        <f>VIN_min+(VIN_max-VIN_min)*(Table16[[#This Row],[Step]]/200)</f>
        <v>31.8</v>
      </c>
      <c r="I181" s="292" t="str">
        <f>IF(Mode = 2,IF(Table16[[#This Row],[Vin]]&gt;Vout, "BUCK","BOOST"),IF(Table16[[#This Row],[Vin]]&gt;VIN_BB_to_buck, "BUCK", IF(Table16[[#This Row],[Vin]]&lt;=VIN_boost_to_BB,"BOOST","BUCK-BST")))</f>
        <v>BUCK</v>
      </c>
      <c r="J181" s="253">
        <f>IF(Table16[[#This Row],[Mode]]="BOOST",2, IF(Table16[[#This Row],[Mode]]="BUCK", 1,3))</f>
        <v>1</v>
      </c>
      <c r="K181" s="253">
        <f t="shared" si="7"/>
        <v>8</v>
      </c>
      <c r="L181" s="292">
        <f>Vout*Table16[[#This Row],[Iout]]/(Table16[[#This Row],[Vin]]*Efficiency)</f>
        <v>4.2370076133730548</v>
      </c>
      <c r="M181" s="682">
        <f>MIN(1/Fsw,CHOOSE(Table16[[#This Row],[Mode Digit]],(Vout+(Rdson2+Rs+Rdcr)*Table16[[#This Row],[Iout]])/(Table16[[#This Row],[Vin]]+(Rs+Rdson2-Rdson1)*Table16[[#This Row],[Iout]])/Fsw,(Vout+(Rdson3+Rdcr)*Table16[[#This Row],[Iin]]-Table16[[#This Row],[Vin]])/(Vout+(Rdson3-Rdson4-Rs)*Table16[[#This Row],[Iin]])/Fsw,t1_Ph_II))</f>
        <v>1.2688243167400012E-6</v>
      </c>
      <c r="N181" s="518">
        <f>CHOOSE(Table16[[#This Row],[Mode Digit]],1/Fsw-Table16[[#This Row],[t1_Ph_II]],1/Fsw-Table16[[#This Row],[t1_Ph_II]],(Vout/Fsw-Table16[[#This Row],[Vin]]*t1_Ph_II)/(Table16[[#This Row],[Vin]]+Vout))</f>
        <v>1.2437384973303507E-6</v>
      </c>
      <c r="O181" s="518">
        <f>1/Fsw-(Table16[[#This Row],[t1_Ph_II]]+Table16[[#This Row],[t2_Ph_I]])</f>
        <v>0</v>
      </c>
      <c r="P181"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2.4312710543077722</v>
      </c>
      <c r="Q181" s="292">
        <f>CHOOSE(Table16[[#This Row],[Mode Digit]],Table16[[#This Row],[I_0]]+1/Lf*(Table16[[#This Row],[Vin]]-Vout)*Table16[[#This Row],[t1_Ph_II]],Table16[[#This Row],[I_0]]+1/Lf*Table16[[#This Row],[Vin]]*Table16[[#This Row],[t1_Ph_II]],Table16[[#This Row],[I_0]]+(Table16[[#This Row],[Vin]]-Vout)/L*Table16[[#This Row],[t1_Ph_II]])</f>
        <v>13.568728945692229</v>
      </c>
      <c r="R181" s="292">
        <f>CHOOSE(Table16[[#This Row],[Mode Digit]],0,0,Table16[[#This Row],[I_1]]+Table16[[#This Row],[Vin]]/L*Table16[[#This Row],[t2_Ph_I]])</f>
        <v>0</v>
      </c>
      <c r="S181" s="292">
        <f>Fsw*(Table16[[#This Row],[I_0]]*Table16[[#This Row],[t1_Ph_II]]+Table16[[#This Row],[I_1]]*Table16[[#This Row],[t2_Ph_I]]+Table16[[#This Row],[I_2]]*Table16[[#This Row],[t3_Ph_III]])</f>
        <v>7.9444009407881753</v>
      </c>
      <c r="T181" s="345">
        <f>MIN(1,CHOOSE(Table16[[#This Row],[Mode Digit]],(Vout+(Rdson2+Rs+Rdcr)*Table16[[#This Row],[Iout]])/(Table16[[#This Row],[Vin]]+(Rs+Rdson2-Rdson1)*Table16[[#This Row],[Iout]]),1,Fsw*Table16[[#This Row],[t2_Ph_I]]+Table16[[#This Row],[t1_Ph_II]]))</f>
        <v>0.50499207806252044</v>
      </c>
      <c r="U181" s="345">
        <f>MIN(1,CHOOSE(Table16[[#This Row],[Mode Digit]],0,(Vout+(Rdson3+Rdcr)*Table16[[#This Row],[Iin]]-Table16[[#This Row],[Vin]])/(Vout+(Rdson3-Rdson4-Rs)*Table16[[#This Row],[Iin]]),Fsw*Table16[[#This Row],[t1_Ph_II]]+Table16[[#This Row],[t3_Ph_III]]))</f>
        <v>0</v>
      </c>
      <c r="V181" s="292">
        <f>MAX(Table16[[#This Row],[I_0]:[I_2]])-MIN(Table16[[#This Row],[I_0]:[I_1]])</f>
        <v>11.137457891384457</v>
      </c>
      <c r="W181"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8.6218857579725654</v>
      </c>
      <c r="X181" s="345">
        <f>(Table16[[#This Row],[Irms Lf]]^2*Rdcr*(1+Ltc*Ta-Ltc*25))/(1-Table16[[#This Row],[Irms Lf]]^2*Rdcr*Ltc*ThetaCa)</f>
        <v>0.24249282393557733</v>
      </c>
      <c r="Y181" s="345">
        <f>ABS(7.759*10^-3*Fsw^0.9458*(0.00787*Table16[[#This Row],[Ripple Current pk-pk]])^2.304)</f>
        <v>5.6272480809568783</v>
      </c>
      <c r="Z181" s="345">
        <f>Table16[[#This Row],[DCR    Loss]]+Table16[[#This Row],[Core Loss]]</f>
        <v>5.8697409048924554</v>
      </c>
      <c r="AA181" s="292">
        <f>IF(Table16[[#This Row],[Vin]]&gt;Vout, Table16[[#This Row],[Ripple Current pk-pk]]/SQRT(12), SQRT(Table16[[#This Row],[Duty Cycle BOOST Leg]]/(1-Table16[[#This Row],[Duty Cycle BOOST Leg]]))*SQRT(Table16[[#This Row],[Iout]]^2+(Table16[[#This Row],[Ripple Current pk-pk]]^2)/12))</f>
        <v>3.2151071558394695</v>
      </c>
      <c r="AB181" s="345">
        <f>RCoutEsr*Table16[[#This Row],[Irms Cout]]^2</f>
        <v>2.0673828047060326E-2</v>
      </c>
      <c r="AC181" s="345">
        <f>Table16[[#This Row],[Cout ESR Loss]]</f>
        <v>2.0673828047060326E-2</v>
      </c>
      <c r="AD181" s="345">
        <f>IF(Table16[[#This Row],[Vin]]&gt;Vout, SQRT(Table16[[#This Row],[Duty Cycle BUCK Leg]]*(1-Table16[[#This Row],[Duty Cycle BUCK Leg]]))*SQRT(Table16[[#This Row],[Iout]]^2+(Table16[[#This Row],[Ripple Current pk-pk]]^2)/12), Table16[[#This Row],[Ripple Current pk-pk]]/SQRT(12))</f>
        <v>4.3107280089667723</v>
      </c>
      <c r="AE181" s="345">
        <f>RCinEsr*Table16[[#This Row],[Irms Cin]]^2</f>
        <v>3.7164751934581269E-2</v>
      </c>
      <c r="AF181" s="683">
        <f>Table16[[#This Row],[Cin ESR Loss]]</f>
        <v>3.7164751934581269E-2</v>
      </c>
      <c r="AG181"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6.1269529694210494</v>
      </c>
      <c r="AH181" s="345">
        <f>Rdson1*Table16[[#This Row],[Irms BuCtrl]]^2</f>
        <v>0.13138843441324094</v>
      </c>
      <c r="AI181" s="345">
        <f>CHOOSE(Table16[[#This Row],[Mode Digit]], (Table16[[#This Row],[Vin]]*Table16[[#This Row],[Iout]]/2)*(Fsw)*(Tr_buck+Tf_buck), 0, (Table16[[#This Row],[Vin]]*Table16[[#This Row],[Avg IL]]/2)*(Fsw/1)*(Tr_buck+Tf_buck))</f>
        <v>0.9520943400241455</v>
      </c>
      <c r="AJ181" s="253">
        <f>IF(Table16[[#This Row],[Vin]]&gt;Vout, IF(Table16[[#This Row],[Iout]]&gt;Table16[[#This Row],[Ripple Current pk-pk]]/2,0,ABS(Table16[[#This Row],[Iout]]-Table16[[#This Row],[Ripple Current pk-pk]]/2)*Vsd_Q1*Deadtime*Fsw),0)</f>
        <v>0</v>
      </c>
      <c r="AK181" s="345">
        <f>(Table16[[#This Row],[Dead Time Loss BuCtrl]]+Table16[[#This Row],[Transition Loss BuCtrl]]+Table16[[#This Row],[RDS(on) Loss BuCtrl]]*(1+RdsonTopTc*Ta-RdsonTopTc*25))/(1-Table16[[#This Row],[RDS(on) Loss BuCtrl]]*RdsonTopTc*ThetaJA_Q1)</f>
        <v>1.1218047381870004</v>
      </c>
      <c r="AL181" s="345">
        <f>CHOOSE(Table16[[#This Row],[Mode Digit]],SQRT((Fsw*(Table16[[#This Row],[t2_Ph_I]]+0))*((Table16[[#This Row],[I_0]]*Table16[[#This Row],[I_1]]+((Table16[[#This Row],[I_0]]-Table16[[#This Row],[I_1]])^2)/3))),0,SQRT((Fsw*(Table16[[#This Row],[t3_Ph_III]]+0))*((Table16[[#This Row],[I_0]]*Table16[[#This Row],[I_2]]+((Table16[[#This Row],[I_0]]-Table16[[#This Row],[I_2]])^2)/3))))</f>
        <v>6.0660828657406878</v>
      </c>
      <c r="AM181" s="345">
        <f>Rdson2*Table16[[#This Row],[Irms BuSync]]^2</f>
        <v>0.12879076466911465</v>
      </c>
      <c r="AN181"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81" s="345">
        <f>(Table16[[#This Row],[Deadtime Loss BuSync]]+Table16[[#This Row],[RDS(on) Loss BuSync]]*(1+RdsonBotTc*Ta-RdsonBotTc*25))/(1-Table16[[#This Row],[RDS(on) Loss BuSync]]*RdsonBotTc*ThetaJA_Q2)</f>
        <v>0.3803262157480905</v>
      </c>
      <c r="AP181" s="345">
        <f>CHOOSE(Table16[[#This Row],[Mode Digit]],0,SQRT((Fsw*(Table16[[#This Row],[t1_Ph_II]]+0))*((Table16[[#This Row],[I_0]]*Table16[[#This Row],[I_1]]+((Table16[[#This Row],[I_0]]-Table16[[#This Row],[I_1]])^2)/3))),SQRT((Fsw*(Table16[[#This Row],[t2_Ph_I]]+0))*((Table16[[#This Row],[I_1]]*Table16[[#This Row],[I_2]]+((Table16[[#This Row],[I_1]]-Table16[[#This Row],[I_2]])^2)/3))))</f>
        <v>0</v>
      </c>
      <c r="AQ181" s="345">
        <f>Rdson4*Table16[[#This Row],[Irms BoCtlr]]^2</f>
        <v>0</v>
      </c>
      <c r="AR181" s="345">
        <f>CHOOSE(Table16[[#This Row],[Mode Digit]], 0, (Vout*Table16[[#This Row],[Iin]]/2)*(Fsw)*(Tr_boost+Tf_boost), (Vout*Iout/2)*(Fsw/1)*(Tr_boost+Tf_boost))</f>
        <v>0</v>
      </c>
      <c r="AS181" s="253">
        <f>IF(Table16[[#This Row],[Vin]]&gt;Vout, 0, IF(Table16[[#This Row],[Iin]]&gt;Table16[[#This Row],[Ripple Current pk-pk]]/2,0,ABS(Table16[[#This Row],[Iin]]-Table16[[#This Row],[Ripple Current pk-pk]]/2)*Vsd_Q4*Deadtime*Fsw))</f>
        <v>0</v>
      </c>
      <c r="AT181" s="345">
        <f>(Table16[[#This Row],[Dead Time Loss BoCtlr]]+Table16[[#This Row],[Transition Loss BoCtlr]]+Table16[[#This Row],[RDS(on) Loss BoCtlr]]*(1+RdsonTopTc*Ta-RdsonTopTc*25))/(1-Table16[[#This Row],[RDS(on) Loss BoCtlr]]*RdsonTopTc*ThetaJA_Q4)</f>
        <v>0</v>
      </c>
      <c r="AU181"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8.6218857579725654</v>
      </c>
      <c r="AV181" s="345">
        <f>Rdson3*Table16[[#This Row],[Irms BoSync]]^2</f>
        <v>0.26017919908235554</v>
      </c>
      <c r="AW181"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81" s="345">
        <f>(Table16[[#This Row],[Deadtime Loss BoSync]]+Table16[[#This Row],[RDS(on) Loss BoSync]]*(1+RdsonBotTc*Ta-RdsonBotTc*25))/(1-Table16[[#This Row],[RDS(on) Loss BoSync]]*RdsonBotTc*ThetaJA_Q3)</f>
        <v>0.27905641442753876</v>
      </c>
      <c r="AY181" s="345">
        <f>CHOOSE(Table16[[#This Row],[Mode Digit]], Rdson3*Table16[[#This Row],[Irms Lf]]^2, Rdson1*Table16[[#This Row],[Irms Lf]]^2, 0)</f>
        <v>0.26017919908235554</v>
      </c>
      <c r="AZ181" s="345">
        <f>CHOOSE(Table16[[#This Row],[Mode Digit]], 2*Deadtime*Fsw*IF(VfdSky_Q2&gt;0,VfdSky_Q2,0)*Table16[[#This Row],[Iout]], 2*Deadtime*Fsw*IF(VfdSky_Q3&gt;0,VfdSky_Q3,0)*Table16[[#This Row],[Iin]], 2*Deadtime*Fsw*IF(VfdSky_Q2&gt;0,VfdSky_Q2,0)*Table16[[#This Row],[Iout]]+2*Deadtime*Fsw*IF(VfdSky_Q3&gt;0,VfdSky_Q3,0)*Table16[[#This Row],[Iin]])</f>
        <v>0</v>
      </c>
      <c r="BA181" s="345">
        <f>CHOOSE(Table16[[#This Row],[Mode Digit]], IF(QrrSky_Q2&gt;0,QrrSky_Q2,Qrr_Q2)*Fsw*(Table16[[#This Row],[Vin]]-Table16[[#This Row],[Iout]]*Rdson1),0,  IF(QrrSky_Q2&gt;0,QrrSky_Q2,Qrr_Q2)*Fsw*(Table16[[#This Row],[Vin]]-Table16[[#This Row],[Iout]]*Rdson1)+IF(QrrSky_Q3&gt;0,QrrSky_Q3,Qrr_Q3)*Fsw*Vout)</f>
        <v>0.56903652000000005</v>
      </c>
      <c r="BB181" s="345">
        <f>CHOOSE(Table16[[#This Row],[Mode Digit]],0, IF(QrrSky_Q3&gt;0,QrrSky_Q3,Qrr_Q3)*Fsw*Vout,  IF(QrrSky_Q2&gt;0,QrrSky_Q2,Qrr_Q2)*Fsw*(Table16[[#This Row],[Vin]]-Table16[[#This Row],[Iout]]*Rdson1)+IF(QrrSky_Q3&gt;0,QrrSky_Q3,Qrr_Q3)*Fsw*Vout)</f>
        <v>0</v>
      </c>
      <c r="BC181" s="345">
        <f>CHOOSE(Table16[[#This Row],[Mode Digit]], Rs*Table16[[#This Row],[Irms BuSync]]^2, Rs*Table16[[#This Row],[Irms BoCtlr]]^2, Rs*(Table16[[#This Row],[Irms BuSync]]^2+Table16[[#This Row],[Irms BoCtlr]]^2))</f>
        <v>4.7836569734242586E-2</v>
      </c>
      <c r="BD181" s="345">
        <f t="shared" si="8"/>
        <v>0.64</v>
      </c>
      <c r="BE181" s="345">
        <f>IF(Vout&gt;8, Iq*Vout, Iq*Table16[[#This Row],[Vin]])</f>
        <v>4.8000000000000001E-2</v>
      </c>
      <c r="BF181" s="345">
        <f>CHOOSE(Table16[[#This Row],[Mode Digit]], (Qg_Q1+Qg_Q2)*Fsw, (Qg_Q3+Qg_Q4)*Fsw, (Qg_Q1+Qg_Q2+Qg_Q3+Qg_Q4)*Fsw)*IF(Vout&gt;8, Vout, Table16[[#This Row],[Vin]])</f>
        <v>0.85331200000000007</v>
      </c>
      <c r="BG181" s="345">
        <f t="shared" si="9"/>
        <v>0.50594479787234037</v>
      </c>
      <c r="BH181" s="345">
        <f>Table16[[#This Row],[IQ Loss]]+Table16[[#This Row],[Switching Current Loss]]</f>
        <v>0.90131200000000011</v>
      </c>
      <c r="BI181"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9.8669519429709709</v>
      </c>
      <c r="BJ181" s="253">
        <f>Vout*Table16[[#This Row],[Iout]]</f>
        <v>128</v>
      </c>
      <c r="BK181" s="684">
        <f>Table16[[#This Row],[Pout]]/(Table16[[#This Row],[Pout]]+Table16[[#This Row],[Total Loss]])</f>
        <v>0.92843134773116298</v>
      </c>
      <c r="BL181"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72.917307982155023</v>
      </c>
      <c r="BM181" s="685">
        <f>IF(Table16[[#This Row],[Vin]]&gt;Vout, Table16[[#This Row],[Total Sync Bu MOSFET Loss]]*ThetaJA_Q2, ThetaJA_Q3*Table16[[#This Row],[Total Sync Bo MOSFET Loss]])</f>
        <v>24.721204023625884</v>
      </c>
      <c r="BN181" s="640"/>
      <c r="BO181" s="292">
        <f>Table16[[#This Row],[EFF, h]]*100</f>
        <v>92.843134773116304</v>
      </c>
      <c r="BP181" s="345">
        <f>Table16[[#This Row],[Total Inductor Loss]]</f>
        <v>5.8697409048924554</v>
      </c>
      <c r="BQ181" s="345">
        <f>Table16[[#This Row],[Total Control Bu MOSFET Loss]]+Table16[[#This Row],[Total Sync Bu MOSFET Loss]]+Table16[[#This Row],[Total Control Bo MOSFET Loss]]+Table16[[#This Row],[Total Sync Bo MOSFET Loss]]+Table16[[#This Row],[Reverse Recovery Loss MOSFET D BUCK]]+Table16[[#This Row],[Reverse Recovery Loss MOSFET D BOOST]]</f>
        <v>2.3502238883626294</v>
      </c>
      <c r="BR181" s="345">
        <f>Table16[[#This Row],[Total Control Bu MOSFET Loss]]+Table16[[#This Row],[Reverse Recovery Loss MOSFET D BUCK]]*0.66</f>
        <v>1.4973688413870005</v>
      </c>
      <c r="BS181" s="345">
        <f>Table16[[#This Row],[Total Sync Bu MOSFET Loss]]+Table16[[#This Row],[Reverse Recovery Loss MOSFET D BUCK]]*0.33</f>
        <v>0.5681082673480905</v>
      </c>
      <c r="BT181" s="345">
        <f xml:space="preserve"> Table16[[#This Row],[Total Control Bo MOSFET Loss]]+Table16[[#This Row],[Reverse Recovery Loss MOSFET D BOOST]]*0.66</f>
        <v>0</v>
      </c>
      <c r="BU181" s="345">
        <f xml:space="preserve"> Table16[[#This Row],[Total Sync Bo MOSFET Loss]]+Table16[[#This Row],[Reverse Recovery Loss MOSFET D BOOST]]*0.33</f>
        <v>0.27905641442753876</v>
      </c>
      <c r="BV181" s="345">
        <f>Table16[[#This Row],[Isense Shunt Loss]]</f>
        <v>4.7836569734242586E-2</v>
      </c>
    </row>
    <row r="182" spans="7:74" x14ac:dyDescent="0.2">
      <c r="G182" s="253">
        <v>173</v>
      </c>
      <c r="H182" s="286">
        <f>VIN_min+(VIN_max-VIN_min)*(Table16[[#This Row],[Step]]/200)</f>
        <v>31.95</v>
      </c>
      <c r="I182" s="292" t="str">
        <f>IF(Mode = 2,IF(Table16[[#This Row],[Vin]]&gt;Vout, "BUCK","BOOST"),IF(Table16[[#This Row],[Vin]]&gt;VIN_BB_to_buck, "BUCK", IF(Table16[[#This Row],[Vin]]&lt;=VIN_boost_to_BB,"BOOST","BUCK-BST")))</f>
        <v>BUCK</v>
      </c>
      <c r="J182" s="253">
        <f>IF(Table16[[#This Row],[Mode]]="BOOST",2, IF(Table16[[#This Row],[Mode]]="BUCK", 1,3))</f>
        <v>1</v>
      </c>
      <c r="K182" s="253">
        <f t="shared" si="7"/>
        <v>8</v>
      </c>
      <c r="L182" s="292">
        <f>Vout*Table16[[#This Row],[Iout]]/(Table16[[#This Row],[Vin]]*Efficiency)</f>
        <v>4.2171155588501774</v>
      </c>
      <c r="M182" s="682">
        <f>MIN(1/Fsw,CHOOSE(Table16[[#This Row],[Mode Digit]],(Vout+(Rdson2+Rs+Rdcr)*Table16[[#This Row],[Iout]])/(Table16[[#This Row],[Vin]]+(Rs+Rdson2-Rdson1)*Table16[[#This Row],[Iout]])/Fsw,(Vout+(Rdson3+Rdcr)*Table16[[#This Row],[Iin]]-Table16[[#This Row],[Vin]])/(Vout+(Rdson3-Rdson4-Rs)*Table16[[#This Row],[Iin]])/Fsw,t1_Ph_II))</f>
        <v>1.2628693334634776E-6</v>
      </c>
      <c r="N182" s="518">
        <f>CHOOSE(Table16[[#This Row],[Mode Digit]],1/Fsw-Table16[[#This Row],[t1_Ph_II]],1/Fsw-Table16[[#This Row],[t1_Ph_II]],(Vout/Fsw-Table16[[#This Row],[Vin]]*t1_Ph_II)/(Table16[[#This Row],[Vin]]+Vout))</f>
        <v>1.2496934806068743E-6</v>
      </c>
      <c r="O182" s="518">
        <f>1/Fsw-(Table16[[#This Row],[t1_Ph_II]]+Table16[[#This Row],[t2_Ph_I]])</f>
        <v>0</v>
      </c>
      <c r="P182"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2.4047872586826484</v>
      </c>
      <c r="Q182" s="292">
        <f>CHOOSE(Table16[[#This Row],[Mode Digit]],Table16[[#This Row],[I_0]]+1/Lf*(Table16[[#This Row],[Vin]]-Vout)*Table16[[#This Row],[t1_Ph_II]],Table16[[#This Row],[I_0]]+1/Lf*Table16[[#This Row],[Vin]]*Table16[[#This Row],[t1_Ph_II]],Table16[[#This Row],[I_0]]+(Table16[[#This Row],[Vin]]-Vout)/L*Table16[[#This Row],[t1_Ph_II]])</f>
        <v>13.595212741317351</v>
      </c>
      <c r="R182" s="292">
        <f>CHOOSE(Table16[[#This Row],[Mode Digit]],0,0,Table16[[#This Row],[I_1]]+Table16[[#This Row],[Vin]]/L*Table16[[#This Row],[t2_Ph_I]])</f>
        <v>0</v>
      </c>
      <c r="S182" s="292">
        <f>Fsw*(Table16[[#This Row],[I_0]]*Table16[[#This Row],[t1_Ph_II]]+Table16[[#This Row],[I_1]]*Table16[[#This Row],[t2_Ph_I]]+Table16[[#This Row],[I_2]]*Table16[[#This Row],[t3_Ph_III]])</f>
        <v>7.9706587634871653</v>
      </c>
      <c r="T182" s="345">
        <f>MIN(1,CHOOSE(Table16[[#This Row],[Mode Digit]],(Vout+(Rdson2+Rs+Rdcr)*Table16[[#This Row],[Iout]])/(Table16[[#This Row],[Vin]]+(Rs+Rdson2-Rdson1)*Table16[[#This Row],[Iout]]),1,Fsw*Table16[[#This Row],[t2_Ph_I]]+Table16[[#This Row],[t1_Ph_II]]))</f>
        <v>0.50262199471846414</v>
      </c>
      <c r="U182" s="345">
        <f>MIN(1,CHOOSE(Table16[[#This Row],[Mode Digit]],0,(Vout+(Rdson3+Rdcr)*Table16[[#This Row],[Iin]]-Table16[[#This Row],[Vin]])/(Vout+(Rdson3-Rdson4-Rs)*Table16[[#This Row],[Iin]]),Fsw*Table16[[#This Row],[t1_Ph_II]]+Table16[[#This Row],[t3_Ph_III]]))</f>
        <v>0</v>
      </c>
      <c r="V182" s="292">
        <f>MAX(Table16[[#This Row],[I_0]:[I_2]])-MIN(Table16[[#This Row],[I_0]:[I_1]])</f>
        <v>11.190425482634701</v>
      </c>
      <c r="W182"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8.6275992338656984</v>
      </c>
      <c r="X182" s="345">
        <f>(Table16[[#This Row],[Irms Lf]]^2*Rdcr*(1+Ltc*Ta-Ltc*25))/(1-Table16[[#This Row],[Irms Lf]]^2*Rdcr*Ltc*ThetaCa)</f>
        <v>0.24282056167213042</v>
      </c>
      <c r="Y182" s="345">
        <f>ABS(7.759*10^-3*Fsw^0.9458*(0.00787*Table16[[#This Row],[Ripple Current pk-pk]])^2.304)</f>
        <v>5.6890992484710088</v>
      </c>
      <c r="Z182" s="345">
        <f>Table16[[#This Row],[DCR    Loss]]+Table16[[#This Row],[Core Loss]]</f>
        <v>5.931919810143139</v>
      </c>
      <c r="AA182" s="292">
        <f>IF(Table16[[#This Row],[Vin]]&gt;Vout, Table16[[#This Row],[Ripple Current pk-pk]]/SQRT(12), SQRT(Table16[[#This Row],[Duty Cycle BOOST Leg]]/(1-Table16[[#This Row],[Duty Cycle BOOST Leg]]))*SQRT(Table16[[#This Row],[Iout]]^2+(Table16[[#This Row],[Ripple Current pk-pk]]^2)/12))</f>
        <v>3.2303975823727966</v>
      </c>
      <c r="AB182" s="345">
        <f>RCoutEsr*Table16[[#This Row],[Irms Cout]]^2</f>
        <v>2.0870937080400019E-2</v>
      </c>
      <c r="AC182" s="345">
        <f>Table16[[#This Row],[Cout ESR Loss]]</f>
        <v>2.0870937080400019E-2</v>
      </c>
      <c r="AD182" s="345">
        <f>IF(Table16[[#This Row],[Vin]]&gt;Vout, SQRT(Table16[[#This Row],[Duty Cycle BUCK Leg]]*(1-Table16[[#This Row],[Duty Cycle BUCK Leg]]))*SQRT(Table16[[#This Row],[Iout]]^2+(Table16[[#This Row],[Ripple Current pk-pk]]^2)/12), Table16[[#This Row],[Ripple Current pk-pk]]/SQRT(12))</f>
        <v>4.3137403030200945</v>
      </c>
      <c r="AE182" s="345">
        <f>RCinEsr*Table16[[#This Row],[Irms Cin]]^2</f>
        <v>3.7216710803799791E-2</v>
      </c>
      <c r="AF182" s="683">
        <f>Table16[[#This Row],[Cin ESR Loss]]</f>
        <v>3.7216710803799791E-2</v>
      </c>
      <c r="AG182"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6.1166088378674992</v>
      </c>
      <c r="AH182" s="345">
        <f>Rdson1*Table16[[#This Row],[Irms BuCtrl]]^2</f>
        <v>0.13094516286417582</v>
      </c>
      <c r="AI182" s="345">
        <f>CHOOSE(Table16[[#This Row],[Mode Digit]], (Table16[[#This Row],[Vin]]*Table16[[#This Row],[Iout]]/2)*(Fsw)*(Tr_buck+Tf_buck), 0, (Table16[[#This Row],[Vin]]*Table16[[#This Row],[Avg IL]]/2)*(Fsw/1)*(Tr_buck+Tf_buck))</f>
        <v>0.95658535106199527</v>
      </c>
      <c r="AJ182" s="253">
        <f>IF(Table16[[#This Row],[Vin]]&gt;Vout, IF(Table16[[#This Row],[Iout]]&gt;Table16[[#This Row],[Ripple Current pk-pk]]/2,0,ABS(Table16[[#This Row],[Iout]]-Table16[[#This Row],[Ripple Current pk-pk]]/2)*Vsd_Q1*Deadtime*Fsw),0)</f>
        <v>0</v>
      </c>
      <c r="AK182" s="345">
        <f>(Table16[[#This Row],[Dead Time Loss BuCtrl]]+Table16[[#This Row],[Transition Loss BuCtrl]]+Table16[[#This Row],[RDS(on) Loss BuCtrl]]*(1+RdsonTopTc*Ta-RdsonTopTc*25))/(1-Table16[[#This Row],[RDS(on) Loss BuCtrl]]*RdsonTopTc*ThetaJA_Q1)</f>
        <v>1.1258612975794133</v>
      </c>
      <c r="AL182" s="345">
        <f>CHOOSE(Table16[[#This Row],[Mode Digit]],SQRT((Fsw*(Table16[[#This Row],[t2_Ph_I]]+0))*((Table16[[#This Row],[I_0]]*Table16[[#This Row],[I_1]]+((Table16[[#This Row],[I_0]]-Table16[[#This Row],[I_1]])^2)/3))),0,SQRT((Fsw*(Table16[[#This Row],[t3_Ph_III]]+0))*((Table16[[#This Row],[I_0]]*Table16[[#This Row],[I_2]]+((Table16[[#This Row],[I_0]]-Table16[[#This Row],[I_2]])^2)/3))))</f>
        <v>6.084617068043082</v>
      </c>
      <c r="AM182" s="345">
        <f>Rdson2*Table16[[#This Row],[Irms BuSync]]^2</f>
        <v>0.12957897702652416</v>
      </c>
      <c r="AN182"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82" s="345">
        <f>(Table16[[#This Row],[Deadtime Loss BuSync]]+Table16[[#This Row],[RDS(on) Loss BuSync]]*(1+RdsonBotTc*Ta-RdsonBotTc*25))/(1-Table16[[#This Row],[RDS(on) Loss BuSync]]*RdsonBotTc*ThetaJA_Q2)</f>
        <v>0.38122256895781831</v>
      </c>
      <c r="AP182" s="345">
        <f>CHOOSE(Table16[[#This Row],[Mode Digit]],0,SQRT((Fsw*(Table16[[#This Row],[t1_Ph_II]]+0))*((Table16[[#This Row],[I_0]]*Table16[[#This Row],[I_1]]+((Table16[[#This Row],[I_0]]-Table16[[#This Row],[I_1]])^2)/3))),SQRT((Fsw*(Table16[[#This Row],[t2_Ph_I]]+0))*((Table16[[#This Row],[I_1]]*Table16[[#This Row],[I_2]]+((Table16[[#This Row],[I_1]]-Table16[[#This Row],[I_2]])^2)/3))))</f>
        <v>0</v>
      </c>
      <c r="AQ182" s="345">
        <f>Rdson4*Table16[[#This Row],[Irms BoCtlr]]^2</f>
        <v>0</v>
      </c>
      <c r="AR182" s="345">
        <f>CHOOSE(Table16[[#This Row],[Mode Digit]], 0, (Vout*Table16[[#This Row],[Iin]]/2)*(Fsw)*(Tr_boost+Tf_boost), (Vout*Iout/2)*(Fsw/1)*(Tr_boost+Tf_boost))</f>
        <v>0</v>
      </c>
      <c r="AS182" s="253">
        <f>IF(Table16[[#This Row],[Vin]]&gt;Vout, 0, IF(Table16[[#This Row],[Iin]]&gt;Table16[[#This Row],[Ripple Current pk-pk]]/2,0,ABS(Table16[[#This Row],[Iin]]-Table16[[#This Row],[Ripple Current pk-pk]]/2)*Vsd_Q4*Deadtime*Fsw))</f>
        <v>0</v>
      </c>
      <c r="AT182" s="345">
        <f>(Table16[[#This Row],[Dead Time Loss BoCtlr]]+Table16[[#This Row],[Transition Loss BoCtlr]]+Table16[[#This Row],[RDS(on) Loss BoCtlr]]*(1+RdsonTopTc*Ta-RdsonTopTc*25))/(1-Table16[[#This Row],[RDS(on) Loss BoCtlr]]*RdsonTopTc*ThetaJA_Q4)</f>
        <v>0</v>
      </c>
      <c r="AU182"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8.6275992338656984</v>
      </c>
      <c r="AV182" s="345">
        <f>Rdson3*Table16[[#This Row],[Irms BoSync]]^2</f>
        <v>0.2605241398907</v>
      </c>
      <c r="AW182"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82" s="345">
        <f>(Table16[[#This Row],[Deadtime Loss BoSync]]+Table16[[#This Row],[RDS(on) Loss BoSync]]*(1+RdsonBotTc*Ta-RdsonBotTc*25))/(1-Table16[[#This Row],[RDS(on) Loss BoSync]]*RdsonBotTc*ThetaJA_Q3)</f>
        <v>0.27945326337136311</v>
      </c>
      <c r="AY182" s="345">
        <f>CHOOSE(Table16[[#This Row],[Mode Digit]], Rdson3*Table16[[#This Row],[Irms Lf]]^2, Rdson1*Table16[[#This Row],[Irms Lf]]^2, 0)</f>
        <v>0.2605241398907</v>
      </c>
      <c r="AZ182" s="345">
        <f>CHOOSE(Table16[[#This Row],[Mode Digit]], 2*Deadtime*Fsw*IF(VfdSky_Q2&gt;0,VfdSky_Q2,0)*Table16[[#This Row],[Iout]], 2*Deadtime*Fsw*IF(VfdSky_Q3&gt;0,VfdSky_Q3,0)*Table16[[#This Row],[Iin]], 2*Deadtime*Fsw*IF(VfdSky_Q2&gt;0,VfdSky_Q2,0)*Table16[[#This Row],[Iout]]+2*Deadtime*Fsw*IF(VfdSky_Q3&gt;0,VfdSky_Q3,0)*Table16[[#This Row],[Iin]])</f>
        <v>0</v>
      </c>
      <c r="BA182" s="345">
        <f>CHOOSE(Table16[[#This Row],[Mode Digit]], IF(QrrSky_Q2&gt;0,QrrSky_Q2,Qrr_Q2)*Fsw*(Table16[[#This Row],[Vin]]-Table16[[#This Row],[Iout]]*Rdson1),0,  IF(QrrSky_Q2&gt;0,QrrSky_Q2,Qrr_Q2)*Fsw*(Table16[[#This Row],[Vin]]-Table16[[#This Row],[Iout]]*Rdson1)+IF(QrrSky_Q3&gt;0,QrrSky_Q3,Qrr_Q3)*Fsw*Vout)</f>
        <v>0.57172301999999997</v>
      </c>
      <c r="BB182" s="345">
        <f>CHOOSE(Table16[[#This Row],[Mode Digit]],0, IF(QrrSky_Q3&gt;0,QrrSky_Q3,Qrr_Q3)*Fsw*Vout,  IF(QrrSky_Q2&gt;0,QrrSky_Q2,Qrr_Q2)*Fsw*(Table16[[#This Row],[Vin]]-Table16[[#This Row],[Iout]]*Rdson1)+IF(QrrSky_Q3&gt;0,QrrSky_Q3,Qrr_Q3)*Fsw*Vout)</f>
        <v>0</v>
      </c>
      <c r="BC182" s="345">
        <f>CHOOSE(Table16[[#This Row],[Mode Digit]], Rs*Table16[[#This Row],[Irms BuSync]]^2, Rs*Table16[[#This Row],[Irms BoCtlr]]^2, Rs*(Table16[[#This Row],[Irms BuSync]]^2+Table16[[#This Row],[Irms BoCtlr]]^2))</f>
        <v>4.8129334324137546E-2</v>
      </c>
      <c r="BD182" s="345">
        <f t="shared" si="8"/>
        <v>0.64</v>
      </c>
      <c r="BE182" s="345">
        <f>IF(Vout&gt;8, Iq*Vout, Iq*Table16[[#This Row],[Vin]])</f>
        <v>4.8000000000000001E-2</v>
      </c>
      <c r="BF182" s="345">
        <f>CHOOSE(Table16[[#This Row],[Mode Digit]], (Qg_Q1+Qg_Q2)*Fsw, (Qg_Q3+Qg_Q4)*Fsw, (Qg_Q1+Qg_Q2+Qg_Q3+Qg_Q4)*Fsw)*IF(Vout&gt;8, Vout, Table16[[#This Row],[Vin]])</f>
        <v>0.85331200000000007</v>
      </c>
      <c r="BG182" s="345">
        <f t="shared" si="9"/>
        <v>0.50594479787234037</v>
      </c>
      <c r="BH182" s="345">
        <f>Table16[[#This Row],[IQ Loss]]+Table16[[#This Row],[Switching Current Loss]]</f>
        <v>0.90131200000000011</v>
      </c>
      <c r="BI182"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9.9377089422600715</v>
      </c>
      <c r="BJ182" s="253">
        <f>Vout*Table16[[#This Row],[Iout]]</f>
        <v>128</v>
      </c>
      <c r="BK182" s="684">
        <f>Table16[[#This Row],[Pout]]/(Table16[[#This Row],[Pout]]+Table16[[#This Row],[Total Loss]])</f>
        <v>0.92795509640935148</v>
      </c>
      <c r="BL182"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73.180984342661873</v>
      </c>
      <c r="BM182" s="685">
        <f>IF(Table16[[#This Row],[Vin]]&gt;Vout, Table16[[#This Row],[Total Sync Bu MOSFET Loss]]*ThetaJA_Q2, ThetaJA_Q3*Table16[[#This Row],[Total Sync Bo MOSFET Loss]])</f>
        <v>24.779466982258189</v>
      </c>
      <c r="BN182" s="640"/>
      <c r="BO182" s="292">
        <f>Table16[[#This Row],[EFF, h]]*100</f>
        <v>92.795509640935151</v>
      </c>
      <c r="BP182" s="345">
        <f>Table16[[#This Row],[Total Inductor Loss]]</f>
        <v>5.931919810143139</v>
      </c>
      <c r="BQ182" s="345">
        <f>Table16[[#This Row],[Total Control Bu MOSFET Loss]]+Table16[[#This Row],[Total Sync Bu MOSFET Loss]]+Table16[[#This Row],[Total Control Bo MOSFET Loss]]+Table16[[#This Row],[Total Sync Bo MOSFET Loss]]+Table16[[#This Row],[Reverse Recovery Loss MOSFET D BUCK]]+Table16[[#This Row],[Reverse Recovery Loss MOSFET D BOOST]]</f>
        <v>2.3582601499085949</v>
      </c>
      <c r="BR182" s="345">
        <f>Table16[[#This Row],[Total Control Bu MOSFET Loss]]+Table16[[#This Row],[Reverse Recovery Loss MOSFET D BUCK]]*0.66</f>
        <v>1.5031984907794134</v>
      </c>
      <c r="BS182" s="345">
        <f>Table16[[#This Row],[Total Sync Bu MOSFET Loss]]+Table16[[#This Row],[Reverse Recovery Loss MOSFET D BUCK]]*0.33</f>
        <v>0.56989116555781827</v>
      </c>
      <c r="BT182" s="345">
        <f xml:space="preserve"> Table16[[#This Row],[Total Control Bo MOSFET Loss]]+Table16[[#This Row],[Reverse Recovery Loss MOSFET D BOOST]]*0.66</f>
        <v>0</v>
      </c>
      <c r="BU182" s="345">
        <f xml:space="preserve"> Table16[[#This Row],[Total Sync Bo MOSFET Loss]]+Table16[[#This Row],[Reverse Recovery Loss MOSFET D BOOST]]*0.33</f>
        <v>0.27945326337136311</v>
      </c>
      <c r="BV182" s="345">
        <f>Table16[[#This Row],[Isense Shunt Loss]]</f>
        <v>4.8129334324137546E-2</v>
      </c>
    </row>
    <row r="183" spans="7:74" x14ac:dyDescent="0.2">
      <c r="G183" s="253">
        <v>174</v>
      </c>
      <c r="H183" s="286">
        <f>VIN_min+(VIN_max-VIN_min)*(Table16[[#This Row],[Step]]/200)</f>
        <v>32.1</v>
      </c>
      <c r="I183" s="292" t="str">
        <f>IF(Mode = 2,IF(Table16[[#This Row],[Vin]]&gt;Vout, "BUCK","BOOST"),IF(Table16[[#This Row],[Vin]]&gt;VIN_BB_to_buck, "BUCK", IF(Table16[[#This Row],[Vin]]&lt;=VIN_boost_to_BB,"BOOST","BUCK-BST")))</f>
        <v>BUCK</v>
      </c>
      <c r="J183" s="253">
        <f>IF(Table16[[#This Row],[Mode]]="BOOST",2, IF(Table16[[#This Row],[Mode]]="BUCK", 1,3))</f>
        <v>1</v>
      </c>
      <c r="K183" s="253">
        <f t="shared" si="7"/>
        <v>8</v>
      </c>
      <c r="L183" s="292">
        <f>Vout*Table16[[#This Row],[Iout]]/(Table16[[#This Row],[Vin]]*Efficiency)</f>
        <v>4.1974094113789144</v>
      </c>
      <c r="M183" s="682">
        <f>MIN(1/Fsw,CHOOSE(Table16[[#This Row],[Mode Digit]],(Vout+(Rdson2+Rs+Rdcr)*Table16[[#This Row],[Iout]])/(Table16[[#This Row],[Vin]]+(Rs+Rdson2-Rdson1)*Table16[[#This Row],[Iout]])/Fsw,(Vout+(Rdson3+Rdcr)*Table16[[#This Row],[Iin]]-Table16[[#This Row],[Vin]])/(Vout+(Rdson3-Rdson4-Rs)*Table16[[#This Row],[Iin]])/Fsw,t1_Ph_II))</f>
        <v>1.2569699862108891E-6</v>
      </c>
      <c r="N183" s="518">
        <f>CHOOSE(Table16[[#This Row],[Mode Digit]],1/Fsw-Table16[[#This Row],[t1_Ph_II]],1/Fsw-Table16[[#This Row],[t1_Ph_II]],(Vout/Fsw-Table16[[#This Row],[Vin]]*t1_Ph_II)/(Table16[[#This Row],[Vin]]+Vout))</f>
        <v>1.2555928278594628E-6</v>
      </c>
      <c r="O183" s="518">
        <f>1/Fsw-(Table16[[#This Row],[t1_Ph_II]]+Table16[[#This Row],[t2_Ph_I]])</f>
        <v>0</v>
      </c>
      <c r="P183"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2.3785508950013012</v>
      </c>
      <c r="Q183" s="292">
        <f>CHOOSE(Table16[[#This Row],[Mode Digit]],Table16[[#This Row],[I_0]]+1/Lf*(Table16[[#This Row],[Vin]]-Vout)*Table16[[#This Row],[t1_Ph_II]],Table16[[#This Row],[I_0]]+1/Lf*Table16[[#This Row],[Vin]]*Table16[[#This Row],[t1_Ph_II]],Table16[[#This Row],[I_0]]+(Table16[[#This Row],[Vin]]-Vout)/L*Table16[[#This Row],[t1_Ph_II]])</f>
        <v>13.6214491049987</v>
      </c>
      <c r="R183" s="292">
        <f>CHOOSE(Table16[[#This Row],[Mode Digit]],0,0,Table16[[#This Row],[I_1]]+Table16[[#This Row],[Vin]]/L*Table16[[#This Row],[t2_Ph_I]])</f>
        <v>0</v>
      </c>
      <c r="S183" s="292">
        <f>Fsw*(Table16[[#This Row],[I_0]]*Table16[[#This Row],[t1_Ph_II]]+Table16[[#This Row],[I_1]]*Table16[[#This Row],[t2_Ph_I]]+Table16[[#This Row],[I_2]]*Table16[[#This Row],[t3_Ph_III]])</f>
        <v>7.9969188330183378</v>
      </c>
      <c r="T183" s="345">
        <f>MIN(1,CHOOSE(Table16[[#This Row],[Mode Digit]],(Vout+(Rdson2+Rs+Rdcr)*Table16[[#This Row],[Iout]])/(Table16[[#This Row],[Vin]]+(Rs+Rdson2-Rdson1)*Table16[[#This Row],[Iout]]),1,Fsw*Table16[[#This Row],[t2_Ph_I]]+Table16[[#This Row],[t1_Ph_II]]))</f>
        <v>0.50027405451193385</v>
      </c>
      <c r="U183" s="345">
        <f>MIN(1,CHOOSE(Table16[[#This Row],[Mode Digit]],0,(Vout+(Rdson3+Rdcr)*Table16[[#This Row],[Iin]]-Table16[[#This Row],[Vin]])/(Vout+(Rdson3-Rdson4-Rs)*Table16[[#This Row],[Iin]]),Fsw*Table16[[#This Row],[t1_Ph_II]]+Table16[[#This Row],[t3_Ph_III]]))</f>
        <v>0</v>
      </c>
      <c r="V183" s="292">
        <f>MAX(Table16[[#This Row],[I_0]:[I_2]])-MIN(Table16[[#This Row],[I_0]:[I_1]])</f>
        <v>11.242898209997399</v>
      </c>
      <c r="W183"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8.633282304355447</v>
      </c>
      <c r="X183" s="345">
        <f>(Table16[[#This Row],[Irms Lf]]^2*Rdcr*(1+Ltc*Ta-Ltc*25))/(1-Table16[[#This Row],[Irms Lf]]^2*Rdcr*Ltc*ThetaCa)</f>
        <v>0.24314678740879109</v>
      </c>
      <c r="Y183" s="345">
        <f>ABS(7.759*10^-3*Fsw^0.9458*(0.00787*Table16[[#This Row],[Ripple Current pk-pk]])^2.304)</f>
        <v>5.7507501432836925</v>
      </c>
      <c r="Z183" s="345">
        <f>Table16[[#This Row],[DCR    Loss]]+Table16[[#This Row],[Core Loss]]</f>
        <v>5.9938969306924834</v>
      </c>
      <c r="AA183" s="292">
        <f>IF(Table16[[#This Row],[Vin]]&gt;Vout, Table16[[#This Row],[Ripple Current pk-pk]]/SQRT(12), SQRT(Table16[[#This Row],[Duty Cycle BOOST Leg]]/(1-Table16[[#This Row],[Duty Cycle BOOST Leg]]))*SQRT(Table16[[#This Row],[Iout]]^2+(Table16[[#This Row],[Ripple Current pk-pk]]^2)/12))</f>
        <v>3.2455451540067801</v>
      </c>
      <c r="AB183" s="345">
        <f>RCoutEsr*Table16[[#This Row],[Irms Cout]]^2</f>
        <v>2.1067126693393789E-2</v>
      </c>
      <c r="AC183" s="345">
        <f>Table16[[#This Row],[Cout ESR Loss]]</f>
        <v>2.1067126693393789E-2</v>
      </c>
      <c r="AD183" s="345">
        <f>IF(Table16[[#This Row],[Vin]]&gt;Vout, SQRT(Table16[[#This Row],[Duty Cycle BUCK Leg]]*(1-Table16[[#This Row],[Duty Cycle BUCK Leg]]))*SQRT(Table16[[#This Row],[Iout]]^2+(Table16[[#This Row],[Ripple Current pk-pk]]^2)/12), Table16[[#This Row],[Ripple Current pk-pk]]/SQRT(12))</f>
        <v>4.3166405037674487</v>
      </c>
      <c r="AE183" s="345">
        <f>RCinEsr*Table16[[#This Row],[Irms Cin]]^2</f>
        <v>3.7266770477531387E-2</v>
      </c>
      <c r="AF183" s="683">
        <f>Table16[[#This Row],[Cin ESR Loss]]</f>
        <v>3.7266770477531387E-2</v>
      </c>
      <c r="AG183"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6.1063252396735406</v>
      </c>
      <c r="AH183" s="345">
        <f>Rdson1*Table16[[#This Row],[Irms BuCtrl]]^2</f>
        <v>0.13050522776435944</v>
      </c>
      <c r="AI183" s="345">
        <f>CHOOSE(Table16[[#This Row],[Mode Digit]], (Table16[[#This Row],[Vin]]*Table16[[#This Row],[Iout]]/2)*(Fsw)*(Tr_buck+Tf_buck), 0, (Table16[[#This Row],[Vin]]*Table16[[#This Row],[Avg IL]]/2)*(Fsw/1)*(Tr_buck+Tf_buck))</f>
        <v>0.96107636209984504</v>
      </c>
      <c r="AJ183" s="253">
        <f>IF(Table16[[#This Row],[Vin]]&gt;Vout, IF(Table16[[#This Row],[Iout]]&gt;Table16[[#This Row],[Ripple Current pk-pk]]/2,0,ABS(Table16[[#This Row],[Iout]]-Table16[[#This Row],[Ripple Current pk-pk]]/2)*Vsd_Q1*Deadtime*Fsw),0)</f>
        <v>0</v>
      </c>
      <c r="AK183" s="345">
        <f>(Table16[[#This Row],[Dead Time Loss BuCtrl]]+Table16[[#This Row],[Transition Loss BuCtrl]]+Table16[[#This Row],[RDS(on) Loss BuCtrl]]*(1+RdsonTopTc*Ta-RdsonTopTc*25))/(1-Table16[[#This Row],[RDS(on) Loss BuCtrl]]*RdsonTopTc*ThetaJA_Q1)</f>
        <v>1.1299213573286415</v>
      </c>
      <c r="AL183" s="345">
        <f>CHOOSE(Table16[[#This Row],[Mode Digit]],SQRT((Fsw*(Table16[[#This Row],[t2_Ph_I]]+0))*((Table16[[#This Row],[I_0]]*Table16[[#This Row],[I_1]]+((Table16[[#This Row],[I_0]]-Table16[[#This Row],[I_1]])^2)/3))),0,SQRT((Fsw*(Table16[[#This Row],[t3_Ph_III]]+0))*((Table16[[#This Row],[I_0]]*Table16[[#This Row],[I_2]]+((Table16[[#This Row],[I_0]]-Table16[[#This Row],[I_2]])^2)/3))))</f>
        <v>6.1029792244462691</v>
      </c>
      <c r="AM183" s="345">
        <f>Rdson2*Table16[[#This Row],[Irms BuSync]]^2</f>
        <v>0.13036224394907975</v>
      </c>
      <c r="AN183"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83" s="345">
        <f>(Table16[[#This Row],[Deadtime Loss BuSync]]+Table16[[#This Row],[RDS(on) Loss BuSync]]*(1+RdsonBotTc*Ta-RdsonBotTc*25))/(1-Table16[[#This Row],[RDS(on) Loss BuSync]]*RdsonBotTc*ThetaJA_Q2)</f>
        <v>0.38211367493727744</v>
      </c>
      <c r="AP183" s="345">
        <f>CHOOSE(Table16[[#This Row],[Mode Digit]],0,SQRT((Fsw*(Table16[[#This Row],[t1_Ph_II]]+0))*((Table16[[#This Row],[I_0]]*Table16[[#This Row],[I_1]]+((Table16[[#This Row],[I_0]]-Table16[[#This Row],[I_1]])^2)/3))),SQRT((Fsw*(Table16[[#This Row],[t2_Ph_I]]+0))*((Table16[[#This Row],[I_1]]*Table16[[#This Row],[I_2]]+((Table16[[#This Row],[I_1]]-Table16[[#This Row],[I_2]])^2)/3))))</f>
        <v>0</v>
      </c>
      <c r="AQ183" s="345">
        <f>Rdson4*Table16[[#This Row],[Irms BoCtlr]]^2</f>
        <v>0</v>
      </c>
      <c r="AR183" s="345">
        <f>CHOOSE(Table16[[#This Row],[Mode Digit]], 0, (Vout*Table16[[#This Row],[Iin]]/2)*(Fsw)*(Tr_boost+Tf_boost), (Vout*Iout/2)*(Fsw/1)*(Tr_boost+Tf_boost))</f>
        <v>0</v>
      </c>
      <c r="AS183" s="253">
        <f>IF(Table16[[#This Row],[Vin]]&gt;Vout, 0, IF(Table16[[#This Row],[Iin]]&gt;Table16[[#This Row],[Ripple Current pk-pk]]/2,0,ABS(Table16[[#This Row],[Iin]]-Table16[[#This Row],[Ripple Current pk-pk]]/2)*Vsd_Q4*Deadtime*Fsw))</f>
        <v>0</v>
      </c>
      <c r="AT183" s="345">
        <f>(Table16[[#This Row],[Dead Time Loss BoCtlr]]+Table16[[#This Row],[Transition Loss BoCtlr]]+Table16[[#This Row],[RDS(on) Loss BoCtlr]]*(1+RdsonTopTc*Ta-RdsonTopTc*25))/(1-Table16[[#This Row],[RDS(on) Loss BoCtlr]]*RdsonTopTc*ThetaJA_Q4)</f>
        <v>0</v>
      </c>
      <c r="AU183"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8.633282304355447</v>
      </c>
      <c r="AV183" s="345">
        <f>Rdson3*Table16[[#This Row],[Irms BoSync]]^2</f>
        <v>0.26086747171343916</v>
      </c>
      <c r="AW183"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83" s="345">
        <f>(Table16[[#This Row],[Deadtime Loss BoSync]]+Table16[[#This Row],[RDS(on) Loss BoSync]]*(1+RdsonBotTc*Ta-RdsonBotTc*25))/(1-Table16[[#This Row],[RDS(on) Loss BoSync]]*RdsonBotTc*ThetaJA_Q3)</f>
        <v>0.27984833703100631</v>
      </c>
      <c r="AY183" s="345">
        <f>CHOOSE(Table16[[#This Row],[Mode Digit]], Rdson3*Table16[[#This Row],[Irms Lf]]^2, Rdson1*Table16[[#This Row],[Irms Lf]]^2, 0)</f>
        <v>0.26086747171343916</v>
      </c>
      <c r="AZ183" s="345">
        <f>CHOOSE(Table16[[#This Row],[Mode Digit]], 2*Deadtime*Fsw*IF(VfdSky_Q2&gt;0,VfdSky_Q2,0)*Table16[[#This Row],[Iout]], 2*Deadtime*Fsw*IF(VfdSky_Q3&gt;0,VfdSky_Q3,0)*Table16[[#This Row],[Iin]], 2*Deadtime*Fsw*IF(VfdSky_Q2&gt;0,VfdSky_Q2,0)*Table16[[#This Row],[Iout]]+2*Deadtime*Fsw*IF(VfdSky_Q3&gt;0,VfdSky_Q3,0)*Table16[[#This Row],[Iin]])</f>
        <v>0</v>
      </c>
      <c r="BA183" s="345">
        <f>CHOOSE(Table16[[#This Row],[Mode Digit]], IF(QrrSky_Q2&gt;0,QrrSky_Q2,Qrr_Q2)*Fsw*(Table16[[#This Row],[Vin]]-Table16[[#This Row],[Iout]]*Rdson1),0,  IF(QrrSky_Q2&gt;0,QrrSky_Q2,Qrr_Q2)*Fsw*(Table16[[#This Row],[Vin]]-Table16[[#This Row],[Iout]]*Rdson1)+IF(QrrSky_Q3&gt;0,QrrSky_Q3,Qrr_Q3)*Fsw*Vout)</f>
        <v>0.57440952000000001</v>
      </c>
      <c r="BB183" s="345">
        <f>CHOOSE(Table16[[#This Row],[Mode Digit]],0, IF(QrrSky_Q3&gt;0,QrrSky_Q3,Qrr_Q3)*Fsw*Vout,  IF(QrrSky_Q2&gt;0,QrrSky_Q2,Qrr_Q2)*Fsw*(Table16[[#This Row],[Vin]]-Table16[[#This Row],[Iout]]*Rdson1)+IF(QrrSky_Q3&gt;0,QrrSky_Q3,Qrr_Q3)*Fsw*Vout)</f>
        <v>0</v>
      </c>
      <c r="BC183" s="345">
        <f>CHOOSE(Table16[[#This Row],[Mode Digit]], Rs*Table16[[#This Row],[Irms BuSync]]^2, Rs*Table16[[#This Row],[Irms BoCtlr]]^2, Rs*(Table16[[#This Row],[Irms BuSync]]^2+Table16[[#This Row],[Irms BoCtlr]]^2))</f>
        <v>4.8420262038229619E-2</v>
      </c>
      <c r="BD183" s="345">
        <f t="shared" si="8"/>
        <v>0.64</v>
      </c>
      <c r="BE183" s="345">
        <f>IF(Vout&gt;8, Iq*Vout, Iq*Table16[[#This Row],[Vin]])</f>
        <v>4.8000000000000001E-2</v>
      </c>
      <c r="BF183" s="345">
        <f>CHOOSE(Table16[[#This Row],[Mode Digit]], (Qg_Q1+Qg_Q2)*Fsw, (Qg_Q3+Qg_Q4)*Fsw, (Qg_Q1+Qg_Q2+Qg_Q3+Qg_Q4)*Fsw)*IF(Vout&gt;8, Vout, Table16[[#This Row],[Vin]])</f>
        <v>0.85331200000000007</v>
      </c>
      <c r="BG183" s="345">
        <f t="shared" si="9"/>
        <v>0.50594479787234037</v>
      </c>
      <c r="BH183" s="345">
        <f>Table16[[#This Row],[IQ Loss]]+Table16[[#This Row],[Switching Current Loss]]</f>
        <v>0.90131200000000011</v>
      </c>
      <c r="BI183"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10.008255979198564</v>
      </c>
      <c r="BJ183" s="253">
        <f>Vout*Table16[[#This Row],[Iout]]</f>
        <v>128</v>
      </c>
      <c r="BK183" s="684">
        <f>Table16[[#This Row],[Pout]]/(Table16[[#This Row],[Pout]]+Table16[[#This Row],[Total Loss]])</f>
        <v>0.92748074448019202</v>
      </c>
      <c r="BL183"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73.444888226361698</v>
      </c>
      <c r="BM183" s="685">
        <f>IF(Table16[[#This Row],[Vin]]&gt;Vout, Table16[[#This Row],[Total Sync Bu MOSFET Loss]]*ThetaJA_Q2, ThetaJA_Q3*Table16[[#This Row],[Total Sync Bo MOSFET Loss]])</f>
        <v>24.837388870923032</v>
      </c>
      <c r="BN183" s="640"/>
      <c r="BO183" s="292">
        <f>Table16[[#This Row],[EFF, h]]*100</f>
        <v>92.748074448019196</v>
      </c>
      <c r="BP183" s="345">
        <f>Table16[[#This Row],[Total Inductor Loss]]</f>
        <v>5.9938969306924834</v>
      </c>
      <c r="BQ183" s="345">
        <f>Table16[[#This Row],[Total Control Bu MOSFET Loss]]+Table16[[#This Row],[Total Sync Bu MOSFET Loss]]+Table16[[#This Row],[Total Control Bo MOSFET Loss]]+Table16[[#This Row],[Total Sync Bo MOSFET Loss]]+Table16[[#This Row],[Reverse Recovery Loss MOSFET D BUCK]]+Table16[[#This Row],[Reverse Recovery Loss MOSFET D BOOST]]</f>
        <v>2.3662928892969251</v>
      </c>
      <c r="BR183" s="345">
        <f>Table16[[#This Row],[Total Control Bu MOSFET Loss]]+Table16[[#This Row],[Reverse Recovery Loss MOSFET D BUCK]]*0.66</f>
        <v>1.5090316405286415</v>
      </c>
      <c r="BS183" s="345">
        <f>Table16[[#This Row],[Total Sync Bu MOSFET Loss]]+Table16[[#This Row],[Reverse Recovery Loss MOSFET D BUCK]]*0.33</f>
        <v>0.57166881653727741</v>
      </c>
      <c r="BT183" s="345">
        <f xml:space="preserve"> Table16[[#This Row],[Total Control Bo MOSFET Loss]]+Table16[[#This Row],[Reverse Recovery Loss MOSFET D BOOST]]*0.66</f>
        <v>0</v>
      </c>
      <c r="BU183" s="345">
        <f xml:space="preserve"> Table16[[#This Row],[Total Sync Bo MOSFET Loss]]+Table16[[#This Row],[Reverse Recovery Loss MOSFET D BOOST]]*0.33</f>
        <v>0.27984833703100631</v>
      </c>
      <c r="BV183" s="345">
        <f>Table16[[#This Row],[Isense Shunt Loss]]</f>
        <v>4.8420262038229619E-2</v>
      </c>
    </row>
    <row r="184" spans="7:74" x14ac:dyDescent="0.2">
      <c r="G184" s="253">
        <v>175</v>
      </c>
      <c r="H184" s="286">
        <f>VIN_min+(VIN_max-VIN_min)*(Table16[[#This Row],[Step]]/200)</f>
        <v>32.25</v>
      </c>
      <c r="I184" s="292" t="str">
        <f>IF(Mode = 2,IF(Table16[[#This Row],[Vin]]&gt;Vout, "BUCK","BOOST"),IF(Table16[[#This Row],[Vin]]&gt;VIN_BB_to_buck, "BUCK", IF(Table16[[#This Row],[Vin]]&lt;=VIN_boost_to_BB,"BOOST","BUCK-BST")))</f>
        <v>BUCK</v>
      </c>
      <c r="J184" s="253">
        <f>IF(Table16[[#This Row],[Mode]]="BOOST",2, IF(Table16[[#This Row],[Mode]]="BUCK", 1,3))</f>
        <v>1</v>
      </c>
      <c r="K184" s="253">
        <f t="shared" si="7"/>
        <v>8</v>
      </c>
      <c r="L184" s="292">
        <f>Vout*Table16[[#This Row],[Iout]]/(Table16[[#This Row],[Vin]]*Efficiency)</f>
        <v>4.177886576907385</v>
      </c>
      <c r="M184" s="682">
        <f>MIN(1/Fsw,CHOOSE(Table16[[#This Row],[Mode Digit]],(Vout+(Rdson2+Rs+Rdcr)*Table16[[#This Row],[Iout]])/(Table16[[#This Row],[Vin]]+(Rs+Rdson2-Rdson1)*Table16[[#This Row],[Iout]])/Fsw,(Vout+(Rdson3+Rdcr)*Table16[[#This Row],[Iin]]-Table16[[#This Row],[Vin]])/(Vout+(Rdson3-Rdson4-Rs)*Table16[[#This Row],[Iin]])/Fsw,t1_Ph_II))</f>
        <v>1.2511254989158886E-6</v>
      </c>
      <c r="N184" s="518">
        <f>CHOOSE(Table16[[#This Row],[Mode Digit]],1/Fsw-Table16[[#This Row],[t1_Ph_II]],1/Fsw-Table16[[#This Row],[t1_Ph_II]],(Vout/Fsw-Table16[[#This Row],[Vin]]*t1_Ph_II)/(Table16[[#This Row],[Vin]]+Vout))</f>
        <v>1.2614373151544633E-6</v>
      </c>
      <c r="O184" s="518">
        <f>1/Fsw-(Table16[[#This Row],[t1_Ph_II]]+Table16[[#This Row],[t2_Ph_I]])</f>
        <v>0</v>
      </c>
      <c r="P184"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2.3525585118380041</v>
      </c>
      <c r="Q184" s="292">
        <f>CHOOSE(Table16[[#This Row],[Mode Digit]],Table16[[#This Row],[I_0]]+1/Lf*(Table16[[#This Row],[Vin]]-Vout)*Table16[[#This Row],[t1_Ph_II]],Table16[[#This Row],[I_0]]+1/Lf*Table16[[#This Row],[Vin]]*Table16[[#This Row],[t1_Ph_II]],Table16[[#This Row],[I_0]]+(Table16[[#This Row],[Vin]]-Vout)/L*Table16[[#This Row],[t1_Ph_II]])</f>
        <v>13.647441488161995</v>
      </c>
      <c r="R184" s="292">
        <f>CHOOSE(Table16[[#This Row],[Mode Digit]],0,0,Table16[[#This Row],[I_1]]+Table16[[#This Row],[Vin]]/L*Table16[[#This Row],[t2_Ph_I]])</f>
        <v>0</v>
      </c>
      <c r="S184" s="292">
        <f>Fsw*(Table16[[#This Row],[I_0]]*Table16[[#This Row],[t1_Ph_II]]+Table16[[#This Row],[I_1]]*Table16[[#This Row],[t2_Ph_I]]+Table16[[#This Row],[I_2]]*Table16[[#This Row],[t3_Ph_III]])</f>
        <v>8.0231776807799235</v>
      </c>
      <c r="T184" s="345">
        <f>MIN(1,CHOOSE(Table16[[#This Row],[Mode Digit]],(Vout+(Rdson2+Rs+Rdcr)*Table16[[#This Row],[Iout]])/(Table16[[#This Row],[Vin]]+(Rs+Rdson2-Rdson1)*Table16[[#This Row],[Iout]]),1,Fsw*Table16[[#This Row],[t2_Ph_I]]+Table16[[#This Row],[t1_Ph_II]]))</f>
        <v>0.4979479485685237</v>
      </c>
      <c r="U184" s="345">
        <f>MIN(1,CHOOSE(Table16[[#This Row],[Mode Digit]],0,(Vout+(Rdson3+Rdcr)*Table16[[#This Row],[Iin]]-Table16[[#This Row],[Vin]])/(Vout+(Rdson3-Rdson4-Rs)*Table16[[#This Row],[Iin]]),Fsw*Table16[[#This Row],[t1_Ph_II]]+Table16[[#This Row],[t3_Ph_III]]))</f>
        <v>0</v>
      </c>
      <c r="V184" s="292">
        <f>MAX(Table16[[#This Row],[I_0]:[I_2]])-MIN(Table16[[#This Row],[I_0]:[I_1]])</f>
        <v>11.29488297632399</v>
      </c>
      <c r="W184"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8.6389350300873957</v>
      </c>
      <c r="X184" s="345">
        <f>(Table16[[#This Row],[Irms Lf]]^2*Rdcr*(1+Ltc*Ta-Ltc*25))/(1-Table16[[#This Row],[Irms Lf]]^2*Rdcr*Ltc*ThetaCa)</f>
        <v>0.2434715009487633</v>
      </c>
      <c r="Y184" s="345">
        <f>ABS(7.759*10^-3*Fsw^0.9458*(0.00787*Table16[[#This Row],[Ripple Current pk-pk]])^2.304)</f>
        <v>5.8121988439534817</v>
      </c>
      <c r="Z184" s="345">
        <f>Table16[[#This Row],[DCR    Loss]]+Table16[[#This Row],[Core Loss]]</f>
        <v>6.0556703449022447</v>
      </c>
      <c r="AA184" s="292">
        <f>IF(Table16[[#This Row],[Vin]]&gt;Vout, Table16[[#This Row],[Ripple Current pk-pk]]/SQRT(12), SQRT(Table16[[#This Row],[Duty Cycle BOOST Leg]]/(1-Table16[[#This Row],[Duty Cycle BOOST Leg]]))*SQRT(Table16[[#This Row],[Iout]]^2+(Table16[[#This Row],[Ripple Current pk-pk]]^2)/12))</f>
        <v>3.2605518634229886</v>
      </c>
      <c r="AB184" s="345">
        <f>RCoutEsr*Table16[[#This Row],[Irms Cout]]^2</f>
        <v>2.1262396908142248E-2</v>
      </c>
      <c r="AC184" s="345">
        <f>Table16[[#This Row],[Cout ESR Loss]]</f>
        <v>2.1262396908142248E-2</v>
      </c>
      <c r="AD184" s="345">
        <f>IF(Table16[[#This Row],[Vin]]&gt;Vout, SQRT(Table16[[#This Row],[Duty Cycle BUCK Leg]]*(1-Table16[[#This Row],[Duty Cycle BUCK Leg]]))*SQRT(Table16[[#This Row],[Iout]]^2+(Table16[[#This Row],[Ripple Current pk-pk]]^2)/12), Table16[[#This Row],[Ripple Current pk-pk]]/SQRT(12))</f>
        <v>4.319431137068741</v>
      </c>
      <c r="AE184" s="345">
        <f>RCinEsr*Table16[[#This Row],[Irms Cin]]^2</f>
        <v>3.7314970695757912E-2</v>
      </c>
      <c r="AF184" s="683">
        <f>Table16[[#This Row],[Cin ESR Loss]]</f>
        <v>3.7314970695757912E-2</v>
      </c>
      <c r="AG184"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6.0961013910051634</v>
      </c>
      <c r="AH184" s="345">
        <f>Rdson1*Table16[[#This Row],[Irms BuCtrl]]^2</f>
        <v>0.13006858259295281</v>
      </c>
      <c r="AI184" s="345">
        <f>CHOOSE(Table16[[#This Row],[Mode Digit]], (Table16[[#This Row],[Vin]]*Table16[[#This Row],[Iout]]/2)*(Fsw)*(Tr_buck+Tf_buck), 0, (Table16[[#This Row],[Vin]]*Table16[[#This Row],[Avg IL]]/2)*(Fsw/1)*(Tr_buck+Tf_buck))</f>
        <v>0.96556737313769481</v>
      </c>
      <c r="AJ184" s="253">
        <f>IF(Table16[[#This Row],[Vin]]&gt;Vout, IF(Table16[[#This Row],[Iout]]&gt;Table16[[#This Row],[Ripple Current pk-pk]]/2,0,ABS(Table16[[#This Row],[Iout]]-Table16[[#This Row],[Ripple Current pk-pk]]/2)*Vsd_Q1*Deadtime*Fsw),0)</f>
        <v>0</v>
      </c>
      <c r="AK184" s="345">
        <f>(Table16[[#This Row],[Dead Time Loss BuCtrl]]+Table16[[#This Row],[Transition Loss BuCtrl]]+Table16[[#This Row],[RDS(on) Loss BuCtrl]]*(1+RdsonTopTc*Ta-RdsonTopTc*25))/(1-Table16[[#This Row],[RDS(on) Loss BuCtrl]]*RdsonTopTc*ThetaJA_Q1)</f>
        <v>1.1339848647821058</v>
      </c>
      <c r="AL184" s="345">
        <f>CHOOSE(Table16[[#This Row],[Mode Digit]],SQRT((Fsw*(Table16[[#This Row],[t2_Ph_I]]+0))*((Table16[[#This Row],[I_0]]*Table16[[#This Row],[I_1]]+((Table16[[#This Row],[I_0]]-Table16[[#This Row],[I_1]])^2)/3))),0,SQRT((Fsw*(Table16[[#This Row],[t3_Ph_III]]+0))*((Table16[[#This Row],[I_0]]*Table16[[#This Row],[I_2]]+((Table16[[#This Row],[I_0]]-Table16[[#This Row],[I_2]])^2)/3))))</f>
        <v>6.121171969864597</v>
      </c>
      <c r="AM184" s="345">
        <f>Rdson2*Table16[[#This Row],[Irms BuSync]]^2</f>
        <v>0.13114061199629609</v>
      </c>
      <c r="AN184"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84" s="345">
        <f>(Table16[[#This Row],[Deadtime Loss BuSync]]+Table16[[#This Row],[RDS(on) Loss BuSync]]*(1+RdsonBotTc*Ta-RdsonBotTc*25))/(1-Table16[[#This Row],[RDS(on) Loss BuSync]]*RdsonBotTc*ThetaJA_Q2)</f>
        <v>0.38299957981191945</v>
      </c>
      <c r="AP184" s="345">
        <f>CHOOSE(Table16[[#This Row],[Mode Digit]],0,SQRT((Fsw*(Table16[[#This Row],[t1_Ph_II]]+0))*((Table16[[#This Row],[I_0]]*Table16[[#This Row],[I_1]]+((Table16[[#This Row],[I_0]]-Table16[[#This Row],[I_1]])^2)/3))),SQRT((Fsw*(Table16[[#This Row],[t2_Ph_I]]+0))*((Table16[[#This Row],[I_1]]*Table16[[#This Row],[I_2]]+((Table16[[#This Row],[I_1]]-Table16[[#This Row],[I_2]])^2)/3))))</f>
        <v>0</v>
      </c>
      <c r="AQ184" s="345">
        <f>Rdson4*Table16[[#This Row],[Irms BoCtlr]]^2</f>
        <v>0</v>
      </c>
      <c r="AR184" s="345">
        <f>CHOOSE(Table16[[#This Row],[Mode Digit]], 0, (Vout*Table16[[#This Row],[Iin]]/2)*(Fsw)*(Tr_boost+Tf_boost), (Vout*Iout/2)*(Fsw/1)*(Tr_boost+Tf_boost))</f>
        <v>0</v>
      </c>
      <c r="AS184" s="253">
        <f>IF(Table16[[#This Row],[Vin]]&gt;Vout, 0, IF(Table16[[#This Row],[Iin]]&gt;Table16[[#This Row],[Ripple Current pk-pk]]/2,0,ABS(Table16[[#This Row],[Iin]]-Table16[[#This Row],[Ripple Current pk-pk]]/2)*Vsd_Q4*Deadtime*Fsw))</f>
        <v>0</v>
      </c>
      <c r="AT184" s="345">
        <f>(Table16[[#This Row],[Dead Time Loss BoCtlr]]+Table16[[#This Row],[Transition Loss BoCtlr]]+Table16[[#This Row],[RDS(on) Loss BoCtlr]]*(1+RdsonTopTc*Ta-RdsonTopTc*25))/(1-Table16[[#This Row],[RDS(on) Loss BoCtlr]]*RdsonTopTc*ThetaJA_Q4)</f>
        <v>0</v>
      </c>
      <c r="AU184"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8.6389350300873957</v>
      </c>
      <c r="AV184" s="345">
        <f>Rdson3*Table16[[#This Row],[Irms BoSync]]^2</f>
        <v>0.26120919458924891</v>
      </c>
      <c r="AW184"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84" s="345">
        <f>(Table16[[#This Row],[Deadtime Loss BoSync]]+Table16[[#This Row],[RDS(on) Loss BoSync]]*(1+RdsonBotTc*Ta-RdsonBotTc*25))/(1-Table16[[#This Row],[RDS(on) Loss BoSync]]*RdsonBotTc*ThetaJA_Q3)</f>
        <v>0.28024163440897831</v>
      </c>
      <c r="AY184" s="345">
        <f>CHOOSE(Table16[[#This Row],[Mode Digit]], Rdson3*Table16[[#This Row],[Irms Lf]]^2, Rdson1*Table16[[#This Row],[Irms Lf]]^2, 0)</f>
        <v>0.26120919458924891</v>
      </c>
      <c r="AZ184" s="345">
        <f>CHOOSE(Table16[[#This Row],[Mode Digit]], 2*Deadtime*Fsw*IF(VfdSky_Q2&gt;0,VfdSky_Q2,0)*Table16[[#This Row],[Iout]], 2*Deadtime*Fsw*IF(VfdSky_Q3&gt;0,VfdSky_Q3,0)*Table16[[#This Row],[Iin]], 2*Deadtime*Fsw*IF(VfdSky_Q2&gt;0,VfdSky_Q2,0)*Table16[[#This Row],[Iout]]+2*Deadtime*Fsw*IF(VfdSky_Q3&gt;0,VfdSky_Q3,0)*Table16[[#This Row],[Iin]])</f>
        <v>0</v>
      </c>
      <c r="BA184" s="345">
        <f>CHOOSE(Table16[[#This Row],[Mode Digit]], IF(QrrSky_Q2&gt;0,QrrSky_Q2,Qrr_Q2)*Fsw*(Table16[[#This Row],[Vin]]-Table16[[#This Row],[Iout]]*Rdson1),0,  IF(QrrSky_Q2&gt;0,QrrSky_Q2,Qrr_Q2)*Fsw*(Table16[[#This Row],[Vin]]-Table16[[#This Row],[Iout]]*Rdson1)+IF(QrrSky_Q3&gt;0,QrrSky_Q3,Qrr_Q3)*Fsw*Vout)</f>
        <v>0.57709601999999993</v>
      </c>
      <c r="BB184" s="345">
        <f>CHOOSE(Table16[[#This Row],[Mode Digit]],0, IF(QrrSky_Q3&gt;0,QrrSky_Q3,Qrr_Q3)*Fsw*Vout,  IF(QrrSky_Q2&gt;0,QrrSky_Q2,Qrr_Q2)*Fsw*(Table16[[#This Row],[Vin]]-Table16[[#This Row],[Iout]]*Rdson1)+IF(QrrSky_Q3&gt;0,QrrSky_Q3,Qrr_Q3)*Fsw*Vout)</f>
        <v>0</v>
      </c>
      <c r="BC184" s="345">
        <f>CHOOSE(Table16[[#This Row],[Mode Digit]], Rs*Table16[[#This Row],[Irms BuSync]]^2, Rs*Table16[[#This Row],[Irms BoCtlr]]^2, Rs*(Table16[[#This Row],[Irms BuSync]]^2+Table16[[#This Row],[Irms BoCtlr]]^2))</f>
        <v>4.8709370170052835E-2</v>
      </c>
      <c r="BD184" s="345">
        <f t="shared" si="8"/>
        <v>0.64</v>
      </c>
      <c r="BE184" s="345">
        <f>IF(Vout&gt;8, Iq*Vout, Iq*Table16[[#This Row],[Vin]])</f>
        <v>4.8000000000000001E-2</v>
      </c>
      <c r="BF184" s="345">
        <f>CHOOSE(Table16[[#This Row],[Mode Digit]], (Qg_Q1+Qg_Q2)*Fsw, (Qg_Q3+Qg_Q4)*Fsw, (Qg_Q1+Qg_Q2+Qg_Q3+Qg_Q4)*Fsw)*IF(Vout&gt;8, Vout, Table16[[#This Row],[Vin]])</f>
        <v>0.85331200000000007</v>
      </c>
      <c r="BG184" s="345">
        <f t="shared" si="9"/>
        <v>0.50594479787234037</v>
      </c>
      <c r="BH184" s="345">
        <f>Table16[[#This Row],[IQ Loss]]+Table16[[#This Row],[Switching Current Loss]]</f>
        <v>0.90131200000000011</v>
      </c>
      <c r="BI184"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10.078591181679203</v>
      </c>
      <c r="BJ184" s="253">
        <f>Vout*Table16[[#This Row],[Iout]]</f>
        <v>128</v>
      </c>
      <c r="BK184" s="684">
        <f>Table16[[#This Row],[Pout]]/(Table16[[#This Row],[Pout]]+Table16[[#This Row],[Total Loss]])</f>
        <v>0.92700829943710727</v>
      </c>
      <c r="BL184"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73.709016210836879</v>
      </c>
      <c r="BM184" s="685">
        <f>IF(Table16[[#This Row],[Vin]]&gt;Vout, Table16[[#This Row],[Total Sync Bu MOSFET Loss]]*ThetaJA_Q2, ThetaJA_Q3*Table16[[#This Row],[Total Sync Bo MOSFET Loss]])</f>
        <v>24.894972687774764</v>
      </c>
      <c r="BN184" s="640"/>
      <c r="BO184" s="292">
        <f>Table16[[#This Row],[EFF, h]]*100</f>
        <v>92.70082994371073</v>
      </c>
      <c r="BP184" s="345">
        <f>Table16[[#This Row],[Total Inductor Loss]]</f>
        <v>6.0556703449022447</v>
      </c>
      <c r="BQ184" s="345">
        <f>Table16[[#This Row],[Total Control Bu MOSFET Loss]]+Table16[[#This Row],[Total Sync Bu MOSFET Loss]]+Table16[[#This Row],[Total Control Bo MOSFET Loss]]+Table16[[#This Row],[Total Sync Bo MOSFET Loss]]+Table16[[#This Row],[Reverse Recovery Loss MOSFET D BUCK]]+Table16[[#This Row],[Reverse Recovery Loss MOSFET D BOOST]]</f>
        <v>2.3743220990030034</v>
      </c>
      <c r="BR184" s="345">
        <f>Table16[[#This Row],[Total Control Bu MOSFET Loss]]+Table16[[#This Row],[Reverse Recovery Loss MOSFET D BUCK]]*0.66</f>
        <v>1.5148682379821059</v>
      </c>
      <c r="BS184" s="345">
        <f>Table16[[#This Row],[Total Sync Bu MOSFET Loss]]+Table16[[#This Row],[Reverse Recovery Loss MOSFET D BUCK]]*0.33</f>
        <v>0.5734412664119195</v>
      </c>
      <c r="BT184" s="345">
        <f xml:space="preserve"> Table16[[#This Row],[Total Control Bo MOSFET Loss]]+Table16[[#This Row],[Reverse Recovery Loss MOSFET D BOOST]]*0.66</f>
        <v>0</v>
      </c>
      <c r="BU184" s="345">
        <f xml:space="preserve"> Table16[[#This Row],[Total Sync Bo MOSFET Loss]]+Table16[[#This Row],[Reverse Recovery Loss MOSFET D BOOST]]*0.33</f>
        <v>0.28024163440897831</v>
      </c>
      <c r="BV184" s="345">
        <f>Table16[[#This Row],[Isense Shunt Loss]]</f>
        <v>4.8709370170052835E-2</v>
      </c>
    </row>
    <row r="185" spans="7:74" x14ac:dyDescent="0.2">
      <c r="G185" s="253">
        <v>176</v>
      </c>
      <c r="H185" s="286">
        <f>VIN_min+(VIN_max-VIN_min)*(Table16[[#This Row],[Step]]/200)</f>
        <v>32.4</v>
      </c>
      <c r="I185" s="292" t="str">
        <f>IF(Mode = 2,IF(Table16[[#This Row],[Vin]]&gt;Vout, "BUCK","BOOST"),IF(Table16[[#This Row],[Vin]]&gt;VIN_BB_to_buck, "BUCK", IF(Table16[[#This Row],[Vin]]&lt;=VIN_boost_to_BB,"BOOST","BUCK-BST")))</f>
        <v>BUCK</v>
      </c>
      <c r="J185" s="253">
        <f>IF(Table16[[#This Row],[Mode]]="BOOST",2, IF(Table16[[#This Row],[Mode]]="BUCK", 1,3))</f>
        <v>1</v>
      </c>
      <c r="K185" s="253">
        <f t="shared" si="7"/>
        <v>8</v>
      </c>
      <c r="L185" s="292">
        <f>Vout*Table16[[#This Row],[Iout]]/(Table16[[#This Row],[Vin]]*Efficiency)</f>
        <v>4.1585445094217031</v>
      </c>
      <c r="M185" s="682">
        <f>MIN(1/Fsw,CHOOSE(Table16[[#This Row],[Mode Digit]],(Vout+(Rdson2+Rs+Rdcr)*Table16[[#This Row],[Iout]])/(Table16[[#This Row],[Vin]]+(Rs+Rdson2-Rdson1)*Table16[[#This Row],[Iout]])/Fsw,(Vout+(Rdson3+Rdcr)*Table16[[#This Row],[Iin]]-Table16[[#This Row],[Vin]])/(Vout+(Rdson3-Rdson4-Rs)*Table16[[#This Row],[Iin]])/Fsw,t1_Ph_II))</f>
        <v>1.245335109879117E-6</v>
      </c>
      <c r="N185" s="518">
        <f>CHOOSE(Table16[[#This Row],[Mode Digit]],1/Fsw-Table16[[#This Row],[t1_Ph_II]],1/Fsw-Table16[[#This Row],[t1_Ph_II]],(Vout/Fsw-Table16[[#This Row],[Vin]]*t1_Ph_II)/(Table16[[#This Row],[Vin]]+Vout))</f>
        <v>1.2672277041912349E-6</v>
      </c>
      <c r="O185" s="518">
        <f>1/Fsw-(Table16[[#This Row],[t1_Ph_II]]+Table16[[#This Row],[t2_Ph_I]])</f>
        <v>0</v>
      </c>
      <c r="P185"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2.3268067216618009</v>
      </c>
      <c r="Q185" s="292">
        <f>CHOOSE(Table16[[#This Row],[Mode Digit]],Table16[[#This Row],[I_0]]+1/Lf*(Table16[[#This Row],[Vin]]-Vout)*Table16[[#This Row],[t1_Ph_II]],Table16[[#This Row],[I_0]]+1/Lf*Table16[[#This Row],[Vin]]*Table16[[#This Row],[t1_Ph_II]],Table16[[#This Row],[I_0]]+(Table16[[#This Row],[Vin]]-Vout)/L*Table16[[#This Row],[t1_Ph_II]])</f>
        <v>13.6731932783382</v>
      </c>
      <c r="R185" s="292">
        <f>CHOOSE(Table16[[#This Row],[Mode Digit]],0,0,Table16[[#This Row],[I_1]]+Table16[[#This Row],[Vin]]/L*Table16[[#This Row],[t2_Ph_I]])</f>
        <v>0</v>
      </c>
      <c r="S185" s="292">
        <f>Fsw*(Table16[[#This Row],[I_0]]*Table16[[#This Row],[t1_Ph_II]]+Table16[[#This Row],[I_1]]*Table16[[#This Row],[t2_Ph_I]]+Table16[[#This Row],[I_2]]*Table16[[#This Row],[t3_Ph_III]])</f>
        <v>8.0494319657209648</v>
      </c>
      <c r="T185" s="345">
        <f>MIN(1,CHOOSE(Table16[[#This Row],[Mode Digit]],(Vout+(Rdson2+Rs+Rdcr)*Table16[[#This Row],[Iout]])/(Table16[[#This Row],[Vin]]+(Rs+Rdson2-Rdson1)*Table16[[#This Row],[Iout]]),1,Fsw*Table16[[#This Row],[t2_Ph_I]]+Table16[[#This Row],[t1_Ph_II]]))</f>
        <v>0.4956433737318886</v>
      </c>
      <c r="U185" s="345">
        <f>MIN(1,CHOOSE(Table16[[#This Row],[Mode Digit]],0,(Vout+(Rdson3+Rdcr)*Table16[[#This Row],[Iin]]-Table16[[#This Row],[Vin]])/(Vout+(Rdson3-Rdson4-Rs)*Table16[[#This Row],[Iin]]),Fsw*Table16[[#This Row],[t1_Ph_II]]+Table16[[#This Row],[t3_Ph_III]]))</f>
        <v>0</v>
      </c>
      <c r="V185" s="292">
        <f>MAX(Table16[[#This Row],[I_0]:[I_2]])-MIN(Table16[[#This Row],[I_0]:[I_1]])</f>
        <v>11.3463865566764</v>
      </c>
      <c r="W185"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8.6445574780394203</v>
      </c>
      <c r="X185" s="345">
        <f>(Table16[[#This Row],[Irms Lf]]^2*Rdcr*(1+Ltc*Ta-Ltc*25))/(1-Table16[[#This Row],[Irms Lf]]^2*Rdcr*Ltc*ThetaCa)</f>
        <v>0.24379470248797902</v>
      </c>
      <c r="Y185" s="345">
        <f>ABS(7.759*10^-3*Fsw^0.9458*(0.00787*Table16[[#This Row],[Ripple Current pk-pk]])^2.304)</f>
        <v>5.8734435401634029</v>
      </c>
      <c r="Z185" s="345">
        <f>Table16[[#This Row],[DCR    Loss]]+Table16[[#This Row],[Core Loss]]</f>
        <v>6.1172382426513821</v>
      </c>
      <c r="AA185" s="292">
        <f>IF(Table16[[#This Row],[Vin]]&gt;Vout, Table16[[#This Row],[Ripple Current pk-pk]]/SQRT(12), SQRT(Table16[[#This Row],[Duty Cycle BOOST Leg]]/(1-Table16[[#This Row],[Duty Cycle BOOST Leg]]))*SQRT(Table16[[#This Row],[Iout]]^2+(Table16[[#This Row],[Ripple Current pk-pk]]^2)/12))</f>
        <v>3.2754196664133355</v>
      </c>
      <c r="AB185" s="345">
        <f>RCoutEsr*Table16[[#This Row],[Irms Cout]]^2</f>
        <v>2.1456747982254491E-2</v>
      </c>
      <c r="AC185" s="345">
        <f>Table16[[#This Row],[Cout ESR Loss]]</f>
        <v>2.1456747982254491E-2</v>
      </c>
      <c r="AD185" s="345">
        <f>IF(Table16[[#This Row],[Vin]]&gt;Vout, SQRT(Table16[[#This Row],[Duty Cycle BUCK Leg]]*(1-Table16[[#This Row],[Duty Cycle BUCK Leg]]))*SQRT(Table16[[#This Row],[Iout]]^2+(Table16[[#This Row],[Ripple Current pk-pk]]^2)/12), Table16[[#This Row],[Ripple Current pk-pk]]/SQRT(12))</f>
        <v>4.3221146605409171</v>
      </c>
      <c r="AE185" s="345">
        <f>RCinEsr*Table16[[#This Row],[Irms Cin]]^2</f>
        <v>3.7361350277725455E-2</v>
      </c>
      <c r="AF185" s="683">
        <f>Table16[[#This Row],[Cin ESR Loss]]</f>
        <v>3.7361350277725455E-2</v>
      </c>
      <c r="AG185"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6.0859365259966873</v>
      </c>
      <c r="AH185" s="345">
        <f>Rdson1*Table16[[#This Row],[Irms BuCtrl]]^2</f>
        <v>0.12963518189461221</v>
      </c>
      <c r="AI185" s="345">
        <f>CHOOSE(Table16[[#This Row],[Mode Digit]], (Table16[[#This Row],[Vin]]*Table16[[#This Row],[Iout]]/2)*(Fsw)*(Tr_buck+Tf_buck), 0, (Table16[[#This Row],[Vin]]*Table16[[#This Row],[Avg IL]]/2)*(Fsw/1)*(Tr_buck+Tf_buck))</f>
        <v>0.97005838417554457</v>
      </c>
      <c r="AJ185" s="253">
        <f>IF(Table16[[#This Row],[Vin]]&gt;Vout, IF(Table16[[#This Row],[Iout]]&gt;Table16[[#This Row],[Ripple Current pk-pk]]/2,0,ABS(Table16[[#This Row],[Iout]]-Table16[[#This Row],[Ripple Current pk-pk]]/2)*Vsd_Q1*Deadtime*Fsw),0)</f>
        <v>0</v>
      </c>
      <c r="AK185" s="345">
        <f>(Table16[[#This Row],[Dead Time Loss BuCtrl]]+Table16[[#This Row],[Transition Loss BuCtrl]]+Table16[[#This Row],[RDS(on) Loss BuCtrl]]*(1+RdsonTopTc*Ta-RdsonTopTc*25))/(1-Table16[[#This Row],[RDS(on) Loss BuCtrl]]*RdsonTopTc*ThetaJA_Q1)</f>
        <v>1.1380517685559377</v>
      </c>
      <c r="AL185" s="345">
        <f>CHOOSE(Table16[[#This Row],[Mode Digit]],SQRT((Fsw*(Table16[[#This Row],[t2_Ph_I]]+0))*((Table16[[#This Row],[I_0]]*Table16[[#This Row],[I_1]]+((Table16[[#This Row],[I_0]]-Table16[[#This Row],[I_1]])^2)/3))),0,SQRT((Fsw*(Table16[[#This Row],[t3_Ph_III]]+0))*((Table16[[#This Row],[I_0]]*Table16[[#This Row],[I_2]]+((Table16[[#This Row],[I_0]]-Table16[[#This Row],[I_2]])^2)/3))))</f>
        <v>6.139197878604878</v>
      </c>
      <c r="AM185" s="345">
        <f>Rdson2*Table16[[#This Row],[Irms BuSync]]^2</f>
        <v>0.13191412707433323</v>
      </c>
      <c r="AN185"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85" s="345">
        <f>(Table16[[#This Row],[Deadtime Loss BuSync]]+Table16[[#This Row],[RDS(on) Loss BuSync]]*(1+RdsonBotTc*Ta-RdsonBotTc*25))/(1-Table16[[#This Row],[RDS(on) Loss BuSync]]*RdsonBotTc*ThetaJA_Q2)</f>
        <v>0.38388032908760905</v>
      </c>
      <c r="AP185" s="345">
        <f>CHOOSE(Table16[[#This Row],[Mode Digit]],0,SQRT((Fsw*(Table16[[#This Row],[t1_Ph_II]]+0))*((Table16[[#This Row],[I_0]]*Table16[[#This Row],[I_1]]+((Table16[[#This Row],[I_0]]-Table16[[#This Row],[I_1]])^2)/3))),SQRT((Fsw*(Table16[[#This Row],[t2_Ph_I]]+0))*((Table16[[#This Row],[I_1]]*Table16[[#This Row],[I_2]]+((Table16[[#This Row],[I_1]]-Table16[[#This Row],[I_2]])^2)/3))))</f>
        <v>0</v>
      </c>
      <c r="AQ185" s="345">
        <f>Rdson4*Table16[[#This Row],[Irms BoCtlr]]^2</f>
        <v>0</v>
      </c>
      <c r="AR185" s="345">
        <f>CHOOSE(Table16[[#This Row],[Mode Digit]], 0, (Vout*Table16[[#This Row],[Iin]]/2)*(Fsw)*(Tr_boost+Tf_boost), (Vout*Iout/2)*(Fsw/1)*(Tr_boost+Tf_boost))</f>
        <v>0</v>
      </c>
      <c r="AS185" s="253">
        <f>IF(Table16[[#This Row],[Vin]]&gt;Vout, 0, IF(Table16[[#This Row],[Iin]]&gt;Table16[[#This Row],[Ripple Current pk-pk]]/2,0,ABS(Table16[[#This Row],[Iin]]-Table16[[#This Row],[Ripple Current pk-pk]]/2)*Vsd_Q4*Deadtime*Fsw))</f>
        <v>0</v>
      </c>
      <c r="AT185" s="345">
        <f>(Table16[[#This Row],[Dead Time Loss BoCtlr]]+Table16[[#This Row],[Transition Loss BoCtlr]]+Table16[[#This Row],[RDS(on) Loss BoCtlr]]*(1+RdsonTopTc*Ta-RdsonTopTc*25))/(1-Table16[[#This Row],[RDS(on) Loss BoCtlr]]*RdsonTopTc*ThetaJA_Q4)</f>
        <v>0</v>
      </c>
      <c r="AU185"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8.6445574780394203</v>
      </c>
      <c r="AV185" s="345">
        <f>Rdson3*Table16[[#This Row],[Irms BoSync]]^2</f>
        <v>0.2615493089689454</v>
      </c>
      <c r="AW185"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85" s="345">
        <f>(Table16[[#This Row],[Deadtime Loss BoSync]]+Table16[[#This Row],[RDS(on) Loss BoSync]]*(1+RdsonBotTc*Ta-RdsonBotTc*25))/(1-Table16[[#This Row],[RDS(on) Loss BoSync]]*RdsonBotTc*ThetaJA_Q3)</f>
        <v>0.28063315498668656</v>
      </c>
      <c r="AY185" s="345">
        <f>CHOOSE(Table16[[#This Row],[Mode Digit]], Rdson3*Table16[[#This Row],[Irms Lf]]^2, Rdson1*Table16[[#This Row],[Irms Lf]]^2, 0)</f>
        <v>0.2615493089689454</v>
      </c>
      <c r="AZ185" s="345">
        <f>CHOOSE(Table16[[#This Row],[Mode Digit]], 2*Deadtime*Fsw*IF(VfdSky_Q2&gt;0,VfdSky_Q2,0)*Table16[[#This Row],[Iout]], 2*Deadtime*Fsw*IF(VfdSky_Q3&gt;0,VfdSky_Q3,0)*Table16[[#This Row],[Iin]], 2*Deadtime*Fsw*IF(VfdSky_Q2&gt;0,VfdSky_Q2,0)*Table16[[#This Row],[Iout]]+2*Deadtime*Fsw*IF(VfdSky_Q3&gt;0,VfdSky_Q3,0)*Table16[[#This Row],[Iin]])</f>
        <v>0</v>
      </c>
      <c r="BA185" s="345">
        <f>CHOOSE(Table16[[#This Row],[Mode Digit]], IF(QrrSky_Q2&gt;0,QrrSky_Q2,Qrr_Q2)*Fsw*(Table16[[#This Row],[Vin]]-Table16[[#This Row],[Iout]]*Rdson1),0,  IF(QrrSky_Q2&gt;0,QrrSky_Q2,Qrr_Q2)*Fsw*(Table16[[#This Row],[Vin]]-Table16[[#This Row],[Iout]]*Rdson1)+IF(QrrSky_Q3&gt;0,QrrSky_Q3,Qrr_Q3)*Fsw*Vout)</f>
        <v>0.57978251999999997</v>
      </c>
      <c r="BB185" s="345">
        <f>CHOOSE(Table16[[#This Row],[Mode Digit]],0, IF(QrrSky_Q3&gt;0,QrrSky_Q3,Qrr_Q3)*Fsw*Vout,  IF(QrrSky_Q2&gt;0,QrrSky_Q2,Qrr_Q2)*Fsw*(Table16[[#This Row],[Vin]]-Table16[[#This Row],[Iout]]*Rdson1)+IF(QrrSky_Q3&gt;0,QrrSky_Q3,Qrr_Q3)*Fsw*Vout)</f>
        <v>0</v>
      </c>
      <c r="BC185" s="345">
        <f>CHOOSE(Table16[[#This Row],[Mode Digit]], Rs*Table16[[#This Row],[Irms BuSync]]^2, Rs*Table16[[#This Row],[Irms BoCtlr]]^2, Rs*(Table16[[#This Row],[Irms BuSync]]^2+Table16[[#This Row],[Irms BoCtlr]]^2))</f>
        <v>4.8996675770466624E-2</v>
      </c>
      <c r="BD185" s="345">
        <f t="shared" si="8"/>
        <v>0.64</v>
      </c>
      <c r="BE185" s="345">
        <f>IF(Vout&gt;8, Iq*Vout, Iq*Table16[[#This Row],[Vin]])</f>
        <v>4.8000000000000001E-2</v>
      </c>
      <c r="BF185" s="345">
        <f>CHOOSE(Table16[[#This Row],[Mode Digit]], (Qg_Q1+Qg_Q2)*Fsw, (Qg_Q3+Qg_Q4)*Fsw, (Qg_Q1+Qg_Q2+Qg_Q3+Qg_Q4)*Fsw)*IF(Vout&gt;8, Vout, Table16[[#This Row],[Vin]])</f>
        <v>0.85331200000000007</v>
      </c>
      <c r="BG185" s="345">
        <f t="shared" si="9"/>
        <v>0.50594479787234037</v>
      </c>
      <c r="BH185" s="345">
        <f>Table16[[#This Row],[IQ Loss]]+Table16[[#This Row],[Switching Current Loss]]</f>
        <v>0.90131200000000011</v>
      </c>
      <c r="BI185"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10.148712789312063</v>
      </c>
      <c r="BJ185" s="253">
        <f>Vout*Table16[[#This Row],[Iout]]</f>
        <v>128</v>
      </c>
      <c r="BK185" s="684">
        <f>Table16[[#This Row],[Pout]]/(Table16[[#This Row],[Pout]]+Table16[[#This Row],[Total Loss]])</f>
        <v>0.9265377680008523</v>
      </c>
      <c r="BL185"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73.973364956135953</v>
      </c>
      <c r="BM185" s="685">
        <f>IF(Table16[[#This Row],[Vin]]&gt;Vout, Table16[[#This Row],[Total Sync Bu MOSFET Loss]]*ThetaJA_Q2, ThetaJA_Q3*Table16[[#This Row],[Total Sync Bo MOSFET Loss]])</f>
        <v>24.952221390694589</v>
      </c>
      <c r="BN185" s="640"/>
      <c r="BO185" s="292">
        <f>Table16[[#This Row],[EFF, h]]*100</f>
        <v>92.653776800085225</v>
      </c>
      <c r="BP185" s="345">
        <f>Table16[[#This Row],[Total Inductor Loss]]</f>
        <v>6.1172382426513821</v>
      </c>
      <c r="BQ185" s="345">
        <f>Table16[[#This Row],[Total Control Bu MOSFET Loss]]+Table16[[#This Row],[Total Sync Bu MOSFET Loss]]+Table16[[#This Row],[Total Control Bo MOSFET Loss]]+Table16[[#This Row],[Total Sync Bo MOSFET Loss]]+Table16[[#This Row],[Reverse Recovery Loss MOSFET D BUCK]]+Table16[[#This Row],[Reverse Recovery Loss MOSFET D BOOST]]</f>
        <v>2.3823477726302329</v>
      </c>
      <c r="BR185" s="345">
        <f>Table16[[#This Row],[Total Control Bu MOSFET Loss]]+Table16[[#This Row],[Reverse Recovery Loss MOSFET D BUCK]]*0.66</f>
        <v>1.5207082317559377</v>
      </c>
      <c r="BS185" s="345">
        <f>Table16[[#This Row],[Total Sync Bu MOSFET Loss]]+Table16[[#This Row],[Reverse Recovery Loss MOSFET D BUCK]]*0.33</f>
        <v>0.57520856068760906</v>
      </c>
      <c r="BT185" s="345">
        <f xml:space="preserve"> Table16[[#This Row],[Total Control Bo MOSFET Loss]]+Table16[[#This Row],[Reverse Recovery Loss MOSFET D BOOST]]*0.66</f>
        <v>0</v>
      </c>
      <c r="BU185" s="345">
        <f xml:space="preserve"> Table16[[#This Row],[Total Sync Bo MOSFET Loss]]+Table16[[#This Row],[Reverse Recovery Loss MOSFET D BOOST]]*0.33</f>
        <v>0.28063315498668656</v>
      </c>
      <c r="BV185" s="345">
        <f>Table16[[#This Row],[Isense Shunt Loss]]</f>
        <v>4.8996675770466624E-2</v>
      </c>
    </row>
    <row r="186" spans="7:74" x14ac:dyDescent="0.2">
      <c r="G186" s="253">
        <v>177</v>
      </c>
      <c r="H186" s="286">
        <f>VIN_min+(VIN_max-VIN_min)*(Table16[[#This Row],[Step]]/200)</f>
        <v>32.549999999999997</v>
      </c>
      <c r="I186" s="292" t="str">
        <f>IF(Mode = 2,IF(Table16[[#This Row],[Vin]]&gt;Vout, "BUCK","BOOST"),IF(Table16[[#This Row],[Vin]]&gt;VIN_BB_to_buck, "BUCK", IF(Table16[[#This Row],[Vin]]&lt;=VIN_boost_to_BB,"BOOST","BUCK-BST")))</f>
        <v>BUCK</v>
      </c>
      <c r="J186" s="253">
        <f>IF(Table16[[#This Row],[Mode]]="BOOST",2, IF(Table16[[#This Row],[Mode]]="BUCK", 1,3))</f>
        <v>1</v>
      </c>
      <c r="K186" s="253">
        <f t="shared" si="7"/>
        <v>8</v>
      </c>
      <c r="L186" s="292">
        <f>Vout*Table16[[#This Row],[Iout]]/(Table16[[#This Row],[Vin]]*Efficiency)</f>
        <v>4.1393807098391147</v>
      </c>
      <c r="M186" s="682">
        <f>MIN(1/Fsw,CHOOSE(Table16[[#This Row],[Mode Digit]],(Vout+(Rdson2+Rs+Rdcr)*Table16[[#This Row],[Iout]])/(Table16[[#This Row],[Vin]]+(Rs+Rdson2-Rdson1)*Table16[[#This Row],[Iout]])/Fsw,(Vout+(Rdson3+Rdcr)*Table16[[#This Row],[Iin]]-Table16[[#This Row],[Vin]])/(Vout+(Rdson3-Rdson4-Rs)*Table16[[#This Row],[Iin]])/Fsw,t1_Ph_II))</f>
        <v>1.2395980714372715E-6</v>
      </c>
      <c r="N186" s="518">
        <f>CHOOSE(Table16[[#This Row],[Mode Digit]],1/Fsw-Table16[[#This Row],[t1_Ph_II]],1/Fsw-Table16[[#This Row],[t1_Ph_II]],(Vout/Fsw-Table16[[#This Row],[Vin]]*t1_Ph_II)/(Table16[[#This Row],[Vin]]+Vout))</f>
        <v>1.2729647426330804E-6</v>
      </c>
      <c r="O186" s="518">
        <f>1/Fsw-(Table16[[#This Row],[t1_Ph_II]]+Table16[[#This Row],[t2_Ph_I]])</f>
        <v>0</v>
      </c>
      <c r="P186"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2.3012921993647675</v>
      </c>
      <c r="Q186" s="292">
        <f>CHOOSE(Table16[[#This Row],[Mode Digit]],Table16[[#This Row],[I_0]]+1/Lf*(Table16[[#This Row],[Vin]]-Vout)*Table16[[#This Row],[t1_Ph_II]],Table16[[#This Row],[I_0]]+1/Lf*Table16[[#This Row],[Vin]]*Table16[[#This Row],[t1_Ph_II]],Table16[[#This Row],[I_0]]+(Table16[[#This Row],[Vin]]-Vout)/L*Table16[[#This Row],[t1_Ph_II]])</f>
        <v>13.698707800635233</v>
      </c>
      <c r="R186" s="292">
        <f>CHOOSE(Table16[[#This Row],[Mode Digit]],0,0,Table16[[#This Row],[I_1]]+Table16[[#This Row],[Vin]]/L*Table16[[#This Row],[t2_Ph_I]])</f>
        <v>0</v>
      </c>
      <c r="S186" s="292">
        <f>Fsw*(Table16[[#This Row],[I_0]]*Table16[[#This Row],[t1_Ph_II]]+Table16[[#This Row],[I_1]]*Table16[[#This Row],[t2_Ph_I]]+Table16[[#This Row],[I_2]]*Table16[[#This Row],[t3_Ph_III]])</f>
        <v>8.0756784699510664</v>
      </c>
      <c r="T186" s="345">
        <f>MIN(1,CHOOSE(Table16[[#This Row],[Mode Digit]],(Vout+(Rdson2+Rs+Rdcr)*Table16[[#This Row],[Iout]])/(Table16[[#This Row],[Vin]]+(Rs+Rdson2-Rdson1)*Table16[[#This Row],[Iout]]),1,Fsw*Table16[[#This Row],[t2_Ph_I]]+Table16[[#This Row],[t1_Ph_II]]))</f>
        <v>0.49336003243203408</v>
      </c>
      <c r="U186" s="345">
        <f>MIN(1,CHOOSE(Table16[[#This Row],[Mode Digit]],0,(Vout+(Rdson3+Rdcr)*Table16[[#This Row],[Iin]]-Table16[[#This Row],[Vin]])/(Vout+(Rdson3-Rdson4-Rs)*Table16[[#This Row],[Iin]]),Fsw*Table16[[#This Row],[t1_Ph_II]]+Table16[[#This Row],[t3_Ph_III]]))</f>
        <v>0</v>
      </c>
      <c r="V186" s="292">
        <f>MAX(Table16[[#This Row],[I_0]:[I_2]])-MIN(Table16[[#This Row],[I_0]:[I_1]])</f>
        <v>11.397415601270467</v>
      </c>
      <c r="W186"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8.6501497211902034</v>
      </c>
      <c r="X186" s="345">
        <f>(Table16[[#This Row],[Irms Lf]]^2*Rdcr*(1+Ltc*Ta-Ltc*25))/(1-Table16[[#This Row],[Irms Lf]]^2*Rdcr*Ltc*ThetaCa)</f>
        <v>0.2441163925971781</v>
      </c>
      <c r="Y186" s="345">
        <f>ABS(7.759*10^-3*Fsw^0.9458*(0.00787*Table16[[#This Row],[Ripple Current pk-pk]])^2.304)</f>
        <v>5.9344825287375462</v>
      </c>
      <c r="Z186" s="345">
        <f>Table16[[#This Row],[DCR    Loss]]+Table16[[#This Row],[Core Loss]]</f>
        <v>6.1785989213347241</v>
      </c>
      <c r="AA186" s="292">
        <f>IF(Table16[[#This Row],[Vin]]&gt;Vout, Table16[[#This Row],[Ripple Current pk-pk]]/SQRT(12), SQRT(Table16[[#This Row],[Duty Cycle BOOST Leg]]/(1-Table16[[#This Row],[Duty Cycle BOOST Leg]]))*SQRT(Table16[[#This Row],[Iout]]^2+(Table16[[#This Row],[Ripple Current pk-pk]]^2)/12))</f>
        <v>3.2901504827297723</v>
      </c>
      <c r="AB186" s="345">
        <f>RCoutEsr*Table16[[#This Row],[Irms Cout]]^2</f>
        <v>2.1650180398013908E-2</v>
      </c>
      <c r="AC186" s="345">
        <f>Table16[[#This Row],[Cout ESR Loss]]</f>
        <v>2.1650180398013908E-2</v>
      </c>
      <c r="AD186" s="345">
        <f>IF(Table16[[#This Row],[Vin]]&gt;Vout, SQRT(Table16[[#This Row],[Duty Cycle BUCK Leg]]*(1-Table16[[#This Row],[Duty Cycle BUCK Leg]]))*SQRT(Table16[[#This Row],[Iout]]^2+(Table16[[#This Row],[Ripple Current pk-pk]]^2)/12), Table16[[#This Row],[Ripple Current pk-pk]]/SQRT(12))</f>
        <v>4.3246934658634242</v>
      </c>
      <c r="AE186" s="345">
        <f>RCinEsr*Table16[[#This Row],[Irms Cin]]^2</f>
        <v>3.7405947147363589E-2</v>
      </c>
      <c r="AF186" s="683">
        <f>Table16[[#This Row],[Cin ESR Loss]]</f>
        <v>3.7405947147363589E-2</v>
      </c>
      <c r="AG186"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6.0758298961797763</v>
      </c>
      <c r="AH186" s="345">
        <f>Rdson1*Table16[[#This Row],[Irms BuCtrl]]^2</f>
        <v>0.12920498124559185</v>
      </c>
      <c r="AI186" s="345">
        <f>CHOOSE(Table16[[#This Row],[Mode Digit]], (Table16[[#This Row],[Vin]]*Table16[[#This Row],[Iout]]/2)*(Fsw)*(Tr_buck+Tf_buck), 0, (Table16[[#This Row],[Vin]]*Table16[[#This Row],[Avg IL]]/2)*(Fsw/1)*(Tr_buck+Tf_buck))</f>
        <v>0.97454939521339412</v>
      </c>
      <c r="AJ186" s="253">
        <f>IF(Table16[[#This Row],[Vin]]&gt;Vout, IF(Table16[[#This Row],[Iout]]&gt;Table16[[#This Row],[Ripple Current pk-pk]]/2,0,ABS(Table16[[#This Row],[Iout]]-Table16[[#This Row],[Ripple Current pk-pk]]/2)*Vsd_Q1*Deadtime*Fsw),0)</f>
        <v>0</v>
      </c>
      <c r="AK186" s="345">
        <f>(Table16[[#This Row],[Dead Time Loss BuCtrl]]+Table16[[#This Row],[Transition Loss BuCtrl]]+Table16[[#This Row],[RDS(on) Loss BuCtrl]]*(1+RdsonTopTc*Ta-RdsonTopTc*25))/(1-Table16[[#This Row],[RDS(on) Loss BuCtrl]]*RdsonTopTc*ThetaJA_Q1)</f>
        <v>1.1421220184936964</v>
      </c>
      <c r="AL186" s="345">
        <f>CHOOSE(Table16[[#This Row],[Mode Digit]],SQRT((Fsw*(Table16[[#This Row],[t2_Ph_I]]+0))*((Table16[[#This Row],[I_0]]*Table16[[#This Row],[I_1]]+((Table16[[#This Row],[I_0]]-Table16[[#This Row],[I_1]])^2)/3))),0,SQRT((Fsw*(Table16[[#This Row],[t3_Ph_III]]+0))*((Table16[[#This Row],[I_0]]*Table16[[#This Row],[I_2]]+((Table16[[#This Row],[I_0]]-Table16[[#This Row],[I_2]])^2)/3))))</f>
        <v>6.1570594663114155</v>
      </c>
      <c r="AM186" s="345">
        <f>Rdson2*Table16[[#This Row],[Irms BuSync]]^2</f>
        <v>0.13268283445093254</v>
      </c>
      <c r="AN186"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86" s="345">
        <f>(Table16[[#This Row],[Deadtime Loss BuSync]]+Table16[[#This Row],[RDS(on) Loss BuSync]]*(1+RdsonBotTc*Ta-RdsonBotTc*25))/(1-Table16[[#This Row],[RDS(on) Loss BuSync]]*RdsonBotTc*ThetaJA_Q2)</f>
        <v>0.38475596766497455</v>
      </c>
      <c r="AP186" s="345">
        <f>CHOOSE(Table16[[#This Row],[Mode Digit]],0,SQRT((Fsw*(Table16[[#This Row],[t1_Ph_II]]+0))*((Table16[[#This Row],[I_0]]*Table16[[#This Row],[I_1]]+((Table16[[#This Row],[I_0]]-Table16[[#This Row],[I_1]])^2)/3))),SQRT((Fsw*(Table16[[#This Row],[t2_Ph_I]]+0))*((Table16[[#This Row],[I_1]]*Table16[[#This Row],[I_2]]+((Table16[[#This Row],[I_1]]-Table16[[#This Row],[I_2]])^2)/3))))</f>
        <v>0</v>
      </c>
      <c r="AQ186" s="345">
        <f>Rdson4*Table16[[#This Row],[Irms BoCtlr]]^2</f>
        <v>0</v>
      </c>
      <c r="AR186" s="345">
        <f>CHOOSE(Table16[[#This Row],[Mode Digit]], 0, (Vout*Table16[[#This Row],[Iin]]/2)*(Fsw)*(Tr_boost+Tf_boost), (Vout*Iout/2)*(Fsw/1)*(Tr_boost+Tf_boost))</f>
        <v>0</v>
      </c>
      <c r="AS186" s="253">
        <f>IF(Table16[[#This Row],[Vin]]&gt;Vout, 0, IF(Table16[[#This Row],[Iin]]&gt;Table16[[#This Row],[Ripple Current pk-pk]]/2,0,ABS(Table16[[#This Row],[Iin]]-Table16[[#This Row],[Ripple Current pk-pk]]/2)*Vsd_Q4*Deadtime*Fsw))</f>
        <v>0</v>
      </c>
      <c r="AT186" s="345">
        <f>(Table16[[#This Row],[Dead Time Loss BoCtlr]]+Table16[[#This Row],[Transition Loss BoCtlr]]+Table16[[#This Row],[RDS(on) Loss BoCtlr]]*(1+RdsonTopTc*Ta-RdsonTopTc*25))/(1-Table16[[#This Row],[RDS(on) Loss BoCtlr]]*RdsonTopTc*ThetaJA_Q4)</f>
        <v>0</v>
      </c>
      <c r="AU186"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8.6501497211902034</v>
      </c>
      <c r="AV186" s="345">
        <f>Rdson3*Table16[[#This Row],[Irms BoSync]]^2</f>
        <v>0.26188781569652431</v>
      </c>
      <c r="AW186"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86" s="345">
        <f>(Table16[[#This Row],[Deadtime Loss BoSync]]+Table16[[#This Row],[RDS(on) Loss BoSync]]*(1+RdsonBotTc*Ta-RdsonBotTc*25))/(1-Table16[[#This Row],[RDS(on) Loss BoSync]]*RdsonBotTc*ThetaJA_Q3)</f>
        <v>0.28102289870305713</v>
      </c>
      <c r="AY186" s="345">
        <f>CHOOSE(Table16[[#This Row],[Mode Digit]], Rdson3*Table16[[#This Row],[Irms Lf]]^2, Rdson1*Table16[[#This Row],[Irms Lf]]^2, 0)</f>
        <v>0.26188781569652431</v>
      </c>
      <c r="AZ186" s="345">
        <f>CHOOSE(Table16[[#This Row],[Mode Digit]], 2*Deadtime*Fsw*IF(VfdSky_Q2&gt;0,VfdSky_Q2,0)*Table16[[#This Row],[Iout]], 2*Deadtime*Fsw*IF(VfdSky_Q3&gt;0,VfdSky_Q3,0)*Table16[[#This Row],[Iin]], 2*Deadtime*Fsw*IF(VfdSky_Q2&gt;0,VfdSky_Q2,0)*Table16[[#This Row],[Iout]]+2*Deadtime*Fsw*IF(VfdSky_Q3&gt;0,VfdSky_Q3,0)*Table16[[#This Row],[Iin]])</f>
        <v>0</v>
      </c>
      <c r="BA186" s="345">
        <f>CHOOSE(Table16[[#This Row],[Mode Digit]], IF(QrrSky_Q2&gt;0,QrrSky_Q2,Qrr_Q2)*Fsw*(Table16[[#This Row],[Vin]]-Table16[[#This Row],[Iout]]*Rdson1),0,  IF(QrrSky_Q2&gt;0,QrrSky_Q2,Qrr_Q2)*Fsw*(Table16[[#This Row],[Vin]]-Table16[[#This Row],[Iout]]*Rdson1)+IF(QrrSky_Q3&gt;0,QrrSky_Q3,Qrr_Q3)*Fsw*Vout)</f>
        <v>0.58246901999999989</v>
      </c>
      <c r="BB186" s="345">
        <f>CHOOSE(Table16[[#This Row],[Mode Digit]],0, IF(QrrSky_Q3&gt;0,QrrSky_Q3,Qrr_Q3)*Fsw*Vout,  IF(QrrSky_Q2&gt;0,QrrSky_Q2,Qrr_Q2)*Fsw*(Table16[[#This Row],[Vin]]-Table16[[#This Row],[Iout]]*Rdson1)+IF(QrrSky_Q3&gt;0,QrrSky_Q3,Qrr_Q3)*Fsw*Vout)</f>
        <v>0</v>
      </c>
      <c r="BC186" s="345">
        <f>CHOOSE(Table16[[#This Row],[Mode Digit]], Rs*Table16[[#This Row],[Irms BuSync]]^2, Rs*Table16[[#This Row],[Irms BoCtlr]]^2, Rs*(Table16[[#This Row],[Irms BuSync]]^2+Table16[[#This Row],[Irms BoCtlr]]^2))</f>
        <v>4.9282195653203513E-2</v>
      </c>
      <c r="BD186" s="345">
        <f t="shared" si="8"/>
        <v>0.64</v>
      </c>
      <c r="BE186" s="345">
        <f>IF(Vout&gt;8, Iq*Vout, Iq*Table16[[#This Row],[Vin]])</f>
        <v>4.8000000000000001E-2</v>
      </c>
      <c r="BF186" s="345">
        <f>CHOOSE(Table16[[#This Row],[Mode Digit]], (Qg_Q1+Qg_Q2)*Fsw, (Qg_Q3+Qg_Q4)*Fsw, (Qg_Q1+Qg_Q2+Qg_Q3+Qg_Q4)*Fsw)*IF(Vout&gt;8, Vout, Table16[[#This Row],[Vin]])</f>
        <v>0.85331200000000007</v>
      </c>
      <c r="BG186" s="345">
        <f t="shared" si="9"/>
        <v>0.50594479787234037</v>
      </c>
      <c r="BH186" s="345">
        <f>Table16[[#This Row],[IQ Loss]]+Table16[[#This Row],[Switching Current Loss]]</f>
        <v>0.90131200000000011</v>
      </c>
      <c r="BI186"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10.218619149395034</v>
      </c>
      <c r="BJ186" s="253">
        <f>Vout*Table16[[#This Row],[Iout]]</f>
        <v>128</v>
      </c>
      <c r="BK186" s="684">
        <f>Table16[[#This Row],[Pout]]/(Table16[[#This Row],[Pout]]+Table16[[#This Row],[Total Loss]])</f>
        <v>0.92606915615073437</v>
      </c>
      <c r="BL186"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74.237931202090266</v>
      </c>
      <c r="BM186" s="685">
        <f>IF(Table16[[#This Row],[Vin]]&gt;Vout, Table16[[#This Row],[Total Sync Bu MOSFET Loss]]*ThetaJA_Q2, ThetaJA_Q3*Table16[[#This Row],[Total Sync Bo MOSFET Loss]])</f>
        <v>25.009137898223347</v>
      </c>
      <c r="BN186" s="640"/>
      <c r="BO186" s="292">
        <f>Table16[[#This Row],[EFF, h]]*100</f>
        <v>92.606915615073433</v>
      </c>
      <c r="BP186" s="345">
        <f>Table16[[#This Row],[Total Inductor Loss]]</f>
        <v>6.1785989213347241</v>
      </c>
      <c r="BQ186" s="345">
        <f>Table16[[#This Row],[Total Control Bu MOSFET Loss]]+Table16[[#This Row],[Total Sync Bu MOSFET Loss]]+Table16[[#This Row],[Total Control Bo MOSFET Loss]]+Table16[[#This Row],[Total Sync Bo MOSFET Loss]]+Table16[[#This Row],[Reverse Recovery Loss MOSFET D BUCK]]+Table16[[#This Row],[Reverse Recovery Loss MOSFET D BOOST]]</f>
        <v>2.390369904861728</v>
      </c>
      <c r="BR186" s="345">
        <f>Table16[[#This Row],[Total Control Bu MOSFET Loss]]+Table16[[#This Row],[Reverse Recovery Loss MOSFET D BUCK]]*0.66</f>
        <v>1.5265515716936964</v>
      </c>
      <c r="BS186" s="345">
        <f>Table16[[#This Row],[Total Sync Bu MOSFET Loss]]+Table16[[#This Row],[Reverse Recovery Loss MOSFET D BUCK]]*0.33</f>
        <v>0.57697074426497452</v>
      </c>
      <c r="BT186" s="345">
        <f xml:space="preserve"> Table16[[#This Row],[Total Control Bo MOSFET Loss]]+Table16[[#This Row],[Reverse Recovery Loss MOSFET D BOOST]]*0.66</f>
        <v>0</v>
      </c>
      <c r="BU186" s="345">
        <f xml:space="preserve"> Table16[[#This Row],[Total Sync Bo MOSFET Loss]]+Table16[[#This Row],[Reverse Recovery Loss MOSFET D BOOST]]*0.33</f>
        <v>0.28102289870305713</v>
      </c>
      <c r="BV186" s="345">
        <f>Table16[[#This Row],[Isense Shunt Loss]]</f>
        <v>4.9282195653203513E-2</v>
      </c>
    </row>
    <row r="187" spans="7:74" x14ac:dyDescent="0.2">
      <c r="G187" s="253">
        <v>178</v>
      </c>
      <c r="H187" s="286">
        <f>VIN_min+(VIN_max-VIN_min)*(Table16[[#This Row],[Step]]/200)</f>
        <v>32.700000000000003</v>
      </c>
      <c r="I187" s="292" t="str">
        <f>IF(Mode = 2,IF(Table16[[#This Row],[Vin]]&gt;Vout, "BUCK","BOOST"),IF(Table16[[#This Row],[Vin]]&gt;VIN_BB_to_buck, "BUCK", IF(Table16[[#This Row],[Vin]]&lt;=VIN_boost_to_BB,"BOOST","BUCK-BST")))</f>
        <v>BUCK</v>
      </c>
      <c r="J187" s="253">
        <f>IF(Table16[[#This Row],[Mode]]="BOOST",2, IF(Table16[[#This Row],[Mode]]="BUCK", 1,3))</f>
        <v>1</v>
      </c>
      <c r="K187" s="253">
        <f t="shared" si="7"/>
        <v>8</v>
      </c>
      <c r="L187" s="292">
        <f>Vout*Table16[[#This Row],[Iout]]/(Table16[[#This Row],[Vin]]*Efficiency)</f>
        <v>4.1203927249315946</v>
      </c>
      <c r="M187" s="682">
        <f>MIN(1/Fsw,CHOOSE(Table16[[#This Row],[Mode Digit]],(Vout+(Rdson2+Rs+Rdcr)*Table16[[#This Row],[Iout]])/(Table16[[#This Row],[Vin]]+(Rs+Rdson2-Rdson1)*Table16[[#This Row],[Iout]])/Fsw,(Vout+(Rdson3+Rdcr)*Table16[[#This Row],[Iin]]-Table16[[#This Row],[Vin]])/(Vout+(Rdson3-Rdson4-Rs)*Table16[[#This Row],[Iin]])/Fsw,t1_Ph_II))</f>
        <v>1.2339136496412802E-6</v>
      </c>
      <c r="N187" s="518">
        <f>CHOOSE(Table16[[#This Row],[Mode Digit]],1/Fsw-Table16[[#This Row],[t1_Ph_II]],1/Fsw-Table16[[#This Row],[t1_Ph_II]],(Vout/Fsw-Table16[[#This Row],[Vin]]*t1_Ph_II)/(Table16[[#This Row],[Vin]]+Vout))</f>
        <v>1.2786491644290717E-6</v>
      </c>
      <c r="O187" s="518">
        <f>1/Fsw-(Table16[[#This Row],[t1_Ph_II]]+Table16[[#This Row],[t2_Ph_I]])</f>
        <v>0</v>
      </c>
      <c r="P187"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2.2760116808307282</v>
      </c>
      <c r="Q187" s="292">
        <f>CHOOSE(Table16[[#This Row],[Mode Digit]],Table16[[#This Row],[I_0]]+1/Lf*(Table16[[#This Row],[Vin]]-Vout)*Table16[[#This Row],[t1_Ph_II]],Table16[[#This Row],[I_0]]+1/Lf*Table16[[#This Row],[Vin]]*Table16[[#This Row],[t1_Ph_II]],Table16[[#This Row],[I_0]]+(Table16[[#This Row],[Vin]]-Vout)/L*Table16[[#This Row],[t1_Ph_II]])</f>
        <v>13.723988319169273</v>
      </c>
      <c r="R187" s="292">
        <f>CHOOSE(Table16[[#This Row],[Mode Digit]],0,0,Table16[[#This Row],[I_1]]+Table16[[#This Row],[Vin]]/L*Table16[[#This Row],[t2_Ph_I]])</f>
        <v>0</v>
      </c>
      <c r="S187" s="292">
        <f>Fsw*(Table16[[#This Row],[I_0]]*Table16[[#This Row],[t1_Ph_II]]+Table16[[#This Row],[I_1]]*Table16[[#This Row],[t2_Ph_I]]+Table16[[#This Row],[I_2]]*Table16[[#This Row],[t3_Ph_III]])</f>
        <v>8.1019140945107431</v>
      </c>
      <c r="T187" s="345">
        <f>MIN(1,CHOOSE(Table16[[#This Row],[Mode Digit]],(Vout+(Rdson2+Rs+Rdcr)*Table16[[#This Row],[Iout]])/(Table16[[#This Row],[Vin]]+(Rs+Rdson2-Rdson1)*Table16[[#This Row],[Iout]]),1,Fsw*Table16[[#This Row],[t2_Ph_I]]+Table16[[#This Row],[t1_Ph_II]]))</f>
        <v>0.49109763255722949</v>
      </c>
      <c r="U187" s="345">
        <f>MIN(1,CHOOSE(Table16[[#This Row],[Mode Digit]],0,(Vout+(Rdson3+Rdcr)*Table16[[#This Row],[Iin]]-Table16[[#This Row],[Vin]])/(Vout+(Rdson3-Rdson4-Rs)*Table16[[#This Row],[Iin]]),Fsw*Table16[[#This Row],[t1_Ph_II]]+Table16[[#This Row],[t3_Ph_III]]))</f>
        <v>0</v>
      </c>
      <c r="V187" s="292">
        <f>MAX(Table16[[#This Row],[I_0]:[I_2]])-MIN(Table16[[#This Row],[I_0]:[I_1]])</f>
        <v>11.447976638338545</v>
      </c>
      <c r="W187"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8.6557118382023006</v>
      </c>
      <c r="X187" s="345">
        <f>(Table16[[#This Row],[Irms Lf]]^2*Rdcr*(1+Ltc*Ta-Ltc*25))/(1-Table16[[#This Row],[Irms Lf]]^2*Rdcr*Ltc*ThetaCa)</f>
        <v>0.2444365722047265</v>
      </c>
      <c r="Y187" s="345">
        <f>ABS(7.759*10^-3*Fsw^0.9458*(0.00787*Table16[[#This Row],[Ripple Current pk-pk]])^2.304)</f>
        <v>5.9953142097961702</v>
      </c>
      <c r="Z187" s="345">
        <f>Table16[[#This Row],[DCR    Loss]]+Table16[[#This Row],[Core Loss]]</f>
        <v>6.2397507820008968</v>
      </c>
      <c r="AA187" s="292">
        <f>IF(Table16[[#This Row],[Vin]]&gt;Vout, Table16[[#This Row],[Ripple Current pk-pk]]/SQRT(12), SQRT(Table16[[#This Row],[Duty Cycle BOOST Leg]]/(1-Table16[[#This Row],[Duty Cycle BOOST Leg]]))*SQRT(Table16[[#This Row],[Iout]]^2+(Table16[[#This Row],[Ripple Current pk-pk]]^2)/12))</f>
        <v>3.3047461969106533</v>
      </c>
      <c r="AB187" s="345">
        <f>RCoutEsr*Table16[[#This Row],[Irms Cout]]^2</f>
        <v>2.1842694851990852E-2</v>
      </c>
      <c r="AC187" s="345">
        <f>Table16[[#This Row],[Cout ESR Loss]]</f>
        <v>2.1842694851990852E-2</v>
      </c>
      <c r="AD187" s="345">
        <f>IF(Table16[[#This Row],[Vin]]&gt;Vout, SQRT(Table16[[#This Row],[Duty Cycle BUCK Leg]]*(1-Table16[[#This Row],[Duty Cycle BUCK Leg]]))*SQRT(Table16[[#This Row],[Iout]]^2+(Table16[[#This Row],[Ripple Current pk-pk]]^2)/12), Table16[[#This Row],[Ripple Current pk-pk]]/SQRT(12))</f>
        <v>4.3271698809877668</v>
      </c>
      <c r="AE187" s="345">
        <f>RCinEsr*Table16[[#This Row],[Irms Cin]]^2</f>
        <v>3.7448798357855369E-2</v>
      </c>
      <c r="AF187" s="683">
        <f>Table16[[#This Row],[Cin ESR Loss]]</f>
        <v>3.7448798357855369E-2</v>
      </c>
      <c r="AG187"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6.065780769934241</v>
      </c>
      <c r="AH187" s="345">
        <f>Rdson1*Table16[[#This Row],[Irms BuCtrl]]^2</f>
        <v>0.12877793722116412</v>
      </c>
      <c r="AI187" s="345">
        <f>CHOOSE(Table16[[#This Row],[Mode Digit]], (Table16[[#This Row],[Vin]]*Table16[[#This Row],[Iout]]/2)*(Fsw)*(Tr_buck+Tf_buck), 0, (Table16[[#This Row],[Vin]]*Table16[[#This Row],[Avg IL]]/2)*(Fsw/1)*(Tr_buck+Tf_buck))</f>
        <v>0.97904040625124411</v>
      </c>
      <c r="AJ187" s="253">
        <f>IF(Table16[[#This Row],[Vin]]&gt;Vout, IF(Table16[[#This Row],[Iout]]&gt;Table16[[#This Row],[Ripple Current pk-pk]]/2,0,ABS(Table16[[#This Row],[Iout]]-Table16[[#This Row],[Ripple Current pk-pk]]/2)*Vsd_Q1*Deadtime*Fsw),0)</f>
        <v>0</v>
      </c>
      <c r="AK187" s="345">
        <f>(Table16[[#This Row],[Dead Time Loss BuCtrl]]+Table16[[#This Row],[Transition Loss BuCtrl]]+Table16[[#This Row],[RDS(on) Loss BuCtrl]]*(1+RdsonTopTc*Ta-RdsonTopTc*25))/(1-Table16[[#This Row],[RDS(on) Loss BuCtrl]]*RdsonTopTc*ThetaJA_Q1)</f>
        <v>1.146195565626706</v>
      </c>
      <c r="AL187" s="345">
        <f>CHOOSE(Table16[[#This Row],[Mode Digit]],SQRT((Fsw*(Table16[[#This Row],[t2_Ph_I]]+0))*((Table16[[#This Row],[I_0]]*Table16[[#This Row],[I_1]]+((Table16[[#This Row],[I_0]]-Table16[[#This Row],[I_1]])^2)/3))),0,SQRT((Fsw*(Table16[[#This Row],[t3_Ph_III]]+0))*((Table16[[#This Row],[I_0]]*Table16[[#This Row],[I_2]]+((Table16[[#This Row],[I_0]]-Table16[[#This Row],[I_2]])^2)/3))))</f>
        <v>6.1747591918301881</v>
      </c>
      <c r="AM187" s="345">
        <f>Rdson2*Table16[[#This Row],[Irms BuSync]]^2</f>
        <v>0.13344677876981989</v>
      </c>
      <c r="AN187"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87" s="345">
        <f>(Table16[[#This Row],[Deadtime Loss BuSync]]+Table16[[#This Row],[RDS(on) Loss BuSync]]*(1+RdsonBotTc*Ta-RdsonBotTc*25))/(1-Table16[[#This Row],[RDS(on) Loss BuSync]]*RdsonBotTc*ThetaJA_Q2)</f>
        <v>0.38562653985322665</v>
      </c>
      <c r="AP187" s="345">
        <f>CHOOSE(Table16[[#This Row],[Mode Digit]],0,SQRT((Fsw*(Table16[[#This Row],[t1_Ph_II]]+0))*((Table16[[#This Row],[I_0]]*Table16[[#This Row],[I_1]]+((Table16[[#This Row],[I_0]]-Table16[[#This Row],[I_1]])^2)/3))),SQRT((Fsw*(Table16[[#This Row],[t2_Ph_I]]+0))*((Table16[[#This Row],[I_1]]*Table16[[#This Row],[I_2]]+((Table16[[#This Row],[I_1]]-Table16[[#This Row],[I_2]])^2)/3))))</f>
        <v>0</v>
      </c>
      <c r="AQ187" s="345">
        <f>Rdson4*Table16[[#This Row],[Irms BoCtlr]]^2</f>
        <v>0</v>
      </c>
      <c r="AR187" s="345">
        <f>CHOOSE(Table16[[#This Row],[Mode Digit]], 0, (Vout*Table16[[#This Row],[Iin]]/2)*(Fsw)*(Tr_boost+Tf_boost), (Vout*Iout/2)*(Fsw/1)*(Tr_boost+Tf_boost))</f>
        <v>0</v>
      </c>
      <c r="AS187" s="253">
        <f>IF(Table16[[#This Row],[Vin]]&gt;Vout, 0, IF(Table16[[#This Row],[Iin]]&gt;Table16[[#This Row],[Ripple Current pk-pk]]/2,0,ABS(Table16[[#This Row],[Iin]]-Table16[[#This Row],[Ripple Current pk-pk]]/2)*Vsd_Q4*Deadtime*Fsw))</f>
        <v>0</v>
      </c>
      <c r="AT187" s="345">
        <f>(Table16[[#This Row],[Dead Time Loss BoCtlr]]+Table16[[#This Row],[Transition Loss BoCtlr]]+Table16[[#This Row],[RDS(on) Loss BoCtlr]]*(1+RdsonTopTc*Ta-RdsonTopTc*25))/(1-Table16[[#This Row],[RDS(on) Loss BoCtlr]]*RdsonTopTc*ThetaJA_Q4)</f>
        <v>0</v>
      </c>
      <c r="AU187"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8.6557118382023006</v>
      </c>
      <c r="AV187" s="345">
        <f>Rdson3*Table16[[#This Row],[Irms BoSync]]^2</f>
        <v>0.26222471599098407</v>
      </c>
      <c r="AW187"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87" s="345">
        <f>(Table16[[#This Row],[Deadtime Loss BoSync]]+Table16[[#This Row],[RDS(on) Loss BoSync]]*(1+RdsonBotTc*Ta-RdsonBotTc*25))/(1-Table16[[#This Row],[RDS(on) Loss BoSync]]*RdsonBotTc*ThetaJA_Q3)</f>
        <v>0.28141086593402931</v>
      </c>
      <c r="AY187" s="345">
        <f>CHOOSE(Table16[[#This Row],[Mode Digit]], Rdson3*Table16[[#This Row],[Irms Lf]]^2, Rdson1*Table16[[#This Row],[Irms Lf]]^2, 0)</f>
        <v>0.26222471599098407</v>
      </c>
      <c r="AZ187" s="345">
        <f>CHOOSE(Table16[[#This Row],[Mode Digit]], 2*Deadtime*Fsw*IF(VfdSky_Q2&gt;0,VfdSky_Q2,0)*Table16[[#This Row],[Iout]], 2*Deadtime*Fsw*IF(VfdSky_Q3&gt;0,VfdSky_Q3,0)*Table16[[#This Row],[Iin]], 2*Deadtime*Fsw*IF(VfdSky_Q2&gt;0,VfdSky_Q2,0)*Table16[[#This Row],[Iout]]+2*Deadtime*Fsw*IF(VfdSky_Q3&gt;0,VfdSky_Q3,0)*Table16[[#This Row],[Iin]])</f>
        <v>0</v>
      </c>
      <c r="BA187" s="345">
        <f>CHOOSE(Table16[[#This Row],[Mode Digit]], IF(QrrSky_Q2&gt;0,QrrSky_Q2,Qrr_Q2)*Fsw*(Table16[[#This Row],[Vin]]-Table16[[#This Row],[Iout]]*Rdson1),0,  IF(QrrSky_Q2&gt;0,QrrSky_Q2,Qrr_Q2)*Fsw*(Table16[[#This Row],[Vin]]-Table16[[#This Row],[Iout]]*Rdson1)+IF(QrrSky_Q3&gt;0,QrrSky_Q3,Qrr_Q3)*Fsw*Vout)</f>
        <v>0.58515552000000004</v>
      </c>
      <c r="BB187" s="345">
        <f>CHOOSE(Table16[[#This Row],[Mode Digit]],0, IF(QrrSky_Q3&gt;0,QrrSky_Q3,Qrr_Q3)*Fsw*Vout,  IF(QrrSky_Q2&gt;0,QrrSky_Q2,Qrr_Q2)*Fsw*(Table16[[#This Row],[Vin]]-Table16[[#This Row],[Iout]]*Rdson1)+IF(QrrSky_Q3&gt;0,QrrSky_Q3,Qrr_Q3)*Fsw*Vout)</f>
        <v>0</v>
      </c>
      <c r="BC187" s="345">
        <f>CHOOSE(Table16[[#This Row],[Mode Digit]], Rs*Table16[[#This Row],[Irms BuSync]]^2, Rs*Table16[[#This Row],[Irms BoCtlr]]^2, Rs*(Table16[[#This Row],[Irms BuSync]]^2+Table16[[#This Row],[Irms BoCtlr]]^2))</f>
        <v>4.9565946400218816E-2</v>
      </c>
      <c r="BD187" s="345">
        <f t="shared" si="8"/>
        <v>0.64</v>
      </c>
      <c r="BE187" s="345">
        <f>IF(Vout&gt;8, Iq*Vout, Iq*Table16[[#This Row],[Vin]])</f>
        <v>4.8000000000000001E-2</v>
      </c>
      <c r="BF187" s="345">
        <f>CHOOSE(Table16[[#This Row],[Mode Digit]], (Qg_Q1+Qg_Q2)*Fsw, (Qg_Q3+Qg_Q4)*Fsw, (Qg_Q1+Qg_Q2+Qg_Q3+Qg_Q4)*Fsw)*IF(Vout&gt;8, Vout, Table16[[#This Row],[Vin]])</f>
        <v>0.85331200000000007</v>
      </c>
      <c r="BG187" s="345">
        <f t="shared" si="9"/>
        <v>0.50594479787234037</v>
      </c>
      <c r="BH187" s="345">
        <f>Table16[[#This Row],[IQ Loss]]+Table16[[#This Row],[Switching Current Loss]]</f>
        <v>0.90131200000000011</v>
      </c>
      <c r="BI187"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10.288308713024925</v>
      </c>
      <c r="BJ187" s="253">
        <f>Vout*Table16[[#This Row],[Iout]]</f>
        <v>128</v>
      </c>
      <c r="BK187" s="684">
        <f>Table16[[#This Row],[Pout]]/(Table16[[#This Row],[Pout]]+Table16[[#This Row],[Total Loss]])</f>
        <v>0.92560246915467626</v>
      </c>
      <c r="BL187"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74.502711765735896</v>
      </c>
      <c r="BM187" s="685">
        <f>IF(Table16[[#This Row],[Vin]]&gt;Vout, Table16[[#This Row],[Total Sync Bu MOSFET Loss]]*ThetaJA_Q2, ThetaJA_Q3*Table16[[#This Row],[Total Sync Bo MOSFET Loss]])</f>
        <v>25.065725090459733</v>
      </c>
      <c r="BN187" s="640"/>
      <c r="BO187" s="292">
        <f>Table16[[#This Row],[EFF, h]]*100</f>
        <v>92.56024691546763</v>
      </c>
      <c r="BP187" s="345">
        <f>Table16[[#This Row],[Total Inductor Loss]]</f>
        <v>6.2397507820008968</v>
      </c>
      <c r="BQ187" s="345">
        <f>Table16[[#This Row],[Total Control Bu MOSFET Loss]]+Table16[[#This Row],[Total Sync Bu MOSFET Loss]]+Table16[[#This Row],[Total Control Bo MOSFET Loss]]+Table16[[#This Row],[Total Sync Bo MOSFET Loss]]+Table16[[#This Row],[Reverse Recovery Loss MOSFET D BUCK]]+Table16[[#This Row],[Reverse Recovery Loss MOSFET D BOOST]]</f>
        <v>2.3983884914139617</v>
      </c>
      <c r="BR187" s="345">
        <f>Table16[[#This Row],[Total Control Bu MOSFET Loss]]+Table16[[#This Row],[Reverse Recovery Loss MOSFET D BUCK]]*0.66</f>
        <v>1.5323982088267061</v>
      </c>
      <c r="BS187" s="345">
        <f>Table16[[#This Row],[Total Sync Bu MOSFET Loss]]+Table16[[#This Row],[Reverse Recovery Loss MOSFET D BUCK]]*0.33</f>
        <v>0.57872786145322663</v>
      </c>
      <c r="BT187" s="345">
        <f xml:space="preserve"> Table16[[#This Row],[Total Control Bo MOSFET Loss]]+Table16[[#This Row],[Reverse Recovery Loss MOSFET D BOOST]]*0.66</f>
        <v>0</v>
      </c>
      <c r="BU187" s="345">
        <f xml:space="preserve"> Table16[[#This Row],[Total Sync Bo MOSFET Loss]]+Table16[[#This Row],[Reverse Recovery Loss MOSFET D BOOST]]*0.33</f>
        <v>0.28141086593402931</v>
      </c>
      <c r="BV187" s="345">
        <f>Table16[[#This Row],[Isense Shunt Loss]]</f>
        <v>4.9565946400218816E-2</v>
      </c>
    </row>
    <row r="188" spans="7:74" x14ac:dyDescent="0.2">
      <c r="G188" s="253">
        <v>179</v>
      </c>
      <c r="H188" s="286">
        <f>VIN_min+(VIN_max-VIN_min)*(Table16[[#This Row],[Step]]/200)</f>
        <v>32.85</v>
      </c>
      <c r="I188" s="292" t="str">
        <f>IF(Mode = 2,IF(Table16[[#This Row],[Vin]]&gt;Vout, "BUCK","BOOST"),IF(Table16[[#This Row],[Vin]]&gt;VIN_BB_to_buck, "BUCK", IF(Table16[[#This Row],[Vin]]&lt;=VIN_boost_to_BB,"BOOST","BUCK-BST")))</f>
        <v>BUCK</v>
      </c>
      <c r="J188" s="253">
        <f>IF(Table16[[#This Row],[Mode]]="BOOST",2, IF(Table16[[#This Row],[Mode]]="BUCK", 1,3))</f>
        <v>1</v>
      </c>
      <c r="K188" s="253">
        <f t="shared" si="7"/>
        <v>8</v>
      </c>
      <c r="L188" s="292">
        <f>Vout*Table16[[#This Row],[Iout]]/(Table16[[#This Row],[Vin]]*Efficiency)</f>
        <v>4.1015781462789391</v>
      </c>
      <c r="M188" s="682">
        <f>MIN(1/Fsw,CHOOSE(Table16[[#This Row],[Mode Digit]],(Vout+(Rdson2+Rs+Rdcr)*Table16[[#This Row],[Iout]])/(Table16[[#This Row],[Vin]]+(Rs+Rdson2-Rdson1)*Table16[[#This Row],[Iout]])/Fsw,(Vout+(Rdson3+Rdcr)*Table16[[#This Row],[Iin]]-Table16[[#This Row],[Vin]])/(Vout+(Rdson3-Rdson4-Rs)*Table16[[#This Row],[Iin]])/Fsw,t1_Ph_II))</f>
        <v>1.2282811239432914E-6</v>
      </c>
      <c r="N188" s="518">
        <f>CHOOSE(Table16[[#This Row],[Mode Digit]],1/Fsw-Table16[[#This Row],[t1_Ph_II]],1/Fsw-Table16[[#This Row],[t1_Ph_II]],(Vout/Fsw-Table16[[#This Row],[Vin]]*t1_Ph_II)/(Table16[[#This Row],[Vin]]+Vout))</f>
        <v>1.2842816901270604E-6</v>
      </c>
      <c r="O188" s="518">
        <f>1/Fsw-(Table16[[#This Row],[t1_Ph_II]]+Table16[[#This Row],[t2_Ph_I]])</f>
        <v>0</v>
      </c>
      <c r="P188"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2.2509619615432044</v>
      </c>
      <c r="Q188" s="292">
        <f>CHOOSE(Table16[[#This Row],[Mode Digit]],Table16[[#This Row],[I_0]]+1/Lf*(Table16[[#This Row],[Vin]]-Vout)*Table16[[#This Row],[t1_Ph_II]],Table16[[#This Row],[I_0]]+1/Lf*Table16[[#This Row],[Vin]]*Table16[[#This Row],[t1_Ph_II]],Table16[[#This Row],[I_0]]+(Table16[[#This Row],[Vin]]-Vout)/L*Table16[[#This Row],[t1_Ph_II]])</f>
        <v>13.749038038456796</v>
      </c>
      <c r="R188" s="292">
        <f>CHOOSE(Table16[[#This Row],[Mode Digit]],0,0,Table16[[#This Row],[I_1]]+Table16[[#This Row],[Vin]]/L*Table16[[#This Row],[t2_Ph_I]])</f>
        <v>0</v>
      </c>
      <c r="S188" s="292">
        <f>Fsw*(Table16[[#This Row],[I_0]]*Table16[[#This Row],[t1_Ph_II]]+Table16[[#This Row],[I_1]]*Table16[[#This Row],[t2_Ph_I]]+Table16[[#This Row],[I_2]]*Table16[[#This Row],[t3_Ph_III]])</f>
        <v>8.1281358552959109</v>
      </c>
      <c r="T188" s="345">
        <f>MIN(1,CHOOSE(Table16[[#This Row],[Mode Digit]],(Vout+(Rdson2+Rs+Rdcr)*Table16[[#This Row],[Iout]])/(Table16[[#This Row],[Vin]]+(Rs+Rdson2-Rdson1)*Table16[[#This Row],[Iout]]),1,Fsw*Table16[[#This Row],[t2_Ph_I]]+Table16[[#This Row],[t1_Ph_II]]))</f>
        <v>0.48885588732942997</v>
      </c>
      <c r="U188" s="345">
        <f>MIN(1,CHOOSE(Table16[[#This Row],[Mode Digit]],0,(Vout+(Rdson3+Rdcr)*Table16[[#This Row],[Iin]]-Table16[[#This Row],[Vin]])/(Vout+(Rdson3-Rdson4-Rs)*Table16[[#This Row],[Iin]]),Fsw*Table16[[#This Row],[t1_Ph_II]]+Table16[[#This Row],[t3_Ph_III]]))</f>
        <v>0</v>
      </c>
      <c r="V188" s="292">
        <f>MAX(Table16[[#This Row],[I_0]:[I_2]])-MIN(Table16[[#This Row],[I_0]:[I_1]])</f>
        <v>11.498076076913591</v>
      </c>
      <c r="W188"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8.6612439131190087</v>
      </c>
      <c r="X188" s="345">
        <f>(Table16[[#This Row],[Irms Lf]]^2*Rdcr*(1+Ltc*Ta-Ltc*25))/(1-Table16[[#This Row],[Irms Lf]]^2*Rdcr*Ltc*ThetaCa)</f>
        <v>0.24475524258013584</v>
      </c>
      <c r="Y188" s="345">
        <f>ABS(7.759*10^-3*Fsw^0.9458*(0.00787*Table16[[#This Row],[Ripple Current pk-pk]])^2.304)</f>
        <v>6.0559370830440544</v>
      </c>
      <c r="Z188" s="345">
        <f>Table16[[#This Row],[DCR    Loss]]+Table16[[#This Row],[Core Loss]]</f>
        <v>6.3006923256241905</v>
      </c>
      <c r="AA188" s="292">
        <f>IF(Table16[[#This Row],[Vin]]&gt;Vout, Table16[[#This Row],[Ripple Current pk-pk]]/SQRT(12), SQRT(Table16[[#This Row],[Duty Cycle BOOST Leg]]/(1-Table16[[#This Row],[Duty Cycle BOOST Leg]]))*SQRT(Table16[[#This Row],[Iout]]^2+(Table16[[#This Row],[Ripple Current pk-pk]]^2)/12))</f>
        <v>3.3192086590844294</v>
      </c>
      <c r="AB188" s="345">
        <f>RCoutEsr*Table16[[#This Row],[Irms Cout]]^2</f>
        <v>2.2034292245082115E-2</v>
      </c>
      <c r="AC188" s="345">
        <f>Table16[[#This Row],[Cout ESR Loss]]</f>
        <v>2.2034292245082115E-2</v>
      </c>
      <c r="AD188" s="345">
        <f>IF(Table16[[#This Row],[Vin]]&gt;Vout, SQRT(Table16[[#This Row],[Duty Cycle BUCK Leg]]*(1-Table16[[#This Row],[Duty Cycle BUCK Leg]]))*SQRT(Table16[[#This Row],[Iout]]^2+(Table16[[#This Row],[Ripple Current pk-pk]]^2)/12), Table16[[#This Row],[Ripple Current pk-pk]]/SQRT(12))</f>
        <v>4.329546172255915</v>
      </c>
      <c r="AE188" s="345">
        <f>RCinEsr*Table16[[#This Row],[Irms Cin]]^2</f>
        <v>3.7489940115391689E-2</v>
      </c>
      <c r="AF188" s="683">
        <f>Table16[[#This Row],[Cin ESR Loss]]</f>
        <v>3.7489940115391689E-2</v>
      </c>
      <c r="AG188"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6.05578843195965</v>
      </c>
      <c r="AH188" s="345">
        <f>Rdson1*Table16[[#This Row],[Irms BuCtrl]]^2</f>
        <v>0.12835400736429711</v>
      </c>
      <c r="AI188" s="345">
        <f>CHOOSE(Table16[[#This Row],[Mode Digit]], (Table16[[#This Row],[Vin]]*Table16[[#This Row],[Iout]]/2)*(Fsw)*(Tr_buck+Tf_buck), 0, (Table16[[#This Row],[Vin]]*Table16[[#This Row],[Avg IL]]/2)*(Fsw/1)*(Tr_buck+Tf_buck))</f>
        <v>0.98353141728909377</v>
      </c>
      <c r="AJ188" s="253">
        <f>IF(Table16[[#This Row],[Vin]]&gt;Vout, IF(Table16[[#This Row],[Iout]]&gt;Table16[[#This Row],[Ripple Current pk-pk]]/2,0,ABS(Table16[[#This Row],[Iout]]-Table16[[#This Row],[Ripple Current pk-pk]]/2)*Vsd_Q1*Deadtime*Fsw),0)</f>
        <v>0</v>
      </c>
      <c r="AK188" s="345">
        <f>(Table16[[#This Row],[Dead Time Loss BuCtrl]]+Table16[[#This Row],[Transition Loss BuCtrl]]+Table16[[#This Row],[RDS(on) Loss BuCtrl]]*(1+RdsonTopTc*Ta-RdsonTopTc*25))/(1-Table16[[#This Row],[RDS(on) Loss BuCtrl]]*RdsonTopTc*ThetaJA_Q1)</f>
        <v>1.1502723621359321</v>
      </c>
      <c r="AL188" s="345">
        <f>CHOOSE(Table16[[#This Row],[Mode Digit]],SQRT((Fsw*(Table16[[#This Row],[t2_Ph_I]]+0))*((Table16[[#This Row],[I_0]]*Table16[[#This Row],[I_1]]+((Table16[[#This Row],[I_0]]-Table16[[#This Row],[I_1]])^2)/3))),0,SQRT((Fsw*(Table16[[#This Row],[t3_Ph_III]]+0))*((Table16[[#This Row],[I_0]]*Table16[[#This Row],[I_2]]+((Table16[[#This Row],[I_0]]-Table16[[#This Row],[I_2]])^2)/3))))</f>
        <v>6.1922994589962093</v>
      </c>
      <c r="AM188" s="345">
        <f>Rdson2*Table16[[#This Row],[Irms BuSync]]^2</f>
        <v>0.13420600406459662</v>
      </c>
      <c r="AN188"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88" s="345">
        <f>(Table16[[#This Row],[Deadtime Loss BuSync]]+Table16[[#This Row],[RDS(on) Loss BuSync]]*(1+RdsonBotTc*Ta-RdsonBotTc*25))/(1-Table16[[#This Row],[RDS(on) Loss BuSync]]*RdsonBotTc*ThetaJA_Q2)</f>
        <v>0.38649208938346691</v>
      </c>
      <c r="AP188" s="345">
        <f>CHOOSE(Table16[[#This Row],[Mode Digit]],0,SQRT((Fsw*(Table16[[#This Row],[t1_Ph_II]]+0))*((Table16[[#This Row],[I_0]]*Table16[[#This Row],[I_1]]+((Table16[[#This Row],[I_0]]-Table16[[#This Row],[I_1]])^2)/3))),SQRT((Fsw*(Table16[[#This Row],[t2_Ph_I]]+0))*((Table16[[#This Row],[I_1]]*Table16[[#This Row],[I_2]]+((Table16[[#This Row],[I_1]]-Table16[[#This Row],[I_2]])^2)/3))))</f>
        <v>0</v>
      </c>
      <c r="AQ188" s="345">
        <f>Rdson4*Table16[[#This Row],[Irms BoCtlr]]^2</f>
        <v>0</v>
      </c>
      <c r="AR188" s="345">
        <f>CHOOSE(Table16[[#This Row],[Mode Digit]], 0, (Vout*Table16[[#This Row],[Iin]]/2)*(Fsw)*(Tr_boost+Tf_boost), (Vout*Iout/2)*(Fsw/1)*(Tr_boost+Tf_boost))</f>
        <v>0</v>
      </c>
      <c r="AS188" s="253">
        <f>IF(Table16[[#This Row],[Vin]]&gt;Vout, 0, IF(Table16[[#This Row],[Iin]]&gt;Table16[[#This Row],[Ripple Current pk-pk]]/2,0,ABS(Table16[[#This Row],[Iin]]-Table16[[#This Row],[Ripple Current pk-pk]]/2)*Vsd_Q4*Deadtime*Fsw))</f>
        <v>0</v>
      </c>
      <c r="AT188" s="345">
        <f>(Table16[[#This Row],[Dead Time Loss BoCtlr]]+Table16[[#This Row],[Transition Loss BoCtlr]]+Table16[[#This Row],[RDS(on) Loss BoCtlr]]*(1+RdsonTopTc*Ta-RdsonTopTc*25))/(1-Table16[[#This Row],[RDS(on) Loss BoCtlr]]*RdsonTopTc*ThetaJA_Q4)</f>
        <v>0</v>
      </c>
      <c r="AU188"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8.6612439131190087</v>
      </c>
      <c r="AV188" s="345">
        <f>Rdson3*Table16[[#This Row],[Irms BoSync]]^2</f>
        <v>0.26256001142889379</v>
      </c>
      <c r="AW188"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88" s="345">
        <f>(Table16[[#This Row],[Deadtime Loss BoSync]]+Table16[[#This Row],[RDS(on) Loss BoSync]]*(1+RdsonBotTc*Ta-RdsonBotTc*25))/(1-Table16[[#This Row],[RDS(on) Loss BoSync]]*RdsonBotTc*ThetaJA_Q3)</f>
        <v>0.2817970574728777</v>
      </c>
      <c r="AY188" s="345">
        <f>CHOOSE(Table16[[#This Row],[Mode Digit]], Rdson3*Table16[[#This Row],[Irms Lf]]^2, Rdson1*Table16[[#This Row],[Irms Lf]]^2, 0)</f>
        <v>0.26256001142889379</v>
      </c>
      <c r="AZ188" s="345">
        <f>CHOOSE(Table16[[#This Row],[Mode Digit]], 2*Deadtime*Fsw*IF(VfdSky_Q2&gt;0,VfdSky_Q2,0)*Table16[[#This Row],[Iout]], 2*Deadtime*Fsw*IF(VfdSky_Q3&gt;0,VfdSky_Q3,0)*Table16[[#This Row],[Iin]], 2*Deadtime*Fsw*IF(VfdSky_Q2&gt;0,VfdSky_Q2,0)*Table16[[#This Row],[Iout]]+2*Deadtime*Fsw*IF(VfdSky_Q3&gt;0,VfdSky_Q3,0)*Table16[[#This Row],[Iin]])</f>
        <v>0</v>
      </c>
      <c r="BA188" s="345">
        <f>CHOOSE(Table16[[#This Row],[Mode Digit]], IF(QrrSky_Q2&gt;0,QrrSky_Q2,Qrr_Q2)*Fsw*(Table16[[#This Row],[Vin]]-Table16[[#This Row],[Iout]]*Rdson1),0,  IF(QrrSky_Q2&gt;0,QrrSky_Q2,Qrr_Q2)*Fsw*(Table16[[#This Row],[Vin]]-Table16[[#This Row],[Iout]]*Rdson1)+IF(QrrSky_Q3&gt;0,QrrSky_Q3,Qrr_Q3)*Fsw*Vout)</f>
        <v>0.58784201999999997</v>
      </c>
      <c r="BB188" s="345">
        <f>CHOOSE(Table16[[#This Row],[Mode Digit]],0, IF(QrrSky_Q3&gt;0,QrrSky_Q3,Qrr_Q3)*Fsw*Vout,  IF(QrrSky_Q2&gt;0,QrrSky_Q2,Qrr_Q2)*Fsw*(Table16[[#This Row],[Vin]]-Table16[[#This Row],[Iout]]*Rdson1)+IF(QrrSky_Q3&gt;0,QrrSky_Q3,Qrr_Q3)*Fsw*Vout)</f>
        <v>0</v>
      </c>
      <c r="BC188" s="345">
        <f>CHOOSE(Table16[[#This Row],[Mode Digit]], Rs*Table16[[#This Row],[Irms BuSync]]^2, Rs*Table16[[#This Row],[Irms BoCtlr]]^2, Rs*(Table16[[#This Row],[Irms BuSync]]^2+Table16[[#This Row],[Irms BoCtlr]]^2))</f>
        <v>4.9847944366850173E-2</v>
      </c>
      <c r="BD188" s="345">
        <f t="shared" si="8"/>
        <v>0.64</v>
      </c>
      <c r="BE188" s="345">
        <f>IF(Vout&gt;8, Iq*Vout, Iq*Table16[[#This Row],[Vin]])</f>
        <v>4.8000000000000001E-2</v>
      </c>
      <c r="BF188" s="345">
        <f>CHOOSE(Table16[[#This Row],[Mode Digit]], (Qg_Q1+Qg_Q2)*Fsw, (Qg_Q3+Qg_Q4)*Fsw, (Qg_Q1+Qg_Q2+Qg_Q3+Qg_Q4)*Fsw)*IF(Vout&gt;8, Vout, Table16[[#This Row],[Vin]])</f>
        <v>0.85331200000000007</v>
      </c>
      <c r="BG188" s="345">
        <f t="shared" si="9"/>
        <v>0.50594479787234037</v>
      </c>
      <c r="BH188" s="345">
        <f>Table16[[#This Row],[IQ Loss]]+Table16[[#This Row],[Switching Current Loss]]</f>
        <v>0.90131200000000011</v>
      </c>
      <c r="BI188"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10.357780031343792</v>
      </c>
      <c r="BJ188" s="253">
        <f>Vout*Table16[[#This Row],[Iout]]</f>
        <v>128</v>
      </c>
      <c r="BK188" s="684">
        <f>Table16[[#This Row],[Pout]]/(Table16[[#This Row],[Pout]]+Table16[[#This Row],[Total Loss]])</f>
        <v>0.92513771159816727</v>
      </c>
      <c r="BL188"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74.76770353883559</v>
      </c>
      <c r="BM188" s="685">
        <f>IF(Table16[[#This Row],[Vin]]&gt;Vout, Table16[[#This Row],[Total Sync Bu MOSFET Loss]]*ThetaJA_Q2, ThetaJA_Q3*Table16[[#This Row],[Total Sync Bo MOSFET Loss]])</f>
        <v>25.121985809925349</v>
      </c>
      <c r="BN188" s="640"/>
      <c r="BO188" s="292">
        <f>Table16[[#This Row],[EFF, h]]*100</f>
        <v>92.513771159816727</v>
      </c>
      <c r="BP188" s="345">
        <f>Table16[[#This Row],[Total Inductor Loss]]</f>
        <v>6.3006923256241905</v>
      </c>
      <c r="BQ188" s="345">
        <f>Table16[[#This Row],[Total Control Bu MOSFET Loss]]+Table16[[#This Row],[Total Sync Bu MOSFET Loss]]+Table16[[#This Row],[Total Control Bo MOSFET Loss]]+Table16[[#This Row],[Total Sync Bo MOSFET Loss]]+Table16[[#This Row],[Reverse Recovery Loss MOSFET D BUCK]]+Table16[[#This Row],[Reverse Recovery Loss MOSFET D BOOST]]</f>
        <v>2.4064035289922767</v>
      </c>
      <c r="BR188" s="345">
        <f>Table16[[#This Row],[Total Control Bu MOSFET Loss]]+Table16[[#This Row],[Reverse Recovery Loss MOSFET D BUCK]]*0.66</f>
        <v>1.5382480953359321</v>
      </c>
      <c r="BS188" s="345">
        <f>Table16[[#This Row],[Total Sync Bu MOSFET Loss]]+Table16[[#This Row],[Reverse Recovery Loss MOSFET D BUCK]]*0.33</f>
        <v>0.58047995598346691</v>
      </c>
      <c r="BT188" s="345">
        <f xml:space="preserve"> Table16[[#This Row],[Total Control Bo MOSFET Loss]]+Table16[[#This Row],[Reverse Recovery Loss MOSFET D BOOST]]*0.66</f>
        <v>0</v>
      </c>
      <c r="BU188" s="345">
        <f xml:space="preserve"> Table16[[#This Row],[Total Sync Bo MOSFET Loss]]+Table16[[#This Row],[Reverse Recovery Loss MOSFET D BOOST]]*0.33</f>
        <v>0.2817970574728777</v>
      </c>
      <c r="BV188" s="345">
        <f>Table16[[#This Row],[Isense Shunt Loss]]</f>
        <v>4.9847944366850173E-2</v>
      </c>
    </row>
    <row r="189" spans="7:74" x14ac:dyDescent="0.2">
      <c r="G189" s="253">
        <v>180</v>
      </c>
      <c r="H189" s="286">
        <f>VIN_min+(VIN_max-VIN_min)*(Table16[[#This Row],[Step]]/200)</f>
        <v>33</v>
      </c>
      <c r="I189" s="292" t="str">
        <f>IF(Mode = 2,IF(Table16[[#This Row],[Vin]]&gt;Vout, "BUCK","BOOST"),IF(Table16[[#This Row],[Vin]]&gt;VIN_BB_to_buck, "BUCK", IF(Table16[[#This Row],[Vin]]&lt;=VIN_boost_to_BB,"BOOST","BUCK-BST")))</f>
        <v>BUCK</v>
      </c>
      <c r="J189" s="253">
        <f>IF(Table16[[#This Row],[Mode]]="BOOST",2, IF(Table16[[#This Row],[Mode]]="BUCK", 1,3))</f>
        <v>1</v>
      </c>
      <c r="K189" s="253">
        <f t="shared" si="7"/>
        <v>8</v>
      </c>
      <c r="L189" s="292">
        <f>Vout*Table16[[#This Row],[Iout]]/(Table16[[#This Row],[Vin]]*Efficiency)</f>
        <v>4.0829346092503993</v>
      </c>
      <c r="M189" s="682">
        <f>MIN(1/Fsw,CHOOSE(Table16[[#This Row],[Mode Digit]],(Vout+(Rdson2+Rs+Rdcr)*Table16[[#This Row],[Iout]])/(Table16[[#This Row],[Vin]]+(Rs+Rdson2-Rdson1)*Table16[[#This Row],[Iout]])/Fsw,(Vout+(Rdson3+Rdcr)*Table16[[#This Row],[Iin]]-Table16[[#This Row],[Vin]])/(Vout+(Rdson3-Rdson4-Rs)*Table16[[#This Row],[Iin]])/Fsw,t1_Ph_II))</f>
        <v>1.2226997868921957E-6</v>
      </c>
      <c r="N189" s="518">
        <f>CHOOSE(Table16[[#This Row],[Mode Digit]],1/Fsw-Table16[[#This Row],[t1_Ph_II]],1/Fsw-Table16[[#This Row],[t1_Ph_II]],(Vout/Fsw-Table16[[#This Row],[Vin]]*t1_Ph_II)/(Table16[[#This Row],[Vin]]+Vout))</f>
        <v>1.2898630271781562E-6</v>
      </c>
      <c r="O189" s="518">
        <f>1/Fsw-(Table16[[#This Row],[t1_Ph_II]]+Table16[[#This Row],[t2_Ph_I]])</f>
        <v>0</v>
      </c>
      <c r="P189"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2.2261398952312978</v>
      </c>
      <c r="Q189" s="292">
        <f>CHOOSE(Table16[[#This Row],[Mode Digit]],Table16[[#This Row],[I_0]]+1/Lf*(Table16[[#This Row],[Vin]]-Vout)*Table16[[#This Row],[t1_Ph_II]],Table16[[#This Row],[I_0]]+1/Lf*Table16[[#This Row],[Vin]]*Table16[[#This Row],[t1_Ph_II]],Table16[[#This Row],[I_0]]+(Table16[[#This Row],[Vin]]-Vout)/L*Table16[[#This Row],[t1_Ph_II]])</f>
        <v>13.773860104768701</v>
      </c>
      <c r="R189" s="292">
        <f>CHOOSE(Table16[[#This Row],[Mode Digit]],0,0,Table16[[#This Row],[I_1]]+Table16[[#This Row],[Vin]]/L*Table16[[#This Row],[t2_Ph_I]])</f>
        <v>0</v>
      </c>
      <c r="S189" s="292">
        <f>Fsw*(Table16[[#This Row],[I_0]]*Table16[[#This Row],[t1_Ph_II]]+Table16[[#This Row],[I_1]]*Table16[[#This Row],[t2_Ph_I]]+Table16[[#This Row],[I_2]]*Table16[[#This Row],[t3_Ph_III]])</f>
        <v>8.1543408791304515</v>
      </c>
      <c r="T189" s="345">
        <f>MIN(1,CHOOSE(Table16[[#This Row],[Mode Digit]],(Vout+(Rdson2+Rs+Rdcr)*Table16[[#This Row],[Iout]])/(Table16[[#This Row],[Vin]]+(Rs+Rdson2-Rdson1)*Table16[[#This Row],[Iout]]),1,Fsw*Table16[[#This Row],[t2_Ph_I]]+Table16[[#This Row],[t1_Ph_II]]))</f>
        <v>0.48663451518309386</v>
      </c>
      <c r="U189" s="345">
        <f>MIN(1,CHOOSE(Table16[[#This Row],[Mode Digit]],0,(Vout+(Rdson3+Rdcr)*Table16[[#This Row],[Iin]]-Table16[[#This Row],[Vin]])/(Vout+(Rdson3-Rdson4-Rs)*Table16[[#This Row],[Iin]]),Fsw*Table16[[#This Row],[t1_Ph_II]]+Table16[[#This Row],[t3_Ph_III]]))</f>
        <v>0</v>
      </c>
      <c r="V189" s="292">
        <f>MAX(Table16[[#This Row],[I_0]:[I_2]])-MIN(Table16[[#This Row],[I_0]:[I_1]])</f>
        <v>11.547720209537403</v>
      </c>
      <c r="W189"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8.6667460350745174</v>
      </c>
      <c r="X189" s="345">
        <f>(Table16[[#This Row],[Irms Lf]]^2*Rdcr*(1+Ltc*Ta-Ltc*25))/(1-Table16[[#This Row],[Irms Lf]]^2*Rdcr*Ltc*ThetaCa)</f>
        <v>0.24507240531825933</v>
      </c>
      <c r="Y189" s="345">
        <f>ABS(7.759*10^-3*Fsw^0.9458*(0.00787*Table16[[#This Row],[Ripple Current pk-pk]])^2.304)</f>
        <v>6.1163497441876151</v>
      </c>
      <c r="Z189" s="345">
        <f>Table16[[#This Row],[DCR    Loss]]+Table16[[#This Row],[Core Loss]]</f>
        <v>6.3614221495058745</v>
      </c>
      <c r="AA189" s="292">
        <f>IF(Table16[[#This Row],[Vin]]&gt;Vout, Table16[[#This Row],[Ripple Current pk-pk]]/SQRT(12), SQRT(Table16[[#This Row],[Duty Cycle BOOST Leg]]/(1-Table16[[#This Row],[Duty Cycle BOOST Leg]]))*SQRT(Table16[[#This Row],[Iout]]^2+(Table16[[#This Row],[Ripple Current pk-pk]]^2)/12))</f>
        <v>3.3335396857514508</v>
      </c>
      <c r="AB189" s="345">
        <f>RCoutEsr*Table16[[#This Row],[Irms Cout]]^2</f>
        <v>2.2224973672959763E-2</v>
      </c>
      <c r="AC189" s="345">
        <f>Table16[[#This Row],[Cout ESR Loss]]</f>
        <v>2.2224973672959763E-2</v>
      </c>
      <c r="AD189" s="345">
        <f>IF(Table16[[#This Row],[Vin]]&gt;Vout, SQRT(Table16[[#This Row],[Duty Cycle BUCK Leg]]*(1-Table16[[#This Row],[Duty Cycle BUCK Leg]]))*SQRT(Table16[[#This Row],[Iout]]^2+(Table16[[#This Row],[Ripple Current pk-pk]]^2)/12), Table16[[#This Row],[Ripple Current pk-pk]]/SQRT(12))</f>
        <v>4.3318245464320668</v>
      </c>
      <c r="AE189" s="345">
        <f>RCinEsr*Table16[[#This Row],[Irms Cin]]^2</f>
        <v>3.7529407802142763E-2</v>
      </c>
      <c r="AF189" s="683">
        <f>Table16[[#This Row],[Cin ESR Loss]]</f>
        <v>3.7529407802142763E-2</v>
      </c>
      <c r="AG189"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6.0458521827668674</v>
      </c>
      <c r="AH189" s="345">
        <f>Rdson1*Table16[[#This Row],[Irms BuCtrl]]^2</f>
        <v>0.12793315015553414</v>
      </c>
      <c r="AI189" s="345">
        <f>CHOOSE(Table16[[#This Row],[Mode Digit]], (Table16[[#This Row],[Vin]]*Table16[[#This Row],[Iout]]/2)*(Fsw)*(Tr_buck+Tf_buck), 0, (Table16[[#This Row],[Vin]]*Table16[[#This Row],[Avg IL]]/2)*(Fsw/1)*(Tr_buck+Tf_buck))</f>
        <v>0.98802242832694354</v>
      </c>
      <c r="AJ189" s="253">
        <f>IF(Table16[[#This Row],[Vin]]&gt;Vout, IF(Table16[[#This Row],[Iout]]&gt;Table16[[#This Row],[Ripple Current pk-pk]]/2,0,ABS(Table16[[#This Row],[Iout]]-Table16[[#This Row],[Ripple Current pk-pk]]/2)*Vsd_Q1*Deadtime*Fsw),0)</f>
        <v>0</v>
      </c>
      <c r="AK189" s="345">
        <f>(Table16[[#This Row],[Dead Time Loss BuCtrl]]+Table16[[#This Row],[Transition Loss BuCtrl]]+Table16[[#This Row],[RDS(on) Loss BuCtrl]]*(1+RdsonTopTc*Ta-RdsonTopTc*25))/(1-Table16[[#This Row],[RDS(on) Loss BuCtrl]]*RdsonTopTc*ThetaJA_Q1)</f>
        <v>1.154352361315341</v>
      </c>
      <c r="AL189" s="345">
        <f>CHOOSE(Table16[[#This Row],[Mode Digit]],SQRT((Fsw*(Table16[[#This Row],[t2_Ph_I]]+0))*((Table16[[#This Row],[I_0]]*Table16[[#This Row],[I_1]]+((Table16[[#This Row],[I_0]]-Table16[[#This Row],[I_1]])^2)/3))),0,SQRT((Fsw*(Table16[[#This Row],[t3_Ph_III]]+0))*((Table16[[#This Row],[I_0]]*Table16[[#This Row],[I_2]]+((Table16[[#This Row],[I_0]]-Table16[[#This Row],[I_2]])^2)/3))))</f>
        <v>6.2096826183479745</v>
      </c>
      <c r="AM189" s="345">
        <f>Rdson2*Table16[[#This Row],[Irms BuSync]]^2</f>
        <v>0.13496055377214536</v>
      </c>
      <c r="AN189"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89" s="345">
        <f>(Table16[[#This Row],[Deadtime Loss BuSync]]+Table16[[#This Row],[RDS(on) Loss BuSync]]*(1+RdsonBotTc*Ta-RdsonBotTc*25))/(1-Table16[[#This Row],[RDS(on) Loss BuSync]]*RdsonBotTc*ThetaJA_Q2)</f>
        <v>0.38735265942151187</v>
      </c>
      <c r="AP189" s="345">
        <f>CHOOSE(Table16[[#This Row],[Mode Digit]],0,SQRT((Fsw*(Table16[[#This Row],[t1_Ph_II]]+0))*((Table16[[#This Row],[I_0]]*Table16[[#This Row],[I_1]]+((Table16[[#This Row],[I_0]]-Table16[[#This Row],[I_1]])^2)/3))),SQRT((Fsw*(Table16[[#This Row],[t2_Ph_I]]+0))*((Table16[[#This Row],[I_1]]*Table16[[#This Row],[I_2]]+((Table16[[#This Row],[I_1]]-Table16[[#This Row],[I_2]])^2)/3))))</f>
        <v>0</v>
      </c>
      <c r="AQ189" s="345">
        <f>Rdson4*Table16[[#This Row],[Irms BoCtlr]]^2</f>
        <v>0</v>
      </c>
      <c r="AR189" s="345">
        <f>CHOOSE(Table16[[#This Row],[Mode Digit]], 0, (Vout*Table16[[#This Row],[Iin]]/2)*(Fsw)*(Tr_boost+Tf_boost), (Vout*Iout/2)*(Fsw/1)*(Tr_boost+Tf_boost))</f>
        <v>0</v>
      </c>
      <c r="AS189" s="253">
        <f>IF(Table16[[#This Row],[Vin]]&gt;Vout, 0, IF(Table16[[#This Row],[Iin]]&gt;Table16[[#This Row],[Ripple Current pk-pk]]/2,0,ABS(Table16[[#This Row],[Iin]]-Table16[[#This Row],[Ripple Current pk-pk]]/2)*Vsd_Q4*Deadtime*Fsw))</f>
        <v>0</v>
      </c>
      <c r="AT189" s="345">
        <f>(Table16[[#This Row],[Dead Time Loss BoCtlr]]+Table16[[#This Row],[Transition Loss BoCtlr]]+Table16[[#This Row],[RDS(on) Loss BoCtlr]]*(1+RdsonTopTc*Ta-RdsonTopTc*25))/(1-Table16[[#This Row],[RDS(on) Loss BoCtlr]]*RdsonTopTc*ThetaJA_Q4)</f>
        <v>0</v>
      </c>
      <c r="AU189"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8.6667460350745174</v>
      </c>
      <c r="AV189" s="345">
        <f>Rdson3*Table16[[#This Row],[Irms BoSync]]^2</f>
        <v>0.26289370392767952</v>
      </c>
      <c r="AW189"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89" s="345">
        <f>(Table16[[#This Row],[Deadtime Loss BoSync]]+Table16[[#This Row],[RDS(on) Loss BoSync]]*(1+RdsonBotTc*Ta-RdsonBotTc*25))/(1-Table16[[#This Row],[RDS(on) Loss BoSync]]*RdsonBotTc*ThetaJA_Q3)</f>
        <v>0.28218147451133485</v>
      </c>
      <c r="AY189" s="345">
        <f>CHOOSE(Table16[[#This Row],[Mode Digit]], Rdson3*Table16[[#This Row],[Irms Lf]]^2, Rdson1*Table16[[#This Row],[Irms Lf]]^2, 0)</f>
        <v>0.26289370392767952</v>
      </c>
      <c r="AZ189" s="345">
        <f>CHOOSE(Table16[[#This Row],[Mode Digit]], 2*Deadtime*Fsw*IF(VfdSky_Q2&gt;0,VfdSky_Q2,0)*Table16[[#This Row],[Iout]], 2*Deadtime*Fsw*IF(VfdSky_Q3&gt;0,VfdSky_Q3,0)*Table16[[#This Row],[Iin]], 2*Deadtime*Fsw*IF(VfdSky_Q2&gt;0,VfdSky_Q2,0)*Table16[[#This Row],[Iout]]+2*Deadtime*Fsw*IF(VfdSky_Q3&gt;0,VfdSky_Q3,0)*Table16[[#This Row],[Iin]])</f>
        <v>0</v>
      </c>
      <c r="BA189" s="345">
        <f>CHOOSE(Table16[[#This Row],[Mode Digit]], IF(QrrSky_Q2&gt;0,QrrSky_Q2,Qrr_Q2)*Fsw*(Table16[[#This Row],[Vin]]-Table16[[#This Row],[Iout]]*Rdson1),0,  IF(QrrSky_Q2&gt;0,QrrSky_Q2,Qrr_Q2)*Fsw*(Table16[[#This Row],[Vin]]-Table16[[#This Row],[Iout]]*Rdson1)+IF(QrrSky_Q3&gt;0,QrrSky_Q3,Qrr_Q3)*Fsw*Vout)</f>
        <v>0.59052852</v>
      </c>
      <c r="BB189" s="345">
        <f>CHOOSE(Table16[[#This Row],[Mode Digit]],0, IF(QrrSky_Q3&gt;0,QrrSky_Q3,Qrr_Q3)*Fsw*Vout,  IF(QrrSky_Q2&gt;0,QrrSky_Q2,Qrr_Q2)*Fsw*(Table16[[#This Row],[Vin]]-Table16[[#This Row],[Iout]]*Rdson1)+IF(QrrSky_Q3&gt;0,QrrSky_Q3,Qrr_Q3)*Fsw*Vout)</f>
        <v>0</v>
      </c>
      <c r="BC189" s="345">
        <f>CHOOSE(Table16[[#This Row],[Mode Digit]], Rs*Table16[[#This Row],[Irms BuSync]]^2, Rs*Table16[[#This Row],[Irms BoCtlr]]^2, Rs*(Table16[[#This Row],[Irms BuSync]]^2+Table16[[#This Row],[Irms BoCtlr]]^2))</f>
        <v>5.0128205686796837E-2</v>
      </c>
      <c r="BD189" s="345">
        <f t="shared" si="8"/>
        <v>0.64</v>
      </c>
      <c r="BE189" s="345">
        <f>IF(Vout&gt;8, Iq*Vout, Iq*Table16[[#This Row],[Vin]])</f>
        <v>4.8000000000000001E-2</v>
      </c>
      <c r="BF189" s="345">
        <f>CHOOSE(Table16[[#This Row],[Mode Digit]], (Qg_Q1+Qg_Q2)*Fsw, (Qg_Q3+Qg_Q4)*Fsw, (Qg_Q1+Qg_Q2+Qg_Q3+Qg_Q4)*Fsw)*IF(Vout&gt;8, Vout, Table16[[#This Row],[Vin]])</f>
        <v>0.85331200000000007</v>
      </c>
      <c r="BG189" s="345">
        <f t="shared" si="9"/>
        <v>0.50594479787234037</v>
      </c>
      <c r="BH189" s="345">
        <f>Table16[[#This Row],[IQ Loss]]+Table16[[#This Row],[Switching Current Loss]]</f>
        <v>0.90131200000000011</v>
      </c>
      <c r="BI189"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10.427031751915962</v>
      </c>
      <c r="BJ189" s="253">
        <f>Vout*Table16[[#This Row],[Iout]]</f>
        <v>128</v>
      </c>
      <c r="BK189" s="684">
        <f>Table16[[#This Row],[Pout]]/(Table16[[#This Row],[Pout]]+Table16[[#This Row],[Total Loss]])</f>
        <v>0.92467488741214277</v>
      </c>
      <c r="BL189"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75.032903485497172</v>
      </c>
      <c r="BM189" s="685">
        <f>IF(Table16[[#This Row],[Vin]]&gt;Vout, Table16[[#This Row],[Total Sync Bu MOSFET Loss]]*ThetaJA_Q2, ThetaJA_Q3*Table16[[#This Row],[Total Sync Bo MOSFET Loss]])</f>
        <v>25.177922862398272</v>
      </c>
      <c r="BN189" s="640"/>
      <c r="BO189" s="292">
        <f>Table16[[#This Row],[EFF, h]]*100</f>
        <v>92.467488741214282</v>
      </c>
      <c r="BP189" s="345">
        <f>Table16[[#This Row],[Total Inductor Loss]]</f>
        <v>6.3614221495058745</v>
      </c>
      <c r="BQ189" s="345">
        <f>Table16[[#This Row],[Total Control Bu MOSFET Loss]]+Table16[[#This Row],[Total Sync Bu MOSFET Loss]]+Table16[[#This Row],[Total Control Bo MOSFET Loss]]+Table16[[#This Row],[Total Sync Bo MOSFET Loss]]+Table16[[#This Row],[Reverse Recovery Loss MOSFET D BUCK]]+Table16[[#This Row],[Reverse Recovery Loss MOSFET D BOOST]]</f>
        <v>2.414415015248188</v>
      </c>
      <c r="BR189" s="345">
        <f>Table16[[#This Row],[Total Control Bu MOSFET Loss]]+Table16[[#This Row],[Reverse Recovery Loss MOSFET D BUCK]]*0.66</f>
        <v>1.5441011845153412</v>
      </c>
      <c r="BS189" s="345">
        <f>Table16[[#This Row],[Total Sync Bu MOSFET Loss]]+Table16[[#This Row],[Reverse Recovery Loss MOSFET D BUCK]]*0.33</f>
        <v>0.58222707102151183</v>
      </c>
      <c r="BT189" s="345">
        <f xml:space="preserve"> Table16[[#This Row],[Total Control Bo MOSFET Loss]]+Table16[[#This Row],[Reverse Recovery Loss MOSFET D BOOST]]*0.66</f>
        <v>0</v>
      </c>
      <c r="BU189" s="345">
        <f xml:space="preserve"> Table16[[#This Row],[Total Sync Bo MOSFET Loss]]+Table16[[#This Row],[Reverse Recovery Loss MOSFET D BOOST]]*0.33</f>
        <v>0.28218147451133485</v>
      </c>
      <c r="BV189" s="345">
        <f>Table16[[#This Row],[Isense Shunt Loss]]</f>
        <v>5.0128205686796837E-2</v>
      </c>
    </row>
    <row r="190" spans="7:74" x14ac:dyDescent="0.2">
      <c r="G190" s="253">
        <v>181</v>
      </c>
      <c r="H190" s="286">
        <f>VIN_min+(VIN_max-VIN_min)*(Table16[[#This Row],[Step]]/200)</f>
        <v>33.150000000000006</v>
      </c>
      <c r="I190" s="292" t="str">
        <f>IF(Mode = 2,IF(Table16[[#This Row],[Vin]]&gt;Vout, "BUCK","BOOST"),IF(Table16[[#This Row],[Vin]]&gt;VIN_BB_to_buck, "BUCK", IF(Table16[[#This Row],[Vin]]&lt;=VIN_boost_to_BB,"BOOST","BUCK-BST")))</f>
        <v>BUCK</v>
      </c>
      <c r="J190" s="253">
        <f>IF(Table16[[#This Row],[Mode]]="BOOST",2, IF(Table16[[#This Row],[Mode]]="BUCK", 1,3))</f>
        <v>1</v>
      </c>
      <c r="K190" s="253">
        <f t="shared" si="7"/>
        <v>8</v>
      </c>
      <c r="L190" s="292">
        <f>Vout*Table16[[#This Row],[Iout]]/(Table16[[#This Row],[Vin]]*Efficiency)</f>
        <v>4.0644597920139711</v>
      </c>
      <c r="M190" s="682">
        <f>MIN(1/Fsw,CHOOSE(Table16[[#This Row],[Mode Digit]],(Vout+(Rdson2+Rs+Rdcr)*Table16[[#This Row],[Iout]])/(Table16[[#This Row],[Vin]]+(Rs+Rdson2-Rdson1)*Table16[[#This Row],[Iout]])/Fsw,(Vout+(Rdson3+Rdcr)*Table16[[#This Row],[Iin]]-Table16[[#This Row],[Vin]])/(Vout+(Rdson3-Rdson4-Rs)*Table16[[#This Row],[Iin]])/Fsw,t1_Ph_II))</f>
        <v>1.2171689438374124E-6</v>
      </c>
      <c r="N190" s="518">
        <f>CHOOSE(Table16[[#This Row],[Mode Digit]],1/Fsw-Table16[[#This Row],[t1_Ph_II]],1/Fsw-Table16[[#This Row],[t1_Ph_II]],(Vout/Fsw-Table16[[#This Row],[Vin]]*t1_Ph_II)/(Table16[[#This Row],[Vin]]+Vout))</f>
        <v>1.2953938702329395E-6</v>
      </c>
      <c r="O190" s="518">
        <f>1/Fsw-(Table16[[#This Row],[t1_Ph_II]]+Table16[[#This Row],[t2_Ph_I]])</f>
        <v>0</v>
      </c>
      <c r="P190"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2.2015423925523256</v>
      </c>
      <c r="Q190" s="292">
        <f>CHOOSE(Table16[[#This Row],[Mode Digit]],Table16[[#This Row],[I_0]]+1/Lf*(Table16[[#This Row],[Vin]]-Vout)*Table16[[#This Row],[t1_Ph_II]],Table16[[#This Row],[I_0]]+1/Lf*Table16[[#This Row],[Vin]]*Table16[[#This Row],[t1_Ph_II]],Table16[[#This Row],[I_0]]+(Table16[[#This Row],[Vin]]-Vout)/L*Table16[[#This Row],[t1_Ph_II]])</f>
        <v>13.798457607447673</v>
      </c>
      <c r="R190" s="292">
        <f>CHOOSE(Table16[[#This Row],[Mode Digit]],0,0,Table16[[#This Row],[I_1]]+Table16[[#This Row],[Vin]]/L*Table16[[#This Row],[t2_Ph_I]])</f>
        <v>0</v>
      </c>
      <c r="S190" s="292">
        <f>Fsw*(Table16[[#This Row],[I_0]]*Table16[[#This Row],[t1_Ph_II]]+Table16[[#This Row],[I_1]]*Table16[[#This Row],[t2_Ph_I]]+Table16[[#This Row],[I_2]]*Table16[[#This Row],[t3_Ph_III]])</f>
        <v>8.1805263999809714</v>
      </c>
      <c r="T190" s="345">
        <f>MIN(1,CHOOSE(Table16[[#This Row],[Mode Digit]],(Vout+(Rdson2+Rs+Rdcr)*Table16[[#This Row],[Iout]])/(Table16[[#This Row],[Vin]]+(Rs+Rdson2-Rdson1)*Table16[[#This Row],[Iout]]),1,Fsw*Table16[[#This Row],[t2_Ph_I]]+Table16[[#This Row],[t1_Ph_II]]))</f>
        <v>0.48443323964729013</v>
      </c>
      <c r="U190" s="345">
        <f>MIN(1,CHOOSE(Table16[[#This Row],[Mode Digit]],0,(Vout+(Rdson3+Rdcr)*Table16[[#This Row],[Iin]]-Table16[[#This Row],[Vin]])/(Vout+(Rdson3-Rdson4-Rs)*Table16[[#This Row],[Iin]]),Fsw*Table16[[#This Row],[t1_Ph_II]]+Table16[[#This Row],[t3_Ph_III]]))</f>
        <v>0</v>
      </c>
      <c r="V190" s="292">
        <f>MAX(Table16[[#This Row],[I_0]:[I_2]])-MIN(Table16[[#This Row],[I_0]:[I_1]])</f>
        <v>11.596915214895347</v>
      </c>
      <c r="W190"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8.6722182980167144</v>
      </c>
      <c r="X190" s="345">
        <f>(Table16[[#This Row],[Irms Lf]]^2*Rdcr*(1+Ltc*Ta-Ltc*25))/(1-Table16[[#This Row],[Irms Lf]]^2*Rdcr*Ltc*ThetaCa)</f>
        <v>0.24538806232413329</v>
      </c>
      <c r="Y190" s="345">
        <f>ABS(7.759*10^-3*Fsw^0.9458*(0.00787*Table16[[#This Row],[Ripple Current pk-pk]])^2.304)</f>
        <v>6.1765508814760688</v>
      </c>
      <c r="Z190" s="345">
        <f>Table16[[#This Row],[DCR    Loss]]+Table16[[#This Row],[Core Loss]]</f>
        <v>6.4219389438002024</v>
      </c>
      <c r="AA190" s="292">
        <f>IF(Table16[[#This Row],[Vin]]&gt;Vout, Table16[[#This Row],[Ripple Current pk-pk]]/SQRT(12), SQRT(Table16[[#This Row],[Duty Cycle BOOST Leg]]/(1-Table16[[#This Row],[Duty Cycle BOOST Leg]]))*SQRT(Table16[[#This Row],[Iout]]^2+(Table16[[#This Row],[Ripple Current pk-pk]]^2)/12))</f>
        <v>3.3477410605445477</v>
      </c>
      <c r="AB190" s="345">
        <f>RCoutEsr*Table16[[#This Row],[Irms Cout]]^2</f>
        <v>2.2414740416911865E-2</v>
      </c>
      <c r="AC190" s="345">
        <f>Table16[[#This Row],[Cout ESR Loss]]</f>
        <v>2.2414740416911865E-2</v>
      </c>
      <c r="AD190" s="345">
        <f>IF(Table16[[#This Row],[Vin]]&gt;Vout, SQRT(Table16[[#This Row],[Duty Cycle BUCK Leg]]*(1-Table16[[#This Row],[Duty Cycle BUCK Leg]]))*SQRT(Table16[[#This Row],[Iout]]^2+(Table16[[#This Row],[Ripple Current pk-pk]]^2)/12), Table16[[#This Row],[Ripple Current pk-pk]]/SQRT(12))</f>
        <v>4.3340071526520232</v>
      </c>
      <c r="AE190" s="345">
        <f>RCinEsr*Table16[[#This Row],[Irms Cin]]^2</f>
        <v>3.7567235998477798E-2</v>
      </c>
      <c r="AF190" s="683">
        <f>Table16[[#This Row],[Cin ESR Loss]]</f>
        <v>3.7567235998477798E-2</v>
      </c>
      <c r="AG190"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6.035971338188693</v>
      </c>
      <c r="AH190" s="345">
        <f>Rdson1*Table16[[#This Row],[Irms BuCtrl]]^2</f>
        <v>0.1275153249840239</v>
      </c>
      <c r="AI190" s="345">
        <f>CHOOSE(Table16[[#This Row],[Mode Digit]], (Table16[[#This Row],[Vin]]*Table16[[#This Row],[Iout]]/2)*(Fsw)*(Tr_buck+Tf_buck), 0, (Table16[[#This Row],[Vin]]*Table16[[#This Row],[Avg IL]]/2)*(Fsw/1)*(Tr_buck+Tf_buck))</f>
        <v>0.99251343936479342</v>
      </c>
      <c r="AJ190" s="253">
        <f>IF(Table16[[#This Row],[Vin]]&gt;Vout, IF(Table16[[#This Row],[Iout]]&gt;Table16[[#This Row],[Ripple Current pk-pk]]/2,0,ABS(Table16[[#This Row],[Iout]]-Table16[[#This Row],[Ripple Current pk-pk]]/2)*Vsd_Q1*Deadtime*Fsw),0)</f>
        <v>0</v>
      </c>
      <c r="AK190" s="345">
        <f>(Table16[[#This Row],[Dead Time Loss BuCtrl]]+Table16[[#This Row],[Transition Loss BuCtrl]]+Table16[[#This Row],[RDS(on) Loss BuCtrl]]*(1+RdsonTopTc*Ta-RdsonTopTc*25))/(1-Table16[[#This Row],[RDS(on) Loss BuCtrl]]*RdsonTopTc*ThetaJA_Q1)</f>
        <v>1.1584355175366654</v>
      </c>
      <c r="AL190" s="345">
        <f>CHOOSE(Table16[[#This Row],[Mode Digit]],SQRT((Fsw*(Table16[[#This Row],[t2_Ph_I]]+0))*((Table16[[#This Row],[I_0]]*Table16[[#This Row],[I_1]]+((Table16[[#This Row],[I_0]]-Table16[[#This Row],[I_1]])^2)/3))),0,SQRT((Fsw*(Table16[[#This Row],[t3_Ph_III]]+0))*((Table16[[#This Row],[I_0]]*Table16[[#This Row],[I_2]]+((Table16[[#This Row],[I_0]]-Table16[[#This Row],[I_2]])^2)/3))))</f>
        <v>6.226910968772601</v>
      </c>
      <c r="AM190" s="345">
        <f>Rdson2*Table16[[#This Row],[Irms BuSync]]^2</f>
        <v>0.13571047074557188</v>
      </c>
      <c r="AN190"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90" s="345">
        <f>(Table16[[#This Row],[Deadtime Loss BuSync]]+Table16[[#This Row],[RDS(on) Loss BuSync]]*(1+RdsonBotTc*Ta-RdsonBotTc*25))/(1-Table16[[#This Row],[RDS(on) Loss BuSync]]*RdsonBotTc*ThetaJA_Q2)</f>
        <v>0.38820829258025619</v>
      </c>
      <c r="AP190" s="345">
        <f>CHOOSE(Table16[[#This Row],[Mode Digit]],0,SQRT((Fsw*(Table16[[#This Row],[t1_Ph_II]]+0))*((Table16[[#This Row],[I_0]]*Table16[[#This Row],[I_1]]+((Table16[[#This Row],[I_0]]-Table16[[#This Row],[I_1]])^2)/3))),SQRT((Fsw*(Table16[[#This Row],[t2_Ph_I]]+0))*((Table16[[#This Row],[I_1]]*Table16[[#This Row],[I_2]]+((Table16[[#This Row],[I_1]]-Table16[[#This Row],[I_2]])^2)/3))))</f>
        <v>0</v>
      </c>
      <c r="AQ190" s="345">
        <f>Rdson4*Table16[[#This Row],[Irms BoCtlr]]^2</f>
        <v>0</v>
      </c>
      <c r="AR190" s="345">
        <f>CHOOSE(Table16[[#This Row],[Mode Digit]], 0, (Vout*Table16[[#This Row],[Iin]]/2)*(Fsw)*(Tr_boost+Tf_boost), (Vout*Iout/2)*(Fsw/1)*(Tr_boost+Tf_boost))</f>
        <v>0</v>
      </c>
      <c r="AS190" s="253">
        <f>IF(Table16[[#This Row],[Vin]]&gt;Vout, 0, IF(Table16[[#This Row],[Iin]]&gt;Table16[[#This Row],[Ripple Current pk-pk]]/2,0,ABS(Table16[[#This Row],[Iin]]-Table16[[#This Row],[Ripple Current pk-pk]]/2)*Vsd_Q4*Deadtime*Fsw))</f>
        <v>0</v>
      </c>
      <c r="AT190" s="345">
        <f>(Table16[[#This Row],[Dead Time Loss BoCtlr]]+Table16[[#This Row],[Transition Loss BoCtlr]]+Table16[[#This Row],[RDS(on) Loss BoCtlr]]*(1+RdsonTopTc*Ta-RdsonTopTc*25))/(1-Table16[[#This Row],[RDS(on) Loss BoCtlr]]*RdsonTopTc*ThetaJA_Q4)</f>
        <v>0</v>
      </c>
      <c r="AU190"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8.6722182980167144</v>
      </c>
      <c r="AV190" s="345">
        <f>Rdson3*Table16[[#This Row],[Irms BoSync]]^2</f>
        <v>0.2632257957295957</v>
      </c>
      <c r="AW190"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90" s="345">
        <f>(Table16[[#This Row],[Deadtime Loss BoSync]]+Table16[[#This Row],[RDS(on) Loss BoSync]]*(1+RdsonBotTc*Ta-RdsonBotTc*25))/(1-Table16[[#This Row],[RDS(on) Loss BoSync]]*RdsonBotTc*ThetaJA_Q3)</f>
        <v>0.28256411862147585</v>
      </c>
      <c r="AY190" s="345">
        <f>CHOOSE(Table16[[#This Row],[Mode Digit]], Rdson3*Table16[[#This Row],[Irms Lf]]^2, Rdson1*Table16[[#This Row],[Irms Lf]]^2, 0)</f>
        <v>0.2632257957295957</v>
      </c>
      <c r="AZ190" s="345">
        <f>CHOOSE(Table16[[#This Row],[Mode Digit]], 2*Deadtime*Fsw*IF(VfdSky_Q2&gt;0,VfdSky_Q2,0)*Table16[[#This Row],[Iout]], 2*Deadtime*Fsw*IF(VfdSky_Q3&gt;0,VfdSky_Q3,0)*Table16[[#This Row],[Iin]], 2*Deadtime*Fsw*IF(VfdSky_Q2&gt;0,VfdSky_Q2,0)*Table16[[#This Row],[Iout]]+2*Deadtime*Fsw*IF(VfdSky_Q3&gt;0,VfdSky_Q3,0)*Table16[[#This Row],[Iin]])</f>
        <v>0</v>
      </c>
      <c r="BA190" s="345">
        <f>CHOOSE(Table16[[#This Row],[Mode Digit]], IF(QrrSky_Q2&gt;0,QrrSky_Q2,Qrr_Q2)*Fsw*(Table16[[#This Row],[Vin]]-Table16[[#This Row],[Iout]]*Rdson1),0,  IF(QrrSky_Q2&gt;0,QrrSky_Q2,Qrr_Q2)*Fsw*(Table16[[#This Row],[Vin]]-Table16[[#This Row],[Iout]]*Rdson1)+IF(QrrSky_Q3&gt;0,QrrSky_Q3,Qrr_Q3)*Fsw*Vout)</f>
        <v>0.59321502000000004</v>
      </c>
      <c r="BB190" s="345">
        <f>CHOOSE(Table16[[#This Row],[Mode Digit]],0, IF(QrrSky_Q3&gt;0,QrrSky_Q3,Qrr_Q3)*Fsw*Vout,  IF(QrrSky_Q2&gt;0,QrrSky_Q2,Qrr_Q2)*Fsw*(Table16[[#This Row],[Vin]]-Table16[[#This Row],[Iout]]*Rdson1)+IF(QrrSky_Q3&gt;0,QrrSky_Q3,Qrr_Q3)*Fsw*Vout)</f>
        <v>0</v>
      </c>
      <c r="BC190" s="345">
        <f>CHOOSE(Table16[[#This Row],[Mode Digit]], Rs*Table16[[#This Row],[Irms BuSync]]^2, Rs*Table16[[#This Row],[Irms BoCtlr]]^2, Rs*(Table16[[#This Row],[Irms BuSync]]^2+Table16[[#This Row],[Irms BoCtlr]]^2))</f>
        <v>5.0406746276926692E-2</v>
      </c>
      <c r="BD190" s="345">
        <f t="shared" si="8"/>
        <v>0.64</v>
      </c>
      <c r="BE190" s="345">
        <f>IF(Vout&gt;8, Iq*Vout, Iq*Table16[[#This Row],[Vin]])</f>
        <v>4.8000000000000001E-2</v>
      </c>
      <c r="BF190" s="345">
        <f>CHOOSE(Table16[[#This Row],[Mode Digit]], (Qg_Q1+Qg_Q2)*Fsw, (Qg_Q3+Qg_Q4)*Fsw, (Qg_Q1+Qg_Q2+Qg_Q3+Qg_Q4)*Fsw)*IF(Vout&gt;8, Vout, Table16[[#This Row],[Vin]])</f>
        <v>0.85331200000000007</v>
      </c>
      <c r="BG190" s="345">
        <f t="shared" si="9"/>
        <v>0.50594479787234037</v>
      </c>
      <c r="BH190" s="345">
        <f>Table16[[#This Row],[IQ Loss]]+Table16[[#This Row],[Switching Current Loss]]</f>
        <v>0.90131200000000011</v>
      </c>
      <c r="BI190"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10.496062615230919</v>
      </c>
      <c r="BJ190" s="253">
        <f>Vout*Table16[[#This Row],[Iout]]</f>
        <v>128</v>
      </c>
      <c r="BK190" s="684">
        <f>Table16[[#This Row],[Pout]]/(Table16[[#This Row],[Pout]]+Table16[[#This Row],[Total Loss]])</f>
        <v>0.92421399989983088</v>
      </c>
      <c r="BL190"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75.298308639883246</v>
      </c>
      <c r="BM190" s="685">
        <f>IF(Table16[[#This Row],[Vin]]&gt;Vout, Table16[[#This Row],[Total Sync Bu MOSFET Loss]]*ThetaJA_Q2, ThetaJA_Q3*Table16[[#This Row],[Total Sync Bo MOSFET Loss]])</f>
        <v>25.233539017716652</v>
      </c>
      <c r="BN190" s="640"/>
      <c r="BO190" s="292">
        <f>Table16[[#This Row],[EFF, h]]*100</f>
        <v>92.421399989983087</v>
      </c>
      <c r="BP190" s="345">
        <f>Table16[[#This Row],[Total Inductor Loss]]</f>
        <v>6.4219389438002024</v>
      </c>
      <c r="BQ190" s="345">
        <f>Table16[[#This Row],[Total Control Bu MOSFET Loss]]+Table16[[#This Row],[Total Sync Bu MOSFET Loss]]+Table16[[#This Row],[Total Control Bo MOSFET Loss]]+Table16[[#This Row],[Total Sync Bo MOSFET Loss]]+Table16[[#This Row],[Reverse Recovery Loss MOSFET D BUCK]]+Table16[[#This Row],[Reverse Recovery Loss MOSFET D BOOST]]</f>
        <v>2.4224229487383973</v>
      </c>
      <c r="BR190" s="345">
        <f>Table16[[#This Row],[Total Control Bu MOSFET Loss]]+Table16[[#This Row],[Reverse Recovery Loss MOSFET D BUCK]]*0.66</f>
        <v>1.5499574307366655</v>
      </c>
      <c r="BS190" s="345">
        <f>Table16[[#This Row],[Total Sync Bu MOSFET Loss]]+Table16[[#This Row],[Reverse Recovery Loss MOSFET D BUCK]]*0.33</f>
        <v>0.58396924918025617</v>
      </c>
      <c r="BT190" s="345">
        <f xml:space="preserve"> Table16[[#This Row],[Total Control Bo MOSFET Loss]]+Table16[[#This Row],[Reverse Recovery Loss MOSFET D BOOST]]*0.66</f>
        <v>0</v>
      </c>
      <c r="BU190" s="345">
        <f xml:space="preserve"> Table16[[#This Row],[Total Sync Bo MOSFET Loss]]+Table16[[#This Row],[Reverse Recovery Loss MOSFET D BOOST]]*0.33</f>
        <v>0.28256411862147585</v>
      </c>
      <c r="BV190" s="345">
        <f>Table16[[#This Row],[Isense Shunt Loss]]</f>
        <v>5.0406746276926692E-2</v>
      </c>
    </row>
    <row r="191" spans="7:74" x14ac:dyDescent="0.2">
      <c r="G191" s="253">
        <v>182</v>
      </c>
      <c r="H191" s="286">
        <f>VIN_min+(VIN_max-VIN_min)*(Table16[[#This Row],[Step]]/200)</f>
        <v>33.299999999999997</v>
      </c>
      <c r="I191" s="292" t="str">
        <f>IF(Mode = 2,IF(Table16[[#This Row],[Vin]]&gt;Vout, "BUCK","BOOST"),IF(Table16[[#This Row],[Vin]]&gt;VIN_BB_to_buck, "BUCK", IF(Table16[[#This Row],[Vin]]&lt;=VIN_boost_to_BB,"BOOST","BUCK-BST")))</f>
        <v>BUCK</v>
      </c>
      <c r="J191" s="253">
        <f>IF(Table16[[#This Row],[Mode]]="BOOST",2, IF(Table16[[#This Row],[Mode]]="BUCK", 1,3))</f>
        <v>1</v>
      </c>
      <c r="K191" s="253">
        <f t="shared" si="7"/>
        <v>8</v>
      </c>
      <c r="L191" s="292">
        <f>Vout*Table16[[#This Row],[Iout]]/(Table16[[#This Row],[Vin]]*Efficiency)</f>
        <v>4.046151414572468</v>
      </c>
      <c r="M191" s="682">
        <f>MIN(1/Fsw,CHOOSE(Table16[[#This Row],[Mode Digit]],(Vout+(Rdson2+Rs+Rdcr)*Table16[[#This Row],[Iout]])/(Table16[[#This Row],[Vin]]+(Rs+Rdson2-Rdson1)*Table16[[#This Row],[Iout]])/Fsw,(Vout+(Rdson3+Rdcr)*Table16[[#This Row],[Iin]]-Table16[[#This Row],[Vin]])/(Vout+(Rdson3-Rdson4-Rs)*Table16[[#This Row],[Iin]])/Fsw,t1_Ph_II))</f>
        <v>1.2116879126406809E-6</v>
      </c>
      <c r="N191" s="518">
        <f>CHOOSE(Table16[[#This Row],[Mode Digit]],1/Fsw-Table16[[#This Row],[t1_Ph_II]],1/Fsw-Table16[[#This Row],[t1_Ph_II]],(Vout/Fsw-Table16[[#This Row],[Vin]]*t1_Ph_II)/(Table16[[#This Row],[Vin]]+Vout))</f>
        <v>1.300874901429671E-6</v>
      </c>
      <c r="O191" s="518">
        <f>1/Fsw-(Table16[[#This Row],[t1_Ph_II]]+Table16[[#This Row],[t2_Ph_I]])</f>
        <v>0</v>
      </c>
      <c r="P191"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2.1771664198100629</v>
      </c>
      <c r="Q191" s="292">
        <f>CHOOSE(Table16[[#This Row],[Mode Digit]],Table16[[#This Row],[I_0]]+1/Lf*(Table16[[#This Row],[Vin]]-Vout)*Table16[[#This Row],[t1_Ph_II]],Table16[[#This Row],[I_0]]+1/Lf*Table16[[#This Row],[Vin]]*Table16[[#This Row],[t1_Ph_II]],Table16[[#This Row],[I_0]]+(Table16[[#This Row],[Vin]]-Vout)/L*Table16[[#This Row],[t1_Ph_II]])</f>
        <v>13.822833580189936</v>
      </c>
      <c r="R191" s="292">
        <f>CHOOSE(Table16[[#This Row],[Mode Digit]],0,0,Table16[[#This Row],[I_1]]+Table16[[#This Row],[Vin]]/L*Table16[[#This Row],[t2_Ph_I]])</f>
        <v>0</v>
      </c>
      <c r="S191" s="292">
        <f>Fsw*(Table16[[#This Row],[I_0]]*Table16[[#This Row],[t1_Ph_II]]+Table16[[#This Row],[I_1]]*Table16[[#This Row],[t2_Ph_I]]+Table16[[#This Row],[I_2]]*Table16[[#This Row],[t3_Ph_III]])</f>
        <v>8.2066897553081493</v>
      </c>
      <c r="T191" s="345">
        <f>MIN(1,CHOOSE(Table16[[#This Row],[Mode Digit]],(Vout+(Rdson2+Rs+Rdcr)*Table16[[#This Row],[Iout]])/(Table16[[#This Row],[Vin]]+(Rs+Rdson2-Rdson1)*Table16[[#This Row],[Iout]]),1,Fsw*Table16[[#This Row],[t2_Ph_I]]+Table16[[#This Row],[t1_Ph_II]]))</f>
        <v>0.48225178923099099</v>
      </c>
      <c r="U191" s="345">
        <f>MIN(1,CHOOSE(Table16[[#This Row],[Mode Digit]],0,(Vout+(Rdson3+Rdcr)*Table16[[#This Row],[Iin]]-Table16[[#This Row],[Vin]])/(Vout+(Rdson3-Rdson4-Rs)*Table16[[#This Row],[Iin]]),Fsw*Table16[[#This Row],[t1_Ph_II]]+Table16[[#This Row],[t3_Ph_III]]))</f>
        <v>0</v>
      </c>
      <c r="V191" s="292">
        <f>MAX(Table16[[#This Row],[I_0]:[I_2]])-MIN(Table16[[#This Row],[I_0]:[I_1]])</f>
        <v>11.645667160379872</v>
      </c>
      <c r="W191"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8.6776608004420854</v>
      </c>
      <c r="X191" s="345">
        <f>(Table16[[#This Row],[Irms Lf]]^2*Rdcr*(1+Ltc*Ta-Ltc*25))/(1-Table16[[#This Row],[Irms Lf]]^2*Rdcr*Ltc*ThetaCa)</f>
        <v>0.24570221579843596</v>
      </c>
      <c r="Y191" s="345">
        <f>ABS(7.759*10^-3*Fsw^0.9458*(0.00787*Table16[[#This Row],[Ripple Current pk-pk]])^2.304)</f>
        <v>6.2365392723622417</v>
      </c>
      <c r="Z191" s="345">
        <f>Table16[[#This Row],[DCR    Loss]]+Table16[[#This Row],[Core Loss]]</f>
        <v>6.4822414881606774</v>
      </c>
      <c r="AA191" s="292">
        <f>IF(Table16[[#This Row],[Vin]]&gt;Vout, Table16[[#This Row],[Ripple Current pk-pk]]/SQRT(12), SQRT(Table16[[#This Row],[Duty Cycle BOOST Leg]]/(1-Table16[[#This Row],[Duty Cycle BOOST Leg]]))*SQRT(Table16[[#This Row],[Iout]]^2+(Table16[[#This Row],[Ripple Current pk-pk]]^2)/12))</f>
        <v>3.361814534969052</v>
      </c>
      <c r="AB191" s="345">
        <f>RCoutEsr*Table16[[#This Row],[Irms Cout]]^2</f>
        <v>2.2603593935058366E-2</v>
      </c>
      <c r="AC191" s="345">
        <f>Table16[[#This Row],[Cout ESR Loss]]</f>
        <v>2.2603593935058366E-2</v>
      </c>
      <c r="AD191" s="345">
        <f>IF(Table16[[#This Row],[Vin]]&gt;Vout, SQRT(Table16[[#This Row],[Duty Cycle BUCK Leg]]*(1-Table16[[#This Row],[Duty Cycle BUCK Leg]]))*SQRT(Table16[[#This Row],[Iout]]^2+(Table16[[#This Row],[Ripple Current pk-pk]]^2)/12), Table16[[#This Row],[Ripple Current pk-pk]]/SQRT(12))</f>
        <v>4.3360960842941552</v>
      </c>
      <c r="AE191" s="345">
        <f>RCinEsr*Table16[[#This Row],[Irms Cin]]^2</f>
        <v>3.7603458504462214E-2</v>
      </c>
      <c r="AF191" s="683">
        <f>Table16[[#This Row],[Cin ESR Loss]]</f>
        <v>3.7603458504462214E-2</v>
      </c>
      <c r="AG191"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6.0261452289087547</v>
      </c>
      <c r="AH191" s="345">
        <f>Rdson1*Table16[[#This Row],[Irms BuCtrl]]^2</f>
        <v>0.12710049211964911</v>
      </c>
      <c r="AI191" s="345">
        <f>CHOOSE(Table16[[#This Row],[Mode Digit]], (Table16[[#This Row],[Vin]]*Table16[[#This Row],[Iout]]/2)*(Fsw)*(Tr_buck+Tf_buck), 0, (Table16[[#This Row],[Vin]]*Table16[[#This Row],[Avg IL]]/2)*(Fsw/1)*(Tr_buck+Tf_buck))</f>
        <v>0.99700445040264285</v>
      </c>
      <c r="AJ191" s="253">
        <f>IF(Table16[[#This Row],[Vin]]&gt;Vout, IF(Table16[[#This Row],[Iout]]&gt;Table16[[#This Row],[Ripple Current pk-pk]]/2,0,ABS(Table16[[#This Row],[Iout]]-Table16[[#This Row],[Ripple Current pk-pk]]/2)*Vsd_Q1*Deadtime*Fsw),0)</f>
        <v>0</v>
      </c>
      <c r="AK191" s="345">
        <f>(Table16[[#This Row],[Dead Time Loss BuCtrl]]+Table16[[#This Row],[Transition Loss BuCtrl]]+Table16[[#This Row],[RDS(on) Loss BuCtrl]]*(1+RdsonTopTc*Ta-RdsonTopTc*25))/(1-Table16[[#This Row],[RDS(on) Loss BuCtrl]]*RdsonTopTc*ThetaJA_Q1)</f>
        <v>1.1625217862155215</v>
      </c>
      <c r="AL191" s="345">
        <f>CHOOSE(Table16[[#This Row],[Mode Digit]],SQRT((Fsw*(Table16[[#This Row],[t2_Ph_I]]+0))*((Table16[[#This Row],[I_0]]*Table16[[#This Row],[I_1]]+((Table16[[#This Row],[I_0]]-Table16[[#This Row],[I_1]])^2)/3))),0,SQRT((Fsw*(Table16[[#This Row],[t3_Ph_III]]+0))*((Table16[[#This Row],[I_0]]*Table16[[#This Row],[I_2]]+((Table16[[#This Row],[I_0]]-Table16[[#This Row],[I_2]])^2)/3))))</f>
        <v>6.2439867590850504</v>
      </c>
      <c r="AM191" s="345">
        <f>Rdson2*Table16[[#This Row],[Irms BuSync]]^2</f>
        <v>0.13645579726670301</v>
      </c>
      <c r="AN191"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91" s="345">
        <f>(Table16[[#This Row],[Deadtime Loss BuSync]]+Table16[[#This Row],[RDS(on) Loss BuSync]]*(1+RdsonBotTc*Ta-RdsonBotTc*25))/(1-Table16[[#This Row],[RDS(on) Loss BuSync]]*RdsonBotTc*ThetaJA_Q2)</f>
        <v>0.38905903093159422</v>
      </c>
      <c r="AP191" s="345">
        <f>CHOOSE(Table16[[#This Row],[Mode Digit]],0,SQRT((Fsw*(Table16[[#This Row],[t1_Ph_II]]+0))*((Table16[[#This Row],[I_0]]*Table16[[#This Row],[I_1]]+((Table16[[#This Row],[I_0]]-Table16[[#This Row],[I_1]])^2)/3))),SQRT((Fsw*(Table16[[#This Row],[t2_Ph_I]]+0))*((Table16[[#This Row],[I_1]]*Table16[[#This Row],[I_2]]+((Table16[[#This Row],[I_1]]-Table16[[#This Row],[I_2]])^2)/3))))</f>
        <v>0</v>
      </c>
      <c r="AQ191" s="345">
        <f>Rdson4*Table16[[#This Row],[Irms BoCtlr]]^2</f>
        <v>0</v>
      </c>
      <c r="AR191" s="345">
        <f>CHOOSE(Table16[[#This Row],[Mode Digit]], 0, (Vout*Table16[[#This Row],[Iin]]/2)*(Fsw)*(Tr_boost+Tf_boost), (Vout*Iout/2)*(Fsw/1)*(Tr_boost+Tf_boost))</f>
        <v>0</v>
      </c>
      <c r="AS191" s="253">
        <f>IF(Table16[[#This Row],[Vin]]&gt;Vout, 0, IF(Table16[[#This Row],[Iin]]&gt;Table16[[#This Row],[Ripple Current pk-pk]]/2,0,ABS(Table16[[#This Row],[Iin]]-Table16[[#This Row],[Ripple Current pk-pk]]/2)*Vsd_Q4*Deadtime*Fsw))</f>
        <v>0</v>
      </c>
      <c r="AT191" s="345">
        <f>(Table16[[#This Row],[Dead Time Loss BoCtlr]]+Table16[[#This Row],[Transition Loss BoCtlr]]+Table16[[#This Row],[RDS(on) Loss BoCtlr]]*(1+RdsonTopTc*Ta-RdsonTopTc*25))/(1-Table16[[#This Row],[RDS(on) Loss BoCtlr]]*RdsonTopTc*ThetaJA_Q4)</f>
        <v>0</v>
      </c>
      <c r="AU191"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8.6776608004420854</v>
      </c>
      <c r="AV191" s="345">
        <f>Rdson3*Table16[[#This Row],[Irms BoSync]]^2</f>
        <v>0.26355628938635212</v>
      </c>
      <c r="AW191"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91" s="345">
        <f>(Table16[[#This Row],[Deadtime Loss BoSync]]+Table16[[#This Row],[RDS(on) Loss BoSync]]*(1+RdsonBotTc*Ta-RdsonBotTc*25))/(1-Table16[[#This Row],[RDS(on) Loss BoSync]]*RdsonBotTc*ThetaJA_Q3)</f>
        <v>0.28294499173833404</v>
      </c>
      <c r="AY191" s="345">
        <f>CHOOSE(Table16[[#This Row],[Mode Digit]], Rdson3*Table16[[#This Row],[Irms Lf]]^2, Rdson1*Table16[[#This Row],[Irms Lf]]^2, 0)</f>
        <v>0.26355628938635212</v>
      </c>
      <c r="AZ191" s="345">
        <f>CHOOSE(Table16[[#This Row],[Mode Digit]], 2*Deadtime*Fsw*IF(VfdSky_Q2&gt;0,VfdSky_Q2,0)*Table16[[#This Row],[Iout]], 2*Deadtime*Fsw*IF(VfdSky_Q3&gt;0,VfdSky_Q3,0)*Table16[[#This Row],[Iin]], 2*Deadtime*Fsw*IF(VfdSky_Q2&gt;0,VfdSky_Q2,0)*Table16[[#This Row],[Iout]]+2*Deadtime*Fsw*IF(VfdSky_Q3&gt;0,VfdSky_Q3,0)*Table16[[#This Row],[Iin]])</f>
        <v>0</v>
      </c>
      <c r="BA191" s="345">
        <f>CHOOSE(Table16[[#This Row],[Mode Digit]], IF(QrrSky_Q2&gt;0,QrrSky_Q2,Qrr_Q2)*Fsw*(Table16[[#This Row],[Vin]]-Table16[[#This Row],[Iout]]*Rdson1),0,  IF(QrrSky_Q2&gt;0,QrrSky_Q2,Qrr_Q2)*Fsw*(Table16[[#This Row],[Vin]]-Table16[[#This Row],[Iout]]*Rdson1)+IF(QrrSky_Q3&gt;0,QrrSky_Q3,Qrr_Q3)*Fsw*Vout)</f>
        <v>0.59590151999999996</v>
      </c>
      <c r="BB191" s="345">
        <f>CHOOSE(Table16[[#This Row],[Mode Digit]],0, IF(QrrSky_Q3&gt;0,QrrSky_Q3,Qrr_Q3)*Fsw*Vout,  IF(QrrSky_Q2&gt;0,QrrSky_Q2,Qrr_Q2)*Fsw*(Table16[[#This Row],[Vin]]-Table16[[#This Row],[Iout]]*Rdson1)+IF(QrrSky_Q3&gt;0,QrrSky_Q3,Qrr_Q3)*Fsw*Vout)</f>
        <v>0</v>
      </c>
      <c r="BC191" s="345">
        <f>CHOOSE(Table16[[#This Row],[Mode Digit]], Rs*Table16[[#This Row],[Irms BuSync]]^2, Rs*Table16[[#This Row],[Irms BoCtlr]]^2, Rs*(Table16[[#This Row],[Irms BuSync]]^2+Table16[[#This Row],[Irms BoCtlr]]^2))</f>
        <v>5.0683581841918263E-2</v>
      </c>
      <c r="BD191" s="345">
        <f t="shared" si="8"/>
        <v>0.64</v>
      </c>
      <c r="BE191" s="345">
        <f>IF(Vout&gt;8, Iq*Vout, Iq*Table16[[#This Row],[Vin]])</f>
        <v>4.8000000000000001E-2</v>
      </c>
      <c r="BF191" s="345">
        <f>CHOOSE(Table16[[#This Row],[Mode Digit]], (Qg_Q1+Qg_Q2)*Fsw, (Qg_Q3+Qg_Q4)*Fsw, (Qg_Q1+Qg_Q2+Qg_Q3+Qg_Q4)*Fsw)*IF(Vout&gt;8, Vout, Table16[[#This Row],[Vin]])</f>
        <v>0.85331200000000007</v>
      </c>
      <c r="BG191" s="345">
        <f t="shared" si="9"/>
        <v>0.50594479787234037</v>
      </c>
      <c r="BH191" s="345">
        <f>Table16[[#This Row],[IQ Loss]]+Table16[[#This Row],[Switching Current Loss]]</f>
        <v>0.90131200000000011</v>
      </c>
      <c r="BI191"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10.564871451327567</v>
      </c>
      <c r="BJ191" s="253">
        <f>Vout*Table16[[#This Row],[Iout]]</f>
        <v>128</v>
      </c>
      <c r="BK191" s="684">
        <f>Table16[[#This Row],[Pout]]/(Table16[[#This Row],[Pout]]+Table16[[#This Row],[Total Loss]])</f>
        <v>0.92375505176260631</v>
      </c>
      <c r="BL191"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75.563916104008896</v>
      </c>
      <c r="BM191" s="685">
        <f>IF(Table16[[#This Row],[Vin]]&gt;Vout, Table16[[#This Row],[Total Sync Bu MOSFET Loss]]*ThetaJA_Q2, ThetaJA_Q3*Table16[[#This Row],[Total Sync Bo MOSFET Loss]])</f>
        <v>25.288837010553625</v>
      </c>
      <c r="BN191" s="640"/>
      <c r="BO191" s="292">
        <f>Table16[[#This Row],[EFF, h]]*100</f>
        <v>92.375505176260631</v>
      </c>
      <c r="BP191" s="345">
        <f>Table16[[#This Row],[Total Inductor Loss]]</f>
        <v>6.4822414881606774</v>
      </c>
      <c r="BQ191" s="345">
        <f>Table16[[#This Row],[Total Control Bu MOSFET Loss]]+Table16[[#This Row],[Total Sync Bu MOSFET Loss]]+Table16[[#This Row],[Total Control Bo MOSFET Loss]]+Table16[[#This Row],[Total Sync Bo MOSFET Loss]]+Table16[[#This Row],[Reverse Recovery Loss MOSFET D BUCK]]+Table16[[#This Row],[Reverse Recovery Loss MOSFET D BOOST]]</f>
        <v>2.4304273288854494</v>
      </c>
      <c r="BR191" s="345">
        <f>Table16[[#This Row],[Total Control Bu MOSFET Loss]]+Table16[[#This Row],[Reverse Recovery Loss MOSFET D BUCK]]*0.66</f>
        <v>1.5558167894155215</v>
      </c>
      <c r="BS191" s="345">
        <f>Table16[[#This Row],[Total Sync Bu MOSFET Loss]]+Table16[[#This Row],[Reverse Recovery Loss MOSFET D BUCK]]*0.33</f>
        <v>0.58570653253159422</v>
      </c>
      <c r="BT191" s="345">
        <f xml:space="preserve"> Table16[[#This Row],[Total Control Bo MOSFET Loss]]+Table16[[#This Row],[Reverse Recovery Loss MOSFET D BOOST]]*0.66</f>
        <v>0</v>
      </c>
      <c r="BU191" s="345">
        <f xml:space="preserve"> Table16[[#This Row],[Total Sync Bo MOSFET Loss]]+Table16[[#This Row],[Reverse Recovery Loss MOSFET D BOOST]]*0.33</f>
        <v>0.28294499173833404</v>
      </c>
      <c r="BV191" s="345">
        <f>Table16[[#This Row],[Isense Shunt Loss]]</f>
        <v>5.0683581841918263E-2</v>
      </c>
    </row>
    <row r="192" spans="7:74" x14ac:dyDescent="0.2">
      <c r="G192" s="253">
        <v>183</v>
      </c>
      <c r="H192" s="286">
        <f>VIN_min+(VIN_max-VIN_min)*(Table16[[#This Row],[Step]]/200)</f>
        <v>33.450000000000003</v>
      </c>
      <c r="I192" s="292" t="str">
        <f>IF(Mode = 2,IF(Table16[[#This Row],[Vin]]&gt;Vout, "BUCK","BOOST"),IF(Table16[[#This Row],[Vin]]&gt;VIN_BB_to_buck, "BUCK", IF(Table16[[#This Row],[Vin]]&lt;=VIN_boost_to_BB,"BOOST","BUCK-BST")))</f>
        <v>BUCK</v>
      </c>
      <c r="J192" s="253">
        <f>IF(Table16[[#This Row],[Mode]]="BOOST",2, IF(Table16[[#This Row],[Mode]]="BUCK", 1,3))</f>
        <v>1</v>
      </c>
      <c r="K192" s="253">
        <f t="shared" si="7"/>
        <v>8</v>
      </c>
      <c r="L192" s="292">
        <f>Vout*Table16[[#This Row],[Iout]]/(Table16[[#This Row],[Vin]]*Efficiency)</f>
        <v>4.0280072378255056</v>
      </c>
      <c r="M192" s="682">
        <f>MIN(1/Fsw,CHOOSE(Table16[[#This Row],[Mode Digit]],(Vout+(Rdson2+Rs+Rdcr)*Table16[[#This Row],[Iout]])/(Table16[[#This Row],[Vin]]+(Rs+Rdson2-Rdson1)*Table16[[#This Row],[Iout]])/Fsw,(Vout+(Rdson3+Rdcr)*Table16[[#This Row],[Iin]]-Table16[[#This Row],[Vin]])/(Vout+(Rdson3-Rdson4-Rs)*Table16[[#This Row],[Iin]])/Fsw,t1_Ph_II))</f>
        <v>1.2062560233955998E-6</v>
      </c>
      <c r="N192" s="518">
        <f>CHOOSE(Table16[[#This Row],[Mode Digit]],1/Fsw-Table16[[#This Row],[t1_Ph_II]],1/Fsw-Table16[[#This Row],[t1_Ph_II]],(Vout/Fsw-Table16[[#This Row],[Vin]]*t1_Ph_II)/(Table16[[#This Row],[Vin]]+Vout))</f>
        <v>1.3063067906747521E-6</v>
      </c>
      <c r="O192" s="518">
        <f>1/Fsw-(Table16[[#This Row],[t1_Ph_II]]+Table16[[#This Row],[t2_Ph_I]])</f>
        <v>0</v>
      </c>
      <c r="P192"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2.1530089977074391</v>
      </c>
      <c r="Q192" s="292">
        <f>CHOOSE(Table16[[#This Row],[Mode Digit]],Table16[[#This Row],[I_0]]+1/Lf*(Table16[[#This Row],[Vin]]-Vout)*Table16[[#This Row],[t1_Ph_II]],Table16[[#This Row],[I_0]]+1/Lf*Table16[[#This Row],[Vin]]*Table16[[#This Row],[t1_Ph_II]],Table16[[#This Row],[I_0]]+(Table16[[#This Row],[Vin]]-Vout)/L*Table16[[#This Row],[t1_Ph_II]])</f>
        <v>13.846991002292562</v>
      </c>
      <c r="R192" s="292">
        <f>CHOOSE(Table16[[#This Row],[Mode Digit]],0,0,Table16[[#This Row],[I_1]]+Table16[[#This Row],[Vin]]/L*Table16[[#This Row],[t2_Ph_I]])</f>
        <v>0</v>
      </c>
      <c r="S192" s="292">
        <f>Fsw*(Table16[[#This Row],[I_0]]*Table16[[#This Row],[t1_Ph_II]]+Table16[[#This Row],[I_1]]*Table16[[#This Row],[t2_Ph_I]]+Table16[[#This Row],[I_2]]*Table16[[#This Row],[t3_Ph_III]])</f>
        <v>8.2328283825493624</v>
      </c>
      <c r="T192" s="345">
        <f>MIN(1,CHOOSE(Table16[[#This Row],[Mode Digit]],(Vout+(Rdson2+Rs+Rdcr)*Table16[[#This Row],[Iout]])/(Table16[[#This Row],[Vin]]+(Rs+Rdson2-Rdson1)*Table16[[#This Row],[Iout]]),1,Fsw*Table16[[#This Row],[t2_Ph_I]]+Table16[[#This Row],[t1_Ph_II]]))</f>
        <v>0.48008989731144874</v>
      </c>
      <c r="U192" s="345">
        <f>MIN(1,CHOOSE(Table16[[#This Row],[Mode Digit]],0,(Vout+(Rdson3+Rdcr)*Table16[[#This Row],[Iin]]-Table16[[#This Row],[Vin]])/(Vout+(Rdson3-Rdson4-Rs)*Table16[[#This Row],[Iin]]),Fsw*Table16[[#This Row],[t1_Ph_II]]+Table16[[#This Row],[t3_Ph_III]]))</f>
        <v>0</v>
      </c>
      <c r="V192" s="292">
        <f>MAX(Table16[[#This Row],[I_0]:[I_2]])-MIN(Table16[[#This Row],[I_0]:[I_1]])</f>
        <v>11.693982004585123</v>
      </c>
      <c r="W192"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8.6830736451422208</v>
      </c>
      <c r="X192" s="345">
        <f>(Table16[[#This Row],[Irms Lf]]^2*Rdcr*(1+Ltc*Ta-Ltc*25))/(1-Table16[[#This Row],[Irms Lf]]^2*Rdcr*Ltc*ThetaCa)</f>
        <v>0.24601486822354107</v>
      </c>
      <c r="Y192" s="345">
        <f>ABS(7.759*10^-3*Fsw^0.9458*(0.00787*Table16[[#This Row],[Ripple Current pk-pk]])^2.304)</f>
        <v>6.2963137802788181</v>
      </c>
      <c r="Z192" s="345">
        <f>Table16[[#This Row],[DCR    Loss]]+Table16[[#This Row],[Core Loss]]</f>
        <v>6.5423286485023588</v>
      </c>
      <c r="AA192" s="292">
        <f>IF(Table16[[#This Row],[Vin]]&gt;Vout, Table16[[#This Row],[Ripple Current pk-pk]]/SQRT(12), SQRT(Table16[[#This Row],[Duty Cycle BOOST Leg]]/(1-Table16[[#This Row],[Duty Cycle BOOST Leg]]))*SQRT(Table16[[#This Row],[Iout]]^2+(Table16[[#This Row],[Ripple Current pk-pk]]^2)/12))</f>
        <v>3.3757618291229305</v>
      </c>
      <c r="AB192" s="345">
        <f>RCoutEsr*Table16[[#This Row],[Irms Cout]]^2</f>
        <v>2.2791535853926789E-2</v>
      </c>
      <c r="AC192" s="345">
        <f>Table16[[#This Row],[Cout ESR Loss]]</f>
        <v>2.2791535853926789E-2</v>
      </c>
      <c r="AD192" s="345">
        <f>IF(Table16[[#This Row],[Vin]]&gt;Vout, SQRT(Table16[[#This Row],[Duty Cycle BUCK Leg]]*(1-Table16[[#This Row],[Duty Cycle BUCK Leg]]))*SQRT(Table16[[#This Row],[Iout]]^2+(Table16[[#This Row],[Ripple Current pk-pk]]^2)/12), Table16[[#This Row],[Ripple Current pk-pk]]/SQRT(12))</f>
        <v>4.3380933807757538</v>
      </c>
      <c r="AE192" s="345">
        <f>RCinEsr*Table16[[#This Row],[Irms Cin]]^2</f>
        <v>3.7638108360660817E-2</v>
      </c>
      <c r="AF192" s="683">
        <f>Table16[[#This Row],[Cin ESR Loss]]</f>
        <v>3.7638108360660817E-2</v>
      </c>
      <c r="AG192"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6.0163732000079309</v>
      </c>
      <c r="AH192" s="345">
        <f>Rdson1*Table16[[#This Row],[Irms BuCtrl]]^2</f>
        <v>0.12668861268620785</v>
      </c>
      <c r="AI192" s="345">
        <f>CHOOSE(Table16[[#This Row],[Mode Digit]], (Table16[[#This Row],[Vin]]*Table16[[#This Row],[Iout]]/2)*(Fsw)*(Tr_buck+Tf_buck), 0, (Table16[[#This Row],[Vin]]*Table16[[#This Row],[Avg IL]]/2)*(Fsw/1)*(Tr_buck+Tf_buck))</f>
        <v>1.001495461440493</v>
      </c>
      <c r="AJ192" s="253">
        <f>IF(Table16[[#This Row],[Vin]]&gt;Vout, IF(Table16[[#This Row],[Iout]]&gt;Table16[[#This Row],[Ripple Current pk-pk]]/2,0,ABS(Table16[[#This Row],[Iout]]-Table16[[#This Row],[Ripple Current pk-pk]]/2)*Vsd_Q1*Deadtime*Fsw),0)</f>
        <v>0</v>
      </c>
      <c r="AK192" s="345">
        <f>(Table16[[#This Row],[Dead Time Loss BuCtrl]]+Table16[[#This Row],[Transition Loss BuCtrl]]+Table16[[#This Row],[RDS(on) Loss BuCtrl]]*(1+RdsonTopTc*Ta-RdsonTopTc*25))/(1-Table16[[#This Row],[RDS(on) Loss BuCtrl]]*RdsonTopTc*ThetaJA_Q1)</f>
        <v>1.1666111237788184</v>
      </c>
      <c r="AL192" s="345">
        <f>CHOOSE(Table16[[#This Row],[Mode Digit]],SQRT((Fsw*(Table16[[#This Row],[t2_Ph_I]]+0))*((Table16[[#This Row],[I_0]]*Table16[[#This Row],[I_1]]+((Table16[[#This Row],[I_0]]-Table16[[#This Row],[I_1]])^2)/3))),0,SQRT((Fsw*(Table16[[#This Row],[t3_Ph_III]]+0))*((Table16[[#This Row],[I_0]]*Table16[[#This Row],[I_2]]+((Table16[[#This Row],[I_0]]-Table16[[#This Row],[I_2]])^2)/3))))</f>
        <v>6.2609121895447251</v>
      </c>
      <c r="AM192" s="345">
        <f>Rdson2*Table16[[#This Row],[Irms BuSync]]^2</f>
        <v>0.13719657505816402</v>
      </c>
      <c r="AN192"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92" s="345">
        <f>(Table16[[#This Row],[Deadtime Loss BuSync]]+Table16[[#This Row],[RDS(on) Loss BuSync]]*(1+RdsonBotTc*Ta-RdsonBotTc*25))/(1-Table16[[#This Row],[RDS(on) Loss BuSync]]*RdsonBotTc*ThetaJA_Q2)</f>
        <v>0.38990491601792404</v>
      </c>
      <c r="AP192" s="345">
        <f>CHOOSE(Table16[[#This Row],[Mode Digit]],0,SQRT((Fsw*(Table16[[#This Row],[t1_Ph_II]]+0))*((Table16[[#This Row],[I_0]]*Table16[[#This Row],[I_1]]+((Table16[[#This Row],[I_0]]-Table16[[#This Row],[I_1]])^2)/3))),SQRT((Fsw*(Table16[[#This Row],[t2_Ph_I]]+0))*((Table16[[#This Row],[I_1]]*Table16[[#This Row],[I_2]]+((Table16[[#This Row],[I_1]]-Table16[[#This Row],[I_2]])^2)/3))))</f>
        <v>0</v>
      </c>
      <c r="AQ192" s="345">
        <f>Rdson4*Table16[[#This Row],[Irms BoCtlr]]^2</f>
        <v>0</v>
      </c>
      <c r="AR192" s="345">
        <f>CHOOSE(Table16[[#This Row],[Mode Digit]], 0, (Vout*Table16[[#This Row],[Iin]]/2)*(Fsw)*(Tr_boost+Tf_boost), (Vout*Iout/2)*(Fsw/1)*(Tr_boost+Tf_boost))</f>
        <v>0</v>
      </c>
      <c r="AS192" s="253">
        <f>IF(Table16[[#This Row],[Vin]]&gt;Vout, 0, IF(Table16[[#This Row],[Iin]]&gt;Table16[[#This Row],[Ripple Current pk-pk]]/2,0,ABS(Table16[[#This Row],[Iin]]-Table16[[#This Row],[Ripple Current pk-pk]]/2)*Vsd_Q4*Deadtime*Fsw))</f>
        <v>0</v>
      </c>
      <c r="AT192" s="345">
        <f>(Table16[[#This Row],[Dead Time Loss BoCtlr]]+Table16[[#This Row],[Transition Loss BoCtlr]]+Table16[[#This Row],[RDS(on) Loss BoCtlr]]*(1+RdsonTopTc*Ta-RdsonTopTc*25))/(1-Table16[[#This Row],[RDS(on) Loss BoCtlr]]*RdsonTopTc*ThetaJA_Q4)</f>
        <v>0</v>
      </c>
      <c r="AU192"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8.6830736451422208</v>
      </c>
      <c r="AV192" s="345">
        <f>Rdson3*Table16[[#This Row],[Irms BoSync]]^2</f>
        <v>0.26388518774437197</v>
      </c>
      <c r="AW192"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92" s="345">
        <f>(Table16[[#This Row],[Deadtime Loss BoSync]]+Table16[[#This Row],[RDS(on) Loss BoSync]]*(1+RdsonBotTc*Ta-RdsonBotTc*25))/(1-Table16[[#This Row],[RDS(on) Loss BoSync]]*RdsonBotTc*ThetaJA_Q3)</f>
        <v>0.28332409614321902</v>
      </c>
      <c r="AY192" s="345">
        <f>CHOOSE(Table16[[#This Row],[Mode Digit]], Rdson3*Table16[[#This Row],[Irms Lf]]^2, Rdson1*Table16[[#This Row],[Irms Lf]]^2, 0)</f>
        <v>0.26388518774437197</v>
      </c>
      <c r="AZ192" s="345">
        <f>CHOOSE(Table16[[#This Row],[Mode Digit]], 2*Deadtime*Fsw*IF(VfdSky_Q2&gt;0,VfdSky_Q2,0)*Table16[[#This Row],[Iout]], 2*Deadtime*Fsw*IF(VfdSky_Q3&gt;0,VfdSky_Q3,0)*Table16[[#This Row],[Iin]], 2*Deadtime*Fsw*IF(VfdSky_Q2&gt;0,VfdSky_Q2,0)*Table16[[#This Row],[Iout]]+2*Deadtime*Fsw*IF(VfdSky_Q3&gt;0,VfdSky_Q3,0)*Table16[[#This Row],[Iin]])</f>
        <v>0</v>
      </c>
      <c r="BA192" s="345">
        <f>CHOOSE(Table16[[#This Row],[Mode Digit]], IF(QrrSky_Q2&gt;0,QrrSky_Q2,Qrr_Q2)*Fsw*(Table16[[#This Row],[Vin]]-Table16[[#This Row],[Iout]]*Rdson1),0,  IF(QrrSky_Q2&gt;0,QrrSky_Q2,Qrr_Q2)*Fsw*(Table16[[#This Row],[Vin]]-Table16[[#This Row],[Iout]]*Rdson1)+IF(QrrSky_Q3&gt;0,QrrSky_Q3,Qrr_Q3)*Fsw*Vout)</f>
        <v>0.59858802</v>
      </c>
      <c r="BB192" s="345">
        <f>CHOOSE(Table16[[#This Row],[Mode Digit]],0, IF(QrrSky_Q3&gt;0,QrrSky_Q3,Qrr_Q3)*Fsw*Vout,  IF(QrrSky_Q2&gt;0,QrrSky_Q2,Qrr_Q2)*Fsw*(Table16[[#This Row],[Vin]]-Table16[[#This Row],[Iout]]*Rdson1)+IF(QrrSky_Q3&gt;0,QrrSky_Q3,Qrr_Q3)*Fsw*Vout)</f>
        <v>0</v>
      </c>
      <c r="BC192" s="345">
        <f>CHOOSE(Table16[[#This Row],[Mode Digit]], Rs*Table16[[#This Row],[Irms BuSync]]^2, Rs*Table16[[#This Row],[Irms BoCtlr]]^2, Rs*(Table16[[#This Row],[Irms BuSync]]^2+Table16[[#This Row],[Irms BoCtlr]]^2))</f>
        <v>5.0958727878746633E-2</v>
      </c>
      <c r="BD192" s="345">
        <f t="shared" si="8"/>
        <v>0.64</v>
      </c>
      <c r="BE192" s="345">
        <f>IF(Vout&gt;8, Iq*Vout, Iq*Table16[[#This Row],[Vin]])</f>
        <v>4.8000000000000001E-2</v>
      </c>
      <c r="BF192" s="345">
        <f>CHOOSE(Table16[[#This Row],[Mode Digit]], (Qg_Q1+Qg_Q2)*Fsw, (Qg_Q3+Qg_Q4)*Fsw, (Qg_Q1+Qg_Q2+Qg_Q3+Qg_Q4)*Fsw)*IF(Vout&gt;8, Vout, Table16[[#This Row],[Vin]])</f>
        <v>0.85331200000000007</v>
      </c>
      <c r="BG192" s="345">
        <f t="shared" si="9"/>
        <v>0.50594479787234037</v>
      </c>
      <c r="BH192" s="345">
        <f>Table16[[#This Row],[IQ Loss]]+Table16[[#This Row],[Switching Current Loss]]</f>
        <v>0.90131200000000011</v>
      </c>
      <c r="BI192"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10.633457176535655</v>
      </c>
      <c r="BJ192" s="253">
        <f>Vout*Table16[[#This Row],[Iout]]</f>
        <v>128</v>
      </c>
      <c r="BK192" s="684">
        <f>Table16[[#This Row],[Pout]]/(Table16[[#This Row],[Pout]]+Table16[[#This Row],[Total Loss]])</f>
        <v>0.92329804512488634</v>
      </c>
      <c r="BL192"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75.829723045623197</v>
      </c>
      <c r="BM192" s="685">
        <f>IF(Table16[[#This Row],[Vin]]&gt;Vout, Table16[[#This Row],[Total Sync Bu MOSFET Loss]]*ThetaJA_Q2, ThetaJA_Q3*Table16[[#This Row],[Total Sync Bo MOSFET Loss]])</f>
        <v>25.343819541165061</v>
      </c>
      <c r="BN192" s="640"/>
      <c r="BO192" s="292">
        <f>Table16[[#This Row],[EFF, h]]*100</f>
        <v>92.329804512488636</v>
      </c>
      <c r="BP192" s="345">
        <f>Table16[[#This Row],[Total Inductor Loss]]</f>
        <v>6.5423286485023588</v>
      </c>
      <c r="BQ192" s="345">
        <f>Table16[[#This Row],[Total Control Bu MOSFET Loss]]+Table16[[#This Row],[Total Sync Bu MOSFET Loss]]+Table16[[#This Row],[Total Control Bo MOSFET Loss]]+Table16[[#This Row],[Total Sync Bo MOSFET Loss]]+Table16[[#This Row],[Reverse Recovery Loss MOSFET D BUCK]]+Table16[[#This Row],[Reverse Recovery Loss MOSFET D BOOST]]</f>
        <v>2.4384281559399614</v>
      </c>
      <c r="BR192" s="345">
        <f>Table16[[#This Row],[Total Control Bu MOSFET Loss]]+Table16[[#This Row],[Reverse Recovery Loss MOSFET D BUCK]]*0.66</f>
        <v>1.5616792169788183</v>
      </c>
      <c r="BS192" s="345">
        <f>Table16[[#This Row],[Total Sync Bu MOSFET Loss]]+Table16[[#This Row],[Reverse Recovery Loss MOSFET D BUCK]]*0.33</f>
        <v>0.58743896261792405</v>
      </c>
      <c r="BT192" s="345">
        <f xml:space="preserve"> Table16[[#This Row],[Total Control Bo MOSFET Loss]]+Table16[[#This Row],[Reverse Recovery Loss MOSFET D BOOST]]*0.66</f>
        <v>0</v>
      </c>
      <c r="BU192" s="345">
        <f xml:space="preserve"> Table16[[#This Row],[Total Sync Bo MOSFET Loss]]+Table16[[#This Row],[Reverse Recovery Loss MOSFET D BOOST]]*0.33</f>
        <v>0.28332409614321902</v>
      </c>
      <c r="BV192" s="345">
        <f>Table16[[#This Row],[Isense Shunt Loss]]</f>
        <v>5.0958727878746633E-2</v>
      </c>
    </row>
    <row r="193" spans="7:74" x14ac:dyDescent="0.2">
      <c r="G193" s="253">
        <v>184</v>
      </c>
      <c r="H193" s="286">
        <f>VIN_min+(VIN_max-VIN_min)*(Table16[[#This Row],[Step]]/200)</f>
        <v>33.6</v>
      </c>
      <c r="I193" s="292" t="str">
        <f>IF(Mode = 2,IF(Table16[[#This Row],[Vin]]&gt;Vout, "BUCK","BOOST"),IF(Table16[[#This Row],[Vin]]&gt;VIN_BB_to_buck, "BUCK", IF(Table16[[#This Row],[Vin]]&lt;=VIN_boost_to_BB,"BOOST","BUCK-BST")))</f>
        <v>BUCK</v>
      </c>
      <c r="J193" s="253">
        <f>IF(Table16[[#This Row],[Mode]]="BOOST",2, IF(Table16[[#This Row],[Mode]]="BUCK", 1,3))</f>
        <v>1</v>
      </c>
      <c r="K193" s="253">
        <f t="shared" si="7"/>
        <v>8</v>
      </c>
      <c r="L193" s="292">
        <f>Vout*Table16[[#This Row],[Iout]]/(Table16[[#This Row],[Vin]]*Efficiency)</f>
        <v>4.0100250626566423</v>
      </c>
      <c r="M193" s="682">
        <f>MIN(1/Fsw,CHOOSE(Table16[[#This Row],[Mode Digit]],(Vout+(Rdson2+Rs+Rdcr)*Table16[[#This Row],[Iout]])/(Table16[[#This Row],[Vin]]+(Rs+Rdson2-Rdson1)*Table16[[#This Row],[Iout]])/Fsw,(Vout+(Rdson3+Rdcr)*Table16[[#This Row],[Iin]]-Table16[[#This Row],[Vin]])/(Vout+(Rdson3-Rdson4-Rs)*Table16[[#This Row],[Iin]])/Fsw,t1_Ph_II))</f>
        <v>1.2008726181546822E-6</v>
      </c>
      <c r="N193" s="518">
        <f>CHOOSE(Table16[[#This Row],[Mode Digit]],1/Fsw-Table16[[#This Row],[t1_Ph_II]],1/Fsw-Table16[[#This Row],[t1_Ph_II]],(Vout/Fsw-Table16[[#This Row],[Vin]]*t1_Ph_II)/(Table16[[#This Row],[Vin]]+Vout))</f>
        <v>1.3116901959156697E-6</v>
      </c>
      <c r="O193" s="518">
        <f>1/Fsw-(Table16[[#This Row],[t1_Ph_II]]+Table16[[#This Row],[t2_Ph_I]])</f>
        <v>0</v>
      </c>
      <c r="P193"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2.1290672001326651</v>
      </c>
      <c r="Q193" s="292">
        <f>CHOOSE(Table16[[#This Row],[Mode Digit]],Table16[[#This Row],[I_0]]+1/Lf*(Table16[[#This Row],[Vin]]-Vout)*Table16[[#This Row],[t1_Ph_II]],Table16[[#This Row],[I_0]]+1/Lf*Table16[[#This Row],[Vin]]*Table16[[#This Row],[t1_Ph_II]],Table16[[#This Row],[I_0]]+(Table16[[#This Row],[Vin]]-Vout)/L*Table16[[#This Row],[t1_Ph_II]])</f>
        <v>13.870932799867335</v>
      </c>
      <c r="R193" s="292">
        <f>CHOOSE(Table16[[#This Row],[Mode Digit]],0,0,Table16[[#This Row],[I_1]]+Table16[[#This Row],[Vin]]/L*Table16[[#This Row],[t2_Ph_I]])</f>
        <v>0</v>
      </c>
      <c r="S193" s="292">
        <f>Fsw*(Table16[[#This Row],[I_0]]*Table16[[#This Row],[t1_Ph_II]]+Table16[[#This Row],[I_1]]*Table16[[#This Row],[t2_Ph_I]]+Table16[[#This Row],[I_2]]*Table16[[#This Row],[t3_Ph_III]])</f>
        <v>8.2589398157273735</v>
      </c>
      <c r="T193" s="345">
        <f>MIN(1,CHOOSE(Table16[[#This Row],[Mode Digit]],(Vout+(Rdson2+Rs+Rdcr)*Table16[[#This Row],[Iout]])/(Table16[[#This Row],[Vin]]+(Rs+Rdson2-Rdson1)*Table16[[#This Row],[Iout]]),1,Fsw*Table16[[#This Row],[t2_Ph_I]]+Table16[[#This Row],[t1_Ph_II]]))</f>
        <v>0.47794730202556351</v>
      </c>
      <c r="U193" s="345">
        <f>MIN(1,CHOOSE(Table16[[#This Row],[Mode Digit]],0,(Vout+(Rdson3+Rdcr)*Table16[[#This Row],[Iin]]-Table16[[#This Row],[Vin]])/(Vout+(Rdson3-Rdson4-Rs)*Table16[[#This Row],[Iin]]),Fsw*Table16[[#This Row],[t1_Ph_II]]+Table16[[#This Row],[t3_Ph_III]]))</f>
        <v>0</v>
      </c>
      <c r="V193" s="292">
        <f>MAX(Table16[[#This Row],[I_0]:[I_2]])-MIN(Table16[[#This Row],[I_0]:[I_1]])</f>
        <v>11.74186559973467</v>
      </c>
      <c r="W193"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8.6884569389613731</v>
      </c>
      <c r="X193" s="345">
        <f>(Table16[[#This Row],[Irms Lf]]^2*Rdcr*(1+Ltc*Ta-Ltc*25))/(1-Table16[[#This Row],[Irms Lf]]^2*Rdcr*Ltc*ThetaCa)</f>
        <v>0.24632602235013748</v>
      </c>
      <c r="Y193" s="345">
        <f>ABS(7.759*10^-3*Fsw^0.9458*(0.00787*Table16[[#This Row],[Ripple Current pk-pk]])^2.304)</f>
        <v>6.3558733515258705</v>
      </c>
      <c r="Z193" s="345">
        <f>Table16[[#This Row],[DCR    Loss]]+Table16[[#This Row],[Core Loss]]</f>
        <v>6.6021993738760081</v>
      </c>
      <c r="AA193" s="292">
        <f>IF(Table16[[#This Row],[Vin]]&gt;Vout, Table16[[#This Row],[Ripple Current pk-pk]]/SQRT(12), SQRT(Table16[[#This Row],[Duty Cycle BOOST Leg]]/(1-Table16[[#This Row],[Duty Cycle BOOST Leg]]))*SQRT(Table16[[#This Row],[Iout]]^2+(Table16[[#This Row],[Ripple Current pk-pk]]^2)/12))</f>
        <v>3.3895846323976091</v>
      </c>
      <c r="AB193" s="345">
        <f>RCoutEsr*Table16[[#This Row],[Irms Cout]]^2</f>
        <v>2.2978567960372068E-2</v>
      </c>
      <c r="AC193" s="345">
        <f>Table16[[#This Row],[Cout ESR Loss]]</f>
        <v>2.2978567960372068E-2</v>
      </c>
      <c r="AD193" s="345">
        <f>IF(Table16[[#This Row],[Vin]]&gt;Vout, SQRT(Table16[[#This Row],[Duty Cycle BUCK Leg]]*(1-Table16[[#This Row],[Duty Cycle BUCK Leg]]))*SQRT(Table16[[#This Row],[Iout]]^2+(Table16[[#This Row],[Ripple Current pk-pk]]^2)/12), Table16[[#This Row],[Ripple Current pk-pk]]/SQRT(12))</f>
        <v>4.3400010292783167</v>
      </c>
      <c r="AE193" s="345">
        <f>RCinEsr*Table16[[#This Row],[Irms Cin]]^2</f>
        <v>3.7671217868273696E-2</v>
      </c>
      <c r="AF193" s="683">
        <f>Table16[[#This Row],[Cin ESR Loss]]</f>
        <v>3.7671217868273696E-2</v>
      </c>
      <c r="AG193"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6.0066546105275203</v>
      </c>
      <c r="AH193" s="345">
        <f>Rdson1*Table16[[#This Row],[Irms BuCtrl]]^2</f>
        <v>0.12627964863560032</v>
      </c>
      <c r="AI193" s="345">
        <f>CHOOSE(Table16[[#This Row],[Mode Digit]], (Table16[[#This Row],[Vin]]*Table16[[#This Row],[Iout]]/2)*(Fsw)*(Tr_buck+Tf_buck), 0, (Table16[[#This Row],[Vin]]*Table16[[#This Row],[Avg IL]]/2)*(Fsw/1)*(Tr_buck+Tf_buck))</f>
        <v>1.0059864724783425</v>
      </c>
      <c r="AJ193" s="253">
        <f>IF(Table16[[#This Row],[Vin]]&gt;Vout, IF(Table16[[#This Row],[Iout]]&gt;Table16[[#This Row],[Ripple Current pk-pk]]/2,0,ABS(Table16[[#This Row],[Iout]]-Table16[[#This Row],[Ripple Current pk-pk]]/2)*Vsd_Q1*Deadtime*Fsw),0)</f>
        <v>0</v>
      </c>
      <c r="AK193" s="345">
        <f>(Table16[[#This Row],[Dead Time Loss BuCtrl]]+Table16[[#This Row],[Transition Loss BuCtrl]]+Table16[[#This Row],[RDS(on) Loss BuCtrl]]*(1+RdsonTopTc*Ta-RdsonTopTc*25))/(1-Table16[[#This Row],[RDS(on) Loss BuCtrl]]*RdsonTopTc*ThetaJA_Q1)</f>
        <v>1.1707034876333953</v>
      </c>
      <c r="AL193" s="345">
        <f>CHOOSE(Table16[[#This Row],[Mode Digit]],SQRT((Fsw*(Table16[[#This Row],[t2_Ph_I]]+0))*((Table16[[#This Row],[I_0]]*Table16[[#This Row],[I_1]]+((Table16[[#This Row],[I_0]]-Table16[[#This Row],[I_1]])^2)/3))),0,SQRT((Fsw*(Table16[[#This Row],[t3_Ph_III]]+0))*((Table16[[#This Row],[I_0]]*Table16[[#This Row],[I_2]]+((Table16[[#This Row],[I_0]]-Table16[[#This Row],[I_2]])^2)/3))))</f>
        <v>6.2776894133123964</v>
      </c>
      <c r="AM193" s="345">
        <f>Rdson2*Table16[[#This Row],[Irms BuSync]]^2</f>
        <v>0.1379328452950509</v>
      </c>
      <c r="AN193"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93" s="345">
        <f>(Table16[[#This Row],[Deadtime Loss BuSync]]+Table16[[#This Row],[RDS(on) Loss BuSync]]*(1+RdsonBotTc*Ta-RdsonBotTc*25))/(1-Table16[[#This Row],[RDS(on) Loss BuSync]]*RdsonBotTc*ThetaJA_Q2)</f>
        <v>0.39074598886325035</v>
      </c>
      <c r="AP193" s="345">
        <f>CHOOSE(Table16[[#This Row],[Mode Digit]],0,SQRT((Fsw*(Table16[[#This Row],[t1_Ph_II]]+0))*((Table16[[#This Row],[I_0]]*Table16[[#This Row],[I_1]]+((Table16[[#This Row],[I_0]]-Table16[[#This Row],[I_1]])^2)/3))),SQRT((Fsw*(Table16[[#This Row],[t2_Ph_I]]+0))*((Table16[[#This Row],[I_1]]*Table16[[#This Row],[I_2]]+((Table16[[#This Row],[I_1]]-Table16[[#This Row],[I_2]])^2)/3))))</f>
        <v>0</v>
      </c>
      <c r="AQ193" s="345">
        <f>Rdson4*Table16[[#This Row],[Irms BoCtlr]]^2</f>
        <v>0</v>
      </c>
      <c r="AR193" s="345">
        <f>CHOOSE(Table16[[#This Row],[Mode Digit]], 0, (Vout*Table16[[#This Row],[Iin]]/2)*(Fsw)*(Tr_boost+Tf_boost), (Vout*Iout/2)*(Fsw/1)*(Tr_boost+Tf_boost))</f>
        <v>0</v>
      </c>
      <c r="AS193" s="253">
        <f>IF(Table16[[#This Row],[Vin]]&gt;Vout, 0, IF(Table16[[#This Row],[Iin]]&gt;Table16[[#This Row],[Ripple Current pk-pk]]/2,0,ABS(Table16[[#This Row],[Iin]]-Table16[[#This Row],[Ripple Current pk-pk]]/2)*Vsd_Q4*Deadtime*Fsw))</f>
        <v>0</v>
      </c>
      <c r="AT193" s="345">
        <f>(Table16[[#This Row],[Dead Time Loss BoCtlr]]+Table16[[#This Row],[Transition Loss BoCtlr]]+Table16[[#This Row],[RDS(on) Loss BoCtlr]]*(1+RdsonTopTc*Ta-RdsonTopTc*25))/(1-Table16[[#This Row],[RDS(on) Loss BoCtlr]]*RdsonTopTc*ThetaJA_Q4)</f>
        <v>0</v>
      </c>
      <c r="AU193"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8.6884569389613731</v>
      </c>
      <c r="AV193" s="345">
        <f>Rdson3*Table16[[#This Row],[Irms BoSync]]^2</f>
        <v>0.2642124939306511</v>
      </c>
      <c r="AW193"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93" s="345">
        <f>(Table16[[#This Row],[Deadtime Loss BoSync]]+Table16[[#This Row],[RDS(on) Loss BoSync]]*(1+RdsonBotTc*Ta-RdsonBotTc*25))/(1-Table16[[#This Row],[RDS(on) Loss BoSync]]*RdsonBotTc*ThetaJA_Q3)</f>
        <v>0.28370143444770524</v>
      </c>
      <c r="AY193" s="345">
        <f>CHOOSE(Table16[[#This Row],[Mode Digit]], Rdson3*Table16[[#This Row],[Irms Lf]]^2, Rdson1*Table16[[#This Row],[Irms Lf]]^2, 0)</f>
        <v>0.2642124939306511</v>
      </c>
      <c r="AZ193" s="345">
        <f>CHOOSE(Table16[[#This Row],[Mode Digit]], 2*Deadtime*Fsw*IF(VfdSky_Q2&gt;0,VfdSky_Q2,0)*Table16[[#This Row],[Iout]], 2*Deadtime*Fsw*IF(VfdSky_Q3&gt;0,VfdSky_Q3,0)*Table16[[#This Row],[Iin]], 2*Deadtime*Fsw*IF(VfdSky_Q2&gt;0,VfdSky_Q2,0)*Table16[[#This Row],[Iout]]+2*Deadtime*Fsw*IF(VfdSky_Q3&gt;0,VfdSky_Q3,0)*Table16[[#This Row],[Iin]])</f>
        <v>0</v>
      </c>
      <c r="BA193" s="345">
        <f>CHOOSE(Table16[[#This Row],[Mode Digit]], IF(QrrSky_Q2&gt;0,QrrSky_Q2,Qrr_Q2)*Fsw*(Table16[[#This Row],[Vin]]-Table16[[#This Row],[Iout]]*Rdson1),0,  IF(QrrSky_Q2&gt;0,QrrSky_Q2,Qrr_Q2)*Fsw*(Table16[[#This Row],[Vin]]-Table16[[#This Row],[Iout]]*Rdson1)+IF(QrrSky_Q3&gt;0,QrrSky_Q3,Qrr_Q3)*Fsw*Vout)</f>
        <v>0.60127452000000003</v>
      </c>
      <c r="BB193" s="345">
        <f>CHOOSE(Table16[[#This Row],[Mode Digit]],0, IF(QrrSky_Q3&gt;0,QrrSky_Q3,Qrr_Q3)*Fsw*Vout,  IF(QrrSky_Q2&gt;0,QrrSky_Q2,Qrr_Q2)*Fsw*(Table16[[#This Row],[Vin]]-Table16[[#This Row],[Iout]]*Rdson1)+IF(QrrSky_Q3&gt;0,QrrSky_Q3,Qrr_Q3)*Fsw*Vout)</f>
        <v>0</v>
      </c>
      <c r="BC193" s="345">
        <f>CHOOSE(Table16[[#This Row],[Mode Digit]], Rs*Table16[[#This Row],[Irms BuSync]]^2, Rs*Table16[[#This Row],[Irms BoCtlr]]^2, Rs*(Table16[[#This Row],[Irms BuSync]]^2+Table16[[#This Row],[Irms BoCtlr]]^2))</f>
        <v>5.12321996810189E-2</v>
      </c>
      <c r="BD193" s="345">
        <f t="shared" si="8"/>
        <v>0.64</v>
      </c>
      <c r="BE193" s="345">
        <f>IF(Vout&gt;8, Iq*Vout, Iq*Table16[[#This Row],[Vin]])</f>
        <v>4.8000000000000001E-2</v>
      </c>
      <c r="BF193" s="345">
        <f>CHOOSE(Table16[[#This Row],[Mode Digit]], (Qg_Q1+Qg_Q2)*Fsw, (Qg_Q3+Qg_Q4)*Fsw, (Qg_Q1+Qg_Q2+Qg_Q3+Qg_Q4)*Fsw)*IF(Vout&gt;8, Vout, Table16[[#This Row],[Vin]])</f>
        <v>0.85331200000000007</v>
      </c>
      <c r="BG193" s="345">
        <f t="shared" si="9"/>
        <v>0.50594479787234037</v>
      </c>
      <c r="BH193" s="345">
        <f>Table16[[#This Row],[IQ Loss]]+Table16[[#This Row],[Switching Current Loss]]</f>
        <v>0.90131200000000011</v>
      </c>
      <c r="BI193"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10.701818790330027</v>
      </c>
      <c r="BJ193" s="253">
        <f>Vout*Table16[[#This Row],[Iout]]</f>
        <v>128</v>
      </c>
      <c r="BK193" s="684">
        <f>Table16[[#This Row],[Pout]]/(Table16[[#This Row],[Pout]]+Table16[[#This Row],[Total Loss]])</f>
        <v>0.92284298155810385</v>
      </c>
      <c r="BL193"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76.095726696170686</v>
      </c>
      <c r="BM193" s="685">
        <f>IF(Table16[[#This Row],[Vin]]&gt;Vout, Table16[[#This Row],[Total Sync Bu MOSFET Loss]]*ThetaJA_Q2, ThetaJA_Q3*Table16[[#This Row],[Total Sync Bo MOSFET Loss]])</f>
        <v>25.398489276111274</v>
      </c>
      <c r="BN193" s="640"/>
      <c r="BO193" s="292">
        <f>Table16[[#This Row],[EFF, h]]*100</f>
        <v>92.28429815581039</v>
      </c>
      <c r="BP193" s="345">
        <f>Table16[[#This Row],[Total Inductor Loss]]</f>
        <v>6.6021993738760081</v>
      </c>
      <c r="BQ193" s="345">
        <f>Table16[[#This Row],[Total Control Bu MOSFET Loss]]+Table16[[#This Row],[Total Sync Bu MOSFET Loss]]+Table16[[#This Row],[Total Control Bo MOSFET Loss]]+Table16[[#This Row],[Total Sync Bo MOSFET Loss]]+Table16[[#This Row],[Reverse Recovery Loss MOSFET D BUCK]]+Table16[[#This Row],[Reverse Recovery Loss MOSFET D BOOST]]</f>
        <v>2.4464254309443509</v>
      </c>
      <c r="BR193" s="345">
        <f>Table16[[#This Row],[Total Control Bu MOSFET Loss]]+Table16[[#This Row],[Reverse Recovery Loss MOSFET D BUCK]]*0.66</f>
        <v>1.5675446708333953</v>
      </c>
      <c r="BS193" s="345">
        <f>Table16[[#This Row],[Total Sync Bu MOSFET Loss]]+Table16[[#This Row],[Reverse Recovery Loss MOSFET D BUCK]]*0.33</f>
        <v>0.58916658046325043</v>
      </c>
      <c r="BT193" s="345">
        <f xml:space="preserve"> Table16[[#This Row],[Total Control Bo MOSFET Loss]]+Table16[[#This Row],[Reverse Recovery Loss MOSFET D BOOST]]*0.66</f>
        <v>0</v>
      </c>
      <c r="BU193" s="345">
        <f xml:space="preserve"> Table16[[#This Row],[Total Sync Bo MOSFET Loss]]+Table16[[#This Row],[Reverse Recovery Loss MOSFET D BOOST]]*0.33</f>
        <v>0.28370143444770524</v>
      </c>
      <c r="BV193" s="345">
        <f>Table16[[#This Row],[Isense Shunt Loss]]</f>
        <v>5.12321996810189E-2</v>
      </c>
    </row>
    <row r="194" spans="7:74" x14ac:dyDescent="0.2">
      <c r="G194" s="253">
        <v>185</v>
      </c>
      <c r="H194" s="286">
        <f>VIN_min+(VIN_max-VIN_min)*(Table16[[#This Row],[Step]]/200)</f>
        <v>33.75</v>
      </c>
      <c r="I194" s="292" t="str">
        <f>IF(Mode = 2,IF(Table16[[#This Row],[Vin]]&gt;Vout, "BUCK","BOOST"),IF(Table16[[#This Row],[Vin]]&gt;VIN_BB_to_buck, "BUCK", IF(Table16[[#This Row],[Vin]]&lt;=VIN_boost_to_BB,"BOOST","BUCK-BST")))</f>
        <v>BUCK</v>
      </c>
      <c r="J194" s="253">
        <f>IF(Table16[[#This Row],[Mode]]="BOOST",2, IF(Table16[[#This Row],[Mode]]="BUCK", 1,3))</f>
        <v>1</v>
      </c>
      <c r="K194" s="253">
        <f t="shared" si="7"/>
        <v>8</v>
      </c>
      <c r="L194" s="292">
        <f>Vout*Table16[[#This Row],[Iout]]/(Table16[[#This Row],[Vin]]*Efficiency)</f>
        <v>3.9922027290448341</v>
      </c>
      <c r="M194" s="682">
        <f>MIN(1/Fsw,CHOOSE(Table16[[#This Row],[Mode Digit]],(Vout+(Rdson2+Rs+Rdcr)*Table16[[#This Row],[Iout]])/(Table16[[#This Row],[Vin]]+(Rs+Rdson2-Rdson1)*Table16[[#This Row],[Iout]])/Fsw,(Vout+(Rdson3+Rdcr)*Table16[[#This Row],[Iin]]-Table16[[#This Row],[Vin]])/(Vout+(Rdson3-Rdson4-Rs)*Table16[[#This Row],[Iin]])/Fsw,t1_Ph_II))</f>
        <v>1.195537050663681E-6</v>
      </c>
      <c r="N194" s="518">
        <f>CHOOSE(Table16[[#This Row],[Mode Digit]],1/Fsw-Table16[[#This Row],[t1_Ph_II]],1/Fsw-Table16[[#This Row],[t1_Ph_II]],(Vout/Fsw-Table16[[#This Row],[Vin]]*t1_Ph_II)/(Table16[[#This Row],[Vin]]+Vout))</f>
        <v>1.3170257634066709E-6</v>
      </c>
      <c r="O194" s="518">
        <f>1/Fsw-(Table16[[#This Row],[t1_Ph_II]]+Table16[[#This Row],[t2_Ph_I]])</f>
        <v>0</v>
      </c>
      <c r="P194"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2.1053381529776845</v>
      </c>
      <c r="Q194" s="292">
        <f>CHOOSE(Table16[[#This Row],[Mode Digit]],Table16[[#This Row],[I_0]]+1/Lf*(Table16[[#This Row],[Vin]]-Vout)*Table16[[#This Row],[t1_Ph_II]],Table16[[#This Row],[I_0]]+1/Lf*Table16[[#This Row],[Vin]]*Table16[[#This Row],[t1_Ph_II]],Table16[[#This Row],[I_0]]+(Table16[[#This Row],[Vin]]-Vout)/L*Table16[[#This Row],[t1_Ph_II]])</f>
        <v>13.894661847022316</v>
      </c>
      <c r="R194" s="292">
        <f>CHOOSE(Table16[[#This Row],[Mode Digit]],0,0,Table16[[#This Row],[I_1]]+Table16[[#This Row],[Vin]]/L*Table16[[#This Row],[t2_Ph_I]])</f>
        <v>0</v>
      </c>
      <c r="S194" s="292">
        <f>Fsw*(Table16[[#This Row],[I_0]]*Table16[[#This Row],[t1_Ph_II]]+Table16[[#This Row],[I_1]]*Table16[[#This Row],[t2_Ph_I]]+Table16[[#This Row],[I_2]]*Table16[[#This Row],[t3_Ph_III]])</f>
        <v>8.2850216821802842</v>
      </c>
      <c r="T194" s="345">
        <f>MIN(1,CHOOSE(Table16[[#This Row],[Mode Digit]],(Vout+(Rdson2+Rs+Rdcr)*Table16[[#This Row],[Iout]])/(Table16[[#This Row],[Vin]]+(Rs+Rdson2-Rdson1)*Table16[[#This Row],[Iout]]),1,Fsw*Table16[[#This Row],[t2_Ph_I]]+Table16[[#This Row],[t1_Ph_II]]))</f>
        <v>0.47582374616414502</v>
      </c>
      <c r="U194" s="345">
        <f>MIN(1,CHOOSE(Table16[[#This Row],[Mode Digit]],0,(Vout+(Rdson3+Rdcr)*Table16[[#This Row],[Iin]]-Table16[[#This Row],[Vin]])/(Vout+(Rdson3-Rdson4-Rs)*Table16[[#This Row],[Iin]]),Fsw*Table16[[#This Row],[t1_Ph_II]]+Table16[[#This Row],[t3_Ph_III]]))</f>
        <v>0</v>
      </c>
      <c r="V194" s="292">
        <f>MAX(Table16[[#This Row],[I_0]:[I_2]])-MIN(Table16[[#This Row],[I_0]:[I_1]])</f>
        <v>11.789323694044633</v>
      </c>
      <c r="W194"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8.6938107925646477</v>
      </c>
      <c r="X194" s="345">
        <f>(Table16[[#This Row],[Irms Lf]]^2*Rdcr*(1+Ltc*Ta-Ltc*25))/(1-Table16[[#This Row],[Irms Lf]]^2*Rdcr*Ltc*ThetaCa)</f>
        <v>0.24663568118439591</v>
      </c>
      <c r="Y194" s="345">
        <f>ABS(7.759*10^-3*Fsw^0.9458*(0.00787*Table16[[#This Row],[Ripple Current pk-pk]])^2.304)</f>
        <v>6.415217012265817</v>
      </c>
      <c r="Z194" s="345">
        <f>Table16[[#This Row],[DCR    Loss]]+Table16[[#This Row],[Core Loss]]</f>
        <v>6.6618526934502125</v>
      </c>
      <c r="AA194" s="292">
        <f>IF(Table16[[#This Row],[Vin]]&gt;Vout, Table16[[#This Row],[Ripple Current pk-pk]]/SQRT(12), SQRT(Table16[[#This Row],[Duty Cycle BOOST Leg]]/(1-Table16[[#This Row],[Duty Cycle BOOST Leg]]))*SQRT(Table16[[#This Row],[Iout]]^2+(Table16[[#This Row],[Ripple Current pk-pk]]^2)/12))</f>
        <v>3.403284604160151</v>
      </c>
      <c r="AB194" s="345">
        <f>RCoutEsr*Table16[[#This Row],[Irms Cout]]^2</f>
        <v>2.3164692193827031E-2</v>
      </c>
      <c r="AC194" s="345">
        <f>Table16[[#This Row],[Cout ESR Loss]]</f>
        <v>2.3164692193827031E-2</v>
      </c>
      <c r="AD194" s="345">
        <f>IF(Table16[[#This Row],[Vin]]&gt;Vout, SQRT(Table16[[#This Row],[Duty Cycle BUCK Leg]]*(1-Table16[[#This Row],[Duty Cycle BUCK Leg]]))*SQRT(Table16[[#This Row],[Iout]]^2+(Table16[[#This Row],[Ripple Current pk-pk]]^2)/12), Table16[[#This Row],[Ripple Current pk-pk]]/SQRT(12))</f>
        <v>4.3418209664051508</v>
      </c>
      <c r="AE194" s="345">
        <f>RCinEsr*Table16[[#This Row],[Irms Cin]]^2</f>
        <v>3.7702818608630714E-2</v>
      </c>
      <c r="AF194" s="683">
        <f>Table16[[#This Row],[Cin ESR Loss]]</f>
        <v>3.7702818608630714E-2</v>
      </c>
      <c r="AG194"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5.9969888330484942</v>
      </c>
      <c r="AH194" s="345">
        <f>Rdson1*Table16[[#This Row],[Irms BuCtrl]]^2</f>
        <v>0.1258735627229792</v>
      </c>
      <c r="AI194" s="345">
        <f>CHOOSE(Table16[[#This Row],[Mode Digit]], (Table16[[#This Row],[Vin]]*Table16[[#This Row],[Iout]]/2)*(Fsw)*(Tr_buck+Tf_buck), 0, (Table16[[#This Row],[Vin]]*Table16[[#This Row],[Avg IL]]/2)*(Fsw/1)*(Tr_buck+Tf_buck))</f>
        <v>1.0104774835161923</v>
      </c>
      <c r="AJ194" s="253">
        <f>IF(Table16[[#This Row],[Vin]]&gt;Vout, IF(Table16[[#This Row],[Iout]]&gt;Table16[[#This Row],[Ripple Current pk-pk]]/2,0,ABS(Table16[[#This Row],[Iout]]-Table16[[#This Row],[Ripple Current pk-pk]]/2)*Vsd_Q1*Deadtime*Fsw),0)</f>
        <v>0</v>
      </c>
      <c r="AK194" s="345">
        <f>(Table16[[#This Row],[Dead Time Loss BuCtrl]]+Table16[[#This Row],[Transition Loss BuCtrl]]+Table16[[#This Row],[RDS(on) Loss BuCtrl]]*(1+RdsonTopTc*Ta-RdsonTopTc*25))/(1-Table16[[#This Row],[RDS(on) Loss BuCtrl]]*RdsonTopTc*ThetaJA_Q1)</f>
        <v>1.174798836135851</v>
      </c>
      <c r="AL194" s="345">
        <f>CHOOSE(Table16[[#This Row],[Mode Digit]],SQRT((Fsw*(Table16[[#This Row],[t2_Ph_I]]+0))*((Table16[[#This Row],[I_0]]*Table16[[#This Row],[I_1]]+((Table16[[#This Row],[I_0]]-Table16[[#This Row],[I_1]])^2)/3))),0,SQRT((Fsw*(Table16[[#This Row],[t3_Ph_III]]+0))*((Table16[[#This Row],[I_0]]*Table16[[#This Row],[I_2]]+((Table16[[#This Row],[I_0]]-Table16[[#This Row],[I_2]])^2)/3))))</f>
        <v>6.2943205378503881</v>
      </c>
      <c r="AM194" s="345">
        <f>Rdson2*Table16[[#This Row],[Irms BuSync]]^2</f>
        <v>0.13866464861621819</v>
      </c>
      <c r="AN194"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94" s="345">
        <f>(Table16[[#This Row],[Deadtime Loss BuSync]]+Table16[[#This Row],[RDS(on) Loss BuSync]]*(1+RdsonBotTc*Ta-RdsonBotTc*25))/(1-Table16[[#This Row],[RDS(on) Loss BuSync]]*RdsonBotTc*ThetaJA_Q2)</f>
        <v>0.39158228998390576</v>
      </c>
      <c r="AP194" s="345">
        <f>CHOOSE(Table16[[#This Row],[Mode Digit]],0,SQRT((Fsw*(Table16[[#This Row],[t1_Ph_II]]+0))*((Table16[[#This Row],[I_0]]*Table16[[#This Row],[I_1]]+((Table16[[#This Row],[I_0]]-Table16[[#This Row],[I_1]])^2)/3))),SQRT((Fsw*(Table16[[#This Row],[t2_Ph_I]]+0))*((Table16[[#This Row],[I_1]]*Table16[[#This Row],[I_2]]+((Table16[[#This Row],[I_1]]-Table16[[#This Row],[I_2]])^2)/3))))</f>
        <v>0</v>
      </c>
      <c r="AQ194" s="345">
        <f>Rdson4*Table16[[#This Row],[Irms BoCtlr]]^2</f>
        <v>0</v>
      </c>
      <c r="AR194" s="345">
        <f>CHOOSE(Table16[[#This Row],[Mode Digit]], 0, (Vout*Table16[[#This Row],[Iin]]/2)*(Fsw)*(Tr_boost+Tf_boost), (Vout*Iout/2)*(Fsw/1)*(Tr_boost+Tf_boost))</f>
        <v>0</v>
      </c>
      <c r="AS194" s="253">
        <f>IF(Table16[[#This Row],[Vin]]&gt;Vout, 0, IF(Table16[[#This Row],[Iin]]&gt;Table16[[#This Row],[Ripple Current pk-pk]]/2,0,ABS(Table16[[#This Row],[Iin]]-Table16[[#This Row],[Ripple Current pk-pk]]/2)*Vsd_Q4*Deadtime*Fsw))</f>
        <v>0</v>
      </c>
      <c r="AT194" s="345">
        <f>(Table16[[#This Row],[Dead Time Loss BoCtlr]]+Table16[[#This Row],[Transition Loss BoCtlr]]+Table16[[#This Row],[RDS(on) Loss BoCtlr]]*(1+RdsonTopTc*Ta-RdsonTopTc*25))/(1-Table16[[#This Row],[RDS(on) Loss BoCtlr]]*RdsonTopTc*ThetaJA_Q4)</f>
        <v>0</v>
      </c>
      <c r="AU194"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8.6938107925646477</v>
      </c>
      <c r="AV194" s="345">
        <f>Rdson3*Table16[[#This Row],[Irms BoSync]]^2</f>
        <v>0.26453821133919747</v>
      </c>
      <c r="AW194"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94" s="345">
        <f>(Table16[[#This Row],[Deadtime Loss BoSync]]+Table16[[#This Row],[RDS(on) Loss BoSync]]*(1+RdsonBotTc*Ta-RdsonBotTc*25))/(1-Table16[[#This Row],[RDS(on) Loss BoSync]]*RdsonBotTc*ThetaJA_Q3)</f>
        <v>0.28407700957826743</v>
      </c>
      <c r="AY194" s="345">
        <f>CHOOSE(Table16[[#This Row],[Mode Digit]], Rdson3*Table16[[#This Row],[Irms Lf]]^2, Rdson1*Table16[[#This Row],[Irms Lf]]^2, 0)</f>
        <v>0.26453821133919747</v>
      </c>
      <c r="AZ194" s="345">
        <f>CHOOSE(Table16[[#This Row],[Mode Digit]], 2*Deadtime*Fsw*IF(VfdSky_Q2&gt;0,VfdSky_Q2,0)*Table16[[#This Row],[Iout]], 2*Deadtime*Fsw*IF(VfdSky_Q3&gt;0,VfdSky_Q3,0)*Table16[[#This Row],[Iin]], 2*Deadtime*Fsw*IF(VfdSky_Q2&gt;0,VfdSky_Q2,0)*Table16[[#This Row],[Iout]]+2*Deadtime*Fsw*IF(VfdSky_Q3&gt;0,VfdSky_Q3,0)*Table16[[#This Row],[Iin]])</f>
        <v>0</v>
      </c>
      <c r="BA194" s="345">
        <f>CHOOSE(Table16[[#This Row],[Mode Digit]], IF(QrrSky_Q2&gt;0,QrrSky_Q2,Qrr_Q2)*Fsw*(Table16[[#This Row],[Vin]]-Table16[[#This Row],[Iout]]*Rdson1),0,  IF(QrrSky_Q2&gt;0,QrrSky_Q2,Qrr_Q2)*Fsw*(Table16[[#This Row],[Vin]]-Table16[[#This Row],[Iout]]*Rdson1)+IF(QrrSky_Q3&gt;0,QrrSky_Q3,Qrr_Q3)*Fsw*Vout)</f>
        <v>0.60396101999999996</v>
      </c>
      <c r="BB194" s="345">
        <f>CHOOSE(Table16[[#This Row],[Mode Digit]],0, IF(QrrSky_Q3&gt;0,QrrSky_Q3,Qrr_Q3)*Fsw*Vout,  IF(QrrSky_Q2&gt;0,QrrSky_Q2,Qrr_Q2)*Fsw*(Table16[[#This Row],[Vin]]-Table16[[#This Row],[Iout]]*Rdson1)+IF(QrrSky_Q3&gt;0,QrrSky_Q3,Qrr_Q3)*Fsw*Vout)</f>
        <v>0</v>
      </c>
      <c r="BC194" s="345">
        <f>CHOOSE(Table16[[#This Row],[Mode Digit]], Rs*Table16[[#This Row],[Irms BuSync]]^2, Rs*Table16[[#This Row],[Irms BoCtlr]]^2, Rs*(Table16[[#This Row],[Irms BuSync]]^2+Table16[[#This Row],[Irms BoCtlr]]^2))</f>
        <v>5.1504012343166754E-2</v>
      </c>
      <c r="BD194" s="345">
        <f t="shared" si="8"/>
        <v>0.64</v>
      </c>
      <c r="BE194" s="345">
        <f>IF(Vout&gt;8, Iq*Vout, Iq*Table16[[#This Row],[Vin]])</f>
        <v>4.8000000000000001E-2</v>
      </c>
      <c r="BF194" s="345">
        <f>CHOOSE(Table16[[#This Row],[Mode Digit]], (Qg_Q1+Qg_Q2)*Fsw, (Qg_Q3+Qg_Q4)*Fsw, (Qg_Q1+Qg_Q2+Qg_Q3+Qg_Q4)*Fsw)*IF(Vout&gt;8, Vout, Table16[[#This Row],[Vin]])</f>
        <v>0.85331200000000007</v>
      </c>
      <c r="BG194" s="345">
        <f t="shared" si="9"/>
        <v>0.50594479787234037</v>
      </c>
      <c r="BH194" s="345">
        <f>Table16[[#This Row],[IQ Loss]]+Table16[[#This Row],[Switching Current Loss]]</f>
        <v>0.90131200000000011</v>
      </c>
      <c r="BI194"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10.769955372293861</v>
      </c>
      <c r="BJ194" s="253">
        <f>Vout*Table16[[#This Row],[Iout]]</f>
        <v>128</v>
      </c>
      <c r="BK194" s="684">
        <f>Table16[[#This Row],[Pout]]/(Table16[[#This Row],[Pout]]+Table16[[#This Row],[Total Loss]])</f>
        <v>0.92238986210379559</v>
      </c>
      <c r="BL194"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76.361924348830314</v>
      </c>
      <c r="BM194" s="685">
        <f>IF(Table16[[#This Row],[Vin]]&gt;Vout, Table16[[#This Row],[Total Sync Bu MOSFET Loss]]*ThetaJA_Q2, ThetaJA_Q3*Table16[[#This Row],[Total Sync Bo MOSFET Loss]])</f>
        <v>25.452848848953874</v>
      </c>
      <c r="BN194" s="640"/>
      <c r="BO194" s="292">
        <f>Table16[[#This Row],[EFF, h]]*100</f>
        <v>92.238986210379565</v>
      </c>
      <c r="BP194" s="345">
        <f>Table16[[#This Row],[Total Inductor Loss]]</f>
        <v>6.6618526934502125</v>
      </c>
      <c r="BQ194" s="345">
        <f>Table16[[#This Row],[Total Control Bu MOSFET Loss]]+Table16[[#This Row],[Total Sync Bu MOSFET Loss]]+Table16[[#This Row],[Total Control Bo MOSFET Loss]]+Table16[[#This Row],[Total Sync Bo MOSFET Loss]]+Table16[[#This Row],[Reverse Recovery Loss MOSFET D BUCK]]+Table16[[#This Row],[Reverse Recovery Loss MOSFET D BOOST]]</f>
        <v>2.4544191556980239</v>
      </c>
      <c r="BR194" s="345">
        <f>Table16[[#This Row],[Total Control Bu MOSFET Loss]]+Table16[[#This Row],[Reverse Recovery Loss MOSFET D BUCK]]*0.66</f>
        <v>1.573413109335851</v>
      </c>
      <c r="BS194" s="345">
        <f>Table16[[#This Row],[Total Sync Bu MOSFET Loss]]+Table16[[#This Row],[Reverse Recovery Loss MOSFET D BUCK]]*0.33</f>
        <v>0.59088942658390575</v>
      </c>
      <c r="BT194" s="345">
        <f xml:space="preserve"> Table16[[#This Row],[Total Control Bo MOSFET Loss]]+Table16[[#This Row],[Reverse Recovery Loss MOSFET D BOOST]]*0.66</f>
        <v>0</v>
      </c>
      <c r="BU194" s="345">
        <f xml:space="preserve"> Table16[[#This Row],[Total Sync Bo MOSFET Loss]]+Table16[[#This Row],[Reverse Recovery Loss MOSFET D BOOST]]*0.33</f>
        <v>0.28407700957826743</v>
      </c>
      <c r="BV194" s="345">
        <f>Table16[[#This Row],[Isense Shunt Loss]]</f>
        <v>5.1504012343166754E-2</v>
      </c>
    </row>
    <row r="195" spans="7:74" x14ac:dyDescent="0.2">
      <c r="G195" s="253">
        <v>186</v>
      </c>
      <c r="H195" s="286">
        <f>VIN_min+(VIN_max-VIN_min)*(Table16[[#This Row],[Step]]/200)</f>
        <v>33.900000000000006</v>
      </c>
      <c r="I195" s="292" t="str">
        <f>IF(Mode = 2,IF(Table16[[#This Row],[Vin]]&gt;Vout, "BUCK","BOOST"),IF(Table16[[#This Row],[Vin]]&gt;VIN_BB_to_buck, "BUCK", IF(Table16[[#This Row],[Vin]]&lt;=VIN_boost_to_BB,"BOOST","BUCK-BST")))</f>
        <v>BUCK</v>
      </c>
      <c r="J195" s="253">
        <f>IF(Table16[[#This Row],[Mode]]="BOOST",2, IF(Table16[[#This Row],[Mode]]="BUCK", 1,3))</f>
        <v>1</v>
      </c>
      <c r="K195" s="253">
        <f t="shared" si="7"/>
        <v>8</v>
      </c>
      <c r="L195" s="292">
        <f>Vout*Table16[[#This Row],[Iout]]/(Table16[[#This Row],[Vin]]*Efficiency)</f>
        <v>3.9745381151995027</v>
      </c>
      <c r="M195" s="682">
        <f>MIN(1/Fsw,CHOOSE(Table16[[#This Row],[Mode Digit]],(Vout+(Rdson2+Rs+Rdcr)*Table16[[#This Row],[Iout]])/(Table16[[#This Row],[Vin]]+(Rs+Rdson2-Rdson1)*Table16[[#This Row],[Iout]])/Fsw,(Vout+(Rdson3+Rdcr)*Table16[[#This Row],[Iin]]-Table16[[#This Row],[Vin]])/(Vout+(Rdson3-Rdson4-Rs)*Table16[[#This Row],[Iin]])/Fsw,t1_Ph_II))</f>
        <v>1.1902486861029692E-6</v>
      </c>
      <c r="N195" s="518">
        <f>CHOOSE(Table16[[#This Row],[Mode Digit]],1/Fsw-Table16[[#This Row],[t1_Ph_II]],1/Fsw-Table16[[#This Row],[t1_Ph_II]],(Vout/Fsw-Table16[[#This Row],[Vin]]*t1_Ph_II)/(Table16[[#This Row],[Vin]]+Vout))</f>
        <v>1.3223141279673827E-6</v>
      </c>
      <c r="O195" s="518">
        <f>1/Fsw-(Table16[[#This Row],[t1_Ph_II]]+Table16[[#This Row],[t2_Ph_I]])</f>
        <v>0</v>
      </c>
      <c r="P195"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2.0818190329880135</v>
      </c>
      <c r="Q195" s="292">
        <f>CHOOSE(Table16[[#This Row],[Mode Digit]],Table16[[#This Row],[I_0]]+1/Lf*(Table16[[#This Row],[Vin]]-Vout)*Table16[[#This Row],[t1_Ph_II]],Table16[[#This Row],[I_0]]+1/Lf*Table16[[#This Row],[Vin]]*Table16[[#This Row],[t1_Ph_II]],Table16[[#This Row],[I_0]]+(Table16[[#This Row],[Vin]]-Vout)/L*Table16[[#This Row],[t1_Ph_II]])</f>
        <v>13.918180967011986</v>
      </c>
      <c r="R195" s="292">
        <f>CHOOSE(Table16[[#This Row],[Mode Digit]],0,0,Table16[[#This Row],[I_1]]+Table16[[#This Row],[Vin]]/L*Table16[[#This Row],[t2_Ph_I]])</f>
        <v>0</v>
      </c>
      <c r="S195" s="292">
        <f>Fsw*(Table16[[#This Row],[I_0]]*Table16[[#This Row],[t1_Ph_II]]+Table16[[#This Row],[I_1]]*Table16[[#This Row],[t2_Ph_I]]+Table16[[#This Row],[I_2]]*Table16[[#This Row],[t3_Ph_III]])</f>
        <v>8.3110716994079166</v>
      </c>
      <c r="T195" s="345">
        <f>MIN(1,CHOOSE(Table16[[#This Row],[Mode Digit]],(Vout+(Rdson2+Rs+Rdcr)*Table16[[#This Row],[Iout]])/(Table16[[#This Row],[Vin]]+(Rs+Rdson2-Rdson1)*Table16[[#This Row],[Iout]]),1,Fsw*Table16[[#This Row],[t2_Ph_I]]+Table16[[#This Row],[t1_Ph_II]]))</f>
        <v>0.47371897706898175</v>
      </c>
      <c r="U195" s="345">
        <f>MIN(1,CHOOSE(Table16[[#This Row],[Mode Digit]],0,(Vout+(Rdson3+Rdcr)*Table16[[#This Row],[Iin]]-Table16[[#This Row],[Vin]])/(Vout+(Rdson3-Rdson4-Rs)*Table16[[#This Row],[Iin]]),Fsw*Table16[[#This Row],[t1_Ph_II]]+Table16[[#This Row],[t3_Ph_III]]))</f>
        <v>0</v>
      </c>
      <c r="V195" s="292">
        <f>MAX(Table16[[#This Row],[I_0]:[I_2]])-MIN(Table16[[#This Row],[I_0]:[I_1]])</f>
        <v>11.836361934023973</v>
      </c>
      <c r="W195"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8.6991353202162749</v>
      </c>
      <c r="X195" s="345">
        <f>(Table16[[#This Row],[Irms Lf]]^2*Rdcr*(1+Ltc*Ta-Ltc*25))/(1-Table16[[#This Row],[Irms Lf]]^2*Rdcr*Ltc*ThetaCa)</f>
        <v>0.24694384797565333</v>
      </c>
      <c r="Y195" s="345">
        <f>ABS(7.759*10^-3*Fsw^0.9458*(0.00787*Table16[[#This Row],[Ripple Current pk-pk]])^2.304)</f>
        <v>6.4743438656219103</v>
      </c>
      <c r="Z195" s="345">
        <f>Table16[[#This Row],[DCR    Loss]]+Table16[[#This Row],[Core Loss]]</f>
        <v>6.7212877135975635</v>
      </c>
      <c r="AA195" s="292">
        <f>IF(Table16[[#This Row],[Vin]]&gt;Vout, Table16[[#This Row],[Ripple Current pk-pk]]/SQRT(12), SQRT(Table16[[#This Row],[Duty Cycle BOOST Leg]]/(1-Table16[[#This Row],[Duty Cycle BOOST Leg]]))*SQRT(Table16[[#This Row],[Iout]]^2+(Table16[[#This Row],[Ripple Current pk-pk]]^2)/12))</f>
        <v>3.4168633744172903</v>
      </c>
      <c r="AB195" s="345">
        <f>RCoutEsr*Table16[[#This Row],[Irms Cout]]^2</f>
        <v>2.3349910638868623E-2</v>
      </c>
      <c r="AC195" s="345">
        <f>Table16[[#This Row],[Cout ESR Loss]]</f>
        <v>2.3349910638868623E-2</v>
      </c>
      <c r="AD195" s="345">
        <f>IF(Table16[[#This Row],[Vin]]&gt;Vout, SQRT(Table16[[#This Row],[Duty Cycle BUCK Leg]]*(1-Table16[[#This Row],[Duty Cycle BUCK Leg]]))*SQRT(Table16[[#This Row],[Iout]]^2+(Table16[[#This Row],[Ripple Current pk-pk]]^2)/12), Table16[[#This Row],[Ripple Current pk-pk]]/SQRT(12))</f>
        <v>4.3435550797744336</v>
      </c>
      <c r="AE195" s="345">
        <f>RCinEsr*Table16[[#This Row],[Irms Cin]]^2</f>
        <v>3.7732941462068577E-2</v>
      </c>
      <c r="AF195" s="683">
        <f>Table16[[#This Row],[Cin ESR Loss]]</f>
        <v>3.7732941462068577E-2</v>
      </c>
      <c r="AG195"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5.9873752532861442</v>
      </c>
      <c r="AH195" s="345">
        <f>Rdson1*Table16[[#This Row],[Irms BuCtrl]]^2</f>
        <v>0.12547031848282161</v>
      </c>
      <c r="AI195" s="345">
        <f>CHOOSE(Table16[[#This Row],[Mode Digit]], (Table16[[#This Row],[Vin]]*Table16[[#This Row],[Iout]]/2)*(Fsw)*(Tr_buck+Tf_buck), 0, (Table16[[#This Row],[Vin]]*Table16[[#This Row],[Avg IL]]/2)*(Fsw/1)*(Tr_buck+Tf_buck))</f>
        <v>1.014968494554042</v>
      </c>
      <c r="AJ195" s="253">
        <f>IF(Table16[[#This Row],[Vin]]&gt;Vout, IF(Table16[[#This Row],[Iout]]&gt;Table16[[#This Row],[Ripple Current pk-pk]]/2,0,ABS(Table16[[#This Row],[Iout]]-Table16[[#This Row],[Ripple Current pk-pk]]/2)*Vsd_Q1*Deadtime*Fsw),0)</f>
        <v>0</v>
      </c>
      <c r="AK195" s="345">
        <f>(Table16[[#This Row],[Dead Time Loss BuCtrl]]+Table16[[#This Row],[Transition Loss BuCtrl]]+Table16[[#This Row],[RDS(on) Loss BuCtrl]]*(1+RdsonTopTc*Ta-RdsonTopTc*25))/(1-Table16[[#This Row],[RDS(on) Loss BuCtrl]]*RdsonTopTc*ThetaJA_Q1)</f>
        <v>1.1788971285634935</v>
      </c>
      <c r="AL195" s="345">
        <f>CHOOSE(Table16[[#This Row],[Mode Digit]],SQRT((Fsw*(Table16[[#This Row],[t2_Ph_I]]+0))*((Table16[[#This Row],[I_0]]*Table16[[#This Row],[I_1]]+((Table16[[#This Row],[I_0]]-Table16[[#This Row],[I_1]])^2)/3))),0,SQRT((Fsw*(Table16[[#This Row],[t3_Ph_III]]+0))*((Table16[[#This Row],[I_0]]*Table16[[#This Row],[I_2]]+((Table16[[#This Row],[I_0]]-Table16[[#This Row],[I_2]])^2)/3))))</f>
        <v>6.3108076262686845</v>
      </c>
      <c r="AM195" s="345">
        <f>Rdson2*Table16[[#This Row],[Irms BuSync]]^2</f>
        <v>0.13939202513519847</v>
      </c>
      <c r="AN195"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95" s="345">
        <f>(Table16[[#This Row],[Deadtime Loss BuSync]]+Table16[[#This Row],[RDS(on) Loss BuSync]]*(1+RdsonBotTc*Ta-RdsonBotTc*25))/(1-Table16[[#This Row],[RDS(on) Loss BuSync]]*RdsonBotTc*ThetaJA_Q2)</f>
        <v>0.39241385939890899</v>
      </c>
      <c r="AP195" s="345">
        <f>CHOOSE(Table16[[#This Row],[Mode Digit]],0,SQRT((Fsw*(Table16[[#This Row],[t1_Ph_II]]+0))*((Table16[[#This Row],[I_0]]*Table16[[#This Row],[I_1]]+((Table16[[#This Row],[I_0]]-Table16[[#This Row],[I_1]])^2)/3))),SQRT((Fsw*(Table16[[#This Row],[t2_Ph_I]]+0))*((Table16[[#This Row],[I_1]]*Table16[[#This Row],[I_2]]+((Table16[[#This Row],[I_1]]-Table16[[#This Row],[I_2]])^2)/3))))</f>
        <v>0</v>
      </c>
      <c r="AQ195" s="345">
        <f>Rdson4*Table16[[#This Row],[Irms BoCtlr]]^2</f>
        <v>0</v>
      </c>
      <c r="AR195" s="345">
        <f>CHOOSE(Table16[[#This Row],[Mode Digit]], 0, (Vout*Table16[[#This Row],[Iin]]/2)*(Fsw)*(Tr_boost+Tf_boost), (Vout*Iout/2)*(Fsw/1)*(Tr_boost+Tf_boost))</f>
        <v>0</v>
      </c>
      <c r="AS195" s="253">
        <f>IF(Table16[[#This Row],[Vin]]&gt;Vout, 0, IF(Table16[[#This Row],[Iin]]&gt;Table16[[#This Row],[Ripple Current pk-pk]]/2,0,ABS(Table16[[#This Row],[Iin]]-Table16[[#This Row],[Ripple Current pk-pk]]/2)*Vsd_Q4*Deadtime*Fsw))</f>
        <v>0</v>
      </c>
      <c r="AT195" s="345">
        <f>(Table16[[#This Row],[Dead Time Loss BoCtlr]]+Table16[[#This Row],[Transition Loss BoCtlr]]+Table16[[#This Row],[RDS(on) Loss BoCtlr]]*(1+RdsonTopTc*Ta-RdsonTopTc*25))/(1-Table16[[#This Row],[RDS(on) Loss BoCtlr]]*RdsonTopTc*ThetaJA_Q4)</f>
        <v>0</v>
      </c>
      <c r="AU195"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8.6991353202162749</v>
      </c>
      <c r="AV195" s="345">
        <f>Rdson3*Table16[[#This Row],[Irms BoSync]]^2</f>
        <v>0.26486234361802014</v>
      </c>
      <c r="AW195"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95" s="345">
        <f>(Table16[[#This Row],[Deadtime Loss BoSync]]+Table16[[#This Row],[RDS(on) Loss BoSync]]*(1+RdsonBotTc*Ta-RdsonBotTc*25))/(1-Table16[[#This Row],[RDS(on) Loss BoSync]]*RdsonBotTc*ThetaJA_Q3)</f>
        <v>0.28445082476152861</v>
      </c>
      <c r="AY195" s="345">
        <f>CHOOSE(Table16[[#This Row],[Mode Digit]], Rdson3*Table16[[#This Row],[Irms Lf]]^2, Rdson1*Table16[[#This Row],[Irms Lf]]^2, 0)</f>
        <v>0.26486234361802014</v>
      </c>
      <c r="AZ195" s="345">
        <f>CHOOSE(Table16[[#This Row],[Mode Digit]], 2*Deadtime*Fsw*IF(VfdSky_Q2&gt;0,VfdSky_Q2,0)*Table16[[#This Row],[Iout]], 2*Deadtime*Fsw*IF(VfdSky_Q3&gt;0,VfdSky_Q3,0)*Table16[[#This Row],[Iin]], 2*Deadtime*Fsw*IF(VfdSky_Q2&gt;0,VfdSky_Q2,0)*Table16[[#This Row],[Iout]]+2*Deadtime*Fsw*IF(VfdSky_Q3&gt;0,VfdSky_Q3,0)*Table16[[#This Row],[Iin]])</f>
        <v>0</v>
      </c>
      <c r="BA195" s="345">
        <f>CHOOSE(Table16[[#This Row],[Mode Digit]], IF(QrrSky_Q2&gt;0,QrrSky_Q2,Qrr_Q2)*Fsw*(Table16[[#This Row],[Vin]]-Table16[[#This Row],[Iout]]*Rdson1),0,  IF(QrrSky_Q2&gt;0,QrrSky_Q2,Qrr_Q2)*Fsw*(Table16[[#This Row],[Vin]]-Table16[[#This Row],[Iout]]*Rdson1)+IF(QrrSky_Q3&gt;0,QrrSky_Q3,Qrr_Q3)*Fsw*Vout)</f>
        <v>0.60664752000000011</v>
      </c>
      <c r="BB195" s="345">
        <f>CHOOSE(Table16[[#This Row],[Mode Digit]],0, IF(QrrSky_Q3&gt;0,QrrSky_Q3,Qrr_Q3)*Fsw*Vout,  IF(QrrSky_Q2&gt;0,QrrSky_Q2,Qrr_Q2)*Fsw*(Table16[[#This Row],[Vin]]-Table16[[#This Row],[Iout]]*Rdson1)+IF(QrrSky_Q3&gt;0,QrrSky_Q3,Qrr_Q3)*Fsw*Vout)</f>
        <v>0</v>
      </c>
      <c r="BC195" s="345">
        <f>CHOOSE(Table16[[#This Row],[Mode Digit]], Rs*Table16[[#This Row],[Irms BuSync]]^2, Rs*Table16[[#This Row],[Irms BoCtlr]]^2, Rs*(Table16[[#This Row],[Irms BuSync]]^2+Table16[[#This Row],[Irms BoCtlr]]^2))</f>
        <v>5.1774180764502284E-2</v>
      </c>
      <c r="BD195" s="345">
        <f t="shared" si="8"/>
        <v>0.64</v>
      </c>
      <c r="BE195" s="345">
        <f>IF(Vout&gt;8, Iq*Vout, Iq*Table16[[#This Row],[Vin]])</f>
        <v>4.8000000000000001E-2</v>
      </c>
      <c r="BF195" s="345">
        <f>CHOOSE(Table16[[#This Row],[Mode Digit]], (Qg_Q1+Qg_Q2)*Fsw, (Qg_Q3+Qg_Q4)*Fsw, (Qg_Q1+Qg_Q2+Qg_Q3+Qg_Q4)*Fsw)*IF(Vout&gt;8, Vout, Table16[[#This Row],[Vin]])</f>
        <v>0.85331200000000007</v>
      </c>
      <c r="BG195" s="345">
        <f t="shared" si="9"/>
        <v>0.50594479787234037</v>
      </c>
      <c r="BH195" s="345">
        <f>Table16[[#This Row],[IQ Loss]]+Table16[[#This Row],[Switching Current Loss]]</f>
        <v>0.90131200000000011</v>
      </c>
      <c r="BI195"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10.837866079186936</v>
      </c>
      <c r="BJ195" s="253">
        <f>Vout*Table16[[#This Row],[Iout]]</f>
        <v>128</v>
      </c>
      <c r="BK195" s="684">
        <f>Table16[[#This Row],[Pout]]/(Table16[[#This Row],[Pout]]+Table16[[#This Row],[Total Loss]])</f>
        <v>0.92193868729583106</v>
      </c>
      <c r="BL195"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76.628313356627075</v>
      </c>
      <c r="BM195" s="685">
        <f>IF(Table16[[#This Row],[Vin]]&gt;Vout, Table16[[#This Row],[Total Sync Bu MOSFET Loss]]*ThetaJA_Q2, ThetaJA_Q3*Table16[[#This Row],[Total Sync Bo MOSFET Loss]])</f>
        <v>25.506900860929086</v>
      </c>
      <c r="BN195" s="640"/>
      <c r="BO195" s="292">
        <f>Table16[[#This Row],[EFF, h]]*100</f>
        <v>92.193868729583102</v>
      </c>
      <c r="BP195" s="345">
        <f>Table16[[#This Row],[Total Inductor Loss]]</f>
        <v>6.7212877135975635</v>
      </c>
      <c r="BQ195" s="345">
        <f>Table16[[#This Row],[Total Control Bu MOSFET Loss]]+Table16[[#This Row],[Total Sync Bu MOSFET Loss]]+Table16[[#This Row],[Total Control Bo MOSFET Loss]]+Table16[[#This Row],[Total Sync Bo MOSFET Loss]]+Table16[[#This Row],[Reverse Recovery Loss MOSFET D BUCK]]+Table16[[#This Row],[Reverse Recovery Loss MOSFET D BOOST]]</f>
        <v>2.4624093327239311</v>
      </c>
      <c r="BR195" s="345">
        <f>Table16[[#This Row],[Total Control Bu MOSFET Loss]]+Table16[[#This Row],[Reverse Recovery Loss MOSFET D BUCK]]*0.66</f>
        <v>1.5792844917634936</v>
      </c>
      <c r="BS195" s="345">
        <f>Table16[[#This Row],[Total Sync Bu MOSFET Loss]]+Table16[[#This Row],[Reverse Recovery Loss MOSFET D BUCK]]*0.33</f>
        <v>0.592607540998909</v>
      </c>
      <c r="BT195" s="345">
        <f xml:space="preserve"> Table16[[#This Row],[Total Control Bo MOSFET Loss]]+Table16[[#This Row],[Reverse Recovery Loss MOSFET D BOOST]]*0.66</f>
        <v>0</v>
      </c>
      <c r="BU195" s="345">
        <f xml:space="preserve"> Table16[[#This Row],[Total Sync Bo MOSFET Loss]]+Table16[[#This Row],[Reverse Recovery Loss MOSFET D BOOST]]*0.33</f>
        <v>0.28445082476152861</v>
      </c>
      <c r="BV195" s="345">
        <f>Table16[[#This Row],[Isense Shunt Loss]]</f>
        <v>5.1774180764502284E-2</v>
      </c>
    </row>
    <row r="196" spans="7:74" x14ac:dyDescent="0.2">
      <c r="G196" s="253">
        <v>187</v>
      </c>
      <c r="H196" s="286">
        <f>VIN_min+(VIN_max-VIN_min)*(Table16[[#This Row],[Step]]/200)</f>
        <v>34.049999999999997</v>
      </c>
      <c r="I196" s="292" t="str">
        <f>IF(Mode = 2,IF(Table16[[#This Row],[Vin]]&gt;Vout, "BUCK","BOOST"),IF(Table16[[#This Row],[Vin]]&gt;VIN_BB_to_buck, "BUCK", IF(Table16[[#This Row],[Vin]]&lt;=VIN_boost_to_BB,"BOOST","BUCK-BST")))</f>
        <v>BUCK</v>
      </c>
      <c r="J196" s="253">
        <f>IF(Table16[[#This Row],[Mode]]="BOOST",2, IF(Table16[[#This Row],[Mode]]="BUCK", 1,3))</f>
        <v>1</v>
      </c>
      <c r="K196" s="253">
        <f t="shared" si="7"/>
        <v>8</v>
      </c>
      <c r="L196" s="292">
        <f>Vout*Table16[[#This Row],[Iout]]/(Table16[[#This Row],[Vin]]*Efficiency)</f>
        <v>3.9570291367184485</v>
      </c>
      <c r="M196" s="682">
        <f>MIN(1/Fsw,CHOOSE(Table16[[#This Row],[Mode Digit]],(Vout+(Rdson2+Rs+Rdcr)*Table16[[#This Row],[Iout]])/(Table16[[#This Row],[Vin]]+(Rs+Rdson2-Rdson1)*Table16[[#This Row],[Iout]])/Fsw,(Vout+(Rdson3+Rdcr)*Table16[[#This Row],[Iin]]-Table16[[#This Row],[Vin]])/(Vout+(Rdson3-Rdson4-Rs)*Table16[[#This Row],[Iin]])/Fsw,t1_Ph_II))</f>
        <v>1.1850069008357546E-6</v>
      </c>
      <c r="N196" s="518">
        <f>CHOOSE(Table16[[#This Row],[Mode Digit]],1/Fsw-Table16[[#This Row],[t1_Ph_II]],1/Fsw-Table16[[#This Row],[t1_Ph_II]],(Vout/Fsw-Table16[[#This Row],[Vin]]*t1_Ph_II)/(Table16[[#This Row],[Vin]]+Vout))</f>
        <v>1.3275559132345973E-6</v>
      </c>
      <c r="O196" s="518">
        <f>1/Fsw-(Table16[[#This Row],[t1_Ph_II]]+Table16[[#This Row],[t2_Ph_I]])</f>
        <v>0</v>
      </c>
      <c r="P196"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2.0585070666429539</v>
      </c>
      <c r="Q196" s="292">
        <f>CHOOSE(Table16[[#This Row],[Mode Digit]],Table16[[#This Row],[I_0]]+1/Lf*(Table16[[#This Row],[Vin]]-Vout)*Table16[[#This Row],[t1_Ph_II]],Table16[[#This Row],[I_0]]+1/Lf*Table16[[#This Row],[Vin]]*Table16[[#This Row],[t1_Ph_II]],Table16[[#This Row],[I_0]]+(Table16[[#This Row],[Vin]]-Vout)/L*Table16[[#This Row],[t1_Ph_II]])</f>
        <v>13.941492933357047</v>
      </c>
      <c r="R196" s="292">
        <f>CHOOSE(Table16[[#This Row],[Mode Digit]],0,0,Table16[[#This Row],[I_1]]+Table16[[#This Row],[Vin]]/L*Table16[[#This Row],[t2_Ph_I]])</f>
        <v>0</v>
      </c>
      <c r="S196" s="292">
        <f>Fsw*(Table16[[#This Row],[I_0]]*Table16[[#This Row],[t1_Ph_II]]+Table16[[#This Row],[I_1]]*Table16[[#This Row],[t2_Ph_I]]+Table16[[#This Row],[I_2]]*Table16[[#This Row],[t3_Ph_III]])</f>
        <v>8.3370876720302505</v>
      </c>
      <c r="T196" s="345">
        <f>MIN(1,CHOOSE(Table16[[#This Row],[Mode Digit]],(Vout+(Rdson2+Rs+Rdcr)*Table16[[#This Row],[Iout]])/(Table16[[#This Row],[Vin]]+(Rs+Rdson2-Rdson1)*Table16[[#This Row],[Iout]]),1,Fsw*Table16[[#This Row],[t2_Ph_I]]+Table16[[#This Row],[t1_Ph_II]]))</f>
        <v>0.47163274653263038</v>
      </c>
      <c r="U196" s="345">
        <f>MIN(1,CHOOSE(Table16[[#This Row],[Mode Digit]],0,(Vout+(Rdson3+Rdcr)*Table16[[#This Row],[Iin]]-Table16[[#This Row],[Vin]])/(Vout+(Rdson3-Rdson4-Rs)*Table16[[#This Row],[Iin]]),Fsw*Table16[[#This Row],[t1_Ph_II]]+Table16[[#This Row],[t3_Ph_III]]))</f>
        <v>0</v>
      </c>
      <c r="V196" s="292">
        <f>MAX(Table16[[#This Row],[I_0]:[I_2]])-MIN(Table16[[#This Row],[I_0]:[I_1]])</f>
        <v>11.882985866714094</v>
      </c>
      <c r="W196"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8.7044306395676401</v>
      </c>
      <c r="X196" s="345">
        <f>(Table16[[#This Row],[Irms Lf]]^2*Rdcr*(1+Ltc*Ta-Ltc*25))/(1-Table16[[#This Row],[Irms Lf]]^2*Rdcr*Ltc*ThetaCa)</f>
        <v>0.24725052620460183</v>
      </c>
      <c r="Y196" s="345">
        <f>ABS(7.759*10^-3*Fsw^0.9458*(0.00787*Table16[[#This Row],[Ripple Current pk-pk]])^2.304)</f>
        <v>6.5332530888766387</v>
      </c>
      <c r="Z196" s="345">
        <f>Table16[[#This Row],[DCR    Loss]]+Table16[[#This Row],[Core Loss]]</f>
        <v>6.7805036150812406</v>
      </c>
      <c r="AA196" s="292">
        <f>IF(Table16[[#This Row],[Vin]]&gt;Vout, Table16[[#This Row],[Ripple Current pk-pk]]/SQRT(12), SQRT(Table16[[#This Row],[Duty Cycle BOOST Leg]]/(1-Table16[[#This Row],[Duty Cycle BOOST Leg]]))*SQRT(Table16[[#This Row],[Iout]]^2+(Table16[[#This Row],[Ripple Current pk-pk]]^2)/12))</f>
        <v>3.4303225444619505</v>
      </c>
      <c r="AB196" s="345">
        <f>RCoutEsr*Table16[[#This Row],[Irms Cout]]^2</f>
        <v>2.3534225518087822E-2</v>
      </c>
      <c r="AC196" s="345">
        <f>Table16[[#This Row],[Cout ESR Loss]]</f>
        <v>2.3534225518087822E-2</v>
      </c>
      <c r="AD196" s="345">
        <f>IF(Table16[[#This Row],[Vin]]&gt;Vout, SQRT(Table16[[#This Row],[Duty Cycle BUCK Leg]]*(1-Table16[[#This Row],[Duty Cycle BUCK Leg]]))*SQRT(Table16[[#This Row],[Iout]]^2+(Table16[[#This Row],[Ripple Current pk-pk]]^2)/12), Table16[[#This Row],[Ripple Current pk-pk]]/SQRT(12))</f>
        <v>4.3452052095507945</v>
      </c>
      <c r="AE196" s="345">
        <f>RCinEsr*Table16[[#This Row],[Irms Cin]]^2</f>
        <v>3.7761616626214724E-2</v>
      </c>
      <c r="AF196" s="683">
        <f>Table16[[#This Row],[Cin ESR Loss]]</f>
        <v>3.7761616626214724E-2</v>
      </c>
      <c r="AG196"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5.9778132696994959</v>
      </c>
      <c r="AH196" s="345">
        <f>Rdson1*Table16[[#This Row],[Irms BuCtrl]]^2</f>
        <v>0.12506988020588383</v>
      </c>
      <c r="AI196" s="345">
        <f>CHOOSE(Table16[[#This Row],[Mode Digit]], (Table16[[#This Row],[Vin]]*Table16[[#This Row],[Iout]]/2)*(Fsw)*(Tr_buck+Tf_buck), 0, (Table16[[#This Row],[Vin]]*Table16[[#This Row],[Avg IL]]/2)*(Fsw/1)*(Tr_buck+Tf_buck))</f>
        <v>1.0194595055918916</v>
      </c>
      <c r="AJ196" s="253">
        <f>IF(Table16[[#This Row],[Vin]]&gt;Vout, IF(Table16[[#This Row],[Iout]]&gt;Table16[[#This Row],[Ripple Current pk-pk]]/2,0,ABS(Table16[[#This Row],[Iout]]-Table16[[#This Row],[Ripple Current pk-pk]]/2)*Vsd_Q1*Deadtime*Fsw),0)</f>
        <v>0</v>
      </c>
      <c r="AK196" s="345">
        <f>(Table16[[#This Row],[Dead Time Loss BuCtrl]]+Table16[[#This Row],[Transition Loss BuCtrl]]+Table16[[#This Row],[RDS(on) Loss BuCtrl]]*(1+RdsonTopTc*Ta-RdsonTopTc*25))/(1-Table16[[#This Row],[RDS(on) Loss BuCtrl]]*RdsonTopTc*ThetaJA_Q1)</f>
        <v>1.1829983250863771</v>
      </c>
      <c r="AL196" s="345">
        <f>CHOOSE(Table16[[#This Row],[Mode Digit]],SQRT((Fsw*(Table16[[#This Row],[t2_Ph_I]]+0))*((Table16[[#This Row],[I_0]]*Table16[[#This Row],[I_1]]+((Table16[[#This Row],[I_0]]-Table16[[#This Row],[I_1]])^2)/3))),0,SQRT((Fsw*(Table16[[#This Row],[t3_Ph_III]]+0))*((Table16[[#This Row],[I_0]]*Table16[[#This Row],[I_2]]+((Table16[[#This Row],[I_0]]-Table16[[#This Row],[I_2]])^2)/3))))</f>
        <v>6.3271526986195408</v>
      </c>
      <c r="AM196" s="345">
        <f>Rdson2*Table16[[#This Row],[Irms BuSync]]^2</f>
        <v>0.14011501445076988</v>
      </c>
      <c r="AN196"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96" s="345">
        <f>(Table16[[#This Row],[Deadtime Loss BuSync]]+Table16[[#This Row],[RDS(on) Loss BuSync]]*(1+RdsonBotTc*Ta-RdsonBotTc*25))/(1-Table16[[#This Row],[RDS(on) Loss BuSync]]*RdsonBotTc*ThetaJA_Q2)</f>
        <v>0.39324073663997455</v>
      </c>
      <c r="AP196" s="345">
        <f>CHOOSE(Table16[[#This Row],[Mode Digit]],0,SQRT((Fsw*(Table16[[#This Row],[t1_Ph_II]]+0))*((Table16[[#This Row],[I_0]]*Table16[[#This Row],[I_1]]+((Table16[[#This Row],[I_0]]-Table16[[#This Row],[I_1]])^2)/3))),SQRT((Fsw*(Table16[[#This Row],[t2_Ph_I]]+0))*((Table16[[#This Row],[I_1]]*Table16[[#This Row],[I_2]]+((Table16[[#This Row],[I_1]]-Table16[[#This Row],[I_2]])^2)/3))))</f>
        <v>0</v>
      </c>
      <c r="AQ196" s="345">
        <f>Rdson4*Table16[[#This Row],[Irms BoCtlr]]^2</f>
        <v>0</v>
      </c>
      <c r="AR196" s="345">
        <f>CHOOSE(Table16[[#This Row],[Mode Digit]], 0, (Vout*Table16[[#This Row],[Iin]]/2)*(Fsw)*(Tr_boost+Tf_boost), (Vout*Iout/2)*(Fsw/1)*(Tr_boost+Tf_boost))</f>
        <v>0</v>
      </c>
      <c r="AS196" s="253">
        <f>IF(Table16[[#This Row],[Vin]]&gt;Vout, 0, IF(Table16[[#This Row],[Iin]]&gt;Table16[[#This Row],[Ripple Current pk-pk]]/2,0,ABS(Table16[[#This Row],[Iin]]-Table16[[#This Row],[Ripple Current pk-pk]]/2)*Vsd_Q4*Deadtime*Fsw))</f>
        <v>0</v>
      </c>
      <c r="AT196" s="345">
        <f>(Table16[[#This Row],[Dead Time Loss BoCtlr]]+Table16[[#This Row],[Transition Loss BoCtlr]]+Table16[[#This Row],[RDS(on) Loss BoCtlr]]*(1+RdsonTopTc*Ta-RdsonTopTc*25))/(1-Table16[[#This Row],[RDS(on) Loss BoCtlr]]*RdsonTopTc*ThetaJA_Q4)</f>
        <v>0</v>
      </c>
      <c r="AU196"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8.7044306395676401</v>
      </c>
      <c r="AV196" s="345">
        <f>Rdson3*Table16[[#This Row],[Irms BoSync]]^2</f>
        <v>0.26518489465665368</v>
      </c>
      <c r="AW196"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96" s="345">
        <f>(Table16[[#This Row],[Deadtime Loss BoSync]]+Table16[[#This Row],[RDS(on) Loss BoSync]]*(1+RdsonBotTc*Ta-RdsonBotTc*25))/(1-Table16[[#This Row],[RDS(on) Loss BoSync]]*RdsonBotTc*ThetaJA_Q3)</f>
        <v>0.28482288351010593</v>
      </c>
      <c r="AY196" s="345">
        <f>CHOOSE(Table16[[#This Row],[Mode Digit]], Rdson3*Table16[[#This Row],[Irms Lf]]^2, Rdson1*Table16[[#This Row],[Irms Lf]]^2, 0)</f>
        <v>0.26518489465665368</v>
      </c>
      <c r="AZ196" s="345">
        <f>CHOOSE(Table16[[#This Row],[Mode Digit]], 2*Deadtime*Fsw*IF(VfdSky_Q2&gt;0,VfdSky_Q2,0)*Table16[[#This Row],[Iout]], 2*Deadtime*Fsw*IF(VfdSky_Q3&gt;0,VfdSky_Q3,0)*Table16[[#This Row],[Iin]], 2*Deadtime*Fsw*IF(VfdSky_Q2&gt;0,VfdSky_Q2,0)*Table16[[#This Row],[Iout]]+2*Deadtime*Fsw*IF(VfdSky_Q3&gt;0,VfdSky_Q3,0)*Table16[[#This Row],[Iin]])</f>
        <v>0</v>
      </c>
      <c r="BA196" s="345">
        <f>CHOOSE(Table16[[#This Row],[Mode Digit]], IF(QrrSky_Q2&gt;0,QrrSky_Q2,Qrr_Q2)*Fsw*(Table16[[#This Row],[Vin]]-Table16[[#This Row],[Iout]]*Rdson1),0,  IF(QrrSky_Q2&gt;0,QrrSky_Q2,Qrr_Q2)*Fsw*(Table16[[#This Row],[Vin]]-Table16[[#This Row],[Iout]]*Rdson1)+IF(QrrSky_Q3&gt;0,QrrSky_Q3,Qrr_Q3)*Fsw*Vout)</f>
        <v>0.60933401999999992</v>
      </c>
      <c r="BB196" s="345">
        <f>CHOOSE(Table16[[#This Row],[Mode Digit]],0, IF(QrrSky_Q3&gt;0,QrrSky_Q3,Qrr_Q3)*Fsw*Vout,  IF(QrrSky_Q2&gt;0,QrrSky_Q2,Qrr_Q2)*Fsw*(Table16[[#This Row],[Vin]]-Table16[[#This Row],[Iout]]*Rdson1)+IF(QrrSky_Q3&gt;0,QrrSky_Q3,Qrr_Q3)*Fsw*Vout)</f>
        <v>0</v>
      </c>
      <c r="BC196" s="345">
        <f>CHOOSE(Table16[[#This Row],[Mode Digit]], Rs*Table16[[#This Row],[Irms BuSync]]^2, Rs*Table16[[#This Row],[Irms BoCtlr]]^2, Rs*(Table16[[#This Row],[Irms BuSync]]^2+Table16[[#This Row],[Irms BoCtlr]]^2))</f>
        <v>5.2042719653143096E-2</v>
      </c>
      <c r="BD196" s="345">
        <f t="shared" si="8"/>
        <v>0.64</v>
      </c>
      <c r="BE196" s="345">
        <f>IF(Vout&gt;8, Iq*Vout, Iq*Table16[[#This Row],[Vin]])</f>
        <v>4.8000000000000001E-2</v>
      </c>
      <c r="BF196" s="345">
        <f>CHOOSE(Table16[[#This Row],[Mode Digit]], (Qg_Q1+Qg_Q2)*Fsw, (Qg_Q3+Qg_Q4)*Fsw, (Qg_Q1+Qg_Q2+Qg_Q3+Qg_Q4)*Fsw)*IF(Vout&gt;8, Vout, Table16[[#This Row],[Vin]])</f>
        <v>0.85331200000000007</v>
      </c>
      <c r="BG196" s="345">
        <f t="shared" si="9"/>
        <v>0.50594479787234037</v>
      </c>
      <c r="BH196" s="345">
        <f>Table16[[#This Row],[IQ Loss]]+Table16[[#This Row],[Switching Current Loss]]</f>
        <v>0.90131200000000011</v>
      </c>
      <c r="BI196"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10.905550142115144</v>
      </c>
      <c r="BJ196" s="253">
        <f>Vout*Table16[[#This Row],[Iout]]</f>
        <v>128</v>
      </c>
      <c r="BK196" s="684">
        <f>Table16[[#This Row],[Pout]]/(Table16[[#This Row],[Pout]]+Table16[[#This Row],[Total Loss]])</f>
        <v>0.92148945718182174</v>
      </c>
      <c r="BL196"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76.894891130614511</v>
      </c>
      <c r="BM196" s="685">
        <f>IF(Table16[[#This Row],[Vin]]&gt;Vout, Table16[[#This Row],[Total Sync Bu MOSFET Loss]]*ThetaJA_Q2, ThetaJA_Q3*Table16[[#This Row],[Total Sync Bo MOSFET Loss]])</f>
        <v>25.560647881598346</v>
      </c>
      <c r="BN196" s="640"/>
      <c r="BO196" s="292">
        <f>Table16[[#This Row],[EFF, h]]*100</f>
        <v>92.148945718182176</v>
      </c>
      <c r="BP196" s="345">
        <f>Table16[[#This Row],[Total Inductor Loss]]</f>
        <v>6.7805036150812406</v>
      </c>
      <c r="BQ196" s="345">
        <f>Table16[[#This Row],[Total Control Bu MOSFET Loss]]+Table16[[#This Row],[Total Sync Bu MOSFET Loss]]+Table16[[#This Row],[Total Control Bo MOSFET Loss]]+Table16[[#This Row],[Total Sync Bo MOSFET Loss]]+Table16[[#This Row],[Reverse Recovery Loss MOSFET D BUCK]]+Table16[[#This Row],[Reverse Recovery Loss MOSFET D BOOST]]</f>
        <v>2.4703959652364578</v>
      </c>
      <c r="BR196" s="345">
        <f>Table16[[#This Row],[Total Control Bu MOSFET Loss]]+Table16[[#This Row],[Reverse Recovery Loss MOSFET D BUCK]]*0.66</f>
        <v>1.5851587782863772</v>
      </c>
      <c r="BS196" s="345">
        <f>Table16[[#This Row],[Total Sync Bu MOSFET Loss]]+Table16[[#This Row],[Reverse Recovery Loss MOSFET D BUCK]]*0.33</f>
        <v>0.59432096323997452</v>
      </c>
      <c r="BT196" s="345">
        <f xml:space="preserve"> Table16[[#This Row],[Total Control Bo MOSFET Loss]]+Table16[[#This Row],[Reverse Recovery Loss MOSFET D BOOST]]*0.66</f>
        <v>0</v>
      </c>
      <c r="BU196" s="345">
        <f xml:space="preserve"> Table16[[#This Row],[Total Sync Bo MOSFET Loss]]+Table16[[#This Row],[Reverse Recovery Loss MOSFET D BOOST]]*0.33</f>
        <v>0.28482288351010593</v>
      </c>
      <c r="BV196" s="345">
        <f>Table16[[#This Row],[Isense Shunt Loss]]</f>
        <v>5.2042719653143096E-2</v>
      </c>
    </row>
    <row r="197" spans="7:74" x14ac:dyDescent="0.2">
      <c r="G197" s="253">
        <v>188</v>
      </c>
      <c r="H197" s="286">
        <f>VIN_min+(VIN_max-VIN_min)*(Table16[[#This Row],[Step]]/200)</f>
        <v>34.200000000000003</v>
      </c>
      <c r="I197" s="292" t="str">
        <f>IF(Mode = 2,IF(Table16[[#This Row],[Vin]]&gt;Vout, "BUCK","BOOST"),IF(Table16[[#This Row],[Vin]]&gt;VIN_BB_to_buck, "BUCK", IF(Table16[[#This Row],[Vin]]&lt;=VIN_boost_to_BB,"BOOST","BUCK-BST")))</f>
        <v>BUCK</v>
      </c>
      <c r="J197" s="253">
        <f>IF(Table16[[#This Row],[Mode]]="BOOST",2, IF(Table16[[#This Row],[Mode]]="BUCK", 1,3))</f>
        <v>1</v>
      </c>
      <c r="K197" s="253">
        <f t="shared" si="7"/>
        <v>8</v>
      </c>
      <c r="L197" s="292">
        <f>Vout*Table16[[#This Row],[Iout]]/(Table16[[#This Row],[Vin]]*Efficiency)</f>
        <v>3.9396737457679283</v>
      </c>
      <c r="M197" s="682">
        <f>MIN(1/Fsw,CHOOSE(Table16[[#This Row],[Mode Digit]],(Vout+(Rdson2+Rs+Rdcr)*Table16[[#This Row],[Iout]])/(Table16[[#This Row],[Vin]]+(Rs+Rdson2-Rdson1)*Table16[[#This Row],[Iout]])/Fsw,(Vout+(Rdson3+Rdcr)*Table16[[#This Row],[Iin]]-Table16[[#This Row],[Vin]])/(Vout+(Rdson3-Rdson4-Rs)*Table16[[#This Row],[Iin]])/Fsw,t1_Ph_II))</f>
        <v>1.1798110821629133E-6</v>
      </c>
      <c r="N197" s="518">
        <f>CHOOSE(Table16[[#This Row],[Mode Digit]],1/Fsw-Table16[[#This Row],[t1_Ph_II]],1/Fsw-Table16[[#This Row],[t1_Ph_II]],(Vout/Fsw-Table16[[#This Row],[Vin]]*t1_Ph_II)/(Table16[[#This Row],[Vin]]+Vout))</f>
        <v>1.3327517319074386E-6</v>
      </c>
      <c r="O197" s="518">
        <f>1/Fsw-(Table16[[#This Row],[t1_Ph_II]]+Table16[[#This Row],[t2_Ph_I]])</f>
        <v>0</v>
      </c>
      <c r="P197"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2.0353995290652707</v>
      </c>
      <c r="Q197" s="292">
        <f>CHOOSE(Table16[[#This Row],[Mode Digit]],Table16[[#This Row],[I_0]]+1/Lf*(Table16[[#This Row],[Vin]]-Vout)*Table16[[#This Row],[t1_Ph_II]],Table16[[#This Row],[I_0]]+1/Lf*Table16[[#This Row],[Vin]]*Table16[[#This Row],[t1_Ph_II]],Table16[[#This Row],[I_0]]+(Table16[[#This Row],[Vin]]-Vout)/L*Table16[[#This Row],[t1_Ph_II]])</f>
        <v>13.96460047093473</v>
      </c>
      <c r="R197" s="292">
        <f>CHOOSE(Table16[[#This Row],[Mode Digit]],0,0,Table16[[#This Row],[I_1]]+Table16[[#This Row],[Vin]]/L*Table16[[#This Row],[t2_Ph_I]])</f>
        <v>0</v>
      </c>
      <c r="S197" s="292">
        <f>Fsw*(Table16[[#This Row],[I_0]]*Table16[[#This Row],[t1_Ph_II]]+Table16[[#This Row],[I_1]]*Table16[[#This Row],[t2_Ph_I]]+Table16[[#This Row],[I_2]]*Table16[[#This Row],[t3_Ph_III]])</f>
        <v>8.3630674888535204</v>
      </c>
      <c r="T197" s="345">
        <f>MIN(1,CHOOSE(Table16[[#This Row],[Mode Digit]],(Vout+(Rdson2+Rs+Rdcr)*Table16[[#This Row],[Iout]])/(Table16[[#This Row],[Vin]]+(Rs+Rdson2-Rdson1)*Table16[[#This Row],[Iout]]),1,Fsw*Table16[[#This Row],[t2_Ph_I]]+Table16[[#This Row],[t1_Ph_II]]))</f>
        <v>0.4695648107008395</v>
      </c>
      <c r="U197" s="345">
        <f>MIN(1,CHOOSE(Table16[[#This Row],[Mode Digit]],0,(Vout+(Rdson3+Rdcr)*Table16[[#This Row],[Iin]]-Table16[[#This Row],[Vin]])/(Vout+(Rdson3-Rdson4-Rs)*Table16[[#This Row],[Iin]]),Fsw*Table16[[#This Row],[t1_Ph_II]]+Table16[[#This Row],[t3_Ph_III]]))</f>
        <v>0</v>
      </c>
      <c r="V197" s="292">
        <f>MAX(Table16[[#This Row],[I_0]:[I_2]])-MIN(Table16[[#This Row],[I_0]:[I_1]])</f>
        <v>11.92920094186946</v>
      </c>
      <c r="W197"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8.7096968714545362</v>
      </c>
      <c r="X197" s="345">
        <f>(Table16[[#This Row],[Irms Lf]]^2*Rdcr*(1+Ltc*Ta-Ltc*25))/(1-Table16[[#This Row],[Irms Lf]]^2*Rdcr*Ltc*ThetaCa)</f>
        <v>0.24755571957195341</v>
      </c>
      <c r="Y197" s="345">
        <f>ABS(7.759*10^-3*Fsw^0.9458*(0.00787*Table16[[#This Row],[Ripple Current pk-pk]])^2.304)</f>
        <v>6.5919439307665115</v>
      </c>
      <c r="Z197" s="345">
        <f>Table16[[#This Row],[DCR    Loss]]+Table16[[#This Row],[Core Loss]]</f>
        <v>6.8394996503384649</v>
      </c>
      <c r="AA197" s="292">
        <f>IF(Table16[[#This Row],[Vin]]&gt;Vout, Table16[[#This Row],[Ripple Current pk-pk]]/SQRT(12), SQRT(Table16[[#This Row],[Duty Cycle BOOST Leg]]/(1-Table16[[#This Row],[Duty Cycle BOOST Leg]]))*SQRT(Table16[[#This Row],[Iout]]^2+(Table16[[#This Row],[Ripple Current pk-pk]]^2)/12))</f>
        <v>3.4436636875027351</v>
      </c>
      <c r="AB197" s="345">
        <f>RCoutEsr*Table16[[#This Row],[Irms Cout]]^2</f>
        <v>2.371763918524987E-2</v>
      </c>
      <c r="AC197" s="345">
        <f>Table16[[#This Row],[Cout ESR Loss]]</f>
        <v>2.371763918524987E-2</v>
      </c>
      <c r="AD197" s="345">
        <f>IF(Table16[[#This Row],[Vin]]&gt;Vout, SQRT(Table16[[#This Row],[Duty Cycle BUCK Leg]]*(1-Table16[[#This Row],[Duty Cycle BUCK Leg]]))*SQRT(Table16[[#This Row],[Iout]]^2+(Table16[[#This Row],[Ripple Current pk-pk]]^2)/12), Table16[[#This Row],[Ripple Current pk-pk]]/SQRT(12))</f>
        <v>4.3467731499181994</v>
      </c>
      <c r="AE197" s="345">
        <f>RCinEsr*Table16[[#This Row],[Irms Cin]]^2</f>
        <v>3.7788873633699573E-2</v>
      </c>
      <c r="AF197" s="683">
        <f>Table16[[#This Row],[Cin ESR Loss]]</f>
        <v>3.7788873633699573E-2</v>
      </c>
      <c r="AG197"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5.9683022931148573</v>
      </c>
      <c r="AH197" s="345">
        <f>Rdson1*Table16[[#This Row],[Irms BuCtrl]]^2</f>
        <v>0.12467221291700023</v>
      </c>
      <c r="AI197" s="345">
        <f>CHOOSE(Table16[[#This Row],[Mode Digit]], (Table16[[#This Row],[Vin]]*Table16[[#This Row],[Iout]]/2)*(Fsw)*(Tr_buck+Tf_buck), 0, (Table16[[#This Row],[Vin]]*Table16[[#This Row],[Avg IL]]/2)*(Fsw/1)*(Tr_buck+Tf_buck))</f>
        <v>1.0239505166297416</v>
      </c>
      <c r="AJ197" s="253">
        <f>IF(Table16[[#This Row],[Vin]]&gt;Vout, IF(Table16[[#This Row],[Iout]]&gt;Table16[[#This Row],[Ripple Current pk-pk]]/2,0,ABS(Table16[[#This Row],[Iout]]-Table16[[#This Row],[Ripple Current pk-pk]]/2)*Vsd_Q1*Deadtime*Fsw),0)</f>
        <v>0</v>
      </c>
      <c r="AK197" s="345">
        <f>(Table16[[#This Row],[Dead Time Loss BuCtrl]]+Table16[[#This Row],[Transition Loss BuCtrl]]+Table16[[#This Row],[RDS(on) Loss BuCtrl]]*(1+RdsonTopTc*Ta-RdsonTopTc*25))/(1-Table16[[#This Row],[RDS(on) Loss BuCtrl]]*RdsonTopTc*ThetaJA_Q1)</f>
        <v>1.1871023867403754</v>
      </c>
      <c r="AL197" s="345">
        <f>CHOOSE(Table16[[#This Row],[Mode Digit]],SQRT((Fsw*(Table16[[#This Row],[t2_Ph_I]]+0))*((Table16[[#This Row],[I_0]]*Table16[[#This Row],[I_1]]+((Table16[[#This Row],[I_0]]-Table16[[#This Row],[I_1]])^2)/3))),0,SQRT((Fsw*(Table16[[#This Row],[t3_Ph_III]]+0))*((Table16[[#This Row],[I_0]]*Table16[[#This Row],[I_2]]+((Table16[[#This Row],[I_0]]-Table16[[#This Row],[I_2]])^2)/3))))</f>
        <v>6.3433577331429829</v>
      </c>
      <c r="AM197" s="345">
        <f>Rdson2*Table16[[#This Row],[Irms BuSync]]^2</f>
        <v>0.14083365565718708</v>
      </c>
      <c r="AN197"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97" s="345">
        <f>(Table16[[#This Row],[Deadtime Loss BuSync]]+Table16[[#This Row],[RDS(on) Loss BuSync]]*(1+RdsonBotTc*Ta-RdsonBotTc*25))/(1-Table16[[#This Row],[RDS(on) Loss BuSync]]*RdsonBotTc*ThetaJA_Q2)</f>
        <v>0.39406296076119129</v>
      </c>
      <c r="AP197" s="345">
        <f>CHOOSE(Table16[[#This Row],[Mode Digit]],0,SQRT((Fsw*(Table16[[#This Row],[t1_Ph_II]]+0))*((Table16[[#This Row],[I_0]]*Table16[[#This Row],[I_1]]+((Table16[[#This Row],[I_0]]-Table16[[#This Row],[I_1]])^2)/3))),SQRT((Fsw*(Table16[[#This Row],[t2_Ph_I]]+0))*((Table16[[#This Row],[I_1]]*Table16[[#This Row],[I_2]]+((Table16[[#This Row],[I_1]]-Table16[[#This Row],[I_2]])^2)/3))))</f>
        <v>0</v>
      </c>
      <c r="AQ197" s="345">
        <f>Rdson4*Table16[[#This Row],[Irms BoCtlr]]^2</f>
        <v>0</v>
      </c>
      <c r="AR197" s="345">
        <f>CHOOSE(Table16[[#This Row],[Mode Digit]], 0, (Vout*Table16[[#This Row],[Iin]]/2)*(Fsw)*(Tr_boost+Tf_boost), (Vout*Iout/2)*(Fsw/1)*(Tr_boost+Tf_boost))</f>
        <v>0</v>
      </c>
      <c r="AS197" s="253">
        <f>IF(Table16[[#This Row],[Vin]]&gt;Vout, 0, IF(Table16[[#This Row],[Iin]]&gt;Table16[[#This Row],[Ripple Current pk-pk]]/2,0,ABS(Table16[[#This Row],[Iin]]-Table16[[#This Row],[Ripple Current pk-pk]]/2)*Vsd_Q4*Deadtime*Fsw))</f>
        <v>0</v>
      </c>
      <c r="AT197" s="345">
        <f>(Table16[[#This Row],[Dead Time Loss BoCtlr]]+Table16[[#This Row],[Transition Loss BoCtlr]]+Table16[[#This Row],[RDS(on) Loss BoCtlr]]*(1+RdsonTopTc*Ta-RdsonTopTc*25))/(1-Table16[[#This Row],[RDS(on) Loss BoCtlr]]*RdsonTopTc*ThetaJA_Q4)</f>
        <v>0</v>
      </c>
      <c r="AU197"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8.7096968714545362</v>
      </c>
      <c r="AV197" s="345">
        <f>Rdson3*Table16[[#This Row],[Irms BoSync]]^2</f>
        <v>0.26550586857418729</v>
      </c>
      <c r="AW197"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97" s="345">
        <f>(Table16[[#This Row],[Deadtime Loss BoSync]]+Table16[[#This Row],[RDS(on) Loss BoSync]]*(1+RdsonBotTc*Ta-RdsonBotTc*25))/(1-Table16[[#This Row],[RDS(on) Loss BoSync]]*RdsonBotTc*ThetaJA_Q3)</f>
        <v>0.28519318960901957</v>
      </c>
      <c r="AY197" s="345">
        <f>CHOOSE(Table16[[#This Row],[Mode Digit]], Rdson3*Table16[[#This Row],[Irms Lf]]^2, Rdson1*Table16[[#This Row],[Irms Lf]]^2, 0)</f>
        <v>0.26550586857418729</v>
      </c>
      <c r="AZ197" s="345">
        <f>CHOOSE(Table16[[#This Row],[Mode Digit]], 2*Deadtime*Fsw*IF(VfdSky_Q2&gt;0,VfdSky_Q2,0)*Table16[[#This Row],[Iout]], 2*Deadtime*Fsw*IF(VfdSky_Q3&gt;0,VfdSky_Q3,0)*Table16[[#This Row],[Iin]], 2*Deadtime*Fsw*IF(VfdSky_Q2&gt;0,VfdSky_Q2,0)*Table16[[#This Row],[Iout]]+2*Deadtime*Fsw*IF(VfdSky_Q3&gt;0,VfdSky_Q3,0)*Table16[[#This Row],[Iin]])</f>
        <v>0</v>
      </c>
      <c r="BA197" s="345">
        <f>CHOOSE(Table16[[#This Row],[Mode Digit]], IF(QrrSky_Q2&gt;0,QrrSky_Q2,Qrr_Q2)*Fsw*(Table16[[#This Row],[Vin]]-Table16[[#This Row],[Iout]]*Rdson1),0,  IF(QrrSky_Q2&gt;0,QrrSky_Q2,Qrr_Q2)*Fsw*(Table16[[#This Row],[Vin]]-Table16[[#This Row],[Iout]]*Rdson1)+IF(QrrSky_Q3&gt;0,QrrSky_Q3,Qrr_Q3)*Fsw*Vout)</f>
        <v>0.61202052000000007</v>
      </c>
      <c r="BB197" s="345">
        <f>CHOOSE(Table16[[#This Row],[Mode Digit]],0, IF(QrrSky_Q3&gt;0,QrrSky_Q3,Qrr_Q3)*Fsw*Vout,  IF(QrrSky_Q2&gt;0,QrrSky_Q2,Qrr_Q2)*Fsw*(Table16[[#This Row],[Vin]]-Table16[[#This Row],[Iout]]*Rdson1)+IF(QrrSky_Q3&gt;0,QrrSky_Q3,Qrr_Q3)*Fsw*Vout)</f>
        <v>0</v>
      </c>
      <c r="BC197" s="345">
        <f>CHOOSE(Table16[[#This Row],[Mode Digit]], Rs*Table16[[#This Row],[Irms BuSync]]^2, Rs*Table16[[#This Row],[Irms BoCtlr]]^2, Rs*(Table16[[#This Row],[Irms BuSync]]^2+Table16[[#This Row],[Irms BoCtlr]]^2))</f>
        <v>5.2309643529812343E-2</v>
      </c>
      <c r="BD197" s="345">
        <f t="shared" si="8"/>
        <v>0.64</v>
      </c>
      <c r="BE197" s="345">
        <f>IF(Vout&gt;8, Iq*Vout, Iq*Table16[[#This Row],[Vin]])</f>
        <v>4.8000000000000001E-2</v>
      </c>
      <c r="BF197" s="345">
        <f>CHOOSE(Table16[[#This Row],[Mode Digit]], (Qg_Q1+Qg_Q2)*Fsw, (Qg_Q3+Qg_Q4)*Fsw, (Qg_Q1+Qg_Q2+Qg_Q3+Qg_Q4)*Fsw)*IF(Vout&gt;8, Vout, Table16[[#This Row],[Vin]])</f>
        <v>0.85331200000000007</v>
      </c>
      <c r="BG197" s="345">
        <f t="shared" si="9"/>
        <v>0.50594479787234037</v>
      </c>
      <c r="BH197" s="345">
        <f>Table16[[#This Row],[IQ Loss]]+Table16[[#This Row],[Switching Current Loss]]</f>
        <v>0.90131200000000011</v>
      </c>
      <c r="BI197"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10.973006863797814</v>
      </c>
      <c r="BJ197" s="253">
        <f>Vout*Table16[[#This Row],[Iout]]</f>
        <v>128</v>
      </c>
      <c r="BK197" s="684">
        <f>Table16[[#This Row],[Pout]]/(Table16[[#This Row],[Pout]]+Table16[[#This Row],[Total Loss]])</f>
        <v>0.92104217134373401</v>
      </c>
      <c r="BL197"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77.161655138124402</v>
      </c>
      <c r="BM197" s="685">
        <f>IF(Table16[[#This Row],[Vin]]&gt;Vout, Table16[[#This Row],[Total Sync Bu MOSFET Loss]]*ThetaJA_Q2, ThetaJA_Q3*Table16[[#This Row],[Total Sync Bo MOSFET Loss]])</f>
        <v>25.614092449477432</v>
      </c>
      <c r="BN197" s="640"/>
      <c r="BO197" s="292">
        <f>Table16[[#This Row],[EFF, h]]*100</f>
        <v>92.1042171343734</v>
      </c>
      <c r="BP197" s="345">
        <f>Table16[[#This Row],[Total Inductor Loss]]</f>
        <v>6.8394996503384649</v>
      </c>
      <c r="BQ197" s="345">
        <f>Table16[[#This Row],[Total Control Bu MOSFET Loss]]+Table16[[#This Row],[Total Sync Bu MOSFET Loss]]+Table16[[#This Row],[Total Control Bo MOSFET Loss]]+Table16[[#This Row],[Total Sync Bo MOSFET Loss]]+Table16[[#This Row],[Reverse Recovery Loss MOSFET D BUCK]]+Table16[[#This Row],[Reverse Recovery Loss MOSFET D BOOST]]</f>
        <v>2.4783790571105864</v>
      </c>
      <c r="BR197" s="345">
        <f>Table16[[#This Row],[Total Control Bu MOSFET Loss]]+Table16[[#This Row],[Reverse Recovery Loss MOSFET D BUCK]]*0.66</f>
        <v>1.5910359299403756</v>
      </c>
      <c r="BS197" s="345">
        <f>Table16[[#This Row],[Total Sync Bu MOSFET Loss]]+Table16[[#This Row],[Reverse Recovery Loss MOSFET D BUCK]]*0.33</f>
        <v>0.59602973236119139</v>
      </c>
      <c r="BT197" s="345">
        <f xml:space="preserve"> Table16[[#This Row],[Total Control Bo MOSFET Loss]]+Table16[[#This Row],[Reverse Recovery Loss MOSFET D BOOST]]*0.66</f>
        <v>0</v>
      </c>
      <c r="BU197" s="345">
        <f xml:space="preserve"> Table16[[#This Row],[Total Sync Bo MOSFET Loss]]+Table16[[#This Row],[Reverse Recovery Loss MOSFET D BOOST]]*0.33</f>
        <v>0.28519318960901957</v>
      </c>
      <c r="BV197" s="345">
        <f>Table16[[#This Row],[Isense Shunt Loss]]</f>
        <v>5.2309643529812343E-2</v>
      </c>
    </row>
    <row r="198" spans="7:74" x14ac:dyDescent="0.2">
      <c r="G198" s="253">
        <v>189</v>
      </c>
      <c r="H198" s="286">
        <f>VIN_min+(VIN_max-VIN_min)*(Table16[[#This Row],[Step]]/200)</f>
        <v>34.349999999999994</v>
      </c>
      <c r="I198" s="292" t="str">
        <f>IF(Mode = 2,IF(Table16[[#This Row],[Vin]]&gt;Vout, "BUCK","BOOST"),IF(Table16[[#This Row],[Vin]]&gt;VIN_BB_to_buck, "BUCK", IF(Table16[[#This Row],[Vin]]&lt;=VIN_boost_to_BB,"BOOST","BUCK-BST")))</f>
        <v>BUCK</v>
      </c>
      <c r="J198" s="253">
        <f>IF(Table16[[#This Row],[Mode]]="BOOST",2, IF(Table16[[#This Row],[Mode]]="BUCK", 1,3))</f>
        <v>1</v>
      </c>
      <c r="K198" s="253">
        <f t="shared" si="7"/>
        <v>8</v>
      </c>
      <c r="L198" s="292">
        <f>Vout*Table16[[#This Row],[Iout]]/(Table16[[#This Row],[Vin]]*Efficiency)</f>
        <v>3.9224699302842265</v>
      </c>
      <c r="M198" s="682">
        <f>MIN(1/Fsw,CHOOSE(Table16[[#This Row],[Mode Digit]],(Vout+(Rdson2+Rs+Rdcr)*Table16[[#This Row],[Iout]])/(Table16[[#This Row],[Vin]]+(Rs+Rdson2-Rdson1)*Table16[[#This Row],[Iout]])/Fsw,(Vout+(Rdson3+Rdcr)*Table16[[#This Row],[Iin]]-Table16[[#This Row],[Vin]])/(Vout+(Rdson3-Rdson4-Rs)*Table16[[#This Row],[Iin]])/Fsw,t1_Ph_II))</f>
        <v>1.1746606280842523E-6</v>
      </c>
      <c r="N198" s="518">
        <f>CHOOSE(Table16[[#This Row],[Mode Digit]],1/Fsw-Table16[[#This Row],[t1_Ph_II]],1/Fsw-Table16[[#This Row],[t1_Ph_II]],(Vout/Fsw-Table16[[#This Row],[Vin]]*t1_Ph_II)/(Table16[[#This Row],[Vin]]+Vout))</f>
        <v>1.3379021859860996E-6</v>
      </c>
      <c r="O198" s="518">
        <f>1/Fsw-(Table16[[#This Row],[t1_Ph_II]]+Table16[[#This Row],[t2_Ph_I]])</f>
        <v>0</v>
      </c>
      <c r="P198"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2.0124937429594389</v>
      </c>
      <c r="Q198" s="292">
        <f>CHOOSE(Table16[[#This Row],[Mode Digit]],Table16[[#This Row],[I_0]]+1/Lf*(Table16[[#This Row],[Vin]]-Vout)*Table16[[#This Row],[t1_Ph_II]],Table16[[#This Row],[I_0]]+1/Lf*Table16[[#This Row],[Vin]]*Table16[[#This Row],[t1_Ph_II]],Table16[[#This Row],[I_0]]+(Table16[[#This Row],[Vin]]-Vout)/L*Table16[[#This Row],[t1_Ph_II]])</f>
        <v>13.987506257040561</v>
      </c>
      <c r="R198" s="292">
        <f>CHOOSE(Table16[[#This Row],[Mode Digit]],0,0,Table16[[#This Row],[I_1]]+Table16[[#This Row],[Vin]]/L*Table16[[#This Row],[t2_Ph_I]])</f>
        <v>0</v>
      </c>
      <c r="S198" s="292">
        <f>Fsw*(Table16[[#This Row],[I_0]]*Table16[[#This Row],[t1_Ph_II]]+Table16[[#This Row],[I_1]]*Table16[[#This Row],[t2_Ph_I]]+Table16[[#This Row],[I_2]]*Table16[[#This Row],[t3_Ph_III]])</f>
        <v>8.3890091200398516</v>
      </c>
      <c r="T198" s="345">
        <f>MIN(1,CHOOSE(Table16[[#This Row],[Mode Digit]],(Vout+(Rdson2+Rs+Rdcr)*Table16[[#This Row],[Iout]])/(Table16[[#This Row],[Vin]]+(Rs+Rdson2-Rdson1)*Table16[[#This Row],[Iout]]),1,Fsw*Table16[[#This Row],[t2_Ph_I]]+Table16[[#This Row],[t1_Ph_II]]))</f>
        <v>0.46751492997753241</v>
      </c>
      <c r="U198" s="345">
        <f>MIN(1,CHOOSE(Table16[[#This Row],[Mode Digit]],0,(Vout+(Rdson3+Rdcr)*Table16[[#This Row],[Iin]]-Table16[[#This Row],[Vin]])/(Vout+(Rdson3-Rdson4-Rs)*Table16[[#This Row],[Iin]]),Fsw*Table16[[#This Row],[t1_Ph_II]]+Table16[[#This Row],[t3_Ph_III]]))</f>
        <v>0</v>
      </c>
      <c r="V198" s="292">
        <f>MAX(Table16[[#This Row],[I_0]:[I_2]])-MIN(Table16[[#This Row],[I_0]:[I_1]])</f>
        <v>11.975012514081122</v>
      </c>
      <c r="W198"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8.7149341397033293</v>
      </c>
      <c r="X198" s="345">
        <f>(Table16[[#This Row],[Irms Lf]]^2*Rdcr*(1+Ltc*Ta-Ltc*25))/(1-Table16[[#This Row],[Irms Lf]]^2*Rdcr*Ltc*ThetaCa)</f>
        <v>0.24785943198756585</v>
      </c>
      <c r="Y198" s="345">
        <f>ABS(7.759*10^-3*Fsw^0.9458*(0.00787*Table16[[#This Row],[Ripple Current pk-pk]])^2.304)</f>
        <v>6.6504157088698035</v>
      </c>
      <c r="Z198" s="345">
        <f>Table16[[#This Row],[DCR    Loss]]+Table16[[#This Row],[Core Loss]]</f>
        <v>6.8982751408573693</v>
      </c>
      <c r="AA198" s="292">
        <f>IF(Table16[[#This Row],[Vin]]&gt;Vout, Table16[[#This Row],[Ripple Current pk-pk]]/SQRT(12), SQRT(Table16[[#This Row],[Duty Cycle BOOST Leg]]/(1-Table16[[#This Row],[Duty Cycle BOOST Leg]]))*SQRT(Table16[[#This Row],[Iout]]^2+(Table16[[#This Row],[Ripple Current pk-pk]]^2)/12))</f>
        <v>3.4568883492769369</v>
      </c>
      <c r="AB198" s="345">
        <f>RCoutEsr*Table16[[#This Row],[Irms Cout]]^2</f>
        <v>2.3900154118733252E-2</v>
      </c>
      <c r="AC198" s="345">
        <f>Table16[[#This Row],[Cout ESR Loss]]</f>
        <v>2.3900154118733252E-2</v>
      </c>
      <c r="AD198" s="345">
        <f>IF(Table16[[#This Row],[Vin]]&gt;Vout, SQRT(Table16[[#This Row],[Duty Cycle BUCK Leg]]*(1-Table16[[#This Row],[Duty Cycle BUCK Leg]]))*SQRT(Table16[[#This Row],[Iout]]^2+(Table16[[#This Row],[Ripple Current pk-pk]]^2)/12), Table16[[#This Row],[Ripple Current pk-pk]]/SQRT(12))</f>
        <v>4.3482606504968704</v>
      </c>
      <c r="AE198" s="345">
        <f>RCinEsr*Table16[[#This Row],[Irms Cin]]^2</f>
        <v>3.7814741369318929E-2</v>
      </c>
      <c r="AF198" s="683">
        <f>Table16[[#This Row],[Cin ESR Loss]]</f>
        <v>3.7814741369318929E-2</v>
      </c>
      <c r="AG198"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5.9588417463629604</v>
      </c>
      <c r="AH198" s="345">
        <f>Rdson1*Table16[[#This Row],[Irms BuCtrl]]^2</f>
        <v>0.12427728235369292</v>
      </c>
      <c r="AI198" s="345">
        <f>CHOOSE(Table16[[#This Row],[Mode Digit]], (Table16[[#This Row],[Vin]]*Table16[[#This Row],[Iout]]/2)*(Fsw)*(Tr_buck+Tf_buck), 0, (Table16[[#This Row],[Vin]]*Table16[[#This Row],[Avg IL]]/2)*(Fsw/1)*(Tr_buck+Tf_buck))</f>
        <v>1.0284415276675911</v>
      </c>
      <c r="AJ198" s="253">
        <f>IF(Table16[[#This Row],[Vin]]&gt;Vout, IF(Table16[[#This Row],[Iout]]&gt;Table16[[#This Row],[Ripple Current pk-pk]]/2,0,ABS(Table16[[#This Row],[Iout]]-Table16[[#This Row],[Ripple Current pk-pk]]/2)*Vsd_Q1*Deadtime*Fsw),0)</f>
        <v>0</v>
      </c>
      <c r="AK198" s="345">
        <f>(Table16[[#This Row],[Dead Time Loss BuCtrl]]+Table16[[#This Row],[Transition Loss BuCtrl]]+Table16[[#This Row],[RDS(on) Loss BuCtrl]]*(1+RdsonTopTc*Ta-RdsonTopTc*25))/(1-Table16[[#This Row],[RDS(on) Loss BuCtrl]]*RdsonTopTc*ThetaJA_Q1)</f>
        <v>1.1912092754012422</v>
      </c>
      <c r="AL198" s="345">
        <f>CHOOSE(Table16[[#This Row],[Mode Digit]],SQRT((Fsw*(Table16[[#This Row],[t2_Ph_I]]+0))*((Table16[[#This Row],[I_0]]*Table16[[#This Row],[I_1]]+((Table16[[#This Row],[I_0]]-Table16[[#This Row],[I_1]])^2)/3))),0,SQRT((Fsw*(Table16[[#This Row],[t3_Ph_III]]+0))*((Table16[[#This Row],[I_0]]*Table16[[#This Row],[I_2]]+((Table16[[#This Row],[I_0]]-Table16[[#This Row],[I_2]])^2)/3))))</f>
        <v>6.3594246674654968</v>
      </c>
      <c r="AM198" s="345">
        <f>Rdson2*Table16[[#This Row],[Irms BuSync]]^2</f>
        <v>0.14154798735409024</v>
      </c>
      <c r="AN198"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98" s="345">
        <f>(Table16[[#This Row],[Deadtime Loss BuSync]]+Table16[[#This Row],[RDS(on) Loss BuSync]]*(1+RdsonBotTc*Ta-RdsonBotTc*25))/(1-Table16[[#This Row],[RDS(on) Loss BuSync]]*RdsonBotTc*ThetaJA_Q2)</f>
        <v>0.39488057034838292</v>
      </c>
      <c r="AP198" s="345">
        <f>CHOOSE(Table16[[#This Row],[Mode Digit]],0,SQRT((Fsw*(Table16[[#This Row],[t1_Ph_II]]+0))*((Table16[[#This Row],[I_0]]*Table16[[#This Row],[I_1]]+((Table16[[#This Row],[I_0]]-Table16[[#This Row],[I_1]])^2)/3))),SQRT((Fsw*(Table16[[#This Row],[t2_Ph_I]]+0))*((Table16[[#This Row],[I_1]]*Table16[[#This Row],[I_2]]+((Table16[[#This Row],[I_1]]-Table16[[#This Row],[I_2]])^2)/3))))</f>
        <v>0</v>
      </c>
      <c r="AQ198" s="345">
        <f>Rdson4*Table16[[#This Row],[Irms BoCtlr]]^2</f>
        <v>0</v>
      </c>
      <c r="AR198" s="345">
        <f>CHOOSE(Table16[[#This Row],[Mode Digit]], 0, (Vout*Table16[[#This Row],[Iin]]/2)*(Fsw)*(Tr_boost+Tf_boost), (Vout*Iout/2)*(Fsw/1)*(Tr_boost+Tf_boost))</f>
        <v>0</v>
      </c>
      <c r="AS198" s="253">
        <f>IF(Table16[[#This Row],[Vin]]&gt;Vout, 0, IF(Table16[[#This Row],[Iin]]&gt;Table16[[#This Row],[Ripple Current pk-pk]]/2,0,ABS(Table16[[#This Row],[Iin]]-Table16[[#This Row],[Ripple Current pk-pk]]/2)*Vsd_Q4*Deadtime*Fsw))</f>
        <v>0</v>
      </c>
      <c r="AT198" s="345">
        <f>(Table16[[#This Row],[Dead Time Loss BoCtlr]]+Table16[[#This Row],[Transition Loss BoCtlr]]+Table16[[#This Row],[RDS(on) Loss BoCtlr]]*(1+RdsonTopTc*Ta-RdsonTopTc*25))/(1-Table16[[#This Row],[RDS(on) Loss BoCtlr]]*RdsonTopTc*ThetaJA_Q4)</f>
        <v>0</v>
      </c>
      <c r="AU198"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8.7149341397033293</v>
      </c>
      <c r="AV198" s="345">
        <f>Rdson3*Table16[[#This Row],[Irms BoSync]]^2</f>
        <v>0.26582526970778314</v>
      </c>
      <c r="AW198"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98" s="345">
        <f>(Table16[[#This Row],[Deadtime Loss BoSync]]+Table16[[#This Row],[RDS(on) Loss BoSync]]*(1+RdsonBotTc*Ta-RdsonBotTc*25))/(1-Table16[[#This Row],[RDS(on) Loss BoSync]]*RdsonBotTc*ThetaJA_Q3)</f>
        <v>0.28556174710264781</v>
      </c>
      <c r="AY198" s="345">
        <f>CHOOSE(Table16[[#This Row],[Mode Digit]], Rdson3*Table16[[#This Row],[Irms Lf]]^2, Rdson1*Table16[[#This Row],[Irms Lf]]^2, 0)</f>
        <v>0.26582526970778314</v>
      </c>
      <c r="AZ198" s="345">
        <f>CHOOSE(Table16[[#This Row],[Mode Digit]], 2*Deadtime*Fsw*IF(VfdSky_Q2&gt;0,VfdSky_Q2,0)*Table16[[#This Row],[Iout]], 2*Deadtime*Fsw*IF(VfdSky_Q3&gt;0,VfdSky_Q3,0)*Table16[[#This Row],[Iin]], 2*Deadtime*Fsw*IF(VfdSky_Q2&gt;0,VfdSky_Q2,0)*Table16[[#This Row],[Iout]]+2*Deadtime*Fsw*IF(VfdSky_Q3&gt;0,VfdSky_Q3,0)*Table16[[#This Row],[Iin]])</f>
        <v>0</v>
      </c>
      <c r="BA198" s="345">
        <f>CHOOSE(Table16[[#This Row],[Mode Digit]], IF(QrrSky_Q2&gt;0,QrrSky_Q2,Qrr_Q2)*Fsw*(Table16[[#This Row],[Vin]]-Table16[[#This Row],[Iout]]*Rdson1),0,  IF(QrrSky_Q2&gt;0,QrrSky_Q2,Qrr_Q2)*Fsw*(Table16[[#This Row],[Vin]]-Table16[[#This Row],[Iout]]*Rdson1)+IF(QrrSky_Q3&gt;0,QrrSky_Q3,Qrr_Q3)*Fsw*Vout)</f>
        <v>0.61470701999999988</v>
      </c>
      <c r="BB198" s="345">
        <f>CHOOSE(Table16[[#This Row],[Mode Digit]],0, IF(QrrSky_Q3&gt;0,QrrSky_Q3,Qrr_Q3)*Fsw*Vout,  IF(QrrSky_Q2&gt;0,QrrSky_Q2,Qrr_Q2)*Fsw*(Table16[[#This Row],[Vin]]-Table16[[#This Row],[Iout]]*Rdson1)+IF(QrrSky_Q3&gt;0,QrrSky_Q3,Qrr_Q3)*Fsw*Vout)</f>
        <v>0</v>
      </c>
      <c r="BC198" s="345">
        <f>CHOOSE(Table16[[#This Row],[Mode Digit]], Rs*Table16[[#This Row],[Irms BuSync]]^2, Rs*Table16[[#This Row],[Irms BoCtlr]]^2, Rs*(Table16[[#This Row],[Irms BuSync]]^2+Table16[[#This Row],[Irms BoCtlr]]^2))</f>
        <v>5.2574966731519235E-2</v>
      </c>
      <c r="BD198" s="345">
        <f t="shared" si="8"/>
        <v>0.64</v>
      </c>
      <c r="BE198" s="345">
        <f>IF(Vout&gt;8, Iq*Vout, Iq*Table16[[#This Row],[Vin]])</f>
        <v>4.8000000000000001E-2</v>
      </c>
      <c r="BF198" s="345">
        <f>CHOOSE(Table16[[#This Row],[Mode Digit]], (Qg_Q1+Qg_Q2)*Fsw, (Qg_Q3+Qg_Q4)*Fsw, (Qg_Q1+Qg_Q2+Qg_Q3+Qg_Q4)*Fsw)*IF(Vout&gt;8, Vout, Table16[[#This Row],[Vin]])</f>
        <v>0.85331200000000007</v>
      </c>
      <c r="BG198" s="345">
        <f t="shared" si="9"/>
        <v>0.50594479787234037</v>
      </c>
      <c r="BH198" s="345">
        <f>Table16[[#This Row],[IQ Loss]]+Table16[[#This Row],[Switching Current Loss]]</f>
        <v>0.90131200000000011</v>
      </c>
      <c r="BI198"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11.040235615929214</v>
      </c>
      <c r="BJ198" s="253">
        <f>Vout*Table16[[#This Row],[Iout]]</f>
        <v>128</v>
      </c>
      <c r="BK198" s="684">
        <f>Table16[[#This Row],[Pout]]/(Table16[[#This Row],[Pout]]+Table16[[#This Row],[Total Loss]])</f>
        <v>0.92059682891774108</v>
      </c>
      <c r="BL198"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77.428602901080751</v>
      </c>
      <c r="BM198" s="685">
        <f>IF(Table16[[#This Row],[Vin]]&gt;Vout, Table16[[#This Row],[Total Sync Bu MOSFET Loss]]*ThetaJA_Q2, ThetaJA_Q3*Table16[[#This Row],[Total Sync Bo MOSFET Loss]])</f>
        <v>25.667237072644891</v>
      </c>
      <c r="BN198" s="640"/>
      <c r="BO198" s="292">
        <f>Table16[[#This Row],[EFF, h]]*100</f>
        <v>92.059682891774102</v>
      </c>
      <c r="BP198" s="345">
        <f>Table16[[#This Row],[Total Inductor Loss]]</f>
        <v>6.8982751408573693</v>
      </c>
      <c r="BQ198" s="345">
        <f>Table16[[#This Row],[Total Control Bu MOSFET Loss]]+Table16[[#This Row],[Total Sync Bu MOSFET Loss]]+Table16[[#This Row],[Total Control Bo MOSFET Loss]]+Table16[[#This Row],[Total Sync Bo MOSFET Loss]]+Table16[[#This Row],[Reverse Recovery Loss MOSFET D BUCK]]+Table16[[#This Row],[Reverse Recovery Loss MOSFET D BOOST]]</f>
        <v>2.486358612852273</v>
      </c>
      <c r="BR198" s="345">
        <f>Table16[[#This Row],[Total Control Bu MOSFET Loss]]+Table16[[#This Row],[Reverse Recovery Loss MOSFET D BUCK]]*0.66</f>
        <v>1.5969159086012421</v>
      </c>
      <c r="BS198" s="345">
        <f>Table16[[#This Row],[Total Sync Bu MOSFET Loss]]+Table16[[#This Row],[Reverse Recovery Loss MOSFET D BUCK]]*0.33</f>
        <v>0.59773388694838292</v>
      </c>
      <c r="BT198" s="345">
        <f xml:space="preserve"> Table16[[#This Row],[Total Control Bo MOSFET Loss]]+Table16[[#This Row],[Reverse Recovery Loss MOSFET D BOOST]]*0.66</f>
        <v>0</v>
      </c>
      <c r="BU198" s="345">
        <f xml:space="preserve"> Table16[[#This Row],[Total Sync Bo MOSFET Loss]]+Table16[[#This Row],[Reverse Recovery Loss MOSFET D BOOST]]*0.33</f>
        <v>0.28556174710264781</v>
      </c>
      <c r="BV198" s="345">
        <f>Table16[[#This Row],[Isense Shunt Loss]]</f>
        <v>5.2574966731519235E-2</v>
      </c>
    </row>
    <row r="199" spans="7:74" x14ac:dyDescent="0.2">
      <c r="G199" s="253">
        <v>190</v>
      </c>
      <c r="H199" s="286">
        <f>VIN_min+(VIN_max-VIN_min)*(Table16[[#This Row],[Step]]/200)</f>
        <v>34.5</v>
      </c>
      <c r="I199" s="292" t="str">
        <f>IF(Mode = 2,IF(Table16[[#This Row],[Vin]]&gt;Vout, "BUCK","BOOST"),IF(Table16[[#This Row],[Vin]]&gt;VIN_BB_to_buck, "BUCK", IF(Table16[[#This Row],[Vin]]&lt;=VIN_boost_to_BB,"BOOST","BUCK-BST")))</f>
        <v>BUCK</v>
      </c>
      <c r="J199" s="253">
        <f>IF(Table16[[#This Row],[Mode]]="BOOST",2, IF(Table16[[#This Row],[Mode]]="BUCK", 1,3))</f>
        <v>1</v>
      </c>
      <c r="K199" s="253">
        <f t="shared" si="7"/>
        <v>8</v>
      </c>
      <c r="L199" s="292">
        <f>Vout*Table16[[#This Row],[Iout]]/(Table16[[#This Row],[Vin]]*Efficiency)</f>
        <v>3.9054157131960339</v>
      </c>
      <c r="M199" s="682">
        <f>MIN(1/Fsw,CHOOSE(Table16[[#This Row],[Mode Digit]],(Vout+(Rdson2+Rs+Rdcr)*Table16[[#This Row],[Iout]])/(Table16[[#This Row],[Vin]]+(Rs+Rdson2-Rdson1)*Table16[[#This Row],[Iout]])/Fsw,(Vout+(Rdson3+Rdcr)*Table16[[#This Row],[Iin]]-Table16[[#This Row],[Vin]])/(Vout+(Rdson3-Rdson4-Rs)*Table16[[#This Row],[Iin]])/Fsw,t1_Ph_II))</f>
        <v>1.1695549470659897E-6</v>
      </c>
      <c r="N199" s="518">
        <f>CHOOSE(Table16[[#This Row],[Mode Digit]],1/Fsw-Table16[[#This Row],[t1_Ph_II]],1/Fsw-Table16[[#This Row],[t1_Ph_II]],(Vout/Fsw-Table16[[#This Row],[Vin]]*t1_Ph_II)/(Table16[[#This Row],[Vin]]+Vout))</f>
        <v>1.3430078670043622E-6</v>
      </c>
      <c r="O199" s="518">
        <f>1/Fsw-(Table16[[#This Row],[t1_Ph_II]]+Table16[[#This Row],[t2_Ph_I]])</f>
        <v>0</v>
      </c>
      <c r="P199"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1.9897870775775539</v>
      </c>
      <c r="Q199" s="292">
        <f>CHOOSE(Table16[[#This Row],[Mode Digit]],Table16[[#This Row],[I_0]]+1/Lf*(Table16[[#This Row],[Vin]]-Vout)*Table16[[#This Row],[t1_Ph_II]],Table16[[#This Row],[I_0]]+1/Lf*Table16[[#This Row],[Vin]]*Table16[[#This Row],[t1_Ph_II]],Table16[[#This Row],[I_0]]+(Table16[[#This Row],[Vin]]-Vout)/L*Table16[[#This Row],[t1_Ph_II]])</f>
        <v>14.010212922422447</v>
      </c>
      <c r="R199" s="292">
        <f>CHOOSE(Table16[[#This Row],[Mode Digit]],0,0,Table16[[#This Row],[I_1]]+Table16[[#This Row],[Vin]]/L*Table16[[#This Row],[t2_Ph_I]])</f>
        <v>0</v>
      </c>
      <c r="S199" s="292">
        <f>Fsw*(Table16[[#This Row],[I_0]]*Table16[[#This Row],[t1_Ph_II]]+Table16[[#This Row],[I_1]]*Table16[[#This Row],[t2_Ph_I]]+Table16[[#This Row],[I_2]]*Table16[[#This Row],[t3_Ph_III]])</f>
        <v>8.4149106143765149</v>
      </c>
      <c r="T199" s="345">
        <f>MIN(1,CHOOSE(Table16[[#This Row],[Mode Digit]],(Vout+(Rdson2+Rs+Rdcr)*Table16[[#This Row],[Iout]])/(Table16[[#This Row],[Vin]]+(Rs+Rdson2-Rdson1)*Table16[[#This Row],[Iout]]),1,Fsw*Table16[[#This Row],[t2_Ph_I]]+Table16[[#This Row],[t1_Ph_II]]))</f>
        <v>0.46548286893226393</v>
      </c>
      <c r="U199" s="345">
        <f>MIN(1,CHOOSE(Table16[[#This Row],[Mode Digit]],0,(Vout+(Rdson3+Rdcr)*Table16[[#This Row],[Iin]]-Table16[[#This Row],[Vin]])/(Vout+(Rdson3-Rdson4-Rs)*Table16[[#This Row],[Iin]]),Fsw*Table16[[#This Row],[t1_Ph_II]]+Table16[[#This Row],[t3_Ph_III]]))</f>
        <v>0</v>
      </c>
      <c r="V199" s="292">
        <f>MAX(Table16[[#This Row],[I_0]:[I_2]])-MIN(Table16[[#This Row],[I_0]:[I_1]])</f>
        <v>12.020425844844894</v>
      </c>
      <c r="W199"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8.7201425709456117</v>
      </c>
      <c r="X199" s="345">
        <f>(Table16[[#This Row],[Irms Lf]]^2*Rdcr*(1+Ltc*Ta-Ltc*25))/(1-Table16[[#This Row],[Irms Lf]]^2*Rdcr*Ltc*ThetaCa)</f>
        <v>0.24816166756000979</v>
      </c>
      <c r="Y199" s="345">
        <f>ABS(7.759*10^-3*Fsw^0.9458*(0.00787*Table16[[#This Row],[Ripple Current pk-pk]])^2.304)</f>
        <v>6.7086678070840486</v>
      </c>
      <c r="Z199" s="345">
        <f>Table16[[#This Row],[DCR    Loss]]+Table16[[#This Row],[Core Loss]]</f>
        <v>6.9568294746440582</v>
      </c>
      <c r="AA199" s="292">
        <f>IF(Table16[[#This Row],[Vin]]&gt;Vout, Table16[[#This Row],[Ripple Current pk-pk]]/SQRT(12), SQRT(Table16[[#This Row],[Duty Cycle BOOST Leg]]/(1-Table16[[#This Row],[Duty Cycle BOOST Leg]]))*SQRT(Table16[[#This Row],[Iout]]^2+(Table16[[#This Row],[Ripple Current pk-pk]]^2)/12))</f>
        <v>3.4699980486475672</v>
      </c>
      <c r="AB199" s="345">
        <f>RCoutEsr*Table16[[#This Row],[Irms Cout]]^2</f>
        <v>2.408177291523585E-2</v>
      </c>
      <c r="AC199" s="345">
        <f>Table16[[#This Row],[Cout ESR Loss]]</f>
        <v>2.408177291523585E-2</v>
      </c>
      <c r="AD199" s="345">
        <f>IF(Table16[[#This Row],[Vin]]&gt;Vout, SQRT(Table16[[#This Row],[Duty Cycle BUCK Leg]]*(1-Table16[[#This Row],[Duty Cycle BUCK Leg]]))*SQRT(Table16[[#This Row],[Iout]]^2+(Table16[[#This Row],[Ripple Current pk-pk]]^2)/12), Table16[[#This Row],[Ripple Current pk-pk]]/SQRT(12))</f>
        <v>4.3496694177067674</v>
      </c>
      <c r="AE199" s="345">
        <f>RCinEsr*Table16[[#This Row],[Irms Cin]]^2</f>
        <v>3.7839248086667054E-2</v>
      </c>
      <c r="AF199" s="683">
        <f>Table16[[#This Row],[Cin ESR Loss]]</f>
        <v>3.7839248086667054E-2</v>
      </c>
      <c r="AG199"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5.949431063929099</v>
      </c>
      <c r="AH199" s="345">
        <f>Rdson1*Table16[[#This Row],[Irms BuCtrl]]^2</f>
        <v>0.12388505494555585</v>
      </c>
      <c r="AI199" s="345">
        <f>CHOOSE(Table16[[#This Row],[Mode Digit]], (Table16[[#This Row],[Vin]]*Table16[[#This Row],[Iout]]/2)*(Fsw)*(Tr_buck+Tf_buck), 0, (Table16[[#This Row],[Vin]]*Table16[[#This Row],[Avg IL]]/2)*(Fsw/1)*(Tr_buck+Tf_buck))</f>
        <v>1.0329325387054409</v>
      </c>
      <c r="AJ199" s="253">
        <f>IF(Table16[[#This Row],[Vin]]&gt;Vout, IF(Table16[[#This Row],[Iout]]&gt;Table16[[#This Row],[Ripple Current pk-pk]]/2,0,ABS(Table16[[#This Row],[Iout]]-Table16[[#This Row],[Ripple Current pk-pk]]/2)*Vsd_Q1*Deadtime*Fsw),0)</f>
        <v>0</v>
      </c>
      <c r="AK199" s="345">
        <f>(Table16[[#This Row],[Dead Time Loss BuCtrl]]+Table16[[#This Row],[Transition Loss BuCtrl]]+Table16[[#This Row],[RDS(on) Loss BuCtrl]]*(1+RdsonTopTc*Ta-RdsonTopTc*25))/(1-Table16[[#This Row],[RDS(on) Loss BuCtrl]]*RdsonTopTc*ThetaJA_Q1)</f>
        <v>1.1953189537596307</v>
      </c>
      <c r="AL199" s="345">
        <f>CHOOSE(Table16[[#This Row],[Mode Digit]],SQRT((Fsw*(Table16[[#This Row],[t2_Ph_I]]+0))*((Table16[[#This Row],[I_0]]*Table16[[#This Row],[I_1]]+((Table16[[#This Row],[I_0]]-Table16[[#This Row],[I_1]])^2)/3))),0,SQRT((Fsw*(Table16[[#This Row],[t3_Ph_III]]+0))*((Table16[[#This Row],[I_0]]*Table16[[#This Row],[I_2]]+((Table16[[#This Row],[I_0]]-Table16[[#This Row],[I_2]])^2)/3))))</f>
        <v>6.3753553997540715</v>
      </c>
      <c r="AM199" s="345">
        <f>Rdson2*Table16[[#This Row],[Irms BuSync]]^2</f>
        <v>0.14225804765610689</v>
      </c>
      <c r="AN199"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199" s="345">
        <f>(Table16[[#This Row],[Deadtime Loss BuSync]]+Table16[[#This Row],[RDS(on) Loss BuSync]]*(1+RdsonBotTc*Ta-RdsonBotTc*25))/(1-Table16[[#This Row],[RDS(on) Loss BuSync]]*RdsonBotTc*ThetaJA_Q2)</f>
        <v>0.39569360352816785</v>
      </c>
      <c r="AP199" s="345">
        <f>CHOOSE(Table16[[#This Row],[Mode Digit]],0,SQRT((Fsw*(Table16[[#This Row],[t1_Ph_II]]+0))*((Table16[[#This Row],[I_0]]*Table16[[#This Row],[I_1]]+((Table16[[#This Row],[I_0]]-Table16[[#This Row],[I_1]])^2)/3))),SQRT((Fsw*(Table16[[#This Row],[t2_Ph_I]]+0))*((Table16[[#This Row],[I_1]]*Table16[[#This Row],[I_2]]+((Table16[[#This Row],[I_1]]-Table16[[#This Row],[I_2]])^2)/3))))</f>
        <v>0</v>
      </c>
      <c r="AQ199" s="345">
        <f>Rdson4*Table16[[#This Row],[Irms BoCtlr]]^2</f>
        <v>0</v>
      </c>
      <c r="AR199" s="345">
        <f>CHOOSE(Table16[[#This Row],[Mode Digit]], 0, (Vout*Table16[[#This Row],[Iin]]/2)*(Fsw)*(Tr_boost+Tf_boost), (Vout*Iout/2)*(Fsw/1)*(Tr_boost+Tf_boost))</f>
        <v>0</v>
      </c>
      <c r="AS199" s="253">
        <f>IF(Table16[[#This Row],[Vin]]&gt;Vout, 0, IF(Table16[[#This Row],[Iin]]&gt;Table16[[#This Row],[Ripple Current pk-pk]]/2,0,ABS(Table16[[#This Row],[Iin]]-Table16[[#This Row],[Ripple Current pk-pk]]/2)*Vsd_Q4*Deadtime*Fsw))</f>
        <v>0</v>
      </c>
      <c r="AT199" s="345">
        <f>(Table16[[#This Row],[Dead Time Loss BoCtlr]]+Table16[[#This Row],[Transition Loss BoCtlr]]+Table16[[#This Row],[RDS(on) Loss BoCtlr]]*(1+RdsonTopTc*Ta-RdsonTopTc*25))/(1-Table16[[#This Row],[RDS(on) Loss BoCtlr]]*RdsonTopTc*ThetaJA_Q4)</f>
        <v>0</v>
      </c>
      <c r="AU199"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8.7201425709456117</v>
      </c>
      <c r="AV199" s="345">
        <f>Rdson3*Table16[[#This Row],[Irms BoSync]]^2</f>
        <v>0.2661431026016628</v>
      </c>
      <c r="AW199"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199" s="345">
        <f>(Table16[[#This Row],[Deadtime Loss BoSync]]+Table16[[#This Row],[RDS(on) Loss BoSync]]*(1+RdsonBotTc*Ta-RdsonBotTc*25))/(1-Table16[[#This Row],[RDS(on) Loss BoSync]]*RdsonBotTc*ThetaJA_Q3)</f>
        <v>0.28592856028220531</v>
      </c>
      <c r="AY199" s="345">
        <f>CHOOSE(Table16[[#This Row],[Mode Digit]], Rdson3*Table16[[#This Row],[Irms Lf]]^2, Rdson1*Table16[[#This Row],[Irms Lf]]^2, 0)</f>
        <v>0.2661431026016628</v>
      </c>
      <c r="AZ199" s="345">
        <f>CHOOSE(Table16[[#This Row],[Mode Digit]], 2*Deadtime*Fsw*IF(VfdSky_Q2&gt;0,VfdSky_Q2,0)*Table16[[#This Row],[Iout]], 2*Deadtime*Fsw*IF(VfdSky_Q3&gt;0,VfdSky_Q3,0)*Table16[[#This Row],[Iin]], 2*Deadtime*Fsw*IF(VfdSky_Q2&gt;0,VfdSky_Q2,0)*Table16[[#This Row],[Iout]]+2*Deadtime*Fsw*IF(VfdSky_Q3&gt;0,VfdSky_Q3,0)*Table16[[#This Row],[Iin]])</f>
        <v>0</v>
      </c>
      <c r="BA199" s="345">
        <f>CHOOSE(Table16[[#This Row],[Mode Digit]], IF(QrrSky_Q2&gt;0,QrrSky_Q2,Qrr_Q2)*Fsw*(Table16[[#This Row],[Vin]]-Table16[[#This Row],[Iout]]*Rdson1),0,  IF(QrrSky_Q2&gt;0,QrrSky_Q2,Qrr_Q2)*Fsw*(Table16[[#This Row],[Vin]]-Table16[[#This Row],[Iout]]*Rdson1)+IF(QrrSky_Q3&gt;0,QrrSky_Q3,Qrr_Q3)*Fsw*Vout)</f>
        <v>0.61739352000000003</v>
      </c>
      <c r="BB199" s="345">
        <f>CHOOSE(Table16[[#This Row],[Mode Digit]],0, IF(QrrSky_Q3&gt;0,QrrSky_Q3,Qrr_Q3)*Fsw*Vout,  IF(QrrSky_Q2&gt;0,QrrSky_Q2,Qrr_Q2)*Fsw*(Table16[[#This Row],[Vin]]-Table16[[#This Row],[Iout]]*Rdson1)+IF(QrrSky_Q3&gt;0,QrrSky_Q3,Qrr_Q3)*Fsw*Vout)</f>
        <v>0</v>
      </c>
      <c r="BC199" s="345">
        <f>CHOOSE(Table16[[#This Row],[Mode Digit]], Rs*Table16[[#This Row],[Irms BuSync]]^2, Rs*Table16[[#This Row],[Irms BoCtlr]]^2, Rs*(Table16[[#This Row],[Irms BuSync]]^2+Table16[[#This Row],[Irms BoCtlr]]^2))</f>
        <v>5.2838703415125407E-2</v>
      </c>
      <c r="BD199" s="345">
        <f t="shared" si="8"/>
        <v>0.64</v>
      </c>
      <c r="BE199" s="345">
        <f>IF(Vout&gt;8, Iq*Vout, Iq*Table16[[#This Row],[Vin]])</f>
        <v>4.8000000000000001E-2</v>
      </c>
      <c r="BF199" s="345">
        <f>CHOOSE(Table16[[#This Row],[Mode Digit]], (Qg_Q1+Qg_Q2)*Fsw, (Qg_Q3+Qg_Q4)*Fsw, (Qg_Q1+Qg_Q2+Qg_Q3+Qg_Q4)*Fsw)*IF(Vout&gt;8, Vout, Table16[[#This Row],[Vin]])</f>
        <v>0.85331200000000007</v>
      </c>
      <c r="BG199" s="345">
        <f t="shared" si="9"/>
        <v>0.50594479787234037</v>
      </c>
      <c r="BH199" s="345">
        <f>Table16[[#This Row],[IQ Loss]]+Table16[[#This Row],[Switching Current Loss]]</f>
        <v>0.90131200000000011</v>
      </c>
      <c r="BI199"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11.107235836631091</v>
      </c>
      <c r="BJ199" s="253">
        <f>Vout*Table16[[#This Row],[Iout]]</f>
        <v>128</v>
      </c>
      <c r="BK199" s="684">
        <f>Table16[[#This Row],[Pout]]/(Table16[[#This Row],[Pout]]+Table16[[#This Row],[Total Loss]])</f>
        <v>0.92015342861333571</v>
      </c>
      <c r="BL199"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77.69573199437599</v>
      </c>
      <c r="BM199" s="685">
        <f>IF(Table16[[#This Row],[Vin]]&gt;Vout, Table16[[#This Row],[Total Sync Bu MOSFET Loss]]*ThetaJA_Q2, ThetaJA_Q3*Table16[[#This Row],[Total Sync Bo MOSFET Loss]])</f>
        <v>25.720084229330912</v>
      </c>
      <c r="BN199" s="640"/>
      <c r="BO199" s="292">
        <f>Table16[[#This Row],[EFF, h]]*100</f>
        <v>92.015342861333565</v>
      </c>
      <c r="BP199" s="345">
        <f>Table16[[#This Row],[Total Inductor Loss]]</f>
        <v>6.9568294746440582</v>
      </c>
      <c r="BQ199" s="345">
        <f>Table16[[#This Row],[Total Control Bu MOSFET Loss]]+Table16[[#This Row],[Total Sync Bu MOSFET Loss]]+Table16[[#This Row],[Total Control Bo MOSFET Loss]]+Table16[[#This Row],[Total Sync Bo MOSFET Loss]]+Table16[[#This Row],[Reverse Recovery Loss MOSFET D BUCK]]+Table16[[#This Row],[Reverse Recovery Loss MOSFET D BOOST]]</f>
        <v>2.4943346375700042</v>
      </c>
      <c r="BR199" s="345">
        <f>Table16[[#This Row],[Total Control Bu MOSFET Loss]]+Table16[[#This Row],[Reverse Recovery Loss MOSFET D BUCK]]*0.66</f>
        <v>1.6027986769596307</v>
      </c>
      <c r="BS199" s="345">
        <f>Table16[[#This Row],[Total Sync Bu MOSFET Loss]]+Table16[[#This Row],[Reverse Recovery Loss MOSFET D BUCK]]*0.33</f>
        <v>0.59943346512816786</v>
      </c>
      <c r="BT199" s="345">
        <f xml:space="preserve"> Table16[[#This Row],[Total Control Bo MOSFET Loss]]+Table16[[#This Row],[Reverse Recovery Loss MOSFET D BOOST]]*0.66</f>
        <v>0</v>
      </c>
      <c r="BU199" s="345">
        <f xml:space="preserve"> Table16[[#This Row],[Total Sync Bo MOSFET Loss]]+Table16[[#This Row],[Reverse Recovery Loss MOSFET D BOOST]]*0.33</f>
        <v>0.28592856028220531</v>
      </c>
      <c r="BV199" s="345">
        <f>Table16[[#This Row],[Isense Shunt Loss]]</f>
        <v>5.2838703415125407E-2</v>
      </c>
    </row>
    <row r="200" spans="7:74" x14ac:dyDescent="0.2">
      <c r="G200" s="253">
        <v>191</v>
      </c>
      <c r="H200" s="286">
        <f>VIN_min+(VIN_max-VIN_min)*(Table16[[#This Row],[Step]]/200)</f>
        <v>34.65</v>
      </c>
      <c r="I200" s="292" t="str">
        <f>IF(Mode = 2,IF(Table16[[#This Row],[Vin]]&gt;Vout, "BUCK","BOOST"),IF(Table16[[#This Row],[Vin]]&gt;VIN_BB_to_buck, "BUCK", IF(Table16[[#This Row],[Vin]]&lt;=VIN_boost_to_BB,"BOOST","BUCK-BST")))</f>
        <v>BUCK</v>
      </c>
      <c r="J200" s="253">
        <f>IF(Table16[[#This Row],[Mode]]="BOOST",2, IF(Table16[[#This Row],[Mode]]="BUCK", 1,3))</f>
        <v>1</v>
      </c>
      <c r="K200" s="253">
        <f t="shared" si="7"/>
        <v>8</v>
      </c>
      <c r="L200" s="292">
        <f>Vout*Table16[[#This Row],[Iout]]/(Table16[[#This Row],[Vin]]*Efficiency)</f>
        <v>3.8885091516670469</v>
      </c>
      <c r="M200" s="682">
        <f>MIN(1/Fsw,CHOOSE(Table16[[#This Row],[Mode Digit]],(Vout+(Rdson2+Rs+Rdcr)*Table16[[#This Row],[Iout]])/(Table16[[#This Row],[Vin]]+(Rs+Rdson2-Rdson1)*Table16[[#This Row],[Iout]])/Fsw,(Vout+(Rdson3+Rdcr)*Table16[[#This Row],[Iin]]-Table16[[#This Row],[Vin]])/(Vout+(Rdson3-Rdson4-Rs)*Table16[[#This Row],[Iin]])/Fsw,t1_Ph_II))</f>
        <v>1.1644934578142819E-6</v>
      </c>
      <c r="N200" s="518">
        <f>CHOOSE(Table16[[#This Row],[Mode Digit]],1/Fsw-Table16[[#This Row],[t1_Ph_II]],1/Fsw-Table16[[#This Row],[t1_Ph_II]],(Vout/Fsw-Table16[[#This Row],[Vin]]*t1_Ph_II)/(Table16[[#This Row],[Vin]]+Vout))</f>
        <v>1.34806935625607E-6</v>
      </c>
      <c r="O200" s="518">
        <f>1/Fsw-(Table16[[#This Row],[t1_Ph_II]]+Table16[[#This Row],[t2_Ph_I]])</f>
        <v>0</v>
      </c>
      <c r="P200"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1.9672769477121239</v>
      </c>
      <c r="Q200" s="292">
        <f>CHOOSE(Table16[[#This Row],[Mode Digit]],Table16[[#This Row],[I_0]]+1/Lf*(Table16[[#This Row],[Vin]]-Vout)*Table16[[#This Row],[t1_Ph_II]],Table16[[#This Row],[I_0]]+1/Lf*Table16[[#This Row],[Vin]]*Table16[[#This Row],[t1_Ph_II]],Table16[[#This Row],[I_0]]+(Table16[[#This Row],[Vin]]-Vout)/L*Table16[[#This Row],[t1_Ph_II]])</f>
        <v>14.032723052287876</v>
      </c>
      <c r="R200" s="292">
        <f>CHOOSE(Table16[[#This Row],[Mode Digit]],0,0,Table16[[#This Row],[I_1]]+Table16[[#This Row],[Vin]]/L*Table16[[#This Row],[t2_Ph_I]])</f>
        <v>0</v>
      </c>
      <c r="S200" s="292">
        <f>Fsw*(Table16[[#This Row],[I_0]]*Table16[[#This Row],[t1_Ph_II]]+Table16[[#This Row],[I_1]]*Table16[[#This Row],[t2_Ph_I]]+Table16[[#This Row],[I_2]]*Table16[[#This Row],[t3_Ph_III]])</f>
        <v>8.4407700966409447</v>
      </c>
      <c r="T200" s="345">
        <f>MIN(1,CHOOSE(Table16[[#This Row],[Mode Digit]],(Vout+(Rdson2+Rs+Rdcr)*Table16[[#This Row],[Iout]])/(Table16[[#This Row],[Vin]]+(Rs+Rdson2-Rdson1)*Table16[[#This Row],[Iout]]),1,Fsw*Table16[[#This Row],[t2_Ph_I]]+Table16[[#This Row],[t1_Ph_II]]))</f>
        <v>0.46346839621008418</v>
      </c>
      <c r="U200" s="345">
        <f>MIN(1,CHOOSE(Table16[[#This Row],[Mode Digit]],0,(Vout+(Rdson3+Rdcr)*Table16[[#This Row],[Iin]]-Table16[[#This Row],[Vin]])/(Vout+(Rdson3-Rdson4-Rs)*Table16[[#This Row],[Iin]]),Fsw*Table16[[#This Row],[t1_Ph_II]]+Table16[[#This Row],[t3_Ph_III]]))</f>
        <v>0</v>
      </c>
      <c r="V200" s="292">
        <f>MAX(Table16[[#This Row],[I_0]:[I_2]])-MIN(Table16[[#This Row],[I_0]:[I_1]])</f>
        <v>12.065446104575752</v>
      </c>
      <c r="W200"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8.7253222944409643</v>
      </c>
      <c r="X200" s="345">
        <f>(Table16[[#This Row],[Irms Lf]]^2*Rdcr*(1+Ltc*Ta-Ltc*25))/(1-Table16[[#This Row],[Irms Lf]]^2*Rdcr*Ltc*ThetaCa)</f>
        <v>0.24846243058655645</v>
      </c>
      <c r="Y200" s="345">
        <f>ABS(7.759*10^-3*Fsw^0.9458*(0.00787*Table16[[#This Row],[Ripple Current pk-pk]])^2.304)</f>
        <v>6.76669967318999</v>
      </c>
      <c r="Z200" s="345">
        <f>Table16[[#This Row],[DCR    Loss]]+Table16[[#This Row],[Core Loss]]</f>
        <v>7.0151621037765466</v>
      </c>
      <c r="AA200" s="292">
        <f>IF(Table16[[#This Row],[Vin]]&gt;Vout, Table16[[#This Row],[Ripple Current pk-pk]]/SQRT(12), SQRT(Table16[[#This Row],[Duty Cycle BOOST Leg]]/(1-Table16[[#This Row],[Duty Cycle BOOST Leg]]))*SQRT(Table16[[#This Row],[Iout]]^2+(Table16[[#This Row],[Ripple Current pk-pk]]^2)/12))</f>
        <v>3.4829942781848664</v>
      </c>
      <c r="AB200" s="345">
        <f>RCoutEsr*Table16[[#This Row],[Irms Cout]]^2</f>
        <v>2.4262498283737038E-2</v>
      </c>
      <c r="AC200" s="345">
        <f>Table16[[#This Row],[Cout ESR Loss]]</f>
        <v>2.4262498283737038E-2</v>
      </c>
      <c r="AD200" s="345">
        <f>IF(Table16[[#This Row],[Vin]]&gt;Vout, SQRT(Table16[[#This Row],[Duty Cycle BUCK Leg]]*(1-Table16[[#This Row],[Duty Cycle BUCK Leg]]))*SQRT(Table16[[#This Row],[Iout]]^2+(Table16[[#This Row],[Ripple Current pk-pk]]^2)/12), Table16[[#This Row],[Ripple Current pk-pk]]/SQRT(12))</f>
        <v>4.3510011160800381</v>
      </c>
      <c r="AE200" s="345">
        <f>RCinEsr*Table16[[#This Row],[Irms Cin]]^2</f>
        <v>3.7862421424259475E-2</v>
      </c>
      <c r="AF200" s="683">
        <f>Table16[[#This Row],[Cin ESR Loss]]</f>
        <v>3.7862421424259475E-2</v>
      </c>
      <c r="AG200"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5.9400696916157605</v>
      </c>
      <c r="AH200" s="345">
        <f>Rdson1*Table16[[#This Row],[Irms BuCtrl]]^2</f>
        <v>0.12349549779438254</v>
      </c>
      <c r="AI200" s="345">
        <f>CHOOSE(Table16[[#This Row],[Mode Digit]], (Table16[[#This Row],[Vin]]*Table16[[#This Row],[Iout]]/2)*(Fsw)*(Tr_buck+Tf_buck), 0, (Table16[[#This Row],[Vin]]*Table16[[#This Row],[Avg IL]]/2)*(Fsw/1)*(Tr_buck+Tf_buck))</f>
        <v>1.0374235497432907</v>
      </c>
      <c r="AJ200" s="253">
        <f>IF(Table16[[#This Row],[Vin]]&gt;Vout, IF(Table16[[#This Row],[Iout]]&gt;Table16[[#This Row],[Ripple Current pk-pk]]/2,0,ABS(Table16[[#This Row],[Iout]]-Table16[[#This Row],[Ripple Current pk-pk]]/2)*Vsd_Q1*Deadtime*Fsw),0)</f>
        <v>0</v>
      </c>
      <c r="AK200" s="345">
        <f>(Table16[[#This Row],[Dead Time Loss BuCtrl]]+Table16[[#This Row],[Transition Loss BuCtrl]]+Table16[[#This Row],[RDS(on) Loss BuCtrl]]*(1+RdsonTopTc*Ta-RdsonTopTc*25))/(1-Table16[[#This Row],[RDS(on) Loss BuCtrl]]*RdsonTopTc*ThetaJA_Q1)</f>
        <v>1.1994313852970129</v>
      </c>
      <c r="AL200" s="345">
        <f>CHOOSE(Table16[[#This Row],[Mode Digit]],SQRT((Fsw*(Table16[[#This Row],[t2_Ph_I]]+0))*((Table16[[#This Row],[I_0]]*Table16[[#This Row],[I_1]]+((Table16[[#This Row],[I_0]]-Table16[[#This Row],[I_1]])^2)/3))),0,SQRT((Fsw*(Table16[[#This Row],[t3_Ph_III]]+0))*((Table16[[#This Row],[I_0]]*Table16[[#This Row],[I_2]]+((Table16[[#This Row],[I_0]]-Table16[[#This Row],[I_2]])^2)/3))))</f>
        <v>6.3911517898275871</v>
      </c>
      <c r="AM200" s="345">
        <f>Rdson2*Table16[[#This Row],[Irms BuSync]]^2</f>
        <v>0.14296387420215728</v>
      </c>
      <c r="AN200"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200" s="345">
        <f>(Table16[[#This Row],[Deadtime Loss BuSync]]+Table16[[#This Row],[RDS(on) Loss BuSync]]*(1+RdsonBotTc*Ta-RdsonBotTc*25))/(1-Table16[[#This Row],[RDS(on) Loss BuSync]]*RdsonBotTc*ThetaJA_Q2)</f>
        <v>0.39650209797672664</v>
      </c>
      <c r="AP200" s="345">
        <f>CHOOSE(Table16[[#This Row],[Mode Digit]],0,SQRT((Fsw*(Table16[[#This Row],[t1_Ph_II]]+0))*((Table16[[#This Row],[I_0]]*Table16[[#This Row],[I_1]]+((Table16[[#This Row],[I_0]]-Table16[[#This Row],[I_1]])^2)/3))),SQRT((Fsw*(Table16[[#This Row],[t2_Ph_I]]+0))*((Table16[[#This Row],[I_1]]*Table16[[#This Row],[I_2]]+((Table16[[#This Row],[I_1]]-Table16[[#This Row],[I_2]])^2)/3))))</f>
        <v>0</v>
      </c>
      <c r="AQ200" s="345">
        <f>Rdson4*Table16[[#This Row],[Irms BoCtlr]]^2</f>
        <v>0</v>
      </c>
      <c r="AR200" s="345">
        <f>CHOOSE(Table16[[#This Row],[Mode Digit]], 0, (Vout*Table16[[#This Row],[Iin]]/2)*(Fsw)*(Tr_boost+Tf_boost), (Vout*Iout/2)*(Fsw/1)*(Tr_boost+Tf_boost))</f>
        <v>0</v>
      </c>
      <c r="AS200" s="253">
        <f>IF(Table16[[#This Row],[Vin]]&gt;Vout, 0, IF(Table16[[#This Row],[Iin]]&gt;Table16[[#This Row],[Ripple Current pk-pk]]/2,0,ABS(Table16[[#This Row],[Iin]]-Table16[[#This Row],[Ripple Current pk-pk]]/2)*Vsd_Q4*Deadtime*Fsw))</f>
        <v>0</v>
      </c>
      <c r="AT200" s="345">
        <f>(Table16[[#This Row],[Dead Time Loss BoCtlr]]+Table16[[#This Row],[Transition Loss BoCtlr]]+Table16[[#This Row],[RDS(on) Loss BoCtlr]]*(1+RdsonTopTc*Ta-RdsonTopTc*25))/(1-Table16[[#This Row],[RDS(on) Loss BoCtlr]]*RdsonTopTc*ThetaJA_Q4)</f>
        <v>0</v>
      </c>
      <c r="AU200"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8.7253222944409643</v>
      </c>
      <c r="AV200" s="345">
        <f>Rdson3*Table16[[#This Row],[Irms BoSync]]^2</f>
        <v>0.26645937199653991</v>
      </c>
      <c r="AW200"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200" s="345">
        <f>(Table16[[#This Row],[Deadtime Loss BoSync]]+Table16[[#This Row],[RDS(on) Loss BoSync]]*(1+RdsonBotTc*Ta-RdsonBotTc*25))/(1-Table16[[#This Row],[RDS(on) Loss BoSync]]*RdsonBotTc*ThetaJA_Q3)</f>
        <v>0.28629363367371968</v>
      </c>
      <c r="AY200" s="345">
        <f>CHOOSE(Table16[[#This Row],[Mode Digit]], Rdson3*Table16[[#This Row],[Irms Lf]]^2, Rdson1*Table16[[#This Row],[Irms Lf]]^2, 0)</f>
        <v>0.26645937199653991</v>
      </c>
      <c r="AZ200" s="345">
        <f>CHOOSE(Table16[[#This Row],[Mode Digit]], 2*Deadtime*Fsw*IF(VfdSky_Q2&gt;0,VfdSky_Q2,0)*Table16[[#This Row],[Iout]], 2*Deadtime*Fsw*IF(VfdSky_Q3&gt;0,VfdSky_Q3,0)*Table16[[#This Row],[Iin]], 2*Deadtime*Fsw*IF(VfdSky_Q2&gt;0,VfdSky_Q2,0)*Table16[[#This Row],[Iout]]+2*Deadtime*Fsw*IF(VfdSky_Q3&gt;0,VfdSky_Q3,0)*Table16[[#This Row],[Iin]])</f>
        <v>0</v>
      </c>
      <c r="BA200" s="345">
        <f>CHOOSE(Table16[[#This Row],[Mode Digit]], IF(QrrSky_Q2&gt;0,QrrSky_Q2,Qrr_Q2)*Fsw*(Table16[[#This Row],[Vin]]-Table16[[#This Row],[Iout]]*Rdson1),0,  IF(QrrSky_Q2&gt;0,QrrSky_Q2,Qrr_Q2)*Fsw*(Table16[[#This Row],[Vin]]-Table16[[#This Row],[Iout]]*Rdson1)+IF(QrrSky_Q3&gt;0,QrrSky_Q3,Qrr_Q3)*Fsw*Vout)</f>
        <v>0.62008001999999995</v>
      </c>
      <c r="BB200" s="345">
        <f>CHOOSE(Table16[[#This Row],[Mode Digit]],0, IF(QrrSky_Q3&gt;0,QrrSky_Q3,Qrr_Q3)*Fsw*Vout,  IF(QrrSky_Q2&gt;0,QrrSky_Q2,Qrr_Q2)*Fsw*(Table16[[#This Row],[Vin]]-Table16[[#This Row],[Iout]]*Rdson1)+IF(QrrSky_Q3&gt;0,QrrSky_Q3,Qrr_Q3)*Fsw*Vout)</f>
        <v>0</v>
      </c>
      <c r="BC200" s="345">
        <f>CHOOSE(Table16[[#This Row],[Mode Digit]], Rs*Table16[[#This Row],[Irms BuSync]]^2, Rs*Table16[[#This Row],[Irms BoCtlr]]^2, Rs*(Table16[[#This Row],[Irms BuSync]]^2+Table16[[#This Row],[Irms BoCtlr]]^2))</f>
        <v>5.3100867560801276E-2</v>
      </c>
      <c r="BD200" s="345">
        <f t="shared" si="8"/>
        <v>0.64</v>
      </c>
      <c r="BE200" s="345">
        <f>IF(Vout&gt;8, Iq*Vout, Iq*Table16[[#This Row],[Vin]])</f>
        <v>4.8000000000000001E-2</v>
      </c>
      <c r="BF200" s="345">
        <f>CHOOSE(Table16[[#This Row],[Mode Digit]], (Qg_Q1+Qg_Q2)*Fsw, (Qg_Q3+Qg_Q4)*Fsw, (Qg_Q1+Qg_Q2+Qg_Q3+Qg_Q4)*Fsw)*IF(Vout&gt;8, Vout, Table16[[#This Row],[Vin]])</f>
        <v>0.85331200000000007</v>
      </c>
      <c r="BG200" s="345">
        <f t="shared" si="9"/>
        <v>0.50594479787234037</v>
      </c>
      <c r="BH200" s="345">
        <f>Table16[[#This Row],[IQ Loss]]+Table16[[#This Row],[Switching Current Loss]]</f>
        <v>0.90131200000000011</v>
      </c>
      <c r="BI200"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11.174007027992806</v>
      </c>
      <c r="BJ200" s="253">
        <f>Vout*Table16[[#This Row],[Iout]]</f>
        <v>128</v>
      </c>
      <c r="BK200" s="684">
        <f>Table16[[#This Row],[Pout]]/(Table16[[#This Row],[Pout]]+Table16[[#This Row],[Total Loss]])</f>
        <v>0.91971196873173788</v>
      </c>
      <c r="BL200"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77.963040044305842</v>
      </c>
      <c r="BM200" s="685">
        <f>IF(Table16[[#This Row],[Vin]]&gt;Vout, Table16[[#This Row],[Total Sync Bu MOSFET Loss]]*ThetaJA_Q2, ThetaJA_Q3*Table16[[#This Row],[Total Sync Bo MOSFET Loss]])</f>
        <v>25.77263636848723</v>
      </c>
      <c r="BN200" s="640"/>
      <c r="BO200" s="292">
        <f>Table16[[#This Row],[EFF, h]]*100</f>
        <v>91.971196873173795</v>
      </c>
      <c r="BP200" s="345">
        <f>Table16[[#This Row],[Total Inductor Loss]]</f>
        <v>7.0151621037765466</v>
      </c>
      <c r="BQ200" s="345">
        <f>Table16[[#This Row],[Total Control Bu MOSFET Loss]]+Table16[[#This Row],[Total Sync Bu MOSFET Loss]]+Table16[[#This Row],[Total Control Bo MOSFET Loss]]+Table16[[#This Row],[Total Sync Bo MOSFET Loss]]+Table16[[#This Row],[Reverse Recovery Loss MOSFET D BUCK]]+Table16[[#This Row],[Reverse Recovery Loss MOSFET D BOOST]]</f>
        <v>2.5023071369474592</v>
      </c>
      <c r="BR200" s="345">
        <f>Table16[[#This Row],[Total Control Bu MOSFET Loss]]+Table16[[#This Row],[Reverse Recovery Loss MOSFET D BUCK]]*0.66</f>
        <v>1.6086841984970128</v>
      </c>
      <c r="BS200" s="345">
        <f>Table16[[#This Row],[Total Sync Bu MOSFET Loss]]+Table16[[#This Row],[Reverse Recovery Loss MOSFET D BUCK]]*0.33</f>
        <v>0.60112850457672662</v>
      </c>
      <c r="BT200" s="345">
        <f xml:space="preserve"> Table16[[#This Row],[Total Control Bo MOSFET Loss]]+Table16[[#This Row],[Reverse Recovery Loss MOSFET D BOOST]]*0.66</f>
        <v>0</v>
      </c>
      <c r="BU200" s="345">
        <f xml:space="preserve"> Table16[[#This Row],[Total Sync Bo MOSFET Loss]]+Table16[[#This Row],[Reverse Recovery Loss MOSFET D BOOST]]*0.33</f>
        <v>0.28629363367371968</v>
      </c>
      <c r="BV200" s="345">
        <f>Table16[[#This Row],[Isense Shunt Loss]]</f>
        <v>5.3100867560801276E-2</v>
      </c>
    </row>
    <row r="201" spans="7:74" x14ac:dyDescent="0.2">
      <c r="G201" s="253">
        <v>192</v>
      </c>
      <c r="H201" s="286">
        <f>VIN_min+(VIN_max-VIN_min)*(Table16[[#This Row],[Step]]/200)</f>
        <v>34.799999999999997</v>
      </c>
      <c r="I201" s="292" t="str">
        <f>IF(Mode = 2,IF(Table16[[#This Row],[Vin]]&gt;Vout, "BUCK","BOOST"),IF(Table16[[#This Row],[Vin]]&gt;VIN_BB_to_buck, "BUCK", IF(Table16[[#This Row],[Vin]]&lt;=VIN_boost_to_BB,"BOOST","BUCK-BST")))</f>
        <v>BUCK</v>
      </c>
      <c r="J201" s="253">
        <f>IF(Table16[[#This Row],[Mode]]="BOOST",2, IF(Table16[[#This Row],[Mode]]="BUCK", 1,3))</f>
        <v>1</v>
      </c>
      <c r="K201" s="253">
        <f t="shared" ref="K201:K209" si="10">Iout</f>
        <v>8</v>
      </c>
      <c r="L201" s="292">
        <f>Vout*Table16[[#This Row],[Iout]]/(Table16[[#This Row],[Vin]]*Efficiency)</f>
        <v>3.8717483363581371</v>
      </c>
      <c r="M201" s="682">
        <f>MIN(1/Fsw,CHOOSE(Table16[[#This Row],[Mode Digit]],(Vout+(Rdson2+Rs+Rdcr)*Table16[[#This Row],[Iout]])/(Table16[[#This Row],[Vin]]+(Rs+Rdson2-Rdson1)*Table16[[#This Row],[Iout]])/Fsw,(Vout+(Rdson3+Rdcr)*Table16[[#This Row],[Iin]]-Table16[[#This Row],[Vin]])/(Vout+(Rdson3-Rdson4-Rs)*Table16[[#This Row],[Iin]])/Fsw,t1_Ph_II))</f>
        <v>1.1594755890545967E-6</v>
      </c>
      <c r="N201" s="518">
        <f>CHOOSE(Table16[[#This Row],[Mode Digit]],1/Fsw-Table16[[#This Row],[t1_Ph_II]],1/Fsw-Table16[[#This Row],[t1_Ph_II]],(Vout/Fsw-Table16[[#This Row],[Vin]]*t1_Ph_II)/(Table16[[#This Row],[Vin]]+Vout))</f>
        <v>1.3530872250157552E-6</v>
      </c>
      <c r="O201" s="518">
        <f>1/Fsw-(Table16[[#This Row],[t1_Ph_II]]+Table16[[#This Row],[t2_Ph_I]])</f>
        <v>0</v>
      </c>
      <c r="P201"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1.9449608127148847</v>
      </c>
      <c r="Q201" s="292">
        <f>CHOOSE(Table16[[#This Row],[Mode Digit]],Table16[[#This Row],[I_0]]+1/Lf*(Table16[[#This Row],[Vin]]-Vout)*Table16[[#This Row],[t1_Ph_II]],Table16[[#This Row],[I_0]]+1/Lf*Table16[[#This Row],[Vin]]*Table16[[#This Row],[t1_Ph_II]],Table16[[#This Row],[I_0]]+(Table16[[#This Row],[Vin]]-Vout)/L*Table16[[#This Row],[t1_Ph_II]])</f>
        <v>14.055039187285114</v>
      </c>
      <c r="R201" s="292">
        <f>CHOOSE(Table16[[#This Row],[Mode Digit]],0,0,Table16[[#This Row],[I_1]]+Table16[[#This Row],[Vin]]/L*Table16[[#This Row],[t2_Ph_I]])</f>
        <v>0</v>
      </c>
      <c r="S201" s="292">
        <f>Fsw*(Table16[[#This Row],[I_0]]*Table16[[#This Row],[t1_Ph_II]]+Table16[[#This Row],[I_1]]*Table16[[#This Row],[t2_Ph_I]]+Table16[[#This Row],[I_2]]*Table16[[#This Row],[t3_Ph_III]])</f>
        <v>8.4665857650579586</v>
      </c>
      <c r="T201" s="345">
        <f>MIN(1,CHOOSE(Table16[[#This Row],[Mode Digit]],(Vout+(Rdson2+Rs+Rdcr)*Table16[[#This Row],[Iout]])/(Table16[[#This Row],[Vin]]+(Rs+Rdson2-Rdson1)*Table16[[#This Row],[Iout]]),1,Fsw*Table16[[#This Row],[t2_Ph_I]]+Table16[[#This Row],[t1_Ph_II]]))</f>
        <v>0.46147128444372953</v>
      </c>
      <c r="U201" s="345">
        <f>MIN(1,CHOOSE(Table16[[#This Row],[Mode Digit]],0,(Vout+(Rdson3+Rdcr)*Table16[[#This Row],[Iin]]-Table16[[#This Row],[Vin]])/(Vout+(Rdson3-Rdson4-Rs)*Table16[[#This Row],[Iin]]),Fsw*Table16[[#This Row],[t1_Ph_II]]+Table16[[#This Row],[t3_Ph_III]]))</f>
        <v>0</v>
      </c>
      <c r="V201" s="292">
        <f>MAX(Table16[[#This Row],[I_0]:[I_2]])-MIN(Table16[[#This Row],[I_0]:[I_1]])</f>
        <v>12.110078374570229</v>
      </c>
      <c r="W201"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8.7304734419075345</v>
      </c>
      <c r="X201" s="345">
        <f>(Table16[[#This Row],[Irms Lf]]^2*Rdcr*(1+Ltc*Ta-Ltc*25))/(1-Table16[[#This Row],[Irms Lf]]^2*Rdcr*Ltc*ThetaCa)</f>
        <v>0.24876172554357309</v>
      </c>
      <c r="Y201" s="345">
        <f>ABS(7.759*10^-3*Fsw^0.9458*(0.00787*Table16[[#This Row],[Ripple Current pk-pk]])^2.304)</f>
        <v>6.8245108164990684</v>
      </c>
      <c r="Z201" s="345">
        <f>Table16[[#This Row],[DCR    Loss]]+Table16[[#This Row],[Core Loss]]</f>
        <v>7.0732725420426412</v>
      </c>
      <c r="AA201" s="292">
        <f>IF(Table16[[#This Row],[Vin]]&gt;Vout, Table16[[#This Row],[Ripple Current pk-pk]]/SQRT(12), SQRT(Table16[[#This Row],[Duty Cycle BOOST Leg]]/(1-Table16[[#This Row],[Duty Cycle BOOST Leg]]))*SQRT(Table16[[#This Row],[Iout]]^2+(Table16[[#This Row],[Ripple Current pk-pk]]^2)/12))</f>
        <v>3.4958785047327936</v>
      </c>
      <c r="AB201" s="345">
        <f>RCoutEsr*Table16[[#This Row],[Irms Cout]]^2</f>
        <v>2.4442333039705586E-2</v>
      </c>
      <c r="AC201" s="345">
        <f>Table16[[#This Row],[Cout ESR Loss]]</f>
        <v>2.4442333039705586E-2</v>
      </c>
      <c r="AD201" s="345">
        <f>IF(Table16[[#This Row],[Vin]]&gt;Vout, SQRT(Table16[[#This Row],[Duty Cycle BUCK Leg]]*(1-Table16[[#This Row],[Duty Cycle BUCK Leg]]))*SQRT(Table16[[#This Row],[Iout]]^2+(Table16[[#This Row],[Ripple Current pk-pk]]^2)/12), Table16[[#This Row],[Ripple Current pk-pk]]/SQRT(12))</f>
        <v>4.3522573695247324</v>
      </c>
      <c r="AE201" s="345">
        <f>RCinEsr*Table16[[#This Row],[Irms Cin]]^2</f>
        <v>3.7884288421164682E-2</v>
      </c>
      <c r="AF201" s="683">
        <f>Table16[[#This Row],[Cin ESR Loss]]</f>
        <v>3.7884288421164682E-2</v>
      </c>
      <c r="AG201"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5.930757086217227</v>
      </c>
      <c r="AH201" s="345">
        <f>Rdson1*Table16[[#This Row],[Irms BuCtrl]]^2</f>
        <v>0.12310857865500549</v>
      </c>
      <c r="AI201" s="345">
        <f>CHOOSE(Table16[[#This Row],[Mode Digit]], (Table16[[#This Row],[Vin]]*Table16[[#This Row],[Iout]]/2)*(Fsw)*(Tr_buck+Tf_buck), 0, (Table16[[#This Row],[Vin]]*Table16[[#This Row],[Avg IL]]/2)*(Fsw/1)*(Tr_buck+Tf_buck))</f>
        <v>1.0419145607811402</v>
      </c>
      <c r="AJ201" s="253">
        <f>IF(Table16[[#This Row],[Vin]]&gt;Vout, IF(Table16[[#This Row],[Iout]]&gt;Table16[[#This Row],[Ripple Current pk-pk]]/2,0,ABS(Table16[[#This Row],[Iout]]-Table16[[#This Row],[Ripple Current pk-pk]]/2)*Vsd_Q1*Deadtime*Fsw),0)</f>
        <v>0</v>
      </c>
      <c r="AK201" s="345">
        <f>(Table16[[#This Row],[Dead Time Loss BuCtrl]]+Table16[[#This Row],[Transition Loss BuCtrl]]+Table16[[#This Row],[RDS(on) Loss BuCtrl]]*(1+RdsonTopTc*Ta-RdsonTopTc*25))/(1-Table16[[#This Row],[RDS(on) Loss BuCtrl]]*RdsonTopTc*ThetaJA_Q1)</f>
        <v>1.2035465342624807</v>
      </c>
      <c r="AL201" s="345">
        <f>CHOOSE(Table16[[#This Row],[Mode Digit]],SQRT((Fsw*(Table16[[#This Row],[t2_Ph_I]]+0))*((Table16[[#This Row],[I_0]]*Table16[[#This Row],[I_1]]+((Table16[[#This Row],[I_0]]-Table16[[#This Row],[I_1]])^2)/3))),0,SQRT((Fsw*(Table16[[#This Row],[t3_Ph_III]]+0))*((Table16[[#This Row],[I_0]]*Table16[[#This Row],[I_2]]+((Table16[[#This Row],[I_0]]-Table16[[#This Row],[I_2]])^2)/3))))</f>
        <v>6.4068156602275463</v>
      </c>
      <c r="AM201" s="345">
        <f>Rdson2*Table16[[#This Row],[Irms BuSync]]^2</f>
        <v>0.14366550416447926</v>
      </c>
      <c r="AN201"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201" s="345">
        <f>(Table16[[#This Row],[Deadtime Loss BuSync]]+Table16[[#This Row],[RDS(on) Loss BuSync]]*(1+RdsonBotTc*Ta-RdsonBotTc*25))/(1-Table16[[#This Row],[RDS(on) Loss BuSync]]*RdsonBotTc*ThetaJA_Q2)</f>
        <v>0.3973060909282955</v>
      </c>
      <c r="AP201" s="345">
        <f>CHOOSE(Table16[[#This Row],[Mode Digit]],0,SQRT((Fsw*(Table16[[#This Row],[t1_Ph_II]]+0))*((Table16[[#This Row],[I_0]]*Table16[[#This Row],[I_1]]+((Table16[[#This Row],[I_0]]-Table16[[#This Row],[I_1]])^2)/3))),SQRT((Fsw*(Table16[[#This Row],[t2_Ph_I]]+0))*((Table16[[#This Row],[I_1]]*Table16[[#This Row],[I_2]]+((Table16[[#This Row],[I_1]]-Table16[[#This Row],[I_2]])^2)/3))))</f>
        <v>0</v>
      </c>
      <c r="AQ201" s="345">
        <f>Rdson4*Table16[[#This Row],[Irms BoCtlr]]^2</f>
        <v>0</v>
      </c>
      <c r="AR201" s="345">
        <f>CHOOSE(Table16[[#This Row],[Mode Digit]], 0, (Vout*Table16[[#This Row],[Iin]]/2)*(Fsw)*(Tr_boost+Tf_boost), (Vout*Iout/2)*(Fsw/1)*(Tr_boost+Tf_boost))</f>
        <v>0</v>
      </c>
      <c r="AS201" s="253">
        <f>IF(Table16[[#This Row],[Vin]]&gt;Vout, 0, IF(Table16[[#This Row],[Iin]]&gt;Table16[[#This Row],[Ripple Current pk-pk]]/2,0,ABS(Table16[[#This Row],[Iin]]-Table16[[#This Row],[Ripple Current pk-pk]]/2)*Vsd_Q4*Deadtime*Fsw))</f>
        <v>0</v>
      </c>
      <c r="AT201" s="345">
        <f>(Table16[[#This Row],[Dead Time Loss BoCtlr]]+Table16[[#This Row],[Transition Loss BoCtlr]]+Table16[[#This Row],[RDS(on) Loss BoCtlr]]*(1+RdsonTopTc*Ta-RdsonTopTc*25))/(1-Table16[[#This Row],[RDS(on) Loss BoCtlr]]*RdsonTopTc*ThetaJA_Q4)</f>
        <v>0</v>
      </c>
      <c r="AU201"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8.7304734419075345</v>
      </c>
      <c r="AV201" s="345">
        <f>Rdson3*Table16[[#This Row],[Irms BoSync]]^2</f>
        <v>0.26677408281948478</v>
      </c>
      <c r="AW201"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201" s="345">
        <f>(Table16[[#This Row],[Deadtime Loss BoSync]]+Table16[[#This Row],[RDS(on) Loss BoSync]]*(1+RdsonBotTc*Ta-RdsonBotTc*25))/(1-Table16[[#This Row],[RDS(on) Loss BoSync]]*RdsonBotTc*ThetaJA_Q3)</f>
        <v>0.28665697202649104</v>
      </c>
      <c r="AY201" s="345">
        <f>CHOOSE(Table16[[#This Row],[Mode Digit]], Rdson3*Table16[[#This Row],[Irms Lf]]^2, Rdson1*Table16[[#This Row],[Irms Lf]]^2, 0)</f>
        <v>0.26677408281948478</v>
      </c>
      <c r="AZ201" s="345">
        <f>CHOOSE(Table16[[#This Row],[Mode Digit]], 2*Deadtime*Fsw*IF(VfdSky_Q2&gt;0,VfdSky_Q2,0)*Table16[[#This Row],[Iout]], 2*Deadtime*Fsw*IF(VfdSky_Q3&gt;0,VfdSky_Q3,0)*Table16[[#This Row],[Iin]], 2*Deadtime*Fsw*IF(VfdSky_Q2&gt;0,VfdSky_Q2,0)*Table16[[#This Row],[Iout]]+2*Deadtime*Fsw*IF(VfdSky_Q3&gt;0,VfdSky_Q3,0)*Table16[[#This Row],[Iin]])</f>
        <v>0</v>
      </c>
      <c r="BA201" s="345">
        <f>CHOOSE(Table16[[#This Row],[Mode Digit]], IF(QrrSky_Q2&gt;0,QrrSky_Q2,Qrr_Q2)*Fsw*(Table16[[#This Row],[Vin]]-Table16[[#This Row],[Iout]]*Rdson1),0,  IF(QrrSky_Q2&gt;0,QrrSky_Q2,Qrr_Q2)*Fsw*(Table16[[#This Row],[Vin]]-Table16[[#This Row],[Iout]]*Rdson1)+IF(QrrSky_Q3&gt;0,QrrSky_Q3,Qrr_Q3)*Fsw*Vout)</f>
        <v>0.62276651999999988</v>
      </c>
      <c r="BB201" s="345">
        <f>CHOOSE(Table16[[#This Row],[Mode Digit]],0, IF(QrrSky_Q3&gt;0,QrrSky_Q3,Qrr_Q3)*Fsw*Vout,  IF(QrrSky_Q2&gt;0,QrrSky_Q2,Qrr_Q2)*Fsw*(Table16[[#This Row],[Vin]]-Table16[[#This Row],[Iout]]*Rdson1)+IF(QrrSky_Q3&gt;0,QrrSky_Q3,Qrr_Q3)*Fsw*Vout)</f>
        <v>0</v>
      </c>
      <c r="BC201" s="345">
        <f>CHOOSE(Table16[[#This Row],[Mode Digit]], Rs*Table16[[#This Row],[Irms BuSync]]^2, Rs*Table16[[#This Row],[Irms BoCtlr]]^2, Rs*(Table16[[#This Row],[Irms BuSync]]^2+Table16[[#This Row],[Irms BoCtlr]]^2))</f>
        <v>5.3361472975378008E-2</v>
      </c>
      <c r="BD201" s="345">
        <f t="shared" ref="BD201:BD209" si="11">Rshunt/1000*Iout^2</f>
        <v>0.64</v>
      </c>
      <c r="BE201" s="345">
        <f>IF(Vout&gt;8, Iq*Vout, Iq*Table16[[#This Row],[Vin]])</f>
        <v>4.8000000000000001E-2</v>
      </c>
      <c r="BF201" s="345">
        <f>CHOOSE(Table16[[#This Row],[Mode Digit]], (Qg_Q1+Qg_Q2)*Fsw, (Qg_Q3+Qg_Q4)*Fsw, (Qg_Q1+Qg_Q2+Qg_Q3+Qg_Q4)*Fsw)*IF(Vout&gt;8, Vout, Table16[[#This Row],[Vin]])</f>
        <v>0.85331200000000007</v>
      </c>
      <c r="BG201" s="345">
        <f t="shared" ref="BG201:BG209" si="12">(Vin-Vdd)*Fsw*(Qg_Q1+Qg_Q2)+(RdsonDRT+RdsonDRT2)*Fsw*Qg_Q1*Vdd/(RdsonDRT+2*Rgate1+RdsonDRT2)+(RdsonDRB+RdsonDRB2)*Fsw*Qg_Q2*Vdd/(RdsonDRB+2*Rgate2+RdsonDRB2)</f>
        <v>0.50594479787234037</v>
      </c>
      <c r="BH201" s="345">
        <f>Table16[[#This Row],[IQ Loss]]+Table16[[#This Row],[Switching Current Loss]]</f>
        <v>0.90131200000000011</v>
      </c>
      <c r="BI201"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11.24054875369616</v>
      </c>
      <c r="BJ201" s="253">
        <f>Vout*Table16[[#This Row],[Iout]]</f>
        <v>128</v>
      </c>
      <c r="BK201" s="684">
        <f>Table16[[#This Row],[Pout]]/(Table16[[#This Row],[Pout]]+Table16[[#This Row],[Total Loss]])</f>
        <v>0.91927244718361711</v>
      </c>
      <c r="BL201"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78.230524727061251</v>
      </c>
      <c r="BM201" s="685">
        <f>IF(Table16[[#This Row],[Vin]]&gt;Vout, Table16[[#This Row],[Total Sync Bu MOSFET Loss]]*ThetaJA_Q2, ThetaJA_Q3*Table16[[#This Row],[Total Sync Bo MOSFET Loss]])</f>
        <v>25.824895910339208</v>
      </c>
      <c r="BN201" s="640"/>
      <c r="BO201" s="292">
        <f>Table16[[#This Row],[EFF, h]]*100</f>
        <v>91.927244718361706</v>
      </c>
      <c r="BP201" s="345">
        <f>Table16[[#This Row],[Total Inductor Loss]]</f>
        <v>7.0732725420426412</v>
      </c>
      <c r="BQ201" s="345">
        <f>Table16[[#This Row],[Total Control Bu MOSFET Loss]]+Table16[[#This Row],[Total Sync Bu MOSFET Loss]]+Table16[[#This Row],[Total Control Bo MOSFET Loss]]+Table16[[#This Row],[Total Sync Bo MOSFET Loss]]+Table16[[#This Row],[Reverse Recovery Loss MOSFET D BUCK]]+Table16[[#This Row],[Reverse Recovery Loss MOSFET D BOOST]]</f>
        <v>2.5102761172172672</v>
      </c>
      <c r="BR201" s="345">
        <f>Table16[[#This Row],[Total Control Bu MOSFET Loss]]+Table16[[#This Row],[Reverse Recovery Loss MOSFET D BUCK]]*0.66</f>
        <v>1.6145724374624806</v>
      </c>
      <c r="BS201" s="345">
        <f>Table16[[#This Row],[Total Sync Bu MOSFET Loss]]+Table16[[#This Row],[Reverse Recovery Loss MOSFET D BUCK]]*0.33</f>
        <v>0.60281904252829543</v>
      </c>
      <c r="BT201" s="345">
        <f xml:space="preserve"> Table16[[#This Row],[Total Control Bo MOSFET Loss]]+Table16[[#This Row],[Reverse Recovery Loss MOSFET D BOOST]]*0.66</f>
        <v>0</v>
      </c>
      <c r="BU201" s="345">
        <f xml:space="preserve"> Table16[[#This Row],[Total Sync Bo MOSFET Loss]]+Table16[[#This Row],[Reverse Recovery Loss MOSFET D BOOST]]*0.33</f>
        <v>0.28665697202649104</v>
      </c>
      <c r="BV201" s="345">
        <f>Table16[[#This Row],[Isense Shunt Loss]]</f>
        <v>5.3361472975378008E-2</v>
      </c>
    </row>
    <row r="202" spans="7:74" x14ac:dyDescent="0.2">
      <c r="G202" s="253">
        <v>193</v>
      </c>
      <c r="H202" s="286">
        <f>VIN_min+(VIN_max-VIN_min)*(Table16[[#This Row],[Step]]/200)</f>
        <v>34.950000000000003</v>
      </c>
      <c r="I202" s="292" t="str">
        <f>IF(Mode = 2,IF(Table16[[#This Row],[Vin]]&gt;Vout, "BUCK","BOOST"),IF(Table16[[#This Row],[Vin]]&gt;VIN_BB_to_buck, "BUCK", IF(Table16[[#This Row],[Vin]]&lt;=VIN_boost_to_BB,"BOOST","BUCK-BST")))</f>
        <v>BUCK</v>
      </c>
      <c r="J202" s="253">
        <f>IF(Table16[[#This Row],[Mode]]="BOOST",2, IF(Table16[[#This Row],[Mode]]="BUCK", 1,3))</f>
        <v>1</v>
      </c>
      <c r="K202" s="253">
        <f t="shared" si="10"/>
        <v>8</v>
      </c>
      <c r="L202" s="292">
        <f>Vout*Table16[[#This Row],[Iout]]/(Table16[[#This Row],[Vin]]*Efficiency)</f>
        <v>3.8551313907085309</v>
      </c>
      <c r="M202" s="682">
        <f>MIN(1/Fsw,CHOOSE(Table16[[#This Row],[Mode Digit]],(Vout+(Rdson2+Rs+Rdcr)*Table16[[#This Row],[Iout]])/(Table16[[#This Row],[Vin]]+(Rs+Rdson2-Rdson1)*Table16[[#This Row],[Iout]])/Fsw,(Vout+(Rdson3+Rdcr)*Table16[[#This Row],[Iin]]-Table16[[#This Row],[Vin]])/(Vout+(Rdson3-Rdson4-Rs)*Table16[[#This Row],[Iin]])/Fsw,t1_Ph_II))</f>
        <v>1.1545007793167735E-6</v>
      </c>
      <c r="N202" s="518">
        <f>CHOOSE(Table16[[#This Row],[Mode Digit]],1/Fsw-Table16[[#This Row],[t1_Ph_II]],1/Fsw-Table16[[#This Row],[t1_Ph_II]],(Vout/Fsw-Table16[[#This Row],[Vin]]*t1_Ph_II)/(Table16[[#This Row],[Vin]]+Vout))</f>
        <v>1.3580620347535784E-6</v>
      </c>
      <c r="O202" s="518">
        <f>1/Fsw-(Table16[[#This Row],[t1_Ph_II]]+Table16[[#This Row],[t2_Ph_I]])</f>
        <v>0</v>
      </c>
      <c r="P202"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1.9228361755408727</v>
      </c>
      <c r="Q202" s="292">
        <f>CHOOSE(Table16[[#This Row],[Mode Digit]],Table16[[#This Row],[I_0]]+1/Lf*(Table16[[#This Row],[Vin]]-Vout)*Table16[[#This Row],[t1_Ph_II]],Table16[[#This Row],[I_0]]+1/Lf*Table16[[#This Row],[Vin]]*Table16[[#This Row],[t1_Ph_II]],Table16[[#This Row],[I_0]]+(Table16[[#This Row],[Vin]]-Vout)/L*Table16[[#This Row],[t1_Ph_II]])</f>
        <v>14.077163824459127</v>
      </c>
      <c r="R202" s="292">
        <f>CHOOSE(Table16[[#This Row],[Mode Digit]],0,0,Table16[[#This Row],[I_1]]+Table16[[#This Row],[Vin]]/L*Table16[[#This Row],[t2_Ph_I]])</f>
        <v>0</v>
      </c>
      <c r="S202" s="292">
        <f>Fsw*(Table16[[#This Row],[I_0]]*Table16[[#This Row],[t1_Ph_II]]+Table16[[#This Row],[I_1]]*Table16[[#This Row],[t2_Ph_I]]+Table16[[#This Row],[I_2]]*Table16[[#This Row],[t3_Ph_III]])</f>
        <v>8.4923558888456103</v>
      </c>
      <c r="T202" s="345">
        <f>MIN(1,CHOOSE(Table16[[#This Row],[Mode Digit]],(Vout+(Rdson2+Rs+Rdcr)*Table16[[#This Row],[Iout]])/(Table16[[#This Row],[Vin]]+(Rs+Rdson2-Rdson1)*Table16[[#This Row],[Iout]]),1,Fsw*Table16[[#This Row],[t2_Ph_I]]+Table16[[#This Row],[t1_Ph_II]]))</f>
        <v>0.45949131016807587</v>
      </c>
      <c r="U202" s="345">
        <f>MIN(1,CHOOSE(Table16[[#This Row],[Mode Digit]],0,(Vout+(Rdson3+Rdcr)*Table16[[#This Row],[Iin]]-Table16[[#This Row],[Vin]])/(Vout+(Rdson3-Rdson4-Rs)*Table16[[#This Row],[Iin]]),Fsw*Table16[[#This Row],[t1_Ph_II]]+Table16[[#This Row],[t3_Ph_III]]))</f>
        <v>0</v>
      </c>
      <c r="V202" s="292">
        <f>MAX(Table16[[#This Row],[I_0]:[I_2]])-MIN(Table16[[#This Row],[I_0]:[I_1]])</f>
        <v>12.154327648918255</v>
      </c>
      <c r="W202"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8.7355961473600399</v>
      </c>
      <c r="X202" s="345">
        <f>(Table16[[#This Row],[Irms Lf]]^2*Rdcr*(1+Ltc*Ta-Ltc*25))/(1-Table16[[#This Row],[Irms Lf]]^2*Rdcr*Ltc*ThetaCa)</f>
        <v>0.24905955707730601</v>
      </c>
      <c r="Y202" s="345">
        <f>ABS(7.759*10^-3*Fsw^0.9458*(0.00787*Table16[[#This Row],[Ripple Current pk-pk]])^2.304)</f>
        <v>6.882100805581568</v>
      </c>
      <c r="Z202" s="345">
        <f>Table16[[#This Row],[DCR    Loss]]+Table16[[#This Row],[Core Loss]]</f>
        <v>7.131160362658874</v>
      </c>
      <c r="AA202" s="292">
        <f>IF(Table16[[#This Row],[Vin]]&gt;Vout, Table16[[#This Row],[Ripple Current pk-pk]]/SQRT(12), SQRT(Table16[[#This Row],[Duty Cycle BOOST Leg]]/(1-Table16[[#This Row],[Duty Cycle BOOST Leg]]))*SQRT(Table16[[#This Row],[Iout]]^2+(Table16[[#This Row],[Ripple Current pk-pk]]^2)/12))</f>
        <v>3.508652169960933</v>
      </c>
      <c r="AB202" s="345">
        <f>RCoutEsr*Table16[[#This Row],[Irms Cout]]^2</f>
        <v>2.462128009954313E-2</v>
      </c>
      <c r="AC202" s="345">
        <f>Table16[[#This Row],[Cout ESR Loss]]</f>
        <v>2.462128009954313E-2</v>
      </c>
      <c r="AD202" s="345">
        <f>IF(Table16[[#This Row],[Vin]]&gt;Vout, SQRT(Table16[[#This Row],[Duty Cycle BUCK Leg]]*(1-Table16[[#This Row],[Duty Cycle BUCK Leg]]))*SQRT(Table16[[#This Row],[Iout]]^2+(Table16[[#This Row],[Ripple Current pk-pk]]^2)/12), Table16[[#This Row],[Ripple Current pk-pk]]/SQRT(12))</f>
        <v>4.3534397625419459</v>
      </c>
      <c r="AE202" s="345">
        <f>RCinEsr*Table16[[#This Row],[Irms Cin]]^2</f>
        <v>3.7904875532162548E-2</v>
      </c>
      <c r="AF202" s="683">
        <f>Table16[[#This Row],[Cin ESR Loss]]</f>
        <v>3.7904875532162548E-2</v>
      </c>
      <c r="AG202"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5.9214927152056829</v>
      </c>
      <c r="AH202" s="345">
        <f>Rdson1*Table16[[#This Row],[Irms BuCtrl]]^2</f>
        <v>0.12272426591681891</v>
      </c>
      <c r="AI202" s="345">
        <f>CHOOSE(Table16[[#This Row],[Mode Digit]], (Table16[[#This Row],[Vin]]*Table16[[#This Row],[Iout]]/2)*(Fsw)*(Tr_buck+Tf_buck), 0, (Table16[[#This Row],[Vin]]*Table16[[#This Row],[Avg IL]]/2)*(Fsw/1)*(Tr_buck+Tf_buck))</f>
        <v>1.0464055718189902</v>
      </c>
      <c r="AJ202" s="253">
        <f>IF(Table16[[#This Row],[Vin]]&gt;Vout, IF(Table16[[#This Row],[Iout]]&gt;Table16[[#This Row],[Ripple Current pk-pk]]/2,0,ABS(Table16[[#This Row],[Iout]]-Table16[[#This Row],[Ripple Current pk-pk]]/2)*Vsd_Q1*Deadtime*Fsw),0)</f>
        <v>0</v>
      </c>
      <c r="AK202" s="345">
        <f>(Table16[[#This Row],[Dead Time Loss BuCtrl]]+Table16[[#This Row],[Transition Loss BuCtrl]]+Table16[[#This Row],[RDS(on) Loss BuCtrl]]*(1+RdsonTopTc*Ta-RdsonTopTc*25))/(1-Table16[[#This Row],[RDS(on) Loss BuCtrl]]*RdsonTopTc*ThetaJA_Q1)</f>
        <v>1.2076643656503783</v>
      </c>
      <c r="AL202" s="345">
        <f>CHOOSE(Table16[[#This Row],[Mode Digit]],SQRT((Fsw*(Table16[[#This Row],[t2_Ph_I]]+0))*((Table16[[#This Row],[I_0]]*Table16[[#This Row],[I_1]]+((Table16[[#This Row],[I_0]]-Table16[[#This Row],[I_1]])^2)/3))),0,SQRT((Fsw*(Table16[[#This Row],[t3_Ph_III]]+0))*((Table16[[#This Row],[I_0]]*Table16[[#This Row],[I_2]]+((Table16[[#This Row],[I_0]]-Table16[[#This Row],[I_2]])^2)/3))))</f>
        <v>6.4223487972499278</v>
      </c>
      <c r="AM202" s="345">
        <f>Rdson2*Table16[[#This Row],[Irms BuSync]]^2</f>
        <v>0.14436297425738157</v>
      </c>
      <c r="AN202"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202" s="345">
        <f>(Table16[[#This Row],[Deadtime Loss BuSync]]+Table16[[#This Row],[RDS(on) Loss BuSync]]*(1+RdsonBotTc*Ta-RdsonBotTc*25))/(1-Table16[[#This Row],[RDS(on) Loss BuSync]]*RdsonBotTc*ThetaJA_Q2)</f>
        <v>0.39810561918339327</v>
      </c>
      <c r="AP202" s="345">
        <f>CHOOSE(Table16[[#This Row],[Mode Digit]],0,SQRT((Fsw*(Table16[[#This Row],[t1_Ph_II]]+0))*((Table16[[#This Row],[I_0]]*Table16[[#This Row],[I_1]]+((Table16[[#This Row],[I_0]]-Table16[[#This Row],[I_1]])^2)/3))),SQRT((Fsw*(Table16[[#This Row],[t2_Ph_I]]+0))*((Table16[[#This Row],[I_1]]*Table16[[#This Row],[I_2]]+((Table16[[#This Row],[I_1]]-Table16[[#This Row],[I_2]])^2)/3))))</f>
        <v>0</v>
      </c>
      <c r="AQ202" s="345">
        <f>Rdson4*Table16[[#This Row],[Irms BoCtlr]]^2</f>
        <v>0</v>
      </c>
      <c r="AR202" s="345">
        <f>CHOOSE(Table16[[#This Row],[Mode Digit]], 0, (Vout*Table16[[#This Row],[Iin]]/2)*(Fsw)*(Tr_boost+Tf_boost), (Vout*Iout/2)*(Fsw/1)*(Tr_boost+Tf_boost))</f>
        <v>0</v>
      </c>
      <c r="AS202" s="253">
        <f>IF(Table16[[#This Row],[Vin]]&gt;Vout, 0, IF(Table16[[#This Row],[Iin]]&gt;Table16[[#This Row],[Ripple Current pk-pk]]/2,0,ABS(Table16[[#This Row],[Iin]]-Table16[[#This Row],[Ripple Current pk-pk]]/2)*Vsd_Q4*Deadtime*Fsw))</f>
        <v>0</v>
      </c>
      <c r="AT202" s="345">
        <f>(Table16[[#This Row],[Dead Time Loss BoCtlr]]+Table16[[#This Row],[Transition Loss BoCtlr]]+Table16[[#This Row],[RDS(on) Loss BoCtlr]]*(1+RdsonTopTc*Ta-RdsonTopTc*25))/(1-Table16[[#This Row],[RDS(on) Loss BoCtlr]]*RdsonTopTc*ThetaJA_Q4)</f>
        <v>0</v>
      </c>
      <c r="AU202"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8.7355961473600399</v>
      </c>
      <c r="AV202" s="345">
        <f>Rdson3*Table16[[#This Row],[Irms BoSync]]^2</f>
        <v>0.26708724017420055</v>
      </c>
      <c r="AW202"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202" s="345">
        <f>(Table16[[#This Row],[Deadtime Loss BoSync]]+Table16[[#This Row],[RDS(on) Loss BoSync]]*(1+RdsonBotTc*Ta-RdsonBotTc*25))/(1-Table16[[#This Row],[RDS(on) Loss BoSync]]*RdsonBotTc*ThetaJA_Q3)</f>
        <v>0.28701858030201172</v>
      </c>
      <c r="AY202" s="345">
        <f>CHOOSE(Table16[[#This Row],[Mode Digit]], Rdson3*Table16[[#This Row],[Irms Lf]]^2, Rdson1*Table16[[#This Row],[Irms Lf]]^2, 0)</f>
        <v>0.26708724017420055</v>
      </c>
      <c r="AZ202" s="345">
        <f>CHOOSE(Table16[[#This Row],[Mode Digit]], 2*Deadtime*Fsw*IF(VfdSky_Q2&gt;0,VfdSky_Q2,0)*Table16[[#This Row],[Iout]], 2*Deadtime*Fsw*IF(VfdSky_Q3&gt;0,VfdSky_Q3,0)*Table16[[#This Row],[Iin]], 2*Deadtime*Fsw*IF(VfdSky_Q2&gt;0,VfdSky_Q2,0)*Table16[[#This Row],[Iout]]+2*Deadtime*Fsw*IF(VfdSky_Q3&gt;0,VfdSky_Q3,0)*Table16[[#This Row],[Iin]])</f>
        <v>0</v>
      </c>
      <c r="BA202" s="345">
        <f>CHOOSE(Table16[[#This Row],[Mode Digit]], IF(QrrSky_Q2&gt;0,QrrSky_Q2,Qrr_Q2)*Fsw*(Table16[[#This Row],[Vin]]-Table16[[#This Row],[Iout]]*Rdson1),0,  IF(QrrSky_Q2&gt;0,QrrSky_Q2,Qrr_Q2)*Fsw*(Table16[[#This Row],[Vin]]-Table16[[#This Row],[Iout]]*Rdson1)+IF(QrrSky_Q3&gt;0,QrrSky_Q3,Qrr_Q3)*Fsw*Vout)</f>
        <v>0.62545302000000003</v>
      </c>
      <c r="BB202" s="345">
        <f>CHOOSE(Table16[[#This Row],[Mode Digit]],0, IF(QrrSky_Q3&gt;0,QrrSky_Q3,Qrr_Q3)*Fsw*Vout,  IF(QrrSky_Q2&gt;0,QrrSky_Q2,Qrr_Q2)*Fsw*(Table16[[#This Row],[Vin]]-Table16[[#This Row],[Iout]]*Rdson1)+IF(QrrSky_Q3&gt;0,QrrSky_Q3,Qrr_Q3)*Fsw*Vout)</f>
        <v>0</v>
      </c>
      <c r="BC202" s="345">
        <f>CHOOSE(Table16[[#This Row],[Mode Digit]], Rs*Table16[[#This Row],[Irms BuSync]]^2, Rs*Table16[[#This Row],[Irms BoCtlr]]^2, Rs*(Table16[[#This Row],[Irms BuSync]]^2+Table16[[#This Row],[Irms BoCtlr]]^2))</f>
        <v>5.3620533295598863E-2</v>
      </c>
      <c r="BD202" s="345">
        <f t="shared" si="11"/>
        <v>0.64</v>
      </c>
      <c r="BE202" s="345">
        <f>IF(Vout&gt;8, Iq*Vout, Iq*Table16[[#This Row],[Vin]])</f>
        <v>4.8000000000000001E-2</v>
      </c>
      <c r="BF202" s="345">
        <f>CHOOSE(Table16[[#This Row],[Mode Digit]], (Qg_Q1+Qg_Q2)*Fsw, (Qg_Q3+Qg_Q4)*Fsw, (Qg_Q1+Qg_Q2+Qg_Q3+Qg_Q4)*Fsw)*IF(Vout&gt;8, Vout, Table16[[#This Row],[Vin]])</f>
        <v>0.85331200000000007</v>
      </c>
      <c r="BG202" s="345">
        <f t="shared" si="12"/>
        <v>0.50594479787234037</v>
      </c>
      <c r="BH202" s="345">
        <f>Table16[[#This Row],[IQ Loss]]+Table16[[#This Row],[Switching Current Loss]]</f>
        <v>0.90131200000000011</v>
      </c>
      <c r="BI202"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11.306860636721964</v>
      </c>
      <c r="BJ202" s="253">
        <f>Vout*Table16[[#This Row],[Iout]]</f>
        <v>128</v>
      </c>
      <c r="BK202" s="684">
        <f>Table16[[#This Row],[Pout]]/(Table16[[#This Row],[Pout]]+Table16[[#This Row],[Total Loss]])</f>
        <v>0.91883486150615734</v>
      </c>
      <c r="BL202"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78.498183767274583</v>
      </c>
      <c r="BM202" s="685">
        <f>IF(Table16[[#This Row],[Vin]]&gt;Vout, Table16[[#This Row],[Total Sync Bu MOSFET Loss]]*ThetaJA_Q2, ThetaJA_Q3*Table16[[#This Row],[Total Sync Bo MOSFET Loss]])</f>
        <v>25.876865246920563</v>
      </c>
      <c r="BN202" s="640"/>
      <c r="BO202" s="292">
        <f>Table16[[#This Row],[EFF, h]]*100</f>
        <v>91.883486150615738</v>
      </c>
      <c r="BP202" s="345">
        <f>Table16[[#This Row],[Total Inductor Loss]]</f>
        <v>7.131160362658874</v>
      </c>
      <c r="BQ202" s="345">
        <f>Table16[[#This Row],[Total Control Bu MOSFET Loss]]+Table16[[#This Row],[Total Sync Bu MOSFET Loss]]+Table16[[#This Row],[Total Control Bo MOSFET Loss]]+Table16[[#This Row],[Total Sync Bo MOSFET Loss]]+Table16[[#This Row],[Reverse Recovery Loss MOSFET D BUCK]]+Table16[[#This Row],[Reverse Recovery Loss MOSFET D BOOST]]</f>
        <v>2.5182415851357831</v>
      </c>
      <c r="BR202" s="345">
        <f>Table16[[#This Row],[Total Control Bu MOSFET Loss]]+Table16[[#This Row],[Reverse Recovery Loss MOSFET D BUCK]]*0.66</f>
        <v>1.6204633588503783</v>
      </c>
      <c r="BS202" s="345">
        <f>Table16[[#This Row],[Total Sync Bu MOSFET Loss]]+Table16[[#This Row],[Reverse Recovery Loss MOSFET D BUCK]]*0.33</f>
        <v>0.60450511578339328</v>
      </c>
      <c r="BT202" s="345">
        <f xml:space="preserve"> Table16[[#This Row],[Total Control Bo MOSFET Loss]]+Table16[[#This Row],[Reverse Recovery Loss MOSFET D BOOST]]*0.66</f>
        <v>0</v>
      </c>
      <c r="BU202" s="345">
        <f xml:space="preserve"> Table16[[#This Row],[Total Sync Bo MOSFET Loss]]+Table16[[#This Row],[Reverse Recovery Loss MOSFET D BOOST]]*0.33</f>
        <v>0.28701858030201172</v>
      </c>
      <c r="BV202" s="345">
        <f>Table16[[#This Row],[Isense Shunt Loss]]</f>
        <v>5.3620533295598863E-2</v>
      </c>
    </row>
    <row r="203" spans="7:74" x14ac:dyDescent="0.2">
      <c r="G203" s="253">
        <v>194</v>
      </c>
      <c r="H203" s="286">
        <f>VIN_min+(VIN_max-VIN_min)*(Table16[[#This Row],[Step]]/200)</f>
        <v>35.099999999999994</v>
      </c>
      <c r="I203" s="292" t="str">
        <f>IF(Mode = 2,IF(Table16[[#This Row],[Vin]]&gt;Vout, "BUCK","BOOST"),IF(Table16[[#This Row],[Vin]]&gt;VIN_BB_to_buck, "BUCK", IF(Table16[[#This Row],[Vin]]&lt;=VIN_boost_to_BB,"BOOST","BUCK-BST")))</f>
        <v>BUCK</v>
      </c>
      <c r="J203" s="253">
        <f>IF(Table16[[#This Row],[Mode]]="BOOST",2, IF(Table16[[#This Row],[Mode]]="BUCK", 1,3))</f>
        <v>1</v>
      </c>
      <c r="K203" s="253">
        <f t="shared" si="10"/>
        <v>8</v>
      </c>
      <c r="L203" s="292">
        <f>Vout*Table16[[#This Row],[Iout]]/(Table16[[#This Row],[Vin]]*Efficiency)</f>
        <v>3.8386564702354184</v>
      </c>
      <c r="M203" s="682">
        <f>MIN(1/Fsw,CHOOSE(Table16[[#This Row],[Mode Digit]],(Vout+(Rdson2+Rs+Rdcr)*Table16[[#This Row],[Iout]])/(Table16[[#This Row],[Vin]]+(Rs+Rdson2-Rdson1)*Table16[[#This Row],[Iout]])/Fsw,(Vout+(Rdson3+Rdcr)*Table16[[#This Row],[Iin]]-Table16[[#This Row],[Vin]])/(Vout+(Rdson3-Rdson4-Rs)*Table16[[#This Row],[Iin]])/Fsw,t1_Ph_II))</f>
        <v>1.1495684767255896E-6</v>
      </c>
      <c r="N203" s="518">
        <f>CHOOSE(Table16[[#This Row],[Mode Digit]],1/Fsw-Table16[[#This Row],[t1_Ph_II]],1/Fsw-Table16[[#This Row],[t1_Ph_II]],(Vout/Fsw-Table16[[#This Row],[Vin]]*t1_Ph_II)/(Table16[[#This Row],[Vin]]+Vout))</f>
        <v>1.3629943373447623E-6</v>
      </c>
      <c r="O203" s="518">
        <f>1/Fsw-(Table16[[#This Row],[t1_Ph_II]]+Table16[[#This Row],[t2_Ph_I]])</f>
        <v>0</v>
      </c>
      <c r="P203"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1.9009005818170133</v>
      </c>
      <c r="Q203" s="292">
        <f>CHOOSE(Table16[[#This Row],[Mode Digit]],Table16[[#This Row],[I_0]]+1/Lf*(Table16[[#This Row],[Vin]]-Vout)*Table16[[#This Row],[t1_Ph_II]],Table16[[#This Row],[I_0]]+1/Lf*Table16[[#This Row],[Vin]]*Table16[[#This Row],[t1_Ph_II]],Table16[[#This Row],[I_0]]+(Table16[[#This Row],[Vin]]-Vout)/L*Table16[[#This Row],[t1_Ph_II]])</f>
        <v>14.099099418182988</v>
      </c>
      <c r="R203" s="292">
        <f>CHOOSE(Table16[[#This Row],[Mode Digit]],0,0,Table16[[#This Row],[I_1]]+Table16[[#This Row],[Vin]]/L*Table16[[#This Row],[t2_Ph_I]])</f>
        <v>0</v>
      </c>
      <c r="S203" s="292">
        <f>Fsw*(Table16[[#This Row],[I_0]]*Table16[[#This Row],[t1_Ph_II]]+Table16[[#This Row],[I_1]]*Table16[[#This Row],[t2_Ph_I]]+Table16[[#This Row],[I_2]]*Table16[[#This Row],[t3_Ph_III]])</f>
        <v>8.5180788058463861</v>
      </c>
      <c r="T203" s="345">
        <f>MIN(1,CHOOSE(Table16[[#This Row],[Mode Digit]],(Vout+(Rdson2+Rs+Rdcr)*Table16[[#This Row],[Iout]])/(Table16[[#This Row],[Vin]]+(Rs+Rdson2-Rdson1)*Table16[[#This Row],[Iout]]),1,Fsw*Table16[[#This Row],[t2_Ph_I]]+Table16[[#This Row],[t1_Ph_II]]))</f>
        <v>0.45752825373678463</v>
      </c>
      <c r="U203" s="345">
        <f>MIN(1,CHOOSE(Table16[[#This Row],[Mode Digit]],0,(Vout+(Rdson3+Rdcr)*Table16[[#This Row],[Iin]]-Table16[[#This Row],[Vin]])/(Vout+(Rdson3-Rdson4-Rs)*Table16[[#This Row],[Iin]]),Fsw*Table16[[#This Row],[t1_Ph_II]]+Table16[[#This Row],[t3_Ph_III]]))</f>
        <v>0</v>
      </c>
      <c r="V203" s="292">
        <f>MAX(Table16[[#This Row],[I_0]:[I_2]])-MIN(Table16[[#This Row],[I_0]:[I_1]])</f>
        <v>12.198198836365975</v>
      </c>
      <c r="W203"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8.7406905469548981</v>
      </c>
      <c r="X203" s="345">
        <f>(Table16[[#This Row],[Irms Lf]]^2*Rdcr*(1+Ltc*Ta-Ltc*25))/(1-Table16[[#This Row],[Irms Lf]]^2*Rdcr*Ltc*ThetaCa)</f>
        <v>0.24935592999503547</v>
      </c>
      <c r="Y203" s="345">
        <f>ABS(7.759*10^-3*Fsw^0.9458*(0.00787*Table16[[#This Row],[Ripple Current pk-pk]])^2.304)</f>
        <v>6.9394692660722592</v>
      </c>
      <c r="Z203" s="345">
        <f>Table16[[#This Row],[DCR    Loss]]+Table16[[#This Row],[Core Loss]]</f>
        <v>7.1888251960672944</v>
      </c>
      <c r="AA203" s="292">
        <f>IF(Table16[[#This Row],[Vin]]&gt;Vout, Table16[[#This Row],[Ripple Current pk-pk]]/SQRT(12), SQRT(Table16[[#This Row],[Duty Cycle BOOST Leg]]/(1-Table16[[#This Row],[Duty Cycle BOOST Leg]]))*SQRT(Table16[[#This Row],[Iout]]^2+(Table16[[#This Row],[Ripple Current pk-pk]]^2)/12))</f>
        <v>3.5213166909022382</v>
      </c>
      <c r="AB203" s="345">
        <f>RCoutEsr*Table16[[#This Row],[Irms Cout]]^2</f>
        <v>2.479934247525338E-2</v>
      </c>
      <c r="AC203" s="345">
        <f>Table16[[#This Row],[Cout ESR Loss]]</f>
        <v>2.479934247525338E-2</v>
      </c>
      <c r="AD203" s="345">
        <f>IF(Table16[[#This Row],[Vin]]&gt;Vout, SQRT(Table16[[#This Row],[Duty Cycle BUCK Leg]]*(1-Table16[[#This Row],[Duty Cycle BUCK Leg]]))*SQRT(Table16[[#This Row],[Iout]]^2+(Table16[[#This Row],[Ripple Current pk-pk]]^2)/12), Table16[[#This Row],[Ripple Current pk-pk]]/SQRT(12))</f>
        <v>4.3545498413984189</v>
      </c>
      <c r="AE203" s="345">
        <f>RCinEsr*Table16[[#This Row],[Irms Cin]]^2</f>
        <v>3.7924208642445993E-2</v>
      </c>
      <c r="AF203" s="683">
        <f>Table16[[#This Row],[Cin ESR Loss]]</f>
        <v>3.7924208642445993E-2</v>
      </c>
      <c r="AG203"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5.9122760564283361</v>
      </c>
      <c r="AH203" s="345">
        <f>Rdson1*Table16[[#This Row],[Irms BuCtrl]]^2</f>
        <v>0.12234252858595529</v>
      </c>
      <c r="AI203" s="345">
        <f>CHOOSE(Table16[[#This Row],[Mode Digit]], (Table16[[#This Row],[Vin]]*Table16[[#This Row],[Iout]]/2)*(Fsw)*(Tr_buck+Tf_buck), 0, (Table16[[#This Row],[Vin]]*Table16[[#This Row],[Avg IL]]/2)*(Fsw/1)*(Tr_buck+Tf_buck))</f>
        <v>1.0508965828568397</v>
      </c>
      <c r="AJ203" s="253">
        <f>IF(Table16[[#This Row],[Vin]]&gt;Vout, IF(Table16[[#This Row],[Iout]]&gt;Table16[[#This Row],[Ripple Current pk-pk]]/2,0,ABS(Table16[[#This Row],[Iout]]-Table16[[#This Row],[Ripple Current pk-pk]]/2)*Vsd_Q1*Deadtime*Fsw),0)</f>
        <v>0</v>
      </c>
      <c r="AK203" s="345">
        <f>(Table16[[#This Row],[Dead Time Loss BuCtrl]]+Table16[[#This Row],[Transition Loss BuCtrl]]+Table16[[#This Row],[RDS(on) Loss BuCtrl]]*(1+RdsonTopTc*Ta-RdsonTopTc*25))/(1-Table16[[#This Row],[RDS(on) Loss BuCtrl]]*RdsonTopTc*ThetaJA_Q1)</f>
        <v>1.211784845178735</v>
      </c>
      <c r="AL203" s="345">
        <f>CHOOSE(Table16[[#This Row],[Mode Digit]],SQRT((Fsw*(Table16[[#This Row],[t2_Ph_I]]+0))*((Table16[[#This Row],[I_0]]*Table16[[#This Row],[I_1]]+((Table16[[#This Row],[I_0]]-Table16[[#This Row],[I_1]])^2)/3))),0,SQRT((Fsw*(Table16[[#This Row],[t3_Ph_III]]+0))*((Table16[[#This Row],[I_0]]*Table16[[#This Row],[I_2]]+((Table16[[#This Row],[I_0]]-Table16[[#This Row],[I_2]])^2)/3))))</f>
        <v>6.4377529519399008</v>
      </c>
      <c r="AM203" s="345">
        <f>Rdson2*Table16[[#This Row],[Irms BuSync]]^2</f>
        <v>0.14505632074573818</v>
      </c>
      <c r="AN203"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203" s="345">
        <f>(Table16[[#This Row],[Deadtime Loss BuSync]]+Table16[[#This Row],[RDS(on) Loss BuSync]]*(1+RdsonBotTc*Ta-RdsonBotTc*25))/(1-Table16[[#This Row],[RDS(on) Loss BuSync]]*RdsonBotTc*ThetaJA_Q2)</f>
        <v>0.39890071911679514</v>
      </c>
      <c r="AP203" s="345">
        <f>CHOOSE(Table16[[#This Row],[Mode Digit]],0,SQRT((Fsw*(Table16[[#This Row],[t1_Ph_II]]+0))*((Table16[[#This Row],[I_0]]*Table16[[#This Row],[I_1]]+((Table16[[#This Row],[I_0]]-Table16[[#This Row],[I_1]])^2)/3))),SQRT((Fsw*(Table16[[#This Row],[t2_Ph_I]]+0))*((Table16[[#This Row],[I_1]]*Table16[[#This Row],[I_2]]+((Table16[[#This Row],[I_1]]-Table16[[#This Row],[I_2]])^2)/3))))</f>
        <v>0</v>
      </c>
      <c r="AQ203" s="345">
        <f>Rdson4*Table16[[#This Row],[Irms BoCtlr]]^2</f>
        <v>0</v>
      </c>
      <c r="AR203" s="345">
        <f>CHOOSE(Table16[[#This Row],[Mode Digit]], 0, (Vout*Table16[[#This Row],[Iin]]/2)*(Fsw)*(Tr_boost+Tf_boost), (Vout*Iout/2)*(Fsw/1)*(Tr_boost+Tf_boost))</f>
        <v>0</v>
      </c>
      <c r="AS203" s="253">
        <f>IF(Table16[[#This Row],[Vin]]&gt;Vout, 0, IF(Table16[[#This Row],[Iin]]&gt;Table16[[#This Row],[Ripple Current pk-pk]]/2,0,ABS(Table16[[#This Row],[Iin]]-Table16[[#This Row],[Ripple Current pk-pk]]/2)*Vsd_Q4*Deadtime*Fsw))</f>
        <v>0</v>
      </c>
      <c r="AT203" s="345">
        <f>(Table16[[#This Row],[Dead Time Loss BoCtlr]]+Table16[[#This Row],[Transition Loss BoCtlr]]+Table16[[#This Row],[RDS(on) Loss BoCtlr]]*(1+RdsonTopTc*Ta-RdsonTopTc*25))/(1-Table16[[#This Row],[RDS(on) Loss BoCtlr]]*RdsonTopTc*ThetaJA_Q4)</f>
        <v>0</v>
      </c>
      <c r="AU203"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8.7406905469548981</v>
      </c>
      <c r="AV203" s="345">
        <f>Rdson3*Table16[[#This Row],[Irms BoSync]]^2</f>
        <v>0.2673988493316935</v>
      </c>
      <c r="AW203"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203" s="345">
        <f>(Table16[[#This Row],[Deadtime Loss BoSync]]+Table16[[#This Row],[RDS(on) Loss BoSync]]*(1+RdsonBotTc*Ta-RdsonBotTc*25))/(1-Table16[[#This Row],[RDS(on) Loss BoSync]]*RdsonBotTc*ThetaJA_Q3)</f>
        <v>0.2873784636633272</v>
      </c>
      <c r="AY203" s="345">
        <f>CHOOSE(Table16[[#This Row],[Mode Digit]], Rdson3*Table16[[#This Row],[Irms Lf]]^2, Rdson1*Table16[[#This Row],[Irms Lf]]^2, 0)</f>
        <v>0.2673988493316935</v>
      </c>
      <c r="AZ203" s="345">
        <f>CHOOSE(Table16[[#This Row],[Mode Digit]], 2*Deadtime*Fsw*IF(VfdSky_Q2&gt;0,VfdSky_Q2,0)*Table16[[#This Row],[Iout]], 2*Deadtime*Fsw*IF(VfdSky_Q3&gt;0,VfdSky_Q3,0)*Table16[[#This Row],[Iin]], 2*Deadtime*Fsw*IF(VfdSky_Q2&gt;0,VfdSky_Q2,0)*Table16[[#This Row],[Iout]]+2*Deadtime*Fsw*IF(VfdSky_Q3&gt;0,VfdSky_Q3,0)*Table16[[#This Row],[Iin]])</f>
        <v>0</v>
      </c>
      <c r="BA203" s="345">
        <f>CHOOSE(Table16[[#This Row],[Mode Digit]], IF(QrrSky_Q2&gt;0,QrrSky_Q2,Qrr_Q2)*Fsw*(Table16[[#This Row],[Vin]]-Table16[[#This Row],[Iout]]*Rdson1),0,  IF(QrrSky_Q2&gt;0,QrrSky_Q2,Qrr_Q2)*Fsw*(Table16[[#This Row],[Vin]]-Table16[[#This Row],[Iout]]*Rdson1)+IF(QrrSky_Q3&gt;0,QrrSky_Q3,Qrr_Q3)*Fsw*Vout)</f>
        <v>0.62813951999999984</v>
      </c>
      <c r="BB203" s="345">
        <f>CHOOSE(Table16[[#This Row],[Mode Digit]],0, IF(QrrSky_Q3&gt;0,QrrSky_Q3,Qrr_Q3)*Fsw*Vout,  IF(QrrSky_Q2&gt;0,QrrSky_Q2,Qrr_Q2)*Fsw*(Table16[[#This Row],[Vin]]-Table16[[#This Row],[Iout]]*Rdson1)+IF(QrrSky_Q3&gt;0,QrrSky_Q3,Qrr_Q3)*Fsw*Vout)</f>
        <v>0</v>
      </c>
      <c r="BC203" s="345">
        <f>CHOOSE(Table16[[#This Row],[Mode Digit]], Rs*Table16[[#This Row],[Irms BuSync]]^2, Rs*Table16[[#This Row],[Irms BoCtlr]]^2, Rs*(Table16[[#This Row],[Irms BuSync]]^2+Table16[[#This Row],[Irms BoCtlr]]^2))</f>
        <v>5.3878061991274179E-2</v>
      </c>
      <c r="BD203" s="345">
        <f t="shared" si="11"/>
        <v>0.64</v>
      </c>
      <c r="BE203" s="345">
        <f>IF(Vout&gt;8, Iq*Vout, Iq*Table16[[#This Row],[Vin]])</f>
        <v>4.8000000000000001E-2</v>
      </c>
      <c r="BF203" s="345">
        <f>CHOOSE(Table16[[#This Row],[Mode Digit]], (Qg_Q1+Qg_Q2)*Fsw, (Qg_Q3+Qg_Q4)*Fsw, (Qg_Q1+Qg_Q2+Qg_Q3+Qg_Q4)*Fsw)*IF(Vout&gt;8, Vout, Table16[[#This Row],[Vin]])</f>
        <v>0.85331200000000007</v>
      </c>
      <c r="BG203" s="345">
        <f t="shared" si="12"/>
        <v>0.50594479787234037</v>
      </c>
      <c r="BH203" s="345">
        <f>Table16[[#This Row],[IQ Loss]]+Table16[[#This Row],[Switching Current Loss]]</f>
        <v>0.90131200000000011</v>
      </c>
      <c r="BI203"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11.372942357135125</v>
      </c>
      <c r="BJ203" s="253">
        <f>Vout*Table16[[#This Row],[Iout]]</f>
        <v>128</v>
      </c>
      <c r="BK203" s="684">
        <f>Table16[[#This Row],[Pout]]/(Table16[[#This Row],[Pout]]+Table16[[#This Row],[Total Loss]])</f>
        <v>0.91839920887949245</v>
      </c>
      <c r="BL203"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78.766014936617779</v>
      </c>
      <c r="BM203" s="685">
        <f>IF(Table16[[#This Row],[Vin]]&gt;Vout, Table16[[#This Row],[Total Sync Bu MOSFET Loss]]*ThetaJA_Q2, ThetaJA_Q3*Table16[[#This Row],[Total Sync Bo MOSFET Loss]])</f>
        <v>25.928546742591685</v>
      </c>
      <c r="BN203" s="640"/>
      <c r="BO203" s="292">
        <f>Table16[[#This Row],[EFF, h]]*100</f>
        <v>91.839920887949248</v>
      </c>
      <c r="BP203" s="345">
        <f>Table16[[#This Row],[Total Inductor Loss]]</f>
        <v>7.1888251960672944</v>
      </c>
      <c r="BQ203" s="345">
        <f>Table16[[#This Row],[Total Control Bu MOSFET Loss]]+Table16[[#This Row],[Total Sync Bu MOSFET Loss]]+Table16[[#This Row],[Total Control Bo MOSFET Loss]]+Table16[[#This Row],[Total Sync Bo MOSFET Loss]]+Table16[[#This Row],[Reverse Recovery Loss MOSFET D BUCK]]+Table16[[#This Row],[Reverse Recovery Loss MOSFET D BOOST]]</f>
        <v>2.5262035479588572</v>
      </c>
      <c r="BR203" s="345">
        <f>Table16[[#This Row],[Total Control Bu MOSFET Loss]]+Table16[[#This Row],[Reverse Recovery Loss MOSFET D BUCK]]*0.66</f>
        <v>1.6263569283787349</v>
      </c>
      <c r="BS203" s="345">
        <f>Table16[[#This Row],[Total Sync Bu MOSFET Loss]]+Table16[[#This Row],[Reverse Recovery Loss MOSFET D BUCK]]*0.33</f>
        <v>0.60618676071679511</v>
      </c>
      <c r="BT203" s="345">
        <f xml:space="preserve"> Table16[[#This Row],[Total Control Bo MOSFET Loss]]+Table16[[#This Row],[Reverse Recovery Loss MOSFET D BOOST]]*0.66</f>
        <v>0</v>
      </c>
      <c r="BU203" s="345">
        <f xml:space="preserve"> Table16[[#This Row],[Total Sync Bo MOSFET Loss]]+Table16[[#This Row],[Reverse Recovery Loss MOSFET D BOOST]]*0.33</f>
        <v>0.2873784636633272</v>
      </c>
      <c r="BV203" s="345">
        <f>Table16[[#This Row],[Isense Shunt Loss]]</f>
        <v>5.3878061991274179E-2</v>
      </c>
    </row>
    <row r="204" spans="7:74" x14ac:dyDescent="0.2">
      <c r="G204" s="253">
        <v>195</v>
      </c>
      <c r="H204" s="286">
        <f>VIN_min+(VIN_max-VIN_min)*(Table16[[#This Row],[Step]]/200)</f>
        <v>35.25</v>
      </c>
      <c r="I204" s="292" t="str">
        <f>IF(Mode = 2,IF(Table16[[#This Row],[Vin]]&gt;Vout, "BUCK","BOOST"),IF(Table16[[#This Row],[Vin]]&gt;VIN_BB_to_buck, "BUCK", IF(Table16[[#This Row],[Vin]]&lt;=VIN_boost_to_BB,"BOOST","BUCK-BST")))</f>
        <v>BUCK</v>
      </c>
      <c r="J204" s="253">
        <f>IF(Table16[[#This Row],[Mode]]="BOOST",2, IF(Table16[[#This Row],[Mode]]="BUCK", 1,3))</f>
        <v>1</v>
      </c>
      <c r="K204" s="253">
        <f t="shared" si="10"/>
        <v>8</v>
      </c>
      <c r="L204" s="292">
        <f>Vout*Table16[[#This Row],[Iout]]/(Table16[[#This Row],[Vin]]*Efficiency)</f>
        <v>3.8223217618514376</v>
      </c>
      <c r="M204" s="682">
        <f>MIN(1/Fsw,CHOOSE(Table16[[#This Row],[Mode Digit]],(Vout+(Rdson2+Rs+Rdcr)*Table16[[#This Row],[Iout]])/(Table16[[#This Row],[Vin]]+(Rs+Rdson2-Rdson1)*Table16[[#This Row],[Iout]])/Fsw,(Vout+(Rdson3+Rdcr)*Table16[[#This Row],[Iin]]-Table16[[#This Row],[Vin]])/(Vout+(Rdson3-Rdson4-Rs)*Table16[[#This Row],[Iin]])/Fsw,t1_Ph_II))</f>
        <v>1.1446781387966708E-6</v>
      </c>
      <c r="N204" s="518">
        <f>CHOOSE(Table16[[#This Row],[Mode Digit]],1/Fsw-Table16[[#This Row],[t1_Ph_II]],1/Fsw-Table16[[#This Row],[t1_Ph_II]],(Vout/Fsw-Table16[[#This Row],[Vin]]*t1_Ph_II)/(Table16[[#This Row],[Vin]]+Vout))</f>
        <v>1.3678846752736811E-6</v>
      </c>
      <c r="O204" s="518">
        <f>1/Fsw-(Table16[[#This Row],[t1_Ph_II]]+Table16[[#This Row],[t2_Ph_I]])</f>
        <v>0</v>
      </c>
      <c r="P204"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1.8791516189344684</v>
      </c>
      <c r="Q204" s="292">
        <f>CHOOSE(Table16[[#This Row],[Mode Digit]],Table16[[#This Row],[I_0]]+1/Lf*(Table16[[#This Row],[Vin]]-Vout)*Table16[[#This Row],[t1_Ph_II]],Table16[[#This Row],[I_0]]+1/Lf*Table16[[#This Row],[Vin]]*Table16[[#This Row],[t1_Ph_II]],Table16[[#This Row],[I_0]]+(Table16[[#This Row],[Vin]]-Vout)/L*Table16[[#This Row],[t1_Ph_II]])</f>
        <v>14.120848381065532</v>
      </c>
      <c r="R204" s="292">
        <f>CHOOSE(Table16[[#This Row],[Mode Digit]],0,0,Table16[[#This Row],[I_1]]+Table16[[#This Row],[Vin]]/L*Table16[[#This Row],[t2_Ph_I]])</f>
        <v>0</v>
      </c>
      <c r="S204" s="292">
        <f>Fsw*(Table16[[#This Row],[I_0]]*Table16[[#This Row],[t1_Ph_II]]+Table16[[#This Row],[I_1]]*Table16[[#This Row],[t2_Ph_I]]+Table16[[#This Row],[I_2]]*Table16[[#This Row],[t3_Ph_III]])</f>
        <v>8.5437529202405447</v>
      </c>
      <c r="T204" s="345">
        <f>MIN(1,CHOOSE(Table16[[#This Row],[Mode Digit]],(Vout+(Rdson2+Rs+Rdcr)*Table16[[#This Row],[Iout]])/(Table16[[#This Row],[Vin]]+(Rs+Rdson2-Rdson1)*Table16[[#This Row],[Iout]]),1,Fsw*Table16[[#This Row],[t2_Ph_I]]+Table16[[#This Row],[t1_Ph_II]]))</f>
        <v>0.45558189924107501</v>
      </c>
      <c r="U204" s="345">
        <f>MIN(1,CHOOSE(Table16[[#This Row],[Mode Digit]],0,(Vout+(Rdson3+Rdcr)*Table16[[#This Row],[Iin]]-Table16[[#This Row],[Vin]])/(Vout+(Rdson3-Rdson4-Rs)*Table16[[#This Row],[Iin]]),Fsw*Table16[[#This Row],[t1_Ph_II]]+Table16[[#This Row],[t3_Ph_III]]))</f>
        <v>0</v>
      </c>
      <c r="V204" s="292">
        <f>MAX(Table16[[#This Row],[I_0]:[I_2]])-MIN(Table16[[#This Row],[I_0]:[I_1]])</f>
        <v>12.241696762131063</v>
      </c>
      <c r="W204"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8.7457567788421926</v>
      </c>
      <c r="X204" s="345">
        <f>(Table16[[#This Row],[Irms Lf]]^2*Rdcr*(1+Ltc*Ta-Ltc*25))/(1-Table16[[#This Row],[Irms Lf]]^2*Rdcr*Ltc*ThetaCa)</f>
        <v>0.24965084925659042</v>
      </c>
      <c r="Y204" s="345">
        <f>ABS(7.759*10^-3*Fsw^0.9458*(0.00787*Table16[[#This Row],[Ripple Current pk-pk]])^2.304)</f>
        <v>6.996615878551367</v>
      </c>
      <c r="Z204" s="345">
        <f>Table16[[#This Row],[DCR    Loss]]+Table16[[#This Row],[Core Loss]]</f>
        <v>7.2462667278079573</v>
      </c>
      <c r="AA204" s="292">
        <f>IF(Table16[[#This Row],[Vin]]&gt;Vout, Table16[[#This Row],[Ripple Current pk-pk]]/SQRT(12), SQRT(Table16[[#This Row],[Duty Cycle BOOST Leg]]/(1-Table16[[#This Row],[Duty Cycle BOOST Leg]]))*SQRT(Table16[[#This Row],[Iout]]^2+(Table16[[#This Row],[Ripple Current pk-pk]]^2)/12))</f>
        <v>3.5338734604770701</v>
      </c>
      <c r="AB204" s="345">
        <f>RCoutEsr*Table16[[#This Row],[Irms Cout]]^2</f>
        <v>2.4976523269328366E-2</v>
      </c>
      <c r="AC204" s="345">
        <f>Table16[[#This Row],[Cout ESR Loss]]</f>
        <v>2.4976523269328366E-2</v>
      </c>
      <c r="AD204" s="345">
        <f>IF(Table16[[#This Row],[Vin]]&gt;Vout, SQRT(Table16[[#This Row],[Duty Cycle BUCK Leg]]*(1-Table16[[#This Row],[Duty Cycle BUCK Leg]]))*SQRT(Table16[[#This Row],[Iout]]^2+(Table16[[#This Row],[Ripple Current pk-pk]]^2)/12), Table16[[#This Row],[Ripple Current pk-pk]]/SQRT(12))</f>
        <v>4.3555891152565822</v>
      </c>
      <c r="AE204" s="345">
        <f>RCinEsr*Table16[[#This Row],[Irms Cin]]^2</f>
        <v>3.7942313081883235E-2</v>
      </c>
      <c r="AF204" s="683">
        <f>Table16[[#This Row],[Cin ESR Loss]]</f>
        <v>3.7942313081883235E-2</v>
      </c>
      <c r="AG204"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5.9031065978151327</v>
      </c>
      <c r="AH204" s="345">
        <f>Rdson1*Table16[[#This Row],[Irms BuCtrl]]^2</f>
        <v>0.12196333626808994</v>
      </c>
      <c r="AI204" s="345">
        <f>CHOOSE(Table16[[#This Row],[Mode Digit]], (Table16[[#This Row],[Vin]]*Table16[[#This Row],[Iout]]/2)*(Fsw)*(Tr_buck+Tf_buck), 0, (Table16[[#This Row],[Vin]]*Table16[[#This Row],[Avg IL]]/2)*(Fsw/1)*(Tr_buck+Tf_buck))</f>
        <v>1.0553875938946897</v>
      </c>
      <c r="AJ204" s="253">
        <f>IF(Table16[[#This Row],[Vin]]&gt;Vout, IF(Table16[[#This Row],[Iout]]&gt;Table16[[#This Row],[Ripple Current pk-pk]]/2,0,ABS(Table16[[#This Row],[Iout]]-Table16[[#This Row],[Ripple Current pk-pk]]/2)*Vsd_Q1*Deadtime*Fsw),0)</f>
        <v>0</v>
      </c>
      <c r="AK204" s="345">
        <f>(Table16[[#This Row],[Dead Time Loss BuCtrl]]+Table16[[#This Row],[Transition Loss BuCtrl]]+Table16[[#This Row],[RDS(on) Loss BuCtrl]]*(1+RdsonTopTc*Ta-RdsonTopTc*25))/(1-Table16[[#This Row],[RDS(on) Loss BuCtrl]]*RdsonTopTc*ThetaJA_Q1)</f>
        <v>1.2159079392684702</v>
      </c>
      <c r="AL204" s="345">
        <f>CHOOSE(Table16[[#This Row],[Mode Digit]],SQRT((Fsw*(Table16[[#This Row],[t2_Ph_I]]+0))*((Table16[[#This Row],[I_0]]*Table16[[#This Row],[I_1]]+((Table16[[#This Row],[I_0]]-Table16[[#This Row],[I_1]])^2)/3))),0,SQRT((Fsw*(Table16[[#This Row],[t3_Ph_III]]+0))*((Table16[[#This Row],[I_0]]*Table16[[#This Row],[I_2]]+((Table16[[#This Row],[I_0]]-Table16[[#This Row],[I_2]])^2)/3))))</f>
        <v>6.4530298410510722</v>
      </c>
      <c r="AM204" s="345">
        <f>Rdson2*Table16[[#This Row],[Irms BuSync]]^2</f>
        <v>0.14574557945323471</v>
      </c>
      <c r="AN204"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204" s="345">
        <f>(Table16[[#This Row],[Deadtime Loss BuSync]]+Table16[[#This Row],[RDS(on) Loss BuSync]]*(1+RdsonBotTc*Ta-RdsonBotTc*25))/(1-Table16[[#This Row],[RDS(on) Loss BuSync]]*RdsonBotTc*ThetaJA_Q2)</f>
        <v>0.39969142668526553</v>
      </c>
      <c r="AP204" s="345">
        <f>CHOOSE(Table16[[#This Row],[Mode Digit]],0,SQRT((Fsw*(Table16[[#This Row],[t1_Ph_II]]+0))*((Table16[[#This Row],[I_0]]*Table16[[#This Row],[I_1]]+((Table16[[#This Row],[I_0]]-Table16[[#This Row],[I_1]])^2)/3))),SQRT((Fsw*(Table16[[#This Row],[t2_Ph_I]]+0))*((Table16[[#This Row],[I_1]]*Table16[[#This Row],[I_2]]+((Table16[[#This Row],[I_1]]-Table16[[#This Row],[I_2]])^2)/3))))</f>
        <v>0</v>
      </c>
      <c r="AQ204" s="345">
        <f>Rdson4*Table16[[#This Row],[Irms BoCtlr]]^2</f>
        <v>0</v>
      </c>
      <c r="AR204" s="345">
        <f>CHOOSE(Table16[[#This Row],[Mode Digit]], 0, (Vout*Table16[[#This Row],[Iin]]/2)*(Fsw)*(Tr_boost+Tf_boost), (Vout*Iout/2)*(Fsw/1)*(Tr_boost+Tf_boost))</f>
        <v>0</v>
      </c>
      <c r="AS204" s="253">
        <f>IF(Table16[[#This Row],[Vin]]&gt;Vout, 0, IF(Table16[[#This Row],[Iin]]&gt;Table16[[#This Row],[Ripple Current pk-pk]]/2,0,ABS(Table16[[#This Row],[Iin]]-Table16[[#This Row],[Ripple Current pk-pk]]/2)*Vsd_Q4*Deadtime*Fsw))</f>
        <v>0</v>
      </c>
      <c r="AT204" s="345">
        <f>(Table16[[#This Row],[Dead Time Loss BoCtlr]]+Table16[[#This Row],[Transition Loss BoCtlr]]+Table16[[#This Row],[RDS(on) Loss BoCtlr]]*(1+RdsonTopTc*Ta-RdsonTopTc*25))/(1-Table16[[#This Row],[RDS(on) Loss BoCtlr]]*RdsonTopTc*ThetaJA_Q4)</f>
        <v>0</v>
      </c>
      <c r="AU204"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8.7457567788421926</v>
      </c>
      <c r="AV204" s="345">
        <f>Rdson3*Table16[[#This Row],[Irms BoSync]]^2</f>
        <v>0.2677089157213246</v>
      </c>
      <c r="AW204"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204" s="345">
        <f>(Table16[[#This Row],[Deadtime Loss BoSync]]+Table16[[#This Row],[RDS(on) Loss BoSync]]*(1+RdsonBotTc*Ta-RdsonBotTc*25))/(1-Table16[[#This Row],[RDS(on) Loss BoSync]]*RdsonBotTc*ThetaJA_Q3)</f>
        <v>0.28773662746482342</v>
      </c>
      <c r="AY204" s="345">
        <f>CHOOSE(Table16[[#This Row],[Mode Digit]], Rdson3*Table16[[#This Row],[Irms Lf]]^2, Rdson1*Table16[[#This Row],[Irms Lf]]^2, 0)</f>
        <v>0.2677089157213246</v>
      </c>
      <c r="AZ204" s="345">
        <f>CHOOSE(Table16[[#This Row],[Mode Digit]], 2*Deadtime*Fsw*IF(VfdSky_Q2&gt;0,VfdSky_Q2,0)*Table16[[#This Row],[Iout]], 2*Deadtime*Fsw*IF(VfdSky_Q3&gt;0,VfdSky_Q3,0)*Table16[[#This Row],[Iin]], 2*Deadtime*Fsw*IF(VfdSky_Q2&gt;0,VfdSky_Q2,0)*Table16[[#This Row],[Iout]]+2*Deadtime*Fsw*IF(VfdSky_Q3&gt;0,VfdSky_Q3,0)*Table16[[#This Row],[Iin]])</f>
        <v>0</v>
      </c>
      <c r="BA204" s="345">
        <f>CHOOSE(Table16[[#This Row],[Mode Digit]], IF(QrrSky_Q2&gt;0,QrrSky_Q2,Qrr_Q2)*Fsw*(Table16[[#This Row],[Vin]]-Table16[[#This Row],[Iout]]*Rdson1),0,  IF(QrrSky_Q2&gt;0,QrrSky_Q2,Qrr_Q2)*Fsw*(Table16[[#This Row],[Vin]]-Table16[[#This Row],[Iout]]*Rdson1)+IF(QrrSky_Q3&gt;0,QrrSky_Q3,Qrr_Q3)*Fsw*Vout)</f>
        <v>0.63082601999999999</v>
      </c>
      <c r="BB204" s="345">
        <f>CHOOSE(Table16[[#This Row],[Mode Digit]],0, IF(QrrSky_Q3&gt;0,QrrSky_Q3,Qrr_Q3)*Fsw*Vout,  IF(QrrSky_Q2&gt;0,QrrSky_Q2,Qrr_Q2)*Fsw*(Table16[[#This Row],[Vin]]-Table16[[#This Row],[Iout]]*Rdson1)+IF(QrrSky_Q3&gt;0,QrrSky_Q3,Qrr_Q3)*Fsw*Vout)</f>
        <v>0</v>
      </c>
      <c r="BC204" s="345">
        <f>CHOOSE(Table16[[#This Row],[Mode Digit]], Rs*Table16[[#This Row],[Irms BuSync]]^2, Rs*Table16[[#This Row],[Irms BoCtlr]]^2, Rs*(Table16[[#This Row],[Irms BuSync]]^2+Table16[[#This Row],[Irms BoCtlr]]^2))</f>
        <v>5.4134072368344319E-2</v>
      </c>
      <c r="BD204" s="345">
        <f t="shared" si="11"/>
        <v>0.64</v>
      </c>
      <c r="BE204" s="345">
        <f>IF(Vout&gt;8, Iq*Vout, Iq*Table16[[#This Row],[Vin]])</f>
        <v>4.8000000000000001E-2</v>
      </c>
      <c r="BF204" s="345">
        <f>CHOOSE(Table16[[#This Row],[Mode Digit]], (Qg_Q1+Qg_Q2)*Fsw, (Qg_Q3+Qg_Q4)*Fsw, (Qg_Q1+Qg_Q2+Qg_Q3+Qg_Q4)*Fsw)*IF(Vout&gt;8, Vout, Table16[[#This Row],[Vin]])</f>
        <v>0.85331200000000007</v>
      </c>
      <c r="BG204" s="345">
        <f t="shared" si="12"/>
        <v>0.50594479787234037</v>
      </c>
      <c r="BH204" s="345">
        <f>Table16[[#This Row],[IQ Loss]]+Table16[[#This Row],[Switching Current Loss]]</f>
        <v>0.90131200000000011</v>
      </c>
      <c r="BI204"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11.438793649946074</v>
      </c>
      <c r="BJ204" s="253">
        <f>Vout*Table16[[#This Row],[Iout]]</f>
        <v>128</v>
      </c>
      <c r="BK204" s="684">
        <f>Table16[[#This Row],[Pout]]/(Table16[[#This Row],[Pout]]+Table16[[#This Row],[Total Loss]])</f>
        <v>0.91796548614252527</v>
      </c>
      <c r="BL204"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79.034016052450568</v>
      </c>
      <c r="BM204" s="685">
        <f>IF(Table16[[#This Row],[Vin]]&gt;Vout, Table16[[#This Row],[Total Sync Bu MOSFET Loss]]*ThetaJA_Q2, ThetaJA_Q3*Table16[[#This Row],[Total Sync Bo MOSFET Loss]])</f>
        <v>25.979942734542259</v>
      </c>
      <c r="BN204" s="640"/>
      <c r="BO204" s="292">
        <f>Table16[[#This Row],[EFF, h]]*100</f>
        <v>91.796548614252529</v>
      </c>
      <c r="BP204" s="345">
        <f>Table16[[#This Row],[Total Inductor Loss]]</f>
        <v>7.2462667278079573</v>
      </c>
      <c r="BQ204" s="345">
        <f>Table16[[#This Row],[Total Control Bu MOSFET Loss]]+Table16[[#This Row],[Total Sync Bu MOSFET Loss]]+Table16[[#This Row],[Total Control Bo MOSFET Loss]]+Table16[[#This Row],[Total Sync Bo MOSFET Loss]]+Table16[[#This Row],[Reverse Recovery Loss MOSFET D BUCK]]+Table16[[#This Row],[Reverse Recovery Loss MOSFET D BOOST]]</f>
        <v>2.534162013418559</v>
      </c>
      <c r="BR204" s="345">
        <f>Table16[[#This Row],[Total Control Bu MOSFET Loss]]+Table16[[#This Row],[Reverse Recovery Loss MOSFET D BUCK]]*0.66</f>
        <v>1.6322531124684703</v>
      </c>
      <c r="BS204" s="345">
        <f>Table16[[#This Row],[Total Sync Bu MOSFET Loss]]+Table16[[#This Row],[Reverse Recovery Loss MOSFET D BUCK]]*0.33</f>
        <v>0.60786401328526551</v>
      </c>
      <c r="BT204" s="345">
        <f xml:space="preserve"> Table16[[#This Row],[Total Control Bo MOSFET Loss]]+Table16[[#This Row],[Reverse Recovery Loss MOSFET D BOOST]]*0.66</f>
        <v>0</v>
      </c>
      <c r="BU204" s="345">
        <f xml:space="preserve"> Table16[[#This Row],[Total Sync Bo MOSFET Loss]]+Table16[[#This Row],[Reverse Recovery Loss MOSFET D BOOST]]*0.33</f>
        <v>0.28773662746482342</v>
      </c>
      <c r="BV204" s="345">
        <f>Table16[[#This Row],[Isense Shunt Loss]]</f>
        <v>5.4134072368344319E-2</v>
      </c>
    </row>
    <row r="205" spans="7:74" x14ac:dyDescent="0.2">
      <c r="G205" s="253">
        <v>196</v>
      </c>
      <c r="H205" s="286">
        <f>VIN_min+(VIN_max-VIN_min)*(Table16[[#This Row],[Step]]/200)</f>
        <v>35.4</v>
      </c>
      <c r="I205" s="292" t="str">
        <f>IF(Mode = 2,IF(Table16[[#This Row],[Vin]]&gt;Vout, "BUCK","BOOST"),IF(Table16[[#This Row],[Vin]]&gt;VIN_BB_to_buck, "BUCK", IF(Table16[[#This Row],[Vin]]&lt;=VIN_boost_to_BB,"BOOST","BUCK-BST")))</f>
        <v>BUCK</v>
      </c>
      <c r="J205" s="253">
        <f>IF(Table16[[#This Row],[Mode]]="BOOST",2, IF(Table16[[#This Row],[Mode]]="BUCK", 1,3))</f>
        <v>1</v>
      </c>
      <c r="K205" s="253">
        <f t="shared" si="10"/>
        <v>8</v>
      </c>
      <c r="L205" s="292">
        <f>Vout*Table16[[#This Row],[Iout]]/(Table16[[#This Row],[Vin]]*Efficiency)</f>
        <v>3.8061254831995246</v>
      </c>
      <c r="M205" s="682">
        <f>MIN(1/Fsw,CHOOSE(Table16[[#This Row],[Mode Digit]],(Vout+(Rdson2+Rs+Rdcr)*Table16[[#This Row],[Iout]])/(Table16[[#This Row],[Vin]]+(Rs+Rdson2-Rdson1)*Table16[[#This Row],[Iout]])/Fsw,(Vout+(Rdson3+Rdcr)*Table16[[#This Row],[Iin]]-Table16[[#This Row],[Vin]])/(Vout+(Rdson3-Rdson4-Rs)*Table16[[#This Row],[Iin]])/Fsw,t1_Ph_II))</f>
        <v>1.1398292322375951E-6</v>
      </c>
      <c r="N205" s="518">
        <f>CHOOSE(Table16[[#This Row],[Mode Digit]],1/Fsw-Table16[[#This Row],[t1_Ph_II]],1/Fsw-Table16[[#This Row],[t1_Ph_II]],(Vout/Fsw-Table16[[#This Row],[Vin]]*t1_Ph_II)/(Table16[[#This Row],[Vin]]+Vout))</f>
        <v>1.3727335818327568E-6</v>
      </c>
      <c r="O205" s="518">
        <f>1/Fsw-(Table16[[#This Row],[t1_Ph_II]]+Table16[[#This Row],[t2_Ph_I]])</f>
        <v>0</v>
      </c>
      <c r="P205"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1.857586915164072</v>
      </c>
      <c r="Q205" s="292">
        <f>CHOOSE(Table16[[#This Row],[Mode Digit]],Table16[[#This Row],[I_0]]+1/Lf*(Table16[[#This Row],[Vin]]-Vout)*Table16[[#This Row],[t1_Ph_II]],Table16[[#This Row],[I_0]]+1/Lf*Table16[[#This Row],[Vin]]*Table16[[#This Row],[t1_Ph_II]],Table16[[#This Row],[I_0]]+(Table16[[#This Row],[Vin]]-Vout)/L*Table16[[#This Row],[t1_Ph_II]])</f>
        <v>14.142413084835928</v>
      </c>
      <c r="R205" s="292">
        <f>CHOOSE(Table16[[#This Row],[Mode Digit]],0,0,Table16[[#This Row],[I_1]]+Table16[[#This Row],[Vin]]/L*Table16[[#This Row],[t2_Ph_I]])</f>
        <v>0</v>
      </c>
      <c r="S205" s="292">
        <f>Fsw*(Table16[[#This Row],[I_0]]*Table16[[#This Row],[t1_Ph_II]]+Table16[[#This Row],[I_1]]*Table16[[#This Row],[t2_Ph_I]]+Table16[[#This Row],[I_2]]*Table16[[#This Row],[t3_Ph_III]])</f>
        <v>8.5693767003384718</v>
      </c>
      <c r="T205" s="345">
        <f>MIN(1,CHOOSE(Table16[[#This Row],[Mode Digit]],(Vout+(Rdson2+Rs+Rdcr)*Table16[[#This Row],[Iout]])/(Table16[[#This Row],[Vin]]+(Rs+Rdson2-Rdson1)*Table16[[#This Row],[Iout]]),1,Fsw*Table16[[#This Row],[t2_Ph_I]]+Table16[[#This Row],[t1_Ph_II]]))</f>
        <v>0.45365203443056284</v>
      </c>
      <c r="U205" s="345">
        <f>MIN(1,CHOOSE(Table16[[#This Row],[Mode Digit]],0,(Vout+(Rdson3+Rdcr)*Table16[[#This Row],[Iin]]-Table16[[#This Row],[Vin]])/(Vout+(Rdson3-Rdson4-Rs)*Table16[[#This Row],[Iin]]),Fsw*Table16[[#This Row],[t1_Ph_II]]+Table16[[#This Row],[t3_Ph_III]]))</f>
        <v>0</v>
      </c>
      <c r="V205" s="292">
        <f>MAX(Table16[[#This Row],[I_0]:[I_2]])-MIN(Table16[[#This Row],[I_0]:[I_1]])</f>
        <v>12.284826169671856</v>
      </c>
      <c r="W205"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8.750794983024182</v>
      </c>
      <c r="X205" s="345">
        <f>(Table16[[#This Row],[Irms Lf]]^2*Rdcr*(1+Ltc*Ta-Ltc*25))/(1-Table16[[#This Row],[Irms Lf]]^2*Rdcr*Ltc*ThetaCa)</f>
        <v>0.24994431996620564</v>
      </c>
      <c r="Y205" s="345">
        <f>ABS(7.759*10^-3*Fsw^0.9458*(0.00787*Table16[[#This Row],[Ripple Current pk-pk]])^2.304)</f>
        <v>7.0535403764976987</v>
      </c>
      <c r="Z205" s="345">
        <f>Table16[[#This Row],[DCR    Loss]]+Table16[[#This Row],[Core Loss]]</f>
        <v>7.3034846964639044</v>
      </c>
      <c r="AA205" s="292">
        <f>IF(Table16[[#This Row],[Vin]]&gt;Vout, Table16[[#This Row],[Ripple Current pk-pk]]/SQRT(12), SQRT(Table16[[#This Row],[Duty Cycle BOOST Leg]]/(1-Table16[[#This Row],[Duty Cycle BOOST Leg]]))*SQRT(Table16[[#This Row],[Iout]]^2+(Table16[[#This Row],[Ripple Current pk-pk]]^2)/12))</f>
        <v>3.5463238480039028</v>
      </c>
      <c r="AB205" s="345">
        <f>RCoutEsr*Table16[[#This Row],[Irms Cout]]^2</f>
        <v>2.5152825669842414E-2</v>
      </c>
      <c r="AC205" s="345">
        <f>Table16[[#This Row],[Cout ESR Loss]]</f>
        <v>2.5152825669842414E-2</v>
      </c>
      <c r="AD205" s="345">
        <f>IF(Table16[[#This Row],[Vin]]&gt;Vout, SQRT(Table16[[#This Row],[Duty Cycle BUCK Leg]]*(1-Table16[[#This Row],[Duty Cycle BUCK Leg]]))*SQRT(Table16[[#This Row],[Iout]]^2+(Table16[[#This Row],[Ripple Current pk-pk]]^2)/12), Table16[[#This Row],[Ripple Current pk-pk]]/SQRT(12))</f>
        <v>4.3565590572638513</v>
      </c>
      <c r="AE205" s="345">
        <f>RCinEsr*Table16[[#This Row],[Irms Cin]]^2</f>
        <v>3.7959213638855398E-2</v>
      </c>
      <c r="AF205" s="683">
        <f>Table16[[#This Row],[Cin ESR Loss]]</f>
        <v>3.7959213638855398E-2</v>
      </c>
      <c r="AG205"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5.89398383709666</v>
      </c>
      <c r="AH205" s="345">
        <f>Rdson1*Table16[[#This Row],[Irms BuCtrl]]^2</f>
        <v>0.12158665915184833</v>
      </c>
      <c r="AI205" s="345">
        <f>CHOOSE(Table16[[#This Row],[Mode Digit]], (Table16[[#This Row],[Vin]]*Table16[[#This Row],[Iout]]/2)*(Fsw)*(Tr_buck+Tf_buck), 0, (Table16[[#This Row],[Vin]]*Table16[[#This Row],[Avg IL]]/2)*(Fsw/1)*(Tr_buck+Tf_buck))</f>
        <v>1.0598786049325395</v>
      </c>
      <c r="AJ205" s="253">
        <f>IF(Table16[[#This Row],[Vin]]&gt;Vout, IF(Table16[[#This Row],[Iout]]&gt;Table16[[#This Row],[Ripple Current pk-pk]]/2,0,ABS(Table16[[#This Row],[Iout]]-Table16[[#This Row],[Ripple Current pk-pk]]/2)*Vsd_Q1*Deadtime*Fsw),0)</f>
        <v>0</v>
      </c>
      <c r="AK205" s="345">
        <f>(Table16[[#This Row],[Dead Time Loss BuCtrl]]+Table16[[#This Row],[Transition Loss BuCtrl]]+Table16[[#This Row],[RDS(on) Loss BuCtrl]]*(1+RdsonTopTc*Ta-RdsonTopTc*25))/(1-Table16[[#This Row],[RDS(on) Loss BuCtrl]]*RdsonTopTc*ThetaJA_Q1)</f>
        <v>1.2200336150233342</v>
      </c>
      <c r="AL205" s="345">
        <f>CHOOSE(Table16[[#This Row],[Mode Digit]],SQRT((Fsw*(Table16[[#This Row],[t2_Ph_I]]+0))*((Table16[[#This Row],[I_0]]*Table16[[#This Row],[I_1]]+((Table16[[#This Row],[I_0]]-Table16[[#This Row],[I_1]])^2)/3))),0,SQRT((Fsw*(Table16[[#This Row],[t3_Ph_III]]+0))*((Table16[[#This Row],[I_0]]*Table16[[#This Row],[I_2]]+((Table16[[#This Row],[I_0]]-Table16[[#This Row],[I_2]])^2)/3))))</f>
        <v>6.4681811479707756</v>
      </c>
      <c r="AM205" s="345">
        <f>Rdson2*Table16[[#This Row],[Irms BuSync]]^2</f>
        <v>0.14643078577037591</v>
      </c>
      <c r="AN205"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205" s="345">
        <f>(Table16[[#This Row],[Deadtime Loss BuSync]]+Table16[[#This Row],[RDS(on) Loss BuSync]]*(1+RdsonBotTc*Ta-RdsonBotTc*25))/(1-Table16[[#This Row],[RDS(on) Loss BuSync]]*RdsonBotTc*ThetaJA_Q2)</f>
        <v>0.40047777743505703</v>
      </c>
      <c r="AP205" s="345">
        <f>CHOOSE(Table16[[#This Row],[Mode Digit]],0,SQRT((Fsw*(Table16[[#This Row],[t1_Ph_II]]+0))*((Table16[[#This Row],[I_0]]*Table16[[#This Row],[I_1]]+((Table16[[#This Row],[I_0]]-Table16[[#This Row],[I_1]])^2)/3))),SQRT((Fsw*(Table16[[#This Row],[t2_Ph_I]]+0))*((Table16[[#This Row],[I_1]]*Table16[[#This Row],[I_2]]+((Table16[[#This Row],[I_1]]-Table16[[#This Row],[I_2]])^2)/3))))</f>
        <v>0</v>
      </c>
      <c r="AQ205" s="345">
        <f>Rdson4*Table16[[#This Row],[Irms BoCtlr]]^2</f>
        <v>0</v>
      </c>
      <c r="AR205" s="345">
        <f>CHOOSE(Table16[[#This Row],[Mode Digit]], 0, (Vout*Table16[[#This Row],[Iin]]/2)*(Fsw)*(Tr_boost+Tf_boost), (Vout*Iout/2)*(Fsw/1)*(Tr_boost+Tf_boost))</f>
        <v>0</v>
      </c>
      <c r="AS205" s="253">
        <f>IF(Table16[[#This Row],[Vin]]&gt;Vout, 0, IF(Table16[[#This Row],[Iin]]&gt;Table16[[#This Row],[Ripple Current pk-pk]]/2,0,ABS(Table16[[#This Row],[Iin]]-Table16[[#This Row],[Ripple Current pk-pk]]/2)*Vsd_Q4*Deadtime*Fsw))</f>
        <v>0</v>
      </c>
      <c r="AT205" s="345">
        <f>(Table16[[#This Row],[Dead Time Loss BoCtlr]]+Table16[[#This Row],[Transition Loss BoCtlr]]+Table16[[#This Row],[RDS(on) Loss BoCtlr]]*(1+RdsonTopTc*Ta-RdsonTopTc*25))/(1-Table16[[#This Row],[RDS(on) Loss BoCtlr]]*RdsonTopTc*ThetaJA_Q4)</f>
        <v>0</v>
      </c>
      <c r="AU205"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8.750794983024182</v>
      </c>
      <c r="AV205" s="345">
        <f>Rdson3*Table16[[#This Row],[Irms BoSync]]^2</f>
        <v>0.26801744492222418</v>
      </c>
      <c r="AW205"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205" s="345">
        <f>(Table16[[#This Row],[Deadtime Loss BoSync]]+Table16[[#This Row],[RDS(on) Loss BoSync]]*(1+RdsonBotTc*Ta-RdsonBotTc*25))/(1-Table16[[#This Row],[RDS(on) Loss BoSync]]*RdsonBotTc*ThetaJA_Q3)</f>
        <v>0.28809307724242078</v>
      </c>
      <c r="AY205" s="345">
        <f>CHOOSE(Table16[[#This Row],[Mode Digit]], Rdson3*Table16[[#This Row],[Irms Lf]]^2, Rdson1*Table16[[#This Row],[Irms Lf]]^2, 0)</f>
        <v>0.26801744492222418</v>
      </c>
      <c r="AZ205" s="345">
        <f>CHOOSE(Table16[[#This Row],[Mode Digit]], 2*Deadtime*Fsw*IF(VfdSky_Q2&gt;0,VfdSky_Q2,0)*Table16[[#This Row],[Iout]], 2*Deadtime*Fsw*IF(VfdSky_Q3&gt;0,VfdSky_Q3,0)*Table16[[#This Row],[Iin]], 2*Deadtime*Fsw*IF(VfdSky_Q2&gt;0,VfdSky_Q2,0)*Table16[[#This Row],[Iout]]+2*Deadtime*Fsw*IF(VfdSky_Q3&gt;0,VfdSky_Q3,0)*Table16[[#This Row],[Iin]])</f>
        <v>0</v>
      </c>
      <c r="BA205" s="345">
        <f>CHOOSE(Table16[[#This Row],[Mode Digit]], IF(QrrSky_Q2&gt;0,QrrSky_Q2,Qrr_Q2)*Fsw*(Table16[[#This Row],[Vin]]-Table16[[#This Row],[Iout]]*Rdson1),0,  IF(QrrSky_Q2&gt;0,QrrSky_Q2,Qrr_Q2)*Fsw*(Table16[[#This Row],[Vin]]-Table16[[#This Row],[Iout]]*Rdson1)+IF(QrrSky_Q3&gt;0,QrrSky_Q3,Qrr_Q3)*Fsw*Vout)</f>
        <v>0.63351251999999991</v>
      </c>
      <c r="BB205" s="345">
        <f>CHOOSE(Table16[[#This Row],[Mode Digit]],0, IF(QrrSky_Q3&gt;0,QrrSky_Q3,Qrr_Q3)*Fsw*Vout,  IF(QrrSky_Q2&gt;0,QrrSky_Q2,Qrr_Q2)*Fsw*(Table16[[#This Row],[Vin]]-Table16[[#This Row],[Iout]]*Rdson1)+IF(QrrSky_Q3&gt;0,QrrSky_Q3,Qrr_Q3)*Fsw*Vout)</f>
        <v>0</v>
      </c>
      <c r="BC205" s="345">
        <f>CHOOSE(Table16[[#This Row],[Mode Digit]], Rs*Table16[[#This Row],[Irms BuSync]]^2, Rs*Table16[[#This Row],[Irms BoCtlr]]^2, Rs*(Table16[[#This Row],[Irms BuSync]]^2+Table16[[#This Row],[Irms BoCtlr]]^2))</f>
        <v>5.4388577571853905E-2</v>
      </c>
      <c r="BD205" s="345">
        <f t="shared" si="11"/>
        <v>0.64</v>
      </c>
      <c r="BE205" s="345">
        <f>IF(Vout&gt;8, Iq*Vout, Iq*Table16[[#This Row],[Vin]])</f>
        <v>4.8000000000000001E-2</v>
      </c>
      <c r="BF205" s="345">
        <f>CHOOSE(Table16[[#This Row],[Mode Digit]], (Qg_Q1+Qg_Q2)*Fsw, (Qg_Q3+Qg_Q4)*Fsw, (Qg_Q1+Qg_Q2+Qg_Q3+Qg_Q4)*Fsw)*IF(Vout&gt;8, Vout, Table16[[#This Row],[Vin]])</f>
        <v>0.85331200000000007</v>
      </c>
      <c r="BG205" s="345">
        <f t="shared" si="12"/>
        <v>0.50594479787234037</v>
      </c>
      <c r="BH205" s="345">
        <f>Table16[[#This Row],[IQ Loss]]+Table16[[#This Row],[Switching Current Loss]]</f>
        <v>0.90131200000000011</v>
      </c>
      <c r="BI205"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11.504414303045269</v>
      </c>
      <c r="BJ205" s="253">
        <f>Vout*Table16[[#This Row],[Iout]]</f>
        <v>128</v>
      </c>
      <c r="BK205" s="684">
        <f>Table16[[#This Row],[Pout]]/(Table16[[#This Row],[Pout]]+Table16[[#This Row],[Total Loss]])</f>
        <v>0.91753368980816441</v>
      </c>
      <c r="BL205"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79.302184976516727</v>
      </c>
      <c r="BM205" s="685">
        <f>IF(Table16[[#This Row],[Vin]]&gt;Vout, Table16[[#This Row],[Total Sync Bu MOSFET Loss]]*ThetaJA_Q2, ThetaJA_Q3*Table16[[#This Row],[Total Sync Bo MOSFET Loss]])</f>
        <v>26.031055533278707</v>
      </c>
      <c r="BN205" s="640"/>
      <c r="BO205" s="292">
        <f>Table16[[#This Row],[EFF, h]]*100</f>
        <v>91.753368980816447</v>
      </c>
      <c r="BP205" s="345">
        <f>Table16[[#This Row],[Total Inductor Loss]]</f>
        <v>7.3034846964639044</v>
      </c>
      <c r="BQ205" s="345">
        <f>Table16[[#This Row],[Total Control Bu MOSFET Loss]]+Table16[[#This Row],[Total Sync Bu MOSFET Loss]]+Table16[[#This Row],[Total Control Bo MOSFET Loss]]+Table16[[#This Row],[Total Sync Bo MOSFET Loss]]+Table16[[#This Row],[Reverse Recovery Loss MOSFET D BUCK]]+Table16[[#This Row],[Reverse Recovery Loss MOSFET D BOOST]]</f>
        <v>2.542116989700812</v>
      </c>
      <c r="BR205" s="345">
        <f>Table16[[#This Row],[Total Control Bu MOSFET Loss]]+Table16[[#This Row],[Reverse Recovery Loss MOSFET D BUCK]]*0.66</f>
        <v>1.6381518782233342</v>
      </c>
      <c r="BS205" s="345">
        <f>Table16[[#This Row],[Total Sync Bu MOSFET Loss]]+Table16[[#This Row],[Reverse Recovery Loss MOSFET D BUCK]]*0.33</f>
        <v>0.60953690903505697</v>
      </c>
      <c r="BT205" s="345">
        <f xml:space="preserve"> Table16[[#This Row],[Total Control Bo MOSFET Loss]]+Table16[[#This Row],[Reverse Recovery Loss MOSFET D BOOST]]*0.66</f>
        <v>0</v>
      </c>
      <c r="BU205" s="345">
        <f xml:space="preserve"> Table16[[#This Row],[Total Sync Bo MOSFET Loss]]+Table16[[#This Row],[Reverse Recovery Loss MOSFET D BOOST]]*0.33</f>
        <v>0.28809307724242078</v>
      </c>
      <c r="BV205" s="345">
        <f>Table16[[#This Row],[Isense Shunt Loss]]</f>
        <v>5.4388577571853905E-2</v>
      </c>
    </row>
    <row r="206" spans="7:74" x14ac:dyDescent="0.2">
      <c r="G206" s="253">
        <v>197</v>
      </c>
      <c r="H206" s="286">
        <f>VIN_min+(VIN_max-VIN_min)*(Table16[[#This Row],[Step]]/200)</f>
        <v>35.549999999999997</v>
      </c>
      <c r="I206" s="292" t="str">
        <f>IF(Mode = 2,IF(Table16[[#This Row],[Vin]]&gt;Vout, "BUCK","BOOST"),IF(Table16[[#This Row],[Vin]]&gt;VIN_BB_to_buck, "BUCK", IF(Table16[[#This Row],[Vin]]&lt;=VIN_boost_to_BB,"BOOST","BUCK-BST")))</f>
        <v>BUCK</v>
      </c>
      <c r="J206" s="253">
        <f>IF(Table16[[#This Row],[Mode]]="BOOST",2, IF(Table16[[#This Row],[Mode]]="BUCK", 1,3))</f>
        <v>1</v>
      </c>
      <c r="K206" s="253">
        <f t="shared" si="10"/>
        <v>8</v>
      </c>
      <c r="L206" s="292">
        <f>Vout*Table16[[#This Row],[Iout]]/(Table16[[#This Row],[Vin]]*Efficiency)</f>
        <v>3.79006588200459</v>
      </c>
      <c r="M206" s="682">
        <f>MIN(1/Fsw,CHOOSE(Table16[[#This Row],[Mode Digit]],(Vout+(Rdson2+Rs+Rdcr)*Table16[[#This Row],[Iout]])/(Table16[[#This Row],[Vin]]+(Rs+Rdson2-Rdson1)*Table16[[#This Row],[Iout]])/Fsw,(Vout+(Rdson3+Rdcr)*Table16[[#This Row],[Iin]]-Table16[[#This Row],[Vin]])/(Vout+(Rdson3-Rdson4-Rs)*Table16[[#This Row],[Iin]])/Fsw,t1_Ph_II))</f>
        <v>1.1350212327540225E-6</v>
      </c>
      <c r="N206" s="518">
        <f>CHOOSE(Table16[[#This Row],[Mode Digit]],1/Fsw-Table16[[#This Row],[t1_Ph_II]],1/Fsw-Table16[[#This Row],[t1_Ph_II]],(Vout/Fsw-Table16[[#This Row],[Vin]]*t1_Ph_II)/(Table16[[#This Row],[Vin]]+Vout))</f>
        <v>1.3775415813163294E-6</v>
      </c>
      <c r="O206" s="518">
        <f>1/Fsw-(Table16[[#This Row],[t1_Ph_II]]+Table16[[#This Row],[t2_Ph_I]])</f>
        <v>0</v>
      </c>
      <c r="P206"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1.8362041387941295</v>
      </c>
      <c r="Q206" s="292">
        <f>CHOOSE(Table16[[#This Row],[Mode Digit]],Table16[[#This Row],[I_0]]+1/Lf*(Table16[[#This Row],[Vin]]-Vout)*Table16[[#This Row],[t1_Ph_II]],Table16[[#This Row],[I_0]]+1/Lf*Table16[[#This Row],[Vin]]*Table16[[#This Row],[t1_Ph_II]],Table16[[#This Row],[I_0]]+(Table16[[#This Row],[Vin]]-Vout)/L*Table16[[#This Row],[t1_Ph_II]])</f>
        <v>14.16379586120587</v>
      </c>
      <c r="R206" s="292">
        <f>CHOOSE(Table16[[#This Row],[Mode Digit]],0,0,Table16[[#This Row],[I_1]]+Table16[[#This Row],[Vin]]/L*Table16[[#This Row],[t2_Ph_I]])</f>
        <v>0</v>
      </c>
      <c r="S206" s="292">
        <f>Fsw*(Table16[[#This Row],[I_0]]*Table16[[#This Row],[t1_Ph_II]]+Table16[[#This Row],[I_1]]*Table16[[#This Row],[t2_Ph_I]]+Table16[[#This Row],[I_2]]*Table16[[#This Row],[t3_Ph_III]])</f>
        <v>8.5949486764491692</v>
      </c>
      <c r="T206" s="345">
        <f>MIN(1,CHOOSE(Table16[[#This Row],[Mode Digit]],(Vout+(Rdson2+Rs+Rdcr)*Table16[[#This Row],[Iout]])/(Table16[[#This Row],[Vin]]+(Rs+Rdson2-Rdson1)*Table16[[#This Row],[Iout]]),1,Fsw*Table16[[#This Row],[t2_Ph_I]]+Table16[[#This Row],[t1_Ph_II]]))</f>
        <v>0.45173845063610091</v>
      </c>
      <c r="U206" s="345">
        <f>MIN(1,CHOOSE(Table16[[#This Row],[Mode Digit]],0,(Vout+(Rdson3+Rdcr)*Table16[[#This Row],[Iin]]-Table16[[#This Row],[Vin]])/(Vout+(Rdson3-Rdson4-Rs)*Table16[[#This Row],[Iin]]),Fsw*Table16[[#This Row],[t1_Ph_II]]+Table16[[#This Row],[t3_Ph_III]]))</f>
        <v>0</v>
      </c>
      <c r="V206" s="292">
        <f>MAX(Table16[[#This Row],[I_0]:[I_2]])-MIN(Table16[[#This Row],[I_0]:[I_1]])</f>
        <v>12.327591722411739</v>
      </c>
      <c r="W206"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8.7558053012200343</v>
      </c>
      <c r="X206" s="345">
        <f>(Table16[[#This Row],[Irms Lf]]^2*Rdcr*(1+Ltc*Ta-Ltc*25))/(1-Table16[[#This Row],[Irms Lf]]^2*Rdcr*Ltc*ThetaCa)</f>
        <v>0.2502363473647074</v>
      </c>
      <c r="Y206" s="345">
        <f>ABS(7.759*10^-3*Fsw^0.9458*(0.00787*Table16[[#This Row],[Ripple Current pk-pk]])^2.304)</f>
        <v>7.110242544311725</v>
      </c>
      <c r="Z206" s="345">
        <f>Table16[[#This Row],[DCR    Loss]]+Table16[[#This Row],[Core Loss]]</f>
        <v>7.3604788916764328</v>
      </c>
      <c r="AA206" s="292">
        <f>IF(Table16[[#This Row],[Vin]]&gt;Vout, Table16[[#This Row],[Ripple Current pk-pk]]/SQRT(12), SQRT(Table16[[#This Row],[Duty Cycle BOOST Leg]]/(1-Table16[[#This Row],[Duty Cycle BOOST Leg]]))*SQRT(Table16[[#This Row],[Iout]]^2+(Table16[[#This Row],[Ripple Current pk-pk]]^2)/12))</f>
        <v>3.55866919969711</v>
      </c>
      <c r="AB206" s="345">
        <f>RCoutEsr*Table16[[#This Row],[Irms Cout]]^2</f>
        <v>2.5328252945745738E-2</v>
      </c>
      <c r="AC206" s="345">
        <f>Table16[[#This Row],[Cout ESR Loss]]</f>
        <v>2.5328252945745738E-2</v>
      </c>
      <c r="AD206" s="345">
        <f>IF(Table16[[#This Row],[Vin]]&gt;Vout, SQRT(Table16[[#This Row],[Duty Cycle BUCK Leg]]*(1-Table16[[#This Row],[Duty Cycle BUCK Leg]]))*SQRT(Table16[[#This Row],[Iout]]^2+(Table16[[#This Row],[Ripple Current pk-pk]]^2)/12), Table16[[#This Row],[Ripple Current pk-pk]]/SQRT(12))</f>
        <v>4.35746110560296</v>
      </c>
      <c r="AE206" s="345">
        <f>RCinEsr*Table16[[#This Row],[Irms Cin]]^2</f>
        <v>3.7974934573685143E-2</v>
      </c>
      <c r="AF206" s="683">
        <f>Table16[[#This Row],[Cin ESR Loss]]</f>
        <v>3.7974934573685143E-2</v>
      </c>
      <c r="AG206"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5.8849072815317731</v>
      </c>
      <c r="AH206" s="345">
        <f>Rdson1*Table16[[#This Row],[Irms BuCtrl]]^2</f>
        <v>0.12121246799278988</v>
      </c>
      <c r="AI206" s="345">
        <f>CHOOSE(Table16[[#This Row],[Mode Digit]], (Table16[[#This Row],[Vin]]*Table16[[#This Row],[Iout]]/2)*(Fsw)*(Tr_buck+Tf_buck), 0, (Table16[[#This Row],[Vin]]*Table16[[#This Row],[Avg IL]]/2)*(Fsw/1)*(Tr_buck+Tf_buck))</f>
        <v>1.064369615970389</v>
      </c>
      <c r="AJ206" s="253">
        <f>IF(Table16[[#This Row],[Vin]]&gt;Vout, IF(Table16[[#This Row],[Iout]]&gt;Table16[[#This Row],[Ripple Current pk-pk]]/2,0,ABS(Table16[[#This Row],[Iout]]-Table16[[#This Row],[Ripple Current pk-pk]]/2)*Vsd_Q1*Deadtime*Fsw),0)</f>
        <v>0</v>
      </c>
      <c r="AK206" s="345">
        <f>(Table16[[#This Row],[Dead Time Loss BuCtrl]]+Table16[[#This Row],[Transition Loss BuCtrl]]+Table16[[#This Row],[RDS(on) Loss BuCtrl]]*(1+RdsonTopTc*Ta-RdsonTopTc*25))/(1-Table16[[#This Row],[RDS(on) Loss BuCtrl]]*RdsonTopTc*ThetaJA_Q1)</f>
        <v>1.2241618402105532</v>
      </c>
      <c r="AL206" s="345">
        <f>CHOOSE(Table16[[#This Row],[Mode Digit]],SQRT((Fsw*(Table16[[#This Row],[t2_Ph_I]]+0))*((Table16[[#This Row],[I_0]]*Table16[[#This Row],[I_1]]+((Table16[[#This Row],[I_0]]-Table16[[#This Row],[I_1]])^2)/3))),0,SQRT((Fsw*(Table16[[#This Row],[t3_Ph_III]]+0))*((Table16[[#This Row],[I_0]]*Table16[[#This Row],[I_2]]+((Table16[[#This Row],[I_0]]-Table16[[#This Row],[I_2]])^2)/3))))</f>
        <v>6.4832085236129178</v>
      </c>
      <c r="AM206" s="345">
        <f>Rdson2*Table16[[#This Row],[Irms BuSync]]^2</f>
        <v>0.14711197466226517</v>
      </c>
      <c r="AN206"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206" s="345">
        <f>(Table16[[#This Row],[Deadtime Loss BuSync]]+Table16[[#This Row],[RDS(on) Loss BuSync]]*(1+RdsonBotTc*Ta-RdsonBotTc*25))/(1-Table16[[#This Row],[RDS(on) Loss BuSync]]*RdsonBotTc*ThetaJA_Q2)</f>
        <v>0.40125980650918808</v>
      </c>
      <c r="AP206" s="345">
        <f>CHOOSE(Table16[[#This Row],[Mode Digit]],0,SQRT((Fsw*(Table16[[#This Row],[t1_Ph_II]]+0))*((Table16[[#This Row],[I_0]]*Table16[[#This Row],[I_1]]+((Table16[[#This Row],[I_0]]-Table16[[#This Row],[I_1]])^2)/3))),SQRT((Fsw*(Table16[[#This Row],[t2_Ph_I]]+0))*((Table16[[#This Row],[I_1]]*Table16[[#This Row],[I_2]]+((Table16[[#This Row],[I_1]]-Table16[[#This Row],[I_2]])^2)/3))))</f>
        <v>0</v>
      </c>
      <c r="AQ206" s="345">
        <f>Rdson4*Table16[[#This Row],[Irms BoCtlr]]^2</f>
        <v>0</v>
      </c>
      <c r="AR206" s="345">
        <f>CHOOSE(Table16[[#This Row],[Mode Digit]], 0, (Vout*Table16[[#This Row],[Iin]]/2)*(Fsw)*(Tr_boost+Tf_boost), (Vout*Iout/2)*(Fsw/1)*(Tr_boost+Tf_boost))</f>
        <v>0</v>
      </c>
      <c r="AS206" s="253">
        <f>IF(Table16[[#This Row],[Vin]]&gt;Vout, 0, IF(Table16[[#This Row],[Iin]]&gt;Table16[[#This Row],[Ripple Current pk-pk]]/2,0,ABS(Table16[[#This Row],[Iin]]-Table16[[#This Row],[Ripple Current pk-pk]]/2)*Vsd_Q4*Deadtime*Fsw))</f>
        <v>0</v>
      </c>
      <c r="AT206" s="345">
        <f>(Table16[[#This Row],[Dead Time Loss BoCtlr]]+Table16[[#This Row],[Transition Loss BoCtlr]]+Table16[[#This Row],[RDS(on) Loss BoCtlr]]*(1+RdsonTopTc*Ta-RdsonTopTc*25))/(1-Table16[[#This Row],[RDS(on) Loss BoCtlr]]*RdsonTopTc*ThetaJA_Q4)</f>
        <v>0</v>
      </c>
      <c r="AU206"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8.7558053012200343</v>
      </c>
      <c r="AV206" s="345">
        <f>Rdson3*Table16[[#This Row],[Irms BoSync]]^2</f>
        <v>0.26832444265505501</v>
      </c>
      <c r="AW206"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206" s="345">
        <f>(Table16[[#This Row],[Deadtime Loss BoSync]]+Table16[[#This Row],[RDS(on) Loss BoSync]]*(1+RdsonBotTc*Ta-RdsonBotTc*25))/(1-Table16[[#This Row],[RDS(on) Loss BoSync]]*RdsonBotTc*ThetaJA_Q3)</f>
        <v>0.28844781870415853</v>
      </c>
      <c r="AY206" s="345">
        <f>CHOOSE(Table16[[#This Row],[Mode Digit]], Rdson3*Table16[[#This Row],[Irms Lf]]^2, Rdson1*Table16[[#This Row],[Irms Lf]]^2, 0)</f>
        <v>0.26832444265505501</v>
      </c>
      <c r="AZ206" s="345">
        <f>CHOOSE(Table16[[#This Row],[Mode Digit]], 2*Deadtime*Fsw*IF(VfdSky_Q2&gt;0,VfdSky_Q2,0)*Table16[[#This Row],[Iout]], 2*Deadtime*Fsw*IF(VfdSky_Q3&gt;0,VfdSky_Q3,0)*Table16[[#This Row],[Iin]], 2*Deadtime*Fsw*IF(VfdSky_Q2&gt;0,VfdSky_Q2,0)*Table16[[#This Row],[Iout]]+2*Deadtime*Fsw*IF(VfdSky_Q3&gt;0,VfdSky_Q3,0)*Table16[[#This Row],[Iin]])</f>
        <v>0</v>
      </c>
      <c r="BA206" s="345">
        <f>CHOOSE(Table16[[#This Row],[Mode Digit]], IF(QrrSky_Q2&gt;0,QrrSky_Q2,Qrr_Q2)*Fsw*(Table16[[#This Row],[Vin]]-Table16[[#This Row],[Iout]]*Rdson1),0,  IF(QrrSky_Q2&gt;0,QrrSky_Q2,Qrr_Q2)*Fsw*(Table16[[#This Row],[Vin]]-Table16[[#This Row],[Iout]]*Rdson1)+IF(QrrSky_Q3&gt;0,QrrSky_Q3,Qrr_Q3)*Fsw*Vout)</f>
        <v>0.63619901999999995</v>
      </c>
      <c r="BB206" s="345">
        <f>CHOOSE(Table16[[#This Row],[Mode Digit]],0, IF(QrrSky_Q3&gt;0,QrrSky_Q3,Qrr_Q3)*Fsw*Vout,  IF(QrrSky_Q2&gt;0,QrrSky_Q2,Qrr_Q2)*Fsw*(Table16[[#This Row],[Vin]]-Table16[[#This Row],[Iout]]*Rdson1)+IF(QrrSky_Q3&gt;0,QrrSky_Q3,Qrr_Q3)*Fsw*Vout)</f>
        <v>0</v>
      </c>
      <c r="BC206" s="345">
        <f>CHOOSE(Table16[[#This Row],[Mode Digit]], Rs*Table16[[#This Row],[Irms BuSync]]^2, Rs*Table16[[#This Row],[Irms BoCtlr]]^2, Rs*(Table16[[#This Row],[Irms BuSync]]^2+Table16[[#This Row],[Irms BoCtlr]]^2))</f>
        <v>5.4641590588841348E-2</v>
      </c>
      <c r="BD206" s="345">
        <f t="shared" si="11"/>
        <v>0.64</v>
      </c>
      <c r="BE206" s="345">
        <f>IF(Vout&gt;8, Iq*Vout, Iq*Table16[[#This Row],[Vin]])</f>
        <v>4.8000000000000001E-2</v>
      </c>
      <c r="BF206" s="345">
        <f>CHOOSE(Table16[[#This Row],[Mode Digit]], (Qg_Q1+Qg_Q2)*Fsw, (Qg_Q3+Qg_Q4)*Fsw, (Qg_Q1+Qg_Q2+Qg_Q3+Qg_Q4)*Fsw)*IF(Vout&gt;8, Vout, Table16[[#This Row],[Vin]])</f>
        <v>0.85331200000000007</v>
      </c>
      <c r="BG206" s="345">
        <f t="shared" si="12"/>
        <v>0.50594479787234037</v>
      </c>
      <c r="BH206" s="345">
        <f>Table16[[#This Row],[IQ Loss]]+Table16[[#This Row],[Switching Current Loss]]</f>
        <v>0.90131200000000011</v>
      </c>
      <c r="BI206"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11.569804155208606</v>
      </c>
      <c r="BJ206" s="253">
        <f>Vout*Table16[[#This Row],[Iout]]</f>
        <v>128</v>
      </c>
      <c r="BK206" s="684">
        <f>Table16[[#This Row],[Pout]]/(Table16[[#This Row],[Pout]]+Table16[[#This Row],[Total Loss]])</f>
        <v>0.91710381607799352</v>
      </c>
      <c r="BL206"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79.57051961368596</v>
      </c>
      <c r="BM206" s="685">
        <f>IF(Table16[[#This Row],[Vin]]&gt;Vout, Table16[[#This Row],[Total Sync Bu MOSFET Loss]]*ThetaJA_Q2, ThetaJA_Q3*Table16[[#This Row],[Total Sync Bo MOSFET Loss]])</f>
        <v>26.081887423097225</v>
      </c>
      <c r="BN206" s="640"/>
      <c r="BO206" s="292">
        <f>Table16[[#This Row],[EFF, h]]*100</f>
        <v>91.710381607799349</v>
      </c>
      <c r="BP206" s="345">
        <f>Table16[[#This Row],[Total Inductor Loss]]</f>
        <v>7.3604788916764328</v>
      </c>
      <c r="BQ206" s="345">
        <f>Table16[[#This Row],[Total Control Bu MOSFET Loss]]+Table16[[#This Row],[Total Sync Bu MOSFET Loss]]+Table16[[#This Row],[Total Control Bo MOSFET Loss]]+Table16[[#This Row],[Total Sync Bo MOSFET Loss]]+Table16[[#This Row],[Reverse Recovery Loss MOSFET D BUCK]]+Table16[[#This Row],[Reverse Recovery Loss MOSFET D BOOST]]</f>
        <v>2.5500684854238997</v>
      </c>
      <c r="BR206" s="345">
        <f>Table16[[#This Row],[Total Control Bu MOSFET Loss]]+Table16[[#This Row],[Reverse Recovery Loss MOSFET D BUCK]]*0.66</f>
        <v>1.6440531934105531</v>
      </c>
      <c r="BS206" s="345">
        <f>Table16[[#This Row],[Total Sync Bu MOSFET Loss]]+Table16[[#This Row],[Reverse Recovery Loss MOSFET D BUCK]]*0.33</f>
        <v>0.6112054831091881</v>
      </c>
      <c r="BT206" s="345">
        <f xml:space="preserve"> Table16[[#This Row],[Total Control Bo MOSFET Loss]]+Table16[[#This Row],[Reverse Recovery Loss MOSFET D BOOST]]*0.66</f>
        <v>0</v>
      </c>
      <c r="BU206" s="345">
        <f xml:space="preserve"> Table16[[#This Row],[Total Sync Bo MOSFET Loss]]+Table16[[#This Row],[Reverse Recovery Loss MOSFET D BOOST]]*0.33</f>
        <v>0.28844781870415853</v>
      </c>
      <c r="BV206" s="345">
        <f>Table16[[#This Row],[Isense Shunt Loss]]</f>
        <v>5.4641590588841348E-2</v>
      </c>
    </row>
    <row r="207" spans="7:74" x14ac:dyDescent="0.2">
      <c r="G207" s="253">
        <v>198</v>
      </c>
      <c r="H207" s="286">
        <f>VIN_min+(VIN_max-VIN_min)*(Table16[[#This Row],[Step]]/200)</f>
        <v>35.700000000000003</v>
      </c>
      <c r="I207" s="292" t="str">
        <f>IF(Mode = 2,IF(Table16[[#This Row],[Vin]]&gt;Vout, "BUCK","BOOST"),IF(Table16[[#This Row],[Vin]]&gt;VIN_BB_to_buck, "BUCK", IF(Table16[[#This Row],[Vin]]&lt;=VIN_boost_to_BB,"BOOST","BUCK-BST")))</f>
        <v>BUCK</v>
      </c>
      <c r="J207" s="253">
        <f>IF(Table16[[#This Row],[Mode]]="BOOST",2, IF(Table16[[#This Row],[Mode]]="BUCK", 1,3))</f>
        <v>1</v>
      </c>
      <c r="K207" s="253">
        <f t="shared" si="10"/>
        <v>8</v>
      </c>
      <c r="L207" s="292">
        <f>Vout*Table16[[#This Row],[Iout]]/(Table16[[#This Row],[Vin]]*Efficiency)</f>
        <v>3.7741412354415451</v>
      </c>
      <c r="M207" s="682">
        <f>MIN(1/Fsw,CHOOSE(Table16[[#This Row],[Mode Digit]],(Vout+(Rdson2+Rs+Rdcr)*Table16[[#This Row],[Iout]])/(Table16[[#This Row],[Vin]]+(Rs+Rdson2-Rdson1)*Table16[[#This Row],[Iout]])/Fsw,(Vout+(Rdson3+Rdcr)*Table16[[#This Row],[Iin]]-Table16[[#This Row],[Vin]])/(Vout+(Rdson3-Rdson4-Rs)*Table16[[#This Row],[Iin]])/Fsw,t1_Ph_II))</f>
        <v>1.1302536248607165E-6</v>
      </c>
      <c r="N207" s="518">
        <f>CHOOSE(Table16[[#This Row],[Mode Digit]],1/Fsw-Table16[[#This Row],[t1_Ph_II]],1/Fsw-Table16[[#This Row],[t1_Ph_II]],(Vout/Fsw-Table16[[#This Row],[Vin]]*t1_Ph_II)/(Table16[[#This Row],[Vin]]+Vout))</f>
        <v>1.3823091892096354E-6</v>
      </c>
      <c r="O207" s="518">
        <f>1/Fsw-(Table16[[#This Row],[t1_Ph_II]]+Table16[[#This Row],[t2_Ph_I]])</f>
        <v>0</v>
      </c>
      <c r="P207"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1.8150009972899674</v>
      </c>
      <c r="Q207" s="292">
        <f>CHOOSE(Table16[[#This Row],[Mode Digit]],Table16[[#This Row],[I_0]]+1/Lf*(Table16[[#This Row],[Vin]]-Vout)*Table16[[#This Row],[t1_Ph_II]],Table16[[#This Row],[I_0]]+1/Lf*Table16[[#This Row],[Vin]]*Table16[[#This Row],[t1_Ph_II]],Table16[[#This Row],[I_0]]+(Table16[[#This Row],[Vin]]-Vout)/L*Table16[[#This Row],[t1_Ph_II]])</f>
        <v>14.184999002710033</v>
      </c>
      <c r="R207" s="292">
        <f>CHOOSE(Table16[[#This Row],[Mode Digit]],0,0,Table16[[#This Row],[I_1]]+Table16[[#This Row],[Vin]]/L*Table16[[#This Row],[t2_Ph_I]])</f>
        <v>0</v>
      </c>
      <c r="S207" s="292">
        <f>Fsw*(Table16[[#This Row],[I_0]]*Table16[[#This Row],[t1_Ph_II]]+Table16[[#This Row],[I_1]]*Table16[[#This Row],[t2_Ph_I]]+Table16[[#This Row],[I_2]]*Table16[[#This Row],[t3_Ph_III]])</f>
        <v>8.6204674388219811</v>
      </c>
      <c r="T207" s="345">
        <f>MIN(1,CHOOSE(Table16[[#This Row],[Mode Digit]],(Vout+(Rdson2+Rs+Rdcr)*Table16[[#This Row],[Iout]])/(Table16[[#This Row],[Vin]]+(Rs+Rdson2-Rdson1)*Table16[[#This Row],[Iout]]),1,Fsw*Table16[[#This Row],[t2_Ph_I]]+Table16[[#This Row],[t1_Ph_II]]))</f>
        <v>0.44984094269456515</v>
      </c>
      <c r="U207" s="345">
        <f>MIN(1,CHOOSE(Table16[[#This Row],[Mode Digit]],0,(Vout+(Rdson3+Rdcr)*Table16[[#This Row],[Iin]]-Table16[[#This Row],[Vin]])/(Vout+(Rdson3-Rdson4-Rs)*Table16[[#This Row],[Iin]]),Fsw*Table16[[#This Row],[t1_Ph_II]]+Table16[[#This Row],[t3_Ph_III]]))</f>
        <v>0</v>
      </c>
      <c r="V207" s="292">
        <f>MAX(Table16[[#This Row],[I_0]:[I_2]])-MIN(Table16[[#This Row],[I_0]:[I_1]])</f>
        <v>12.369998005420065</v>
      </c>
      <c r="W207"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8.7607878767365843</v>
      </c>
      <c r="X207" s="345">
        <f>(Table16[[#This Row],[Irms Lf]]^2*Rdcr*(1+Ltc*Ta-Ltc*25))/(1-Table16[[#This Row],[Irms Lf]]^2*Rdcr*Ltc*ThetaCa)</f>
        <v>0.25052693682201682</v>
      </c>
      <c r="Y207" s="345">
        <f>ABS(7.759*10^-3*Fsw^0.9458*(0.00787*Table16[[#This Row],[Ripple Current pk-pk]])^2.304)</f>
        <v>7.1667222154061223</v>
      </c>
      <c r="Z207" s="345">
        <f>Table16[[#This Row],[DCR    Loss]]+Table16[[#This Row],[Core Loss]]</f>
        <v>7.4172491522281394</v>
      </c>
      <c r="AA207" s="292">
        <f>IF(Table16[[#This Row],[Vin]]&gt;Vout, Table16[[#This Row],[Ripple Current pk-pk]]/SQRT(12), SQRT(Table16[[#This Row],[Duty Cycle BOOST Leg]]/(1-Table16[[#This Row],[Duty Cycle BOOST Leg]]))*SQRT(Table16[[#This Row],[Iout]]^2+(Table16[[#This Row],[Ripple Current pk-pk]]^2)/12))</f>
        <v>3.5709108391522042</v>
      </c>
      <c r="AB207" s="345">
        <f>RCoutEsr*Table16[[#This Row],[Irms Cout]]^2</f>
        <v>2.5502808442349399E-2</v>
      </c>
      <c r="AC207" s="345">
        <f>Table16[[#This Row],[Cout ESR Loss]]</f>
        <v>2.5502808442349399E-2</v>
      </c>
      <c r="AD207" s="345">
        <f>IF(Table16[[#This Row],[Vin]]&gt;Vout, SQRT(Table16[[#This Row],[Duty Cycle BUCK Leg]]*(1-Table16[[#This Row],[Duty Cycle BUCK Leg]]))*SQRT(Table16[[#This Row],[Iout]]^2+(Table16[[#This Row],[Ripple Current pk-pk]]^2)/12), Table16[[#This Row],[Ripple Current pk-pk]]/SQRT(12))</f>
        <v>4.3582966645049774</v>
      </c>
      <c r="AE207" s="345">
        <f>RCinEsr*Table16[[#This Row],[Irms Cin]]^2</f>
        <v>3.7989499631670427E-2</v>
      </c>
      <c r="AF207" s="683">
        <f>Table16[[#This Row],[Cin ESR Loss]]</f>
        <v>3.7989499631670427E-2</v>
      </c>
      <c r="AG207"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5.8758764476446288</v>
      </c>
      <c r="AH207" s="345">
        <f>Rdson1*Table16[[#This Row],[Irms BuCtrl]]^2</f>
        <v>0.12084073409794703</v>
      </c>
      <c r="AI207" s="345">
        <f>CHOOSE(Table16[[#This Row],[Mode Digit]], (Table16[[#This Row],[Vin]]*Table16[[#This Row],[Iout]]/2)*(Fsw)*(Tr_buck+Tf_buck), 0, (Table16[[#This Row],[Vin]]*Table16[[#This Row],[Avg IL]]/2)*(Fsw/1)*(Tr_buck+Tf_buck))</f>
        <v>1.068860627008239</v>
      </c>
      <c r="AJ207" s="253">
        <f>IF(Table16[[#This Row],[Vin]]&gt;Vout, IF(Table16[[#This Row],[Iout]]&gt;Table16[[#This Row],[Ripple Current pk-pk]]/2,0,ABS(Table16[[#This Row],[Iout]]-Table16[[#This Row],[Ripple Current pk-pk]]/2)*Vsd_Q1*Deadtime*Fsw),0)</f>
        <v>0</v>
      </c>
      <c r="AK207" s="345">
        <f>(Table16[[#This Row],[Dead Time Loss BuCtrl]]+Table16[[#This Row],[Transition Loss BuCtrl]]+Table16[[#This Row],[RDS(on) Loss BuCtrl]]*(1+RdsonTopTc*Ta-RdsonTopTc*25))/(1-Table16[[#This Row],[RDS(on) Loss BuCtrl]]*RdsonTopTc*ThetaJA_Q1)</f>
        <v>1.2282925832421581</v>
      </c>
      <c r="AL207" s="345">
        <f>CHOOSE(Table16[[#This Row],[Mode Digit]],SQRT((Fsw*(Table16[[#This Row],[t2_Ph_I]]+0))*((Table16[[#This Row],[I_0]]*Table16[[#This Row],[I_1]]+((Table16[[#This Row],[I_0]]-Table16[[#This Row],[I_1]])^2)/3))),0,SQRT((Fsw*(Table16[[#This Row],[t3_Ph_III]]+0))*((Table16[[#This Row],[I_0]]*Table16[[#This Row],[I_2]]+((Table16[[#This Row],[I_0]]-Table16[[#This Row],[I_2]])^2)/3))))</f>
        <v>6.4981135872797617</v>
      </c>
      <c r="AM207" s="345">
        <f>Rdson2*Table16[[#This Row],[Irms BuSync]]^2</f>
        <v>0.14778918067616448</v>
      </c>
      <c r="AN207"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207" s="345">
        <f>(Table16[[#This Row],[Deadtime Loss BuSync]]+Table16[[#This Row],[RDS(on) Loss BuSync]]*(1+RdsonBotTc*Ta-RdsonBotTc*25))/(1-Table16[[#This Row],[RDS(on) Loss BuSync]]*RdsonBotTc*ThetaJA_Q2)</f>
        <v>0.4020375486545073</v>
      </c>
      <c r="AP207" s="345">
        <f>CHOOSE(Table16[[#This Row],[Mode Digit]],0,SQRT((Fsw*(Table16[[#This Row],[t1_Ph_II]]+0))*((Table16[[#This Row],[I_0]]*Table16[[#This Row],[I_1]]+((Table16[[#This Row],[I_0]]-Table16[[#This Row],[I_1]])^2)/3))),SQRT((Fsw*(Table16[[#This Row],[t2_Ph_I]]+0))*((Table16[[#This Row],[I_1]]*Table16[[#This Row],[I_2]]+((Table16[[#This Row],[I_1]]-Table16[[#This Row],[I_2]])^2)/3))))</f>
        <v>0</v>
      </c>
      <c r="AQ207" s="345">
        <f>Rdson4*Table16[[#This Row],[Irms BoCtlr]]^2</f>
        <v>0</v>
      </c>
      <c r="AR207" s="345">
        <f>CHOOSE(Table16[[#This Row],[Mode Digit]], 0, (Vout*Table16[[#This Row],[Iin]]/2)*(Fsw)*(Tr_boost+Tf_boost), (Vout*Iout/2)*(Fsw/1)*(Tr_boost+Tf_boost))</f>
        <v>0</v>
      </c>
      <c r="AS207" s="253">
        <f>IF(Table16[[#This Row],[Vin]]&gt;Vout, 0, IF(Table16[[#This Row],[Iin]]&gt;Table16[[#This Row],[Ripple Current pk-pk]]/2,0,ABS(Table16[[#This Row],[Iin]]-Table16[[#This Row],[Ripple Current pk-pk]]/2)*Vsd_Q4*Deadtime*Fsw))</f>
        <v>0</v>
      </c>
      <c r="AT207" s="345">
        <f>(Table16[[#This Row],[Dead Time Loss BoCtlr]]+Table16[[#This Row],[Transition Loss BoCtlr]]+Table16[[#This Row],[RDS(on) Loss BoCtlr]]*(1+RdsonTopTc*Ta-RdsonTopTc*25))/(1-Table16[[#This Row],[RDS(on) Loss BoCtlr]]*RdsonTopTc*ThetaJA_Q4)</f>
        <v>0</v>
      </c>
      <c r="AU207"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8.7607878767365843</v>
      </c>
      <c r="AV207" s="345">
        <f>Rdson3*Table16[[#This Row],[Irms BoSync]]^2</f>
        <v>0.26862991477411147</v>
      </c>
      <c r="AW207"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207" s="345">
        <f>(Table16[[#This Row],[Deadtime Loss BoSync]]+Table16[[#This Row],[RDS(on) Loss BoSync]]*(1+RdsonBotTc*Ta-RdsonBotTc*25))/(1-Table16[[#This Row],[RDS(on) Loss BoSync]]*RdsonBotTc*ThetaJA_Q3)</f>
        <v>0.28880085772115577</v>
      </c>
      <c r="AY207" s="345">
        <f>CHOOSE(Table16[[#This Row],[Mode Digit]], Rdson3*Table16[[#This Row],[Irms Lf]]^2, Rdson1*Table16[[#This Row],[Irms Lf]]^2, 0)</f>
        <v>0.26862991477411147</v>
      </c>
      <c r="AZ207" s="345">
        <f>CHOOSE(Table16[[#This Row],[Mode Digit]], 2*Deadtime*Fsw*IF(VfdSky_Q2&gt;0,VfdSky_Q2,0)*Table16[[#This Row],[Iout]], 2*Deadtime*Fsw*IF(VfdSky_Q3&gt;0,VfdSky_Q3,0)*Table16[[#This Row],[Iin]], 2*Deadtime*Fsw*IF(VfdSky_Q2&gt;0,VfdSky_Q2,0)*Table16[[#This Row],[Iout]]+2*Deadtime*Fsw*IF(VfdSky_Q3&gt;0,VfdSky_Q3,0)*Table16[[#This Row],[Iin]])</f>
        <v>0</v>
      </c>
      <c r="BA207" s="345">
        <f>CHOOSE(Table16[[#This Row],[Mode Digit]], IF(QrrSky_Q2&gt;0,QrrSky_Q2,Qrr_Q2)*Fsw*(Table16[[#This Row],[Vin]]-Table16[[#This Row],[Iout]]*Rdson1),0,  IF(QrrSky_Q2&gt;0,QrrSky_Q2,Qrr_Q2)*Fsw*(Table16[[#This Row],[Vin]]-Table16[[#This Row],[Iout]]*Rdson1)+IF(QrrSky_Q3&gt;0,QrrSky_Q3,Qrr_Q3)*Fsw*Vout)</f>
        <v>0.63888551999999998</v>
      </c>
      <c r="BB207" s="345">
        <f>CHOOSE(Table16[[#This Row],[Mode Digit]],0, IF(QrrSky_Q3&gt;0,QrrSky_Q3,Qrr_Q3)*Fsw*Vout,  IF(QrrSky_Q2&gt;0,QrrSky_Q2,Qrr_Q2)*Fsw*(Table16[[#This Row],[Vin]]-Table16[[#This Row],[Iout]]*Rdson1)+IF(QrrSky_Q3&gt;0,QrrSky_Q3,Qrr_Q3)*Fsw*Vout)</f>
        <v>0</v>
      </c>
      <c r="BC207" s="345">
        <f>CHOOSE(Table16[[#This Row],[Mode Digit]], Rs*Table16[[#This Row],[Irms BuSync]]^2, Rs*Table16[[#This Row],[Irms BoCtlr]]^2, Rs*(Table16[[#This Row],[Irms BuSync]]^2+Table16[[#This Row],[Irms BoCtlr]]^2))</f>
        <v>5.4893124251146806E-2</v>
      </c>
      <c r="BD207" s="345">
        <f t="shared" si="11"/>
        <v>0.64</v>
      </c>
      <c r="BE207" s="345">
        <f>IF(Vout&gt;8, Iq*Vout, Iq*Table16[[#This Row],[Vin]])</f>
        <v>4.8000000000000001E-2</v>
      </c>
      <c r="BF207" s="345">
        <f>CHOOSE(Table16[[#This Row],[Mode Digit]], (Qg_Q1+Qg_Q2)*Fsw, (Qg_Q3+Qg_Q4)*Fsw, (Qg_Q1+Qg_Q2+Qg_Q3+Qg_Q4)*Fsw)*IF(Vout&gt;8, Vout, Table16[[#This Row],[Vin]])</f>
        <v>0.85331200000000007</v>
      </c>
      <c r="BG207" s="345">
        <f t="shared" si="12"/>
        <v>0.50594479787234037</v>
      </c>
      <c r="BH207" s="345">
        <f>Table16[[#This Row],[IQ Loss]]+Table16[[#This Row],[Switching Current Loss]]</f>
        <v>0.90131200000000011</v>
      </c>
      <c r="BI207"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11.634963094171129</v>
      </c>
      <c r="BJ207" s="253">
        <f>Vout*Table16[[#This Row],[Iout]]</f>
        <v>128</v>
      </c>
      <c r="BK207" s="684">
        <f>Table16[[#This Row],[Pout]]/(Table16[[#This Row],[Pout]]+Table16[[#This Row],[Total Loss]])</f>
        <v>0.91667586085639308</v>
      </c>
      <c r="BL207"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79.839017910740267</v>
      </c>
      <c r="BM207" s="685">
        <f>IF(Table16[[#This Row],[Vin]]&gt;Vout, Table16[[#This Row],[Total Sync Bu MOSFET Loss]]*ThetaJA_Q2, ThetaJA_Q3*Table16[[#This Row],[Total Sync Bo MOSFET Loss]])</f>
        <v>26.132440662542976</v>
      </c>
      <c r="BN207" s="640"/>
      <c r="BO207" s="292">
        <f>Table16[[#This Row],[EFF, h]]*100</f>
        <v>91.667586085639314</v>
      </c>
      <c r="BP207" s="345">
        <f>Table16[[#This Row],[Total Inductor Loss]]</f>
        <v>7.4172491522281394</v>
      </c>
      <c r="BQ207" s="345">
        <f>Table16[[#This Row],[Total Control Bu MOSFET Loss]]+Table16[[#This Row],[Total Sync Bu MOSFET Loss]]+Table16[[#This Row],[Total Control Bo MOSFET Loss]]+Table16[[#This Row],[Total Sync Bo MOSFET Loss]]+Table16[[#This Row],[Reverse Recovery Loss MOSFET D BUCK]]+Table16[[#This Row],[Reverse Recovery Loss MOSFET D BOOST]]</f>
        <v>2.5580165096178211</v>
      </c>
      <c r="BR207" s="345">
        <f>Table16[[#This Row],[Total Control Bu MOSFET Loss]]+Table16[[#This Row],[Reverse Recovery Loss MOSFET D BUCK]]*0.66</f>
        <v>1.6499570264421581</v>
      </c>
      <c r="BS207" s="345">
        <f>Table16[[#This Row],[Total Sync Bu MOSFET Loss]]+Table16[[#This Row],[Reverse Recovery Loss MOSFET D BUCK]]*0.33</f>
        <v>0.61286977025450728</v>
      </c>
      <c r="BT207" s="345">
        <f xml:space="preserve"> Table16[[#This Row],[Total Control Bo MOSFET Loss]]+Table16[[#This Row],[Reverse Recovery Loss MOSFET D BOOST]]*0.66</f>
        <v>0</v>
      </c>
      <c r="BU207" s="345">
        <f xml:space="preserve"> Table16[[#This Row],[Total Sync Bo MOSFET Loss]]+Table16[[#This Row],[Reverse Recovery Loss MOSFET D BOOST]]*0.33</f>
        <v>0.28880085772115577</v>
      </c>
      <c r="BV207" s="345">
        <f>Table16[[#This Row],[Isense Shunt Loss]]</f>
        <v>5.4893124251146806E-2</v>
      </c>
    </row>
    <row r="208" spans="7:74" x14ac:dyDescent="0.2">
      <c r="G208" s="253">
        <v>199</v>
      </c>
      <c r="H208" s="286">
        <f>VIN_min+(VIN_max-VIN_min)*(Table16[[#This Row],[Step]]/200)</f>
        <v>35.85</v>
      </c>
      <c r="I208" s="292" t="str">
        <f>IF(Mode = 2,IF(Table16[[#This Row],[Vin]]&gt;Vout, "BUCK","BOOST"),IF(Table16[[#This Row],[Vin]]&gt;VIN_BB_to_buck, "BUCK", IF(Table16[[#This Row],[Vin]]&lt;=VIN_boost_to_BB,"BOOST","BUCK-BST")))</f>
        <v>BUCK</v>
      </c>
      <c r="J208" s="253">
        <f>IF(Table16[[#This Row],[Mode]]="BOOST",2, IF(Table16[[#This Row],[Mode]]="BUCK", 1,3))</f>
        <v>1</v>
      </c>
      <c r="K208" s="253">
        <f t="shared" si="10"/>
        <v>8</v>
      </c>
      <c r="L208" s="292">
        <f>Vout*Table16[[#This Row],[Iout]]/(Table16[[#This Row],[Vin]]*Efficiency)</f>
        <v>3.7583498495191958</v>
      </c>
      <c r="M208" s="682">
        <f>MIN(1/Fsw,CHOOSE(Table16[[#This Row],[Mode Digit]],(Vout+(Rdson2+Rs+Rdcr)*Table16[[#This Row],[Iout]])/(Table16[[#This Row],[Vin]]+(Rs+Rdson2-Rdson1)*Table16[[#This Row],[Iout]])/Fsw,(Vout+(Rdson3+Rdcr)*Table16[[#This Row],[Iin]]-Table16[[#This Row],[Vin]])/(Vout+(Rdson3-Rdson4-Rs)*Table16[[#This Row],[Iin]])/Fsw,t1_Ph_II))</f>
        <v>1.1255259016973077E-6</v>
      </c>
      <c r="N208" s="518">
        <f>CHOOSE(Table16[[#This Row],[Mode Digit]],1/Fsw-Table16[[#This Row],[t1_Ph_II]],1/Fsw-Table16[[#This Row],[t1_Ph_II]],(Vout/Fsw-Table16[[#This Row],[Vin]]*t1_Ph_II)/(Table16[[#This Row],[Vin]]+Vout))</f>
        <v>1.3870369123730442E-6</v>
      </c>
      <c r="O208" s="518">
        <f>1/Fsw-(Table16[[#This Row],[t1_Ph_II]]+Table16[[#This Row],[t2_Ph_I]])</f>
        <v>0</v>
      </c>
      <c r="P208"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1.7939752364745676</v>
      </c>
      <c r="Q208" s="292">
        <f>CHOOSE(Table16[[#This Row],[Mode Digit]],Table16[[#This Row],[I_0]]+1/Lf*(Table16[[#This Row],[Vin]]-Vout)*Table16[[#This Row],[t1_Ph_II]],Table16[[#This Row],[I_0]]+1/Lf*Table16[[#This Row],[Vin]]*Table16[[#This Row],[t1_Ph_II]],Table16[[#This Row],[I_0]]+(Table16[[#This Row],[Vin]]-Vout)/L*Table16[[#This Row],[t1_Ph_II]])</f>
        <v>14.206024763525432</v>
      </c>
      <c r="R208" s="292">
        <f>CHOOSE(Table16[[#This Row],[Mode Digit]],0,0,Table16[[#This Row],[I_1]]+Table16[[#This Row],[Vin]]/L*Table16[[#This Row],[t2_Ph_I]])</f>
        <v>0</v>
      </c>
      <c r="S208" s="292">
        <f>Fsw*(Table16[[#This Row],[I_0]]*Table16[[#This Row],[t1_Ph_II]]+Table16[[#This Row],[I_1]]*Table16[[#This Row],[t2_Ph_I]]+Table16[[#This Row],[I_2]]*Table16[[#This Row],[t3_Ph_III]])</f>
        <v>8.6459316356588971</v>
      </c>
      <c r="T208" s="345">
        <f>MIN(1,CHOOSE(Table16[[#This Row],[Mode Digit]],(Vout+(Rdson2+Rs+Rdcr)*Table16[[#This Row],[Iout]])/(Table16[[#This Row],[Vin]]+(Rs+Rdson2-Rdson1)*Table16[[#This Row],[Iout]]),1,Fsw*Table16[[#This Row],[t2_Ph_I]]+Table16[[#This Row],[t1_Ph_II]]))</f>
        <v>0.44795930887552848</v>
      </c>
      <c r="U208" s="345">
        <f>MIN(1,CHOOSE(Table16[[#This Row],[Mode Digit]],0,(Vout+(Rdson3+Rdcr)*Table16[[#This Row],[Iin]]-Table16[[#This Row],[Vin]])/(Vout+(Rdson3-Rdson4-Rs)*Table16[[#This Row],[Iin]]),Fsw*Table16[[#This Row],[t1_Ph_II]]+Table16[[#This Row],[t3_Ph_III]]))</f>
        <v>0</v>
      </c>
      <c r="V208" s="292">
        <f>MAX(Table16[[#This Row],[I_0]:[I_2]])-MIN(Table16[[#This Row],[I_0]:[I_1]])</f>
        <v>12.412049527050865</v>
      </c>
      <c r="W208"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8.7657428543448024</v>
      </c>
      <c r="X208" s="345">
        <f>(Table16[[#This Row],[Irms Lf]]^2*Rdcr*(1+Ltc*Ta-Ltc*25))/(1-Table16[[#This Row],[Irms Lf]]^2*Rdcr*Ltc*ThetaCa)</f>
        <v>0.25081609382995479</v>
      </c>
      <c r="Y208" s="345">
        <f>ABS(7.759*10^-3*Fsw^0.9458*(0.00787*Table16[[#This Row],[Ripple Current pk-pk]])^2.304)</f>
        <v>7.2229792703613134</v>
      </c>
      <c r="Z208" s="345">
        <f>Table16[[#This Row],[DCR    Loss]]+Table16[[#This Row],[Core Loss]]</f>
        <v>7.4737953641912682</v>
      </c>
      <c r="AA208" s="292">
        <f>IF(Table16[[#This Row],[Vin]]&gt;Vout, Table16[[#This Row],[Ripple Current pk-pk]]/SQRT(12), SQRT(Table16[[#This Row],[Duty Cycle BOOST Leg]]/(1-Table16[[#This Row],[Duty Cycle BOOST Leg]]))*SQRT(Table16[[#This Row],[Iout]]^2+(Table16[[#This Row],[Ripple Current pk-pk]]^2)/12))</f>
        <v>3.5830500678188923</v>
      </c>
      <c r="AB208" s="345">
        <f>RCoutEsr*Table16[[#This Row],[Irms Cout]]^2</f>
        <v>2.5676495576993939E-2</v>
      </c>
      <c r="AC208" s="345">
        <f>Table16[[#This Row],[Cout ESR Loss]]</f>
        <v>2.5676495576993939E-2</v>
      </c>
      <c r="AD208" s="345">
        <f>IF(Table16[[#This Row],[Vin]]&gt;Vout, SQRT(Table16[[#This Row],[Duty Cycle BUCK Leg]]*(1-Table16[[#This Row],[Duty Cycle BUCK Leg]]))*SQRT(Table16[[#This Row],[Iout]]^2+(Table16[[#This Row],[Ripple Current pk-pk]]^2)/12), Table16[[#This Row],[Ripple Current pk-pk]]/SQRT(12))</f>
        <v>4.3590671052265932</v>
      </c>
      <c r="AE208" s="345">
        <f>RCinEsr*Table16[[#This Row],[Irms Cin]]^2</f>
        <v>3.8002932055737106E-2</v>
      </c>
      <c r="AF208" s="683">
        <f>Table16[[#This Row],[Cin ESR Loss]]</f>
        <v>3.8002932055737106E-2</v>
      </c>
      <c r="AG208"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5.8668908609707158</v>
      </c>
      <c r="AH208" s="345">
        <f>Rdson1*Table16[[#This Row],[Irms BuCtrl]]^2</f>
        <v>0.12047142931089598</v>
      </c>
      <c r="AI208" s="345">
        <f>CHOOSE(Table16[[#This Row],[Mode Digit]], (Table16[[#This Row],[Vin]]*Table16[[#This Row],[Iout]]/2)*(Fsw)*(Tr_buck+Tf_buck), 0, (Table16[[#This Row],[Vin]]*Table16[[#This Row],[Avg IL]]/2)*(Fsw/1)*(Tr_buck+Tf_buck))</f>
        <v>1.0733516380460886</v>
      </c>
      <c r="AJ208" s="253">
        <f>IF(Table16[[#This Row],[Vin]]&gt;Vout, IF(Table16[[#This Row],[Iout]]&gt;Table16[[#This Row],[Ripple Current pk-pk]]/2,0,ABS(Table16[[#This Row],[Iout]]-Table16[[#This Row],[Ripple Current pk-pk]]/2)*Vsd_Q1*Deadtime*Fsw),0)</f>
        <v>0</v>
      </c>
      <c r="AK208" s="345">
        <f>(Table16[[#This Row],[Dead Time Loss BuCtrl]]+Table16[[#This Row],[Transition Loss BuCtrl]]+Table16[[#This Row],[RDS(on) Loss BuCtrl]]*(1+RdsonTopTc*Ta-RdsonTopTc*25))/(1-Table16[[#This Row],[RDS(on) Loss BuCtrl]]*RdsonTopTc*ThetaJA_Q1)</f>
        <v>1.2324258131569565</v>
      </c>
      <c r="AL208" s="345">
        <f>CHOOSE(Table16[[#This Row],[Mode Digit]],SQRT((Fsw*(Table16[[#This Row],[t2_Ph_I]]+0))*((Table16[[#This Row],[I_0]]*Table16[[#This Row],[I_1]]+((Table16[[#This Row],[I_0]]-Table16[[#This Row],[I_1]])^2)/3))),0,SQRT((Fsw*(Table16[[#This Row],[t3_Ph_III]]+0))*((Table16[[#This Row],[I_0]]*Table16[[#This Row],[I_2]]+((Table16[[#This Row],[I_0]]-Table16[[#This Row],[I_2]])^2)/3))))</f>
        <v>6.512897927493972</v>
      </c>
      <c r="AM208" s="345">
        <f>Rdson2*Table16[[#This Row],[Irms BuSync]]^2</f>
        <v>0.14846243794884348</v>
      </c>
      <c r="AN208"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208" s="345">
        <f>(Table16[[#This Row],[Deadtime Loss BuSync]]+Table16[[#This Row],[RDS(on) Loss BuSync]]*(1+RdsonBotTc*Ta-RdsonBotTc*25))/(1-Table16[[#This Row],[RDS(on) Loss BuSync]]*RdsonBotTc*ThetaJA_Q2)</f>
        <v>0.40281103822855352</v>
      </c>
      <c r="AP208" s="345">
        <f>CHOOSE(Table16[[#This Row],[Mode Digit]],0,SQRT((Fsw*(Table16[[#This Row],[t1_Ph_II]]+0))*((Table16[[#This Row],[I_0]]*Table16[[#This Row],[I_1]]+((Table16[[#This Row],[I_0]]-Table16[[#This Row],[I_1]])^2)/3))),SQRT((Fsw*(Table16[[#This Row],[t2_Ph_I]]+0))*((Table16[[#This Row],[I_1]]*Table16[[#This Row],[I_2]]+((Table16[[#This Row],[I_1]]-Table16[[#This Row],[I_2]])^2)/3))))</f>
        <v>0</v>
      </c>
      <c r="AQ208" s="345">
        <f>Rdson4*Table16[[#This Row],[Irms BoCtlr]]^2</f>
        <v>0</v>
      </c>
      <c r="AR208" s="345">
        <f>CHOOSE(Table16[[#This Row],[Mode Digit]], 0, (Vout*Table16[[#This Row],[Iin]]/2)*(Fsw)*(Tr_boost+Tf_boost), (Vout*Iout/2)*(Fsw/1)*(Tr_boost+Tf_boost))</f>
        <v>0</v>
      </c>
      <c r="AS208" s="253">
        <f>IF(Table16[[#This Row],[Vin]]&gt;Vout, 0, IF(Table16[[#This Row],[Iin]]&gt;Table16[[#This Row],[Ripple Current pk-pk]]/2,0,ABS(Table16[[#This Row],[Iin]]-Table16[[#This Row],[Ripple Current pk-pk]]/2)*Vsd_Q4*Deadtime*Fsw))</f>
        <v>0</v>
      </c>
      <c r="AT208" s="345">
        <f>(Table16[[#This Row],[Dead Time Loss BoCtlr]]+Table16[[#This Row],[Transition Loss BoCtlr]]+Table16[[#This Row],[RDS(on) Loss BoCtlr]]*(1+RdsonTopTc*Ta-RdsonTopTc*25))/(1-Table16[[#This Row],[RDS(on) Loss BoCtlr]]*RdsonTopTc*ThetaJA_Q4)</f>
        <v>0</v>
      </c>
      <c r="AU208"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8.7657428543448024</v>
      </c>
      <c r="AV208" s="345">
        <f>Rdson3*Table16[[#This Row],[Irms BoSync]]^2</f>
        <v>0.26893386725973933</v>
      </c>
      <c r="AW208"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208" s="345">
        <f>(Table16[[#This Row],[Deadtime Loss BoSync]]+Table16[[#This Row],[RDS(on) Loss BoSync]]*(1+RdsonBotTc*Ta-RdsonBotTc*25))/(1-Table16[[#This Row],[RDS(on) Loss BoSync]]*RdsonBotTc*ThetaJA_Q3)</f>
        <v>0.28915220031893196</v>
      </c>
      <c r="AY208" s="345">
        <f>CHOOSE(Table16[[#This Row],[Mode Digit]], Rdson3*Table16[[#This Row],[Irms Lf]]^2, Rdson1*Table16[[#This Row],[Irms Lf]]^2, 0)</f>
        <v>0.26893386725973933</v>
      </c>
      <c r="AZ208" s="345">
        <f>CHOOSE(Table16[[#This Row],[Mode Digit]], 2*Deadtime*Fsw*IF(VfdSky_Q2&gt;0,VfdSky_Q2,0)*Table16[[#This Row],[Iout]], 2*Deadtime*Fsw*IF(VfdSky_Q3&gt;0,VfdSky_Q3,0)*Table16[[#This Row],[Iin]], 2*Deadtime*Fsw*IF(VfdSky_Q2&gt;0,VfdSky_Q2,0)*Table16[[#This Row],[Iout]]+2*Deadtime*Fsw*IF(VfdSky_Q3&gt;0,VfdSky_Q3,0)*Table16[[#This Row],[Iin]])</f>
        <v>0</v>
      </c>
      <c r="BA208" s="345">
        <f>CHOOSE(Table16[[#This Row],[Mode Digit]], IF(QrrSky_Q2&gt;0,QrrSky_Q2,Qrr_Q2)*Fsw*(Table16[[#This Row],[Vin]]-Table16[[#This Row],[Iout]]*Rdson1),0,  IF(QrrSky_Q2&gt;0,QrrSky_Q2,Qrr_Q2)*Fsw*(Table16[[#This Row],[Vin]]-Table16[[#This Row],[Iout]]*Rdson1)+IF(QrrSky_Q3&gt;0,QrrSky_Q3,Qrr_Q3)*Fsw*Vout)</f>
        <v>0.64157202000000002</v>
      </c>
      <c r="BB208" s="345">
        <f>CHOOSE(Table16[[#This Row],[Mode Digit]],0, IF(QrrSky_Q3&gt;0,QrrSky_Q3,Qrr_Q3)*Fsw*Vout,  IF(QrrSky_Q2&gt;0,QrrSky_Q2,Qrr_Q2)*Fsw*(Table16[[#This Row],[Vin]]-Table16[[#This Row],[Iout]]*Rdson1)+IF(QrrSky_Q3&gt;0,QrrSky_Q3,Qrr_Q3)*Fsw*Vout)</f>
        <v>0</v>
      </c>
      <c r="BC208" s="345">
        <f>CHOOSE(Table16[[#This Row],[Mode Digit]], Rs*Table16[[#This Row],[Irms BuSync]]^2, Rs*Table16[[#This Row],[Irms BoCtlr]]^2, Rs*(Table16[[#This Row],[Irms BuSync]]^2+Table16[[#This Row],[Irms BoCtlr]]^2))</f>
        <v>5.5143191238141862E-2</v>
      </c>
      <c r="BD208" s="345">
        <f t="shared" si="11"/>
        <v>0.64</v>
      </c>
      <c r="BE208" s="345">
        <f>IF(Vout&gt;8, Iq*Vout, Iq*Table16[[#This Row],[Vin]])</f>
        <v>4.8000000000000001E-2</v>
      </c>
      <c r="BF208" s="345">
        <f>CHOOSE(Table16[[#This Row],[Mode Digit]], (Qg_Q1+Qg_Q2)*Fsw, (Qg_Q3+Qg_Q4)*Fsw, (Qg_Q1+Qg_Q2+Qg_Q3+Qg_Q4)*Fsw)*IF(Vout&gt;8, Vout, Table16[[#This Row],[Vin]])</f>
        <v>0.85331200000000007</v>
      </c>
      <c r="BG208" s="345">
        <f t="shared" si="12"/>
        <v>0.50594479787234037</v>
      </c>
      <c r="BH208" s="345">
        <f>Table16[[#This Row],[IQ Loss]]+Table16[[#This Row],[Switching Current Loss]]</f>
        <v>0.90131200000000011</v>
      </c>
      <c r="BI208"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11.699891054766585</v>
      </c>
      <c r="BJ208" s="253">
        <f>Vout*Table16[[#This Row],[Iout]]</f>
        <v>128</v>
      </c>
      <c r="BK208" s="684">
        <f>Table16[[#This Row],[Pout]]/(Table16[[#This Row],[Pout]]+Table16[[#This Row],[Total Loss]])</f>
        <v>0.91624981976414077</v>
      </c>
      <c r="BL208"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80.107677855202169</v>
      </c>
      <c r="BM208" s="685">
        <f>IF(Table16[[#This Row],[Vin]]&gt;Vout, Table16[[#This Row],[Total Sync Bu MOSFET Loss]]*ThetaJA_Q2, ThetaJA_Q3*Table16[[#This Row],[Total Sync Bo MOSFET Loss]])</f>
        <v>26.182717484855978</v>
      </c>
      <c r="BN208" s="640"/>
      <c r="BO208" s="292">
        <f>Table16[[#This Row],[EFF, h]]*100</f>
        <v>91.624981976414077</v>
      </c>
      <c r="BP208" s="345">
        <f>Table16[[#This Row],[Total Inductor Loss]]</f>
        <v>7.4737953641912682</v>
      </c>
      <c r="BQ208" s="345">
        <f>Table16[[#This Row],[Total Control Bu MOSFET Loss]]+Table16[[#This Row],[Total Sync Bu MOSFET Loss]]+Table16[[#This Row],[Total Control Bo MOSFET Loss]]+Table16[[#This Row],[Total Sync Bo MOSFET Loss]]+Table16[[#This Row],[Reverse Recovery Loss MOSFET D BUCK]]+Table16[[#This Row],[Reverse Recovery Loss MOSFET D BOOST]]</f>
        <v>2.5659610717044421</v>
      </c>
      <c r="BR208" s="345">
        <f>Table16[[#This Row],[Total Control Bu MOSFET Loss]]+Table16[[#This Row],[Reverse Recovery Loss MOSFET D BUCK]]*0.66</f>
        <v>1.6558633463569565</v>
      </c>
      <c r="BS208" s="345">
        <f>Table16[[#This Row],[Total Sync Bu MOSFET Loss]]+Table16[[#This Row],[Reverse Recovery Loss MOSFET D BUCK]]*0.33</f>
        <v>0.61452980482855357</v>
      </c>
      <c r="BT208" s="345">
        <f xml:space="preserve"> Table16[[#This Row],[Total Control Bo MOSFET Loss]]+Table16[[#This Row],[Reverse Recovery Loss MOSFET D BOOST]]*0.66</f>
        <v>0</v>
      </c>
      <c r="BU208" s="345">
        <f xml:space="preserve"> Table16[[#This Row],[Total Sync Bo MOSFET Loss]]+Table16[[#This Row],[Reverse Recovery Loss MOSFET D BOOST]]*0.33</f>
        <v>0.28915220031893196</v>
      </c>
      <c r="BV208" s="345">
        <f>Table16[[#This Row],[Isense Shunt Loss]]</f>
        <v>5.5143191238141862E-2</v>
      </c>
    </row>
    <row r="209" spans="7:74" x14ac:dyDescent="0.2">
      <c r="G209" s="253">
        <v>200</v>
      </c>
      <c r="H209" s="286">
        <f>VIN_min+(VIN_max-VIN_min)*(Table16[[#This Row],[Step]]/200)</f>
        <v>36</v>
      </c>
      <c r="I209" s="292" t="str">
        <f>IF(Mode = 2,IF(Table16[[#This Row],[Vin]]&gt;Vout, "BUCK","BOOST"),IF(Table16[[#This Row],[Vin]]&gt;VIN_BB_to_buck, "BUCK", IF(Table16[[#This Row],[Vin]]&lt;=VIN_boost_to_BB,"BOOST","BUCK-BST")))</f>
        <v>BUCK</v>
      </c>
      <c r="J209" s="253">
        <f>IF(Table16[[#This Row],[Mode]]="BOOST",2, IF(Table16[[#This Row],[Mode]]="BUCK", 1,3))</f>
        <v>1</v>
      </c>
      <c r="K209" s="253">
        <f t="shared" si="10"/>
        <v>8</v>
      </c>
      <c r="L209" s="292">
        <f>Vout*Table16[[#This Row],[Iout]]/(Table16[[#This Row],[Vin]]*Efficiency)</f>
        <v>3.7426900584795328</v>
      </c>
      <c r="M209" s="682">
        <f>MIN(1/Fsw,CHOOSE(Table16[[#This Row],[Mode Digit]],(Vout+(Rdson2+Rs+Rdcr)*Table16[[#This Row],[Iout]])/(Table16[[#This Row],[Vin]]+(Rs+Rdson2-Rdson1)*Table16[[#This Row],[Iout]])/Fsw,(Vout+(Rdson3+Rdcr)*Table16[[#This Row],[Iin]]-Table16[[#This Row],[Vin]])/(Vout+(Rdson3-Rdson4-Rs)*Table16[[#This Row],[Iin]])/Fsw,t1_Ph_II))</f>
        <v>1.1208375648486584E-6</v>
      </c>
      <c r="N209" s="518">
        <f>CHOOSE(Table16[[#This Row],[Mode Digit]],1/Fsw-Table16[[#This Row],[t1_Ph_II]],1/Fsw-Table16[[#This Row],[t1_Ph_II]],(Vout/Fsw-Table16[[#This Row],[Vin]]*t1_Ph_II)/(Table16[[#This Row],[Vin]]+Vout))</f>
        <v>1.3917252492216935E-6</v>
      </c>
      <c r="O209" s="518">
        <f>1/Fsw-(Table16[[#This Row],[t1_Ph_II]]+Table16[[#This Row],[t2_Ph_I]])</f>
        <v>0</v>
      </c>
      <c r="P209" s="292">
        <f>CHOOSE(Table16[[#This Row],[Mode Digit]],Table16[[#This Row],[Iout]]-1/(2*Lf)*(Table16[[#This Row],[Vin]]-Vout)*Table16[[#This Row],[t1_Ph_II]],Table16[[#This Row],[Iin]]-1/(2*Lf)*Table16[[#This Row],[Vin]]*Table16[[#This Row],[t1_Ph_II]],1/(Table16[[#This Row],[t1_Ph_II]]+Table16[[#This Row],[t2_Ph_I]])*(Table16[[#This Row],[Iin]]/Fsw-(1/2*(Table16[[#This Row],[Vin]]-Vout)/Lf*Table16[[#This Row],[t1_Ph_II]]*Table16[[#This Row],[t1_Ph_II]]+(Table16[[#This Row],[Vin]]-Vout)/Lf*Table16[[#This Row],[t1_Ph_II]]*Table16[[#This Row],[t2_Ph_I]]+1/2*Table16[[#This Row],[Vin]]/L*Table16[[#This Row],[t2_Ph_I]]*Table16[[#This Row],[t2_Ph_I]])))</f>
        <v>1.7731246397296756</v>
      </c>
      <c r="Q209" s="292">
        <f>CHOOSE(Table16[[#This Row],[Mode Digit]],Table16[[#This Row],[I_0]]+1/Lf*(Table16[[#This Row],[Vin]]-Vout)*Table16[[#This Row],[t1_Ph_II]],Table16[[#This Row],[I_0]]+1/Lf*Table16[[#This Row],[Vin]]*Table16[[#This Row],[t1_Ph_II]],Table16[[#This Row],[I_0]]+(Table16[[#This Row],[Vin]]-Vout)/L*Table16[[#This Row],[t1_Ph_II]])</f>
        <v>14.226875360270324</v>
      </c>
      <c r="R209" s="292">
        <f>CHOOSE(Table16[[#This Row],[Mode Digit]],0,0,Table16[[#This Row],[I_1]]+Table16[[#This Row],[Vin]]/L*Table16[[#This Row],[t2_Ph_I]])</f>
        <v>0</v>
      </c>
      <c r="S209" s="292">
        <f>Fsw*(Table16[[#This Row],[I_0]]*Table16[[#This Row],[t1_Ph_II]]+Table16[[#This Row],[I_1]]*Table16[[#This Row],[t2_Ph_I]]+Table16[[#This Row],[I_2]]*Table16[[#This Row],[t3_Ph_III]])</f>
        <v>8.6713399711948078</v>
      </c>
      <c r="T209" s="345">
        <f>MIN(1,CHOOSE(Table16[[#This Row],[Mode Digit]],(Vout+(Rdson2+Rs+Rdcr)*Table16[[#This Row],[Iout]])/(Table16[[#This Row],[Vin]]+(Rs+Rdson2-Rdson1)*Table16[[#This Row],[Iout]]),1,Fsw*Table16[[#This Row],[t2_Ph_I]]+Table16[[#This Row],[t1_Ph_II]]))</f>
        <v>0.44609335080976609</v>
      </c>
      <c r="U209" s="345">
        <f>MIN(1,CHOOSE(Table16[[#This Row],[Mode Digit]],0,(Vout+(Rdson3+Rdcr)*Table16[[#This Row],[Iin]]-Table16[[#This Row],[Vin]])/(Vout+(Rdson3-Rdson4-Rs)*Table16[[#This Row],[Iin]]),Fsw*Table16[[#This Row],[t1_Ph_II]]+Table16[[#This Row],[t3_Ph_III]]))</f>
        <v>0</v>
      </c>
      <c r="V209" s="292">
        <f>MAX(Table16[[#This Row],[I_0]:[I_2]])-MIN(Table16[[#This Row],[I_0]:[I_1]])</f>
        <v>12.453750720540647</v>
      </c>
      <c r="W209" s="345">
        <f>CHOOSE(Table16[[#This Row],[Mode Digit]],SQRT((Table16[[#This Row],[t1_Ph_II]]+Table16[[#This Row],[t2_Ph_I]])*Fsw*(Table16[[#This Row],[I_0]]*Table16[[#This Row],[I_1]]+((Table16[[#This Row],[I_0]]-Table16[[#This Row],[I_1]])^2)/3)),SQRT((Table16[[#This Row],[t1_Ph_II]]+Table16[[#This Row],[t2_Ph_I]])*Fsw*(Table16[[#This Row],[I_0]]*Table16[[#This Row],[I_1]]+((Table16[[#This Row],[I_0]]-Table16[[#This Row],[I_1]])^2)/3)),SQRT(Fsw*(Table16[[#This Row],[t1_Ph_II]]*(Table16[[#This Row],[I_0]]*Table16[[#This Row],[I_1]]+((Table16[[#This Row],[I_1]]-Table16[[#This Row],[I_0]])^2)/3)+Table16[[#This Row],[t2_Ph_I]]*(Table16[[#This Row],[I_1]]*Table16[[#This Row],[I_2]]+((Table16[[#This Row],[I_2]]-Table16[[#This Row],[I_1]])^2)/3)+Table16[[#This Row],[t3_Ph_III]]*(Table16[[#This Row],[I_2]]*Table16[[#This Row],[I_0]]+((Table16[[#This Row],[I_0]]-Table16[[#This Row],[I_2]])^2)/3))))</f>
        <v>8.770670380161782</v>
      </c>
      <c r="X209" s="345">
        <f>(Table16[[#This Row],[Irms Lf]]^2*Rdcr*(1+Ltc*Ta-Ltc*25))/(1-Table16[[#This Row],[Irms Lf]]^2*Rdcr*Ltc*ThetaCa)</f>
        <v>0.25110382399534042</v>
      </c>
      <c r="Y209" s="345">
        <f>ABS(7.759*10^-3*Fsw^0.9458*(0.00787*Table16[[#This Row],[Ripple Current pk-pk]])^2.304)</f>
        <v>7.279013635143925</v>
      </c>
      <c r="Z209" s="345">
        <f>Table16[[#This Row],[DCR    Loss]]+Table16[[#This Row],[Core Loss]]</f>
        <v>7.530117459139265</v>
      </c>
      <c r="AA209" s="292">
        <f>IF(Table16[[#This Row],[Vin]]&gt;Vout, Table16[[#This Row],[Ripple Current pk-pk]]/SQRT(12), SQRT(Table16[[#This Row],[Duty Cycle BOOST Leg]]/(1-Table16[[#This Row],[Duty Cycle BOOST Leg]]))*SQRT(Table16[[#This Row],[Iout]]^2+(Table16[[#This Row],[Ripple Current pk-pk]]^2)/12))</f>
        <v>3.5950881654623195</v>
      </c>
      <c r="AB209" s="345">
        <f>RCoutEsr*Table16[[#This Row],[Irms Cout]]^2</f>
        <v>2.5849317834894449E-2</v>
      </c>
      <c r="AC209" s="345">
        <f>Table16[[#This Row],[Cout ESR Loss]]</f>
        <v>2.5849317834894449E-2</v>
      </c>
      <c r="AD209" s="345">
        <f>IF(Table16[[#This Row],[Vin]]&gt;Vout, SQRT(Table16[[#This Row],[Duty Cycle BUCK Leg]]*(1-Table16[[#This Row],[Duty Cycle BUCK Leg]]))*SQRT(Table16[[#This Row],[Iout]]^2+(Table16[[#This Row],[Ripple Current pk-pk]]^2)/12), Table16[[#This Row],[Ripple Current pk-pk]]/SQRT(12))</f>
        <v>4.3597737669931913</v>
      </c>
      <c r="AE209" s="345">
        <f>RCinEsr*Table16[[#This Row],[Irms Cin]]^2</f>
        <v>3.8015254598724006E-2</v>
      </c>
      <c r="AF209" s="683">
        <f>Table16[[#This Row],[Cin ESR Loss]]</f>
        <v>3.8015254598724006E-2</v>
      </c>
      <c r="AG209" s="345">
        <f>CHOOSE(Table16[[#This Row],[Mode Digit]],SQRT((Fsw*(Table16[[#This Row],[t1_Ph_II]]+0))*((Table16[[#This Row],[I_0]]*Table16[[#This Row],[I_1]]+((Table16[[#This Row],[I_0]]-Table16[[#This Row],[I_1]])^2)/3))),Table16[[#This Row],[Irms Lf]],SQRT(Fsw*(Table16[[#This Row],[t1_Ph_II]]*(Table16[[#This Row],[I_0]]*Table16[[#This Row],[I_1]]+((Table16[[#This Row],[I_0]]-Table16[[#This Row],[I_1]])^2)/3)+Table16[[#This Row],[t2_Ph_I]]*(Table16[[#This Row],[I_1]]*Table16[[#This Row],[I_2]]+((Table16[[#This Row],[I_1]]-Table16[[#This Row],[I_2]])^2)/3))))</f>
        <v>5.8579500558115365</v>
      </c>
      <c r="AH209" s="345">
        <f>Rdson1*Table16[[#This Row],[Irms BuCtrl]]^2</f>
        <v>0.12010452599733834</v>
      </c>
      <c r="AI209" s="345">
        <f>CHOOSE(Table16[[#This Row],[Mode Digit]], (Table16[[#This Row],[Vin]]*Table16[[#This Row],[Iout]]/2)*(Fsw)*(Tr_buck+Tf_buck), 0, (Table16[[#This Row],[Vin]]*Table16[[#This Row],[Avg IL]]/2)*(Fsw/1)*(Tr_buck+Tf_buck))</f>
        <v>1.0778426490839383</v>
      </c>
      <c r="AJ209" s="253">
        <f>IF(Table16[[#This Row],[Vin]]&gt;Vout, IF(Table16[[#This Row],[Iout]]&gt;Table16[[#This Row],[Ripple Current pk-pk]]/2,0,ABS(Table16[[#This Row],[Iout]]-Table16[[#This Row],[Ripple Current pk-pk]]/2)*Vsd_Q1*Deadtime*Fsw),0)</f>
        <v>0</v>
      </c>
      <c r="AK209" s="345">
        <f>(Table16[[#This Row],[Dead Time Loss BuCtrl]]+Table16[[#This Row],[Transition Loss BuCtrl]]+Table16[[#This Row],[RDS(on) Loss BuCtrl]]*(1+RdsonTopTc*Ta-RdsonTopTc*25))/(1-Table16[[#This Row],[RDS(on) Loss BuCtrl]]*RdsonTopTc*ThetaJA_Q1)</f>
        <v>1.2365614996031389</v>
      </c>
      <c r="AL209" s="345">
        <f>CHOOSE(Table16[[#This Row],[Mode Digit]],SQRT((Fsw*(Table16[[#This Row],[t2_Ph_I]]+0))*((Table16[[#This Row],[I_0]]*Table16[[#This Row],[I_1]]+((Table16[[#This Row],[I_0]]-Table16[[#This Row],[I_1]])^2)/3))),0,SQRT((Fsw*(Table16[[#This Row],[t3_Ph_III]]+0))*((Table16[[#This Row],[I_0]]*Table16[[#This Row],[I_2]]+((Table16[[#This Row],[I_0]]-Table16[[#This Row],[I_2]])^2)/3))))</f>
        <v>6.5275631028022119</v>
      </c>
      <c r="AM209" s="345">
        <f>Rdson2*Table16[[#This Row],[Irms BuSync]]^2</f>
        <v>0.14913178021372694</v>
      </c>
      <c r="AN209" s="345">
        <f>CHOOSE(Table16[[#This Row],[Mode Digit]], IF(Table16[[#This Row],[Iout]]&lt;Table16[[#This Row],[Ripple Current pk-pk]]/2,Deadtime*Fsw*IF(VfdSky_Q2&gt;0,0,Vsd_Q2)*(Table16[[#This Row],[Iout]]+Table16[[#This Row],[Ripple Current pk-pk]]/2),2*Deadtime*Fsw*IF(VfdSky_Q2&gt;0,0,Vsd_Q2)*Table16[[#This Row],[Iout]]),0, IF(Table16[[#This Row],[Iout]]&lt;Table16[[#This Row],[Ripple Current pk-pk]]/2,Deadtime*Fsw*IF(VfdSky_Q2&gt;0,0,Vsd_Q2)*(Table16[[#This Row],[Iout]]+Table16[[#This Row],[Ripple Current pk-pk]]/2),2*Deadtime*Fsw*IF(VfdSky_Q2&gt;0,0,Vsd_Q2)*Table16[[#This Row],[Iout]]))</f>
        <v>0.23879999999999996</v>
      </c>
      <c r="AO209" s="345">
        <f>(Table16[[#This Row],[Deadtime Loss BuSync]]+Table16[[#This Row],[RDS(on) Loss BuSync]]*(1+RdsonBotTc*Ta-RdsonBotTc*25))/(1-Table16[[#This Row],[RDS(on) Loss BuSync]]*RdsonBotTc*ThetaJA_Q2)</f>
        <v>0.40358030920622068</v>
      </c>
      <c r="AP209" s="345">
        <f>CHOOSE(Table16[[#This Row],[Mode Digit]],0,SQRT((Fsw*(Table16[[#This Row],[t1_Ph_II]]+0))*((Table16[[#This Row],[I_0]]*Table16[[#This Row],[I_1]]+((Table16[[#This Row],[I_0]]-Table16[[#This Row],[I_1]])^2)/3))),SQRT((Fsw*(Table16[[#This Row],[t2_Ph_I]]+0))*((Table16[[#This Row],[I_1]]*Table16[[#This Row],[I_2]]+((Table16[[#This Row],[I_1]]-Table16[[#This Row],[I_2]])^2)/3))))</f>
        <v>0</v>
      </c>
      <c r="AQ209" s="345">
        <f>Rdson4*Table16[[#This Row],[Irms BoCtlr]]^2</f>
        <v>0</v>
      </c>
      <c r="AR209" s="345">
        <f>CHOOSE(Table16[[#This Row],[Mode Digit]], 0, (Vout*Table16[[#This Row],[Iin]]/2)*(Fsw)*(Tr_boost+Tf_boost), (Vout*Iout/2)*(Fsw/1)*(Tr_boost+Tf_boost))</f>
        <v>0</v>
      </c>
      <c r="AS209" s="253">
        <f>IF(Table16[[#This Row],[Vin]]&gt;Vout, 0, IF(Table16[[#This Row],[Iin]]&gt;Table16[[#This Row],[Ripple Current pk-pk]]/2,0,ABS(Table16[[#This Row],[Iin]]-Table16[[#This Row],[Ripple Current pk-pk]]/2)*Vsd_Q4*Deadtime*Fsw))</f>
        <v>0</v>
      </c>
      <c r="AT209" s="345">
        <f>(Table16[[#This Row],[Dead Time Loss BoCtlr]]+Table16[[#This Row],[Transition Loss BoCtlr]]+Table16[[#This Row],[RDS(on) Loss BoCtlr]]*(1+RdsonTopTc*Ta-RdsonTopTc*25))/(1-Table16[[#This Row],[RDS(on) Loss BoCtlr]]*RdsonTopTc*ThetaJA_Q4)</f>
        <v>0</v>
      </c>
      <c r="AU209" s="345">
        <f>CHOOSE(Table16[[#This Row],[Mode Digit]],SQRT((Fsw*(Table16[[#This Row],[t1_Ph_II]]+Table16[[#This Row],[t2_Ph_I]]))*((Table16[[#This Row],[I_0]]*Table16[[#This Row],[I_1]]+((Table16[[#This Row],[I_0]]-Table16[[#This Row],[I_1]])^2)/3))),SQRT((Fsw*(Table16[[#This Row],[t2_Ph_I]]+0))*((Table16[[#This Row],[I_0]]*Table16[[#This Row],[I_1]]+((Table16[[#This Row],[I_0]]-Table16[[#This Row],[I_1]])^2)/3))),SQRT(Fsw*(Table16[[#This Row],[t1_Ph_II]]*((Table16[[#This Row],[I_0]]*Table16[[#This Row],[I_1]]+((Table16[[#This Row],[I_0]]-Table16[[#This Row],[I_1]])^2)/3))+Table16[[#This Row],[t3_Ph_III]]*((Table16[[#This Row],[I_2]]*Table16[[#This Row],[I_0]]+((Table16[[#This Row],[I_2]]-Table16[[#This Row],[I_0]])^2)/3)))))</f>
        <v>8.770670380161782</v>
      </c>
      <c r="AV209" s="345">
        <f>Rdson3*Table16[[#This Row],[Irms BoSync]]^2</f>
        <v>0.26923630621106526</v>
      </c>
      <c r="AW209" s="345">
        <f>CHOOSE(Table16[[#This Row],[Mode Digit]], 0, IF(Table16[[#This Row],[Iin]]&lt;Table16[[#This Row],[Ripple Current pk-pk]]/2,Deadtime*Fsw*IF(VfdSky_Q3&gt;0,0,Vsd_Q3)*(Table16[[#This Row],[Iin]]+Table16[[#This Row],[Ripple Current pk-pk]]/2), 2*Deadtime*Fsw*IF(VfdSky_Q3&gt;0,0,Vsd_Q3)*Table16[[#This Row],[Iin]]), IF(Table16[[#This Row],[Iin]]&lt;Table16[[#This Row],[Ripple Current pk-pk]]/2,Deadtime*Fsw*IF(VfdSky_Q3&gt;0,0,Vsd_Q3)*(Table16[[#This Row],[Iin]]+Table16[[#This Row],[Ripple Current pk-pk]]/2), 2*Deadtime*Fsw*IF(VfdSky_Q3&gt;0,0,Vsd_Q3)*Table16[[#This Row],[Iin]]))</f>
        <v>0</v>
      </c>
      <c r="AX209" s="345">
        <f>(Table16[[#This Row],[Deadtime Loss BoSync]]+Table16[[#This Row],[RDS(on) Loss BoSync]]*(1+RdsonBotTc*Ta-RdsonBotTc*25))/(1-Table16[[#This Row],[RDS(on) Loss BoSync]]*RdsonBotTc*ThetaJA_Q3)</f>
        <v>0.28950185266907447</v>
      </c>
      <c r="AY209" s="345">
        <f>CHOOSE(Table16[[#This Row],[Mode Digit]], Rdson3*Table16[[#This Row],[Irms Lf]]^2, Rdson1*Table16[[#This Row],[Irms Lf]]^2, 0)</f>
        <v>0.26923630621106526</v>
      </c>
      <c r="AZ209" s="345">
        <f>CHOOSE(Table16[[#This Row],[Mode Digit]], 2*Deadtime*Fsw*IF(VfdSky_Q2&gt;0,VfdSky_Q2,0)*Table16[[#This Row],[Iout]], 2*Deadtime*Fsw*IF(VfdSky_Q3&gt;0,VfdSky_Q3,0)*Table16[[#This Row],[Iin]], 2*Deadtime*Fsw*IF(VfdSky_Q2&gt;0,VfdSky_Q2,0)*Table16[[#This Row],[Iout]]+2*Deadtime*Fsw*IF(VfdSky_Q3&gt;0,VfdSky_Q3,0)*Table16[[#This Row],[Iin]])</f>
        <v>0</v>
      </c>
      <c r="BA209" s="345">
        <f>CHOOSE(Table16[[#This Row],[Mode Digit]], IF(QrrSky_Q2&gt;0,QrrSky_Q2,Qrr_Q2)*Fsw*(Table16[[#This Row],[Vin]]-Table16[[#This Row],[Iout]]*Rdson1),0,  IF(QrrSky_Q2&gt;0,QrrSky_Q2,Qrr_Q2)*Fsw*(Table16[[#This Row],[Vin]]-Table16[[#This Row],[Iout]]*Rdson1)+IF(QrrSky_Q3&gt;0,QrrSky_Q3,Qrr_Q3)*Fsw*Vout)</f>
        <v>0.64425851999999995</v>
      </c>
      <c r="BB209" s="345">
        <f>CHOOSE(Table16[[#This Row],[Mode Digit]],0, IF(QrrSky_Q3&gt;0,QrrSky_Q3,Qrr_Q3)*Fsw*Vout,  IF(QrrSky_Q2&gt;0,QrrSky_Q2,Qrr_Q2)*Fsw*(Table16[[#This Row],[Vin]]-Table16[[#This Row],[Iout]]*Rdson1)+IF(QrrSky_Q3&gt;0,QrrSky_Q3,Qrr_Q3)*Fsw*Vout)</f>
        <v>0</v>
      </c>
      <c r="BC209" s="345">
        <f>CHOOSE(Table16[[#This Row],[Mode Digit]], Rs*Table16[[#This Row],[Irms BuSync]]^2, Rs*Table16[[#This Row],[Irms BoCtlr]]^2, Rs*(Table16[[#This Row],[Irms BuSync]]^2+Table16[[#This Row],[Irms BoCtlr]]^2))</f>
        <v>5.5391804079384287E-2</v>
      </c>
      <c r="BD209" s="345">
        <f t="shared" si="11"/>
        <v>0.64</v>
      </c>
      <c r="BE209" s="345">
        <f>IF(Vout&gt;8, Iq*Vout, Iq*Table16[[#This Row],[Vin]])</f>
        <v>4.8000000000000001E-2</v>
      </c>
      <c r="BF209" s="345">
        <f>CHOOSE(Table16[[#This Row],[Mode Digit]], (Qg_Q1+Qg_Q2)*Fsw, (Qg_Q3+Qg_Q4)*Fsw, (Qg_Q1+Qg_Q2+Qg_Q3+Qg_Q4)*Fsw)*IF(Vout&gt;8, Vout, Table16[[#This Row],[Vin]])</f>
        <v>0.85331200000000007</v>
      </c>
      <c r="BG209" s="345">
        <f t="shared" si="12"/>
        <v>0.50594479787234037</v>
      </c>
      <c r="BH209" s="345">
        <f>Table16[[#This Row],[IQ Loss]]+Table16[[#This Row],[Switching Current Loss]]</f>
        <v>0.90131200000000011</v>
      </c>
      <c r="BI209" s="345">
        <f>SUM(Table16[[#This Row],[Total Inductor Loss]],Table16[[#This Row],[Total Cout Loss]],Table16[[#This Row],[Total Cin Loss]],Table16[[#This Row],[Total Control Bu MOSFET Loss]],Table16[[#This Row],[Total Sync Bu MOSFET Loss]],Table16[[#This Row],[Total Control Bo MOSFET Loss]],Table16[[#This Row],[Total Sync Bo MOSFET Loss]], Table16[[#This Row],[Deadtime Loss ext D]],Table16[[#This Row],[Reverse Recovery Loss MOSFET D BUCK]],Table16[[#This Row],[Reverse Recovery Loss MOSFET D BOOST]],Table16[[#This Row],[Total IC Loss]],Table16[[#This Row],[Isense Shunt Loss]],Table16[[#This Row],[Iout Shunt Loss]])</f>
        <v>11.764588017130704</v>
      </c>
      <c r="BJ209" s="253">
        <f>Vout*Table16[[#This Row],[Iout]]</f>
        <v>128</v>
      </c>
      <c r="BK209" s="684">
        <f>Table16[[#This Row],[Pout]]/(Table16[[#This Row],[Pout]]+Table16[[#This Row],[Total Loss]])</f>
        <v>0.91582568815150267</v>
      </c>
      <c r="BL209" s="685">
        <f>IF(Table16[[#This Row],[Vin]]&gt;Vout,ThetaJA_Q1*(Table16[[#This Row],[Total Control Bu MOSFET Loss]]+Table16[[#This Row],[Reverse Recovery Loss MOSFET D BOOST]]),ThetaJA_Q4*(Table16[[#This Row],[Total Control Bo MOSFET Loss]]+Table16[[#This Row],[Reverse Recovery Loss MOSFET D BUCK]]+Table16[[#This Row],[Reverse Recovery Loss MOSFET D BOOST]]))</f>
        <v>80.376497474204029</v>
      </c>
      <c r="BM209" s="685">
        <f>IF(Table16[[#This Row],[Vin]]&gt;Vout, Table16[[#This Row],[Total Sync Bu MOSFET Loss]]*ThetaJA_Q2, ThetaJA_Q3*Table16[[#This Row],[Total Sync Bo MOSFET Loss]])</f>
        <v>26.232720098404343</v>
      </c>
      <c r="BN209" s="640"/>
      <c r="BO209" s="292">
        <f>Table16[[#This Row],[EFF, h]]*100</f>
        <v>91.582568815150267</v>
      </c>
      <c r="BP209" s="345">
        <f>Table16[[#This Row],[Total Inductor Loss]]</f>
        <v>7.530117459139265</v>
      </c>
      <c r="BQ209" s="345">
        <f>Table16[[#This Row],[Total Control Bu MOSFET Loss]]+Table16[[#This Row],[Total Sync Bu MOSFET Loss]]+Table16[[#This Row],[Total Control Bo MOSFET Loss]]+Table16[[#This Row],[Total Sync Bo MOSFET Loss]]+Table16[[#This Row],[Reverse Recovery Loss MOSFET D BUCK]]+Table16[[#This Row],[Reverse Recovery Loss MOSFET D BOOST]]</f>
        <v>2.573902181478434</v>
      </c>
      <c r="BR209" s="345">
        <f>Table16[[#This Row],[Total Control Bu MOSFET Loss]]+Table16[[#This Row],[Reverse Recovery Loss MOSFET D BUCK]]*0.66</f>
        <v>1.6617721228031388</v>
      </c>
      <c r="BS209" s="345">
        <f>Table16[[#This Row],[Total Sync Bu MOSFET Loss]]+Table16[[#This Row],[Reverse Recovery Loss MOSFET D BUCK]]*0.33</f>
        <v>0.61618562080622064</v>
      </c>
      <c r="BT209" s="345">
        <f xml:space="preserve"> Table16[[#This Row],[Total Control Bo MOSFET Loss]]+Table16[[#This Row],[Reverse Recovery Loss MOSFET D BOOST]]*0.66</f>
        <v>0</v>
      </c>
      <c r="BU209" s="345">
        <f xml:space="preserve"> Table16[[#This Row],[Total Sync Bo MOSFET Loss]]+Table16[[#This Row],[Reverse Recovery Loss MOSFET D BOOST]]*0.33</f>
        <v>0.28950185266907447</v>
      </c>
      <c r="BV209" s="345">
        <f>Table16[[#This Row],[Isense Shunt Loss]]</f>
        <v>5.5391804079384287E-2</v>
      </c>
    </row>
    <row r="224" spans="7:74" x14ac:dyDescent="0.2">
      <c r="H224" s="253"/>
      <c r="T224" s="253"/>
      <c r="U224" s="253"/>
      <c r="V224" s="253"/>
      <c r="W224" s="253"/>
      <c r="X224" s="253"/>
      <c r="AA224" s="253"/>
      <c r="AD224" s="253"/>
      <c r="AY224" s="253"/>
      <c r="BA224" s="253"/>
      <c r="BB224" s="253"/>
      <c r="BI224" s="253"/>
      <c r="BK224" s="253"/>
      <c r="BL224" s="253"/>
      <c r="BM224" s="253"/>
      <c r="BO224" s="253"/>
      <c r="BP224" s="253"/>
      <c r="BQ224" s="253"/>
      <c r="BR224" s="253"/>
      <c r="BS224" s="253"/>
      <c r="BT224" s="253"/>
      <c r="BU224" s="253"/>
    </row>
    <row r="234" s="253" customFormat="1" x14ac:dyDescent="0.2"/>
    <row r="235" s="253" customFormat="1" x14ac:dyDescent="0.2"/>
  </sheetData>
  <sheetProtection selectLockedCells="1"/>
  <mergeCells count="13">
    <mergeCell ref="BO7:BV7"/>
    <mergeCell ref="AG7:AK7"/>
    <mergeCell ref="AL7:AO7"/>
    <mergeCell ref="AP7:AT7"/>
    <mergeCell ref="AU7:AX7"/>
    <mergeCell ref="BE7:BH7"/>
    <mergeCell ref="BI7:BM7"/>
    <mergeCell ref="AD7:AF7"/>
    <mergeCell ref="A1:D4"/>
    <mergeCell ref="A6:D7"/>
    <mergeCell ref="G7:V7"/>
    <mergeCell ref="W7:Z7"/>
    <mergeCell ref="AA7:AC7"/>
  </mergeCells>
  <phoneticPr fontId="107" type="noConversion"/>
  <pageMargins left="0.75" right="0.75" top="1" bottom="1" header="0.5" footer="0.5"/>
  <pageSetup orientation="portrait" r:id="rId1"/>
  <headerFooter alignWithMargins="0"/>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F7B9A7-07D5-4BC3-8DDB-63A7B84FCB31}">
  <sheetPr codeName="Sheet19">
    <tabColor rgb="FF92D050"/>
  </sheetPr>
  <dimension ref="A1:CN209"/>
  <sheetViews>
    <sheetView topLeftCell="BF1" zoomScaleNormal="100" workbookViewId="0">
      <pane ySplit="8" topLeftCell="A9" activePane="bottomLeft" state="frozen"/>
      <selection activeCell="F1" sqref="F1"/>
      <selection pane="bottomLeft" activeCell="BE7" sqref="BE7:BH7"/>
    </sheetView>
  </sheetViews>
  <sheetFormatPr defaultColWidth="9.125" defaultRowHeight="12.9" x14ac:dyDescent="0.2"/>
  <cols>
    <col min="1" max="1" width="19.875" style="253" customWidth="1"/>
    <col min="2" max="2" width="13.125" style="253" bestFit="1" customWidth="1"/>
    <col min="3" max="3" width="9.125" style="253"/>
    <col min="4" max="4" width="71.625" style="253" customWidth="1"/>
    <col min="5" max="5" width="9.125" style="253"/>
    <col min="6" max="6" width="9.125" style="253" customWidth="1"/>
    <col min="7" max="7" width="6.875" style="253" customWidth="1"/>
    <col min="8" max="8" width="9.125" style="283"/>
    <col min="9" max="9" width="11" style="253" customWidth="1"/>
    <col min="10" max="10" width="12.125" style="253" customWidth="1"/>
    <col min="11" max="11" width="8.125" style="253" customWidth="1"/>
    <col min="12" max="12" width="7.375" style="253" customWidth="1"/>
    <col min="13" max="13" width="12.75" style="253" bestFit="1" customWidth="1"/>
    <col min="14" max="14" width="12.125" style="253" bestFit="1" customWidth="1"/>
    <col min="15" max="15" width="12.75" style="253" bestFit="1" customWidth="1"/>
    <col min="16" max="19" width="8.25" style="253" customWidth="1"/>
    <col min="20" max="20" width="22" style="345" customWidth="1"/>
    <col min="21" max="21" width="23.25" style="345" customWidth="1"/>
    <col min="22" max="22" width="21.125" style="292" customWidth="1"/>
    <col min="23" max="23" width="8.875" style="292" customWidth="1"/>
    <col min="24" max="24" width="13.25" style="639" customWidth="1"/>
    <col min="25" max="25" width="11.875" style="253" customWidth="1"/>
    <col min="26" max="26" width="19.875" style="253" customWidth="1"/>
    <col min="27" max="27" width="11.375" style="292" customWidth="1"/>
    <col min="28" max="28" width="16.25" style="253" customWidth="1"/>
    <col min="29" max="29" width="16.75" style="253" customWidth="1"/>
    <col min="30" max="30" width="10.125" style="639" customWidth="1"/>
    <col min="31" max="31" width="14.875" style="253" customWidth="1"/>
    <col min="32" max="32" width="15.375" style="253" customWidth="1"/>
    <col min="33" max="33" width="8.625" style="253" customWidth="1"/>
    <col min="34" max="34" width="15.125" style="253" customWidth="1"/>
    <col min="35" max="35" width="16.375" style="253" customWidth="1"/>
    <col min="36" max="36" width="17.25" style="253" customWidth="1"/>
    <col min="37" max="37" width="27.25" style="253" customWidth="1"/>
    <col min="38" max="38" width="8.875" style="253" customWidth="1"/>
    <col min="39" max="39" width="16.125" style="253" customWidth="1"/>
    <col min="40" max="40" width="15.75" style="253" customWidth="1"/>
    <col min="41" max="41" width="25" style="253" customWidth="1"/>
    <col min="42" max="42" width="8.625" style="253" customWidth="1"/>
    <col min="43" max="43" width="16.125" style="253" customWidth="1"/>
    <col min="44" max="44" width="17.375" style="253" customWidth="1"/>
    <col min="45" max="45" width="18.25" style="253" customWidth="1"/>
    <col min="46" max="46" width="28.25" style="253" customWidth="1"/>
    <col min="47" max="47" width="8.875" style="253" customWidth="1"/>
    <col min="48" max="48" width="17.125" style="253" customWidth="1"/>
    <col min="49" max="49" width="17.75" style="253" customWidth="1"/>
    <col min="50" max="50" width="27" style="253" customWidth="1"/>
    <col min="51" max="51" width="32.375" style="639" customWidth="1"/>
    <col min="52" max="52" width="17.75" style="253" customWidth="1"/>
    <col min="53" max="54" width="23.625" style="639" customWidth="1"/>
    <col min="55" max="55" width="19" style="253" customWidth="1"/>
    <col min="56" max="56" width="16.75" style="253" customWidth="1"/>
    <col min="57" max="57" width="9.625" style="253" customWidth="1"/>
    <col min="58" max="58" width="23.625" style="253" customWidth="1"/>
    <col min="59" max="59" width="23.125" style="253" customWidth="1"/>
    <col min="60" max="60" width="14.25" style="253" customWidth="1"/>
    <col min="61" max="61" width="12" style="292" customWidth="1"/>
    <col min="62" max="62" width="7.25" style="253" customWidth="1"/>
    <col min="63" max="63" width="10.125" style="640" customWidth="1"/>
    <col min="64" max="64" width="36.625" style="641" customWidth="1"/>
    <col min="65" max="65" width="32.375" style="641" customWidth="1"/>
    <col min="66" max="66" width="11.625" style="253" customWidth="1"/>
    <col min="67" max="67" width="7.875" style="345" customWidth="1"/>
    <col min="68" max="68" width="24.75" style="639" customWidth="1"/>
    <col min="69" max="69" width="20.125" style="639" customWidth="1"/>
    <col min="70" max="70" width="29.125" style="639" customWidth="1"/>
    <col min="71" max="73" width="27.625" style="639" customWidth="1"/>
    <col min="74" max="74" width="12.875" style="253" customWidth="1"/>
    <col min="75" max="77" width="9.125" style="253"/>
    <col min="78" max="78" width="28.375" style="253" customWidth="1"/>
    <col min="79" max="80" width="9.125" style="253"/>
    <col min="81" max="81" width="12.375" style="253" bestFit="1" customWidth="1"/>
    <col min="82" max="16384" width="9.125" style="253"/>
  </cols>
  <sheetData>
    <row r="1" spans="1:92" ht="12.75" customHeight="1" x14ac:dyDescent="0.2">
      <c r="A1" s="763" t="s">
        <v>783</v>
      </c>
      <c r="B1" s="763"/>
      <c r="C1" s="763"/>
      <c r="D1" s="763"/>
    </row>
    <row r="2" spans="1:92" ht="12.75" customHeight="1" x14ac:dyDescent="0.2">
      <c r="A2" s="763"/>
      <c r="B2" s="763"/>
      <c r="C2" s="763"/>
      <c r="D2" s="763"/>
      <c r="H2" s="642">
        <f>BK19</f>
        <v>0.81949407538033037</v>
      </c>
      <c r="I2" s="253" t="s">
        <v>806</v>
      </c>
    </row>
    <row r="3" spans="1:92" ht="12.75" customHeight="1" x14ac:dyDescent="0.2">
      <c r="A3" s="763"/>
      <c r="B3" s="763"/>
      <c r="C3" s="763"/>
      <c r="D3" s="763"/>
      <c r="H3" s="642">
        <f>BK59</f>
        <v>0.94390899047736432</v>
      </c>
      <c r="I3" s="253" t="s">
        <v>808</v>
      </c>
    </row>
    <row r="4" spans="1:92" ht="12.75" customHeight="1" x14ac:dyDescent="0.2">
      <c r="A4" s="763"/>
      <c r="B4" s="763"/>
      <c r="C4" s="763"/>
      <c r="D4" s="763"/>
      <c r="H4" s="642">
        <f>BK109</f>
        <v>0.95202356626138773</v>
      </c>
      <c r="I4" s="253" t="s">
        <v>807</v>
      </c>
    </row>
    <row r="5" spans="1:92" ht="13.6" x14ac:dyDescent="0.25">
      <c r="A5" s="643"/>
      <c r="B5" s="644"/>
      <c r="C5" s="645"/>
      <c r="D5" s="645"/>
    </row>
    <row r="6" spans="1:92" ht="13.6" customHeight="1" thickBot="1" x14ac:dyDescent="0.25">
      <c r="A6" s="764" t="s">
        <v>609</v>
      </c>
      <c r="B6" s="764"/>
      <c r="C6" s="764"/>
      <c r="D6" s="764"/>
      <c r="BL6" s="641" t="str">
        <f>IF(Vin&gt;Vout, "Buck ''CONTROL'' MOSFET Temp Rise", "Boost ''CONTROL'' MOSFET Temp Rise")</f>
        <v>Boost ''CONTROL'' MOSFET Temp Rise</v>
      </c>
      <c r="BM6" s="641" t="str">
        <f>IF(Vin&gt;Vout, "Buck ''SYNC'' MOSFET Temp Rise", "Boost ''SYNC'' MOSFET Temp Rise")</f>
        <v>Boost ''SYNC'' MOSFET Temp Rise</v>
      </c>
      <c r="CE6" s="253">
        <v>80</v>
      </c>
      <c r="CF6" s="253">
        <v>100</v>
      </c>
      <c r="CG6" s="253">
        <v>120</v>
      </c>
      <c r="CH6" s="253">
        <v>140</v>
      </c>
      <c r="CI6" s="253">
        <v>160</v>
      </c>
      <c r="CJ6" s="253">
        <v>180</v>
      </c>
      <c r="CK6" s="253">
        <v>20</v>
      </c>
      <c r="CL6" s="253">
        <v>30</v>
      </c>
      <c r="CM6" s="253">
        <v>40</v>
      </c>
      <c r="CN6" s="253">
        <v>50</v>
      </c>
    </row>
    <row r="7" spans="1:92" ht="14.3" thickBot="1" x14ac:dyDescent="0.3">
      <c r="A7" s="764"/>
      <c r="B7" s="764"/>
      <c r="C7" s="764"/>
      <c r="D7" s="764"/>
      <c r="G7" s="760" t="s">
        <v>795</v>
      </c>
      <c r="H7" s="761"/>
      <c r="I7" s="761"/>
      <c r="J7" s="761"/>
      <c r="K7" s="761"/>
      <c r="L7" s="761"/>
      <c r="M7" s="761"/>
      <c r="N7" s="761"/>
      <c r="O7" s="761"/>
      <c r="P7" s="761"/>
      <c r="Q7" s="761"/>
      <c r="R7" s="761"/>
      <c r="S7" s="761"/>
      <c r="T7" s="761"/>
      <c r="U7" s="761"/>
      <c r="V7" s="762"/>
      <c r="W7" s="760" t="s">
        <v>621</v>
      </c>
      <c r="X7" s="761"/>
      <c r="Y7" s="761"/>
      <c r="Z7" s="762"/>
      <c r="AA7" s="765" t="s">
        <v>27</v>
      </c>
      <c r="AB7" s="766"/>
      <c r="AC7" s="767"/>
      <c r="AD7" s="760" t="s">
        <v>61</v>
      </c>
      <c r="AE7" s="761"/>
      <c r="AF7" s="762"/>
      <c r="AG7" s="760" t="s">
        <v>790</v>
      </c>
      <c r="AH7" s="761"/>
      <c r="AI7" s="761"/>
      <c r="AJ7" s="761"/>
      <c r="AK7" s="762"/>
      <c r="AL7" s="760" t="s">
        <v>791</v>
      </c>
      <c r="AM7" s="761"/>
      <c r="AN7" s="761"/>
      <c r="AO7" s="762"/>
      <c r="AP7" s="760" t="s">
        <v>792</v>
      </c>
      <c r="AQ7" s="761"/>
      <c r="AR7" s="761"/>
      <c r="AS7" s="761"/>
      <c r="AT7" s="762"/>
      <c r="AU7" s="760" t="s">
        <v>793</v>
      </c>
      <c r="AV7" s="761"/>
      <c r="AW7" s="761"/>
      <c r="AX7" s="762"/>
      <c r="AY7" s="646" t="s">
        <v>785</v>
      </c>
      <c r="AZ7" s="647" t="s">
        <v>233</v>
      </c>
      <c r="BA7" s="648" t="s">
        <v>595</v>
      </c>
      <c r="BB7" s="648" t="s">
        <v>595</v>
      </c>
      <c r="BC7" s="649" t="s">
        <v>639</v>
      </c>
      <c r="BD7" s="649" t="s">
        <v>636</v>
      </c>
      <c r="BE7" s="769" t="s">
        <v>627</v>
      </c>
      <c r="BF7" s="770"/>
      <c r="BG7" s="770"/>
      <c r="BH7" s="771"/>
      <c r="BI7" s="760" t="s">
        <v>634</v>
      </c>
      <c r="BJ7" s="761"/>
      <c r="BK7" s="761"/>
      <c r="BL7" s="761"/>
      <c r="BM7" s="761"/>
      <c r="BN7" s="650"/>
      <c r="BO7" s="768" t="s">
        <v>635</v>
      </c>
      <c r="BP7" s="768"/>
      <c r="BQ7" s="768"/>
      <c r="BR7" s="768"/>
      <c r="BS7" s="768"/>
      <c r="BT7" s="768"/>
      <c r="BU7" s="768"/>
      <c r="BV7" s="768"/>
    </row>
    <row r="8" spans="1:92" ht="31.25" thickBot="1" x14ac:dyDescent="0.55000000000000004">
      <c r="A8" s="651" t="s">
        <v>110</v>
      </c>
      <c r="B8" s="651"/>
      <c r="C8" s="651"/>
      <c r="D8" s="645"/>
      <c r="G8" s="652" t="s">
        <v>57</v>
      </c>
      <c r="H8" s="653" t="s">
        <v>4</v>
      </c>
      <c r="I8" s="654" t="s">
        <v>794</v>
      </c>
      <c r="J8" s="654" t="s">
        <v>796</v>
      </c>
      <c r="K8" s="655" t="s">
        <v>6</v>
      </c>
      <c r="L8" s="655" t="s">
        <v>376</v>
      </c>
      <c r="M8" s="655" t="s">
        <v>1119</v>
      </c>
      <c r="N8" s="655" t="s">
        <v>1120</v>
      </c>
      <c r="O8" s="655" t="s">
        <v>1121</v>
      </c>
      <c r="P8" s="655" t="s">
        <v>1078</v>
      </c>
      <c r="Q8" s="655" t="s">
        <v>1080</v>
      </c>
      <c r="R8" s="655" t="s">
        <v>1081</v>
      </c>
      <c r="S8" s="655" t="s">
        <v>799</v>
      </c>
      <c r="T8" s="656" t="s">
        <v>798</v>
      </c>
      <c r="U8" s="657" t="s">
        <v>797</v>
      </c>
      <c r="V8" s="658" t="s">
        <v>622</v>
      </c>
      <c r="W8" s="659" t="s">
        <v>789</v>
      </c>
      <c r="X8" s="660" t="s">
        <v>90</v>
      </c>
      <c r="Y8" s="655" t="s">
        <v>788</v>
      </c>
      <c r="Z8" s="661" t="s">
        <v>669</v>
      </c>
      <c r="AA8" s="659" t="s">
        <v>624</v>
      </c>
      <c r="AB8" s="662" t="s">
        <v>623</v>
      </c>
      <c r="AC8" s="661" t="s">
        <v>668</v>
      </c>
      <c r="AD8" s="663" t="s">
        <v>625</v>
      </c>
      <c r="AE8" s="655" t="s">
        <v>626</v>
      </c>
      <c r="AF8" s="661" t="s">
        <v>666</v>
      </c>
      <c r="AG8" s="652" t="s">
        <v>1122</v>
      </c>
      <c r="AH8" s="655" t="s">
        <v>1123</v>
      </c>
      <c r="AI8" s="655" t="s">
        <v>1124</v>
      </c>
      <c r="AJ8" s="664" t="s">
        <v>1125</v>
      </c>
      <c r="AK8" s="661" t="s">
        <v>1126</v>
      </c>
      <c r="AL8" s="652" t="s">
        <v>1127</v>
      </c>
      <c r="AM8" s="655" t="s">
        <v>1128</v>
      </c>
      <c r="AN8" s="655" t="s">
        <v>1129</v>
      </c>
      <c r="AO8" s="665" t="s">
        <v>1130</v>
      </c>
      <c r="AP8" s="652" t="s">
        <v>1131</v>
      </c>
      <c r="AQ8" s="655" t="s">
        <v>1132</v>
      </c>
      <c r="AR8" s="655" t="s">
        <v>1133</v>
      </c>
      <c r="AS8" s="664" t="s">
        <v>1134</v>
      </c>
      <c r="AT8" s="661" t="s">
        <v>1135</v>
      </c>
      <c r="AU8" s="652" t="s">
        <v>1136</v>
      </c>
      <c r="AV8" s="655" t="s">
        <v>1137</v>
      </c>
      <c r="AW8" s="655" t="s">
        <v>1138</v>
      </c>
      <c r="AX8" s="665" t="s">
        <v>1139</v>
      </c>
      <c r="AY8" s="660" t="s">
        <v>784</v>
      </c>
      <c r="AZ8" s="661" t="s">
        <v>1043</v>
      </c>
      <c r="BA8" s="666" t="s">
        <v>1044</v>
      </c>
      <c r="BB8" s="666" t="s">
        <v>1045</v>
      </c>
      <c r="BC8" s="667" t="s">
        <v>638</v>
      </c>
      <c r="BD8" s="667" t="s">
        <v>637</v>
      </c>
      <c r="BE8" s="668" t="s">
        <v>629</v>
      </c>
      <c r="BF8" s="669" t="s">
        <v>164</v>
      </c>
      <c r="BG8" s="670" t="s">
        <v>235</v>
      </c>
      <c r="BH8" s="671" t="s">
        <v>628</v>
      </c>
      <c r="BI8" s="672" t="s">
        <v>58</v>
      </c>
      <c r="BJ8" s="655" t="s">
        <v>358</v>
      </c>
      <c r="BK8" s="673" t="s">
        <v>631</v>
      </c>
      <c r="BL8" s="719" t="s">
        <v>930</v>
      </c>
      <c r="BM8" s="719" t="s">
        <v>931</v>
      </c>
      <c r="BN8" s="253" t="s">
        <v>926</v>
      </c>
      <c r="BO8" s="675" t="s">
        <v>630</v>
      </c>
      <c r="BP8" s="676" t="s">
        <v>667</v>
      </c>
      <c r="BQ8" s="676" t="s">
        <v>800</v>
      </c>
      <c r="BR8" s="676" t="s">
        <v>928</v>
      </c>
      <c r="BS8" s="676" t="s">
        <v>929</v>
      </c>
      <c r="BT8" s="676" t="s">
        <v>1037</v>
      </c>
      <c r="BU8" s="676" t="s">
        <v>1038</v>
      </c>
      <c r="BV8" s="676" t="s">
        <v>765</v>
      </c>
      <c r="BW8" s="677"/>
      <c r="CC8" s="253" t="s">
        <v>130</v>
      </c>
      <c r="CE8" s="253" t="s">
        <v>122</v>
      </c>
      <c r="CF8" s="253" t="s">
        <v>123</v>
      </c>
      <c r="CG8" s="253" t="s">
        <v>124</v>
      </c>
      <c r="CH8" s="253" t="s">
        <v>125</v>
      </c>
      <c r="CI8" s="253" t="s">
        <v>126</v>
      </c>
      <c r="CJ8" s="253" t="s">
        <v>127</v>
      </c>
      <c r="CK8" s="253" t="s">
        <v>131</v>
      </c>
      <c r="CL8" s="253" t="s">
        <v>132</v>
      </c>
      <c r="CM8" s="253" t="s">
        <v>133</v>
      </c>
      <c r="CN8" s="253" t="s">
        <v>134</v>
      </c>
    </row>
    <row r="9" spans="1:92" ht="13.6" x14ac:dyDescent="0.25">
      <c r="A9" s="678" t="s">
        <v>59</v>
      </c>
      <c r="B9" s="679" t="s">
        <v>113</v>
      </c>
      <c r="C9" s="680" t="s">
        <v>80</v>
      </c>
      <c r="D9" s="681" t="s">
        <v>109</v>
      </c>
      <c r="G9" s="253">
        <v>0</v>
      </c>
      <c r="H9" s="286">
        <f t="shared" ref="H9:H40" si="0">Vin</f>
        <v>12</v>
      </c>
      <c r="I9" s="292" t="str">
        <f>IF(Mode = 2,IF(Table25[[#This Row],[Vin]]&gt;Vout, "BUCK","BOOST"),IF(Table25[[#This Row],[Vin]]&gt;VIN_BB_to_buck, "BUCK", IF(Table25[[#This Row],[Vin]]&lt;=VIN_boost_to_BB,"BOOST","BUCK-BST")))</f>
        <v>BOOST</v>
      </c>
      <c r="J9" s="253">
        <f>IF(Table25[[#This Row],[Mode]]="BOOST",2, IF(Table25[[#This Row],[Mode]]="BUCK", 1,3))</f>
        <v>2</v>
      </c>
      <c r="K9" s="253">
        <v>0</v>
      </c>
      <c r="L9" s="292">
        <f>Vout*Table25[[#This Row],[Iout]]/(Table25[[#This Row],[Vin]]*Efficiency)</f>
        <v>0</v>
      </c>
      <c r="M9" s="682">
        <f>CHOOSE(Table25[[#This Row],[Mode Digit]],(Vout+(Rdson2+Rs+Rdcr)*Table25[[#This Row],[Iout]])/(Table25[[#This Row],[Vin]]+(Rs+Rdson2-Rdson1)*Table25[[#This Row],[Iout]])/Fsw,(Vout+(Rdson3+Rdcr)*Table25[[#This Row],[Iin]]-Table25[[#This Row],[Vin]])/(Vout+(Rdson3-Rdson4-Rs)*Table25[[#This Row],[Iin]])/Fsw,t1_Ph_II)</f>
        <v>6.2814070351758797E-7</v>
      </c>
      <c r="N9" s="518">
        <f>CHOOSE(Table25[[#This Row],[Mode Digit]],1/Fsw-Table25[[#This Row],[t1_Ph_II]],1/Fsw-Table25[[#This Row],[t1_Ph_II]],(Vout/Fsw-Table25[[#This Row],[Vin]]*t1_Ph_II)/(Table25[[#This Row],[Vin]]+Vout))</f>
        <v>1.884422110552764E-6</v>
      </c>
      <c r="O9" s="518">
        <f>1/Fsw-(Table25[[#This Row],[t1_Ph_II]]+Table25[[#This Row],[t2_Ph_I]])</f>
        <v>0</v>
      </c>
      <c r="P9"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-2.0938023450586263</v>
      </c>
      <c r="Q9" s="292">
        <f>CHOOSE(Table25[[#This Row],[Mode Digit]],Table25[[#This Row],[I_0]]+1/Lf*(Table25[[#This Row],[Vin]]-Vout)*Table25[[#This Row],[t1_Ph_II]],Table25[[#This Row],[I_0]]+1/Lf*Table25[[#This Row],[Vin]]*Table25[[#This Row],[t1_Ph_II]],Table25[[#This Row],[I_0]]+(Table25[[#This Row],[Vin]]-Vout)/L*Table25[[#This Row],[t1_Ph_II]])</f>
        <v>2.0938023450586263</v>
      </c>
      <c r="R9" s="292">
        <f>CHOOSE(Table25[[#This Row],[Mode Digit]],0,0,Table25[[#This Row],[I_1]]+Table25[[#This Row],[Vin]]/L*Table25[[#This Row],[t2_Ph_I]])</f>
        <v>0</v>
      </c>
      <c r="S9" s="292">
        <f>Fsw*(Table25[[#This Row],[I_0]]*Table25[[#This Row],[t1_Ph_II]]+Table25[[#This Row],[I_1]]*Table25[[#This Row],[t2_Ph_I]]+Table25[[#This Row],[I_2]]*Table25[[#This Row],[t3_Ph_III]])</f>
        <v>1.0469011725293134</v>
      </c>
      <c r="T9" s="345">
        <f>CHOOSE(Table25[[#This Row],[Mode Digit]],(Vout+(Rdson2+Rs+Rdcr)*Table25[[#This Row],[Iout]])/(Table25[[#This Row],[Vin]]+(Rs+Rdson2-Rdson1)*Table25[[#This Row],[Iout]]),1,Fsw*Table25[[#This Row],[t2_Ph_I]]+Table25[[#This Row],[t1_Ph_II]])</f>
        <v>1</v>
      </c>
      <c r="U9" s="345">
        <f>CHOOSE(Table25[[#This Row],[Mode Digit]],0,(Vout+(Rdson3+Rdcr)*Table25[[#This Row],[Iin]]-Table25[[#This Row],[Vin]])/(Vout+(Rdson3-Rdson4-Rs)*Table25[[#This Row],[Iin]]),Fsw*Table25[[#This Row],[t1_Ph_II]]+Table25[[#This Row],[t3_Ph_III]])</f>
        <v>0.25</v>
      </c>
      <c r="V9" s="292">
        <f>MAX(Table25[[#This Row],[I_0]:[I_2]])-MIN(Table25[[#This Row],[I_0]:[I_1]])</f>
        <v>4.1876046901172526</v>
      </c>
      <c r="W9"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1.2088573475494677</v>
      </c>
      <c r="X9" s="345">
        <f>(Table25[[#This Row],[Irms Lf]]^2*Rdcr*(1+Ltc*Ta-Ltc*25))/(1-Table25[[#This Row],[Irms Lf]]^2*Rdcr*Ltc*ThetaCa)</f>
        <v>4.678025536405798E-3</v>
      </c>
      <c r="Y9" s="345">
        <f>ABS(7.759*10^-3*Fsw^0.9458*(0.00787*Table25[[#This Row],[Ripple Current pk-pk]])^2.304)</f>
        <v>0.59089438874460021</v>
      </c>
      <c r="Z9" s="345">
        <f>Table25[[#This Row],[DCR    Loss]]+Table25[[#This Row],[Core Loss]]</f>
        <v>0.59557241428100605</v>
      </c>
      <c r="AA9" s="292">
        <f>IF(Table25[[#This Row],[Vin]]&gt;Vout, Table25[[#This Row],[Ripple Current pk-pk]]/SQRT(12), SQRT(Table25[[#This Row],[Duty Cycle BOOST Leg]]/(1-Table25[[#This Row],[Duty Cycle BOOST Leg]]))*SQRT(Table25[[#This Row],[Iout]]^2+(Table25[[#This Row],[Ripple Current pk-pk]]^2)/12))</f>
        <v>0.69793411501954217</v>
      </c>
      <c r="AB9" s="345">
        <f>RCoutEsr*Table25[[#This Row],[Irms Cout]]^2</f>
        <v>9.7422405781622304E-4</v>
      </c>
      <c r="AC9" s="345">
        <f>Table25[[#This Row],[Cout ESR Loss]]</f>
        <v>9.7422405781622304E-4</v>
      </c>
      <c r="AD9" s="345">
        <f>IF(Table25[[#This Row],[Vin]]&gt;Vout, SQRT(Table25[[#This Row],[Duty Cycle BUCK Leg]]*(1-Table25[[#This Row],[Duty Cycle BUCK Leg]]))*SQRT(Table25[[#This Row],[Iout]]^2+(Table25[[#This Row],[Ripple Current pk-pk]]^2)/12), Table25[[#This Row],[Ripple Current pk-pk]]/SQRT(12))</f>
        <v>1.2088573475494677</v>
      </c>
      <c r="AE9" s="345">
        <f>RCinEsr*Table25[[#This Row],[Irms Cin]]^2</f>
        <v>2.9226721734486693E-3</v>
      </c>
      <c r="AF9" s="683">
        <f>Table25[[#This Row],[Cin ESR Loss]]</f>
        <v>2.9226721734486693E-3</v>
      </c>
      <c r="AG9" s="345">
        <f>CHOOSE(Table25[[#This Row],[Mode Digit]],SQRT((Fsw*(Table25[[#This Row],[t1_Ph_II]]+0))*((Table25[[#This Row],[I_0]]*Table25[[#This Row],[I_1]]+((Table25[[#This Row],[I_0]]-Table25[[#This Row],[I_1]])^2)/3))),Table25[[#This Row],[Irms Lf]],SQRT(Fsw*(Table25[[#This Row],[t1_Ph_II]]*(Table25[[#This Row],[I_0]]*Table25[[#This Row],[I_1]]+((Table25[[#This Row],[I_0]]-Table25[[#This Row],[I_1]])^2)/3)+Table25[[#This Row],[t2_Ph_I]]*(Table25[[#This Row],[I_1]]*Table25[[#This Row],[I_2]]+((Table25[[#This Row],[I_1]]-Table25[[#This Row],[I_2]])^2)/3))))</f>
        <v>1.2088573475494677</v>
      </c>
      <c r="AH9" s="345">
        <f>Rdson1*Table25[[#This Row],[Irms BuCtrl]]^2</f>
        <v>5.1146763035351712E-3</v>
      </c>
      <c r="AI9" s="345">
        <f>CHOOSE(Table25[[#This Row],[Mode Digit]], (Table25[[#This Row],[Vin]]*Table25[[#This Row],[Iout]]/2)*(Fsw)*(Tr_buck+Tf_buck), 0, (Table25[[#This Row],[Vin]]*Table25[[#This Row],[Avg IL]]/2)*(Fsw/1)*(Tr_buck+Tf_buck))</f>
        <v>0</v>
      </c>
      <c r="AJ9" s="253">
        <f>IF(Table25[[#This Row],[Vin]]&gt;Vout, IF(Table25[[#This Row],[Iout]]&gt;Table25[[#This Row],[Ripple Current pk-pk]]/2,0,ABS(Table25[[#This Row],[Iout]]-Table25[[#This Row],[Ripple Current pk-pk]]/2)*Vsd_Q1*Deadtime*Fsw),0)</f>
        <v>0</v>
      </c>
      <c r="AK9" s="345">
        <f>(Table25[[#This Row],[Dead Time Loss BuCtrl]]+Table25[[#This Row],[Transition Loss BuCtrl]]+Table25[[#This Row],[RDS(on) Loss BuCtrl]]*(1+RdsonTopTc*Ta-RdsonTopTc*25))/(1-Table25[[#This Row],[RDS(on) Loss BuCtrl]]*RdsonTopTc*ThetaJA_Q1)</f>
        <v>5.1214869379841198E-3</v>
      </c>
      <c r="AL9" s="345">
        <f>CHOOSE(Table25[[#This Row],[Mode Digit]],SQRT((Fsw*(Table25[[#This Row],[t2_Ph_I]]+0))*((Table25[[#This Row],[I_0]]*Table25[[#This Row],[I_1]]+((Table25[[#This Row],[I_0]]-Table25[[#This Row],[I_1]])^2)/3))),0,SQRT((Fsw*(Table25[[#This Row],[t3_Ph_III]]+0))*((Table25[[#This Row],[I_0]]*Table25[[#This Row],[I_2]]+((Table25[[#This Row],[I_0]]-Table25[[#This Row],[I_2]])^2)/3))))</f>
        <v>0</v>
      </c>
      <c r="AM9" s="345">
        <f>Rdson2*Table25[[#This Row],[Irms BuSync]]^2</f>
        <v>0</v>
      </c>
      <c r="AN9"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9" s="345">
        <f>(Table25[[#This Row],[Deadtime Loss BuSync]]+Table25[[#This Row],[RDS(on) Loss BuSync]]*(1+RdsonBotTc*Ta-RdsonBotTc*25))/(1-Table25[[#This Row],[RDS(on) Loss BuSync]]*RdsonBotTc*ThetaJA_Q2)</f>
        <v>0</v>
      </c>
      <c r="AP9" s="345">
        <f>CHOOSE(Table25[[#This Row],[Mode Digit]],0,SQRT((Fsw*(Table25[[#This Row],[t1_Ph_II]]+0))*((Table25[[#This Row],[I_0]]*Table25[[#This Row],[I_1]]+((Table25[[#This Row],[I_0]]-Table25[[#This Row],[I_1]])^2)/3))),SQRT((Fsw*(Table25[[#This Row],[t2_Ph_I]]+0))*((Table25[[#This Row],[I_1]]*Table25[[#This Row],[I_2]]+((Table25[[#This Row],[I_1]]-Table25[[#This Row],[I_2]])^2)/3))))</f>
        <v>0.60442867377473386</v>
      </c>
      <c r="AQ9" s="345">
        <f>Rdson4*Table25[[#This Row],[Irms BoCtlr]]^2</f>
        <v>1.2786690758837928E-3</v>
      </c>
      <c r="AR9" s="345">
        <f>CHOOSE(Table25[[#This Row],[Mode Digit]], 0, (Vout*Table25[[#This Row],[Iin]]/2)*(Fsw)*(Tr_boost+Tf_boost), (Vout*Iout/2)*(Fsw/1)*(Tr_boost+Tf_boost))</f>
        <v>0</v>
      </c>
      <c r="AS9" s="253">
        <f>IF(Table25[[#This Row],[Vin]]&gt;Vout, 0, IF(Table25[[#This Row],[Iin]]&gt;Table25[[#This Row],[Ripple Current pk-pk]]/2,0,ABS(Table25[[#This Row],[Iin]]-Table25[[#This Row],[Ripple Current pk-pk]]/2)*Vsd_Q4*Deadtime*Fsw))</f>
        <v>3.1249999999999997E-2</v>
      </c>
      <c r="AT9" s="345">
        <f>(Table25[[#This Row],[Dead Time Loss BoCtlr]]+Table25[[#This Row],[Transition Loss BoCtlr]]+Table25[[#This Row],[RDS(on) Loss BoCtlr]]*(1+RdsonTopTc*Ta-RdsonTopTc*25))/(1-Table25[[#This Row],[RDS(on) Loss BoCtlr]]*RdsonTopTc*ThetaJA_Q4)</f>
        <v>3.2539486957170273E-2</v>
      </c>
      <c r="AU9" s="345">
        <f>CHOOSE(Table25[[#This Row],[Mode Digit]],SQRT((Fsw*(Table25[[#This Row],[t1_Ph_II]]+Table25[[#This Row],[t2_Ph_I]]))*((Table25[[#This Row],[I_0]]*Table25[[#This Row],[I_1]]+((Table25[[#This Row],[I_0]]-Table25[[#This Row],[I_1]])^2)/3))),SQRT((Fsw*(Table25[[#This Row],[t2_Ph_I]]+0))*((Table25[[#This Row],[I_0]]*Table25[[#This Row],[I_1]]+((Table25[[#This Row],[I_0]]-Table25[[#This Row],[I_1]])^2)/3))),SQRT(Fsw*(Table25[[#This Row],[t1_Ph_II]]*((Table25[[#This Row],[I_0]]*Table25[[#This Row],[I_1]]+((Table25[[#This Row],[I_0]]-Table25[[#This Row],[I_1]])^2)/3))+Table25[[#This Row],[t3_Ph_III]]*((Table25[[#This Row],[I_2]]*Table25[[#This Row],[I_0]]+((Table25[[#This Row],[I_2]]-Table25[[#This Row],[I_0]])^2)/3)))))</f>
        <v>1.0469011725293134</v>
      </c>
      <c r="AV9" s="345">
        <f>Rdson3*Table25[[#This Row],[Irms BoSync]]^2</f>
        <v>3.8360072276513793E-3</v>
      </c>
      <c r="AW9"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3.1249999999999993E-2</v>
      </c>
      <c r="AX9" s="345">
        <f>(Table25[[#This Row],[Deadtime Loss BoSync]]+Table25[[#This Row],[RDS(on) Loss BoSync]]*(1+RdsonBotTc*Ta-RdsonBotTc*25))/(1-Table25[[#This Row],[RDS(on) Loss BoSync]]*RdsonBotTc*ThetaJA_Q3)</f>
        <v>3.512103560972616E-2</v>
      </c>
      <c r="AY9" s="345">
        <f>CHOOSE(Table25[[#This Row],[Mode Digit]], Rdson3*Table25[[#This Row],[Irms Lf]]^2, Rdson1*Table25[[#This Row],[Irms Lf]]^2, 0)</f>
        <v>5.1146763035351712E-3</v>
      </c>
      <c r="AZ9" s="345">
        <f>CHOOSE(Table25[[#This Row],[Mode Digit]], 2*Deadtime*Fsw*IF(VfdSky_Q2&gt;0,VfdSky_Q2,0)*Table25[[#This Row],[Iout]], 2*Deadtime*Fsw*IF(VfdSky_Q3&gt;0,VfdSky_Q3,0)*Table25[[#This Row],[Iin]], 2*Deadtime*Fsw*IF(VfdSky_Q2&gt;0,VfdSky_Q2,0)*Table25[[#This Row],[Iout]]+2*Deadtime*Fsw*IF(VfdSky_Q3&gt;0,VfdSky_Q3,0)*Table25[[#This Row],[Iin]])</f>
        <v>0</v>
      </c>
      <c r="BA9"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9"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9" s="345">
        <f>CHOOSE(Table25[[#This Row],[Mode Digit]], Rs*Table25[[#This Row],[Irms BuSync]]^2, Rs*Table25[[#This Row],[Irms BoCtlr]]^2, Rs*(Table25[[#This Row],[Irms BuSync]]^2+Table25[[#This Row],[Irms BoCtlr]]^2))</f>
        <v>4.7493422818540871E-4</v>
      </c>
      <c r="BD9" s="345">
        <f t="shared" ref="BD9:BD40" si="1">Rshunt/1000*Iout^2</f>
        <v>0.64</v>
      </c>
      <c r="BE9" s="345">
        <f>IF(Vout&gt;8, Iq*Vout, Iq*Table25[[#This Row],[Vin]])</f>
        <v>4.8000000000000001E-2</v>
      </c>
      <c r="BF9" s="345">
        <f>CHOOSE(Table25[[#This Row],[Mode Digit]], (Qg_Q1+Qg_Q2)*Fsw, (Qg_Q3+Qg_Q4)*Fsw, (Qg_Q1+Qg_Q2+Qg_Q3+Qg_Q4)*Fsw)*IF(Vout&gt;8,  MIN( Table25[[#This Row],[Vin]], Vout), Table25[[#This Row],[Vin]])</f>
        <v>0.63998400000000011</v>
      </c>
      <c r="BG9" s="345">
        <f>(Vin-Vdd)*Fsw*(Qg_Q1+Qg_Q2)+(RdsonDRT+RdsonDRT2)*Fsw*Qg_Q1*Vdd/(RdsonDRT+2*Rgate1+RdsonDRT2)+(RdsonDRB+RdsonDRB2)*Fsw*Qg_Q2*Vdd/(RdsonDRB+2*Rgate2+RdsonDRB2)</f>
        <v>0.50594479787234037</v>
      </c>
      <c r="BH9" s="345">
        <f>Table25[[#This Row],[IQ Loss]]+Table25[[#This Row],[Switching Current Loss]]</f>
        <v>0.68798400000000015</v>
      </c>
      <c r="BI9"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2.7139262542453375</v>
      </c>
      <c r="BJ9" s="253">
        <f>Vout*Table25[[#This Row],[Iout]]</f>
        <v>0</v>
      </c>
      <c r="BK9" s="684">
        <f>Table25[[#This Row],[Pout]]/(Table25[[#This Row],[Pout]]+Table25[[#This Row],[Total Loss]])</f>
        <v>0</v>
      </c>
      <c r="BL9" s="685">
        <f>IF(Table25[[#This Row],[Vin]]&gt;Vout,ThetaJA_Q1*(Table25[[#This Row],[Total Control Bu MOSFET Loss]]+Table25[[#This Row],[Reverse Recovery Loss MOSFET D BUCK]]),ThetaJA_Q4*(Table25[[#This Row],[Total Control Bo MOSFET Loss]]+Table25[[#This Row],[Reverse Recovery Loss MOSFET D BOOST]]))</f>
        <v>25.294586652216069</v>
      </c>
      <c r="BM9" s="685">
        <f>IF(Table25[[#This Row],[Vin]]&gt;Vout, Table25[[#This Row],[Total Sync Bu MOSFET Loss]]*ThetaJA_Q2, ThetaJA_Q3*Table25[[#This Row],[Total Sync Bo MOSFET Loss]])</f>
        <v>2.2828673146322003</v>
      </c>
      <c r="BO9" s="292">
        <f>Table25[[#This Row],[EFF, h]]*100</f>
        <v>0</v>
      </c>
      <c r="BP9" s="345">
        <f>Table25[[#This Row],[Total Inductor Loss]]</f>
        <v>0.59557241428100605</v>
      </c>
      <c r="BQ9" s="345">
        <f>Table25[[#This Row],[Total Control Bu MOSFET Loss]]+Table25[[#This Row],[Total Sync Bu MOSFET Loss]]+Table25[[#This Row],[Total Control Bo MOSFET Loss]]+Table25[[#This Row],[Total Sync Bo MOSFET Loss]]+Table25[[#This Row],[Reverse Recovery Loss MOSFET D BUCK]]+Table25[[#This Row],[Reverse Recovery Loss MOSFET D BOOST]]</f>
        <v>0.78599800950488052</v>
      </c>
      <c r="BR9" s="345">
        <f xml:space="preserve"> Table25[[#This Row],[Total Control Bu MOSFET Loss]]+Table25[[#This Row],[Reverse Recovery Loss MOSFET D BUCK]]*0.66</f>
        <v>0.24048276693798412</v>
      </c>
      <c r="BS9" s="345">
        <f>Table25[[#This Row],[Total Sync Bu MOSFET Loss]]+Table25[[#This Row],[Reverse Recovery Loss MOSFET D BUCK]]*0.33</f>
        <v>0.11768064</v>
      </c>
      <c r="BT9" s="345">
        <f xml:space="preserve"> Table25[[#This Row],[Total Control Bo MOSFET Loss]]+Table25[[#This Row],[Reverse Recovery Loss MOSFET D BOOST]]*0.66</f>
        <v>0.2679007669571703</v>
      </c>
      <c r="BU9" s="345">
        <f xml:space="preserve"> Table25[[#This Row],[Total Sync Bo MOSFET Loss]]+Table25[[#This Row],[Reverse Recovery Loss MOSFET D BOOST]]*0.33</f>
        <v>0.15280167560972616</v>
      </c>
      <c r="BV9" s="345">
        <f>Table25[[#This Row],[Isense Shunt Loss]]</f>
        <v>4.7493422818540871E-4</v>
      </c>
      <c r="BZ9" s="253" t="s">
        <v>135</v>
      </c>
      <c r="CA9" s="686">
        <v>70</v>
      </c>
      <c r="CB9" s="686">
        <v>70</v>
      </c>
      <c r="CC9" s="686">
        <v>70</v>
      </c>
      <c r="CD9" s="686">
        <f>250000*(5-Vdd)*CC9/1000000000+((250000*CC9/1000000000*Vdd)*2.5/(2*4))</f>
        <v>-2.7343749999999972E-3</v>
      </c>
      <c r="CE9" s="253">
        <f t="shared" ref="CE9:CN17" si="2">CE$6*$CD9</f>
        <v>-0.21874999999999978</v>
      </c>
      <c r="CF9" s="253">
        <f t="shared" si="2"/>
        <v>-0.27343749999999972</v>
      </c>
      <c r="CG9" s="253">
        <f t="shared" si="2"/>
        <v>-0.32812499999999967</v>
      </c>
      <c r="CH9" s="253">
        <f t="shared" si="2"/>
        <v>-0.38281249999999961</v>
      </c>
      <c r="CI9" s="253">
        <f t="shared" si="2"/>
        <v>-0.43749999999999956</v>
      </c>
      <c r="CJ9" s="253">
        <f t="shared" si="2"/>
        <v>-0.4921874999999995</v>
      </c>
      <c r="CK9" s="253">
        <f t="shared" si="2"/>
        <v>-5.4687499999999944E-2</v>
      </c>
      <c r="CL9" s="253">
        <f t="shared" si="2"/>
        <v>-8.2031249999999917E-2</v>
      </c>
      <c r="CM9" s="253">
        <f t="shared" si="2"/>
        <v>-0.10937499999999989</v>
      </c>
      <c r="CN9" s="253">
        <f t="shared" si="2"/>
        <v>-0.13671874999999986</v>
      </c>
    </row>
    <row r="10" spans="1:92" ht="13.6" x14ac:dyDescent="0.25">
      <c r="A10" s="687"/>
      <c r="B10" s="688"/>
      <c r="C10" s="680"/>
      <c r="D10" s="681"/>
      <c r="G10" s="253">
        <v>1</v>
      </c>
      <c r="H10" s="286">
        <f t="shared" si="0"/>
        <v>12</v>
      </c>
      <c r="I10" s="292" t="str">
        <f>IF(Mode = 2,IF(Table25[[#This Row],[Vin]]&gt;Vout, "BUCK","BOOST"),IF(Table25[[#This Row],[Vin]]&gt;VIN_BB_to_buck, "BUCK", IF(Table25[[#This Row],[Vin]]&lt;=VIN_boost_to_BB,"BOOST","BUCK-BST")))</f>
        <v>BOOST</v>
      </c>
      <c r="J10" s="253">
        <f>IF(Table25[[#This Row],[Mode]]="BOOST",2, IF(Table25[[#This Row],[Mode]]="BUCK", 1,3))</f>
        <v>2</v>
      </c>
      <c r="K10" s="345">
        <f t="shared" ref="K10:K41" si="3">Iout*G10/100</f>
        <v>0.08</v>
      </c>
      <c r="L10" s="292">
        <f>Vout*Table25[[#This Row],[Iout]]/(Table25[[#This Row],[Vin]]*Efficiency)</f>
        <v>0.11228070175438598</v>
      </c>
      <c r="M10" s="682">
        <f>CHOOSE(Table25[[#This Row],[Mode Digit]],(Vout+(Rdson2+Rs+Rdcr)*Table25[[#This Row],[Iout]])/(Table25[[#This Row],[Vin]]+(Rs+Rdson2-Rdson1)*Table25[[#This Row],[Iout]])/Fsw,(Vout+(Rdson3+Rdcr)*Table25[[#This Row],[Iin]]-Table25[[#This Row],[Vin]])/(Vout+(Rdson3-Rdson4-Rs)*Table25[[#This Row],[Iin]])/Fsw,t1_Ph_II)</f>
        <v>6.2826456958632276E-7</v>
      </c>
      <c r="N10" s="518">
        <f>CHOOSE(Table25[[#This Row],[Mode Digit]],1/Fsw-Table25[[#This Row],[t1_Ph_II]],1/Fsw-Table25[[#This Row],[t1_Ph_II]],(Vout/Fsw-Table25[[#This Row],[Vin]]*t1_Ph_II)/(Table25[[#This Row],[Vin]]+Vout))</f>
        <v>1.8842982444840292E-6</v>
      </c>
      <c r="O10" s="518">
        <f>1/Fsw-(Table25[[#This Row],[t1_Ph_II]]+Table25[[#This Row],[t2_Ph_I]])</f>
        <v>0</v>
      </c>
      <c r="P10"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-1.9819345302000233</v>
      </c>
      <c r="Q10" s="292">
        <f>CHOOSE(Table25[[#This Row],[Mode Digit]],Table25[[#This Row],[I_0]]+1/Lf*(Table25[[#This Row],[Vin]]-Vout)*Table25[[#This Row],[t1_Ph_II]],Table25[[#This Row],[I_0]]+1/Lf*Table25[[#This Row],[Vin]]*Table25[[#This Row],[t1_Ph_II]],Table25[[#This Row],[I_0]]+(Table25[[#This Row],[Vin]]-Vout)/L*Table25[[#This Row],[t1_Ph_II]])</f>
        <v>2.206495933708795</v>
      </c>
      <c r="R10" s="292">
        <f>CHOOSE(Table25[[#This Row],[Mode Digit]],0,0,Table25[[#This Row],[I_1]]+Table25[[#This Row],[Vin]]/L*Table25[[#This Row],[t2_Ph_I]])</f>
        <v>0</v>
      </c>
      <c r="S10" s="292">
        <f>Fsw*(Table25[[#This Row],[I_0]]*Table25[[#This Row],[t1_Ph_II]]+Table25[[#This Row],[I_1]]*Table25[[#This Row],[t2_Ph_I]]+Table25[[#This Row],[I_2]]*Table25[[#This Row],[t3_Ph_III]])</f>
        <v>1.1591818335741286</v>
      </c>
      <c r="T10" s="345">
        <f>CHOOSE(Table25[[#This Row],[Mode Digit]],(Vout+(Rdson2+Rs+Rdcr)*Table25[[#This Row],[Iout]])/(Table25[[#This Row],[Vin]]+(Rs+Rdson2-Rdson1)*Table25[[#This Row],[Iout]]),1,Fsw*Table25[[#This Row],[t2_Ph_I]]+Table25[[#This Row],[t1_Ph_II]])</f>
        <v>1</v>
      </c>
      <c r="U10" s="345">
        <f>CHOOSE(Table25[[#This Row],[Mode Digit]],0,(Vout+(Rdson3+Rdcr)*Table25[[#This Row],[Iin]]-Table25[[#This Row],[Vin]])/(Vout+(Rdson3-Rdson4-Rs)*Table25[[#This Row],[Iin]]),Fsw*Table25[[#This Row],[t1_Ph_II]]+Table25[[#This Row],[t3_Ph_III]])</f>
        <v>0.25004929869535647</v>
      </c>
      <c r="V10" s="292">
        <f>MAX(Table25[[#This Row],[I_0]:[I_2]])-MIN(Table25[[#This Row],[I_0]:[I_1]])</f>
        <v>4.1884304639088183</v>
      </c>
      <c r="W10"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1.2142979186494602</v>
      </c>
      <c r="X10" s="345">
        <f>(Table25[[#This Row],[Irms Lf]]^2*Rdcr*(1+Ltc*Ta-Ltc*25))/(1-Table25[[#This Row],[Irms Lf]]^2*Rdcr*Ltc*ThetaCa)</f>
        <v>4.7202439761758891E-3</v>
      </c>
      <c r="Y10" s="345">
        <f>ABS(7.759*10^-3*Fsw^0.9458*(0.00787*Table25[[#This Row],[Ripple Current pk-pk]])^2.304)</f>
        <v>0.59116288831388841</v>
      </c>
      <c r="Z10" s="345">
        <f>Table25[[#This Row],[DCR    Loss]]+Table25[[#This Row],[Core Loss]]</f>
        <v>0.59588313229006429</v>
      </c>
      <c r="AA10" s="292">
        <f>IF(Table25[[#This Row],[Vin]]&gt;Vout, Table25[[#This Row],[Ripple Current pk-pk]]/SQRT(12), SQRT(Table25[[#This Row],[Duty Cycle BOOST Leg]]/(1-Table25[[#This Row],[Duty Cycle BOOST Leg]]))*SQRT(Table25[[#This Row],[Iout]]^2+(Table25[[#This Row],[Ripple Current pk-pk]]^2)/12))</f>
        <v>0.69969006536363765</v>
      </c>
      <c r="AB10" s="345">
        <f>RCoutEsr*Table25[[#This Row],[Irms Cout]]^2</f>
        <v>9.791323751371431E-4</v>
      </c>
      <c r="AC10" s="345">
        <f>Table25[[#This Row],[Cout ESR Loss]]</f>
        <v>9.791323751371431E-4</v>
      </c>
      <c r="AD10" s="292">
        <f>IF(Table25[[#This Row],[Vin]]&gt;Vout, SQRT(Table25[[#This Row],[Duty Cycle BUCK Leg]]*(1-Table25[[#This Row],[Duty Cycle BUCK Leg]]))*SQRT(Table25[[#This Row],[Iout]]^2+(Table25[[#This Row],[Ripple Current pk-pk]]^2)/12), Table25[[#This Row],[Ripple Current pk-pk]]/SQRT(12))</f>
        <v>1.2090957279098928</v>
      </c>
      <c r="AE10" s="345">
        <f>RCinEsr*Table25[[#This Row],[Irms Cin]]^2</f>
        <v>2.9238249584999073E-3</v>
      </c>
      <c r="AF10" s="683">
        <f>Table25[[#This Row],[Cin ESR Loss]]</f>
        <v>2.9238249584999073E-3</v>
      </c>
      <c r="AG10" s="345">
        <f>Table25[[#This Row],[Irms Lf]]</f>
        <v>1.2142979186494602</v>
      </c>
      <c r="AH10" s="345">
        <f>Rdson1*Table25[[#This Row],[Irms BuCtrl]]^2</f>
        <v>5.1608180233274391E-3</v>
      </c>
      <c r="AI10" s="345">
        <f>CHOOSE(Table25[[#This Row],[Mode Digit]], (Table25[[#This Row],[Vin]]*Table25[[#This Row],[Iout]]/2)*(Fsw)*(Tr_buck+Tf_buck), 0, (Table25[[#This Row],[Vin]]*Table25[[#This Row],[Avg IL]]/2)*(Fsw/1)*(Tr_buck+Tf_buck))</f>
        <v>0</v>
      </c>
      <c r="AJ10" s="253">
        <f>IF(Table25[[#This Row],[Vin]]&gt;Vout, IF(Table25[[#This Row],[Iout]]&gt;Table25[[#This Row],[Ripple Current pk-pk]]/2,0,ABS(Table25[[#This Row],[Iout]]-Table25[[#This Row],[Ripple Current pk-pk]]/2)*Vsd_Q1*Deadtime*Fsw),0)</f>
        <v>0</v>
      </c>
      <c r="AK10" s="345">
        <f>(Table25[[#This Row],[Dead Time Loss BuCtrl]]+Table25[[#This Row],[Transition Loss BuCtrl]]+Table25[[#This Row],[RDS(on) Loss BuCtrl]]*(1+RdsonTopTc*Ta-RdsonTopTc*25))/(1-Table25[[#This Row],[RDS(on) Loss BuCtrl]]*RdsonTopTc*ThetaJA_Q1)</f>
        <v>5.1677521787593392E-3</v>
      </c>
      <c r="AL10" s="345">
        <f>Table25[[#This Row],[Irms Lf]]</f>
        <v>1.2142979186494602</v>
      </c>
      <c r="AM10" s="345">
        <f>Rdson2*Table25[[#This Row],[Irms BuSync]]^2</f>
        <v>5.1608180233274391E-3</v>
      </c>
      <c r="AN10"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10" s="345">
        <f>(Table25[[#This Row],[Deadtime Loss BuSync]]+Table25[[#This Row],[RDS(on) Loss BuSync]]*(1+RdsonBotTc*Ta-RdsonBotTc*25))/(1-Table25[[#This Row],[RDS(on) Loss BuSync]]*RdsonBotTc*ThetaJA_Q2)</f>
        <v>5.1677521787593392E-3</v>
      </c>
      <c r="AP10" s="345">
        <f>Table25[[#This Row],[Irms Lf]]</f>
        <v>1.2142979186494602</v>
      </c>
      <c r="AQ10" s="345">
        <f>Rdson4*Table25[[#This Row],[Irms BoCtlr]]^2</f>
        <v>5.1608180233274391E-3</v>
      </c>
      <c r="AR10" s="345">
        <f>CHOOSE(Table25[[#This Row],[Mode Digit]], 0, (Vout*Table25[[#This Row],[Iin]]/2)*(Fsw)*(Tr_boost+Tf_boost), (Vout*Iout/2)*(Fsw/1)*(Tr_boost+Tf_boost))</f>
        <v>6.6756941595315505E-3</v>
      </c>
      <c r="AS10" s="345">
        <f>IF(Table25[[#This Row],[Vin]]&gt;Vout, 0, IF(Table25[[#This Row],[Iin]]&gt;Table25[[#This Row],[Ripple Current pk-pk]]/2,0,ABS(Table25[[#This Row],[Iin]]-Table25[[#This Row],[Ripple Current pk-pk]]/2)*Vsd_Q4*Deadtime*Fsw))</f>
        <v>2.9580372863235348E-2</v>
      </c>
      <c r="AT10" s="345">
        <f>(Table25[[#This Row],[Dead Time Loss BoCtlr]]+Table25[[#This Row],[Transition Loss BoCtlr]]+Table25[[#This Row],[RDS(on) Loss BoCtlr]]*(1+RdsonTopTc*Ta-RdsonTopTc*25))/(1-Table25[[#This Row],[RDS(on) Loss BoCtlr]]*RdsonTopTc*ThetaJA_Q4)</f>
        <v>4.1472533417557286E-2</v>
      </c>
      <c r="AU10" s="345">
        <f>Table25[[#This Row],[Irms Lf]]</f>
        <v>1.2142979186494602</v>
      </c>
      <c r="AV10" s="345">
        <f>Rdson3*Table25[[#This Row],[Irms BoSync]]^2</f>
        <v>5.1608180233274391E-3</v>
      </c>
      <c r="AW10"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3.2931951810603759E-2</v>
      </c>
      <c r="AX10" s="345">
        <f>(Table25[[#This Row],[Deadtime Loss BoSync]]+Table25[[#This Row],[RDS(on) Loss BoSync]]*(1+RdsonBotTc*Ta-RdsonBotTc*25))/(1-Table25[[#This Row],[RDS(on) Loss BoSync]]*RdsonBotTc*ThetaJA_Q3)</f>
        <v>3.8143951872450316E-2</v>
      </c>
      <c r="AY10" s="345">
        <f>CHOOSE(Table25[[#This Row],[Mode Digit]], Rdson3*Table25[[#This Row],[Irms Lf]]^2, Rdson1*Table25[[#This Row],[Irms Lf]]^2, 0)</f>
        <v>5.1608180233274391E-3</v>
      </c>
      <c r="AZ10" s="345">
        <f>CHOOSE(Table25[[#This Row],[Mode Digit]], 2*Deadtime*Fsw*IF(VfdSky_Q2&gt;0,VfdSky_Q2,0)*Table25[[#This Row],[Iout]], 2*Deadtime*Fsw*IF(VfdSky_Q3&gt;0,VfdSky_Q3,0)*Table25[[#This Row],[Iin]], 2*Deadtime*Fsw*IF(VfdSky_Q2&gt;0,VfdSky_Q2,0)*Table25[[#This Row],[Iout]]+2*Deadtime*Fsw*IF(VfdSky_Q3&gt;0,VfdSky_Q3,0)*Table25[[#This Row],[Iin]])</f>
        <v>0</v>
      </c>
      <c r="BA10"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10"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10" s="345">
        <f>CHOOSE(Table25[[#This Row],[Mode Digit]], Rs*Table25[[#This Row],[Irms BuSync]]^2, Rs*Table25[[#This Row],[Irms BoCtlr]]^2, Rs*(Table25[[#This Row],[Irms BuSync]]^2+Table25[[#This Row],[Irms BoCtlr]]^2))</f>
        <v>1.9168752658073342E-3</v>
      </c>
      <c r="BD10" s="345">
        <f t="shared" si="1"/>
        <v>0.64</v>
      </c>
      <c r="BE10" s="345">
        <f>IF(Vout&gt;8, Iq*Vout, Iq*Table25[[#This Row],[Vin]])</f>
        <v>4.8000000000000001E-2</v>
      </c>
      <c r="BF10" s="345">
        <f>CHOOSE(Table25[[#This Row],[Mode Digit]], (Qg_Q1+Qg_Q2)*Fsw, (Qg_Q3+Qg_Q4)*Fsw, (Qg_Q1+Qg_Q2+Qg_Q3+Qg_Q4)*Fsw)*IF(Vout&gt;8,  MIN( Table25[[#This Row],[Vin]], Vout), Table25[[#This Row],[Vin]])</f>
        <v>0.63998400000000011</v>
      </c>
      <c r="BG10" s="345">
        <f t="shared" ref="BG10:BG72" si="4">(Vin-Vdd)*Fsw*(Qg_Q1+Qg_Q2)+(RdsonDRT+RdsonDRT2)*Fsw*Qg_Q1*Vdd/(RdsonDRT+2*Rgate1+RdsonDRT2)+(RdsonDRB+RdsonDRB2)*Fsw*Qg_Q2*Vdd/(RdsonDRB+2*Rgate2+RdsonDRB2)</f>
        <v>0.50594479787234037</v>
      </c>
      <c r="BH10" s="345">
        <f>Table25[[#This Row],[IQ Loss]]+Table25[[#This Row],[Switching Current Loss]]</f>
        <v>0.68798400000000015</v>
      </c>
      <c r="BI10"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2.7328549545370353</v>
      </c>
      <c r="BJ10" s="253">
        <f>Vout*Table25[[#This Row],[Iout]]</f>
        <v>1.28</v>
      </c>
      <c r="BK10" s="684">
        <f>Table25[[#This Row],[Pout]]/(Table25[[#This Row],[Pout]]+Table25[[#This Row],[Total Loss]])</f>
        <v>0.3189748980467883</v>
      </c>
      <c r="BL10" s="685">
        <f>IF(Table25[[#This Row],[Vin]]&gt;Vout,ThetaJA_Q1*(Table25[[#This Row],[Total Control Bu MOSFET Loss]]+Table25[[#This Row],[Reverse Recovery Loss MOSFET D BUCK]]),ThetaJA_Q4*(Table25[[#This Row],[Total Control Bo MOSFET Loss]]+Table25[[#This Row],[Reverse Recovery Loss MOSFET D BOOST]]))</f>
        <v>25.875234672141222</v>
      </c>
      <c r="BM10" s="685">
        <f>IF(Table25[[#This Row],[Vin]]&gt;Vout, Table25[[#This Row],[Total Sync Bu MOSFET Loss]]*ThetaJA_Q2, ThetaJA_Q3*Table25[[#This Row],[Total Sync Bo MOSFET Loss]])</f>
        <v>2.4793568717092707</v>
      </c>
      <c r="BN10" s="640"/>
      <c r="BO10" s="292">
        <f>Table25[[#This Row],[EFF, h]]*100</f>
        <v>31.89748980467883</v>
      </c>
      <c r="BP10" s="345">
        <f>Table25[[#This Row],[Total Inductor Loss]]</f>
        <v>0.59588313229006429</v>
      </c>
      <c r="BQ10" s="345">
        <f>Table25[[#This Row],[Total Control Bu MOSFET Loss]]+Table25[[#This Row],[Total Sync Bu MOSFET Loss]]+Table25[[#This Row],[Total Control Bo MOSFET Loss]]+Table25[[#This Row],[Total Sync Bo MOSFET Loss]]+Table25[[#This Row],[Reverse Recovery Loss MOSFET D BUCK]]+Table25[[#This Row],[Reverse Recovery Loss MOSFET D BOOST]]</f>
        <v>0.80316798964752623</v>
      </c>
      <c r="BR10" s="345">
        <f xml:space="preserve"> Table25[[#This Row],[Total Control Bu MOSFET Loss]]+Table25[[#This Row],[Reverse Recovery Loss MOSFET D BUCK]]*0.66</f>
        <v>0.24052903217875934</v>
      </c>
      <c r="BS10" s="345">
        <f>Table25[[#This Row],[Total Sync Bu MOSFET Loss]]+Table25[[#This Row],[Reverse Recovery Loss MOSFET D BUCK]]*0.33</f>
        <v>0.12284839217875934</v>
      </c>
      <c r="BT10" s="345">
        <f xml:space="preserve"> Table25[[#This Row],[Total Control Bo MOSFET Loss]]+Table25[[#This Row],[Reverse Recovery Loss MOSFET D BOOST]]*0.66</f>
        <v>0.27683381341755731</v>
      </c>
      <c r="BU10" s="345">
        <f xml:space="preserve"> Table25[[#This Row],[Total Sync Bo MOSFET Loss]]+Table25[[#This Row],[Reverse Recovery Loss MOSFET D BOOST]]*0.33</f>
        <v>0.15582459187245032</v>
      </c>
      <c r="BV10" s="345">
        <f>Table25[[#This Row],[Isense Shunt Loss]]</f>
        <v>1.9168752658073342E-3</v>
      </c>
      <c r="CA10" s="686"/>
      <c r="CB10" s="686"/>
      <c r="CC10" s="686"/>
      <c r="CD10" s="686"/>
    </row>
    <row r="11" spans="1:92" x14ac:dyDescent="0.2">
      <c r="A11" s="689" t="s">
        <v>4</v>
      </c>
      <c r="B11" s="569">
        <f>Vin</f>
        <v>12</v>
      </c>
      <c r="C11" s="255" t="s">
        <v>0</v>
      </c>
      <c r="D11" s="255" t="s">
        <v>4</v>
      </c>
      <c r="G11" s="253">
        <v>2</v>
      </c>
      <c r="H11" s="286">
        <f t="shared" si="0"/>
        <v>12</v>
      </c>
      <c r="I11" s="292" t="str">
        <f>IF(Mode = 2,IF(Table25[[#This Row],[Vin]]&gt;Vout, "BUCK","BOOST"),IF(Table25[[#This Row],[Vin]]&gt;VIN_BB_to_buck, "BUCK", IF(Table25[[#This Row],[Vin]]&lt;=VIN_boost_to_BB,"BOOST","BUCK-BST")))</f>
        <v>BOOST</v>
      </c>
      <c r="J11" s="253">
        <f>IF(Table25[[#This Row],[Mode]]="BOOST",2, IF(Table25[[#This Row],[Mode]]="BUCK", 1,3))</f>
        <v>2</v>
      </c>
      <c r="K11" s="345">
        <f t="shared" si="3"/>
        <v>0.16</v>
      </c>
      <c r="L11" s="292">
        <f>Vout*Table25[[#This Row],[Iout]]/(Table25[[#This Row],[Vin]]*Efficiency)</f>
        <v>0.22456140350877196</v>
      </c>
      <c r="M11" s="682">
        <f>CHOOSE(Table25[[#This Row],[Mode Digit]],(Vout+(Rdson2+Rs+Rdcr)*Table25[[#This Row],[Iout]])/(Table25[[#This Row],[Vin]]+(Rs+Rdson2-Rdson1)*Table25[[#This Row],[Iout]])/Fsw,(Vout+(Rdson3+Rdcr)*Table25[[#This Row],[Iin]]-Table25[[#This Row],[Vin]])/(Vout+(Rdson3-Rdson4-Rs)*Table25[[#This Row],[Iin]])/Fsw,t1_Ph_II)</f>
        <v>6.2838843791511129E-7</v>
      </c>
      <c r="N11" s="518">
        <f>CHOOSE(Table25[[#This Row],[Mode Digit]],1/Fsw-Table25[[#This Row],[t1_Ph_II]],1/Fsw-Table25[[#This Row],[t1_Ph_II]],(Vout/Fsw-Table25[[#This Row],[Vin]]*t1_Ph_II)/(Table25[[#This Row],[Vin]]+Vout))</f>
        <v>1.8841743761552407E-6</v>
      </c>
      <c r="O11" s="518">
        <f>1/Fsw-(Table25[[#This Row],[t1_Ph_II]]+Table25[[#This Row],[t2_Ph_I]])</f>
        <v>0</v>
      </c>
      <c r="P11"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-1.8700667228749321</v>
      </c>
      <c r="Q11" s="292">
        <f>CHOOSE(Table25[[#This Row],[Mode Digit]],Table25[[#This Row],[I_0]]+1/Lf*(Table25[[#This Row],[Vin]]-Vout)*Table25[[#This Row],[t1_Ph_II]],Table25[[#This Row],[I_0]]+1/Lf*Table25[[#This Row],[Vin]]*Table25[[#This Row],[t1_Ph_II]],Table25[[#This Row],[I_0]]+(Table25[[#This Row],[Vin]]-Vout)/L*Table25[[#This Row],[t1_Ph_II]])</f>
        <v>2.3191895298924763</v>
      </c>
      <c r="R11" s="292">
        <f>CHOOSE(Table25[[#This Row],[Mode Digit]],0,0,Table25[[#This Row],[I_1]]+Table25[[#This Row],[Vin]]/L*Table25[[#This Row],[t2_Ph_I]])</f>
        <v>0</v>
      </c>
      <c r="S11" s="292">
        <f>Fsw*(Table25[[#This Row],[I_0]]*Table25[[#This Row],[t1_Ph_II]]+Table25[[#This Row],[I_1]]*Table25[[#This Row],[t2_Ph_I]]+Table25[[#This Row],[I_2]]*Table25[[#This Row],[t3_Ph_III]])</f>
        <v>1.2714624131968322</v>
      </c>
      <c r="T11" s="345">
        <f>CHOOSE(Table25[[#This Row],[Mode Digit]],(Vout+(Rdson2+Rs+Rdcr)*Table25[[#This Row],[Iout]])/(Table25[[#This Row],[Vin]]+(Rs+Rdson2-Rdson1)*Table25[[#This Row],[Iout]]),1,Fsw*Table25[[#This Row],[t2_Ph_I]]+Table25[[#This Row],[t1_Ph_II]])</f>
        <v>1</v>
      </c>
      <c r="U11" s="345">
        <f>CHOOSE(Table25[[#This Row],[Mode Digit]],0,(Vout+(Rdson3+Rdcr)*Table25[[#This Row],[Iin]]-Table25[[#This Row],[Vin]])/(Vout+(Rdson3-Rdson4-Rs)*Table25[[#This Row],[Iin]]),Fsw*Table25[[#This Row],[t1_Ph_II]]+Table25[[#This Row],[t3_Ph_III]])</f>
        <v>0.2500985982902143</v>
      </c>
      <c r="V11" s="292">
        <f>MAX(Table25[[#This Row],[I_0]:[I_2]])-MIN(Table25[[#This Row],[I_0]:[I_1]])</f>
        <v>4.1892562527674082</v>
      </c>
      <c r="W11"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1.2300068373353585</v>
      </c>
      <c r="X11" s="345">
        <f>(Table25[[#This Row],[Irms Lf]]^2*Rdcr*(1+Ltc*Ta-Ltc*25))/(1-Table25[[#This Row],[Irms Lf]]^2*Rdcr*Ltc*ThetaCa)</f>
        <v>4.8432096312217539E-3</v>
      </c>
      <c r="Y11" s="345">
        <f>ABS(7.759*10^-3*Fsw^0.9458*(0.00787*Table25[[#This Row],[Ripple Current pk-pk]])^2.304)</f>
        <v>0.59143146182187012</v>
      </c>
      <c r="Z11" s="345">
        <f>Table25[[#This Row],[DCR    Loss]]+Table25[[#This Row],[Core Loss]]</f>
        <v>0.59627467145309188</v>
      </c>
      <c r="AA11" s="292">
        <f>IF(Table25[[#This Row],[Vin]]&gt;Vout, Table25[[#This Row],[Ripple Current pk-pk]]/SQRT(12), SQRT(Table25[[#This Row],[Duty Cycle BOOST Leg]]/(1-Table25[[#This Row],[Duty Cycle BOOST Leg]]))*SQRT(Table25[[#This Row],[Iout]]^2+(Table25[[#This Row],[Ripple Current pk-pk]]^2)/12))</f>
        <v>0.70447891420151654</v>
      </c>
      <c r="AB11" s="345">
        <f>RCoutEsr*Table25[[#This Row],[Irms Cout]]^2</f>
        <v>9.9258108110909533E-4</v>
      </c>
      <c r="AC11" s="345">
        <f>Table25[[#This Row],[Cout ESR Loss]]</f>
        <v>9.9258108110909533E-4</v>
      </c>
      <c r="AD11" s="292">
        <f>IF(Table25[[#This Row],[Vin]]&gt;Vout, SQRT(Table25[[#This Row],[Duty Cycle BUCK Leg]]*(1-Table25[[#This Row],[Duty Cycle BUCK Leg]]))*SQRT(Table25[[#This Row],[Iout]]^2+(Table25[[#This Row],[Ripple Current pk-pk]]^2)/12), Table25[[#This Row],[Ripple Current pk-pk]]/SQRT(12))</f>
        <v>1.2093341126197932</v>
      </c>
      <c r="AE11" s="345">
        <f>RCinEsr*Table25[[#This Row],[Irms Cin]]^2</f>
        <v>2.9249779918918053E-3</v>
      </c>
      <c r="AF11" s="683">
        <f>Table25[[#This Row],[Cin ESR Loss]]</f>
        <v>2.9249779918918053E-3</v>
      </c>
      <c r="AG11" s="345">
        <f>Table25[[#This Row],[Irms Lf]]</f>
        <v>1.2300068373353585</v>
      </c>
      <c r="AH11" s="345">
        <f>Rdson1*Table25[[#This Row],[Irms BuCtrl]]^2</f>
        <v>5.2952088696210592E-3</v>
      </c>
      <c r="AI11" s="345">
        <f>CHOOSE(Table25[[#This Row],[Mode Digit]], (Table25[[#This Row],[Vin]]*Table25[[#This Row],[Iout]]/2)*(Fsw)*(Tr_buck+Tf_buck), 0, (Table25[[#This Row],[Vin]]*Table25[[#This Row],[Avg IL]]/2)*(Fsw/1)*(Tr_buck+Tf_buck))</f>
        <v>0</v>
      </c>
      <c r="AJ11" s="253">
        <f>IF(Table25[[#This Row],[Vin]]&gt;Vout, IF(Table25[[#This Row],[Iout]]&gt;Table25[[#This Row],[Ripple Current pk-pk]]/2,0,ABS(Table25[[#This Row],[Iout]]-Table25[[#This Row],[Ripple Current pk-pk]]/2)*Vsd_Q1*Deadtime*Fsw),0)</f>
        <v>0</v>
      </c>
      <c r="AK11" s="345">
        <f>(Table25[[#This Row],[Dead Time Loss BuCtrl]]+Table25[[#This Row],[Transition Loss BuCtrl]]+Table25[[#This Row],[RDS(on) Loss BuCtrl]]*(1+RdsonTopTc*Ta-RdsonTopTc*25))/(1-Table25[[#This Row],[RDS(on) Loss BuCtrl]]*RdsonTopTc*ThetaJA_Q1)</f>
        <v>5.3025091218877607E-3</v>
      </c>
      <c r="AL11" s="345">
        <f>Table25[[#This Row],[Irms Lf]]</f>
        <v>1.2300068373353585</v>
      </c>
      <c r="AM11" s="345">
        <f>Rdson2*Table25[[#This Row],[Irms BuSync]]^2</f>
        <v>5.2952088696210592E-3</v>
      </c>
      <c r="AN11"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11" s="345">
        <f>(Table25[[#This Row],[Deadtime Loss BuSync]]+Table25[[#This Row],[RDS(on) Loss BuSync]]*(1+RdsonBotTc*Ta-RdsonBotTc*25))/(1-Table25[[#This Row],[RDS(on) Loss BuSync]]*RdsonBotTc*ThetaJA_Q2)</f>
        <v>5.3025091218877607E-3</v>
      </c>
      <c r="AP11" s="345">
        <f>Table25[[#This Row],[Irms Lf]]</f>
        <v>1.2300068373353585</v>
      </c>
      <c r="AQ11" s="345">
        <f>Rdson4*Table25[[#This Row],[Irms BoCtlr]]^2</f>
        <v>5.2952088696210592E-3</v>
      </c>
      <c r="AR11" s="345">
        <f>CHOOSE(Table25[[#This Row],[Mode Digit]], 0, (Vout*Table25[[#This Row],[Iin]]/2)*(Fsw)*(Tr_boost+Tf_boost), (Vout*Iout/2)*(Fsw/1)*(Tr_boost+Tf_boost))</f>
        <v>1.3351388319063101E-2</v>
      </c>
      <c r="AS11" s="345">
        <f>IF(Table25[[#This Row],[Vin]]&gt;Vout, 0, IF(Table25[[#This Row],[Iin]]&gt;Table25[[#This Row],[Ripple Current pk-pk]]/2,0,ABS(Table25[[#This Row],[Iin]]-Table25[[#This Row],[Ripple Current pk-pk]]/2)*Vsd_Q4*Deadtime*Fsw))</f>
        <v>2.791074583890836E-2</v>
      </c>
      <c r="AT11" s="345">
        <f>(Table25[[#This Row],[Dead Time Loss BoCtlr]]+Table25[[#This Row],[Transition Loss BoCtlr]]+Table25[[#This Row],[RDS(on) Loss BoCtlr]]*(1+RdsonTopTc*Ta-RdsonTopTc*25))/(1-Table25[[#This Row],[RDS(on) Loss BoCtlr]]*RdsonTopTc*ThetaJA_Q4)</f>
        <v>4.6621529418977133E-2</v>
      </c>
      <c r="AU11" s="345">
        <f>Table25[[#This Row],[Irms Lf]]</f>
        <v>1.2300068373353585</v>
      </c>
      <c r="AV11" s="345">
        <f>Rdson3*Table25[[#This Row],[Irms BoSync]]^2</f>
        <v>5.2952088696210592E-3</v>
      </c>
      <c r="AW11"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3.4613903733645202E-2</v>
      </c>
      <c r="AX11" s="345">
        <f>(Table25[[#This Row],[Deadtime Loss BoSync]]+Table25[[#This Row],[RDS(on) Loss BoSync]]*(1+RdsonBotTc*Ta-RdsonBotTc*25))/(1-Table25[[#This Row],[RDS(on) Loss BoSync]]*RdsonBotTc*ThetaJA_Q3)</f>
        <v>3.9964133396008829E-2</v>
      </c>
      <c r="AY11" s="345">
        <f>CHOOSE(Table25[[#This Row],[Mode Digit]], Rdson3*Table25[[#This Row],[Irms Lf]]^2, Rdson1*Table25[[#This Row],[Irms Lf]]^2, 0)</f>
        <v>5.2952088696210592E-3</v>
      </c>
      <c r="AZ11" s="345">
        <f>CHOOSE(Table25[[#This Row],[Mode Digit]], 2*Deadtime*Fsw*IF(VfdSky_Q2&gt;0,VfdSky_Q2,0)*Table25[[#This Row],[Iout]], 2*Deadtime*Fsw*IF(VfdSky_Q3&gt;0,VfdSky_Q3,0)*Table25[[#This Row],[Iin]], 2*Deadtime*Fsw*IF(VfdSky_Q2&gt;0,VfdSky_Q2,0)*Table25[[#This Row],[Iout]]+2*Deadtime*Fsw*IF(VfdSky_Q3&gt;0,VfdSky_Q3,0)*Table25[[#This Row],[Iin]])</f>
        <v>0</v>
      </c>
      <c r="BA11"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11"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11" s="345">
        <f>CHOOSE(Table25[[#This Row],[Mode Digit]], Rs*Table25[[#This Row],[Irms BuSync]]^2, Rs*Table25[[#This Row],[Irms BoCtlr]]^2, Rs*(Table25[[#This Row],[Irms BuSync]]^2+Table25[[#This Row],[Irms BoCtlr]]^2))</f>
        <v>1.9667918658592505E-3</v>
      </c>
      <c r="BD11" s="345">
        <f t="shared" si="1"/>
        <v>0.64</v>
      </c>
      <c r="BE11" s="345">
        <f>IF(Vout&gt;8, Iq*Vout, Iq*Table25[[#This Row],[Vin]])</f>
        <v>4.8000000000000001E-2</v>
      </c>
      <c r="BF11" s="345">
        <f>CHOOSE(Table25[[#This Row],[Mode Digit]], (Qg_Q1+Qg_Q2)*Fsw, (Qg_Q3+Qg_Q4)*Fsw, (Qg_Q1+Qg_Q2+Qg_Q3+Qg_Q4)*Fsw)*IF(Vout&gt;8,  MIN( Table25[[#This Row],[Vin]], Vout), Table25[[#This Row],[Vin]])</f>
        <v>0.63998400000000011</v>
      </c>
      <c r="BG11" s="345">
        <f t="shared" si="4"/>
        <v>0.50594479787234037</v>
      </c>
      <c r="BH11" s="345">
        <f>Table25[[#This Row],[IQ Loss]]+Table25[[#This Row],[Switching Current Loss]]</f>
        <v>0.68798400000000015</v>
      </c>
      <c r="BI11"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2.7405497034507138</v>
      </c>
      <c r="BJ11" s="253">
        <f>Vout*Table25[[#This Row],[Iout]]</f>
        <v>2.56</v>
      </c>
      <c r="BK11" s="684">
        <f>Table25[[#This Row],[Pout]]/(Table25[[#This Row],[Pout]]+Table25[[#This Row],[Total Loss]])</f>
        <v>0.48296877554669715</v>
      </c>
      <c r="BL11" s="685">
        <f>IF(Table25[[#This Row],[Vin]]&gt;Vout,ThetaJA_Q1*(Table25[[#This Row],[Total Control Bu MOSFET Loss]]+Table25[[#This Row],[Reverse Recovery Loss MOSFET D BUCK]]),ThetaJA_Q4*(Table25[[#This Row],[Total Control Bo MOSFET Loss]]+Table25[[#This Row],[Reverse Recovery Loss MOSFET D BOOST]]))</f>
        <v>26.209919412233511</v>
      </c>
      <c r="BM11" s="685">
        <f>IF(Table25[[#This Row],[Vin]]&gt;Vout, Table25[[#This Row],[Total Sync Bu MOSFET Loss]]*ThetaJA_Q2, ThetaJA_Q3*Table25[[#This Row],[Total Sync Bo MOSFET Loss]])</f>
        <v>2.5976686707405738</v>
      </c>
      <c r="BN11" s="640"/>
      <c r="BO11" s="292">
        <f>Table25[[#This Row],[EFF, h]]*100</f>
        <v>48.296877554669713</v>
      </c>
      <c r="BP11" s="345">
        <f>Table25[[#This Row],[Total Inductor Loss]]</f>
        <v>0.59627467145309188</v>
      </c>
      <c r="BQ11" s="345">
        <f>Table25[[#This Row],[Total Control Bu MOSFET Loss]]+Table25[[#This Row],[Total Sync Bu MOSFET Loss]]+Table25[[#This Row],[Total Control Bo MOSFET Loss]]+Table25[[#This Row],[Total Sync Bo MOSFET Loss]]+Table25[[#This Row],[Reverse Recovery Loss MOSFET D BUCK]]+Table25[[#This Row],[Reverse Recovery Loss MOSFET D BOOST]]</f>
        <v>0.81040668105876146</v>
      </c>
      <c r="BR11" s="345">
        <f xml:space="preserve"> Table25[[#This Row],[Total Control Bu MOSFET Loss]]+Table25[[#This Row],[Reverse Recovery Loss MOSFET D BUCK]]*0.66</f>
        <v>0.24066378912188777</v>
      </c>
      <c r="BS11" s="345">
        <f>Table25[[#This Row],[Total Sync Bu MOSFET Loss]]+Table25[[#This Row],[Reverse Recovery Loss MOSFET D BUCK]]*0.33</f>
        <v>0.12298314912188776</v>
      </c>
      <c r="BT11" s="345">
        <f xml:space="preserve"> Table25[[#This Row],[Total Control Bo MOSFET Loss]]+Table25[[#This Row],[Reverse Recovery Loss MOSFET D BOOST]]*0.66</f>
        <v>0.28198280941897713</v>
      </c>
      <c r="BU11" s="345">
        <f xml:space="preserve"> Table25[[#This Row],[Total Sync Bo MOSFET Loss]]+Table25[[#This Row],[Reverse Recovery Loss MOSFET D BOOST]]*0.33</f>
        <v>0.15764477339600882</v>
      </c>
      <c r="BV11" s="345">
        <f>Table25[[#This Row],[Isense Shunt Loss]]</f>
        <v>1.9667918658592505E-3</v>
      </c>
      <c r="BZ11" s="253" t="s">
        <v>136</v>
      </c>
      <c r="CA11" s="686">
        <v>90</v>
      </c>
      <c r="CB11" s="686">
        <v>90</v>
      </c>
      <c r="CC11" s="686">
        <v>90</v>
      </c>
      <c r="CD11" s="686">
        <f>250000*(12-Vdd)*CC11/1000000000+((250000*CC9/1000000000*Vdd)*2.5/(2*4))</f>
        <v>0.14226562500000001</v>
      </c>
      <c r="CE11" s="253">
        <f t="shared" si="2"/>
        <v>11.381250000000001</v>
      </c>
      <c r="CF11" s="253">
        <f t="shared" si="2"/>
        <v>14.2265625</v>
      </c>
      <c r="CG11" s="253">
        <f t="shared" si="2"/>
        <v>17.071875000000002</v>
      </c>
      <c r="CH11" s="253">
        <f t="shared" si="2"/>
        <v>19.917187500000001</v>
      </c>
      <c r="CI11" s="253">
        <f t="shared" si="2"/>
        <v>22.762500000000003</v>
      </c>
      <c r="CJ11" s="253">
        <f t="shared" si="2"/>
        <v>25.607812500000001</v>
      </c>
      <c r="CK11" s="253">
        <f t="shared" si="2"/>
        <v>2.8453125000000004</v>
      </c>
      <c r="CL11" s="253">
        <f t="shared" si="2"/>
        <v>4.2679687500000005</v>
      </c>
      <c r="CM11" s="253">
        <f t="shared" si="2"/>
        <v>5.6906250000000007</v>
      </c>
      <c r="CN11" s="253">
        <f t="shared" si="2"/>
        <v>7.11328125</v>
      </c>
    </row>
    <row r="12" spans="1:92" x14ac:dyDescent="0.2">
      <c r="A12" s="690" t="s">
        <v>5</v>
      </c>
      <c r="B12" s="569">
        <f>Vout</f>
        <v>16</v>
      </c>
      <c r="C12" s="255" t="s">
        <v>0</v>
      </c>
      <c r="D12" s="255" t="s">
        <v>5</v>
      </c>
      <c r="G12" s="253">
        <v>3</v>
      </c>
      <c r="H12" s="286">
        <f t="shared" si="0"/>
        <v>12</v>
      </c>
      <c r="I12" s="292" t="str">
        <f>IF(Mode = 2,IF(Table25[[#This Row],[Vin]]&gt;Vout, "BUCK","BOOST"),IF(Table25[[#This Row],[Vin]]&gt;VIN_BB_to_buck, "BUCK", IF(Table25[[#This Row],[Vin]]&lt;=VIN_boost_to_BB,"BOOST","BUCK-BST")))</f>
        <v>BOOST</v>
      </c>
      <c r="J12" s="253">
        <f>IF(Table25[[#This Row],[Mode]]="BOOST",2, IF(Table25[[#This Row],[Mode]]="BUCK", 1,3))</f>
        <v>2</v>
      </c>
      <c r="K12" s="345">
        <f t="shared" si="3"/>
        <v>0.24</v>
      </c>
      <c r="L12" s="292">
        <f>Vout*Table25[[#This Row],[Iout]]/(Table25[[#This Row],[Vin]]*Efficiency)</f>
        <v>0.33684210526315794</v>
      </c>
      <c r="M12" s="682">
        <f>CHOOSE(Table25[[#This Row],[Mode Digit]],(Vout+(Rdson2+Rs+Rdcr)*Table25[[#This Row],[Iout]])/(Table25[[#This Row],[Vin]]+(Rs+Rdson2-Rdson1)*Table25[[#This Row],[Iout]])/Fsw,(Vout+(Rdson3+Rdcr)*Table25[[#This Row],[Iin]]-Table25[[#This Row],[Vin]])/(Vout+(Rdson3-Rdson4-Rs)*Table25[[#This Row],[Iin]])/Fsw,t1_Ph_II)</f>
        <v>6.2851230850401612E-7</v>
      </c>
      <c r="N12" s="518">
        <f>CHOOSE(Table25[[#This Row],[Mode Digit]],1/Fsw-Table25[[#This Row],[t1_Ph_II]],1/Fsw-Table25[[#This Row],[t1_Ph_II]],(Vout/Fsw-Table25[[#This Row],[Vin]]*t1_Ph_II)/(Table25[[#This Row],[Vin]]+Vout))</f>
        <v>1.8840505055663358E-6</v>
      </c>
      <c r="O12" s="518">
        <f>1/Fsw-(Table25[[#This Row],[t1_Ph_II]]+Table25[[#This Row],[t2_Ph_I]])</f>
        <v>0</v>
      </c>
      <c r="P12"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-1.7581989230835622</v>
      </c>
      <c r="Q12" s="292">
        <f>CHOOSE(Table25[[#This Row],[Mode Digit]],Table25[[#This Row],[I_0]]+1/Lf*(Table25[[#This Row],[Vin]]-Vout)*Table25[[#This Row],[t1_Ph_II]],Table25[[#This Row],[I_0]]+1/Lf*Table25[[#This Row],[Vin]]*Table25[[#This Row],[t1_Ph_II]],Table25[[#This Row],[I_0]]+(Table25[[#This Row],[Vin]]-Vout)/L*Table25[[#This Row],[t1_Ph_II]])</f>
        <v>2.4318831336098783</v>
      </c>
      <c r="R12" s="292">
        <f>CHOOSE(Table25[[#This Row],[Mode Digit]],0,0,Table25[[#This Row],[I_1]]+Table25[[#This Row],[Vin]]/L*Table25[[#This Row],[t2_Ph_I]])</f>
        <v>0</v>
      </c>
      <c r="S12" s="292">
        <f>Fsw*(Table25[[#This Row],[I_0]]*Table25[[#This Row],[t1_Ph_II]]+Table25[[#This Row],[I_1]]*Table25[[#This Row],[t2_Ph_I]]+Table25[[#This Row],[I_2]]*Table25[[#This Row],[t3_Ph_III]])</f>
        <v>1.383742911392966</v>
      </c>
      <c r="T12" s="345">
        <f>CHOOSE(Table25[[#This Row],[Mode Digit]],(Vout+(Rdson2+Rs+Rdcr)*Table25[[#This Row],[Iout]])/(Table25[[#This Row],[Vin]]+(Rs+Rdson2-Rdson1)*Table25[[#This Row],[Iout]]),1,Fsw*Table25[[#This Row],[t2_Ph_I]]+Table25[[#This Row],[t1_Ph_II]])</f>
        <v>1</v>
      </c>
      <c r="U12" s="345">
        <f>CHOOSE(Table25[[#This Row],[Mode Digit]],0,(Vout+(Rdson3+Rdcr)*Table25[[#This Row],[Iin]]-Table25[[#This Row],[Vin]])/(Vout+(Rdson3-Rdson4-Rs)*Table25[[#This Row],[Iin]]),Fsw*Table25[[#This Row],[t1_Ph_II]]+Table25[[#This Row],[t3_Ph_III]])</f>
        <v>0.25014789878459842</v>
      </c>
      <c r="V12" s="292">
        <f>MAX(Table25[[#This Row],[I_0]:[I_2]])-MIN(Table25[[#This Row],[I_0]:[I_1]])</f>
        <v>4.1900820566934405</v>
      </c>
      <c r="W12"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1.2555987578429706</v>
      </c>
      <c r="X12" s="345">
        <f>(Table25[[#This Row],[Irms Lf]]^2*Rdcr*(1+Ltc*Ta-Ltc*25))/(1-Table25[[#This Row],[Irms Lf]]^2*Rdcr*Ltc*ThetaCa)</f>
        <v>5.0469272658107975E-3</v>
      </c>
      <c r="Y12" s="345">
        <f>ABS(7.759*10^-3*Fsw^0.9458*(0.00787*Table25[[#This Row],[Ripple Current pk-pk]])^2.304)</f>
        <v>0.59170010927660155</v>
      </c>
      <c r="Z12" s="345">
        <f>Table25[[#This Row],[DCR    Loss]]+Table25[[#This Row],[Core Loss]]</f>
        <v>0.59674703654241235</v>
      </c>
      <c r="AA12" s="292">
        <f>IF(Table25[[#This Row],[Vin]]&gt;Vout, Table25[[#This Row],[Ripple Current pk-pk]]/SQRT(12), SQRT(Table25[[#This Row],[Duty Cycle BOOST Leg]]/(1-Table25[[#This Row],[Duty Cycle BOOST Leg]]))*SQRT(Table25[[#This Row],[Iout]]^2+(Table25[[#This Row],[Ripple Current pk-pk]]^2)/12))</f>
        <v>0.71224185138669038</v>
      </c>
      <c r="AB12" s="345">
        <f>RCoutEsr*Table25[[#This Row],[Irms Cout]]^2</f>
        <v>1.0145769097334807E-3</v>
      </c>
      <c r="AC12" s="345">
        <f>Table25[[#This Row],[Cout ESR Loss]]</f>
        <v>1.0145769097334807E-3</v>
      </c>
      <c r="AD12" s="292">
        <f>IF(Table25[[#This Row],[Vin]]&gt;Vout, SQRT(Table25[[#This Row],[Duty Cycle BUCK Leg]]*(1-Table25[[#This Row],[Duty Cycle BUCK Leg]]))*SQRT(Table25[[#This Row],[Iout]]^2+(Table25[[#This Row],[Ripple Current pk-pk]]^2)/12), Table25[[#This Row],[Ripple Current pk-pk]]/SQRT(12))</f>
        <v>1.2095725016792893</v>
      </c>
      <c r="AE12" s="345">
        <f>RCinEsr*Table25[[#This Row],[Irms Cin]]^2</f>
        <v>2.9261312736373886E-3</v>
      </c>
      <c r="AF12" s="683">
        <f>Table25[[#This Row],[Cin ESR Loss]]</f>
        <v>2.9261312736373886E-3</v>
      </c>
      <c r="AG12" s="345">
        <f>Table25[[#This Row],[Irms Lf]]</f>
        <v>1.2555987578429706</v>
      </c>
      <c r="AH12" s="345">
        <f>Rdson1*Table25[[#This Row],[Irms BuCtrl]]^2</f>
        <v>5.5178488424388371E-3</v>
      </c>
      <c r="AI12" s="345">
        <f>CHOOSE(Table25[[#This Row],[Mode Digit]], (Table25[[#This Row],[Vin]]*Table25[[#This Row],[Iout]]/2)*(Fsw)*(Tr_buck+Tf_buck), 0, (Table25[[#This Row],[Vin]]*Table25[[#This Row],[Avg IL]]/2)*(Fsw/1)*(Tr_buck+Tf_buck))</f>
        <v>0</v>
      </c>
      <c r="AJ12" s="253">
        <f>IF(Table25[[#This Row],[Vin]]&gt;Vout, IF(Table25[[#This Row],[Iout]]&gt;Table25[[#This Row],[Ripple Current pk-pk]]/2,0,ABS(Table25[[#This Row],[Iout]]-Table25[[#This Row],[Ripple Current pk-pk]]/2)*Vsd_Q1*Deadtime*Fsw),0)</f>
        <v>0</v>
      </c>
      <c r="AK12" s="345">
        <f>(Table25[[#This Row],[Dead Time Loss BuCtrl]]+Table25[[#This Row],[Transition Loss BuCtrl]]+Table25[[#This Row],[RDS(on) Loss BuCtrl]]*(1+RdsonTopTc*Ta-RdsonTopTc*25))/(1-Table25[[#This Row],[RDS(on) Loss BuCtrl]]*RdsonTopTc*ThetaJA_Q1)</f>
        <v>5.5257763460786818E-3</v>
      </c>
      <c r="AL12" s="345">
        <f>Table25[[#This Row],[Irms Lf]]</f>
        <v>1.2555987578429706</v>
      </c>
      <c r="AM12" s="345">
        <f>Rdson2*Table25[[#This Row],[Irms BuSync]]^2</f>
        <v>5.5178488424388371E-3</v>
      </c>
      <c r="AN12"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12" s="345">
        <f>(Table25[[#This Row],[Deadtime Loss BuSync]]+Table25[[#This Row],[RDS(on) Loss BuSync]]*(1+RdsonBotTc*Ta-RdsonBotTc*25))/(1-Table25[[#This Row],[RDS(on) Loss BuSync]]*RdsonBotTc*ThetaJA_Q2)</f>
        <v>5.5257763460786818E-3</v>
      </c>
      <c r="AP12" s="345">
        <f>Table25[[#This Row],[Irms Lf]]</f>
        <v>1.2555987578429706</v>
      </c>
      <c r="AQ12" s="345">
        <f>Rdson4*Table25[[#This Row],[Irms BoCtlr]]^2</f>
        <v>5.5178488424388371E-3</v>
      </c>
      <c r="AR12" s="345">
        <f>CHOOSE(Table25[[#This Row],[Mode Digit]], 0, (Vout*Table25[[#This Row],[Iin]]/2)*(Fsw)*(Tr_boost+Tf_boost), (Vout*Iout/2)*(Fsw/1)*(Tr_boost+Tf_boost))</f>
        <v>2.0027082478594652E-2</v>
      </c>
      <c r="AS12" s="345">
        <f>IF(Table25[[#This Row],[Vin]]&gt;Vout, 0, IF(Table25[[#This Row],[Iin]]&gt;Table25[[#This Row],[Ripple Current pk-pk]]/2,0,ABS(Table25[[#This Row],[Iin]]-Table25[[#This Row],[Ripple Current pk-pk]]/2)*Vsd_Q4*Deadtime*Fsw))</f>
        <v>2.6241118927022168E-2</v>
      </c>
      <c r="AT12" s="345">
        <f>(Table25[[#This Row],[Dead Time Loss BoCtlr]]+Table25[[#This Row],[Transition Loss BoCtlr]]+Table25[[#This Row],[RDS(on) Loss BoCtlr]]*(1+RdsonTopTc*Ta-RdsonTopTc*25))/(1-Table25[[#This Row],[RDS(on) Loss BoCtlr]]*RdsonTopTc*ThetaJA_Q4)</f>
        <v>5.1860451362250225E-2</v>
      </c>
      <c r="AU12" s="345">
        <f>Table25[[#This Row],[Irms Lf]]</f>
        <v>1.2555987578429706</v>
      </c>
      <c r="AV12" s="345">
        <f>Rdson3*Table25[[#This Row],[Irms BoSync]]^2</f>
        <v>5.5178488424388371E-3</v>
      </c>
      <c r="AW12"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3.629585576912743E-2</v>
      </c>
      <c r="AX12" s="345">
        <f>(Table25[[#This Row],[Deadtime Loss BoSync]]+Table25[[#This Row],[RDS(on) Loss BoSync]]*(1+RdsonBotTc*Ta-RdsonBotTc*25))/(1-Table25[[#This Row],[RDS(on) Loss BoSync]]*RdsonBotTc*ThetaJA_Q3)</f>
        <v>4.1873778438336243E-2</v>
      </c>
      <c r="AY12" s="345">
        <f>CHOOSE(Table25[[#This Row],[Mode Digit]], Rdson3*Table25[[#This Row],[Irms Lf]]^2, Rdson1*Table25[[#This Row],[Irms Lf]]^2, 0)</f>
        <v>5.5178488424388371E-3</v>
      </c>
      <c r="AZ12" s="345">
        <f>CHOOSE(Table25[[#This Row],[Mode Digit]], 2*Deadtime*Fsw*IF(VfdSky_Q2&gt;0,VfdSky_Q2,0)*Table25[[#This Row],[Iout]], 2*Deadtime*Fsw*IF(VfdSky_Q3&gt;0,VfdSky_Q3,0)*Table25[[#This Row],[Iin]], 2*Deadtime*Fsw*IF(VfdSky_Q2&gt;0,VfdSky_Q2,0)*Table25[[#This Row],[Iout]]+2*Deadtime*Fsw*IF(VfdSky_Q3&gt;0,VfdSky_Q3,0)*Table25[[#This Row],[Iin]])</f>
        <v>0</v>
      </c>
      <c r="BA12"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12"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12" s="345">
        <f>CHOOSE(Table25[[#This Row],[Mode Digit]], Rs*Table25[[#This Row],[Irms BuSync]]^2, Rs*Table25[[#This Row],[Irms BoCtlr]]^2, Rs*(Table25[[#This Row],[Irms BuSync]]^2+Table25[[#This Row],[Irms BoCtlr]]^2))</f>
        <v>2.0494867129058538E-3</v>
      </c>
      <c r="BD12" s="345">
        <f t="shared" si="1"/>
        <v>0.64</v>
      </c>
      <c r="BE12" s="345">
        <f>IF(Vout&gt;8, Iq*Vout, Iq*Table25[[#This Row],[Vin]])</f>
        <v>4.8000000000000001E-2</v>
      </c>
      <c r="BF12" s="345">
        <f>CHOOSE(Table25[[#This Row],[Mode Digit]], (Qg_Q1+Qg_Q2)*Fsw, (Qg_Q3+Qg_Q4)*Fsw, (Qg_Q1+Qg_Q2+Qg_Q3+Qg_Q4)*Fsw)*IF(Vout&gt;8,  MIN( Table25[[#This Row],[Vin]], Vout), Table25[[#This Row],[Vin]])</f>
        <v>0.63998400000000011</v>
      </c>
      <c r="BG12" s="345">
        <f t="shared" si="4"/>
        <v>0.50594479787234037</v>
      </c>
      <c r="BH12" s="345">
        <f>Table25[[#This Row],[IQ Loss]]+Table25[[#This Row],[Switching Current Loss]]</f>
        <v>0.68798400000000015</v>
      </c>
      <c r="BI12"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2.7487230139314334</v>
      </c>
      <c r="BJ12" s="253">
        <f>Vout*Table25[[#This Row],[Iout]]</f>
        <v>3.84</v>
      </c>
      <c r="BK12" s="684">
        <f>Table25[[#This Row],[Pout]]/(Table25[[#This Row],[Pout]]+Table25[[#This Row],[Total Loss]])</f>
        <v>0.58281399777780385</v>
      </c>
      <c r="BL12" s="685">
        <f>IF(Table25[[#This Row],[Vin]]&gt;Vout,ThetaJA_Q1*(Table25[[#This Row],[Total Control Bu MOSFET Loss]]+Table25[[#This Row],[Reverse Recovery Loss MOSFET D BUCK]]),ThetaJA_Q4*(Table25[[#This Row],[Total Control Bo MOSFET Loss]]+Table25[[#This Row],[Reverse Recovery Loss MOSFET D BOOST]]))</f>
        <v>26.550449338546262</v>
      </c>
      <c r="BM12" s="685">
        <f>IF(Table25[[#This Row],[Vin]]&gt;Vout, Table25[[#This Row],[Total Sync Bu MOSFET Loss]]*ThetaJA_Q2, ThetaJA_Q3*Table25[[#This Row],[Total Sync Bo MOSFET Loss]])</f>
        <v>2.7217955984918558</v>
      </c>
      <c r="BN12" s="640"/>
      <c r="BO12" s="292">
        <f>Table25[[#This Row],[EFF, h]]*100</f>
        <v>58.281399777780386</v>
      </c>
      <c r="BP12" s="345">
        <f>Table25[[#This Row],[Total Inductor Loss]]</f>
        <v>0.59674703654241235</v>
      </c>
      <c r="BQ12" s="345">
        <f>Table25[[#This Row],[Total Control Bu MOSFET Loss]]+Table25[[#This Row],[Total Sync Bu MOSFET Loss]]+Table25[[#This Row],[Total Control Bo MOSFET Loss]]+Table25[[#This Row],[Total Sync Bo MOSFET Loss]]+Table25[[#This Row],[Reverse Recovery Loss MOSFET D BUCK]]+Table25[[#This Row],[Reverse Recovery Loss MOSFET D BOOST]]</f>
        <v>0.8180017824927438</v>
      </c>
      <c r="BR12" s="345">
        <f xml:space="preserve"> Table25[[#This Row],[Total Control Bu MOSFET Loss]]+Table25[[#This Row],[Reverse Recovery Loss MOSFET D BUCK]]*0.66</f>
        <v>0.24088705634607868</v>
      </c>
      <c r="BS12" s="345">
        <f>Table25[[#This Row],[Total Sync Bu MOSFET Loss]]+Table25[[#This Row],[Reverse Recovery Loss MOSFET D BUCK]]*0.33</f>
        <v>0.12320641634607868</v>
      </c>
      <c r="BT12" s="345">
        <f xml:space="preserve"> Table25[[#This Row],[Total Control Bo MOSFET Loss]]+Table25[[#This Row],[Reverse Recovery Loss MOSFET D BOOST]]*0.66</f>
        <v>0.28722173136225021</v>
      </c>
      <c r="BU12" s="345">
        <f xml:space="preserve"> Table25[[#This Row],[Total Sync Bo MOSFET Loss]]+Table25[[#This Row],[Reverse Recovery Loss MOSFET D BOOST]]*0.33</f>
        <v>0.15955441843833623</v>
      </c>
      <c r="BV12" s="345">
        <f>Table25[[#This Row],[Isense Shunt Loss]]</f>
        <v>2.0494867129058538E-3</v>
      </c>
      <c r="BZ12" s="253" t="s">
        <v>141</v>
      </c>
      <c r="CA12" s="686">
        <v>60</v>
      </c>
      <c r="CB12" s="686">
        <v>60</v>
      </c>
      <c r="CC12" s="686">
        <v>60</v>
      </c>
      <c r="CD12" s="686">
        <f>250000*(18-Vdd)*CC12/1000000000+((250000*CC9/1000000000*Vdd)*2.5/(2*4))</f>
        <v>0.198515625</v>
      </c>
      <c r="CE12" s="253">
        <f t="shared" si="2"/>
        <v>15.88125</v>
      </c>
      <c r="CF12" s="253">
        <f t="shared" si="2"/>
        <v>19.8515625</v>
      </c>
      <c r="CG12" s="253">
        <f t="shared" si="2"/>
        <v>23.821874999999999</v>
      </c>
      <c r="CH12" s="253">
        <f t="shared" si="2"/>
        <v>27.792187500000001</v>
      </c>
      <c r="CI12" s="253">
        <f t="shared" si="2"/>
        <v>31.762499999999999</v>
      </c>
      <c r="CJ12" s="253">
        <f t="shared" si="2"/>
        <v>35.732812500000001</v>
      </c>
      <c r="CK12" s="253">
        <f t="shared" si="2"/>
        <v>3.9703124999999999</v>
      </c>
      <c r="CL12" s="253">
        <f t="shared" si="2"/>
        <v>5.9554687499999996</v>
      </c>
      <c r="CM12" s="253">
        <f t="shared" si="2"/>
        <v>7.9406249999999998</v>
      </c>
      <c r="CN12" s="253">
        <f t="shared" si="2"/>
        <v>9.92578125</v>
      </c>
    </row>
    <row r="13" spans="1:92" x14ac:dyDescent="0.2">
      <c r="A13" s="690" t="s">
        <v>7</v>
      </c>
      <c r="B13" s="569">
        <f>Fsw/1000</f>
        <v>398</v>
      </c>
      <c r="C13" s="255" t="s">
        <v>3</v>
      </c>
      <c r="D13" s="255" t="s">
        <v>96</v>
      </c>
      <c r="G13" s="253">
        <v>4</v>
      </c>
      <c r="H13" s="286">
        <f t="shared" si="0"/>
        <v>12</v>
      </c>
      <c r="I13" s="292" t="str">
        <f>IF(Mode = 2,IF(Table25[[#This Row],[Vin]]&gt;Vout, "BUCK","BOOST"),IF(Table25[[#This Row],[Vin]]&gt;VIN_BB_to_buck, "BUCK", IF(Table25[[#This Row],[Vin]]&lt;=VIN_boost_to_BB,"BOOST","BUCK-BST")))</f>
        <v>BOOST</v>
      </c>
      <c r="J13" s="253">
        <f>IF(Table25[[#This Row],[Mode]]="BOOST",2, IF(Table25[[#This Row],[Mode]]="BUCK", 1,3))</f>
        <v>2</v>
      </c>
      <c r="K13" s="345">
        <f t="shared" si="3"/>
        <v>0.32</v>
      </c>
      <c r="L13" s="292">
        <f>Vout*Table25[[#This Row],[Iout]]/(Table25[[#This Row],[Vin]]*Efficiency)</f>
        <v>0.44912280701754392</v>
      </c>
      <c r="M13" s="682">
        <f>CHOOSE(Table25[[#This Row],[Mode Digit]],(Vout+(Rdson2+Rs+Rdcr)*Table25[[#This Row],[Iout]])/(Table25[[#This Row],[Vin]]+(Rs+Rdson2-Rdson1)*Table25[[#This Row],[Iout]])/Fsw,(Vout+(Rdson3+Rdcr)*Table25[[#This Row],[Iin]]-Table25[[#This Row],[Vin]])/(Vout+(Rdson3-Rdson4-Rs)*Table25[[#This Row],[Iin]])/Fsw,t1_Ph_II)</f>
        <v>6.2863618135309761E-7</v>
      </c>
      <c r="N13" s="518">
        <f>CHOOSE(Table25[[#This Row],[Mode Digit]],1/Fsw-Table25[[#This Row],[t1_Ph_II]],1/Fsw-Table25[[#This Row],[t1_Ph_II]],(Vout/Fsw-Table25[[#This Row],[Vin]]*t1_Ph_II)/(Table25[[#This Row],[Vin]]+Vout))</f>
        <v>1.8839266327172543E-6</v>
      </c>
      <c r="O13" s="518">
        <f>1/Fsw-(Table25[[#This Row],[t1_Ph_II]]+Table25[[#This Row],[t2_Ph_I]])</f>
        <v>0</v>
      </c>
      <c r="P13"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-1.6463311308261144</v>
      </c>
      <c r="Q13" s="292">
        <f>CHOOSE(Table25[[#This Row],[Mode Digit]],Table25[[#This Row],[I_0]]+1/Lf*(Table25[[#This Row],[Vin]]-Vout)*Table25[[#This Row],[t1_Ph_II]],Table25[[#This Row],[I_0]]+1/Lf*Table25[[#This Row],[Vin]]*Table25[[#This Row],[t1_Ph_II]],Table25[[#This Row],[I_0]]+(Table25[[#This Row],[Vin]]-Vout)/L*Table25[[#This Row],[t1_Ph_II]])</f>
        <v>2.5445767448612022</v>
      </c>
      <c r="R13" s="292">
        <f>CHOOSE(Table25[[#This Row],[Mode Digit]],0,0,Table25[[#This Row],[I_1]]+Table25[[#This Row],[Vin]]/L*Table25[[#This Row],[t2_Ph_I]])</f>
        <v>0</v>
      </c>
      <c r="S13" s="292">
        <f>Fsw*(Table25[[#This Row],[I_0]]*Table25[[#This Row],[t1_Ph_II]]+Table25[[#This Row],[I_1]]*Table25[[#This Row],[t2_Ph_I]]+Table25[[#This Row],[I_2]]*Table25[[#This Row],[t3_Ph_III]])</f>
        <v>1.496023328158073</v>
      </c>
      <c r="T13" s="345">
        <f>CHOOSE(Table25[[#This Row],[Mode Digit]],(Vout+(Rdson2+Rs+Rdcr)*Table25[[#This Row],[Iout]])/(Table25[[#This Row],[Vin]]+(Rs+Rdson2-Rdson1)*Table25[[#This Row],[Iout]]),1,Fsw*Table25[[#This Row],[t2_Ph_I]]+Table25[[#This Row],[t1_Ph_II]])</f>
        <v>1</v>
      </c>
      <c r="U13" s="345">
        <f>CHOOSE(Table25[[#This Row],[Mode Digit]],0,(Vout+(Rdson3+Rdcr)*Table25[[#This Row],[Iin]]-Table25[[#This Row],[Vin]])/(Vout+(Rdson3-Rdson4-Rs)*Table25[[#This Row],[Iin]]),Fsw*Table25[[#This Row],[t1_Ph_II]]+Table25[[#This Row],[t3_Ph_III]])</f>
        <v>0.25019720017853286</v>
      </c>
      <c r="V13" s="292">
        <f>MAX(Table25[[#This Row],[I_0]:[I_2]])-MIN(Table25[[#This Row],[I_0]:[I_1]])</f>
        <v>4.1909078756873166</v>
      </c>
      <c r="W13"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1.2904858378371102</v>
      </c>
      <c r="X13" s="345">
        <f>(Table25[[#This Row],[Irms Lf]]^2*Rdcr*(1+Ltc*Ta-Ltc*25))/(1-Table25[[#This Row],[Irms Lf]]^2*Rdcr*Ltc*ThetaCa)</f>
        <v>5.3314047732171896E-3</v>
      </c>
      <c r="Y13" s="345">
        <f>ABS(7.759*10^-3*Fsw^0.9458*(0.00787*Table25[[#This Row],[Ripple Current pk-pk]])^2.304)</f>
        <v>0.59196883068612804</v>
      </c>
      <c r="Z13" s="345">
        <f>Table25[[#This Row],[DCR    Loss]]+Table25[[#This Row],[Core Loss]]</f>
        <v>0.59730023545934519</v>
      </c>
      <c r="AA13" s="292">
        <f>IF(Table25[[#This Row],[Vin]]&gt;Vout, Table25[[#This Row],[Ripple Current pk-pk]]/SQRT(12), SQRT(Table25[[#This Row],[Duty Cycle BOOST Leg]]/(1-Table25[[#This Row],[Duty Cycle BOOST Leg]]))*SQRT(Table25[[#This Row],[Iout]]^2+(Table25[[#This Row],[Ripple Current pk-pk]]^2)/12))</f>
        <v>0.72288539791192286</v>
      </c>
      <c r="AB13" s="345">
        <f>RCoutEsr*Table25[[#This Row],[Irms Cout]]^2</f>
        <v>1.0451265970285583E-3</v>
      </c>
      <c r="AC13" s="345">
        <f>Table25[[#This Row],[Cout ESR Loss]]</f>
        <v>1.0451265970285583E-3</v>
      </c>
      <c r="AD13" s="292">
        <f>IF(Table25[[#This Row],[Vin]]&gt;Vout, SQRT(Table25[[#This Row],[Duty Cycle BUCK Leg]]*(1-Table25[[#This Row],[Duty Cycle BUCK Leg]]))*SQRT(Table25[[#This Row],[Iout]]^2+(Table25[[#This Row],[Ripple Current pk-pk]]^2)/12), Table25[[#This Row],[Ripple Current pk-pk]]/SQRT(12))</f>
        <v>1.2098108950884976</v>
      </c>
      <c r="AE13" s="345">
        <f>RCinEsr*Table25[[#This Row],[Irms Cin]]^2</f>
        <v>2.9272848037496637E-3</v>
      </c>
      <c r="AF13" s="683">
        <f>Table25[[#This Row],[Cin ESR Loss]]</f>
        <v>2.9272848037496637E-3</v>
      </c>
      <c r="AG13" s="345">
        <f>Table25[[#This Row],[Irms Lf]]</f>
        <v>1.2904858378371102</v>
      </c>
      <c r="AH13" s="345">
        <f>Rdson1*Table25[[#This Row],[Irms BuCtrl]]^2</f>
        <v>5.8287379418035194E-3</v>
      </c>
      <c r="AI13" s="345">
        <f>CHOOSE(Table25[[#This Row],[Mode Digit]], (Table25[[#This Row],[Vin]]*Table25[[#This Row],[Iout]]/2)*(Fsw)*(Tr_buck+Tf_buck), 0, (Table25[[#This Row],[Vin]]*Table25[[#This Row],[Avg IL]]/2)*(Fsw/1)*(Tr_buck+Tf_buck))</f>
        <v>0</v>
      </c>
      <c r="AJ13" s="253">
        <f>IF(Table25[[#This Row],[Vin]]&gt;Vout, IF(Table25[[#This Row],[Iout]]&gt;Table25[[#This Row],[Ripple Current pk-pk]]/2,0,ABS(Table25[[#This Row],[Iout]]-Table25[[#This Row],[Ripple Current pk-pk]]/2)*Vsd_Q1*Deadtime*Fsw),0)</f>
        <v>0</v>
      </c>
      <c r="AK13" s="345">
        <f>(Table25[[#This Row],[Dead Time Loss BuCtrl]]+Table25[[#This Row],[Transition Loss BuCtrl]]+Table25[[#This Row],[RDS(on) Loss BuCtrl]]*(1+RdsonTopTc*Ta-RdsonTopTc*25))/(1-Table25[[#This Row],[RDS(on) Loss BuCtrl]]*RdsonTopTc*ThetaJA_Q1)</f>
        <v>5.8375846370798045E-3</v>
      </c>
      <c r="AL13" s="345">
        <f>Table25[[#This Row],[Irms Lf]]</f>
        <v>1.2904858378371102</v>
      </c>
      <c r="AM13" s="345">
        <f>Rdson2*Table25[[#This Row],[Irms BuSync]]^2</f>
        <v>5.8287379418035194E-3</v>
      </c>
      <c r="AN13"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13" s="345">
        <f>(Table25[[#This Row],[Deadtime Loss BuSync]]+Table25[[#This Row],[RDS(on) Loss BuSync]]*(1+RdsonBotTc*Ta-RdsonBotTc*25))/(1-Table25[[#This Row],[RDS(on) Loss BuSync]]*RdsonBotTc*ThetaJA_Q2)</f>
        <v>5.8375846370798045E-3</v>
      </c>
      <c r="AP13" s="345">
        <f>Table25[[#This Row],[Irms Lf]]</f>
        <v>1.2904858378371102</v>
      </c>
      <c r="AQ13" s="345">
        <f>Rdson4*Table25[[#This Row],[Irms BoCtlr]]^2</f>
        <v>5.8287379418035194E-3</v>
      </c>
      <c r="AR13" s="345">
        <f>CHOOSE(Table25[[#This Row],[Mode Digit]], 0, (Vout*Table25[[#This Row],[Iin]]/2)*(Fsw)*(Tr_boost+Tf_boost), (Vout*Iout/2)*(Fsw/1)*(Tr_boost+Tf_boost))</f>
        <v>2.6702776638126202E-2</v>
      </c>
      <c r="AS13" s="345">
        <f>IF(Table25[[#This Row],[Vin]]&gt;Vout, 0, IF(Table25[[#This Row],[Iin]]&gt;Table25[[#This Row],[Ripple Current pk-pk]]/2,0,ABS(Table25[[#This Row],[Iin]]-Table25[[#This Row],[Ripple Current pk-pk]]/2)*Vsd_Q4*Deadtime*Fsw))</f>
        <v>2.4571492127579756E-2</v>
      </c>
      <c r="AT13" s="345">
        <f>(Table25[[#This Row],[Dead Time Loss BoCtlr]]+Table25[[#This Row],[Transition Loss BoCtlr]]+Table25[[#This Row],[RDS(on) Loss BoCtlr]]*(1+RdsonTopTc*Ta-RdsonTopTc*25))/(1-Table25[[#This Row],[RDS(on) Loss BoCtlr]]*RdsonTopTc*ThetaJA_Q4)</f>
        <v>5.7189676052528046E-2</v>
      </c>
      <c r="AU13" s="345">
        <f>Table25[[#This Row],[Irms Lf]]</f>
        <v>1.2904858378371102</v>
      </c>
      <c r="AV13" s="345">
        <f>Rdson3*Table25[[#This Row],[Irms BoSync]]^2</f>
        <v>5.8287379418035194E-3</v>
      </c>
      <c r="AW13"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3.7977807917053436E-2</v>
      </c>
      <c r="AX13" s="345">
        <f>(Table25[[#This Row],[Deadtime Loss BoSync]]+Table25[[#This Row],[RDS(on) Loss BoSync]]*(1+RdsonBotTc*Ta-RdsonBotTc*25))/(1-Table25[[#This Row],[RDS(on) Loss BoSync]]*RdsonBotTc*ThetaJA_Q3)</f>
        <v>4.3873034207825345E-2</v>
      </c>
      <c r="AY13" s="345">
        <f>CHOOSE(Table25[[#This Row],[Mode Digit]], Rdson3*Table25[[#This Row],[Irms Lf]]^2, Rdson1*Table25[[#This Row],[Irms Lf]]^2, 0)</f>
        <v>5.8287379418035194E-3</v>
      </c>
      <c r="AZ13" s="345">
        <f>CHOOSE(Table25[[#This Row],[Mode Digit]], 2*Deadtime*Fsw*IF(VfdSky_Q2&gt;0,VfdSky_Q2,0)*Table25[[#This Row],[Iout]], 2*Deadtime*Fsw*IF(VfdSky_Q3&gt;0,VfdSky_Q3,0)*Table25[[#This Row],[Iin]], 2*Deadtime*Fsw*IF(VfdSky_Q2&gt;0,VfdSky_Q2,0)*Table25[[#This Row],[Iout]]+2*Deadtime*Fsw*IF(VfdSky_Q3&gt;0,VfdSky_Q3,0)*Table25[[#This Row],[Iin]])</f>
        <v>0</v>
      </c>
      <c r="BA13"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13"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13" s="345">
        <f>CHOOSE(Table25[[#This Row],[Mode Digit]], Rs*Table25[[#This Row],[Irms BuSync]]^2, Rs*Table25[[#This Row],[Irms BoCtlr]]^2, Rs*(Table25[[#This Row],[Irms BuSync]]^2+Table25[[#This Row],[Irms BoCtlr]]^2))</f>
        <v>2.1649598069555928E-3</v>
      </c>
      <c r="BD13" s="345">
        <f t="shared" si="1"/>
        <v>0.64</v>
      </c>
      <c r="BE13" s="345">
        <f>IF(Vout&gt;8, Iq*Vout, Iq*Table25[[#This Row],[Vin]])</f>
        <v>4.8000000000000001E-2</v>
      </c>
      <c r="BF13" s="345">
        <f>CHOOSE(Table25[[#This Row],[Mode Digit]], (Qg_Q1+Qg_Q2)*Fsw, (Qg_Q3+Qg_Q4)*Fsw, (Qg_Q1+Qg_Q2+Qg_Q3+Qg_Q4)*Fsw)*IF(Vout&gt;8,  MIN( Table25[[#This Row],[Vin]], Vout), Table25[[#This Row],[Vin]])</f>
        <v>0.63998400000000011</v>
      </c>
      <c r="BG13" s="345">
        <f t="shared" si="4"/>
        <v>0.50594479787234037</v>
      </c>
      <c r="BH13" s="345">
        <f>Table25[[#This Row],[IQ Loss]]+Table25[[#This Row],[Switching Current Loss]]</f>
        <v>0.68798400000000015</v>
      </c>
      <c r="BI13"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2.7573754862015925</v>
      </c>
      <c r="BJ13" s="253">
        <f>Vout*Table25[[#This Row],[Iout]]</f>
        <v>5.12</v>
      </c>
      <c r="BK13" s="684">
        <f>Table25[[#This Row],[Pout]]/(Table25[[#This Row],[Pout]]+Table25[[#This Row],[Total Loss]])</f>
        <v>0.64996266954247006</v>
      </c>
      <c r="BL13" s="685">
        <f>IF(Table25[[#This Row],[Vin]]&gt;Vout,ThetaJA_Q1*(Table25[[#This Row],[Total Control Bu MOSFET Loss]]+Table25[[#This Row],[Reverse Recovery Loss MOSFET D BUCK]]),ThetaJA_Q4*(Table25[[#This Row],[Total Control Bo MOSFET Loss]]+Table25[[#This Row],[Reverse Recovery Loss MOSFET D BOOST]]))</f>
        <v>26.896848943414323</v>
      </c>
      <c r="BM13" s="685">
        <f>IF(Table25[[#This Row],[Vin]]&gt;Vout, Table25[[#This Row],[Total Sync Bu MOSFET Loss]]*ThetaJA_Q2, ThetaJA_Q3*Table25[[#This Row],[Total Sync Bo MOSFET Loss]])</f>
        <v>2.8517472235086476</v>
      </c>
      <c r="BN13" s="640"/>
      <c r="BO13" s="292">
        <f>Table25[[#This Row],[EFF, h]]*100</f>
        <v>64.996266954247005</v>
      </c>
      <c r="BP13" s="345">
        <f>Table25[[#This Row],[Total Inductor Loss]]</f>
        <v>0.59730023545934519</v>
      </c>
      <c r="BQ13" s="345">
        <f>Table25[[#This Row],[Total Control Bu MOSFET Loss]]+Table25[[#This Row],[Total Sync Bu MOSFET Loss]]+Table25[[#This Row],[Total Control Bo MOSFET Loss]]+Table25[[#This Row],[Total Sync Bo MOSFET Loss]]+Table25[[#This Row],[Reverse Recovery Loss MOSFET D BUCK]]+Table25[[#This Row],[Reverse Recovery Loss MOSFET D BOOST]]</f>
        <v>0.82595387953451294</v>
      </c>
      <c r="BR13" s="345">
        <f xml:space="preserve"> Table25[[#This Row],[Total Control Bu MOSFET Loss]]+Table25[[#This Row],[Reverse Recovery Loss MOSFET D BUCK]]*0.66</f>
        <v>0.24119886463707982</v>
      </c>
      <c r="BS13" s="345">
        <f>Table25[[#This Row],[Total Sync Bu MOSFET Loss]]+Table25[[#This Row],[Reverse Recovery Loss MOSFET D BUCK]]*0.33</f>
        <v>0.1235182246370798</v>
      </c>
      <c r="BT13" s="345">
        <f xml:space="preserve"> Table25[[#This Row],[Total Control Bo MOSFET Loss]]+Table25[[#This Row],[Reverse Recovery Loss MOSFET D BOOST]]*0.66</f>
        <v>0.29255095605252807</v>
      </c>
      <c r="BU13" s="345">
        <f xml:space="preserve"> Table25[[#This Row],[Total Sync Bo MOSFET Loss]]+Table25[[#This Row],[Reverse Recovery Loss MOSFET D BOOST]]*0.33</f>
        <v>0.16155367420782535</v>
      </c>
      <c r="BV13" s="345">
        <f>Table25[[#This Row],[Isense Shunt Loss]]</f>
        <v>2.1649598069555928E-3</v>
      </c>
      <c r="BZ13" s="253" t="s">
        <v>137</v>
      </c>
      <c r="CA13" s="686">
        <v>30</v>
      </c>
      <c r="CB13" s="686">
        <v>30</v>
      </c>
      <c r="CC13" s="686">
        <v>30</v>
      </c>
      <c r="CD13" s="686">
        <f>500000*(5-Vdd)*CC13/1000000000+((500000*CC9/1000000000*Vdd)*2.5/(2*4))</f>
        <v>4.4531250000000001E-2</v>
      </c>
      <c r="CE13" s="253">
        <f t="shared" si="2"/>
        <v>3.5625</v>
      </c>
      <c r="CF13" s="253">
        <f t="shared" si="2"/>
        <v>4.453125</v>
      </c>
      <c r="CG13" s="253">
        <f t="shared" si="2"/>
        <v>5.34375</v>
      </c>
      <c r="CH13" s="253">
        <f t="shared" si="2"/>
        <v>6.234375</v>
      </c>
      <c r="CI13" s="253">
        <f t="shared" si="2"/>
        <v>7.125</v>
      </c>
      <c r="CJ13" s="253">
        <f t="shared" si="2"/>
        <v>8.015625</v>
      </c>
      <c r="CK13" s="253">
        <f t="shared" si="2"/>
        <v>0.890625</v>
      </c>
      <c r="CL13" s="253">
        <f t="shared" si="2"/>
        <v>1.3359375</v>
      </c>
      <c r="CM13" s="253">
        <f t="shared" si="2"/>
        <v>1.78125</v>
      </c>
      <c r="CN13" s="253">
        <f t="shared" si="2"/>
        <v>2.2265625</v>
      </c>
    </row>
    <row r="14" spans="1:92" x14ac:dyDescent="0.2">
      <c r="A14" s="690" t="s">
        <v>6</v>
      </c>
      <c r="B14" s="569">
        <f>Iout</f>
        <v>8</v>
      </c>
      <c r="C14" s="255" t="s">
        <v>2</v>
      </c>
      <c r="D14" s="255" t="s">
        <v>97</v>
      </c>
      <c r="G14" s="253">
        <v>5</v>
      </c>
      <c r="H14" s="286">
        <f t="shared" si="0"/>
        <v>12</v>
      </c>
      <c r="I14" s="292" t="str">
        <f>IF(Mode = 2,IF(Table25[[#This Row],[Vin]]&gt;Vout, "BUCK","BOOST"),IF(Table25[[#This Row],[Vin]]&gt;VIN_BB_to_buck, "BUCK", IF(Table25[[#This Row],[Vin]]&lt;=VIN_boost_to_BB,"BOOST","BUCK-BST")))</f>
        <v>BOOST</v>
      </c>
      <c r="J14" s="253">
        <f>IF(Table25[[#This Row],[Mode]]="BOOST",2, IF(Table25[[#This Row],[Mode]]="BUCK", 1,3))</f>
        <v>2</v>
      </c>
      <c r="K14" s="345">
        <f t="shared" si="3"/>
        <v>0.4</v>
      </c>
      <c r="L14" s="292">
        <f>Vout*Table25[[#This Row],[Iout]]/(Table25[[#This Row],[Vin]]*Efficiency)</f>
        <v>0.5614035087719299</v>
      </c>
      <c r="M14" s="682">
        <f>CHOOSE(Table25[[#This Row],[Mode Digit]],(Vout+(Rdson2+Rs+Rdcr)*Table25[[#This Row],[Iout]])/(Table25[[#This Row],[Vin]]+(Rs+Rdson2-Rdson1)*Table25[[#This Row],[Iout]])/Fsw,(Vout+(Rdson3+Rdcr)*Table25[[#This Row],[Iin]]-Table25[[#This Row],[Vin]])/(Vout+(Rdson3-Rdson4-Rs)*Table25[[#This Row],[Iin]])/Fsw,t1_Ph_II)</f>
        <v>6.2876005646241865E-7</v>
      </c>
      <c r="N14" s="518">
        <f>CHOOSE(Table25[[#This Row],[Mode Digit]],1/Fsw-Table25[[#This Row],[t1_Ph_II]],1/Fsw-Table25[[#This Row],[t1_Ph_II]],(Vout/Fsw-Table25[[#This Row],[Vin]]*t1_Ph_II)/(Table25[[#This Row],[Vin]]+Vout))</f>
        <v>1.8838027576079331E-6</v>
      </c>
      <c r="O14" s="518">
        <f>1/Fsw-(Table25[[#This Row],[t1_Ph_II]]+Table25[[#This Row],[t2_Ph_I]])</f>
        <v>0</v>
      </c>
      <c r="P14"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-1.534463346102799</v>
      </c>
      <c r="Q14" s="292">
        <f>CHOOSE(Table25[[#This Row],[Mode Digit]],Table25[[#This Row],[I_0]]+1/Lf*(Table25[[#This Row],[Vin]]-Vout)*Table25[[#This Row],[t1_Ph_II]],Table25[[#This Row],[I_0]]+1/Lf*Table25[[#This Row],[Vin]]*Table25[[#This Row],[t1_Ph_II]],Table25[[#This Row],[I_0]]+(Table25[[#This Row],[Vin]]-Vout)/L*Table25[[#This Row],[t1_Ph_II]])</f>
        <v>2.6572703636466586</v>
      </c>
      <c r="R14" s="292">
        <f>CHOOSE(Table25[[#This Row],[Mode Digit]],0,0,Table25[[#This Row],[I_1]]+Table25[[#This Row],[Vin]]/L*Table25[[#This Row],[t2_Ph_I]])</f>
        <v>0</v>
      </c>
      <c r="S14" s="292">
        <f>Fsw*(Table25[[#This Row],[I_0]]*Table25[[#This Row],[t1_Ph_II]]+Table25[[#This Row],[I_1]]*Table25[[#This Row],[t2_Ph_I]]+Table25[[#This Row],[I_2]]*Table25[[#This Row],[t3_Ph_III]])</f>
        <v>1.6083036634876968</v>
      </c>
      <c r="T14" s="345">
        <f>CHOOSE(Table25[[#This Row],[Mode Digit]],(Vout+(Rdson2+Rs+Rdcr)*Table25[[#This Row],[Iout]])/(Table25[[#This Row],[Vin]]+(Rs+Rdson2-Rdson1)*Table25[[#This Row],[Iout]]),1,Fsw*Table25[[#This Row],[t2_Ph_I]]+Table25[[#This Row],[t1_Ph_II]])</f>
        <v>1</v>
      </c>
      <c r="U14" s="345">
        <f>CHOOSE(Table25[[#This Row],[Mode Digit]],0,(Vout+(Rdson3+Rdcr)*Table25[[#This Row],[Iin]]-Table25[[#This Row],[Vin]])/(Vout+(Rdson3-Rdson4-Rs)*Table25[[#This Row],[Iin]]),Fsw*Table25[[#This Row],[t1_Ph_II]]+Table25[[#This Row],[t3_Ph_III]])</f>
        <v>0.25024650247204261</v>
      </c>
      <c r="V14" s="292">
        <f>MAX(Table25[[#This Row],[I_0]:[I_2]])-MIN(Table25[[#This Row],[I_0]:[I_1]])</f>
        <v>4.1917337097494576</v>
      </c>
      <c r="W14"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1.3339389756590301</v>
      </c>
      <c r="X14" s="345">
        <f>(Table25[[#This Row],[Irms Lf]]^2*Rdcr*(1+Ltc*Ta-Ltc*25))/(1-Table25[[#This Row],[Irms Lf]]^2*Rdcr*Ltc*ThetaCa)</f>
        <v>5.6966531764865973E-3</v>
      </c>
      <c r="Y14" s="345">
        <f>ABS(7.759*10^-3*Fsw^0.9458*(0.00787*Table25[[#This Row],[Ripple Current pk-pk]])^2.304)</f>
        <v>0.59223762605850472</v>
      </c>
      <c r="Z14" s="345">
        <f>Table25[[#This Row],[DCR    Loss]]+Table25[[#This Row],[Core Loss]]</f>
        <v>0.59793427923499132</v>
      </c>
      <c r="AA14" s="292">
        <f>IF(Table25[[#This Row],[Vin]]&gt;Vout, Table25[[#This Row],[Ripple Current pk-pk]]/SQRT(12), SQRT(Table25[[#This Row],[Duty Cycle BOOST Leg]]/(1-Table25[[#This Row],[Duty Cycle BOOST Leg]]))*SQRT(Table25[[#This Row],[Iout]]^2+(Table25[[#This Row],[Ripple Current pk-pk]]^2)/12))</f>
        <v>0.73628692811641894</v>
      </c>
      <c r="AB14" s="345">
        <f>RCoutEsr*Table25[[#This Row],[Irms Cout]]^2</f>
        <v>1.0842368810302255E-3</v>
      </c>
      <c r="AC14" s="345">
        <f>Table25[[#This Row],[Cout ESR Loss]]</f>
        <v>1.0842368810302255E-3</v>
      </c>
      <c r="AD14" s="292">
        <f>IF(Table25[[#This Row],[Vin]]&gt;Vout, SQRT(Table25[[#This Row],[Duty Cycle BUCK Leg]]*(1-Table25[[#This Row],[Duty Cycle BUCK Leg]]))*SQRT(Table25[[#This Row],[Iout]]^2+(Table25[[#This Row],[Ripple Current pk-pk]]^2)/12), Table25[[#This Row],[Ripple Current pk-pk]]/SQRT(12))</f>
        <v>1.210049292847539</v>
      </c>
      <c r="AE14" s="345">
        <f>RCinEsr*Table25[[#This Row],[Irms Cin]]^2</f>
        <v>2.9284385822416588E-3</v>
      </c>
      <c r="AF14" s="683">
        <f>Table25[[#This Row],[Cin ESR Loss]]</f>
        <v>2.9284385822416588E-3</v>
      </c>
      <c r="AG14" s="345">
        <f>Table25[[#This Row],[Irms Lf]]</f>
        <v>1.3339389756590301</v>
      </c>
      <c r="AH14" s="345">
        <f>Rdson1*Table25[[#This Row],[Irms BuCtrl]]^2</f>
        <v>6.2278761677379184E-3</v>
      </c>
      <c r="AI14" s="345">
        <f>CHOOSE(Table25[[#This Row],[Mode Digit]], (Table25[[#This Row],[Vin]]*Table25[[#This Row],[Iout]]/2)*(Fsw)*(Tr_buck+Tf_buck), 0, (Table25[[#This Row],[Vin]]*Table25[[#This Row],[Avg IL]]/2)*(Fsw/1)*(Tr_buck+Tf_buck))</f>
        <v>0</v>
      </c>
      <c r="AJ14" s="253">
        <f>IF(Table25[[#This Row],[Vin]]&gt;Vout, IF(Table25[[#This Row],[Iout]]&gt;Table25[[#This Row],[Ripple Current pk-pk]]/2,0,ABS(Table25[[#This Row],[Iout]]-Table25[[#This Row],[Ripple Current pk-pk]]/2)*Vsd_Q1*Deadtime*Fsw),0)</f>
        <v>0</v>
      </c>
      <c r="AK14" s="345">
        <f>(Table25[[#This Row],[Dead Time Loss BuCtrl]]+Table25[[#This Row],[Transition Loss BuCtrl]]+Table25[[#This Row],[RDS(on) Loss BuCtrl]]*(1+RdsonTopTc*Ta-RdsonTopTc*25))/(1-Table25[[#This Row],[RDS(on) Loss BuCtrl]]*RdsonTopTc*ThetaJA_Q1)</f>
        <v>6.2379769982913828E-3</v>
      </c>
      <c r="AL14" s="345">
        <f>Table25[[#This Row],[Irms Lf]]</f>
        <v>1.3339389756590301</v>
      </c>
      <c r="AM14" s="345">
        <f>Rdson2*Table25[[#This Row],[Irms BuSync]]^2</f>
        <v>6.2278761677379184E-3</v>
      </c>
      <c r="AN14"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14" s="345">
        <f>(Table25[[#This Row],[Deadtime Loss BuSync]]+Table25[[#This Row],[RDS(on) Loss BuSync]]*(1+RdsonBotTc*Ta-RdsonBotTc*25))/(1-Table25[[#This Row],[RDS(on) Loss BuSync]]*RdsonBotTc*ThetaJA_Q2)</f>
        <v>6.2379769982913828E-3</v>
      </c>
      <c r="AP14" s="345">
        <f>Table25[[#This Row],[Irms Lf]]</f>
        <v>1.3339389756590301</v>
      </c>
      <c r="AQ14" s="345">
        <f>Rdson4*Table25[[#This Row],[Irms BoCtlr]]^2</f>
        <v>6.2278761677379184E-3</v>
      </c>
      <c r="AR14" s="345">
        <f>CHOOSE(Table25[[#This Row],[Mode Digit]], 0, (Vout*Table25[[#This Row],[Iin]]/2)*(Fsw)*(Tr_boost+Tf_boost), (Vout*Iout/2)*(Fsw/1)*(Tr_boost+Tf_boost))</f>
        <v>3.3378470797657753E-2</v>
      </c>
      <c r="AS14" s="345">
        <f>IF(Table25[[#This Row],[Vin]]&gt;Vout, 0, IF(Table25[[#This Row],[Iin]]&gt;Table25[[#This Row],[Ripple Current pk-pk]]/2,0,ABS(Table25[[#This Row],[Iin]]-Table25[[#This Row],[Ripple Current pk-pk]]/2)*Vsd_Q4*Deadtime*Fsw))</f>
        <v>2.2901865440584278E-2</v>
      </c>
      <c r="AT14" s="345">
        <f>(Table25[[#This Row],[Dead Time Loss BoCtlr]]+Table25[[#This Row],[Transition Loss BoCtlr]]+Table25[[#This Row],[RDS(on) Loss BoCtlr]]*(1+RdsonTopTc*Ta-RdsonTopTc*25))/(1-Table25[[#This Row],[RDS(on) Loss BoCtlr]]*RdsonTopTc*ThetaJA_Q4)</f>
        <v>6.2609592851690085E-2</v>
      </c>
      <c r="AU14" s="345">
        <f>Table25[[#This Row],[Irms Lf]]</f>
        <v>1.3339389756590301</v>
      </c>
      <c r="AV14" s="345">
        <f>Rdson3*Table25[[#This Row],[Irms BoSync]]^2</f>
        <v>6.2278761677379184E-3</v>
      </c>
      <c r="AW14"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3.9659760177426374E-2</v>
      </c>
      <c r="AX14" s="345">
        <f>(Table25[[#This Row],[Deadtime Loss BoSync]]+Table25[[#This Row],[RDS(on) Loss BoSync]]*(1+RdsonBotTc*Ta-RdsonBotTc*25))/(1-Table25[[#This Row],[RDS(on) Loss BoSync]]*RdsonBotTc*ThetaJA_Q3)</f>
        <v>4.5962060310371339E-2</v>
      </c>
      <c r="AY14" s="345">
        <f>CHOOSE(Table25[[#This Row],[Mode Digit]], Rdson3*Table25[[#This Row],[Irms Lf]]^2, Rdson1*Table25[[#This Row],[Irms Lf]]^2, 0)</f>
        <v>6.2278761677379184E-3</v>
      </c>
      <c r="AZ14" s="345">
        <f>CHOOSE(Table25[[#This Row],[Mode Digit]], 2*Deadtime*Fsw*IF(VfdSky_Q2&gt;0,VfdSky_Q2,0)*Table25[[#This Row],[Iout]], 2*Deadtime*Fsw*IF(VfdSky_Q3&gt;0,VfdSky_Q3,0)*Table25[[#This Row],[Iin]], 2*Deadtime*Fsw*IF(VfdSky_Q2&gt;0,VfdSky_Q2,0)*Table25[[#This Row],[Iout]]+2*Deadtime*Fsw*IF(VfdSky_Q3&gt;0,VfdSky_Q3,0)*Table25[[#This Row],[Iin]])</f>
        <v>0</v>
      </c>
      <c r="BA14"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14"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14" s="345">
        <f>CHOOSE(Table25[[#This Row],[Mode Digit]], Rs*Table25[[#This Row],[Irms BuSync]]^2, Rs*Table25[[#This Row],[Irms BoCtlr]]^2, Rs*(Table25[[#This Row],[Irms BuSync]]^2+Table25[[#This Row],[Irms BoCtlr]]^2))</f>
        <v>2.3132111480169411E-3</v>
      </c>
      <c r="BD14" s="345">
        <f t="shared" si="1"/>
        <v>0.64</v>
      </c>
      <c r="BE14" s="345">
        <f>IF(Vout&gt;8, Iq*Vout, Iq*Table25[[#This Row],[Vin]])</f>
        <v>4.8000000000000001E-2</v>
      </c>
      <c r="BF14" s="345">
        <f>CHOOSE(Table25[[#This Row],[Mode Digit]], (Qg_Q1+Qg_Q2)*Fsw, (Qg_Q3+Qg_Q4)*Fsw, (Qg_Q1+Qg_Q2+Qg_Q3+Qg_Q4)*Fsw)*IF(Vout&gt;8,  MIN( Table25[[#This Row],[Vin]], Vout), Table25[[#This Row],[Vin]])</f>
        <v>0.63998400000000011</v>
      </c>
      <c r="BG14" s="345">
        <f t="shared" si="4"/>
        <v>0.50594479787234037</v>
      </c>
      <c r="BH14" s="345">
        <f>Table25[[#This Row],[IQ Loss]]+Table25[[#This Row],[Switching Current Loss]]</f>
        <v>0.68798400000000015</v>
      </c>
      <c r="BI14"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2.7665077730049248</v>
      </c>
      <c r="BJ14" s="253">
        <f>Vout*Table25[[#This Row],[Iout]]</f>
        <v>6.4</v>
      </c>
      <c r="BK14" s="684">
        <f>Table25[[#This Row],[Pout]]/(Table25[[#This Row],[Pout]]+Table25[[#This Row],[Total Loss]])</f>
        <v>0.69819392057330687</v>
      </c>
      <c r="BL14" s="685">
        <f>IF(Table25[[#This Row],[Vin]]&gt;Vout,ThetaJA_Q1*(Table25[[#This Row],[Total Control Bu MOSFET Loss]]+Table25[[#This Row],[Reverse Recovery Loss MOSFET D BUCK]]),ThetaJA_Q4*(Table25[[#This Row],[Total Control Bo MOSFET Loss]]+Table25[[#This Row],[Reverse Recovery Loss MOSFET D BOOST]]))</f>
        <v>27.249143535359856</v>
      </c>
      <c r="BM14" s="685">
        <f>IF(Table25[[#This Row],[Vin]]&gt;Vout, Table25[[#This Row],[Total Sync Bu MOSFET Loss]]*ThetaJA_Q2, ThetaJA_Q3*Table25[[#This Row],[Total Sync Bo MOSFET Loss]])</f>
        <v>2.9875339201741369</v>
      </c>
      <c r="BN14" s="640"/>
      <c r="BO14" s="292">
        <f>Table25[[#This Row],[EFF, h]]*100</f>
        <v>69.819392057330688</v>
      </c>
      <c r="BP14" s="345">
        <f>Table25[[#This Row],[Total Inductor Loss]]</f>
        <v>0.59793427923499132</v>
      </c>
      <c r="BQ14" s="345">
        <f>Table25[[#This Row],[Total Control Bu MOSFET Loss]]+Table25[[#This Row],[Total Sync Bu MOSFET Loss]]+Table25[[#This Row],[Total Control Bo MOSFET Loss]]+Table25[[#This Row],[Total Sync Bo MOSFET Loss]]+Table25[[#This Row],[Reverse Recovery Loss MOSFET D BUCK]]+Table25[[#This Row],[Reverse Recovery Loss MOSFET D BOOST]]</f>
        <v>0.83426360715864423</v>
      </c>
      <c r="BR14" s="345">
        <f xml:space="preserve"> Table25[[#This Row],[Total Control Bu MOSFET Loss]]+Table25[[#This Row],[Reverse Recovery Loss MOSFET D BUCK]]*0.66</f>
        <v>0.24159925699829138</v>
      </c>
      <c r="BS14" s="345">
        <f>Table25[[#This Row],[Total Sync Bu MOSFET Loss]]+Table25[[#This Row],[Reverse Recovery Loss MOSFET D BUCK]]*0.33</f>
        <v>0.12391861699829139</v>
      </c>
      <c r="BT14" s="345">
        <f xml:space="preserve"> Table25[[#This Row],[Total Control Bo MOSFET Loss]]+Table25[[#This Row],[Reverse Recovery Loss MOSFET D BOOST]]*0.66</f>
        <v>0.29797087285169011</v>
      </c>
      <c r="BU14" s="345">
        <f xml:space="preserve"> Table25[[#This Row],[Total Sync Bo MOSFET Loss]]+Table25[[#This Row],[Reverse Recovery Loss MOSFET D BOOST]]*0.33</f>
        <v>0.16364270031037134</v>
      </c>
      <c r="BV14" s="345">
        <f>Table25[[#This Row],[Isense Shunt Loss]]</f>
        <v>2.3132111480169411E-3</v>
      </c>
      <c r="BZ14" s="253" t="s">
        <v>140</v>
      </c>
      <c r="CA14" s="686">
        <v>45</v>
      </c>
      <c r="CB14" s="686">
        <v>45</v>
      </c>
      <c r="CC14" s="686">
        <v>45</v>
      </c>
      <c r="CD14" s="686">
        <f>500000*(12-Vdd)*CC14/1000000000+((500000*CC9/1000000000*Vdd)*2.5/(2*4))</f>
        <v>0.18328125000000001</v>
      </c>
      <c r="CE14" s="253">
        <f t="shared" si="2"/>
        <v>14.662500000000001</v>
      </c>
      <c r="CF14" s="253">
        <f t="shared" si="2"/>
        <v>18.328125</v>
      </c>
      <c r="CG14" s="253">
        <f t="shared" si="2"/>
        <v>21.993750000000002</v>
      </c>
      <c r="CH14" s="253">
        <f t="shared" si="2"/>
        <v>25.659375000000001</v>
      </c>
      <c r="CI14" s="253">
        <f t="shared" si="2"/>
        <v>29.325000000000003</v>
      </c>
      <c r="CJ14" s="253">
        <f t="shared" si="2"/>
        <v>32.990625000000001</v>
      </c>
      <c r="CK14" s="253">
        <f t="shared" si="2"/>
        <v>3.6656250000000004</v>
      </c>
      <c r="CL14" s="253">
        <f t="shared" si="2"/>
        <v>5.4984375000000005</v>
      </c>
      <c r="CM14" s="253">
        <f t="shared" si="2"/>
        <v>7.3312500000000007</v>
      </c>
      <c r="CN14" s="253">
        <f t="shared" si="2"/>
        <v>9.1640625</v>
      </c>
    </row>
    <row r="15" spans="1:92" ht="13.6" x14ac:dyDescent="0.25">
      <c r="A15" s="691" t="s">
        <v>87</v>
      </c>
      <c r="B15" s="569">
        <f>Ta</f>
        <v>25</v>
      </c>
      <c r="C15" s="255" t="s">
        <v>600</v>
      </c>
      <c r="D15" s="255" t="s">
        <v>98</v>
      </c>
      <c r="G15" s="253">
        <v>6</v>
      </c>
      <c r="H15" s="286">
        <f t="shared" si="0"/>
        <v>12</v>
      </c>
      <c r="I15" s="292" t="str">
        <f>IF(Mode = 2,IF(Table25[[#This Row],[Vin]]&gt;Vout, "BUCK","BOOST"),IF(Table25[[#This Row],[Vin]]&gt;VIN_BB_to_buck, "BUCK", IF(Table25[[#This Row],[Vin]]&lt;=VIN_boost_to_BB,"BOOST","BUCK-BST")))</f>
        <v>BOOST</v>
      </c>
      <c r="J15" s="253">
        <f>IF(Table25[[#This Row],[Mode]]="BOOST",2, IF(Table25[[#This Row],[Mode]]="BUCK", 1,3))</f>
        <v>2</v>
      </c>
      <c r="K15" s="345">
        <f t="shared" si="3"/>
        <v>0.48</v>
      </c>
      <c r="L15" s="292">
        <f>Vout*Table25[[#This Row],[Iout]]/(Table25[[#This Row],[Vin]]*Efficiency)</f>
        <v>0.67368421052631589</v>
      </c>
      <c r="M15" s="682">
        <f>CHOOSE(Table25[[#This Row],[Mode Digit]],(Vout+(Rdson2+Rs+Rdcr)*Table25[[#This Row],[Iout]])/(Table25[[#This Row],[Vin]]+(Rs+Rdson2-Rdson1)*Table25[[#This Row],[Iout]])/Fsw,(Vout+(Rdson3+Rdcr)*Table25[[#This Row],[Iin]]-Table25[[#This Row],[Vin]])/(Vout+(Rdson3-Rdson4-Rs)*Table25[[#This Row],[Iin]])/Fsw,t1_Ph_II)</f>
        <v>6.2888393383204055E-7</v>
      </c>
      <c r="N15" s="518">
        <f>CHOOSE(Table25[[#This Row],[Mode Digit]],1/Fsw-Table25[[#This Row],[t1_Ph_II]],1/Fsw-Table25[[#This Row],[t1_Ph_II]],(Vout/Fsw-Table25[[#This Row],[Vin]]*t1_Ph_II)/(Table25[[#This Row],[Vin]]+Vout))</f>
        <v>1.8836788802383113E-6</v>
      </c>
      <c r="O15" s="518">
        <f>1/Fsw-(Table25[[#This Row],[t1_Ph_II]]+Table25[[#This Row],[t2_Ph_I]])</f>
        <v>0</v>
      </c>
      <c r="P15"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-1.4225955689138192</v>
      </c>
      <c r="Q15" s="292">
        <f>CHOOSE(Table25[[#This Row],[Mode Digit]],Table25[[#This Row],[I_0]]+1/Lf*(Table25[[#This Row],[Vin]]-Vout)*Table25[[#This Row],[t1_Ph_II]],Table25[[#This Row],[I_0]]+1/Lf*Table25[[#This Row],[Vin]]*Table25[[#This Row],[t1_Ph_II]],Table25[[#This Row],[I_0]]+(Table25[[#This Row],[Vin]]-Vout)/L*Table25[[#This Row],[t1_Ph_II]])</f>
        <v>2.7699639899664508</v>
      </c>
      <c r="R15" s="292">
        <f>CHOOSE(Table25[[#This Row],[Mode Digit]],0,0,Table25[[#This Row],[I_1]]+Table25[[#This Row],[Vin]]/L*Table25[[#This Row],[t2_Ph_I]])</f>
        <v>0</v>
      </c>
      <c r="S15" s="292">
        <f>Fsw*(Table25[[#This Row],[I_0]]*Table25[[#This Row],[t1_Ph_II]]+Table25[[#This Row],[I_1]]*Table25[[#This Row],[t2_Ph_I]]+Table25[[#This Row],[I_2]]*Table25[[#This Row],[t3_Ph_III]])</f>
        <v>1.7205839173773791</v>
      </c>
      <c r="T15" s="345">
        <f>CHOOSE(Table25[[#This Row],[Mode Digit]],(Vout+(Rdson2+Rs+Rdcr)*Table25[[#This Row],[Iout]])/(Table25[[#This Row],[Vin]]+(Rs+Rdson2-Rdson1)*Table25[[#This Row],[Iout]]),1,Fsw*Table25[[#This Row],[t2_Ph_I]]+Table25[[#This Row],[t1_Ph_II]])</f>
        <v>1</v>
      </c>
      <c r="U15" s="345">
        <f>CHOOSE(Table25[[#This Row],[Mode Digit]],0,(Vout+(Rdson3+Rdcr)*Table25[[#This Row],[Iin]]-Table25[[#This Row],[Vin]])/(Vout+(Rdson3-Rdson4-Rs)*Table25[[#This Row],[Iin]]),Fsw*Table25[[#This Row],[t1_Ph_II]]+Table25[[#This Row],[t3_Ph_III]])</f>
        <v>0.25029580566515214</v>
      </c>
      <c r="V15" s="292">
        <f>MAX(Table25[[#This Row],[I_0]:[I_2]])-MIN(Table25[[#This Row],[I_0]:[I_1]])</f>
        <v>4.1925595588802702</v>
      </c>
      <c r="W15"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1.3851522371478375</v>
      </c>
      <c r="X15" s="345">
        <f>(Table25[[#This Row],[Irms Lf]]^2*Rdcr*(1+Ltc*Ta-Ltc*25))/(1-Table25[[#This Row],[Irms Lf]]^2*Rdcr*Ltc*ThetaCa)</f>
        <v>6.142686629503972E-3</v>
      </c>
      <c r="Y15" s="345">
        <f>ABS(7.759*10^-3*Fsw^0.9458*(0.00787*Table25[[#This Row],[Ripple Current pk-pk]])^2.304)</f>
        <v>0.59250649540178146</v>
      </c>
      <c r="Z15" s="345">
        <f>Table25[[#This Row],[DCR    Loss]]+Table25[[#This Row],[Core Loss]]</f>
        <v>0.59864918203128548</v>
      </c>
      <c r="AA15" s="292">
        <f>IF(Table25[[#This Row],[Vin]]&gt;Vout, Table25[[#This Row],[Ripple Current pk-pk]]/SQRT(12), SQRT(Table25[[#This Row],[Duty Cycle BOOST Leg]]/(1-Table25[[#This Row],[Duty Cycle BOOST Leg]]))*SQRT(Table25[[#This Row],[Iout]]^2+(Table25[[#This Row],[Ripple Current pk-pk]]^2)/12))</f>
        <v>0.75230130326643474</v>
      </c>
      <c r="AB15" s="345">
        <f>RCoutEsr*Table25[[#This Row],[Irms Cout]]^2</f>
        <v>1.1319145017927525E-3</v>
      </c>
      <c r="AC15" s="345">
        <f>Table25[[#This Row],[Cout ESR Loss]]</f>
        <v>1.1319145017927525E-3</v>
      </c>
      <c r="AD15" s="292">
        <f>IF(Table25[[#This Row],[Vin]]&gt;Vout, SQRT(Table25[[#This Row],[Duty Cycle BUCK Leg]]*(1-Table25[[#This Row],[Duty Cycle BUCK Leg]]))*SQRT(Table25[[#This Row],[Iout]]^2+(Table25[[#This Row],[Ripple Current pk-pk]]^2)/12), Table25[[#This Row],[Ripple Current pk-pk]]/SQRT(12))</f>
        <v>1.2102876949565313</v>
      </c>
      <c r="AE15" s="345">
        <f>RCinEsr*Table25[[#This Row],[Irms Cin]]^2</f>
        <v>2.9295926091263877E-3</v>
      </c>
      <c r="AF15" s="683">
        <f>Table25[[#This Row],[Cin ESR Loss]]</f>
        <v>2.9295926091263877E-3</v>
      </c>
      <c r="AG15" s="345">
        <f>Table25[[#This Row],[Irms Lf]]</f>
        <v>1.3851522371478375</v>
      </c>
      <c r="AH15" s="345">
        <f>Rdson1*Table25[[#This Row],[Irms BuCtrl]]^2</f>
        <v>6.7152635202648069E-3</v>
      </c>
      <c r="AI15" s="345">
        <f>CHOOSE(Table25[[#This Row],[Mode Digit]], (Table25[[#This Row],[Vin]]*Table25[[#This Row],[Iout]]/2)*(Fsw)*(Tr_buck+Tf_buck), 0, (Table25[[#This Row],[Vin]]*Table25[[#This Row],[Avg IL]]/2)*(Fsw/1)*(Tr_buck+Tf_buck))</f>
        <v>0</v>
      </c>
      <c r="AJ15" s="253">
        <f>IF(Table25[[#This Row],[Vin]]&gt;Vout, IF(Table25[[#This Row],[Iout]]&gt;Table25[[#This Row],[Ripple Current pk-pk]]/2,0,ABS(Table25[[#This Row],[Iout]]-Table25[[#This Row],[Ripple Current pk-pk]]/2)*Vsd_Q1*Deadtime*Fsw),0)</f>
        <v>0</v>
      </c>
      <c r="AK15" s="345">
        <f>(Table25[[#This Row],[Dead Time Loss BuCtrl]]+Table25[[#This Row],[Transition Loss BuCtrl]]+Table25[[#This Row],[RDS(on) Loss BuCtrl]]*(1+RdsonTopTc*Ta-RdsonTopTc*25))/(1-Table25[[#This Row],[RDS(on) Loss BuCtrl]]*RdsonTopTc*ThetaJA_Q1)</f>
        <v>6.7270086655968802E-3</v>
      </c>
      <c r="AL15" s="345">
        <f>Table25[[#This Row],[Irms Lf]]</f>
        <v>1.3851522371478375</v>
      </c>
      <c r="AM15" s="345">
        <f>Rdson2*Table25[[#This Row],[Irms BuSync]]^2</f>
        <v>6.7152635202648069E-3</v>
      </c>
      <c r="AN15"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15" s="345">
        <f>(Table25[[#This Row],[Deadtime Loss BuSync]]+Table25[[#This Row],[RDS(on) Loss BuSync]]*(1+RdsonBotTc*Ta-RdsonBotTc*25))/(1-Table25[[#This Row],[RDS(on) Loss BuSync]]*RdsonBotTc*ThetaJA_Q2)</f>
        <v>6.7270086655968802E-3</v>
      </c>
      <c r="AP15" s="345">
        <f>Table25[[#This Row],[Irms Lf]]</f>
        <v>1.3851522371478375</v>
      </c>
      <c r="AQ15" s="345">
        <f>Rdson4*Table25[[#This Row],[Irms BoCtlr]]^2</f>
        <v>6.7152635202648069E-3</v>
      </c>
      <c r="AR15" s="345">
        <f>CHOOSE(Table25[[#This Row],[Mode Digit]], 0, (Vout*Table25[[#This Row],[Iin]]/2)*(Fsw)*(Tr_boost+Tf_boost), (Vout*Iout/2)*(Fsw/1)*(Tr_boost+Tf_boost))</f>
        <v>4.0054164957189303E-2</v>
      </c>
      <c r="AS15" s="345">
        <f>IF(Table25[[#This Row],[Vin]]&gt;Vout, 0, IF(Table25[[#This Row],[Iin]]&gt;Table25[[#This Row],[Ripple Current pk-pk]]/2,0,ABS(Table25[[#This Row],[Iin]]-Table25[[#This Row],[Ripple Current pk-pk]]/2)*Vsd_Q4*Deadtime*Fsw))</f>
        <v>2.1232238866038752E-2</v>
      </c>
      <c r="AT15" s="345">
        <f>(Table25[[#This Row],[Dead Time Loss BoCtlr]]+Table25[[#This Row],[Transition Loss BoCtlr]]+Table25[[#This Row],[RDS(on) Loss BoCtlr]]*(1+RdsonTopTc*Ta-RdsonTopTc*25))/(1-Table25[[#This Row],[RDS(on) Loss BoCtlr]]*RdsonTopTc*ThetaJA_Q4)</f>
        <v>6.8120603772921492E-2</v>
      </c>
      <c r="AU15" s="345">
        <f>Table25[[#This Row],[Irms Lf]]</f>
        <v>1.3851522371478375</v>
      </c>
      <c r="AV15" s="345">
        <f>Rdson3*Table25[[#This Row],[Irms BoSync]]^2</f>
        <v>6.7152635202648069E-3</v>
      </c>
      <c r="AW15"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4.1341712550249272E-2</v>
      </c>
      <c r="AX15" s="345">
        <f>(Table25[[#This Row],[Deadtime Loss BoSync]]+Table25[[#This Row],[RDS(on) Loss BoSync]]*(1+RdsonBotTc*Ta-RdsonBotTc*25))/(1-Table25[[#This Row],[RDS(on) Loss BoSync]]*RdsonBotTc*ThetaJA_Q3)</f>
        <v>4.814102879107595E-2</v>
      </c>
      <c r="AY15" s="345">
        <f>CHOOSE(Table25[[#This Row],[Mode Digit]], Rdson3*Table25[[#This Row],[Irms Lf]]^2, Rdson1*Table25[[#This Row],[Irms Lf]]^2, 0)</f>
        <v>6.7152635202648069E-3</v>
      </c>
      <c r="AZ15" s="345">
        <f>CHOOSE(Table25[[#This Row],[Mode Digit]], 2*Deadtime*Fsw*IF(VfdSky_Q2&gt;0,VfdSky_Q2,0)*Table25[[#This Row],[Iout]], 2*Deadtime*Fsw*IF(VfdSky_Q3&gt;0,VfdSky_Q3,0)*Table25[[#This Row],[Iin]], 2*Deadtime*Fsw*IF(VfdSky_Q2&gt;0,VfdSky_Q2,0)*Table25[[#This Row],[Iout]]+2*Deadtime*Fsw*IF(VfdSky_Q3&gt;0,VfdSky_Q3,0)*Table25[[#This Row],[Iin]])</f>
        <v>0</v>
      </c>
      <c r="BA15"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15"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15" s="345">
        <f>CHOOSE(Table25[[#This Row],[Mode Digit]], Rs*Table25[[#This Row],[Irms BuSync]]^2, Rs*Table25[[#This Row],[Irms BoCtlr]]^2, Rs*(Table25[[#This Row],[Irms BuSync]]^2+Table25[[#This Row],[Irms BoCtlr]]^2))</f>
        <v>2.4942407360983567E-3</v>
      </c>
      <c r="BD15" s="345">
        <f t="shared" si="1"/>
        <v>0.64</v>
      </c>
      <c r="BE15" s="345">
        <f>IF(Vout&gt;8, Iq*Vout, Iq*Table25[[#This Row],[Vin]])</f>
        <v>4.8000000000000001E-2</v>
      </c>
      <c r="BF15" s="345">
        <f>CHOOSE(Table25[[#This Row],[Mode Digit]], (Qg_Q1+Qg_Q2)*Fsw, (Qg_Q3+Qg_Q4)*Fsw, (Qg_Q1+Qg_Q2+Qg_Q3+Qg_Q4)*Fsw)*IF(Vout&gt;8,  MIN( Table25[[#This Row],[Vin]], Vout), Table25[[#This Row],[Vin]])</f>
        <v>0.63998400000000011</v>
      </c>
      <c r="BG15" s="345">
        <f t="shared" si="4"/>
        <v>0.50594479787234037</v>
      </c>
      <c r="BH15" s="345">
        <f>Table25[[#This Row],[IQ Loss]]+Table25[[#This Row],[Switching Current Loss]]</f>
        <v>0.68798400000000015</v>
      </c>
      <c r="BI15"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2.7761205797734942</v>
      </c>
      <c r="BJ15" s="253">
        <f>Vout*Table25[[#This Row],[Iout]]</f>
        <v>7.68</v>
      </c>
      <c r="BK15" s="684">
        <f>Table25[[#This Row],[Pout]]/(Table25[[#This Row],[Pout]]+Table25[[#This Row],[Total Loss]])</f>
        <v>0.73449803312868533</v>
      </c>
      <c r="BL15" s="685">
        <f>IF(Table25[[#This Row],[Vin]]&gt;Vout,ThetaJA_Q1*(Table25[[#This Row],[Total Control Bu MOSFET Loss]]+Table25[[#This Row],[Reverse Recovery Loss MOSFET D BUCK]]),ThetaJA_Q4*(Table25[[#This Row],[Total Control Bo MOSFET Loss]]+Table25[[#This Row],[Reverse Recovery Loss MOSFET D BOOST]]))</f>
        <v>27.607359245239898</v>
      </c>
      <c r="BM15" s="685">
        <f>IF(Table25[[#This Row],[Vin]]&gt;Vout, Table25[[#This Row],[Total Sync Bu MOSFET Loss]]*ThetaJA_Q2, ThetaJA_Q3*Table25[[#This Row],[Total Sync Bo MOSFET Loss]])</f>
        <v>3.1291668714199368</v>
      </c>
      <c r="BN15" s="640"/>
      <c r="BO15" s="292">
        <f>Table25[[#This Row],[EFF, h]]*100</f>
        <v>73.449803312868539</v>
      </c>
      <c r="BP15" s="345">
        <f>Table25[[#This Row],[Total Inductor Loss]]</f>
        <v>0.59864918203128548</v>
      </c>
      <c r="BQ15" s="345">
        <f>Table25[[#This Row],[Total Control Bu MOSFET Loss]]+Table25[[#This Row],[Total Sync Bu MOSFET Loss]]+Table25[[#This Row],[Total Control Bo MOSFET Loss]]+Table25[[#This Row],[Total Sync Bo MOSFET Loss]]+Table25[[#This Row],[Reverse Recovery Loss MOSFET D BUCK]]+Table25[[#This Row],[Reverse Recovery Loss MOSFET D BOOST]]</f>
        <v>0.84293164989519109</v>
      </c>
      <c r="BR15" s="345">
        <f xml:space="preserve"> Table25[[#This Row],[Total Control Bu MOSFET Loss]]+Table25[[#This Row],[Reverse Recovery Loss MOSFET D BUCK]]*0.66</f>
        <v>0.2420882886655969</v>
      </c>
      <c r="BS15" s="345">
        <f>Table25[[#This Row],[Total Sync Bu MOSFET Loss]]+Table25[[#This Row],[Reverse Recovery Loss MOSFET D BUCK]]*0.33</f>
        <v>0.12440764866559688</v>
      </c>
      <c r="BT15" s="345">
        <f xml:space="preserve"> Table25[[#This Row],[Total Control Bo MOSFET Loss]]+Table25[[#This Row],[Reverse Recovery Loss MOSFET D BOOST]]*0.66</f>
        <v>0.30348188377292151</v>
      </c>
      <c r="BU15" s="345">
        <f xml:space="preserve"> Table25[[#This Row],[Total Sync Bo MOSFET Loss]]+Table25[[#This Row],[Reverse Recovery Loss MOSFET D BOOST]]*0.33</f>
        <v>0.16582166879107596</v>
      </c>
      <c r="BV15" s="345">
        <f>Table25[[#This Row],[Isense Shunt Loss]]</f>
        <v>2.4942407360983567E-3</v>
      </c>
      <c r="BZ15" s="253" t="s">
        <v>138</v>
      </c>
      <c r="CA15" s="686">
        <v>20</v>
      </c>
      <c r="CB15" s="686">
        <v>20</v>
      </c>
      <c r="CC15" s="686">
        <v>20</v>
      </c>
      <c r="CD15" s="686">
        <f>1000000*(5-Vdd)*CC15/1000000000+((1000000*CC9/1000000000*Vdd)*2.5/(2*4))</f>
        <v>0.1140625</v>
      </c>
      <c r="CE15" s="253">
        <f t="shared" si="2"/>
        <v>9.125</v>
      </c>
      <c r="CF15" s="253">
        <f t="shared" si="2"/>
        <v>11.40625</v>
      </c>
      <c r="CG15" s="253">
        <f t="shared" si="2"/>
        <v>13.6875</v>
      </c>
      <c r="CH15" s="253">
        <f t="shared" si="2"/>
        <v>15.96875</v>
      </c>
      <c r="CI15" s="253">
        <f t="shared" si="2"/>
        <v>18.25</v>
      </c>
      <c r="CJ15" s="253">
        <f t="shared" si="2"/>
        <v>20.53125</v>
      </c>
      <c r="CK15" s="253">
        <f t="shared" si="2"/>
        <v>2.28125</v>
      </c>
      <c r="CL15" s="253">
        <f t="shared" si="2"/>
        <v>3.421875</v>
      </c>
      <c r="CM15" s="253">
        <f t="shared" si="2"/>
        <v>4.5625</v>
      </c>
      <c r="CN15" s="253">
        <f t="shared" si="2"/>
        <v>5.703125</v>
      </c>
    </row>
    <row r="16" spans="1:92" x14ac:dyDescent="0.2">
      <c r="A16" s="690" t="s">
        <v>611</v>
      </c>
      <c r="B16" s="569">
        <f>Vdd</f>
        <v>7.5</v>
      </c>
      <c r="C16" s="255" t="s">
        <v>0</v>
      </c>
      <c r="D16" s="255" t="s">
        <v>610</v>
      </c>
      <c r="G16" s="253">
        <v>7</v>
      </c>
      <c r="H16" s="286">
        <f t="shared" si="0"/>
        <v>12</v>
      </c>
      <c r="I16" s="292" t="str">
        <f>IF(Mode = 2,IF(Table25[[#This Row],[Vin]]&gt;Vout, "BUCK","BOOST"),IF(Table25[[#This Row],[Vin]]&gt;VIN_BB_to_buck, "BUCK", IF(Table25[[#This Row],[Vin]]&lt;=VIN_boost_to_BB,"BOOST","BUCK-BST")))</f>
        <v>BOOST</v>
      </c>
      <c r="J16" s="253">
        <f>IF(Table25[[#This Row],[Mode]]="BOOST",2, IF(Table25[[#This Row],[Mode]]="BUCK", 1,3))</f>
        <v>2</v>
      </c>
      <c r="K16" s="345">
        <f t="shared" si="3"/>
        <v>0.56000000000000005</v>
      </c>
      <c r="L16" s="292">
        <f>Vout*Table25[[#This Row],[Iout]]/(Table25[[#This Row],[Vin]]*Efficiency)</f>
        <v>0.78596491228070198</v>
      </c>
      <c r="M16" s="682">
        <f>CHOOSE(Table25[[#This Row],[Mode Digit]],(Vout+(Rdson2+Rs+Rdcr)*Table25[[#This Row],[Iout]])/(Table25[[#This Row],[Vin]]+(Rs+Rdson2-Rdson1)*Table25[[#This Row],[Iout]])/Fsw,(Vout+(Rdson3+Rdcr)*Table25[[#This Row],[Iin]]-Table25[[#This Row],[Vin]])/(Vout+(Rdson3-Rdson4-Rs)*Table25[[#This Row],[Iin]])/Fsw,t1_Ph_II)</f>
        <v>6.2900781346202566E-7</v>
      </c>
      <c r="N16" s="518">
        <f>CHOOSE(Table25[[#This Row],[Mode Digit]],1/Fsw-Table25[[#This Row],[t1_Ph_II]],1/Fsw-Table25[[#This Row],[t1_Ph_II]],(Vout/Fsw-Table25[[#This Row],[Vin]]*t1_Ph_II)/(Table25[[#This Row],[Vin]]+Vout))</f>
        <v>1.8835550006083262E-6</v>
      </c>
      <c r="O16" s="518">
        <f>1/Fsw-(Table25[[#This Row],[t1_Ph_II]]+Table25[[#This Row],[t2_Ph_I]])</f>
        <v>0</v>
      </c>
      <c r="P16"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-1.3107277992593835</v>
      </c>
      <c r="Q16" s="292">
        <f>CHOOSE(Table25[[#This Row],[Mode Digit]],Table25[[#This Row],[I_0]]+1/Lf*(Table25[[#This Row],[Vin]]-Vout)*Table25[[#This Row],[t1_Ph_II]],Table25[[#This Row],[I_0]]+1/Lf*Table25[[#This Row],[Vin]]*Table25[[#This Row],[t1_Ph_II]],Table25[[#This Row],[I_0]]+(Table25[[#This Row],[Vin]]-Vout)/L*Table25[[#This Row],[t1_Ph_II]])</f>
        <v>2.8826576238207875</v>
      </c>
      <c r="R16" s="292">
        <f>CHOOSE(Table25[[#This Row],[Mode Digit]],0,0,Table25[[#This Row],[I_1]]+Table25[[#This Row],[Vin]]/L*Table25[[#This Row],[t2_Ph_I]])</f>
        <v>0</v>
      </c>
      <c r="S16" s="292">
        <f>Fsw*(Table25[[#This Row],[I_0]]*Table25[[#This Row],[t1_Ph_II]]+Table25[[#This Row],[I_1]]*Table25[[#This Row],[t2_Ph_I]]+Table25[[#This Row],[I_2]]*Table25[[#This Row],[t3_Ph_III]])</f>
        <v>1.8328640898226622</v>
      </c>
      <c r="T16" s="345">
        <f>CHOOSE(Table25[[#This Row],[Mode Digit]],(Vout+(Rdson2+Rs+Rdcr)*Table25[[#This Row],[Iout]])/(Table25[[#This Row],[Vin]]+(Rs+Rdson2-Rdson1)*Table25[[#This Row],[Iout]]),1,Fsw*Table25[[#This Row],[t2_Ph_I]]+Table25[[#This Row],[t1_Ph_II]])</f>
        <v>1</v>
      </c>
      <c r="U16" s="345">
        <f>CHOOSE(Table25[[#This Row],[Mode Digit]],0,(Vout+(Rdson3+Rdcr)*Table25[[#This Row],[Iin]]-Table25[[#This Row],[Vin]])/(Vout+(Rdson3-Rdson4-Rs)*Table25[[#This Row],[Iin]]),Fsw*Table25[[#This Row],[t1_Ph_II]]+Table25[[#This Row],[t3_Ph_III]])</f>
        <v>0.25034510975788621</v>
      </c>
      <c r="V16" s="292">
        <f>MAX(Table25[[#This Row],[I_0]:[I_2]])-MIN(Table25[[#This Row],[I_0]:[I_1]])</f>
        <v>4.193385423080171</v>
      </c>
      <c r="W16"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1.4432997905996001</v>
      </c>
      <c r="X16" s="345">
        <f>(Table25[[#This Row],[Irms Lf]]^2*Rdcr*(1+Ltc*Ta-Ltc*25))/(1-Table25[[#This Row],[Irms Lf]]^2*Rdcr*Ltc*ThetaCa)</f>
        <v>6.6695224183649484E-3</v>
      </c>
      <c r="Y16" s="345">
        <f>ABS(7.759*10^-3*Fsw^0.9458*(0.00787*Table25[[#This Row],[Ripple Current pk-pk]])^2.304)</f>
        <v>0.59277543872400973</v>
      </c>
      <c r="Z16" s="345">
        <f>Table25[[#This Row],[DCR    Loss]]+Table25[[#This Row],[Core Loss]]</f>
        <v>0.59944496114237467</v>
      </c>
      <c r="AA16" s="292">
        <f>IF(Table25[[#This Row],[Vin]]&gt;Vout, Table25[[#This Row],[Ripple Current pk-pk]]/SQRT(12), SQRT(Table25[[#This Row],[Duty Cycle BOOST Leg]]/(1-Table25[[#This Row],[Duty Cycle BOOST Leg]]))*SQRT(Table25[[#This Row],[Iout]]^2+(Table25[[#This Row],[Ripple Current pk-pk]]^2)/12))</f>
        <v>0.77076786433710054</v>
      </c>
      <c r="AB16" s="345">
        <f>RCoutEsr*Table25[[#This Row],[Irms Cout]]^2</f>
        <v>1.1881662013895501E-3</v>
      </c>
      <c r="AC16" s="345">
        <f>Table25[[#This Row],[Cout ESR Loss]]</f>
        <v>1.1881662013895501E-3</v>
      </c>
      <c r="AD16" s="292">
        <f>IF(Table25[[#This Row],[Vin]]&gt;Vout, SQRT(Table25[[#This Row],[Duty Cycle BUCK Leg]]*(1-Table25[[#This Row],[Duty Cycle BUCK Leg]]))*SQRT(Table25[[#This Row],[Iout]]^2+(Table25[[#This Row],[Ripple Current pk-pk]]^2)/12), Table25[[#This Row],[Ripple Current pk-pk]]/SQRT(12))</f>
        <v>1.2105261014155948</v>
      </c>
      <c r="AE16" s="345">
        <f>RCinEsr*Table25[[#This Row],[Irms Cin]]^2</f>
        <v>2.930746884416878E-3</v>
      </c>
      <c r="AF16" s="683">
        <f>Table25[[#This Row],[Cin ESR Loss]]</f>
        <v>2.930746884416878E-3</v>
      </c>
      <c r="AG16" s="345">
        <f>Table25[[#This Row],[Irms Lf]]</f>
        <v>1.4432997905996001</v>
      </c>
      <c r="AH16" s="345">
        <f>Rdson1*Table25[[#This Row],[Irms BuCtrl]]^2</f>
        <v>7.2908999994069738E-3</v>
      </c>
      <c r="AI16" s="345">
        <f>CHOOSE(Table25[[#This Row],[Mode Digit]], (Table25[[#This Row],[Vin]]*Table25[[#This Row],[Iout]]/2)*(Fsw)*(Tr_buck+Tf_buck), 0, (Table25[[#This Row],[Vin]]*Table25[[#This Row],[Avg IL]]/2)*(Fsw/1)*(Tr_buck+Tf_buck))</f>
        <v>0</v>
      </c>
      <c r="AJ16" s="253">
        <f>IF(Table25[[#This Row],[Vin]]&gt;Vout, IF(Table25[[#This Row],[Iout]]&gt;Table25[[#This Row],[Ripple Current pk-pk]]/2,0,ABS(Table25[[#This Row],[Iout]]-Table25[[#This Row],[Ripple Current pk-pk]]/2)*Vsd_Q1*Deadtime*Fsw),0)</f>
        <v>0</v>
      </c>
      <c r="AK16" s="345">
        <f>(Table25[[#This Row],[Dead Time Loss BuCtrl]]+Table25[[#This Row],[Transition Loss BuCtrl]]+Table25[[#This Row],[RDS(on) Loss BuCtrl]]*(1+RdsonTopTc*Ta-RdsonTopTc*25))/(1-Table25[[#This Row],[RDS(on) Loss BuCtrl]]*RdsonTopTc*ThetaJA_Q1)</f>
        <v>7.3047471264200917E-3</v>
      </c>
      <c r="AL16" s="345">
        <f>Table25[[#This Row],[Irms Lf]]</f>
        <v>1.4432997905996001</v>
      </c>
      <c r="AM16" s="345">
        <f>Rdson2*Table25[[#This Row],[Irms BuSync]]^2</f>
        <v>7.2908999994069738E-3</v>
      </c>
      <c r="AN16"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16" s="345">
        <f>(Table25[[#This Row],[Deadtime Loss BuSync]]+Table25[[#This Row],[RDS(on) Loss BuSync]]*(1+RdsonBotTc*Ta-RdsonBotTc*25))/(1-Table25[[#This Row],[RDS(on) Loss BuSync]]*RdsonBotTc*ThetaJA_Q2)</f>
        <v>7.3047471264200917E-3</v>
      </c>
      <c r="AP16" s="345">
        <f>Table25[[#This Row],[Irms Lf]]</f>
        <v>1.4432997905996001</v>
      </c>
      <c r="AQ16" s="345">
        <f>Rdson4*Table25[[#This Row],[Irms BoCtlr]]^2</f>
        <v>7.2908999994069738E-3</v>
      </c>
      <c r="AR16" s="345">
        <f>CHOOSE(Table25[[#This Row],[Mode Digit]], 0, (Vout*Table25[[#This Row],[Iin]]/2)*(Fsw)*(Tr_boost+Tf_boost), (Vout*Iout/2)*(Fsw/1)*(Tr_boost+Tf_boost))</f>
        <v>4.6729859116720861E-2</v>
      </c>
      <c r="AS16" s="345">
        <f>IF(Table25[[#This Row],[Vin]]&gt;Vout, 0, IF(Table25[[#This Row],[Iin]]&gt;Table25[[#This Row],[Ripple Current pk-pk]]/2,0,ABS(Table25[[#This Row],[Iin]]-Table25[[#This Row],[Ripple Current pk-pk]]/2)*Vsd_Q4*Deadtime*Fsw))</f>
        <v>1.9562612403946297E-2</v>
      </c>
      <c r="AT16" s="345">
        <f>(Table25[[#This Row],[Dead Time Loss BoCtlr]]+Table25[[#This Row],[Transition Loss BoCtlr]]+Table25[[#This Row],[RDS(on) Loss BoCtlr]]*(1+RdsonTopTc*Ta-RdsonTopTc*25))/(1-Table25[[#This Row],[RDS(on) Loss BoCtlr]]*RdsonTopTc*ThetaJA_Q4)</f>
        <v>7.3723123579706659E-2</v>
      </c>
      <c r="AU16" s="345">
        <f>Table25[[#This Row],[Irms Lf]]</f>
        <v>1.4432997905996001</v>
      </c>
      <c r="AV16" s="345">
        <f>Rdson3*Table25[[#This Row],[Irms BoSync]]^2</f>
        <v>7.2908999994069738E-3</v>
      </c>
      <c r="AW16"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4.3023665035525245E-2</v>
      </c>
      <c r="AX16" s="345">
        <f>(Table25[[#This Row],[Deadtime Loss BoSync]]+Table25[[#This Row],[RDS(on) Loss BoSync]]*(1+RdsonBotTc*Ta-RdsonBotTc*25))/(1-Table25[[#This Row],[RDS(on) Loss BoSync]]*RdsonBotTc*ThetaJA_Q3)</f>
        <v>5.0410124180264776E-2</v>
      </c>
      <c r="AY16" s="345">
        <f>CHOOSE(Table25[[#This Row],[Mode Digit]], Rdson3*Table25[[#This Row],[Irms Lf]]^2, Rdson1*Table25[[#This Row],[Irms Lf]]^2, 0)</f>
        <v>7.2908999994069738E-3</v>
      </c>
      <c r="AZ16" s="345">
        <f>CHOOSE(Table25[[#This Row],[Mode Digit]], 2*Deadtime*Fsw*IF(VfdSky_Q2&gt;0,VfdSky_Q2,0)*Table25[[#This Row],[Iout]], 2*Deadtime*Fsw*IF(VfdSky_Q3&gt;0,VfdSky_Q3,0)*Table25[[#This Row],[Iin]], 2*Deadtime*Fsw*IF(VfdSky_Q2&gt;0,VfdSky_Q2,0)*Table25[[#This Row],[Iout]]+2*Deadtime*Fsw*IF(VfdSky_Q3&gt;0,VfdSky_Q3,0)*Table25[[#This Row],[Iin]])</f>
        <v>0</v>
      </c>
      <c r="BA16"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16"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16" s="345">
        <f>CHOOSE(Table25[[#This Row],[Mode Digit]], Rs*Table25[[#This Row],[Irms BuSync]]^2, Rs*Table25[[#This Row],[Irms BoCtlr]]^2, Rs*(Table25[[#This Row],[Irms BuSync]]^2+Table25[[#This Row],[Irms BoCtlr]]^2))</f>
        <v>2.7080485712083044E-3</v>
      </c>
      <c r="BD16" s="345">
        <f t="shared" si="1"/>
        <v>0.64</v>
      </c>
      <c r="BE16" s="345">
        <f>IF(Vout&gt;8, Iq*Vout, Iq*Table25[[#This Row],[Vin]])</f>
        <v>4.8000000000000001E-2</v>
      </c>
      <c r="BF16" s="345">
        <f>CHOOSE(Table25[[#This Row],[Mode Digit]], (Qg_Q1+Qg_Q2)*Fsw, (Qg_Q3+Qg_Q4)*Fsw, (Qg_Q1+Qg_Q2+Qg_Q3+Qg_Q4)*Fsw)*IF(Vout&gt;8,  MIN( Table25[[#This Row],[Vin]], Vout), Table25[[#This Row],[Vin]])</f>
        <v>0.63998400000000011</v>
      </c>
      <c r="BG16" s="345">
        <f t="shared" si="4"/>
        <v>0.50594479787234037</v>
      </c>
      <c r="BH16" s="345">
        <f>Table25[[#This Row],[IQ Loss]]+Table25[[#This Row],[Switching Current Loss]]</f>
        <v>0.68798400000000015</v>
      </c>
      <c r="BI16"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2.786214664812201</v>
      </c>
      <c r="BJ16" s="253">
        <f>Vout*Table25[[#This Row],[Iout]]</f>
        <v>8.9600000000000009</v>
      </c>
      <c r="BK16" s="684">
        <f>Table25[[#This Row],[Pout]]/(Table25[[#This Row],[Pout]]+Table25[[#This Row],[Total Loss]])</f>
        <v>0.76279893188409165</v>
      </c>
      <c r="BL16" s="685">
        <f>IF(Table25[[#This Row],[Vin]]&gt;Vout,ThetaJA_Q1*(Table25[[#This Row],[Total Control Bu MOSFET Loss]]+Table25[[#This Row],[Reverse Recovery Loss MOSFET D BUCK]]),ThetaJA_Q4*(Table25[[#This Row],[Total Control Bo MOSFET Loss]]+Table25[[#This Row],[Reverse Recovery Loss MOSFET D BOOST]]))</f>
        <v>27.971523032680931</v>
      </c>
      <c r="BM16" s="685">
        <f>IF(Table25[[#This Row],[Vin]]&gt;Vout, Table25[[#This Row],[Total Sync Bu MOSFET Loss]]*ThetaJA_Q2, ThetaJA_Q3*Table25[[#This Row],[Total Sync Bo MOSFET Loss]])</f>
        <v>3.2766580717172102</v>
      </c>
      <c r="BN16" s="640"/>
      <c r="BO16" s="292">
        <f>Table25[[#This Row],[EFF, h]]*100</f>
        <v>76.279893188409162</v>
      </c>
      <c r="BP16" s="345">
        <f>Table25[[#This Row],[Total Inductor Loss]]</f>
        <v>0.59944496114237467</v>
      </c>
      <c r="BQ16" s="345">
        <f>Table25[[#This Row],[Total Control Bu MOSFET Loss]]+Table25[[#This Row],[Total Sync Bu MOSFET Loss]]+Table25[[#This Row],[Total Control Bo MOSFET Loss]]+Table25[[#This Row],[Total Sync Bo MOSFET Loss]]+Table25[[#This Row],[Reverse Recovery Loss MOSFET D BUCK]]+Table25[[#This Row],[Reverse Recovery Loss MOSFET D BOOST]]</f>
        <v>0.85195874201281163</v>
      </c>
      <c r="BR16" s="345">
        <f xml:space="preserve"> Table25[[#This Row],[Total Control Bu MOSFET Loss]]+Table25[[#This Row],[Reverse Recovery Loss MOSFET D BUCK]]*0.66</f>
        <v>0.2426660271264201</v>
      </c>
      <c r="BS16" s="345">
        <f>Table25[[#This Row],[Total Sync Bu MOSFET Loss]]+Table25[[#This Row],[Reverse Recovery Loss MOSFET D BUCK]]*0.33</f>
        <v>0.1249853871264201</v>
      </c>
      <c r="BT16" s="345">
        <f xml:space="preserve"> Table25[[#This Row],[Total Control Bo MOSFET Loss]]+Table25[[#This Row],[Reverse Recovery Loss MOSFET D BOOST]]*0.66</f>
        <v>0.30908440357970668</v>
      </c>
      <c r="BU16" s="345">
        <f xml:space="preserve"> Table25[[#This Row],[Total Sync Bo MOSFET Loss]]+Table25[[#This Row],[Reverse Recovery Loss MOSFET D BOOST]]*0.33</f>
        <v>0.16809076418026478</v>
      </c>
      <c r="BV16" s="345">
        <f>Table25[[#This Row],[Isense Shunt Loss]]</f>
        <v>2.7080485712083044E-3</v>
      </c>
      <c r="BZ16" s="253" t="s">
        <v>139</v>
      </c>
      <c r="CA16" s="686">
        <v>25</v>
      </c>
      <c r="CB16" s="686">
        <v>25</v>
      </c>
      <c r="CC16" s="686">
        <v>25</v>
      </c>
      <c r="CD16" s="686">
        <f>1000000*(12-Vdd)*CC16/1000000000+((1000000*CC9/1000000000*Vdd)*2.5/(2*4))</f>
        <v>0.27656249999999999</v>
      </c>
      <c r="CE16" s="253">
        <f t="shared" si="2"/>
        <v>22.125</v>
      </c>
      <c r="CF16" s="253">
        <f t="shared" si="2"/>
        <v>27.65625</v>
      </c>
      <c r="CG16" s="253">
        <f t="shared" si="2"/>
        <v>33.1875</v>
      </c>
      <c r="CH16" s="253">
        <f t="shared" si="2"/>
        <v>38.71875</v>
      </c>
      <c r="CI16" s="253">
        <f t="shared" si="2"/>
        <v>44.25</v>
      </c>
      <c r="CJ16" s="253">
        <f t="shared" si="2"/>
        <v>49.78125</v>
      </c>
      <c r="CK16" s="253">
        <f t="shared" si="2"/>
        <v>5.53125</v>
      </c>
      <c r="CL16" s="253">
        <f t="shared" si="2"/>
        <v>8.296875</v>
      </c>
      <c r="CM16" s="253">
        <f t="shared" si="2"/>
        <v>11.0625</v>
      </c>
      <c r="CN16" s="253">
        <f t="shared" si="2"/>
        <v>13.828125</v>
      </c>
    </row>
    <row r="17" spans="1:92" ht="13.6" x14ac:dyDescent="0.25">
      <c r="A17" s="688" t="s">
        <v>62</v>
      </c>
      <c r="B17" s="680" t="s">
        <v>113</v>
      </c>
      <c r="C17" s="688" t="s">
        <v>80</v>
      </c>
      <c r="D17" s="681" t="s">
        <v>109</v>
      </c>
      <c r="G17" s="253">
        <v>8</v>
      </c>
      <c r="H17" s="286">
        <f t="shared" si="0"/>
        <v>12</v>
      </c>
      <c r="I17" s="292" t="str">
        <f>IF(Mode = 2,IF(Table25[[#This Row],[Vin]]&gt;Vout, "BUCK","BOOST"),IF(Table25[[#This Row],[Vin]]&gt;VIN_BB_to_buck, "BUCK", IF(Table25[[#This Row],[Vin]]&lt;=VIN_boost_to_BB,"BOOST","BUCK-BST")))</f>
        <v>BOOST</v>
      </c>
      <c r="J17" s="253">
        <f>IF(Table25[[#This Row],[Mode]]="BOOST",2, IF(Table25[[#This Row],[Mode]]="BUCK", 1,3))</f>
        <v>2</v>
      </c>
      <c r="K17" s="345">
        <f t="shared" si="3"/>
        <v>0.64</v>
      </c>
      <c r="L17" s="292">
        <f>Vout*Table25[[#This Row],[Iout]]/(Table25[[#This Row],[Vin]]*Efficiency)</f>
        <v>0.89824561403508785</v>
      </c>
      <c r="M17" s="682">
        <f>CHOOSE(Table25[[#This Row],[Mode Digit]],(Vout+(Rdson2+Rs+Rdcr)*Table25[[#This Row],[Iout]])/(Table25[[#This Row],[Vin]]+(Rs+Rdson2-Rdson1)*Table25[[#This Row],[Iout]])/Fsw,(Vout+(Rdson3+Rdcr)*Table25[[#This Row],[Iin]]-Table25[[#This Row],[Vin]])/(Vout+(Rdson3-Rdson4-Rs)*Table25[[#This Row],[Iin]])/Fsw,t1_Ph_II)</f>
        <v>6.2913169535243625E-7</v>
      </c>
      <c r="N17" s="518">
        <f>CHOOSE(Table25[[#This Row],[Mode Digit]],1/Fsw-Table25[[#This Row],[t1_Ph_II]],1/Fsw-Table25[[#This Row],[t1_Ph_II]],(Vout/Fsw-Table25[[#This Row],[Vin]]*t1_Ph_II)/(Table25[[#This Row],[Vin]]+Vout))</f>
        <v>1.8834311187179155E-6</v>
      </c>
      <c r="O17" s="518">
        <f>1/Fsw-(Table25[[#This Row],[t1_Ph_II]]+Table25[[#This Row],[t2_Ph_I]])</f>
        <v>0</v>
      </c>
      <c r="P17"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-1.1988600371396996</v>
      </c>
      <c r="Q17" s="292">
        <f>CHOOSE(Table25[[#This Row],[Mode Digit]],Table25[[#This Row],[I_0]]+1/Lf*(Table25[[#This Row],[Vin]]-Vout)*Table25[[#This Row],[t1_Ph_II]],Table25[[#This Row],[I_0]]+1/Lf*Table25[[#This Row],[Vin]]*Table25[[#This Row],[t1_Ph_II]],Table25[[#This Row],[I_0]]+(Table25[[#This Row],[Vin]]-Vout)/L*Table25[[#This Row],[t1_Ph_II]])</f>
        <v>2.9953512652098753</v>
      </c>
      <c r="R17" s="292">
        <f>CHOOSE(Table25[[#This Row],[Mode Digit]],0,0,Table25[[#This Row],[I_1]]+Table25[[#This Row],[Vin]]/L*Table25[[#This Row],[t2_Ph_I]])</f>
        <v>0</v>
      </c>
      <c r="S17" s="292">
        <f>Fsw*(Table25[[#This Row],[I_0]]*Table25[[#This Row],[t1_Ph_II]]+Table25[[#This Row],[I_1]]*Table25[[#This Row],[t2_Ph_I]]+Table25[[#This Row],[I_2]]*Table25[[#This Row],[t3_Ph_III]])</f>
        <v>1.9451441808190875</v>
      </c>
      <c r="T17" s="345">
        <f>CHOOSE(Table25[[#This Row],[Mode Digit]],(Vout+(Rdson2+Rs+Rdcr)*Table25[[#This Row],[Iout]])/(Table25[[#This Row],[Vin]]+(Rs+Rdson2-Rdson1)*Table25[[#This Row],[Iout]]),1,Fsw*Table25[[#This Row],[t2_Ph_I]]+Table25[[#This Row],[t1_Ph_II]])</f>
        <v>1</v>
      </c>
      <c r="U17" s="345">
        <f>CHOOSE(Table25[[#This Row],[Mode Digit]],0,(Vout+(Rdson3+Rdcr)*Table25[[#This Row],[Iin]]-Table25[[#This Row],[Vin]])/(Vout+(Rdson3-Rdson4-Rs)*Table25[[#This Row],[Iin]]),Fsw*Table25[[#This Row],[t1_Ph_II]]+Table25[[#This Row],[t3_Ph_III]])</f>
        <v>0.25039441475026963</v>
      </c>
      <c r="V17" s="292">
        <f>MAX(Table25[[#This Row],[I_0]:[I_2]])-MIN(Table25[[#This Row],[I_0]:[I_1]])</f>
        <v>4.1942113023495748</v>
      </c>
      <c r="W17"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1.5075794795619726</v>
      </c>
      <c r="X17" s="345">
        <f>(Table25[[#This Row],[Irms Lf]]^2*Rdcr*(1+Ltc*Ta-Ltc*25))/(1-Table25[[#This Row],[Irms Lf]]^2*Rdcr*Ltc*ThetaCa)</f>
        <v>7.2771809630508945E-3</v>
      </c>
      <c r="Y17" s="345">
        <f>ABS(7.759*10^-3*Fsw^0.9458*(0.00787*Table25[[#This Row],[Ripple Current pk-pk]])^2.304)</f>
        <v>0.59304445603324263</v>
      </c>
      <c r="Z17" s="345">
        <f>Table25[[#This Row],[DCR    Loss]]+Table25[[#This Row],[Core Loss]]</f>
        <v>0.60032163699629348</v>
      </c>
      <c r="AA17" s="292">
        <f>IF(Table25[[#This Row],[Vin]]&gt;Vout, Table25[[#This Row],[Ripple Current pk-pk]]/SQRT(12), SQRT(Table25[[#This Row],[Duty Cycle BOOST Leg]]/(1-Table25[[#This Row],[Duty Cycle BOOST Leg]]))*SQRT(Table25[[#This Row],[Iout]]^2+(Table25[[#This Row],[Ripple Current pk-pk]]^2)/12))</f>
        <v>0.79151712676161379</v>
      </c>
      <c r="AB17" s="345">
        <f>RCoutEsr*Table25[[#This Row],[Irms Cout]]^2</f>
        <v>1.2529987239139212E-3</v>
      </c>
      <c r="AC17" s="345">
        <f>Table25[[#This Row],[Cout ESR Loss]]</f>
        <v>1.2529987239139212E-3</v>
      </c>
      <c r="AD17" s="292">
        <f>IF(Table25[[#This Row],[Vin]]&gt;Vout, SQRT(Table25[[#This Row],[Duty Cycle BUCK Leg]]*(1-Table25[[#This Row],[Duty Cycle BUCK Leg]]))*SQRT(Table25[[#This Row],[Iout]]^2+(Table25[[#This Row],[Ripple Current pk-pk]]^2)/12), Table25[[#This Row],[Ripple Current pk-pk]]/SQRT(12))</f>
        <v>1.2107645122248489</v>
      </c>
      <c r="AE17" s="345">
        <f>RCinEsr*Table25[[#This Row],[Irms Cin]]^2</f>
        <v>2.9319014081261529E-3</v>
      </c>
      <c r="AF17" s="683">
        <f>Table25[[#This Row],[Cin ESR Loss]]</f>
        <v>2.9319014081261529E-3</v>
      </c>
      <c r="AG17" s="345">
        <f>Table25[[#This Row],[Irms Lf]]</f>
        <v>1.5075794795619726</v>
      </c>
      <c r="AH17" s="345">
        <f>Rdson1*Table25[[#This Row],[Irms BuCtrl]]^2</f>
        <v>7.9547856051872187E-3</v>
      </c>
      <c r="AI17" s="345">
        <f>CHOOSE(Table25[[#This Row],[Mode Digit]], (Table25[[#This Row],[Vin]]*Table25[[#This Row],[Iout]]/2)*(Fsw)*(Tr_buck+Tf_buck), 0, (Table25[[#This Row],[Vin]]*Table25[[#This Row],[Avg IL]]/2)*(Fsw/1)*(Tr_buck+Tf_buck))</f>
        <v>0</v>
      </c>
      <c r="AJ17" s="253">
        <f>IF(Table25[[#This Row],[Vin]]&gt;Vout, IF(Table25[[#This Row],[Iout]]&gt;Table25[[#This Row],[Ripple Current pk-pk]]/2,0,ABS(Table25[[#This Row],[Iout]]-Table25[[#This Row],[Ripple Current pk-pk]]/2)*Vsd_Q1*Deadtime*Fsw),0)</f>
        <v>0</v>
      </c>
      <c r="AK17" s="345">
        <f>(Table25[[#This Row],[Dead Time Loss BuCtrl]]+Table25[[#This Row],[Transition Loss BuCtrl]]+Table25[[#This Row],[RDS(on) Loss BuCtrl]]*(1+RdsonTopTc*Ta-RdsonTopTc*25))/(1-Table25[[#This Row],[RDS(on) Loss BuCtrl]]*RdsonTopTc*ThetaJA_Q1)</f>
        <v>7.9712721430207842E-3</v>
      </c>
      <c r="AL17" s="345">
        <f>Table25[[#This Row],[Irms Lf]]</f>
        <v>1.5075794795619726</v>
      </c>
      <c r="AM17" s="345">
        <f>Rdson2*Table25[[#This Row],[Irms BuSync]]^2</f>
        <v>7.9547856051872187E-3</v>
      </c>
      <c r="AN17"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17" s="345">
        <f>(Table25[[#This Row],[Deadtime Loss BuSync]]+Table25[[#This Row],[RDS(on) Loss BuSync]]*(1+RdsonBotTc*Ta-RdsonBotTc*25))/(1-Table25[[#This Row],[RDS(on) Loss BuSync]]*RdsonBotTc*ThetaJA_Q2)</f>
        <v>7.9712721430207842E-3</v>
      </c>
      <c r="AP17" s="345">
        <f>Table25[[#This Row],[Irms Lf]]</f>
        <v>1.5075794795619726</v>
      </c>
      <c r="AQ17" s="345">
        <f>Rdson4*Table25[[#This Row],[Irms BoCtlr]]^2</f>
        <v>7.9547856051872187E-3</v>
      </c>
      <c r="AR17" s="345">
        <f>CHOOSE(Table25[[#This Row],[Mode Digit]], 0, (Vout*Table25[[#This Row],[Iin]]/2)*(Fsw)*(Tr_boost+Tf_boost), (Vout*Iout/2)*(Fsw/1)*(Tr_boost+Tf_boost))</f>
        <v>5.3405553276252404E-2</v>
      </c>
      <c r="AS17" s="345">
        <f>IF(Table25[[#This Row],[Vin]]&gt;Vout, 0, IF(Table25[[#This Row],[Iin]]&gt;Table25[[#This Row],[Ripple Current pk-pk]]/2,0,ABS(Table25[[#This Row],[Iin]]-Table25[[#This Row],[Ripple Current pk-pk]]/2)*Vsd_Q4*Deadtime*Fsw))</f>
        <v>1.7892986054310014E-2</v>
      </c>
      <c r="AT17" s="345">
        <f>(Table25[[#This Row],[Dead Time Loss BoCtlr]]+Table25[[#This Row],[Transition Loss BoCtlr]]+Table25[[#This Row],[RDS(on) Loss BoCtlr]]*(1+RdsonTopTc*Ta-RdsonTopTc*25))/(1-Table25[[#This Row],[RDS(on) Loss BoCtlr]]*RdsonTopTc*ThetaJA_Q4)</f>
        <v>7.9417579889288173E-2</v>
      </c>
      <c r="AU17" s="345">
        <f>Table25[[#This Row],[Irms Lf]]</f>
        <v>1.5075794795619726</v>
      </c>
      <c r="AV17" s="345">
        <f>Rdson3*Table25[[#This Row],[Irms BoSync]]^2</f>
        <v>7.9547856051872187E-3</v>
      </c>
      <c r="AW17"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4.470561763325738E-2</v>
      </c>
      <c r="AX17" s="345">
        <f>(Table25[[#This Row],[Deadtime Loss BoSync]]+Table25[[#This Row],[RDS(on) Loss BoSync]]*(1+RdsonBotTc*Ta-RdsonBotTc*25))/(1-Table25[[#This Row],[RDS(on) Loss BoSync]]*RdsonBotTc*ThetaJA_Q3)</f>
        <v>5.2769543543842057E-2</v>
      </c>
      <c r="AY17" s="345">
        <f>CHOOSE(Table25[[#This Row],[Mode Digit]], Rdson3*Table25[[#This Row],[Irms Lf]]^2, Rdson1*Table25[[#This Row],[Irms Lf]]^2, 0)</f>
        <v>7.9547856051872187E-3</v>
      </c>
      <c r="AZ17" s="345">
        <f>CHOOSE(Table25[[#This Row],[Mode Digit]], 2*Deadtime*Fsw*IF(VfdSky_Q2&gt;0,VfdSky_Q2,0)*Table25[[#This Row],[Iout]], 2*Deadtime*Fsw*IF(VfdSky_Q3&gt;0,VfdSky_Q3,0)*Table25[[#This Row],[Iin]], 2*Deadtime*Fsw*IF(VfdSky_Q2&gt;0,VfdSky_Q2,0)*Table25[[#This Row],[Iout]]+2*Deadtime*Fsw*IF(VfdSky_Q3&gt;0,VfdSky_Q3,0)*Table25[[#This Row],[Iin]])</f>
        <v>0</v>
      </c>
      <c r="BA17"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17"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17" s="345">
        <f>CHOOSE(Table25[[#This Row],[Mode Digit]], Rs*Table25[[#This Row],[Irms BuSync]]^2, Rs*Table25[[#This Row],[Irms BoCtlr]]^2, Rs*(Table25[[#This Row],[Irms BuSync]]^2+Table25[[#This Row],[Irms BoCtlr]]^2))</f>
        <v>2.9546346533552525E-3</v>
      </c>
      <c r="BD17" s="345">
        <f t="shared" si="1"/>
        <v>0.64</v>
      </c>
      <c r="BE17" s="345">
        <f>IF(Vout&gt;8, Iq*Vout, Iq*Table25[[#This Row],[Vin]])</f>
        <v>4.8000000000000001E-2</v>
      </c>
      <c r="BF17" s="345">
        <f>CHOOSE(Table25[[#This Row],[Mode Digit]], (Qg_Q1+Qg_Q2)*Fsw, (Qg_Q3+Qg_Q4)*Fsw, (Qg_Q1+Qg_Q2+Qg_Q3+Qg_Q4)*Fsw)*IF(Vout&gt;8,  MIN( Table25[[#This Row],[Vin]], Vout), Table25[[#This Row],[Vin]])</f>
        <v>0.63998400000000011</v>
      </c>
      <c r="BG17" s="345">
        <f t="shared" si="4"/>
        <v>0.50594479787234037</v>
      </c>
      <c r="BH17" s="345">
        <f>Table25[[#This Row],[IQ Loss]]+Table25[[#This Row],[Switching Current Loss]]</f>
        <v>0.68798400000000015</v>
      </c>
      <c r="BI17"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2.7967908395008605</v>
      </c>
      <c r="BJ17" s="253">
        <f>Vout*Table25[[#This Row],[Iout]]</f>
        <v>10.24</v>
      </c>
      <c r="BK17" s="684">
        <f>Table25[[#This Row],[Pout]]/(Table25[[#This Row],[Pout]]+Table25[[#This Row],[Total Loss]])</f>
        <v>0.78546937862754418</v>
      </c>
      <c r="BL17" s="685">
        <f>IF(Table25[[#This Row],[Vin]]&gt;Vout,ThetaJA_Q1*(Table25[[#This Row],[Total Control Bu MOSFET Loss]]+Table25[[#This Row],[Reverse Recovery Loss MOSFET D BUCK]]),ThetaJA_Q4*(Table25[[#This Row],[Total Control Bo MOSFET Loss]]+Table25[[#This Row],[Reverse Recovery Loss MOSFET D BOOST]]))</f>
        <v>28.34166269280373</v>
      </c>
      <c r="BM17" s="685">
        <f>IF(Table25[[#This Row],[Vin]]&gt;Vout, Table25[[#This Row],[Total Sync Bu MOSFET Loss]]*ThetaJA_Q2, ThetaJA_Q3*Table25[[#This Row],[Total Sync Bo MOSFET Loss]])</f>
        <v>3.4300203303497336</v>
      </c>
      <c r="BN17" s="640"/>
      <c r="BO17" s="292">
        <f>Table25[[#This Row],[EFF, h]]*100</f>
        <v>78.546937862754419</v>
      </c>
      <c r="BP17" s="345">
        <f>Table25[[#This Row],[Total Inductor Loss]]</f>
        <v>0.60032163699629348</v>
      </c>
      <c r="BQ17" s="345">
        <f>Table25[[#This Row],[Total Control Bu MOSFET Loss]]+Table25[[#This Row],[Total Sync Bu MOSFET Loss]]+Table25[[#This Row],[Total Control Bo MOSFET Loss]]+Table25[[#This Row],[Total Sync Bo MOSFET Loss]]+Table25[[#This Row],[Reverse Recovery Loss MOSFET D BUCK]]+Table25[[#This Row],[Reverse Recovery Loss MOSFET D BOOST]]</f>
        <v>0.86134566771917176</v>
      </c>
      <c r="BR17" s="345">
        <f xml:space="preserve"> Table25[[#This Row],[Total Control Bu MOSFET Loss]]+Table25[[#This Row],[Reverse Recovery Loss MOSFET D BUCK]]*0.66</f>
        <v>0.2433325521430208</v>
      </c>
      <c r="BS17" s="345">
        <f>Table25[[#This Row],[Total Sync Bu MOSFET Loss]]+Table25[[#This Row],[Reverse Recovery Loss MOSFET D BUCK]]*0.33</f>
        <v>0.12565191214302079</v>
      </c>
      <c r="BT17" s="345">
        <f xml:space="preserve"> Table25[[#This Row],[Total Control Bo MOSFET Loss]]+Table25[[#This Row],[Reverse Recovery Loss MOSFET D BOOST]]*0.66</f>
        <v>0.31477885988928817</v>
      </c>
      <c r="BU17" s="345">
        <f xml:space="preserve"> Table25[[#This Row],[Total Sync Bo MOSFET Loss]]+Table25[[#This Row],[Reverse Recovery Loss MOSFET D BOOST]]*0.33</f>
        <v>0.17045018354384206</v>
      </c>
      <c r="BV17" s="345">
        <f>Table25[[#This Row],[Isense Shunt Loss]]</f>
        <v>2.9546346533552525E-3</v>
      </c>
      <c r="BZ17" s="253" t="s">
        <v>142</v>
      </c>
      <c r="CA17" s="686">
        <v>50</v>
      </c>
      <c r="CB17" s="686">
        <v>50</v>
      </c>
      <c r="CC17" s="686">
        <v>50</v>
      </c>
      <c r="CD17" s="686">
        <f>500000*(18-Vdd)*CC17/1000000000+((500000*CC15/1000000000*Vdd)*2.5/(2*4))</f>
        <v>0.28593750000000001</v>
      </c>
      <c r="CE17" s="253">
        <f t="shared" si="2"/>
        <v>22.875</v>
      </c>
      <c r="CF17" s="253">
        <f t="shared" si="2"/>
        <v>28.59375</v>
      </c>
      <c r="CG17" s="253">
        <f t="shared" si="2"/>
        <v>34.3125</v>
      </c>
      <c r="CH17" s="253">
        <f t="shared" si="2"/>
        <v>40.03125</v>
      </c>
      <c r="CI17" s="253">
        <f t="shared" si="2"/>
        <v>45.75</v>
      </c>
      <c r="CJ17" s="253">
        <f t="shared" si="2"/>
        <v>51.46875</v>
      </c>
      <c r="CK17" s="253">
        <f t="shared" si="2"/>
        <v>5.71875</v>
      </c>
      <c r="CL17" s="253">
        <f t="shared" si="2"/>
        <v>8.578125</v>
      </c>
      <c r="CM17" s="253">
        <f t="shared" si="2"/>
        <v>11.4375</v>
      </c>
      <c r="CN17" s="253">
        <f t="shared" si="2"/>
        <v>14.296875</v>
      </c>
    </row>
    <row r="18" spans="1:92" x14ac:dyDescent="0.2">
      <c r="A18" s="692" t="s">
        <v>60</v>
      </c>
      <c r="B18" s="693">
        <f>Lf*1000000</f>
        <v>1.8</v>
      </c>
      <c r="C18" s="259" t="s">
        <v>11</v>
      </c>
      <c r="D18" s="255" t="s">
        <v>603</v>
      </c>
      <c r="G18" s="253">
        <v>9</v>
      </c>
      <c r="H18" s="286">
        <f t="shared" si="0"/>
        <v>12</v>
      </c>
      <c r="I18" s="292" t="str">
        <f>IF(Mode = 2,IF(Table25[[#This Row],[Vin]]&gt;Vout, "BUCK","BOOST"),IF(Table25[[#This Row],[Vin]]&gt;VIN_BB_to_buck, "BUCK", IF(Table25[[#This Row],[Vin]]&lt;=VIN_boost_to_BB,"BOOST","BUCK-BST")))</f>
        <v>BOOST</v>
      </c>
      <c r="J18" s="253">
        <f>IF(Table25[[#This Row],[Mode]]="BOOST",2, IF(Table25[[#This Row],[Mode]]="BUCK", 1,3))</f>
        <v>2</v>
      </c>
      <c r="K18" s="345">
        <f t="shared" si="3"/>
        <v>0.72</v>
      </c>
      <c r="L18" s="292">
        <f>Vout*Table25[[#This Row],[Iout]]/(Table25[[#This Row],[Vin]]*Efficiency)</f>
        <v>1.0105263157894737</v>
      </c>
      <c r="M18" s="682">
        <f>CHOOSE(Table25[[#This Row],[Mode Digit]],(Vout+(Rdson2+Rs+Rdcr)*Table25[[#This Row],[Iout]])/(Table25[[#This Row],[Vin]]+(Rs+Rdson2-Rdson1)*Table25[[#This Row],[Iout]])/Fsw,(Vout+(Rdson3+Rdcr)*Table25[[#This Row],[Iin]]-Table25[[#This Row],[Vin]])/(Vout+(Rdson3-Rdson4-Rs)*Table25[[#This Row],[Iin]])/Fsw,t1_Ph_II)</f>
        <v>6.2925557950333288E-7</v>
      </c>
      <c r="N18" s="518">
        <f>CHOOSE(Table25[[#This Row],[Mode Digit]],1/Fsw-Table25[[#This Row],[t1_Ph_II]],1/Fsw-Table25[[#This Row],[t1_Ph_II]],(Vout/Fsw-Table25[[#This Row],[Vin]]*t1_Ph_II)/(Table25[[#This Row],[Vin]]+Vout))</f>
        <v>1.8833072345670191E-6</v>
      </c>
      <c r="O18" s="518">
        <f>1/Fsw-(Table25[[#This Row],[t1_Ph_II]]+Table25[[#This Row],[t2_Ph_I]])</f>
        <v>0</v>
      </c>
      <c r="P18"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-1.0869922825549692</v>
      </c>
      <c r="Q18" s="292">
        <f>CHOOSE(Table25[[#This Row],[Mode Digit]],Table25[[#This Row],[I_0]]+1/Lf*(Table25[[#This Row],[Vin]]-Vout)*Table25[[#This Row],[t1_Ph_II]],Table25[[#This Row],[I_0]]+1/Lf*Table25[[#This Row],[Vin]]*Table25[[#This Row],[t1_Ph_II]],Table25[[#This Row],[I_0]]+(Table25[[#This Row],[Vin]]-Vout)/L*Table25[[#This Row],[t1_Ph_II]])</f>
        <v>3.1080449141339166</v>
      </c>
      <c r="R18" s="292">
        <f>CHOOSE(Table25[[#This Row],[Mode Digit]],0,0,Table25[[#This Row],[I_1]]+Table25[[#This Row],[Vin]]/L*Table25[[#This Row],[t2_Ph_I]])</f>
        <v>0</v>
      </c>
      <c r="S18" s="292">
        <f>Fsw*(Table25[[#This Row],[I_0]]*Table25[[#This Row],[t1_Ph_II]]+Table25[[#This Row],[I_1]]*Table25[[#This Row],[t2_Ph_I]]+Table25[[#This Row],[I_2]]*Table25[[#This Row],[t3_Ph_III]])</f>
        <v>2.0574241903621973</v>
      </c>
      <c r="T18" s="345">
        <f>CHOOSE(Table25[[#This Row],[Mode Digit]],(Vout+(Rdson2+Rs+Rdcr)*Table25[[#This Row],[Iout]])/(Table25[[#This Row],[Vin]]+(Rs+Rdson2-Rdson1)*Table25[[#This Row],[Iout]]),1,Fsw*Table25[[#This Row],[t2_Ph_I]]+Table25[[#This Row],[t1_Ph_II]])</f>
        <v>1</v>
      </c>
      <c r="U18" s="345">
        <f>CHOOSE(Table25[[#This Row],[Mode Digit]],0,(Vout+(Rdson3+Rdcr)*Table25[[#This Row],[Iin]]-Table25[[#This Row],[Vin]])/(Vout+(Rdson3-Rdson4-Rs)*Table25[[#This Row],[Iin]]),Fsw*Table25[[#This Row],[t1_Ph_II]]+Table25[[#This Row],[t3_Ph_III]])</f>
        <v>0.25044372064232651</v>
      </c>
      <c r="V18" s="292">
        <f>MAX(Table25[[#This Row],[I_0]:[I_2]])-MIN(Table25[[#This Row],[I_0]:[I_1]])</f>
        <v>4.1950371966888858</v>
      </c>
      <c r="W18"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1.5772417459085526</v>
      </c>
      <c r="X18" s="345">
        <f>(Table25[[#This Row],[Irms Lf]]^2*Rdcr*(1+Ltc*Ta-Ltc*25))/(1-Table25[[#This Row],[Irms Lf]]^2*Rdcr*Ltc*ThetaCa)</f>
        <v>7.9656858194079461E-3</v>
      </c>
      <c r="Y18" s="345">
        <f>ABS(7.759*10^-3*Fsw^0.9458*(0.00787*Table25[[#This Row],[Ripple Current pk-pk]])^2.304)</f>
        <v>0.59331354733752917</v>
      </c>
      <c r="Z18" s="345">
        <f>Table25[[#This Row],[DCR    Loss]]+Table25[[#This Row],[Core Loss]]</f>
        <v>0.6012792331569371</v>
      </c>
      <c r="AA18" s="292">
        <f>IF(Table25[[#This Row],[Vin]]&gt;Vout, Table25[[#This Row],[Ripple Current pk-pk]]/SQRT(12), SQRT(Table25[[#This Row],[Duty Cycle BOOST Leg]]/(1-Table25[[#This Row],[Duty Cycle BOOST Leg]]))*SQRT(Table25[[#This Row],[Iout]]^2+(Table25[[#This Row],[Ripple Current pk-pk]]^2)/12))</f>
        <v>0.81437669891758602</v>
      </c>
      <c r="AB18" s="345">
        <f>RCoutEsr*Table25[[#This Row],[Irms Cout]]^2</f>
        <v>1.3264188154798091E-3</v>
      </c>
      <c r="AC18" s="345">
        <f>Table25[[#This Row],[Cout ESR Loss]]</f>
        <v>1.3264188154798091E-3</v>
      </c>
      <c r="AD18" s="292">
        <f>IF(Table25[[#This Row],[Vin]]&gt;Vout, SQRT(Table25[[#This Row],[Duty Cycle BUCK Leg]]*(1-Table25[[#This Row],[Duty Cycle BUCK Leg]]))*SQRT(Table25[[#This Row],[Iout]]^2+(Table25[[#This Row],[Ripple Current pk-pk]]^2)/12), Table25[[#This Row],[Ripple Current pk-pk]]/SQRT(12))</f>
        <v>1.2110029273844107</v>
      </c>
      <c r="AE18" s="345">
        <f>RCinEsr*Table25[[#This Row],[Irms Cin]]^2</f>
        <v>2.9330561802672251E-3</v>
      </c>
      <c r="AF18" s="683">
        <f>Table25[[#This Row],[Cin ESR Loss]]</f>
        <v>2.9330561802672251E-3</v>
      </c>
      <c r="AG18" s="345">
        <f>Table25[[#This Row],[Irms Lf]]</f>
        <v>1.5772417459085526</v>
      </c>
      <c r="AH18" s="345">
        <f>Rdson1*Table25[[#This Row],[Irms BuCtrl]]^2</f>
        <v>8.7069203376283072E-3</v>
      </c>
      <c r="AI18" s="345">
        <f>CHOOSE(Table25[[#This Row],[Mode Digit]], (Table25[[#This Row],[Vin]]*Table25[[#This Row],[Iout]]/2)*(Fsw)*(Tr_buck+Tf_buck), 0, (Table25[[#This Row],[Vin]]*Table25[[#This Row],[Avg IL]]/2)*(Fsw/1)*(Tr_buck+Tf_buck))</f>
        <v>0</v>
      </c>
      <c r="AJ18" s="253">
        <f>IF(Table25[[#This Row],[Vin]]&gt;Vout, IF(Table25[[#This Row],[Iout]]&gt;Table25[[#This Row],[Ripple Current pk-pk]]/2,0,ABS(Table25[[#This Row],[Iout]]-Table25[[#This Row],[Ripple Current pk-pk]]/2)*Vsd_Q1*Deadtime*Fsw),0)</f>
        <v>0</v>
      </c>
      <c r="AK18" s="345">
        <f>(Table25[[#This Row],[Dead Time Loss BuCtrl]]+Table25[[#This Row],[Transition Loss BuCtrl]]+Table25[[#This Row],[RDS(on) Loss BuCtrl]]*(1+RdsonTopTc*Ta-RdsonTopTc*25))/(1-Table25[[#This Row],[RDS(on) Loss BuCtrl]]*RdsonTopTc*ThetaJA_Q1)</f>
        <v>8.7266757800438868E-3</v>
      </c>
      <c r="AL18" s="345">
        <f>Table25[[#This Row],[Irms Lf]]</f>
        <v>1.5772417459085526</v>
      </c>
      <c r="AM18" s="345">
        <f>Rdson2*Table25[[#This Row],[Irms BuSync]]^2</f>
        <v>8.7069203376283072E-3</v>
      </c>
      <c r="AN18"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18" s="345">
        <f>(Table25[[#This Row],[Deadtime Loss BuSync]]+Table25[[#This Row],[RDS(on) Loss BuSync]]*(1+RdsonBotTc*Ta-RdsonBotTc*25))/(1-Table25[[#This Row],[RDS(on) Loss BuSync]]*RdsonBotTc*ThetaJA_Q2)</f>
        <v>8.7266757800438868E-3</v>
      </c>
      <c r="AP18" s="345">
        <f>Table25[[#This Row],[Irms Lf]]</f>
        <v>1.5772417459085526</v>
      </c>
      <c r="AQ18" s="345">
        <f>Rdson4*Table25[[#This Row],[Irms BoCtlr]]^2</f>
        <v>8.7069203376283072E-3</v>
      </c>
      <c r="AR18" s="345">
        <f>CHOOSE(Table25[[#This Row],[Mode Digit]], 0, (Vout*Table25[[#This Row],[Iin]]/2)*(Fsw)*(Tr_boost+Tf_boost), (Vout*Iout/2)*(Fsw/1)*(Tr_boost+Tf_boost))</f>
        <v>6.0081247435783948E-2</v>
      </c>
      <c r="AS18" s="345">
        <f>IF(Table25[[#This Row],[Vin]]&gt;Vout, 0, IF(Table25[[#This Row],[Iin]]&gt;Table25[[#This Row],[Ripple Current pk-pk]]/2,0,ABS(Table25[[#This Row],[Iin]]-Table25[[#This Row],[Ripple Current pk-pk]]/2)*Vsd_Q4*Deadtime*Fsw))</f>
        <v>1.6223359817132913E-2</v>
      </c>
      <c r="AT18" s="345">
        <f>(Table25[[#This Row],[Dead Time Loss BoCtlr]]+Table25[[#This Row],[Transition Loss BoCtlr]]+Table25[[#This Row],[RDS(on) Loss BoCtlr]]*(1+RdsonTopTc*Ta-RdsonTopTc*25))/(1-Table25[[#This Row],[RDS(on) Loss BoCtlr]]*RdsonTopTc*ThetaJA_Q4)</f>
        <v>8.5204413280645888E-2</v>
      </c>
      <c r="AU18" s="345">
        <f>Table25[[#This Row],[Irms Lf]]</f>
        <v>1.5772417459085526</v>
      </c>
      <c r="AV18" s="345">
        <f>Rdson3*Table25[[#This Row],[Irms BoSync]]^2</f>
        <v>8.7069203376283072E-3</v>
      </c>
      <c r="AW18"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4.6387570343448696E-2</v>
      </c>
      <c r="AX18" s="345">
        <f>(Table25[[#This Row],[Deadtime Loss BoSync]]+Table25[[#This Row],[RDS(on) Loss BoSync]]*(1+RdsonBotTc*Ta-RdsonBotTc*25))/(1-Table25[[#This Row],[RDS(on) Loss BoSync]]*RdsonBotTc*ThetaJA_Q3)</f>
        <v>5.5219496538011503E-2</v>
      </c>
      <c r="AY18" s="345">
        <f>CHOOSE(Table25[[#This Row],[Mode Digit]], Rdson3*Table25[[#This Row],[Irms Lf]]^2, Rdson1*Table25[[#This Row],[Irms Lf]]^2, 0)</f>
        <v>8.7069203376283072E-3</v>
      </c>
      <c r="AZ18" s="345">
        <f>CHOOSE(Table25[[#This Row],[Mode Digit]], 2*Deadtime*Fsw*IF(VfdSky_Q2&gt;0,VfdSky_Q2,0)*Table25[[#This Row],[Iout]], 2*Deadtime*Fsw*IF(VfdSky_Q3&gt;0,VfdSky_Q3,0)*Table25[[#This Row],[Iin]], 2*Deadtime*Fsw*IF(VfdSky_Q2&gt;0,VfdSky_Q2,0)*Table25[[#This Row],[Iout]]+2*Deadtime*Fsw*IF(VfdSky_Q3&gt;0,VfdSky_Q3,0)*Table25[[#This Row],[Iin]])</f>
        <v>0</v>
      </c>
      <c r="BA18"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18"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18" s="345">
        <f>CHOOSE(Table25[[#This Row],[Mode Digit]], Rs*Table25[[#This Row],[Irms BuSync]]^2, Rs*Table25[[#This Row],[Irms BoCtlr]]^2, Rs*(Table25[[#This Row],[Irms BuSync]]^2+Table25[[#This Row],[Irms BoCtlr]]^2))</f>
        <v>3.233998982547657E-3</v>
      </c>
      <c r="BD18" s="345">
        <f t="shared" si="1"/>
        <v>0.64</v>
      </c>
      <c r="BE18" s="345">
        <f>IF(Vout&gt;8, Iq*Vout, Iq*Table25[[#This Row],[Vin]])</f>
        <v>4.8000000000000001E-2</v>
      </c>
      <c r="BF18" s="345">
        <f>CHOOSE(Table25[[#This Row],[Mode Digit]], (Qg_Q1+Qg_Q2)*Fsw, (Qg_Q3+Qg_Q4)*Fsw, (Qg_Q1+Qg_Q2+Qg_Q3+Qg_Q4)*Fsw)*IF(Vout&gt;8,  MIN( Table25[[#This Row],[Vin]], Vout), Table25[[#This Row],[Vin]])</f>
        <v>0.63998400000000011</v>
      </c>
      <c r="BG18" s="345">
        <f t="shared" si="4"/>
        <v>0.50594479787234037</v>
      </c>
      <c r="BH18" s="345">
        <f>Table25[[#This Row],[IQ Loss]]+Table25[[#This Row],[Switching Current Loss]]</f>
        <v>0.68798400000000015</v>
      </c>
      <c r="BI18"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2.8078499685139775</v>
      </c>
      <c r="BJ18" s="253">
        <f>Vout*Table25[[#This Row],[Iout]]</f>
        <v>11.52</v>
      </c>
      <c r="BK18" s="684">
        <f>Table25[[#This Row],[Pout]]/(Table25[[#This Row],[Pout]]+Table25[[#This Row],[Total Loss]])</f>
        <v>0.80402851965337852</v>
      </c>
      <c r="BL18" s="685">
        <f>IF(Table25[[#This Row],[Vin]]&gt;Vout,ThetaJA_Q1*(Table25[[#This Row],[Total Control Bu MOSFET Loss]]+Table25[[#This Row],[Reverse Recovery Loss MOSFET D BUCK]]),ThetaJA_Q4*(Table25[[#This Row],[Total Control Bo MOSFET Loss]]+Table25[[#This Row],[Reverse Recovery Loss MOSFET D BOOST]]))</f>
        <v>28.717806863241982</v>
      </c>
      <c r="BM18" s="685">
        <f>IF(Table25[[#This Row],[Vin]]&gt;Vout, Table25[[#This Row],[Total Sync Bu MOSFET Loss]]*ThetaJA_Q2, ThetaJA_Q3*Table25[[#This Row],[Total Sync Bo MOSFET Loss]])</f>
        <v>3.5892672749707479</v>
      </c>
      <c r="BN18" s="640"/>
      <c r="BO18" s="292">
        <f>Table25[[#This Row],[EFF, h]]*100</f>
        <v>80.402851965337845</v>
      </c>
      <c r="BP18" s="345">
        <f>Table25[[#This Row],[Total Inductor Loss]]</f>
        <v>0.6012792331569371</v>
      </c>
      <c r="BQ18" s="345">
        <f>Table25[[#This Row],[Total Control Bu MOSFET Loss]]+Table25[[#This Row],[Total Sync Bu MOSFET Loss]]+Table25[[#This Row],[Total Control Bo MOSFET Loss]]+Table25[[#This Row],[Total Sync Bo MOSFET Loss]]+Table25[[#This Row],[Reverse Recovery Loss MOSFET D BUCK]]+Table25[[#This Row],[Reverse Recovery Loss MOSFET D BOOST]]</f>
        <v>0.87109326137874521</v>
      </c>
      <c r="BR18" s="345">
        <f xml:space="preserve"> Table25[[#This Row],[Total Control Bu MOSFET Loss]]+Table25[[#This Row],[Reverse Recovery Loss MOSFET D BUCK]]*0.66</f>
        <v>0.24408795578004389</v>
      </c>
      <c r="BS18" s="345">
        <f>Table25[[#This Row],[Total Sync Bu MOSFET Loss]]+Table25[[#This Row],[Reverse Recovery Loss MOSFET D BUCK]]*0.33</f>
        <v>0.12640731578004388</v>
      </c>
      <c r="BT18" s="345">
        <f xml:space="preserve"> Table25[[#This Row],[Total Control Bo MOSFET Loss]]+Table25[[#This Row],[Reverse Recovery Loss MOSFET D BOOST]]*0.66</f>
        <v>0.32056569328064588</v>
      </c>
      <c r="BU18" s="345">
        <f xml:space="preserve"> Table25[[#This Row],[Total Sync Bo MOSFET Loss]]+Table25[[#This Row],[Reverse Recovery Loss MOSFET D BOOST]]*0.33</f>
        <v>0.17290013653801151</v>
      </c>
      <c r="BV18" s="345">
        <f>Table25[[#This Row],[Isense Shunt Loss]]</f>
        <v>3.233998982547657E-3</v>
      </c>
      <c r="BZ18" s="253" t="s">
        <v>143</v>
      </c>
      <c r="CB18" s="686"/>
      <c r="CC18" s="686"/>
    </row>
    <row r="19" spans="1:92" ht="13.6" x14ac:dyDescent="0.25">
      <c r="A19" s="692" t="s">
        <v>12</v>
      </c>
      <c r="B19" s="694">
        <f>Rdcr*1000</f>
        <v>3.2</v>
      </c>
      <c r="C19" s="695" t="s">
        <v>601</v>
      </c>
      <c r="D19" s="255" t="s">
        <v>604</v>
      </c>
      <c r="G19" s="253">
        <v>10</v>
      </c>
      <c r="H19" s="286">
        <f t="shared" si="0"/>
        <v>12</v>
      </c>
      <c r="I19" s="292" t="str">
        <f>IF(Mode = 2,IF(Table25[[#This Row],[Vin]]&gt;Vout, "BUCK","BOOST"),IF(Table25[[#This Row],[Vin]]&gt;VIN_BB_to_buck, "BUCK", IF(Table25[[#This Row],[Vin]]&lt;=VIN_boost_to_BB,"BOOST","BUCK-BST")))</f>
        <v>BOOST</v>
      </c>
      <c r="J19" s="253">
        <f>IF(Table25[[#This Row],[Mode]]="BOOST",2, IF(Table25[[#This Row],[Mode]]="BUCK", 1,3))</f>
        <v>2</v>
      </c>
      <c r="K19" s="345">
        <f t="shared" si="3"/>
        <v>0.8</v>
      </c>
      <c r="L19" s="292">
        <f>Vout*Table25[[#This Row],[Iout]]/(Table25[[#This Row],[Vin]]*Efficiency)</f>
        <v>1.1228070175438598</v>
      </c>
      <c r="M19" s="682">
        <f>CHOOSE(Table25[[#This Row],[Mode Digit]],(Vout+(Rdson2+Rs+Rdcr)*Table25[[#This Row],[Iout]])/(Table25[[#This Row],[Vin]]+(Rs+Rdson2-Rdson1)*Table25[[#This Row],[Iout]])/Fsw,(Vout+(Rdson3+Rdcr)*Table25[[#This Row],[Iin]]-Table25[[#This Row],[Vin]])/(Vout+(Rdson3-Rdson4-Rs)*Table25[[#This Row],[Iin]])/Fsw,t1_Ph_II)</f>
        <v>6.2937946591477823E-7</v>
      </c>
      <c r="N19" s="518">
        <f>CHOOSE(Table25[[#This Row],[Mode Digit]],1/Fsw-Table25[[#This Row],[t1_Ph_II]],1/Fsw-Table25[[#This Row],[t1_Ph_II]],(Vout/Fsw-Table25[[#This Row],[Vin]]*t1_Ph_II)/(Table25[[#This Row],[Vin]]+Vout))</f>
        <v>1.8831833481555737E-6</v>
      </c>
      <c r="O19" s="518">
        <f>1/Fsw-(Table25[[#This Row],[t1_Ph_II]]+Table25[[#This Row],[t2_Ph_I]])</f>
        <v>0</v>
      </c>
      <c r="P19"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-0.97512453550540079</v>
      </c>
      <c r="Q19" s="292">
        <f>CHOOSE(Table25[[#This Row],[Mode Digit]],Table25[[#This Row],[I_0]]+1/Lf*(Table25[[#This Row],[Vin]]-Vout)*Table25[[#This Row],[t1_Ph_II]],Table25[[#This Row],[I_0]]+1/Lf*Table25[[#This Row],[Vin]]*Table25[[#This Row],[t1_Ph_II]],Table25[[#This Row],[I_0]]+(Table25[[#This Row],[Vin]]-Vout)/L*Table25[[#This Row],[t1_Ph_II]])</f>
        <v>3.2207385705931202</v>
      </c>
      <c r="R19" s="292">
        <f>CHOOSE(Table25[[#This Row],[Mode Digit]],0,0,Table25[[#This Row],[I_1]]+Table25[[#This Row],[Vin]]/L*Table25[[#This Row],[t2_Ph_I]])</f>
        <v>0</v>
      </c>
      <c r="S19" s="292">
        <f>Fsw*(Table25[[#This Row],[I_0]]*Table25[[#This Row],[t1_Ph_II]]+Table25[[#This Row],[I_1]]*Table25[[#This Row],[t2_Ph_I]]+Table25[[#This Row],[I_2]]*Table25[[#This Row],[t3_Ph_III]])</f>
        <v>2.1697041184475321</v>
      </c>
      <c r="T19" s="345">
        <f>CHOOSE(Table25[[#This Row],[Mode Digit]],(Vout+(Rdson2+Rs+Rdcr)*Table25[[#This Row],[Iout]])/(Table25[[#This Row],[Vin]]+(Rs+Rdson2-Rdson1)*Table25[[#This Row],[Iout]]),1,Fsw*Table25[[#This Row],[t2_Ph_I]]+Table25[[#This Row],[t1_Ph_II]])</f>
        <v>1</v>
      </c>
      <c r="U19" s="345">
        <f>CHOOSE(Table25[[#This Row],[Mode Digit]],0,(Vout+(Rdson3+Rdcr)*Table25[[#This Row],[Iin]]-Table25[[#This Row],[Vin]])/(Vout+(Rdson3-Rdson4-Rs)*Table25[[#This Row],[Iin]]),Fsw*Table25[[#This Row],[t1_Ph_II]]+Table25[[#This Row],[t3_Ph_III]])</f>
        <v>0.25049302743408175</v>
      </c>
      <c r="V19" s="292">
        <f>MAX(Table25[[#This Row],[I_0]:[I_2]])-MIN(Table25[[#This Row],[I_0]:[I_1]])</f>
        <v>4.1958631060985212</v>
      </c>
      <c r="W19"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1.6516056427223476</v>
      </c>
      <c r="X19" s="345">
        <f>(Table25[[#This Row],[Irms Lf]]^2*Rdcr*(1+Ltc*Ta-Ltc*25))/(1-Table25[[#This Row],[Irms Lf]]^2*Rdcr*Ltc*ThetaCa)</f>
        <v>8.7350636814305053E-3</v>
      </c>
      <c r="Y19" s="345">
        <f>ABS(7.759*10^-3*Fsw^0.9458*(0.00787*Table25[[#This Row],[Ripple Current pk-pk]])^2.304)</f>
        <v>0.59358271264492235</v>
      </c>
      <c r="Z19" s="345">
        <f>Table25[[#This Row],[DCR    Loss]]+Table25[[#This Row],[Core Loss]]</f>
        <v>0.60231777632635286</v>
      </c>
      <c r="AA19" s="292">
        <f>IF(Table25[[#This Row],[Vin]]&gt;Vout, Table25[[#This Row],[Ripple Current pk-pk]]/SQRT(12), SQRT(Table25[[#This Row],[Duty Cycle BOOST Leg]]/(1-Table25[[#This Row],[Duty Cycle BOOST Leg]]))*SQRT(Table25[[#This Row],[Iout]]^2+(Table25[[#This Row],[Ripple Current pk-pk]]^2)/12))</f>
        <v>0.83917615082370312</v>
      </c>
      <c r="AB19" s="345">
        <f>RCoutEsr*Table25[[#This Row],[Irms Cout]]^2</f>
        <v>1.408433224222573E-3</v>
      </c>
      <c r="AC19" s="345">
        <f>Table25[[#This Row],[Cout ESR Loss]]</f>
        <v>1.408433224222573E-3</v>
      </c>
      <c r="AD19" s="292">
        <f>IF(Table25[[#This Row],[Vin]]&gt;Vout, SQRT(Table25[[#This Row],[Duty Cycle BUCK Leg]]*(1-Table25[[#This Row],[Duty Cycle BUCK Leg]]))*SQRT(Table25[[#This Row],[Iout]]^2+(Table25[[#This Row],[Ripple Current pk-pk]]^2)/12), Table25[[#This Row],[Ripple Current pk-pk]]/SQRT(12))</f>
        <v>1.2112413468944003</v>
      </c>
      <c r="AE19" s="345">
        <f>RCinEsr*Table25[[#This Row],[Irms Cin]]^2</f>
        <v>2.9342112008531223E-3</v>
      </c>
      <c r="AF19" s="683">
        <f>Table25[[#This Row],[Cin ESR Loss]]</f>
        <v>2.9342112008531223E-3</v>
      </c>
      <c r="AG19" s="345">
        <f>Table25[[#This Row],[Irms Lf]]</f>
        <v>1.6516056427223476</v>
      </c>
      <c r="AH19" s="345">
        <f>Rdson1*Table25[[#This Row],[Irms BuCtrl]]^2</f>
        <v>9.5473041967530457E-3</v>
      </c>
      <c r="AI19" s="345">
        <f>CHOOSE(Table25[[#This Row],[Mode Digit]], (Table25[[#This Row],[Vin]]*Table25[[#This Row],[Iout]]/2)*(Fsw)*(Tr_buck+Tf_buck), 0, (Table25[[#This Row],[Vin]]*Table25[[#This Row],[Avg IL]]/2)*(Fsw/1)*(Tr_buck+Tf_buck))</f>
        <v>0</v>
      </c>
      <c r="AJ19" s="253">
        <f>IF(Table25[[#This Row],[Vin]]&gt;Vout, IF(Table25[[#This Row],[Iout]]&gt;Table25[[#This Row],[Ripple Current pk-pk]]/2,0,ABS(Table25[[#This Row],[Iout]]-Table25[[#This Row],[Ripple Current pk-pk]]/2)*Vsd_Q1*Deadtime*Fsw),0)</f>
        <v>0</v>
      </c>
      <c r="AK19" s="345">
        <f>(Table25[[#This Row],[Dead Time Loss BuCtrl]]+Table25[[#This Row],[Transition Loss BuCtrl]]+Table25[[#This Row],[RDS(on) Loss BuCtrl]]*(1+RdsonTopTc*Ta-RdsonTopTc*25))/(1-Table25[[#This Row],[RDS(on) Loss BuCtrl]]*RdsonTopTc*ThetaJA_Q1)</f>
        <v>9.5710624363401688E-3</v>
      </c>
      <c r="AL19" s="345">
        <f>Table25[[#This Row],[Irms Lf]]</f>
        <v>1.6516056427223476</v>
      </c>
      <c r="AM19" s="345">
        <f>Rdson2*Table25[[#This Row],[Irms BuSync]]^2</f>
        <v>9.5473041967530457E-3</v>
      </c>
      <c r="AN19"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19" s="345">
        <f>(Table25[[#This Row],[Deadtime Loss BuSync]]+Table25[[#This Row],[RDS(on) Loss BuSync]]*(1+RdsonBotTc*Ta-RdsonBotTc*25))/(1-Table25[[#This Row],[RDS(on) Loss BuSync]]*RdsonBotTc*ThetaJA_Q2)</f>
        <v>9.5710624363401688E-3</v>
      </c>
      <c r="AP19" s="345">
        <f>Table25[[#This Row],[Irms Lf]]</f>
        <v>1.6516056427223476</v>
      </c>
      <c r="AQ19" s="345">
        <f>Rdson4*Table25[[#This Row],[Irms BoCtlr]]^2</f>
        <v>9.5473041967530457E-3</v>
      </c>
      <c r="AR19" s="345">
        <f>CHOOSE(Table25[[#This Row],[Mode Digit]], 0, (Vout*Table25[[#This Row],[Iin]]/2)*(Fsw)*(Tr_boost+Tf_boost), (Vout*Iout/2)*(Fsw/1)*(Tr_boost+Tf_boost))</f>
        <v>6.6756941595315505E-2</v>
      </c>
      <c r="AS19" s="345">
        <f>IF(Table25[[#This Row],[Vin]]&gt;Vout, 0, IF(Table25[[#This Row],[Iin]]&gt;Table25[[#This Row],[Ripple Current pk-pk]]/2,0,ABS(Table25[[#This Row],[Iin]]-Table25[[#This Row],[Ripple Current pk-pk]]/2)*Vsd_Q4*Deadtime*Fsw))</f>
        <v>1.4553733692418106E-2</v>
      </c>
      <c r="AT19" s="345">
        <f>(Table25[[#This Row],[Dead Time Loss BoCtlr]]+Table25[[#This Row],[Transition Loss BoCtlr]]+Table25[[#This Row],[RDS(on) Loss BoCtlr]]*(1+RdsonTopTc*Ta-RdsonTopTc*25))/(1-Table25[[#This Row],[RDS(on) Loss BoCtlr]]*RdsonTopTc*ThetaJA_Q4)</f>
        <v>9.108407740705296E-2</v>
      </c>
      <c r="AU19" s="345">
        <f>Table25[[#This Row],[Irms Lf]]</f>
        <v>1.6516056427223476</v>
      </c>
      <c r="AV19" s="345">
        <f>Rdson3*Table25[[#This Row],[Irms BoSync]]^2</f>
        <v>9.5473041967530457E-3</v>
      </c>
      <c r="AW19"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4.8069523166102308E-2</v>
      </c>
      <c r="AX19" s="345">
        <f>(Table25[[#This Row],[Deadtime Loss BoSync]]+Table25[[#This Row],[RDS(on) Loss BoSync]]*(1+RdsonBotTc*Ta-RdsonBotTc*25))/(1-Table25[[#This Row],[RDS(on) Loss BoSync]]*RdsonBotTc*ThetaJA_Q3)</f>
        <v>5.776020546839452E-2</v>
      </c>
      <c r="AY19" s="345">
        <f>CHOOSE(Table25[[#This Row],[Mode Digit]], Rdson3*Table25[[#This Row],[Irms Lf]]^2, Rdson1*Table25[[#This Row],[Irms Lf]]^2, 0)</f>
        <v>9.5473041967530457E-3</v>
      </c>
      <c r="AZ19" s="345">
        <f>CHOOSE(Table25[[#This Row],[Mode Digit]], 2*Deadtime*Fsw*IF(VfdSky_Q2&gt;0,VfdSky_Q2,0)*Table25[[#This Row],[Iout]], 2*Deadtime*Fsw*IF(VfdSky_Q3&gt;0,VfdSky_Q3,0)*Table25[[#This Row],[Iin]], 2*Deadtime*Fsw*IF(VfdSky_Q2&gt;0,VfdSky_Q2,0)*Table25[[#This Row],[Iout]]+2*Deadtime*Fsw*IF(VfdSky_Q3&gt;0,VfdSky_Q3,0)*Table25[[#This Row],[Iin]])</f>
        <v>0</v>
      </c>
      <c r="BA19"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19"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19" s="345">
        <f>CHOOSE(Table25[[#This Row],[Mode Digit]], Rs*Table25[[#This Row],[Irms BuSync]]^2, Rs*Table25[[#This Row],[Irms BoCtlr]]^2, Rs*(Table25[[#This Row],[Irms BuSync]]^2+Table25[[#This Row],[Irms BoCtlr]]^2))</f>
        <v>3.5461415587939881E-3</v>
      </c>
      <c r="BD19" s="345">
        <f t="shared" si="1"/>
        <v>0.64</v>
      </c>
      <c r="BE19" s="345">
        <f>IF(Vout&gt;8, Iq*Vout, Iq*Table25[[#This Row],[Vin]])</f>
        <v>4.8000000000000001E-2</v>
      </c>
      <c r="BF19" s="345">
        <f>CHOOSE(Table25[[#This Row],[Mode Digit]], (Qg_Q1+Qg_Q2)*Fsw, (Qg_Q3+Qg_Q4)*Fsw, (Qg_Q1+Qg_Q2+Qg_Q3+Qg_Q4)*Fsw)*IF(Vout&gt;8,  MIN( Table25[[#This Row],[Vin]], Vout), Table25[[#This Row],[Vin]])</f>
        <v>0.63998400000000011</v>
      </c>
      <c r="BG19" s="345">
        <f t="shared" si="4"/>
        <v>0.50594479787234037</v>
      </c>
      <c r="BH19" s="345">
        <f>Table25[[#This Row],[IQ Loss]]+Table25[[#This Row],[Switching Current Loss]]</f>
        <v>0.68798400000000015</v>
      </c>
      <c r="BI19"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2.8193929700583511</v>
      </c>
      <c r="BJ19" s="253">
        <f>Vout*Table25[[#This Row],[Iout]]</f>
        <v>12.8</v>
      </c>
      <c r="BK19" s="684">
        <f>Table25[[#This Row],[Pout]]/(Table25[[#This Row],[Pout]]+Table25[[#This Row],[Total Loss]])</f>
        <v>0.81949407538033037</v>
      </c>
      <c r="BL19" s="685">
        <f>IF(Table25[[#This Row],[Vin]]&gt;Vout,ThetaJA_Q1*(Table25[[#This Row],[Total Control Bu MOSFET Loss]]+Table25[[#This Row],[Reverse Recovery Loss MOSFET D BUCK]]),ThetaJA_Q4*(Table25[[#This Row],[Total Control Bo MOSFET Loss]]+Table25[[#This Row],[Reverse Recovery Loss MOSFET D BOOST]]))</f>
        <v>29.099985031458441</v>
      </c>
      <c r="BM19" s="685">
        <f>IF(Table25[[#This Row],[Vin]]&gt;Vout, Table25[[#This Row],[Total Sync Bu MOSFET Loss]]*ThetaJA_Q2, ThetaJA_Q3*Table25[[#This Row],[Total Sync Bo MOSFET Loss]])</f>
        <v>3.7544133554456436</v>
      </c>
      <c r="BN19" s="640"/>
      <c r="BO19" s="292">
        <f>Table25[[#This Row],[EFF, h]]*100</f>
        <v>81.949407538033043</v>
      </c>
      <c r="BP19" s="345">
        <f>Table25[[#This Row],[Total Inductor Loss]]</f>
        <v>0.60231777632635286</v>
      </c>
      <c r="BQ19" s="345">
        <f>Table25[[#This Row],[Total Control Bu MOSFET Loss]]+Table25[[#This Row],[Total Sync Bu MOSFET Loss]]+Table25[[#This Row],[Total Control Bo MOSFET Loss]]+Table25[[#This Row],[Total Sync Bo MOSFET Loss]]+Table25[[#This Row],[Reverse Recovery Loss MOSFET D BUCK]]+Table25[[#This Row],[Reverse Recovery Loss MOSFET D BOOST]]</f>
        <v>0.88120240774812775</v>
      </c>
      <c r="BR19" s="345">
        <f xml:space="preserve"> Table25[[#This Row],[Total Control Bu MOSFET Loss]]+Table25[[#This Row],[Reverse Recovery Loss MOSFET D BUCK]]*0.66</f>
        <v>0.24493234243634018</v>
      </c>
      <c r="BS19" s="345">
        <f>Table25[[#This Row],[Total Sync Bu MOSFET Loss]]+Table25[[#This Row],[Reverse Recovery Loss MOSFET D BUCK]]*0.33</f>
        <v>0.12725170243634018</v>
      </c>
      <c r="BT19" s="345">
        <f xml:space="preserve"> Table25[[#This Row],[Total Control Bo MOSFET Loss]]+Table25[[#This Row],[Reverse Recovery Loss MOSFET D BOOST]]*0.66</f>
        <v>0.32644535740705294</v>
      </c>
      <c r="BU19" s="345">
        <f xml:space="preserve"> Table25[[#This Row],[Total Sync Bo MOSFET Loss]]+Table25[[#This Row],[Reverse Recovery Loss MOSFET D BOOST]]*0.33</f>
        <v>0.17544084546839453</v>
      </c>
      <c r="BV19" s="345">
        <f>Table25[[#This Row],[Isense Shunt Loss]]</f>
        <v>3.5461415587939881E-3</v>
      </c>
      <c r="BZ19" s="253" t="s">
        <v>144</v>
      </c>
      <c r="CB19" s="686"/>
      <c r="CC19" s="686"/>
    </row>
    <row r="20" spans="1:92" x14ac:dyDescent="0.2">
      <c r="A20" s="692" t="s">
        <v>86</v>
      </c>
      <c r="B20" s="694">
        <f>Ltc*1000000</f>
        <v>4000</v>
      </c>
      <c r="C20" s="259" t="s">
        <v>85</v>
      </c>
      <c r="D20" s="255" t="s">
        <v>99</v>
      </c>
      <c r="G20" s="253">
        <v>11</v>
      </c>
      <c r="H20" s="286">
        <f t="shared" si="0"/>
        <v>12</v>
      </c>
      <c r="I20" s="292" t="str">
        <f>IF(Mode = 2,IF(Table25[[#This Row],[Vin]]&gt;Vout, "BUCK","BOOST"),IF(Table25[[#This Row],[Vin]]&gt;VIN_BB_to_buck, "BUCK", IF(Table25[[#This Row],[Vin]]&lt;=VIN_boost_to_BB,"BOOST","BUCK-BST")))</f>
        <v>BOOST</v>
      </c>
      <c r="J20" s="253">
        <f>IF(Table25[[#This Row],[Mode]]="BOOST",2, IF(Table25[[#This Row],[Mode]]="BUCK", 1,3))</f>
        <v>2</v>
      </c>
      <c r="K20" s="345">
        <f t="shared" si="3"/>
        <v>0.88</v>
      </c>
      <c r="L20" s="292">
        <f>Vout*Table25[[#This Row],[Iout]]/(Table25[[#This Row],[Vin]]*Efficiency)</f>
        <v>1.2350877192982457</v>
      </c>
      <c r="M20" s="682">
        <f>CHOOSE(Table25[[#This Row],[Mode Digit]],(Vout+(Rdson2+Rs+Rdcr)*Table25[[#This Row],[Iout]])/(Table25[[#This Row],[Vin]]+(Rs+Rdson2-Rdson1)*Table25[[#This Row],[Iout]])/Fsw,(Vout+(Rdson3+Rdcr)*Table25[[#This Row],[Iin]]-Table25[[#This Row],[Vin]])/(Vout+(Rdson3-Rdson4-Rs)*Table25[[#This Row],[Iin]])/Fsw,t1_Ph_II)</f>
        <v>6.2950335458683402E-7</v>
      </c>
      <c r="N20" s="518">
        <f>CHOOSE(Table25[[#This Row],[Mode Digit]],1/Fsw-Table25[[#This Row],[t1_Ph_II]],1/Fsw-Table25[[#This Row],[t1_Ph_II]],(Vout/Fsw-Table25[[#This Row],[Vin]]*t1_Ph_II)/(Table25[[#This Row],[Vin]]+Vout))</f>
        <v>1.883059459483518E-6</v>
      </c>
      <c r="O20" s="518">
        <f>1/Fsw-(Table25[[#This Row],[t1_Ph_II]]+Table25[[#This Row],[t2_Ph_I]])</f>
        <v>0</v>
      </c>
      <c r="P20"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-0.86325679599120098</v>
      </c>
      <c r="Q20" s="292">
        <f>CHOOSE(Table25[[#This Row],[Mode Digit]],Table25[[#This Row],[I_0]]+1/Lf*(Table25[[#This Row],[Vin]]-Vout)*Table25[[#This Row],[t1_Ph_II]],Table25[[#This Row],[I_0]]+1/Lf*Table25[[#This Row],[Vin]]*Table25[[#This Row],[t1_Ph_II]],Table25[[#This Row],[I_0]]+(Table25[[#This Row],[Vin]]-Vout)/L*Table25[[#This Row],[t1_Ph_II]])</f>
        <v>3.3334322345876926</v>
      </c>
      <c r="R20" s="292">
        <f>CHOOSE(Table25[[#This Row],[Mode Digit]],0,0,Table25[[#This Row],[I_1]]+Table25[[#This Row],[Vin]]/L*Table25[[#This Row],[t2_Ph_I]])</f>
        <v>0</v>
      </c>
      <c r="S20" s="292">
        <f>Fsw*(Table25[[#This Row],[I_0]]*Table25[[#This Row],[t1_Ph_II]]+Table25[[#This Row],[I_1]]*Table25[[#This Row],[t2_Ph_I]]+Table25[[#This Row],[I_2]]*Table25[[#This Row],[t3_Ph_III]])</f>
        <v>2.2819839650706344</v>
      </c>
      <c r="T20" s="345">
        <f>CHOOSE(Table25[[#This Row],[Mode Digit]],(Vout+(Rdson2+Rs+Rdcr)*Table25[[#This Row],[Iout]])/(Table25[[#This Row],[Vin]]+(Rs+Rdson2-Rdson1)*Table25[[#This Row],[Iout]]),1,Fsw*Table25[[#This Row],[t2_Ph_I]]+Table25[[#This Row],[t1_Ph_II]])</f>
        <v>1</v>
      </c>
      <c r="U20" s="345">
        <f>CHOOSE(Table25[[#This Row],[Mode Digit]],0,(Vout+(Rdson3+Rdcr)*Table25[[#This Row],[Iin]]-Table25[[#This Row],[Vin]])/(Vout+(Rdson3-Rdson4-Rs)*Table25[[#This Row],[Iin]]),Fsw*Table25[[#This Row],[t1_Ph_II]]+Table25[[#This Row],[t3_Ph_III]])</f>
        <v>0.25054233512555996</v>
      </c>
      <c r="V20" s="292">
        <f>MAX(Table25[[#This Row],[I_0]:[I_2]])-MIN(Table25[[#This Row],[I_0]:[I_1]])</f>
        <v>4.1966890305788933</v>
      </c>
      <c r="W20"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1.7300650014695333</v>
      </c>
      <c r="X20" s="345">
        <f>(Table25[[#This Row],[Irms Lf]]^2*Rdcr*(1+Ltc*Ta-Ltc*25))/(1-Table25[[#This Row],[Irms Lf]]^2*Rdcr*Ltc*ThetaCa)</f>
        <v>9.5853443838494253E-3</v>
      </c>
      <c r="Y20" s="345">
        <f>ABS(7.759*10^-3*Fsw^0.9458*(0.00787*Table25[[#This Row],[Ripple Current pk-pk]])^2.304)</f>
        <v>0.59385195196347484</v>
      </c>
      <c r="Z20" s="345">
        <f>Table25[[#This Row],[DCR    Loss]]+Table25[[#This Row],[Core Loss]]</f>
        <v>0.60343729634732424</v>
      </c>
      <c r="AA20" s="292">
        <f>IF(Table25[[#This Row],[Vin]]&gt;Vout, Table25[[#This Row],[Ripple Current pk-pk]]/SQRT(12), SQRT(Table25[[#This Row],[Duty Cycle BOOST Leg]]/(1-Table25[[#This Row],[Duty Cycle BOOST Leg]]))*SQRT(Table25[[#This Row],[Iout]]^2+(Table25[[#This Row],[Ripple Current pk-pk]]^2)/12))</f>
        <v>0.865750743661168</v>
      </c>
      <c r="AB20" s="345">
        <f>RCoutEsr*Table25[[#This Row],[Irms Cout]]^2</f>
        <v>1.4990487002997308E-3</v>
      </c>
      <c r="AC20" s="345">
        <f>Table25[[#This Row],[Cout ESR Loss]]</f>
        <v>1.4990487002997308E-3</v>
      </c>
      <c r="AD20" s="292">
        <f>IF(Table25[[#This Row],[Vin]]&gt;Vout, SQRT(Table25[[#This Row],[Duty Cycle BUCK Leg]]*(1-Table25[[#This Row],[Duty Cycle BUCK Leg]]))*SQRT(Table25[[#This Row],[Iout]]^2+(Table25[[#This Row],[Ripple Current pk-pk]]^2)/12), Table25[[#This Row],[Ripple Current pk-pk]]/SQRT(12))</f>
        <v>1.211479770754937</v>
      </c>
      <c r="AE20" s="345">
        <f>RCinEsr*Table25[[#This Row],[Irms Cin]]^2</f>
        <v>2.9353664698968693E-3</v>
      </c>
      <c r="AF20" s="683">
        <f>Table25[[#This Row],[Cin ESR Loss]]</f>
        <v>2.9353664698968693E-3</v>
      </c>
      <c r="AG20" s="345">
        <f>Table25[[#This Row],[Irms Lf]]</f>
        <v>1.7300650014695333</v>
      </c>
      <c r="AH20" s="345">
        <f>Rdson1*Table25[[#This Row],[Irms BuCtrl]]^2</f>
        <v>1.0475937182584218E-2</v>
      </c>
      <c r="AI20" s="345">
        <f>CHOOSE(Table25[[#This Row],[Mode Digit]], (Table25[[#This Row],[Vin]]*Table25[[#This Row],[Iout]]/2)*(Fsw)*(Tr_buck+Tf_buck), 0, (Table25[[#This Row],[Vin]]*Table25[[#This Row],[Avg IL]]/2)*(Fsw/1)*(Tr_buck+Tf_buck))</f>
        <v>0</v>
      </c>
      <c r="AJ20" s="253">
        <f>IF(Table25[[#This Row],[Vin]]&gt;Vout, IF(Table25[[#This Row],[Iout]]&gt;Table25[[#This Row],[Ripple Current pk-pk]]/2,0,ABS(Table25[[#This Row],[Iout]]-Table25[[#This Row],[Ripple Current pk-pk]]/2)*Vsd_Q1*Deadtime*Fsw),0)</f>
        <v>0</v>
      </c>
      <c r="AK20" s="345">
        <f>(Table25[[#This Row],[Dead Time Loss BuCtrl]]+Table25[[#This Row],[Transition Loss BuCtrl]]+Table25[[#This Row],[RDS(on) Loss BuCtrl]]*(1+RdsonTopTc*Ta-RdsonTopTc*25))/(1-Table25[[#This Row],[RDS(on) Loss BuCtrl]]*RdsonTopTc*ThetaJA_Q1)</f>
        <v>1.0504548881078705E-2</v>
      </c>
      <c r="AL20" s="345">
        <f>Table25[[#This Row],[Irms Lf]]</f>
        <v>1.7300650014695333</v>
      </c>
      <c r="AM20" s="345">
        <f>Rdson2*Table25[[#This Row],[Irms BuSync]]^2</f>
        <v>1.0475937182584218E-2</v>
      </c>
      <c r="AN20"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20" s="345">
        <f>(Table25[[#This Row],[Deadtime Loss BuSync]]+Table25[[#This Row],[RDS(on) Loss BuSync]]*(1+RdsonBotTc*Ta-RdsonBotTc*25))/(1-Table25[[#This Row],[RDS(on) Loss BuSync]]*RdsonBotTc*ThetaJA_Q2)</f>
        <v>1.0504548881078705E-2</v>
      </c>
      <c r="AP20" s="345">
        <f>Table25[[#This Row],[Irms Lf]]</f>
        <v>1.7300650014695333</v>
      </c>
      <c r="AQ20" s="345">
        <f>Rdson4*Table25[[#This Row],[Irms BoCtlr]]^2</f>
        <v>1.0475937182584218E-2</v>
      </c>
      <c r="AR20" s="345">
        <f>CHOOSE(Table25[[#This Row],[Mode Digit]], 0, (Vout*Table25[[#This Row],[Iin]]/2)*(Fsw)*(Tr_boost+Tf_boost), (Vout*Iout/2)*(Fsw/1)*(Tr_boost+Tf_boost))</f>
        <v>7.3432635754847056E-2</v>
      </c>
      <c r="AS20" s="345">
        <f>IF(Table25[[#This Row],[Vin]]&gt;Vout, 0, IF(Table25[[#This Row],[Iin]]&gt;Table25[[#This Row],[Ripple Current pk-pk]]/2,0,ABS(Table25[[#This Row],[Iin]]-Table25[[#This Row],[Ripple Current pk-pk]]/2)*Vsd_Q4*Deadtime*Fsw))</f>
        <v>1.2884107680168675E-2</v>
      </c>
      <c r="AT20" s="345">
        <f>(Table25[[#This Row],[Dead Time Loss BoCtlr]]+Table25[[#This Row],[Transition Loss BoCtlr]]+Table25[[#This Row],[RDS(on) Loss BoCtlr]]*(1+RdsonTopTc*Ta-RdsonTopTc*25))/(1-Table25[[#This Row],[RDS(on) Loss BoCtlr]]*RdsonTopTc*ThetaJA_Q4)</f>
        <v>9.7057039113268281E-2</v>
      </c>
      <c r="AU20" s="345">
        <f>Table25[[#This Row],[Irms Lf]]</f>
        <v>1.7300650014695333</v>
      </c>
      <c r="AV20" s="345">
        <f>Rdson3*Table25[[#This Row],[Irms BoSync]]^2</f>
        <v>1.0475937182584218E-2</v>
      </c>
      <c r="AW20"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4.9751476101221305E-2</v>
      </c>
      <c r="AX20" s="345">
        <f>(Table25[[#This Row],[Deadtime Loss BoSync]]+Table25[[#This Row],[RDS(on) Loss BoSync]]*(1+RdsonBotTc*Ta-RdsonBotTc*25))/(1-Table25[[#This Row],[RDS(on) Loss BoSync]]*RdsonBotTc*ThetaJA_Q3)</f>
        <v>6.0391905353578891E-2</v>
      </c>
      <c r="AY20" s="345">
        <f>CHOOSE(Table25[[#This Row],[Mode Digit]], Rdson3*Table25[[#This Row],[Irms Lf]]^2, Rdson1*Table25[[#This Row],[Irms Lf]]^2, 0)</f>
        <v>1.0475937182584218E-2</v>
      </c>
      <c r="AZ20" s="345">
        <f>CHOOSE(Table25[[#This Row],[Mode Digit]], 2*Deadtime*Fsw*IF(VfdSky_Q2&gt;0,VfdSky_Q2,0)*Table25[[#This Row],[Iout]], 2*Deadtime*Fsw*IF(VfdSky_Q3&gt;0,VfdSky_Q3,0)*Table25[[#This Row],[Iin]], 2*Deadtime*Fsw*IF(VfdSky_Q2&gt;0,VfdSky_Q2,0)*Table25[[#This Row],[Iout]]+2*Deadtime*Fsw*IF(VfdSky_Q3&gt;0,VfdSky_Q3,0)*Table25[[#This Row],[Iin]])</f>
        <v>0</v>
      </c>
      <c r="BA20"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20"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20" s="345">
        <f>CHOOSE(Table25[[#This Row],[Mode Digit]], Rs*Table25[[#This Row],[Irms BuSync]]^2, Rs*Table25[[#This Row],[Irms BoCtlr]]^2, Rs*(Table25[[#This Row],[Irms BuSync]]^2+Table25[[#This Row],[Irms BoCtlr]]^2))</f>
        <v>3.8910623821027091E-3</v>
      </c>
      <c r="BD20" s="345">
        <f t="shared" si="1"/>
        <v>0.64</v>
      </c>
      <c r="BE20" s="345">
        <f>IF(Vout&gt;8, Iq*Vout, Iq*Table25[[#This Row],[Vin]])</f>
        <v>4.8000000000000001E-2</v>
      </c>
      <c r="BF20" s="345">
        <f>CHOOSE(Table25[[#This Row],[Mode Digit]], (Qg_Q1+Qg_Q2)*Fsw, (Qg_Q3+Qg_Q4)*Fsw, (Qg_Q1+Qg_Q2+Qg_Q3+Qg_Q4)*Fsw)*IF(Vout&gt;8,  MIN( Table25[[#This Row],[Vin]], Vout), Table25[[#This Row],[Vin]])</f>
        <v>0.63998400000000011</v>
      </c>
      <c r="BG20" s="345">
        <f t="shared" si="4"/>
        <v>0.50594479787234037</v>
      </c>
      <c r="BH20" s="345">
        <f>Table25[[#This Row],[IQ Loss]]+Table25[[#This Row],[Switching Current Loss]]</f>
        <v>0.68798400000000015</v>
      </c>
      <c r="BI20"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2.8314208161286283</v>
      </c>
      <c r="BJ20" s="253">
        <f>Vout*Table25[[#This Row],[Iout]]</f>
        <v>14.08</v>
      </c>
      <c r="BK20" s="684">
        <f>Table25[[#This Row],[Pout]]/(Table25[[#This Row],[Pout]]+Table25[[#This Row],[Total Loss]])</f>
        <v>0.83257345157964091</v>
      </c>
      <c r="BL20" s="685">
        <f>IF(Table25[[#This Row],[Vin]]&gt;Vout,ThetaJA_Q1*(Table25[[#This Row],[Total Control Bu MOSFET Loss]]+Table25[[#This Row],[Reverse Recovery Loss MOSFET D BUCK]]),ThetaJA_Q4*(Table25[[#This Row],[Total Control Bo MOSFET Loss]]+Table25[[#This Row],[Reverse Recovery Loss MOSFET D BOOST]]))</f>
        <v>29.488227542362438</v>
      </c>
      <c r="BM20" s="685">
        <f>IF(Table25[[#This Row],[Vin]]&gt;Vout, Table25[[#This Row],[Total Sync Bu MOSFET Loss]]*ThetaJA_Q2, ThetaJA_Q3*Table25[[#This Row],[Total Sync Bo MOSFET Loss]])</f>
        <v>3.9254738479826279</v>
      </c>
      <c r="BN20" s="640"/>
      <c r="BO20" s="292">
        <f>Table25[[#This Row],[EFF, h]]*100</f>
        <v>83.257345157964096</v>
      </c>
      <c r="BP20" s="345">
        <f>Table25[[#This Row],[Total Inductor Loss]]</f>
        <v>0.60343729634732424</v>
      </c>
      <c r="BQ20" s="345">
        <f>Table25[[#This Row],[Total Control Bu MOSFET Loss]]+Table25[[#This Row],[Total Sync Bu MOSFET Loss]]+Table25[[#This Row],[Total Control Bo MOSFET Loss]]+Table25[[#This Row],[Total Sync Bo MOSFET Loss]]+Table25[[#This Row],[Reverse Recovery Loss MOSFET D BUCK]]+Table25[[#This Row],[Reverse Recovery Loss MOSFET D BOOST]]</f>
        <v>0.89167404222900459</v>
      </c>
      <c r="BR20" s="345">
        <f xml:space="preserve"> Table25[[#This Row],[Total Control Bu MOSFET Loss]]+Table25[[#This Row],[Reverse Recovery Loss MOSFET D BUCK]]*0.66</f>
        <v>0.24586582888107872</v>
      </c>
      <c r="BS20" s="345">
        <f>Table25[[#This Row],[Total Sync Bu MOSFET Loss]]+Table25[[#This Row],[Reverse Recovery Loss MOSFET D BUCK]]*0.33</f>
        <v>0.12818518888107872</v>
      </c>
      <c r="BT20" s="345">
        <f xml:space="preserve"> Table25[[#This Row],[Total Control Bo MOSFET Loss]]+Table25[[#This Row],[Reverse Recovery Loss MOSFET D BOOST]]*0.66</f>
        <v>0.3324183191132683</v>
      </c>
      <c r="BU20" s="345">
        <f xml:space="preserve"> Table25[[#This Row],[Total Sync Bo MOSFET Loss]]+Table25[[#This Row],[Reverse Recovery Loss MOSFET D BOOST]]*0.33</f>
        <v>0.17807254535357889</v>
      </c>
      <c r="BV20" s="345">
        <f>Table25[[#This Row],[Isense Shunt Loss]]</f>
        <v>3.8910623821027091E-3</v>
      </c>
      <c r="CB20" s="686"/>
      <c r="CC20" s="686"/>
    </row>
    <row r="21" spans="1:92" x14ac:dyDescent="0.2">
      <c r="A21" s="696" t="s">
        <v>157</v>
      </c>
      <c r="B21" s="694">
        <f>ThetaCa</f>
        <v>20</v>
      </c>
      <c r="C21" s="259" t="s">
        <v>236</v>
      </c>
      <c r="D21" s="697" t="s">
        <v>158</v>
      </c>
      <c r="G21" s="253">
        <v>12</v>
      </c>
      <c r="H21" s="286">
        <f t="shared" si="0"/>
        <v>12</v>
      </c>
      <c r="I21" s="292" t="str">
        <f>IF(Mode = 2,IF(Table25[[#This Row],[Vin]]&gt;Vout, "BUCK","BOOST"),IF(Table25[[#This Row],[Vin]]&gt;VIN_BB_to_buck, "BUCK", IF(Table25[[#This Row],[Vin]]&lt;=VIN_boost_to_BB,"BOOST","BUCK-BST")))</f>
        <v>BOOST</v>
      </c>
      <c r="J21" s="253">
        <f>IF(Table25[[#This Row],[Mode]]="BOOST",2, IF(Table25[[#This Row],[Mode]]="BUCK", 1,3))</f>
        <v>2</v>
      </c>
      <c r="K21" s="345">
        <f t="shared" si="3"/>
        <v>0.96</v>
      </c>
      <c r="L21" s="292">
        <f>Vout*Table25[[#This Row],[Iout]]/(Table25[[#This Row],[Vin]]*Efficiency)</f>
        <v>1.3473684210526318</v>
      </c>
      <c r="M21" s="682">
        <f>CHOOSE(Table25[[#This Row],[Mode Digit]],(Vout+(Rdson2+Rs+Rdcr)*Table25[[#This Row],[Iout]])/(Table25[[#This Row],[Vin]]+(Rs+Rdson2-Rdson1)*Table25[[#This Row],[Iout]])/Fsw,(Vout+(Rdson3+Rdcr)*Table25[[#This Row],[Iin]]-Table25[[#This Row],[Vin]])/(Vout+(Rdson3-Rdson4-Rs)*Table25[[#This Row],[Iin]])/Fsw,t1_Ph_II)</f>
        <v>6.2962724551956219E-7</v>
      </c>
      <c r="N21" s="518">
        <f>CHOOSE(Table25[[#This Row],[Mode Digit]],1/Fsw-Table25[[#This Row],[t1_Ph_II]],1/Fsw-Table25[[#This Row],[t1_Ph_II]],(Vout/Fsw-Table25[[#This Row],[Vin]]*t1_Ph_II)/(Table25[[#This Row],[Vin]]+Vout))</f>
        <v>1.8829355685507896E-6</v>
      </c>
      <c r="O21" s="518">
        <f>1/Fsw-(Table25[[#This Row],[t1_Ph_II]]+Table25[[#This Row],[t2_Ph_I]])</f>
        <v>0</v>
      </c>
      <c r="P21"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-0.75138906401257533</v>
      </c>
      <c r="Q21" s="292">
        <f>CHOOSE(Table25[[#This Row],[Mode Digit]],Table25[[#This Row],[I_0]]+1/Lf*(Table25[[#This Row],[Vin]]-Vout)*Table25[[#This Row],[t1_Ph_II]],Table25[[#This Row],[I_0]]+1/Lf*Table25[[#This Row],[Vin]]*Table25[[#This Row],[t1_Ph_II]],Table25[[#This Row],[I_0]]+(Table25[[#This Row],[Vin]]-Vout)/L*Table25[[#This Row],[t1_Ph_II]])</f>
        <v>3.4461259061178389</v>
      </c>
      <c r="R21" s="292">
        <f>CHOOSE(Table25[[#This Row],[Mode Digit]],0,0,Table25[[#This Row],[I_1]]+Table25[[#This Row],[Vin]]/L*Table25[[#This Row],[t2_Ph_I]])</f>
        <v>0</v>
      </c>
      <c r="S21" s="292">
        <f>Fsw*(Table25[[#This Row],[I_0]]*Table25[[#This Row],[t1_Ph_II]]+Table25[[#This Row],[I_1]]*Table25[[#This Row],[t2_Ph_I]]+Table25[[#This Row],[I_2]]*Table25[[#This Row],[t3_Ph_III]])</f>
        <v>2.3942637302270438</v>
      </c>
      <c r="T21" s="345">
        <f>CHOOSE(Table25[[#This Row],[Mode Digit]],(Vout+(Rdson2+Rs+Rdcr)*Table25[[#This Row],[Iout]])/(Table25[[#This Row],[Vin]]+(Rs+Rdson2-Rdson1)*Table25[[#This Row],[Iout]]),1,Fsw*Table25[[#This Row],[t2_Ph_I]]+Table25[[#This Row],[t1_Ph_II]])</f>
        <v>1</v>
      </c>
      <c r="U21" s="345">
        <f>CHOOSE(Table25[[#This Row],[Mode Digit]],0,(Vout+(Rdson3+Rdcr)*Table25[[#This Row],[Iin]]-Table25[[#This Row],[Vin]])/(Vout+(Rdson3-Rdson4-Rs)*Table25[[#This Row],[Iin]]),Fsw*Table25[[#This Row],[t1_Ph_II]]+Table25[[#This Row],[t3_Ph_III]])</f>
        <v>0.25059164371678577</v>
      </c>
      <c r="V21" s="292">
        <f>MAX(Table25[[#This Row],[I_0]:[I_2]])-MIN(Table25[[#This Row],[I_0]:[I_1]])</f>
        <v>4.1975149701304142</v>
      </c>
      <c r="W21"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1.8120879271590564</v>
      </c>
      <c r="X21" s="345">
        <f>(Table25[[#This Row],[Irms Lf]]^2*Rdcr*(1+Ltc*Ta-Ltc*25))/(1-Table25[[#This Row],[Irms Lf]]^2*Rdcr*Ltc*ThetaCa)</f>
        <v>1.0516560905025507E-2</v>
      </c>
      <c r="Y21" s="345">
        <f>ABS(7.759*10^-3*Fsw^0.9458*(0.00787*Table25[[#This Row],[Ripple Current pk-pk]])^2.304)</f>
        <v>0.59412126530123732</v>
      </c>
      <c r="Z21" s="345">
        <f>Table25[[#This Row],[DCR    Loss]]+Table25[[#This Row],[Core Loss]]</f>
        <v>0.60463782620626283</v>
      </c>
      <c r="AA21" s="292">
        <f>IF(Table25[[#This Row],[Vin]]&gt;Vout, Table25[[#This Row],[Ripple Current pk-pk]]/SQRT(12), SQRT(Table25[[#This Row],[Duty Cycle BOOST Leg]]/(1-Table25[[#This Row],[Duty Cycle BOOST Leg]]))*SQRT(Table25[[#This Row],[Iout]]^2+(Table25[[#This Row],[Ripple Current pk-pk]]^2)/12))</f>
        <v>0.8939440686899045</v>
      </c>
      <c r="AB21" s="345">
        <f>RCoutEsr*Table25[[#This Row],[Irms Cout]]^2</f>
        <v>1.5982719958917214E-3</v>
      </c>
      <c r="AC21" s="345">
        <f>Table25[[#This Row],[Cout ESR Loss]]</f>
        <v>1.5982719958917214E-3</v>
      </c>
      <c r="AD21" s="292">
        <f>IF(Table25[[#This Row],[Vin]]&gt;Vout, SQRT(Table25[[#This Row],[Duty Cycle BUCK Leg]]*(1-Table25[[#This Row],[Duty Cycle BUCK Leg]]))*SQRT(Table25[[#This Row],[Iout]]^2+(Table25[[#This Row],[Ripple Current pk-pk]]^2)/12), Table25[[#This Row],[Ripple Current pk-pk]]/SQRT(12))</f>
        <v>1.2117181989661394</v>
      </c>
      <c r="AE21" s="345">
        <f>RCinEsr*Table25[[#This Row],[Irms Cin]]^2</f>
        <v>2.9365219874114895E-3</v>
      </c>
      <c r="AF21" s="683">
        <f>Table25[[#This Row],[Cin ESR Loss]]</f>
        <v>2.9365219874114895E-3</v>
      </c>
      <c r="AG21" s="345">
        <f>Table25[[#This Row],[Irms Lf]]</f>
        <v>1.8120879271590564</v>
      </c>
      <c r="AH21" s="345">
        <f>Rdson1*Table25[[#This Row],[Irms BuCtrl]]^2</f>
        <v>1.149281929514462E-2</v>
      </c>
      <c r="AI21" s="345">
        <f>CHOOSE(Table25[[#This Row],[Mode Digit]], (Table25[[#This Row],[Vin]]*Table25[[#This Row],[Iout]]/2)*(Fsw)*(Tr_buck+Tf_buck), 0, (Table25[[#This Row],[Vin]]*Table25[[#This Row],[Avg IL]]/2)*(Fsw/1)*(Tr_buck+Tf_buck))</f>
        <v>0</v>
      </c>
      <c r="AJ21" s="253">
        <f>IF(Table25[[#This Row],[Vin]]&gt;Vout, IF(Table25[[#This Row],[Iout]]&gt;Table25[[#This Row],[Ripple Current pk-pk]]/2,0,ABS(Table25[[#This Row],[Iout]]-Table25[[#This Row],[Ripple Current pk-pk]]/2)*Vsd_Q1*Deadtime*Fsw),0)</f>
        <v>0</v>
      </c>
      <c r="AK21" s="345">
        <f>(Table25[[#This Row],[Dead Time Loss BuCtrl]]+Table25[[#This Row],[Transition Loss BuCtrl]]+Table25[[#This Row],[RDS(on) Loss BuCtrl]]*(1+RdsonTopTc*Ta-RdsonTopTc*25))/(1-Table25[[#This Row],[RDS(on) Loss BuCtrl]]*RdsonTopTc*ThetaJA_Q1)</f>
        <v>1.1527264294174704E-2</v>
      </c>
      <c r="AL21" s="345">
        <f>Table25[[#This Row],[Irms Lf]]</f>
        <v>1.8120879271590564</v>
      </c>
      <c r="AM21" s="345">
        <f>Rdson2*Table25[[#This Row],[Irms BuSync]]^2</f>
        <v>1.149281929514462E-2</v>
      </c>
      <c r="AN21"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21" s="345">
        <f>(Table25[[#This Row],[Deadtime Loss BuSync]]+Table25[[#This Row],[RDS(on) Loss BuSync]]*(1+RdsonBotTc*Ta-RdsonBotTc*25))/(1-Table25[[#This Row],[RDS(on) Loss BuSync]]*RdsonBotTc*ThetaJA_Q2)</f>
        <v>1.1527264294174704E-2</v>
      </c>
      <c r="AP21" s="345">
        <f>Table25[[#This Row],[Irms Lf]]</f>
        <v>1.8120879271590564</v>
      </c>
      <c r="AQ21" s="345">
        <f>Rdson4*Table25[[#This Row],[Irms BoCtlr]]^2</f>
        <v>1.149281929514462E-2</v>
      </c>
      <c r="AR21" s="345">
        <f>CHOOSE(Table25[[#This Row],[Mode Digit]], 0, (Vout*Table25[[#This Row],[Iin]]/2)*(Fsw)*(Tr_boost+Tf_boost), (Vout*Iout/2)*(Fsw/1)*(Tr_boost+Tf_boost))</f>
        <v>8.0108329914378607E-2</v>
      </c>
      <c r="AS21" s="345">
        <f>IF(Table25[[#This Row],[Vin]]&gt;Vout, 0, IF(Table25[[#This Row],[Iin]]&gt;Table25[[#This Row],[Ripple Current pk-pk]]/2,0,ABS(Table25[[#This Row],[Iin]]-Table25[[#This Row],[Ripple Current pk-pk]]/2)*Vsd_Q4*Deadtime*Fsw))</f>
        <v>1.1214481780387687E-2</v>
      </c>
      <c r="AT21" s="345">
        <f>(Table25[[#This Row],[Dead Time Loss BoCtlr]]+Table25[[#This Row],[Transition Loss BoCtlr]]+Table25[[#This Row],[RDS(on) Loss BoCtlr]]*(1+RdsonTopTc*Ta-RdsonTopTc*25))/(1-Table25[[#This Row],[RDS(on) Loss BoCtlr]]*RdsonTopTc*ThetaJA_Q4)</f>
        <v>0.1031237785574291</v>
      </c>
      <c r="AU21" s="345">
        <f>Table25[[#This Row],[Irms Lf]]</f>
        <v>1.8120879271590564</v>
      </c>
      <c r="AV21" s="345">
        <f>Rdson3*Table25[[#This Row],[Irms BoSync]]^2</f>
        <v>1.149281929514462E-2</v>
      </c>
      <c r="AW21"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5.1433429148808739E-2</v>
      </c>
      <c r="AX21" s="345">
        <f>(Table25[[#This Row],[Deadtime Loss BoSync]]+Table25[[#This Row],[RDS(on) Loss BoSync]]*(1+RdsonBotTc*Ta-RdsonBotTc*25))/(1-Table25[[#This Row],[RDS(on) Loss BoSync]]*RdsonBotTc*ThetaJA_Q3)</f>
        <v>6.3114843993135494E-2</v>
      </c>
      <c r="AY21" s="345">
        <f>CHOOSE(Table25[[#This Row],[Mode Digit]], Rdson3*Table25[[#This Row],[Irms Lf]]^2, Rdson1*Table25[[#This Row],[Irms Lf]]^2, 0)</f>
        <v>1.149281929514462E-2</v>
      </c>
      <c r="AZ21" s="345">
        <f>CHOOSE(Table25[[#This Row],[Mode Digit]], 2*Deadtime*Fsw*IF(VfdSky_Q2&gt;0,VfdSky_Q2,0)*Table25[[#This Row],[Iout]], 2*Deadtime*Fsw*IF(VfdSky_Q3&gt;0,VfdSky_Q3,0)*Table25[[#This Row],[Iin]], 2*Deadtime*Fsw*IF(VfdSky_Q2&gt;0,VfdSky_Q2,0)*Table25[[#This Row],[Iout]]+2*Deadtime*Fsw*IF(VfdSky_Q3&gt;0,VfdSky_Q3,0)*Table25[[#This Row],[Iin]])</f>
        <v>0</v>
      </c>
      <c r="BA21"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21"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21" s="345">
        <f>CHOOSE(Table25[[#This Row],[Mode Digit]], Rs*Table25[[#This Row],[Irms BuSync]]^2, Rs*Table25[[#This Row],[Irms BoCtlr]]^2, Rs*(Table25[[#This Row],[Irms BuSync]]^2+Table25[[#This Row],[Irms BoCtlr]]^2))</f>
        <v>4.2687614524822871E-3</v>
      </c>
      <c r="BD21" s="345">
        <f t="shared" si="1"/>
        <v>0.64</v>
      </c>
      <c r="BE21" s="345">
        <f>IF(Vout&gt;8, Iq*Vout, Iq*Table25[[#This Row],[Vin]])</f>
        <v>4.8000000000000001E-2</v>
      </c>
      <c r="BF21" s="345">
        <f>CHOOSE(Table25[[#This Row],[Mode Digit]], (Qg_Q1+Qg_Q2)*Fsw, (Qg_Q3+Qg_Q4)*Fsw, (Qg_Q1+Qg_Q2+Qg_Q3+Qg_Q4)*Fsw)*IF(Vout&gt;8,  MIN( Table25[[#This Row],[Vin]], Vout), Table25[[#This Row],[Vin]])</f>
        <v>0.63998400000000011</v>
      </c>
      <c r="BG21" s="345">
        <f t="shared" si="4"/>
        <v>0.50594479787234037</v>
      </c>
      <c r="BH21" s="345">
        <f>Table25[[#This Row],[IQ Loss]]+Table25[[#This Row],[Switching Current Loss]]</f>
        <v>0.68798400000000015</v>
      </c>
      <c r="BI21"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2.8439345327809624</v>
      </c>
      <c r="BJ21" s="253">
        <f>Vout*Table25[[#This Row],[Iout]]</f>
        <v>15.36</v>
      </c>
      <c r="BK21" s="684">
        <f>Table25[[#This Row],[Pout]]/(Table25[[#This Row],[Pout]]+Table25[[#This Row],[Total Loss]])</f>
        <v>0.8437736343393395</v>
      </c>
      <c r="BL21" s="685">
        <f>IF(Table25[[#This Row],[Vin]]&gt;Vout,ThetaJA_Q1*(Table25[[#This Row],[Total Control Bu MOSFET Loss]]+Table25[[#This Row],[Reverse Recovery Loss MOSFET D BUCK]]),ThetaJA_Q4*(Table25[[#This Row],[Total Control Bo MOSFET Loss]]+Table25[[#This Row],[Reverse Recovery Loss MOSFET D BOOST]]))</f>
        <v>29.882565606232891</v>
      </c>
      <c r="BM21" s="685">
        <f>IF(Table25[[#This Row],[Vin]]&gt;Vout, Table25[[#This Row],[Total Sync Bu MOSFET Loss]]*ThetaJA_Q2, ThetaJA_Q3*Table25[[#This Row],[Total Sync Bo MOSFET Loss]])</f>
        <v>4.1024648595538071</v>
      </c>
      <c r="BN21" s="640"/>
      <c r="BO21" s="292">
        <f>Table25[[#This Row],[EFF, h]]*100</f>
        <v>84.377363433933951</v>
      </c>
      <c r="BP21" s="345">
        <f>Table25[[#This Row],[Total Inductor Loss]]</f>
        <v>0.60463782620626283</v>
      </c>
      <c r="BQ21" s="345">
        <f>Table25[[#This Row],[Total Control Bu MOSFET Loss]]+Table25[[#This Row],[Total Sync Bu MOSFET Loss]]+Table25[[#This Row],[Total Control Bo MOSFET Loss]]+Table25[[#This Row],[Total Sync Bo MOSFET Loss]]+Table25[[#This Row],[Reverse Recovery Loss MOSFET D BUCK]]+Table25[[#This Row],[Reverse Recovery Loss MOSFET D BOOST]]</f>
        <v>0.90250915113891406</v>
      </c>
      <c r="BR21" s="345">
        <f xml:space="preserve"> Table25[[#This Row],[Total Control Bu MOSFET Loss]]+Table25[[#This Row],[Reverse Recovery Loss MOSFET D BUCK]]*0.66</f>
        <v>0.2468885442941747</v>
      </c>
      <c r="BS21" s="345">
        <f>Table25[[#This Row],[Total Sync Bu MOSFET Loss]]+Table25[[#This Row],[Reverse Recovery Loss MOSFET D BUCK]]*0.33</f>
        <v>0.1292079042941747</v>
      </c>
      <c r="BT21" s="345">
        <f xml:space="preserve"> Table25[[#This Row],[Total Control Bo MOSFET Loss]]+Table25[[#This Row],[Reverse Recovery Loss MOSFET D BOOST]]*0.66</f>
        <v>0.33848505855742911</v>
      </c>
      <c r="BU21" s="345">
        <f xml:space="preserve"> Table25[[#This Row],[Total Sync Bo MOSFET Loss]]+Table25[[#This Row],[Reverse Recovery Loss MOSFET D BOOST]]*0.33</f>
        <v>0.1807954839931355</v>
      </c>
      <c r="BV21" s="345">
        <f>Table25[[#This Row],[Isense Shunt Loss]]</f>
        <v>4.2687614524822871E-3</v>
      </c>
      <c r="CB21" s="686"/>
      <c r="CC21" s="686"/>
    </row>
    <row r="22" spans="1:92" x14ac:dyDescent="0.2">
      <c r="A22" s="698" t="s">
        <v>61</v>
      </c>
      <c r="B22" s="694">
        <f>Cin*1000000</f>
        <v>100</v>
      </c>
      <c r="C22" s="699" t="s">
        <v>602</v>
      </c>
      <c r="D22" s="255" t="s">
        <v>620</v>
      </c>
      <c r="G22" s="253">
        <v>13</v>
      </c>
      <c r="H22" s="286">
        <f t="shared" si="0"/>
        <v>12</v>
      </c>
      <c r="I22" s="292" t="str">
        <f>IF(Mode = 2,IF(Table25[[#This Row],[Vin]]&gt;Vout, "BUCK","BOOST"),IF(Table25[[#This Row],[Vin]]&gt;VIN_BB_to_buck, "BUCK", IF(Table25[[#This Row],[Vin]]&lt;=VIN_boost_to_BB,"BOOST","BUCK-BST")))</f>
        <v>BOOST</v>
      </c>
      <c r="J22" s="253">
        <f>IF(Table25[[#This Row],[Mode]]="BOOST",2, IF(Table25[[#This Row],[Mode]]="BUCK", 1,3))</f>
        <v>2</v>
      </c>
      <c r="K22" s="345">
        <f t="shared" si="3"/>
        <v>1.04</v>
      </c>
      <c r="L22" s="292">
        <f>Vout*Table25[[#This Row],[Iout]]/(Table25[[#This Row],[Vin]]*Efficiency)</f>
        <v>1.4596491228070179</v>
      </c>
      <c r="M22" s="682">
        <f>CHOOSE(Table25[[#This Row],[Mode Digit]],(Vout+(Rdson2+Rs+Rdcr)*Table25[[#This Row],[Iout]])/(Table25[[#This Row],[Vin]]+(Rs+Rdson2-Rdson1)*Table25[[#This Row],[Iout]])/Fsw,(Vout+(Rdson3+Rdcr)*Table25[[#This Row],[Iin]]-Table25[[#This Row],[Vin]])/(Vout+(Rdson3-Rdson4-Rs)*Table25[[#This Row],[Iin]])/Fsw,t1_Ph_II)</f>
        <v>6.2975113871302469E-7</v>
      </c>
      <c r="N22" s="518">
        <f>CHOOSE(Table25[[#This Row],[Mode Digit]],1/Fsw-Table25[[#This Row],[t1_Ph_II]],1/Fsw-Table25[[#This Row],[t1_Ph_II]],(Vout/Fsw-Table25[[#This Row],[Vin]]*t1_Ph_II)/(Table25[[#This Row],[Vin]]+Vout))</f>
        <v>1.8828116753573273E-6</v>
      </c>
      <c r="O22" s="518">
        <f>1/Fsw-(Table25[[#This Row],[t1_Ph_II]]+Table25[[#This Row],[t2_Ph_I]])</f>
        <v>0</v>
      </c>
      <c r="P22"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-0.63952133956973101</v>
      </c>
      <c r="Q22" s="292">
        <f>CHOOSE(Table25[[#This Row],[Mode Digit]],Table25[[#This Row],[I_0]]+1/Lf*(Table25[[#This Row],[Vin]]-Vout)*Table25[[#This Row],[t1_Ph_II]],Table25[[#This Row],[I_0]]+1/Lf*Table25[[#This Row],[Vin]]*Table25[[#This Row],[t1_Ph_II]],Table25[[#This Row],[I_0]]+(Table25[[#This Row],[Vin]]-Vout)/L*Table25[[#This Row],[t1_Ph_II]])</f>
        <v>3.558819585183767</v>
      </c>
      <c r="R22" s="292">
        <f>CHOOSE(Table25[[#This Row],[Mode Digit]],0,0,Table25[[#This Row],[I_1]]+Table25[[#This Row],[Vin]]/L*Table25[[#This Row],[t2_Ph_I]])</f>
        <v>0</v>
      </c>
      <c r="S22" s="292">
        <f>Fsw*(Table25[[#This Row],[I_0]]*Table25[[#This Row],[t1_Ph_II]]+Table25[[#This Row],[I_1]]*Table25[[#This Row],[t2_Ph_I]]+Table25[[#This Row],[I_2]]*Table25[[#This Row],[t3_Ph_III]])</f>
        <v>2.5065434139123024</v>
      </c>
      <c r="T22" s="345">
        <f>CHOOSE(Table25[[#This Row],[Mode Digit]],(Vout+(Rdson2+Rs+Rdcr)*Table25[[#This Row],[Iout]])/(Table25[[#This Row],[Vin]]+(Rs+Rdson2-Rdson1)*Table25[[#This Row],[Iout]]),1,Fsw*Table25[[#This Row],[t2_Ph_I]]+Table25[[#This Row],[t1_Ph_II]])</f>
        <v>1</v>
      </c>
      <c r="U22" s="345">
        <f>CHOOSE(Table25[[#This Row],[Mode Digit]],0,(Vout+(Rdson3+Rdcr)*Table25[[#This Row],[Iin]]-Table25[[#This Row],[Vin]])/(Vout+(Rdson3-Rdson4-Rs)*Table25[[#This Row],[Iin]]),Fsw*Table25[[#This Row],[t1_Ph_II]]+Table25[[#This Row],[t3_Ph_III]])</f>
        <v>0.25064095320778385</v>
      </c>
      <c r="V22" s="292">
        <f>MAX(Table25[[#This Row],[I_0]:[I_2]])-MIN(Table25[[#This Row],[I_0]:[I_1]])</f>
        <v>4.1983409247534977</v>
      </c>
      <c r="W22"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1.8972122807994631</v>
      </c>
      <c r="X22" s="345">
        <f>(Table25[[#This Row],[Irms Lf]]^2*Rdcr*(1+Ltc*Ta-Ltc*25))/(1-Table25[[#This Row],[Irms Lf]]^2*Rdcr*Ltc*ThetaCa)</f>
        <v>1.1528749370148752E-2</v>
      </c>
      <c r="Y22" s="345">
        <f>ABS(7.759*10^-3*Fsw^0.9458*(0.00787*Table25[[#This Row],[Ripple Current pk-pk]])^2.304)</f>
        <v>0.59439065266626334</v>
      </c>
      <c r="Z22" s="345">
        <f>Table25[[#This Row],[DCR    Loss]]+Table25[[#This Row],[Core Loss]]</f>
        <v>0.60591940203641215</v>
      </c>
      <c r="AA22" s="292">
        <f>IF(Table25[[#This Row],[Vin]]&gt;Vout, Table25[[#This Row],[Ripple Current pk-pk]]/SQRT(12), SQRT(Table25[[#This Row],[Duty Cycle BOOST Leg]]/(1-Table25[[#This Row],[Duty Cycle BOOST Leg]]))*SQRT(Table25[[#This Row],[Iout]]^2+(Table25[[#This Row],[Ripple Current pk-pk]]^2)/12))</f>
        <v>0.92360972959434073</v>
      </c>
      <c r="AB22" s="345">
        <f>RCoutEsr*Table25[[#This Row],[Irms Cout]]^2</f>
        <v>1.7061098652026625E-3</v>
      </c>
      <c r="AC22" s="345">
        <f>Table25[[#This Row],[Cout ESR Loss]]</f>
        <v>1.7061098652026625E-3</v>
      </c>
      <c r="AD22" s="292">
        <f>IF(Table25[[#This Row],[Vin]]&gt;Vout, SQRT(Table25[[#This Row],[Duty Cycle BUCK Leg]]*(1-Table25[[#This Row],[Duty Cycle BUCK Leg]]))*SQRT(Table25[[#This Row],[Iout]]^2+(Table25[[#This Row],[Ripple Current pk-pk]]^2)/12), Table25[[#This Row],[Ripple Current pk-pk]]/SQRT(12))</f>
        <v>1.2119566315281272</v>
      </c>
      <c r="AE22" s="345">
        <f>RCinEsr*Table25[[#This Row],[Irms Cin]]^2</f>
        <v>2.9376777534100094E-3</v>
      </c>
      <c r="AF22" s="683">
        <f>Table25[[#This Row],[Cin ESR Loss]]</f>
        <v>2.9376777534100094E-3</v>
      </c>
      <c r="AG22" s="345">
        <f>Table25[[#This Row],[Irms Lf]]</f>
        <v>1.8972122807994631</v>
      </c>
      <c r="AH22" s="345">
        <f>Rdson1*Table25[[#This Row],[Irms BuCtrl]]^2</f>
        <v>1.2597950534457053E-2</v>
      </c>
      <c r="AI22" s="345">
        <f>CHOOSE(Table25[[#This Row],[Mode Digit]], (Table25[[#This Row],[Vin]]*Table25[[#This Row],[Iout]]/2)*(Fsw)*(Tr_buck+Tf_buck), 0, (Table25[[#This Row],[Vin]]*Table25[[#This Row],[Avg IL]]/2)*(Fsw/1)*(Tr_buck+Tf_buck))</f>
        <v>0</v>
      </c>
      <c r="AJ22" s="253">
        <f>IF(Table25[[#This Row],[Vin]]&gt;Vout, IF(Table25[[#This Row],[Iout]]&gt;Table25[[#This Row],[Ripple Current pk-pk]]/2,0,ABS(Table25[[#This Row],[Iout]]-Table25[[#This Row],[Ripple Current pk-pk]]/2)*Vsd_Q1*Deadtime*Fsw),0)</f>
        <v>0</v>
      </c>
      <c r="AK22" s="345">
        <f>(Table25[[#This Row],[Dead Time Loss BuCtrl]]+Table25[[#This Row],[Transition Loss BuCtrl]]+Table25[[#This Row],[RDS(on) Loss BuCtrl]]*(1+RdsonTopTc*Ta-RdsonTopTc*25))/(1-Table25[[#This Row],[RDS(on) Loss BuCtrl]]*RdsonTopTc*ThetaJA_Q1)</f>
        <v>1.2639350311058716E-2</v>
      </c>
      <c r="AL22" s="345">
        <f>Table25[[#This Row],[Irms Lf]]</f>
        <v>1.8972122807994631</v>
      </c>
      <c r="AM22" s="345">
        <f>Rdson2*Table25[[#This Row],[Irms BuSync]]^2</f>
        <v>1.2597950534457053E-2</v>
      </c>
      <c r="AN22"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22" s="345">
        <f>(Table25[[#This Row],[Deadtime Loss BuSync]]+Table25[[#This Row],[RDS(on) Loss BuSync]]*(1+RdsonBotTc*Ta-RdsonBotTc*25))/(1-Table25[[#This Row],[RDS(on) Loss BuSync]]*RdsonBotTc*ThetaJA_Q2)</f>
        <v>1.2639350311058716E-2</v>
      </c>
      <c r="AP22" s="345">
        <f>Table25[[#This Row],[Irms Lf]]</f>
        <v>1.8972122807994631</v>
      </c>
      <c r="AQ22" s="345">
        <f>Rdson4*Table25[[#This Row],[Irms BoCtlr]]^2</f>
        <v>1.2597950534457053E-2</v>
      </c>
      <c r="AR22" s="345">
        <f>CHOOSE(Table25[[#This Row],[Mode Digit]], 0, (Vout*Table25[[#This Row],[Iin]]/2)*(Fsw)*(Tr_boost+Tf_boost), (Vout*Iout/2)*(Fsw/1)*(Tr_boost+Tf_boost))</f>
        <v>8.6784024073910171E-2</v>
      </c>
      <c r="AS22" s="345">
        <f>IF(Table25[[#This Row],[Vin]]&gt;Vout, 0, IF(Table25[[#This Row],[Iin]]&gt;Table25[[#This Row],[Ripple Current pk-pk]]/2,0,ABS(Table25[[#This Row],[Iin]]-Table25[[#This Row],[Ripple Current pk-pk]]/2)*Vsd_Q4*Deadtime*Fsw))</f>
        <v>9.5448559930782356E-3</v>
      </c>
      <c r="AT22" s="345">
        <f>(Table25[[#This Row],[Dead Time Loss BoCtlr]]+Table25[[#This Row],[Transition Loss BoCtlr]]+Table25[[#This Row],[RDS(on) Loss BoCtlr]]*(1+RdsonTopTc*Ta-RdsonTopTc*25))/(1-Table25[[#This Row],[RDS(on) Loss BoCtlr]]*RdsonTopTc*ThetaJA_Q4)</f>
        <v>0.10928478933770917</v>
      </c>
      <c r="AU22" s="345">
        <f>Table25[[#This Row],[Irms Lf]]</f>
        <v>1.8972122807994631</v>
      </c>
      <c r="AV22" s="345">
        <f>Rdson3*Table25[[#This Row],[Irms BoSync]]^2</f>
        <v>1.2597950534457053E-2</v>
      </c>
      <c r="AW22"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5.3115382308867712E-2</v>
      </c>
      <c r="AX22" s="345">
        <f>(Table25[[#This Row],[Deadtime Loss BoSync]]+Table25[[#This Row],[RDS(on) Loss BoSync]]*(1+RdsonBotTc*Ta-RdsonBotTc*25))/(1-Table25[[#This Row],[RDS(on) Loss BoSync]]*RdsonBotTc*ThetaJA_Q3)</f>
        <v>6.5929282040142409E-2</v>
      </c>
      <c r="AY22" s="345">
        <f>CHOOSE(Table25[[#This Row],[Mode Digit]], Rdson3*Table25[[#This Row],[Irms Lf]]^2, Rdson1*Table25[[#This Row],[Irms Lf]]^2, 0)</f>
        <v>1.2597950534457053E-2</v>
      </c>
      <c r="AZ22" s="345">
        <f>CHOOSE(Table25[[#This Row],[Mode Digit]], 2*Deadtime*Fsw*IF(VfdSky_Q2&gt;0,VfdSky_Q2,0)*Table25[[#This Row],[Iout]], 2*Deadtime*Fsw*IF(VfdSky_Q3&gt;0,VfdSky_Q3,0)*Table25[[#This Row],[Iin]], 2*Deadtime*Fsw*IF(VfdSky_Q2&gt;0,VfdSky_Q2,0)*Table25[[#This Row],[Iout]]+2*Deadtime*Fsw*IF(VfdSky_Q3&gt;0,VfdSky_Q3,0)*Table25[[#This Row],[Iin]])</f>
        <v>0</v>
      </c>
      <c r="BA22"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22"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22" s="345">
        <f>CHOOSE(Table25[[#This Row],[Mode Digit]], Rs*Table25[[#This Row],[Irms BuSync]]^2, Rs*Table25[[#This Row],[Irms BoCtlr]]^2, Rs*(Table25[[#This Row],[Irms BuSync]]^2+Table25[[#This Row],[Irms BoCtlr]]^2))</f>
        <v>4.6792387699411912E-3</v>
      </c>
      <c r="BD22" s="345">
        <f t="shared" si="1"/>
        <v>0.64</v>
      </c>
      <c r="BE22" s="345">
        <f>IF(Vout&gt;8, Iq*Vout, Iq*Table25[[#This Row],[Vin]])</f>
        <v>4.8000000000000001E-2</v>
      </c>
      <c r="BF22" s="345">
        <f>CHOOSE(Table25[[#This Row],[Mode Digit]], (Qg_Q1+Qg_Q2)*Fsw, (Qg_Q3+Qg_Q4)*Fsw, (Qg_Q1+Qg_Q2+Qg_Q3+Qg_Q4)*Fsw)*IF(Vout&gt;8,  MIN( Table25[[#This Row],[Vin]], Vout), Table25[[#This Row],[Vin]])</f>
        <v>0.63998400000000011</v>
      </c>
      <c r="BG22" s="345">
        <f t="shared" si="4"/>
        <v>0.50594479787234037</v>
      </c>
      <c r="BH22" s="345">
        <f>Table25[[#This Row],[IQ Loss]]+Table25[[#This Row],[Switching Current Loss]]</f>
        <v>0.68798400000000015</v>
      </c>
      <c r="BI22"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2.8569352004249349</v>
      </c>
      <c r="BJ22" s="253">
        <f>Vout*Table25[[#This Row],[Iout]]</f>
        <v>16.64</v>
      </c>
      <c r="BK22" s="684">
        <f>Table25[[#This Row],[Pout]]/(Table25[[#This Row],[Pout]]+Table25[[#This Row],[Total Loss]])</f>
        <v>0.85346747214081786</v>
      </c>
      <c r="BL22" s="685">
        <f>IF(Table25[[#This Row],[Vin]]&gt;Vout,ThetaJA_Q1*(Table25[[#This Row],[Total Control Bu MOSFET Loss]]+Table25[[#This Row],[Reverse Recovery Loss MOSFET D BUCK]]),ThetaJA_Q4*(Table25[[#This Row],[Total Control Bo MOSFET Loss]]+Table25[[#This Row],[Reverse Recovery Loss MOSFET D BOOST]]))</f>
        <v>30.283031306951095</v>
      </c>
      <c r="BM22" s="685">
        <f>IF(Table25[[#This Row],[Vin]]&gt;Vout, Table25[[#This Row],[Total Sync Bu MOSFET Loss]]*ThetaJA_Q2, ThetaJA_Q3*Table25[[#This Row],[Total Sync Bo MOSFET Loss]])</f>
        <v>4.2854033326092562</v>
      </c>
      <c r="BN22" s="640"/>
      <c r="BO22" s="292">
        <f>Table25[[#This Row],[EFF, h]]*100</f>
        <v>85.346747214081788</v>
      </c>
      <c r="BP22" s="345">
        <f>Table25[[#This Row],[Total Inductor Loss]]</f>
        <v>0.60591940203641215</v>
      </c>
      <c r="BQ22" s="345">
        <f>Table25[[#This Row],[Total Control Bu MOSFET Loss]]+Table25[[#This Row],[Total Sync Bu MOSFET Loss]]+Table25[[#This Row],[Total Control Bo MOSFET Loss]]+Table25[[#This Row],[Total Sync Bo MOSFET Loss]]+Table25[[#This Row],[Reverse Recovery Loss MOSFET D BUCK]]+Table25[[#This Row],[Reverse Recovery Loss MOSFET D BOOST]]</f>
        <v>0.91370877199996903</v>
      </c>
      <c r="BR22" s="345">
        <f xml:space="preserve"> Table25[[#This Row],[Total Control Bu MOSFET Loss]]+Table25[[#This Row],[Reverse Recovery Loss MOSFET D BUCK]]*0.66</f>
        <v>0.24800063031105873</v>
      </c>
      <c r="BS22" s="345">
        <f>Table25[[#This Row],[Total Sync Bu MOSFET Loss]]+Table25[[#This Row],[Reverse Recovery Loss MOSFET D BUCK]]*0.33</f>
        <v>0.13031999031105873</v>
      </c>
      <c r="BT22" s="345">
        <f xml:space="preserve"> Table25[[#This Row],[Total Control Bo MOSFET Loss]]+Table25[[#This Row],[Reverse Recovery Loss MOSFET D BOOST]]*0.66</f>
        <v>0.34464606933770919</v>
      </c>
      <c r="BU22" s="345">
        <f xml:space="preserve"> Table25[[#This Row],[Total Sync Bo MOSFET Loss]]+Table25[[#This Row],[Reverse Recovery Loss MOSFET D BOOST]]*0.33</f>
        <v>0.18360992204014243</v>
      </c>
      <c r="BV22" s="345">
        <f>Table25[[#This Row],[Isense Shunt Loss]]</f>
        <v>4.6792387699411912E-3</v>
      </c>
      <c r="CB22" s="686"/>
      <c r="CC22" s="686"/>
    </row>
    <row r="23" spans="1:92" ht="13.6" x14ac:dyDescent="0.25">
      <c r="A23" s="698" t="s">
        <v>89</v>
      </c>
      <c r="B23" s="694">
        <f>RCinEsr*1000</f>
        <v>2</v>
      </c>
      <c r="C23" s="695" t="s">
        <v>601</v>
      </c>
      <c r="D23" s="255" t="s">
        <v>616</v>
      </c>
      <c r="G23" s="253">
        <v>14</v>
      </c>
      <c r="H23" s="286">
        <f t="shared" si="0"/>
        <v>12</v>
      </c>
      <c r="I23" s="292" t="str">
        <f>IF(Mode = 2,IF(Table25[[#This Row],[Vin]]&gt;Vout, "BUCK","BOOST"),IF(Table25[[#This Row],[Vin]]&gt;VIN_BB_to_buck, "BUCK", IF(Table25[[#This Row],[Vin]]&lt;=VIN_boost_to_BB,"BOOST","BUCK-BST")))</f>
        <v>BOOST</v>
      </c>
      <c r="J23" s="253">
        <f>IF(Table25[[#This Row],[Mode]]="BOOST",2, IF(Table25[[#This Row],[Mode]]="BUCK", 1,3))</f>
        <v>2</v>
      </c>
      <c r="K23" s="345">
        <f t="shared" si="3"/>
        <v>1.1200000000000001</v>
      </c>
      <c r="L23" s="292">
        <f>Vout*Table25[[#This Row],[Iout]]/(Table25[[#This Row],[Vin]]*Efficiency)</f>
        <v>1.571929824561404</v>
      </c>
      <c r="M23" s="682">
        <f>CHOOSE(Table25[[#This Row],[Mode Digit]],(Vout+(Rdson2+Rs+Rdcr)*Table25[[#This Row],[Iout]])/(Table25[[#This Row],[Vin]]+(Rs+Rdson2-Rdson1)*Table25[[#This Row],[Iout]])/Fsw,(Vout+(Rdson3+Rdcr)*Table25[[#This Row],[Iin]]-Table25[[#This Row],[Vin]])/(Vout+(Rdson3-Rdson4-Rs)*Table25[[#This Row],[Iin]])/Fsw,t1_Ph_II)</f>
        <v>6.2987503416728388E-7</v>
      </c>
      <c r="N23" s="518">
        <f>CHOOSE(Table25[[#This Row],[Mode Digit]],1/Fsw-Table25[[#This Row],[t1_Ph_II]],1/Fsw-Table25[[#This Row],[t1_Ph_II]],(Vout/Fsw-Table25[[#This Row],[Vin]]*t1_Ph_II)/(Table25[[#This Row],[Vin]]+Vout))</f>
        <v>1.882687779903068E-6</v>
      </c>
      <c r="O23" s="518">
        <f>1/Fsw-(Table25[[#This Row],[t1_Ph_II]]+Table25[[#This Row],[t2_Ph_I]])</f>
        <v>0</v>
      </c>
      <c r="P23"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-0.52765362266287541</v>
      </c>
      <c r="Q23" s="292">
        <f>CHOOSE(Table25[[#This Row],[Mode Digit]],Table25[[#This Row],[I_0]]+1/Lf*(Table25[[#This Row],[Vin]]-Vout)*Table25[[#This Row],[t1_Ph_II]],Table25[[#This Row],[I_0]]+1/Lf*Table25[[#This Row],[Vin]]*Table25[[#This Row],[t1_Ph_II]],Table25[[#This Row],[I_0]]+(Table25[[#This Row],[Vin]]-Vout)/L*Table25[[#This Row],[t1_Ph_II]])</f>
        <v>3.6715132717856833</v>
      </c>
      <c r="R23" s="292">
        <f>CHOOSE(Table25[[#This Row],[Mode Digit]],0,0,Table25[[#This Row],[I_1]]+Table25[[#This Row],[Vin]]/L*Table25[[#This Row],[t2_Ph_I]])</f>
        <v>0</v>
      </c>
      <c r="S23" s="292">
        <f>Fsw*(Table25[[#This Row],[I_0]]*Table25[[#This Row],[t1_Ph_II]]+Table25[[#This Row],[I_1]]*Table25[[#This Row],[t2_Ph_I]]+Table25[[#This Row],[I_2]]*Table25[[#This Row],[t3_Ph_III]])</f>
        <v>2.6188230161219481</v>
      </c>
      <c r="T23" s="345">
        <f>CHOOSE(Table25[[#This Row],[Mode Digit]],(Vout+(Rdson2+Rs+Rdcr)*Table25[[#This Row],[Iout]])/(Table25[[#This Row],[Vin]]+(Rs+Rdson2-Rdson1)*Table25[[#This Row],[Iout]]),1,Fsw*Table25[[#This Row],[t2_Ph_I]]+Table25[[#This Row],[t1_Ph_II]])</f>
        <v>1</v>
      </c>
      <c r="U23" s="345">
        <f>CHOOSE(Table25[[#This Row],[Mode Digit]],0,(Vout+(Rdson3+Rdcr)*Table25[[#This Row],[Iin]]-Table25[[#This Row],[Vin]])/(Vout+(Rdson3-Rdson4-Rs)*Table25[[#This Row],[Iin]]),Fsw*Table25[[#This Row],[t1_Ph_II]]+Table25[[#This Row],[t3_Ph_III]])</f>
        <v>0.25069026359857899</v>
      </c>
      <c r="V23" s="292">
        <f>MAX(Table25[[#This Row],[I_0]:[I_2]])-MIN(Table25[[#This Row],[I_0]:[I_1]])</f>
        <v>4.1991668944485587</v>
      </c>
      <c r="W23"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1.9850391072465992</v>
      </c>
      <c r="X23" s="345">
        <f>(Table25[[#This Row],[Irms Lf]]^2*Rdcr*(1+Ltc*Ta-Ltc*25))/(1-Table25[[#This Row],[Irms Lf]]^2*Rdcr*Ltc*ThetaCa)</f>
        <v>1.262194905474397E-2</v>
      </c>
      <c r="Y23" s="345">
        <f>ABS(7.759*10^-3*Fsw^0.9458*(0.00787*Table25[[#This Row],[Ripple Current pk-pk]])^2.304)</f>
        <v>0.59466011406660468</v>
      </c>
      <c r="Z23" s="345">
        <f>Table25[[#This Row],[DCR    Loss]]+Table25[[#This Row],[Core Loss]]</f>
        <v>0.60728206312134869</v>
      </c>
      <c r="AA23" s="292">
        <f>IF(Table25[[#This Row],[Vin]]&gt;Vout, Table25[[#This Row],[Ripple Current pk-pk]]/SQRT(12), SQRT(Table25[[#This Row],[Duty Cycle BOOST Leg]]/(1-Table25[[#This Row],[Duty Cycle BOOST Leg]]))*SQRT(Table25[[#This Row],[Iout]]^2+(Table25[[#This Row],[Ripple Current pk-pk]]^2)/12))</f>
        <v>0.95461224181892612</v>
      </c>
      <c r="AB23" s="345">
        <f>RCoutEsr*Table25[[#This Row],[Irms Cout]]^2</f>
        <v>1.8225690644611118E-3</v>
      </c>
      <c r="AC23" s="345">
        <f>Table25[[#This Row],[Cout ESR Loss]]</f>
        <v>1.8225690644611118E-3</v>
      </c>
      <c r="AD23" s="292">
        <f>IF(Table25[[#This Row],[Vin]]&gt;Vout, SQRT(Table25[[#This Row],[Duty Cycle BUCK Leg]]*(1-Table25[[#This Row],[Duty Cycle BUCK Leg]]))*SQRT(Table25[[#This Row],[Iout]]^2+(Table25[[#This Row],[Ripple Current pk-pk]]^2)/12), Table25[[#This Row],[Ripple Current pk-pk]]/SQRT(12))</f>
        <v>1.2121950684410201</v>
      </c>
      <c r="AE23" s="345">
        <f>RCinEsr*Table25[[#This Row],[Irms Cin]]^2</f>
        <v>2.9388337679054585E-3</v>
      </c>
      <c r="AF23" s="683">
        <f>Table25[[#This Row],[Cin ESR Loss]]</f>
        <v>2.9388337679054585E-3</v>
      </c>
      <c r="AG23" s="345">
        <f>Table25[[#This Row],[Irms Lf]]</f>
        <v>1.9850391072465992</v>
      </c>
      <c r="AH23" s="345">
        <f>Rdson1*Table25[[#This Row],[Irms BuCtrl]]^2</f>
        <v>1.3791330900544314E-2</v>
      </c>
      <c r="AI23" s="345">
        <f>CHOOSE(Table25[[#This Row],[Mode Digit]], (Table25[[#This Row],[Vin]]*Table25[[#This Row],[Iout]]/2)*(Fsw)*(Tr_buck+Tf_buck), 0, (Table25[[#This Row],[Vin]]*Table25[[#This Row],[Avg IL]]/2)*(Fsw/1)*(Tr_buck+Tf_buck))</f>
        <v>0</v>
      </c>
      <c r="AJ23" s="253">
        <f>IF(Table25[[#This Row],[Vin]]&gt;Vout, IF(Table25[[#This Row],[Iout]]&gt;Table25[[#This Row],[Ripple Current pk-pk]]/2,0,ABS(Table25[[#This Row],[Iout]]-Table25[[#This Row],[Ripple Current pk-pk]]/2)*Vsd_Q1*Deadtime*Fsw),0)</f>
        <v>0</v>
      </c>
      <c r="AK23" s="345">
        <f>(Table25[[#This Row],[Dead Time Loss BuCtrl]]+Table25[[#This Row],[Transition Loss BuCtrl]]+Table25[[#This Row],[RDS(on) Loss BuCtrl]]*(1+RdsonTopTc*Ta-RdsonTopTc*25))/(1-Table25[[#This Row],[RDS(on) Loss BuCtrl]]*RdsonTopTc*ThetaJA_Q1)</f>
        <v>1.3840961071816286E-2</v>
      </c>
      <c r="AL23" s="345">
        <f>Table25[[#This Row],[Irms Lf]]</f>
        <v>1.9850391072465992</v>
      </c>
      <c r="AM23" s="345">
        <f>Rdson2*Table25[[#This Row],[Irms BuSync]]^2</f>
        <v>1.3791330900544314E-2</v>
      </c>
      <c r="AN23"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23" s="345">
        <f>(Table25[[#This Row],[Deadtime Loss BuSync]]+Table25[[#This Row],[RDS(on) Loss BuSync]]*(1+RdsonBotTc*Ta-RdsonBotTc*25))/(1-Table25[[#This Row],[RDS(on) Loss BuSync]]*RdsonBotTc*ThetaJA_Q2)</f>
        <v>1.3840961071816286E-2</v>
      </c>
      <c r="AP23" s="345">
        <f>Table25[[#This Row],[Irms Lf]]</f>
        <v>1.9850391072465992</v>
      </c>
      <c r="AQ23" s="345">
        <f>Rdson4*Table25[[#This Row],[Irms BoCtlr]]^2</f>
        <v>1.3791330900544314E-2</v>
      </c>
      <c r="AR23" s="345">
        <f>CHOOSE(Table25[[#This Row],[Mode Digit]], 0, (Vout*Table25[[#This Row],[Iin]]/2)*(Fsw)*(Tr_boost+Tf_boost), (Vout*Iout/2)*(Fsw/1)*(Tr_boost+Tf_boost))</f>
        <v>9.3459718233441721E-2</v>
      </c>
      <c r="AS23" s="345">
        <f>IF(Table25[[#This Row],[Vin]]&gt;Vout, 0, IF(Table25[[#This Row],[Iin]]&gt;Table25[[#This Row],[Ripple Current pk-pk]]/2,0,ABS(Table25[[#This Row],[Iin]]-Table25[[#This Row],[Ripple Current pk-pk]]/2)*Vsd_Q4*Deadtime*Fsw))</f>
        <v>7.8752303182434147E-3</v>
      </c>
      <c r="AT23" s="345">
        <f>(Table25[[#This Row],[Dead Time Loss BoCtlr]]+Table25[[#This Row],[Transition Loss BoCtlr]]+Table25[[#This Row],[RDS(on) Loss BoCtlr]]*(1+RdsonTopTc*Ta-RdsonTopTc*25))/(1-Table25[[#This Row],[RDS(on) Loss BoCtlr]]*RdsonTopTc*ThetaJA_Q4)</f>
        <v>0.1155405786238122</v>
      </c>
      <c r="AU23" s="345">
        <f>Table25[[#This Row],[Irms Lf]]</f>
        <v>1.9850391072465992</v>
      </c>
      <c r="AV23" s="345">
        <f>Rdson3*Table25[[#This Row],[Irms BoSync]]^2</f>
        <v>1.3791330900544314E-2</v>
      </c>
      <c r="AW23"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5.4797335581401312E-2</v>
      </c>
      <c r="AX23" s="345">
        <f>(Table25[[#This Row],[Deadtime Loss BoSync]]+Table25[[#This Row],[RDS(on) Loss BoSync]]*(1+RdsonBotTc*Ta-RdsonBotTc*25))/(1-Table25[[#This Row],[RDS(on) Loss BoSync]]*RdsonBotTc*ThetaJA_Q3)</f>
        <v>6.8835493078259175E-2</v>
      </c>
      <c r="AY23" s="345">
        <f>CHOOSE(Table25[[#This Row],[Mode Digit]], Rdson3*Table25[[#This Row],[Irms Lf]]^2, Rdson1*Table25[[#This Row],[Irms Lf]]^2, 0)</f>
        <v>1.3791330900544314E-2</v>
      </c>
      <c r="AZ23" s="345">
        <f>CHOOSE(Table25[[#This Row],[Mode Digit]], 2*Deadtime*Fsw*IF(VfdSky_Q2&gt;0,VfdSky_Q2,0)*Table25[[#This Row],[Iout]], 2*Deadtime*Fsw*IF(VfdSky_Q3&gt;0,VfdSky_Q3,0)*Table25[[#This Row],[Iin]], 2*Deadtime*Fsw*IF(VfdSky_Q2&gt;0,VfdSky_Q2,0)*Table25[[#This Row],[Iout]]+2*Deadtime*Fsw*IF(VfdSky_Q3&gt;0,VfdSky_Q3,0)*Table25[[#This Row],[Iin]])</f>
        <v>0</v>
      </c>
      <c r="BA23"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23"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23" s="345">
        <f>CHOOSE(Table25[[#This Row],[Mode Digit]], Rs*Table25[[#This Row],[Irms BuSync]]^2, Rs*Table25[[#This Row],[Irms BoCtlr]]^2, Rs*(Table25[[#This Row],[Irms BuSync]]^2+Table25[[#This Row],[Irms BoCtlr]]^2))</f>
        <v>5.1224943344878879E-3</v>
      </c>
      <c r="BD23" s="345">
        <f t="shared" si="1"/>
        <v>0.64</v>
      </c>
      <c r="BE23" s="345">
        <f>IF(Vout&gt;8, Iq*Vout, Iq*Table25[[#This Row],[Vin]])</f>
        <v>4.8000000000000001E-2</v>
      </c>
      <c r="BF23" s="345">
        <f>CHOOSE(Table25[[#This Row],[Mode Digit]], (Qg_Q1+Qg_Q2)*Fsw, (Qg_Q3+Qg_Q4)*Fsw, (Qg_Q1+Qg_Q2+Qg_Q3+Qg_Q4)*Fsw)*IF(Vout&gt;8,  MIN( Table25[[#This Row],[Vin]], Vout), Table25[[#This Row],[Vin]])</f>
        <v>0.63998400000000011</v>
      </c>
      <c r="BG23" s="345">
        <f t="shared" si="4"/>
        <v>0.50594479787234037</v>
      </c>
      <c r="BH23" s="345">
        <f>Table25[[#This Row],[IQ Loss]]+Table25[[#This Row],[Switching Current Loss]]</f>
        <v>0.68798400000000015</v>
      </c>
      <c r="BI23"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2.8704239541339076</v>
      </c>
      <c r="BJ23" s="253">
        <f>Vout*Table25[[#This Row],[Iout]]</f>
        <v>17.920000000000002</v>
      </c>
      <c r="BK23" s="684">
        <f>Table25[[#This Row],[Pout]]/(Table25[[#This Row],[Pout]]+Table25[[#This Row],[Total Loss]])</f>
        <v>0.8619352851838713</v>
      </c>
      <c r="BL23" s="685">
        <f>IF(Table25[[#This Row],[Vin]]&gt;Vout,ThetaJA_Q1*(Table25[[#This Row],[Total Control Bu MOSFET Loss]]+Table25[[#This Row],[Reverse Recovery Loss MOSFET D BUCK]]),ThetaJA_Q4*(Table25[[#This Row],[Total Control Bo MOSFET Loss]]+Table25[[#This Row],[Reverse Recovery Loss MOSFET D BOOST]]))</f>
        <v>30.689657610547794</v>
      </c>
      <c r="BM23" s="685">
        <f>IF(Table25[[#This Row],[Vin]]&gt;Vout, Table25[[#This Row],[Total Sync Bu MOSFET Loss]]*ThetaJA_Q2, ThetaJA_Q3*Table25[[#This Row],[Total Sync Bo MOSFET Loss]])</f>
        <v>4.4743070500868463</v>
      </c>
      <c r="BN23" s="640"/>
      <c r="BO23" s="292">
        <f>Table25[[#This Row],[EFF, h]]*100</f>
        <v>86.193528518387126</v>
      </c>
      <c r="BP23" s="345">
        <f>Table25[[#This Row],[Total Inductor Loss]]</f>
        <v>0.60728206312134869</v>
      </c>
      <c r="BQ23" s="345">
        <f>Table25[[#This Row],[Total Control Bu MOSFET Loss]]+Table25[[#This Row],[Total Sync Bu MOSFET Loss]]+Table25[[#This Row],[Total Control Bo MOSFET Loss]]+Table25[[#This Row],[Total Sync Bo MOSFET Loss]]+Table25[[#This Row],[Reverse Recovery Loss MOSFET D BUCK]]+Table25[[#This Row],[Reverse Recovery Loss MOSFET D BOOST]]</f>
        <v>0.92527399384570397</v>
      </c>
      <c r="BR23" s="345">
        <f xml:space="preserve"> Table25[[#This Row],[Total Control Bu MOSFET Loss]]+Table25[[#This Row],[Reverse Recovery Loss MOSFET D BUCK]]*0.66</f>
        <v>0.24920224107181629</v>
      </c>
      <c r="BS23" s="345">
        <f>Table25[[#This Row],[Total Sync Bu MOSFET Loss]]+Table25[[#This Row],[Reverse Recovery Loss MOSFET D BUCK]]*0.33</f>
        <v>0.13152160107181629</v>
      </c>
      <c r="BT23" s="345">
        <f xml:space="preserve"> Table25[[#This Row],[Total Control Bo MOSFET Loss]]+Table25[[#This Row],[Reverse Recovery Loss MOSFET D BOOST]]*0.66</f>
        <v>0.35090185862381218</v>
      </c>
      <c r="BU23" s="345">
        <f xml:space="preserve"> Table25[[#This Row],[Total Sync Bo MOSFET Loss]]+Table25[[#This Row],[Reverse Recovery Loss MOSFET D BOOST]]*0.33</f>
        <v>0.18651613307825918</v>
      </c>
      <c r="BV23" s="345">
        <f>Table25[[#This Row],[Isense Shunt Loss]]</f>
        <v>5.1224943344878879E-3</v>
      </c>
      <c r="CB23" s="686"/>
      <c r="CC23" s="686"/>
    </row>
    <row r="24" spans="1:92" x14ac:dyDescent="0.2">
      <c r="A24" s="692" t="s">
        <v>27</v>
      </c>
      <c r="B24" s="694">
        <f>Cout*1000000</f>
        <v>130</v>
      </c>
      <c r="C24" s="259" t="s">
        <v>602</v>
      </c>
      <c r="D24" s="255" t="s">
        <v>619</v>
      </c>
      <c r="G24" s="253">
        <v>15</v>
      </c>
      <c r="H24" s="286">
        <f t="shared" si="0"/>
        <v>12</v>
      </c>
      <c r="I24" s="292" t="str">
        <f>IF(Mode = 2,IF(Table25[[#This Row],[Vin]]&gt;Vout, "BUCK","BOOST"),IF(Table25[[#This Row],[Vin]]&gt;VIN_BB_to_buck, "BUCK", IF(Table25[[#This Row],[Vin]]&lt;=VIN_boost_to_BB,"BOOST","BUCK-BST")))</f>
        <v>BOOST</v>
      </c>
      <c r="J24" s="253">
        <f>IF(Table25[[#This Row],[Mode]]="BOOST",2, IF(Table25[[#This Row],[Mode]]="BUCK", 1,3))</f>
        <v>2</v>
      </c>
      <c r="K24" s="345">
        <f t="shared" si="3"/>
        <v>1.2</v>
      </c>
      <c r="L24" s="292">
        <f>Vout*Table25[[#This Row],[Iout]]/(Table25[[#This Row],[Vin]]*Efficiency)</f>
        <v>1.6842105263157896</v>
      </c>
      <c r="M24" s="682">
        <f>CHOOSE(Table25[[#This Row],[Mode Digit]],(Vout+(Rdson2+Rs+Rdcr)*Table25[[#This Row],[Iout]])/(Table25[[#This Row],[Vin]]+(Rs+Rdson2-Rdson1)*Table25[[#This Row],[Iout]])/Fsw,(Vout+(Rdson3+Rdcr)*Table25[[#This Row],[Iin]]-Table25[[#This Row],[Vin]])/(Vout+(Rdson3-Rdson4-Rs)*Table25[[#This Row],[Iin]])/Fsw,t1_Ph_II)</f>
        <v>6.2999893188240053E-7</v>
      </c>
      <c r="N24" s="518">
        <f>CHOOSE(Table25[[#This Row],[Mode Digit]],1/Fsw-Table25[[#This Row],[t1_Ph_II]],1/Fsw-Table25[[#This Row],[t1_Ph_II]],(Vout/Fsw-Table25[[#This Row],[Vin]]*t1_Ph_II)/(Table25[[#This Row],[Vin]]+Vout))</f>
        <v>1.8825638821879514E-6</v>
      </c>
      <c r="O24" s="518">
        <f>1/Fsw-(Table25[[#This Row],[t1_Ph_II]]+Table25[[#This Row],[t2_Ph_I]])</f>
        <v>0</v>
      </c>
      <c r="P24"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-0.41578591329221193</v>
      </c>
      <c r="Q24" s="292">
        <f>CHOOSE(Table25[[#This Row],[Mode Digit]],Table25[[#This Row],[I_0]]+1/Lf*(Table25[[#This Row],[Vin]]-Vout)*Table25[[#This Row],[t1_Ph_II]],Table25[[#This Row],[I_0]]+1/Lf*Table25[[#This Row],[Vin]]*Table25[[#This Row],[t1_Ph_II]],Table25[[#This Row],[I_0]]+(Table25[[#This Row],[Vin]]-Vout)/L*Table25[[#This Row],[t1_Ph_II]])</f>
        <v>3.7842069659237909</v>
      </c>
      <c r="R24" s="292">
        <f>CHOOSE(Table25[[#This Row],[Mode Digit]],0,0,Table25[[#This Row],[I_1]]+Table25[[#This Row],[Vin]]/L*Table25[[#This Row],[t2_Ph_I]])</f>
        <v>0</v>
      </c>
      <c r="S24" s="292">
        <f>Fsw*(Table25[[#This Row],[I_0]]*Table25[[#This Row],[t1_Ph_II]]+Table25[[#This Row],[I_1]]*Table25[[#This Row],[t2_Ph_I]]+Table25[[#This Row],[I_2]]*Table25[[#This Row],[t3_Ph_III]])</f>
        <v>2.7311025368515227</v>
      </c>
      <c r="T24" s="345">
        <f>CHOOSE(Table25[[#This Row],[Mode Digit]],(Vout+(Rdson2+Rs+Rdcr)*Table25[[#This Row],[Iout]])/(Table25[[#This Row],[Vin]]+(Rs+Rdson2-Rdson1)*Table25[[#This Row],[Iout]]),1,Fsw*Table25[[#This Row],[t2_Ph_I]]+Table25[[#This Row],[t1_Ph_II]])</f>
        <v>1</v>
      </c>
      <c r="U24" s="345">
        <f>CHOOSE(Table25[[#This Row],[Mode Digit]],0,(Vout+(Rdson3+Rdcr)*Table25[[#This Row],[Iin]]-Table25[[#This Row],[Vin]])/(Vout+(Rdson3-Rdson4-Rs)*Table25[[#This Row],[Iin]]),Fsw*Table25[[#This Row],[t1_Ph_II]]+Table25[[#This Row],[t3_Ph_III]])</f>
        <v>0.2507395748891954</v>
      </c>
      <c r="V24" s="292">
        <f>MAX(Table25[[#This Row],[I_0]:[I_2]])-MIN(Table25[[#This Row],[I_0]:[I_1]])</f>
        <v>4.1999928792160031</v>
      </c>
      <c r="W24"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2.0752253160580754</v>
      </c>
      <c r="X24" s="345">
        <f>(Table25[[#This Row],[Irms Lf]]^2*Rdcr*(1+Ltc*Ta-Ltc*25))/(1-Table25[[#This Row],[Irms Lf]]^2*Rdcr*Ltc*ThetaCa)</f>
        <v>1.3796202388483378E-2</v>
      </c>
      <c r="Y24" s="345">
        <f>ABS(7.759*10^-3*Fsw^0.9458*(0.00787*Table25[[#This Row],[Ripple Current pk-pk]])^2.304)</f>
        <v>0.59492964951031202</v>
      </c>
      <c r="Z24" s="345">
        <f>Table25[[#This Row],[DCR    Loss]]+Table25[[#This Row],[Core Loss]]</f>
        <v>0.60872585189879536</v>
      </c>
      <c r="AA24" s="292">
        <f>IF(Table25[[#This Row],[Vin]]&gt;Vout, Table25[[#This Row],[Ripple Current pk-pk]]/SQRT(12), SQRT(Table25[[#This Row],[Duty Cycle BOOST Leg]]/(1-Table25[[#This Row],[Duty Cycle BOOST Leg]]))*SQRT(Table25[[#This Row],[Iout]]^2+(Table25[[#This Row],[Ripple Current pk-pk]]^2)/12))</f>
        <v>0.98682732834088249</v>
      </c>
      <c r="AB24" s="345">
        <f>RCoutEsr*Table25[[#This Row],[Irms Cout]]^2</f>
        <v>1.9476563519208079E-3</v>
      </c>
      <c r="AC24" s="345">
        <f>Table25[[#This Row],[Cout ESR Loss]]</f>
        <v>1.9476563519208079E-3</v>
      </c>
      <c r="AD24" s="292">
        <f>IF(Table25[[#This Row],[Vin]]&gt;Vout, SQRT(Table25[[#This Row],[Duty Cycle BUCK Leg]]*(1-Table25[[#This Row],[Duty Cycle BUCK Leg]]))*SQRT(Table25[[#This Row],[Iout]]^2+(Table25[[#This Row],[Ripple Current pk-pk]]^2)/12), Table25[[#This Row],[Ripple Current pk-pk]]/SQRT(12))</f>
        <v>1.2124335097049355</v>
      </c>
      <c r="AE24" s="345">
        <f>RCinEsr*Table25[[#This Row],[Irms Cin]]^2</f>
        <v>2.9399900309108554E-3</v>
      </c>
      <c r="AF24" s="683">
        <f>Table25[[#This Row],[Cin ESR Loss]]</f>
        <v>2.9399900309108554E-3</v>
      </c>
      <c r="AG24" s="345">
        <f>Table25[[#This Row],[Irms Lf]]</f>
        <v>2.0752253160580754</v>
      </c>
      <c r="AH24" s="345">
        <f>Rdson1*Table25[[#This Row],[Irms BuCtrl]]^2</f>
        <v>1.5072960393429187E-2</v>
      </c>
      <c r="AI24" s="345">
        <f>CHOOSE(Table25[[#This Row],[Mode Digit]], (Table25[[#This Row],[Vin]]*Table25[[#This Row],[Iout]]/2)*(Fsw)*(Tr_buck+Tf_buck), 0, (Table25[[#This Row],[Vin]]*Table25[[#This Row],[Avg IL]]/2)*(Fsw/1)*(Tr_buck+Tf_buck))</f>
        <v>0</v>
      </c>
      <c r="AJ24" s="253">
        <f>IF(Table25[[#This Row],[Vin]]&gt;Vout, IF(Table25[[#This Row],[Iout]]&gt;Table25[[#This Row],[Ripple Current pk-pk]]/2,0,ABS(Table25[[#This Row],[Iout]]-Table25[[#This Row],[Ripple Current pk-pk]]/2)*Vsd_Q1*Deadtime*Fsw),0)</f>
        <v>0</v>
      </c>
      <c r="AK24" s="345">
        <f>(Table25[[#This Row],[Dead Time Loss BuCtrl]]+Table25[[#This Row],[Transition Loss BuCtrl]]+Table25[[#This Row],[RDS(on) Loss BuCtrl]]*(1+RdsonTopTc*Ta-RdsonTopTc*25))/(1-Table25[[#This Row],[RDS(on) Loss BuCtrl]]*RdsonTopTc*ThetaJA_Q1)</f>
        <v>1.5132263274729952E-2</v>
      </c>
      <c r="AL24" s="345">
        <f>Table25[[#This Row],[Irms Lf]]</f>
        <v>2.0752253160580754</v>
      </c>
      <c r="AM24" s="345">
        <f>Rdson2*Table25[[#This Row],[Irms BuSync]]^2</f>
        <v>1.5072960393429187E-2</v>
      </c>
      <c r="AN24"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24" s="345">
        <f>(Table25[[#This Row],[Deadtime Loss BuSync]]+Table25[[#This Row],[RDS(on) Loss BuSync]]*(1+RdsonBotTc*Ta-RdsonBotTc*25))/(1-Table25[[#This Row],[RDS(on) Loss BuSync]]*RdsonBotTc*ThetaJA_Q2)</f>
        <v>1.5132263274729952E-2</v>
      </c>
      <c r="AP24" s="345">
        <f>Table25[[#This Row],[Irms Lf]]</f>
        <v>2.0752253160580754</v>
      </c>
      <c r="AQ24" s="345">
        <f>Rdson4*Table25[[#This Row],[Irms BoCtlr]]^2</f>
        <v>1.5072960393429187E-2</v>
      </c>
      <c r="AR24" s="345">
        <f>CHOOSE(Table25[[#This Row],[Mode Digit]], 0, (Vout*Table25[[#This Row],[Iin]]/2)*(Fsw)*(Tr_boost+Tf_boost), (Vout*Iout/2)*(Fsw/1)*(Tr_boost+Tf_boost))</f>
        <v>0.10013541239297326</v>
      </c>
      <c r="AS24" s="345">
        <f>IF(Table25[[#This Row],[Vin]]&gt;Vout, 0, IF(Table25[[#This Row],[Iin]]&gt;Table25[[#This Row],[Ripple Current pk-pk]]/2,0,ABS(Table25[[#This Row],[Iin]]-Table25[[#This Row],[Ripple Current pk-pk]]/2)*Vsd_Q4*Deadtime*Fsw))</f>
        <v>6.2056047558862624E-3</v>
      </c>
      <c r="AT24" s="345">
        <f>(Table25[[#This Row],[Dead Time Loss BoCtlr]]+Table25[[#This Row],[Transition Loss BoCtlr]]+Table25[[#This Row],[RDS(on) Loss BoCtlr]]*(1+RdsonTopTc*Ta-RdsonTopTc*25))/(1-Table25[[#This Row],[RDS(on) Loss BoCtlr]]*RdsonTopTc*ThetaJA_Q4)</f>
        <v>0.12189166729337324</v>
      </c>
      <c r="AU24" s="345">
        <f>Table25[[#This Row],[Irms Lf]]</f>
        <v>2.0752253160580754</v>
      </c>
      <c r="AV24" s="345">
        <f>Rdson3*Table25[[#This Row],[Irms BoSync]]^2</f>
        <v>1.5072960393429187E-2</v>
      </c>
      <c r="AW24"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5.6479288966412571E-2</v>
      </c>
      <c r="AX24" s="345">
        <f>(Table25[[#This Row],[Deadtime Loss BoSync]]+Table25[[#This Row],[RDS(on) Loss BoSync]]*(1+RdsonBotTc*Ta-RdsonBotTc*25))/(1-Table25[[#This Row],[RDS(on) Loss BoSync]]*RdsonBotTc*ThetaJA_Q3)</f>
        <v>7.1833763703396933E-2</v>
      </c>
      <c r="AY24" s="345">
        <f>CHOOSE(Table25[[#This Row],[Mode Digit]], Rdson3*Table25[[#This Row],[Irms Lf]]^2, Rdson1*Table25[[#This Row],[Irms Lf]]^2, 0)</f>
        <v>1.5072960393429187E-2</v>
      </c>
      <c r="AZ24" s="345">
        <f>CHOOSE(Table25[[#This Row],[Mode Digit]], 2*Deadtime*Fsw*IF(VfdSky_Q2&gt;0,VfdSky_Q2,0)*Table25[[#This Row],[Iout]], 2*Deadtime*Fsw*IF(VfdSky_Q3&gt;0,VfdSky_Q3,0)*Table25[[#This Row],[Iin]], 2*Deadtime*Fsw*IF(VfdSky_Q2&gt;0,VfdSky_Q2,0)*Table25[[#This Row],[Iout]]+2*Deadtime*Fsw*IF(VfdSky_Q3&gt;0,VfdSky_Q3,0)*Table25[[#This Row],[Iin]])</f>
        <v>0</v>
      </c>
      <c r="BA24"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24"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24" s="345">
        <f>CHOOSE(Table25[[#This Row],[Mode Digit]], Rs*Table25[[#This Row],[Irms BuSync]]^2, Rs*Table25[[#This Row],[Irms BoCtlr]]^2, Rs*(Table25[[#This Row],[Irms BuSync]]^2+Table25[[#This Row],[Irms BoCtlr]]^2))</f>
        <v>5.5985281461308403E-3</v>
      </c>
      <c r="BD24" s="345">
        <f t="shared" si="1"/>
        <v>0.64</v>
      </c>
      <c r="BE24" s="345">
        <f>IF(Vout&gt;8, Iq*Vout, Iq*Table25[[#This Row],[Vin]])</f>
        <v>4.8000000000000001E-2</v>
      </c>
      <c r="BF24" s="345">
        <f>CHOOSE(Table25[[#This Row],[Mode Digit]], (Qg_Q1+Qg_Q2)*Fsw, (Qg_Q3+Qg_Q4)*Fsw, (Qg_Q1+Qg_Q2+Qg_Q3+Qg_Q4)*Fsw)*IF(Vout&gt;8,  MIN( Table25[[#This Row],[Vin]], Vout), Table25[[#This Row],[Vin]])</f>
        <v>0.63998400000000011</v>
      </c>
      <c r="BG24" s="345">
        <f t="shared" si="4"/>
        <v>0.50594479787234037</v>
      </c>
      <c r="BH24" s="345">
        <f>Table25[[#This Row],[IQ Loss]]+Table25[[#This Row],[Switching Current Loss]]</f>
        <v>0.68798400000000015</v>
      </c>
      <c r="BI24"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2.8844019839739881</v>
      </c>
      <c r="BJ24" s="253">
        <f>Vout*Table25[[#This Row],[Iout]]</f>
        <v>19.2</v>
      </c>
      <c r="BK24" s="684">
        <f>Table25[[#This Row],[Pout]]/(Table25[[#This Row],[Pout]]+Table25[[#This Row],[Total Loss]])</f>
        <v>0.86939189088900326</v>
      </c>
      <c r="BL24" s="685">
        <f>IF(Table25[[#This Row],[Vin]]&gt;Vout,ThetaJA_Q1*(Table25[[#This Row],[Total Control Bu MOSFET Loss]]+Table25[[#This Row],[Reverse Recovery Loss MOSFET D BUCK]]),ThetaJA_Q4*(Table25[[#This Row],[Total Control Bo MOSFET Loss]]+Table25[[#This Row],[Reverse Recovery Loss MOSFET D BOOST]]))</f>
        <v>31.102478374069261</v>
      </c>
      <c r="BM24" s="685">
        <f>IF(Table25[[#This Row],[Vin]]&gt;Vout, Table25[[#This Row],[Total Sync Bu MOSFET Loss]]*ThetaJA_Q2, ThetaJA_Q3*Table25[[#This Row],[Total Sync Bo MOSFET Loss]])</f>
        <v>4.6691946407208009</v>
      </c>
      <c r="BN24" s="640"/>
      <c r="BO24" s="292">
        <f>Table25[[#This Row],[EFF, h]]*100</f>
        <v>86.939189088900321</v>
      </c>
      <c r="BP24" s="345">
        <f>Table25[[#This Row],[Total Inductor Loss]]</f>
        <v>0.60872585189879536</v>
      </c>
      <c r="BQ24" s="345">
        <f>Table25[[#This Row],[Total Control Bu MOSFET Loss]]+Table25[[#This Row],[Total Sync Bu MOSFET Loss]]+Table25[[#This Row],[Total Control Bo MOSFET Loss]]+Table25[[#This Row],[Total Sync Bo MOSFET Loss]]+Table25[[#This Row],[Reverse Recovery Loss MOSFET D BUCK]]+Table25[[#This Row],[Reverse Recovery Loss MOSFET D BOOST]]</f>
        <v>0.93720595754623015</v>
      </c>
      <c r="BR24" s="345">
        <f xml:space="preserve"> Table25[[#This Row],[Total Control Bu MOSFET Loss]]+Table25[[#This Row],[Reverse Recovery Loss MOSFET D BUCK]]*0.66</f>
        <v>0.25049354327472995</v>
      </c>
      <c r="BS24" s="345">
        <f>Table25[[#This Row],[Total Sync Bu MOSFET Loss]]+Table25[[#This Row],[Reverse Recovery Loss MOSFET D BUCK]]*0.33</f>
        <v>0.13281290327472994</v>
      </c>
      <c r="BT24" s="345">
        <f xml:space="preserve"> Table25[[#This Row],[Total Control Bo MOSFET Loss]]+Table25[[#This Row],[Reverse Recovery Loss MOSFET D BOOST]]*0.66</f>
        <v>0.35725294729337326</v>
      </c>
      <c r="BU24" s="345">
        <f xml:space="preserve"> Table25[[#This Row],[Total Sync Bo MOSFET Loss]]+Table25[[#This Row],[Reverse Recovery Loss MOSFET D BOOST]]*0.33</f>
        <v>0.18951440370339695</v>
      </c>
      <c r="BV24" s="345">
        <f>Table25[[#This Row],[Isense Shunt Loss]]</f>
        <v>5.5985281461308403E-3</v>
      </c>
      <c r="CB24" s="686"/>
      <c r="CC24" s="686"/>
    </row>
    <row r="25" spans="1:92" ht="13.6" x14ac:dyDescent="0.25">
      <c r="A25" s="692" t="s">
        <v>88</v>
      </c>
      <c r="B25" s="700">
        <f>CoutEsr*1000</f>
        <v>2</v>
      </c>
      <c r="C25" s="695" t="s">
        <v>601</v>
      </c>
      <c r="D25" s="255" t="s">
        <v>618</v>
      </c>
      <c r="G25" s="253">
        <v>16</v>
      </c>
      <c r="H25" s="286">
        <f t="shared" si="0"/>
        <v>12</v>
      </c>
      <c r="I25" s="292" t="str">
        <f>IF(Mode = 2,IF(Table25[[#This Row],[Vin]]&gt;Vout, "BUCK","BOOST"),IF(Table25[[#This Row],[Vin]]&gt;VIN_BB_to_buck, "BUCK", IF(Table25[[#This Row],[Vin]]&lt;=VIN_boost_to_BB,"BOOST","BUCK-BST")))</f>
        <v>BOOST</v>
      </c>
      <c r="J25" s="253">
        <f>IF(Table25[[#This Row],[Mode]]="BOOST",2, IF(Table25[[#This Row],[Mode]]="BUCK", 1,3))</f>
        <v>2</v>
      </c>
      <c r="K25" s="345">
        <f t="shared" si="3"/>
        <v>1.28</v>
      </c>
      <c r="L25" s="292">
        <f>Vout*Table25[[#This Row],[Iout]]/(Table25[[#This Row],[Vin]]*Efficiency)</f>
        <v>1.7964912280701757</v>
      </c>
      <c r="M25" s="682">
        <f>CHOOSE(Table25[[#This Row],[Mode Digit]],(Vout+(Rdson2+Rs+Rdcr)*Table25[[#This Row],[Iout]])/(Table25[[#This Row],[Vin]]+(Rs+Rdson2-Rdson1)*Table25[[#This Row],[Iout]])/Fsw,(Vout+(Rdson3+Rdcr)*Table25[[#This Row],[Iin]]-Table25[[#This Row],[Vin]])/(Vout+(Rdson3-Rdson4-Rs)*Table25[[#This Row],[Iin]])/Fsw,t1_Ph_II)</f>
        <v>6.301228318584369E-7</v>
      </c>
      <c r="N25" s="518">
        <f>CHOOSE(Table25[[#This Row],[Mode Digit]],1/Fsw-Table25[[#This Row],[t1_Ph_II]],1/Fsw-Table25[[#This Row],[t1_Ph_II]],(Vout/Fsw-Table25[[#This Row],[Vin]]*t1_Ph_II)/(Table25[[#This Row],[Vin]]+Vout))</f>
        <v>1.8824399822119149E-6</v>
      </c>
      <c r="O25" s="518">
        <f>1/Fsw-(Table25[[#This Row],[t1_Ph_II]]+Table25[[#This Row],[t2_Ph_I]])</f>
        <v>0</v>
      </c>
      <c r="P25"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-0.30391821145794706</v>
      </c>
      <c r="Q25" s="292">
        <f>CHOOSE(Table25[[#This Row],[Mode Digit]],Table25[[#This Row],[I_0]]+1/Lf*(Table25[[#This Row],[Vin]]-Vout)*Table25[[#This Row],[t1_Ph_II]],Table25[[#This Row],[I_0]]+1/Lf*Table25[[#This Row],[Vin]]*Table25[[#This Row],[t1_Ph_II]],Table25[[#This Row],[I_0]]+(Table25[[#This Row],[Vin]]-Vout)/L*Table25[[#This Row],[t1_Ph_II]])</f>
        <v>3.8969006675982985</v>
      </c>
      <c r="R25" s="292">
        <f>CHOOSE(Table25[[#This Row],[Mode Digit]],0,0,Table25[[#This Row],[I_1]]+Table25[[#This Row],[Vin]]/L*Table25[[#This Row],[t2_Ph_I]])</f>
        <v>0</v>
      </c>
      <c r="S25" s="292">
        <f>Fsw*(Table25[[#This Row],[I_0]]*Table25[[#This Row],[t1_Ph_II]]+Table25[[#This Row],[I_1]]*Table25[[#This Row],[t2_Ph_I]]+Table25[[#This Row],[I_2]]*Table25[[#This Row],[t3_Ph_III]])</f>
        <v>2.8433819760965662</v>
      </c>
      <c r="T25" s="345">
        <f>CHOOSE(Table25[[#This Row],[Mode Digit]],(Vout+(Rdson2+Rs+Rdcr)*Table25[[#This Row],[Iout]])/(Table25[[#This Row],[Vin]]+(Rs+Rdson2-Rdson1)*Table25[[#This Row],[Iout]]),1,Fsw*Table25[[#This Row],[t2_Ph_I]]+Table25[[#This Row],[t1_Ph_II]])</f>
        <v>1</v>
      </c>
      <c r="U25" s="345">
        <f>CHOOSE(Table25[[#This Row],[Mode Digit]],0,(Vout+(Rdson3+Rdcr)*Table25[[#This Row],[Iin]]-Table25[[#This Row],[Vin]])/(Vout+(Rdson3-Rdson4-Rs)*Table25[[#This Row],[Iin]]),Fsw*Table25[[#This Row],[t1_Ph_II]]+Table25[[#This Row],[t3_Ph_III]])</f>
        <v>0.25078888707965791</v>
      </c>
      <c r="V25" s="292">
        <f>MAX(Table25[[#This Row],[I_0]:[I_2]])-MIN(Table25[[#This Row],[I_0]:[I_1]])</f>
        <v>4.2008188790562455</v>
      </c>
      <c r="W25"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2.1674764136554527</v>
      </c>
      <c r="X25" s="345">
        <f>(Table25[[#This Row],[Irms Lf]]^2*Rdcr*(1+Ltc*Ta-Ltc*25))/(1-Table25[[#This Row],[Irms Lf]]^2*Rdcr*Ltc*ThetaCa)</f>
        <v>1.50515549593069E-2</v>
      </c>
      <c r="Y25" s="345">
        <f>ABS(7.759*10^-3*Fsw^0.9458*(0.00787*Table25[[#This Row],[Ripple Current pk-pk]])^2.304)</f>
        <v>0.59519925900543835</v>
      </c>
      <c r="Z25" s="345">
        <f>Table25[[#This Row],[DCR    Loss]]+Table25[[#This Row],[Core Loss]]</f>
        <v>0.61025081396474523</v>
      </c>
      <c r="AA25" s="292">
        <f>IF(Table25[[#This Row],[Vin]]&gt;Vout, Table25[[#This Row],[Ripple Current pk-pk]]/SQRT(12), SQRT(Table25[[#This Row],[Duty Cycle BOOST Leg]]/(1-Table25[[#This Row],[Duty Cycle BOOST Leg]]))*SQRT(Table25[[#This Row],[Iout]]^2+(Table25[[#This Row],[Ripple Current pk-pk]]^2)/12))</f>
        <v>1.0201417763873455</v>
      </c>
      <c r="AB25" s="345">
        <f>RCoutEsr*Table25[[#This Row],[Irms Cout]]^2</f>
        <v>2.0813784878614574E-3</v>
      </c>
      <c r="AC25" s="345">
        <f>Table25[[#This Row],[Cout ESR Loss]]</f>
        <v>2.0813784878614574E-3</v>
      </c>
      <c r="AD25" s="292">
        <f>IF(Table25[[#This Row],[Vin]]&gt;Vout, SQRT(Table25[[#This Row],[Duty Cycle BUCK Leg]]*(1-Table25[[#This Row],[Duty Cycle BUCK Leg]]))*SQRT(Table25[[#This Row],[Iout]]^2+(Table25[[#This Row],[Ripple Current pk-pk]]^2)/12), Table25[[#This Row],[Ripple Current pk-pk]]/SQRT(12))</f>
        <v>1.2126719553199927</v>
      </c>
      <c r="AE25" s="345">
        <f>RCinEsr*Table25[[#This Row],[Irms Cin]]^2</f>
        <v>2.9411465424392289E-3</v>
      </c>
      <c r="AF25" s="683">
        <f>Table25[[#This Row],[Cin ESR Loss]]</f>
        <v>2.9411465424392289E-3</v>
      </c>
      <c r="AG25" s="345">
        <f>Table25[[#This Row],[Irms Lf]]</f>
        <v>2.1674764136554527</v>
      </c>
      <c r="AH25" s="345">
        <f>Rdson1*Table25[[#This Row],[Irms BuCtrl]]^2</f>
        <v>1.6442839013134463E-2</v>
      </c>
      <c r="AI25" s="345">
        <f>CHOOSE(Table25[[#This Row],[Mode Digit]], (Table25[[#This Row],[Vin]]*Table25[[#This Row],[Iout]]/2)*(Fsw)*(Tr_buck+Tf_buck), 0, (Table25[[#This Row],[Vin]]*Table25[[#This Row],[Avg IL]]/2)*(Fsw/1)*(Tr_buck+Tf_buck))</f>
        <v>0</v>
      </c>
      <c r="AJ25" s="253">
        <f>IF(Table25[[#This Row],[Vin]]&gt;Vout, IF(Table25[[#This Row],[Iout]]&gt;Table25[[#This Row],[Ripple Current pk-pk]]/2,0,ABS(Table25[[#This Row],[Iout]]-Table25[[#This Row],[Ripple Current pk-pk]]/2)*Vsd_Q1*Deadtime*Fsw),0)</f>
        <v>0</v>
      </c>
      <c r="AK25" s="345">
        <f>(Table25[[#This Row],[Dead Time Loss BuCtrl]]+Table25[[#This Row],[Transition Loss BuCtrl]]+Table25[[#This Row],[RDS(on) Loss BuCtrl]]*(1+RdsonTopTc*Ta-RdsonTopTc*25))/(1-Table25[[#This Row],[RDS(on) Loss BuCtrl]]*RdsonTopTc*ThetaJA_Q1)</f>
        <v>1.6513436234258393E-2</v>
      </c>
      <c r="AL25" s="345">
        <f>Table25[[#This Row],[Irms Lf]]</f>
        <v>2.1674764136554527</v>
      </c>
      <c r="AM25" s="345">
        <f>Rdson2*Table25[[#This Row],[Irms BuSync]]^2</f>
        <v>1.6442839013134463E-2</v>
      </c>
      <c r="AN25"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25" s="345">
        <f>(Table25[[#This Row],[Deadtime Loss BuSync]]+Table25[[#This Row],[RDS(on) Loss BuSync]]*(1+RdsonBotTc*Ta-RdsonBotTc*25))/(1-Table25[[#This Row],[RDS(on) Loss BuSync]]*RdsonBotTc*ThetaJA_Q2)</f>
        <v>1.6513436234258393E-2</v>
      </c>
      <c r="AP25" s="345">
        <f>Table25[[#This Row],[Irms Lf]]</f>
        <v>2.1674764136554527</v>
      </c>
      <c r="AQ25" s="345">
        <f>Rdson4*Table25[[#This Row],[Irms BoCtlr]]^2</f>
        <v>1.6442839013134463E-2</v>
      </c>
      <c r="AR25" s="345">
        <f>CHOOSE(Table25[[#This Row],[Mode Digit]], 0, (Vout*Table25[[#This Row],[Iin]]/2)*(Fsw)*(Tr_boost+Tf_boost), (Vout*Iout/2)*(Fsw/1)*(Tr_boost+Tf_boost))</f>
        <v>0.10681110655250481</v>
      </c>
      <c r="AS25" s="345">
        <f>IF(Table25[[#This Row],[Vin]]&gt;Vout, 0, IF(Table25[[#This Row],[Iin]]&gt;Table25[[#This Row],[Ripple Current pk-pk]]/2,0,ABS(Table25[[#This Row],[Iin]]-Table25[[#This Row],[Ripple Current pk-pk]]/2)*Vsd_Q4*Deadtime*Fsw))</f>
        <v>4.5359793060098597E-3</v>
      </c>
      <c r="AT25" s="345">
        <f>(Table25[[#This Row],[Dead Time Loss BoCtlr]]+Table25[[#This Row],[Transition Loss BoCtlr]]+Table25[[#This Row],[RDS(on) Loss BoCtlr]]*(1+RdsonTopTc*Ta-RdsonTopTc*25))/(1-Table25[[#This Row],[RDS(on) Loss BoCtlr]]*RdsonTopTc*ThetaJA_Q4)</f>
        <v>0.12833859007334378</v>
      </c>
      <c r="AU25" s="345">
        <f>Table25[[#This Row],[Irms Lf]]</f>
        <v>2.1674764136554527</v>
      </c>
      <c r="AV25" s="345">
        <f>Rdson3*Table25[[#This Row],[Irms BoSync]]^2</f>
        <v>1.6442839013134463E-2</v>
      </c>
      <c r="AW25"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5.8161242463904597E-2</v>
      </c>
      <c r="AX25" s="345">
        <f>(Table25[[#This Row],[Deadtime Loss BoSync]]+Table25[[#This Row],[RDS(on) Loss BoSync]]*(1+RdsonBotTc*Ta-RdsonBotTc*25))/(1-Table25[[#This Row],[RDS(on) Loss BoSync]]*RdsonBotTc*ThetaJA_Q3)</f>
        <v>7.4924393610033557E-2</v>
      </c>
      <c r="AY25" s="345">
        <f>CHOOSE(Table25[[#This Row],[Mode Digit]], Rdson3*Table25[[#This Row],[Irms Lf]]^2, Rdson1*Table25[[#This Row],[Irms Lf]]^2, 0)</f>
        <v>1.6442839013134463E-2</v>
      </c>
      <c r="AZ25" s="345">
        <f>CHOOSE(Table25[[#This Row],[Mode Digit]], 2*Deadtime*Fsw*IF(VfdSky_Q2&gt;0,VfdSky_Q2,0)*Table25[[#This Row],[Iout]], 2*Deadtime*Fsw*IF(VfdSky_Q3&gt;0,VfdSky_Q3,0)*Table25[[#This Row],[Iin]], 2*Deadtime*Fsw*IF(VfdSky_Q2&gt;0,VfdSky_Q2,0)*Table25[[#This Row],[Iout]]+2*Deadtime*Fsw*IF(VfdSky_Q3&gt;0,VfdSky_Q3,0)*Table25[[#This Row],[Iin]])</f>
        <v>0</v>
      </c>
      <c r="BA25"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25"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25" s="345">
        <f>CHOOSE(Table25[[#This Row],[Mode Digit]], Rs*Table25[[#This Row],[Irms BuSync]]^2, Rs*Table25[[#This Row],[Irms BoCtlr]]^2, Rs*(Table25[[#This Row],[Irms BuSync]]^2+Table25[[#This Row],[Irms BoCtlr]]^2))</f>
        <v>6.1073402048785136E-3</v>
      </c>
      <c r="BD25" s="345">
        <f t="shared" si="1"/>
        <v>0.64</v>
      </c>
      <c r="BE25" s="345">
        <f>IF(Vout&gt;8, Iq*Vout, Iq*Table25[[#This Row],[Vin]])</f>
        <v>4.8000000000000001E-2</v>
      </c>
      <c r="BF25" s="345">
        <f>CHOOSE(Table25[[#This Row],[Mode Digit]], (Qg_Q1+Qg_Q2)*Fsw, (Qg_Q3+Qg_Q4)*Fsw, (Qg_Q1+Qg_Q2+Qg_Q3+Qg_Q4)*Fsw)*IF(Vout&gt;8,  MIN( Table25[[#This Row],[Vin]], Vout), Table25[[#This Row],[Vin]])</f>
        <v>0.63998400000000011</v>
      </c>
      <c r="BG25" s="345">
        <f t="shared" si="4"/>
        <v>0.50594479787234037</v>
      </c>
      <c r="BH25" s="345">
        <f>Table25[[#This Row],[IQ Loss]]+Table25[[#This Row],[Switching Current Loss]]</f>
        <v>0.68798400000000015</v>
      </c>
      <c r="BI25"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2.8988705353518189</v>
      </c>
      <c r="BJ25" s="253">
        <f>Vout*Table25[[#This Row],[Iout]]</f>
        <v>20.48</v>
      </c>
      <c r="BK25" s="684">
        <f>Table25[[#This Row],[Pout]]/(Table25[[#This Row],[Pout]]+Table25[[#This Row],[Total Loss]])</f>
        <v>0.87600467991093245</v>
      </c>
      <c r="BL25" s="685">
        <f>IF(Table25[[#This Row],[Vin]]&gt;Vout,ThetaJA_Q1*(Table25[[#This Row],[Total Control Bu MOSFET Loss]]+Table25[[#This Row],[Reverse Recovery Loss MOSFET D BUCK]]),ThetaJA_Q4*(Table25[[#This Row],[Total Control Bo MOSFET Loss]]+Table25[[#This Row],[Reverse Recovery Loss MOSFET D BOOST]]))</f>
        <v>31.521528354767341</v>
      </c>
      <c r="BM25" s="685">
        <f>IF(Table25[[#This Row],[Vin]]&gt;Vout, Table25[[#This Row],[Total Sync Bu MOSFET Loss]]*ThetaJA_Q2, ThetaJA_Q3*Table25[[#This Row],[Total Sync Bo MOSFET Loss]])</f>
        <v>4.8700855846521813</v>
      </c>
      <c r="BN25" s="640"/>
      <c r="BO25" s="292">
        <f>Table25[[#This Row],[EFF, h]]*100</f>
        <v>87.60046799109324</v>
      </c>
      <c r="BP25" s="345">
        <f>Table25[[#This Row],[Total Inductor Loss]]</f>
        <v>0.61025081396474523</v>
      </c>
      <c r="BQ25" s="345">
        <f>Table25[[#This Row],[Total Control Bu MOSFET Loss]]+Table25[[#This Row],[Total Sync Bu MOSFET Loss]]+Table25[[#This Row],[Total Control Bo MOSFET Loss]]+Table25[[#This Row],[Total Sync Bo MOSFET Loss]]+Table25[[#This Row],[Reverse Recovery Loss MOSFET D BUCK]]+Table25[[#This Row],[Reverse Recovery Loss MOSFET D BOOST]]</f>
        <v>0.94950585615189409</v>
      </c>
      <c r="BR25" s="345">
        <f xml:space="preserve"> Table25[[#This Row],[Total Control Bu MOSFET Loss]]+Table25[[#This Row],[Reverse Recovery Loss MOSFET D BUCK]]*0.66</f>
        <v>0.25187471623425839</v>
      </c>
      <c r="BS25" s="345">
        <f>Table25[[#This Row],[Total Sync Bu MOSFET Loss]]+Table25[[#This Row],[Reverse Recovery Loss MOSFET D BUCK]]*0.33</f>
        <v>0.13419407623425839</v>
      </c>
      <c r="BT25" s="345">
        <f xml:space="preserve"> Table25[[#This Row],[Total Control Bo MOSFET Loss]]+Table25[[#This Row],[Reverse Recovery Loss MOSFET D BOOST]]*0.66</f>
        <v>0.36369987007334381</v>
      </c>
      <c r="BU25" s="345">
        <f xml:space="preserve"> Table25[[#This Row],[Total Sync Bo MOSFET Loss]]+Table25[[#This Row],[Reverse Recovery Loss MOSFET D BOOST]]*0.33</f>
        <v>0.19260503361003356</v>
      </c>
      <c r="BV25" s="345">
        <f>Table25[[#This Row],[Isense Shunt Loss]]</f>
        <v>6.1073402048785136E-3</v>
      </c>
      <c r="BZ25" s="253" t="s">
        <v>149</v>
      </c>
      <c r="CA25" s="253" t="s">
        <v>4</v>
      </c>
      <c r="CB25" s="253" t="s">
        <v>6</v>
      </c>
      <c r="CC25" s="253" t="s">
        <v>5</v>
      </c>
      <c r="CD25" s="253" t="s">
        <v>150</v>
      </c>
      <c r="CE25" s="253" t="s">
        <v>151</v>
      </c>
    </row>
    <row r="26" spans="1:92" ht="13.6" x14ac:dyDescent="0.25">
      <c r="A26" s="688" t="s">
        <v>114</v>
      </c>
      <c r="B26" s="701" t="s">
        <v>113</v>
      </c>
      <c r="C26" s="688" t="s">
        <v>80</v>
      </c>
      <c r="D26" s="681" t="s">
        <v>109</v>
      </c>
      <c r="G26" s="253">
        <v>17</v>
      </c>
      <c r="H26" s="286">
        <f t="shared" si="0"/>
        <v>12</v>
      </c>
      <c r="I26" s="292" t="str">
        <f>IF(Mode = 2,IF(Table25[[#This Row],[Vin]]&gt;Vout, "BUCK","BOOST"),IF(Table25[[#This Row],[Vin]]&gt;VIN_BB_to_buck, "BUCK", IF(Table25[[#This Row],[Vin]]&lt;=VIN_boost_to_BB,"BOOST","BUCK-BST")))</f>
        <v>BOOST</v>
      </c>
      <c r="J26" s="253">
        <f>IF(Table25[[#This Row],[Mode]]="BOOST",2, IF(Table25[[#This Row],[Mode]]="BUCK", 1,3))</f>
        <v>2</v>
      </c>
      <c r="K26" s="345">
        <f t="shared" si="3"/>
        <v>1.36</v>
      </c>
      <c r="L26" s="292">
        <f>Vout*Table25[[#This Row],[Iout]]/(Table25[[#This Row],[Vin]]*Efficiency)</f>
        <v>1.9087719298245618</v>
      </c>
      <c r="M26" s="682">
        <f>CHOOSE(Table25[[#This Row],[Mode Digit]],(Vout+(Rdson2+Rs+Rdcr)*Table25[[#This Row],[Iout]])/(Table25[[#This Row],[Vin]]+(Rs+Rdson2-Rdson1)*Table25[[#This Row],[Iout]])/Fsw,(Vout+(Rdson3+Rdcr)*Table25[[#This Row],[Iin]]-Table25[[#This Row],[Vin]])/(Vout+(Rdson3-Rdson4-Rs)*Table25[[#This Row],[Iin]])/Fsw,t1_Ph_II)</f>
        <v>6.3024673409545546E-7</v>
      </c>
      <c r="N26" s="518">
        <f>CHOOSE(Table25[[#This Row],[Mode Digit]],1/Fsw-Table25[[#This Row],[t1_Ph_II]],1/Fsw-Table25[[#This Row],[t1_Ph_II]],(Vout/Fsw-Table25[[#This Row],[Vin]]*t1_Ph_II)/(Table25[[#This Row],[Vin]]+Vout))</f>
        <v>1.8823160799748965E-6</v>
      </c>
      <c r="O26" s="518">
        <f>1/Fsw-(Table25[[#This Row],[t1_Ph_II]]+Table25[[#This Row],[t2_Ph_I]])</f>
        <v>0</v>
      </c>
      <c r="P26"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-0.19205051716028954</v>
      </c>
      <c r="Q26" s="292">
        <f>CHOOSE(Table25[[#This Row],[Mode Digit]],Table25[[#This Row],[I_0]]+1/Lf*(Table25[[#This Row],[Vin]]-Vout)*Table25[[#This Row],[t1_Ph_II]],Table25[[#This Row],[I_0]]+1/Lf*Table25[[#This Row],[Vin]]*Table25[[#This Row],[t1_Ph_II]],Table25[[#This Row],[I_0]]+(Table25[[#This Row],[Vin]]-Vout)/L*Table25[[#This Row],[t1_Ph_II]])</f>
        <v>4.0095943768094129</v>
      </c>
      <c r="R26" s="292">
        <f>CHOOSE(Table25[[#This Row],[Mode Digit]],0,0,Table25[[#This Row],[I_1]]+Table25[[#This Row],[Vin]]/L*Table25[[#This Row],[t2_Ph_I]])</f>
        <v>0</v>
      </c>
      <c r="S26" s="292">
        <f>Fsw*(Table25[[#This Row],[I_0]]*Table25[[#This Row],[t1_Ph_II]]+Table25[[#This Row],[I_1]]*Table25[[#This Row],[t2_Ph_I]]+Table25[[#This Row],[I_2]]*Table25[[#This Row],[t3_Ph_III]])</f>
        <v>2.9556613338526194</v>
      </c>
      <c r="T26" s="345">
        <f>CHOOSE(Table25[[#This Row],[Mode Digit]],(Vout+(Rdson2+Rs+Rdcr)*Table25[[#This Row],[Iout]])/(Table25[[#This Row],[Vin]]+(Rs+Rdson2-Rdson1)*Table25[[#This Row],[Iout]]),1,Fsw*Table25[[#This Row],[t2_Ph_I]]+Table25[[#This Row],[t1_Ph_II]])</f>
        <v>1</v>
      </c>
      <c r="U26" s="345">
        <f>CHOOSE(Table25[[#This Row],[Mode Digit]],0,(Vout+(Rdson3+Rdcr)*Table25[[#This Row],[Iin]]-Table25[[#This Row],[Vin]])/(Vout+(Rdson3-Rdson4-Rs)*Table25[[#This Row],[Iin]]),Fsw*Table25[[#This Row],[t1_Ph_II]]+Table25[[#This Row],[t3_Ph_III]])</f>
        <v>0.25083820016999125</v>
      </c>
      <c r="V26" s="292">
        <f>MAX(Table25[[#This Row],[I_0]:[I_2]])-MIN(Table25[[#This Row],[I_0]:[I_1]])</f>
        <v>4.2016448939697026</v>
      </c>
      <c r="W26"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2.2615397257925824</v>
      </c>
      <c r="X26" s="345">
        <f>(Table25[[#This Row],[Irms Lf]]^2*Rdcr*(1+Ltc*Ta-Ltc*25))/(1-Table25[[#This Row],[Irms Lf]]^2*Rdcr*Ltc*ThetaCa)</f>
        <v>1.638805551785091E-2</v>
      </c>
      <c r="Y26" s="345">
        <f>ABS(7.759*10^-3*Fsw^0.9458*(0.00787*Table25[[#This Row],[Ripple Current pk-pk]])^2.304)</f>
        <v>0.59546894256003802</v>
      </c>
      <c r="Z26" s="345">
        <f>Table25[[#This Row],[DCR    Loss]]+Table25[[#This Row],[Core Loss]]</f>
        <v>0.61185699807788896</v>
      </c>
      <c r="AA26" s="292">
        <f>IF(Table25[[#This Row],[Vin]]&gt;Vout, Table25[[#This Row],[Ripple Current pk-pk]]/SQRT(12), SQRT(Table25[[#This Row],[Duty Cycle BOOST Leg]]/(1-Table25[[#This Row],[Duty Cycle BOOST Leg]]))*SQRT(Table25[[#This Row],[Iout]]^2+(Table25[[#This Row],[Ripple Current pk-pk]]^2)/12))</f>
        <v>1.0544529943505017</v>
      </c>
      <c r="AB26" s="345">
        <f>RCoutEsr*Table25[[#This Row],[Irms Cout]]^2</f>
        <v>2.2237422345894784E-3</v>
      </c>
      <c r="AC26" s="345">
        <f>Table25[[#This Row],[Cout ESR Loss]]</f>
        <v>2.2237422345894784E-3</v>
      </c>
      <c r="AD26" s="292">
        <f>IF(Table25[[#This Row],[Vin]]&gt;Vout, SQRT(Table25[[#This Row],[Duty Cycle BUCK Leg]]*(1-Table25[[#This Row],[Duty Cycle BUCK Leg]]))*SQRT(Table25[[#This Row],[Iout]]^2+(Table25[[#This Row],[Ripple Current pk-pk]]^2)/12), Table25[[#This Row],[Ripple Current pk-pk]]/SQRT(12))</f>
        <v>1.2129104052863122</v>
      </c>
      <c r="AE26" s="345">
        <f>RCinEsr*Table25[[#This Row],[Irms Cin]]^2</f>
        <v>2.9423033025036123E-3</v>
      </c>
      <c r="AF26" s="683">
        <f>Table25[[#This Row],[Cin ESR Loss]]</f>
        <v>2.9423033025036123E-3</v>
      </c>
      <c r="AG26" s="345">
        <f>Table25[[#This Row],[Irms Lf]]</f>
        <v>2.2615397257925824</v>
      </c>
      <c r="AH26" s="345">
        <f>Rdson1*Table25[[#This Row],[Irms BuCtrl]]^2</f>
        <v>1.7900966759682963E-2</v>
      </c>
      <c r="AI26" s="345">
        <f>CHOOSE(Table25[[#This Row],[Mode Digit]], (Table25[[#This Row],[Vin]]*Table25[[#This Row],[Iout]]/2)*(Fsw)*(Tr_buck+Tf_buck), 0, (Table25[[#This Row],[Vin]]*Table25[[#This Row],[Avg IL]]/2)*(Fsw/1)*(Tr_buck+Tf_buck))</f>
        <v>0</v>
      </c>
      <c r="AJ26" s="253">
        <f>IF(Table25[[#This Row],[Vin]]&gt;Vout, IF(Table25[[#This Row],[Iout]]&gt;Table25[[#This Row],[Ripple Current pk-pk]]/2,0,ABS(Table25[[#This Row],[Iout]]-Table25[[#This Row],[Ripple Current pk-pk]]/2)*Vsd_Q1*Deadtime*Fsw),0)</f>
        <v>0</v>
      </c>
      <c r="AK26" s="345">
        <f>(Table25[[#This Row],[Dead Time Loss BuCtrl]]+Table25[[#This Row],[Transition Loss BuCtrl]]+Table25[[#This Row],[RDS(on) Loss BuCtrl]]*(1+RdsonTopTc*Ta-RdsonTopTc*25))/(1-Table25[[#This Row],[RDS(on) Loss BuCtrl]]*RdsonTopTc*ThetaJA_Q1)</f>
        <v>1.7984671943490464E-2</v>
      </c>
      <c r="AL26" s="345">
        <f>Table25[[#This Row],[Irms Lf]]</f>
        <v>2.2615397257925824</v>
      </c>
      <c r="AM26" s="345">
        <f>Rdson2*Table25[[#This Row],[Irms BuSync]]^2</f>
        <v>1.7900966759682963E-2</v>
      </c>
      <c r="AN26"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26" s="345">
        <f>(Table25[[#This Row],[Deadtime Loss BuSync]]+Table25[[#This Row],[RDS(on) Loss BuSync]]*(1+RdsonBotTc*Ta-RdsonBotTc*25))/(1-Table25[[#This Row],[RDS(on) Loss BuSync]]*RdsonBotTc*ThetaJA_Q2)</f>
        <v>1.7984671943490464E-2</v>
      </c>
      <c r="AP26" s="345">
        <f>Table25[[#This Row],[Irms Lf]]</f>
        <v>2.2615397257925824</v>
      </c>
      <c r="AQ26" s="345">
        <f>Rdson4*Table25[[#This Row],[Irms BoCtlr]]^2</f>
        <v>1.7900966759682963E-2</v>
      </c>
      <c r="AR26" s="345">
        <f>CHOOSE(Table25[[#This Row],[Mode Digit]], 0, (Vout*Table25[[#This Row],[Iin]]/2)*(Fsw)*(Tr_boost+Tf_boost), (Vout*Iout/2)*(Fsw/1)*(Tr_boost+Tf_boost))</f>
        <v>0.11348680071203637</v>
      </c>
      <c r="AS26" s="345">
        <f>IF(Table25[[#This Row],[Vin]]&gt;Vout, 0, IF(Table25[[#This Row],[Iin]]&gt;Table25[[#This Row],[Ripple Current pk-pk]]/2,0,ABS(Table25[[#This Row],[Iin]]-Table25[[#This Row],[Ripple Current pk-pk]]/2)*Vsd_Q4*Deadtime*Fsw))</f>
        <v>2.8663539686173212E-3</v>
      </c>
      <c r="AT26" s="345">
        <f>(Table25[[#This Row],[Dead Time Loss BoCtlr]]+Table25[[#This Row],[Transition Loss BoCtlr]]+Table25[[#This Row],[RDS(on) Loss BoCtlr]]*(1+RdsonTopTc*Ta-RdsonTopTc*25))/(1-Table25[[#This Row],[RDS(on) Loss BoCtlr]]*RdsonTopTc*ThetaJA_Q4)</f>
        <v>0.13488189568643982</v>
      </c>
      <c r="AU26" s="345">
        <f>Table25[[#This Row],[Irms Lf]]</f>
        <v>2.2615397257925824</v>
      </c>
      <c r="AV26" s="345">
        <f>Rdson3*Table25[[#This Row],[Irms BoSync]]^2</f>
        <v>1.7900966759682963E-2</v>
      </c>
      <c r="AW26"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5.9843196073880479E-2</v>
      </c>
      <c r="AX26" s="345">
        <f>(Table25[[#This Row],[Deadtime Loss BoSync]]+Table25[[#This Row],[RDS(on) Loss BoSync]]*(1+RdsonBotTc*Ta-RdsonBotTc*25))/(1-Table25[[#This Row],[RDS(on) Loss BoSync]]*RdsonBotTc*ThetaJA_Q3)</f>
        <v>7.8107695682225017E-2</v>
      </c>
      <c r="AY26" s="345">
        <f>CHOOSE(Table25[[#This Row],[Mode Digit]], Rdson3*Table25[[#This Row],[Irms Lf]]^2, Rdson1*Table25[[#This Row],[Irms Lf]]^2, 0)</f>
        <v>1.7900966759682963E-2</v>
      </c>
      <c r="AZ26" s="345">
        <f>CHOOSE(Table25[[#This Row],[Mode Digit]], 2*Deadtime*Fsw*IF(VfdSky_Q2&gt;0,VfdSky_Q2,0)*Table25[[#This Row],[Iout]], 2*Deadtime*Fsw*IF(VfdSky_Q3&gt;0,VfdSky_Q3,0)*Table25[[#This Row],[Iin]], 2*Deadtime*Fsw*IF(VfdSky_Q2&gt;0,VfdSky_Q2,0)*Table25[[#This Row],[Iout]]+2*Deadtime*Fsw*IF(VfdSky_Q3&gt;0,VfdSky_Q3,0)*Table25[[#This Row],[Iin]])</f>
        <v>0</v>
      </c>
      <c r="BA26"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26"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26" s="345">
        <f>CHOOSE(Table25[[#This Row],[Mode Digit]], Rs*Table25[[#This Row],[Irms BuSync]]^2, Rs*Table25[[#This Row],[Irms BoCtlr]]^2, Rs*(Table25[[#This Row],[Irms BuSync]]^2+Table25[[#This Row],[Irms BoCtlr]]^2))</f>
        <v>6.6489305107393856E-3</v>
      </c>
      <c r="BD26" s="345">
        <f t="shared" si="1"/>
        <v>0.64</v>
      </c>
      <c r="BE26" s="345">
        <f>IF(Vout&gt;8, Iq*Vout, Iq*Table25[[#This Row],[Vin]])</f>
        <v>4.8000000000000001E-2</v>
      </c>
      <c r="BF26" s="345">
        <f>CHOOSE(Table25[[#This Row],[Mode Digit]], (Qg_Q1+Qg_Q2)*Fsw, (Qg_Q3+Qg_Q4)*Fsw, (Qg_Q1+Qg_Q2+Qg_Q3+Qg_Q4)*Fsw)*IF(Vout&gt;8,  MIN( Table25[[#This Row],[Vin]], Vout), Table25[[#This Row],[Vin]])</f>
        <v>0.63998400000000011</v>
      </c>
      <c r="BG26" s="345">
        <f t="shared" si="4"/>
        <v>0.50594479787234037</v>
      </c>
      <c r="BH26" s="345">
        <f>Table25[[#This Row],[IQ Loss]]+Table25[[#This Row],[Switching Current Loss]]</f>
        <v>0.68798400000000015</v>
      </c>
      <c r="BI26"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2.9138309093813675</v>
      </c>
      <c r="BJ26" s="253">
        <f>Vout*Table25[[#This Row],[Iout]]</f>
        <v>21.76</v>
      </c>
      <c r="BK26" s="684">
        <f>Table25[[#This Row],[Pout]]/(Table25[[#This Row],[Pout]]+Table25[[#This Row],[Total Loss]])</f>
        <v>0.88190601937401281</v>
      </c>
      <c r="BL26" s="685">
        <f>IF(Table25[[#This Row],[Vin]]&gt;Vout,ThetaJA_Q1*(Table25[[#This Row],[Total Control Bu MOSFET Loss]]+Table25[[#This Row],[Reverse Recovery Loss MOSFET D BUCK]]),ThetaJA_Q4*(Table25[[#This Row],[Total Control Bo MOSFET Loss]]+Table25[[#This Row],[Reverse Recovery Loss MOSFET D BOOST]]))</f>
        <v>31.946843219618586</v>
      </c>
      <c r="BM26" s="685">
        <f>IF(Table25[[#This Row],[Vin]]&gt;Vout, Table25[[#This Row],[Total Sync Bu MOSFET Loss]]*ThetaJA_Q2, ThetaJA_Q3*Table25[[#This Row],[Total Sync Bo MOSFET Loss]])</f>
        <v>5.077000219344626</v>
      </c>
      <c r="BN26" s="640"/>
      <c r="BO26" s="292">
        <f>Table25[[#This Row],[EFF, h]]*100</f>
        <v>88.190601937401283</v>
      </c>
      <c r="BP26" s="345">
        <f>Table25[[#This Row],[Total Inductor Loss]]</f>
        <v>0.61185699807788896</v>
      </c>
      <c r="BQ26" s="345">
        <f>Table25[[#This Row],[Total Control Bu MOSFET Loss]]+Table25[[#This Row],[Total Sync Bu MOSFET Loss]]+Table25[[#This Row],[Total Control Bo MOSFET Loss]]+Table25[[#This Row],[Total Sync Bo MOSFET Loss]]+Table25[[#This Row],[Reverse Recovery Loss MOSFET D BUCK]]+Table25[[#This Row],[Reverse Recovery Loss MOSFET D BOOST]]</f>
        <v>0.96217493525564568</v>
      </c>
      <c r="BR26" s="345">
        <f xml:space="preserve"> Table25[[#This Row],[Total Control Bu MOSFET Loss]]+Table25[[#This Row],[Reverse Recovery Loss MOSFET D BUCK]]*0.66</f>
        <v>0.25334595194349047</v>
      </c>
      <c r="BS26" s="345">
        <f>Table25[[#This Row],[Total Sync Bu MOSFET Loss]]+Table25[[#This Row],[Reverse Recovery Loss MOSFET D BUCK]]*0.33</f>
        <v>0.13566531194349046</v>
      </c>
      <c r="BT26" s="345">
        <f xml:space="preserve"> Table25[[#This Row],[Total Control Bo MOSFET Loss]]+Table25[[#This Row],[Reverse Recovery Loss MOSFET D BOOST]]*0.66</f>
        <v>0.37024317568643983</v>
      </c>
      <c r="BU26" s="345">
        <f xml:space="preserve"> Table25[[#This Row],[Total Sync Bo MOSFET Loss]]+Table25[[#This Row],[Reverse Recovery Loss MOSFET D BOOST]]*0.33</f>
        <v>0.19578833568222503</v>
      </c>
      <c r="BV26" s="345">
        <f>Table25[[#This Row],[Isense Shunt Loss]]</f>
        <v>6.6489305107393856E-3</v>
      </c>
      <c r="BZ26" s="253" t="s">
        <v>152</v>
      </c>
      <c r="CA26" s="253">
        <v>9.9989640000000009</v>
      </c>
      <c r="CB26" s="253">
        <v>0.1027</v>
      </c>
      <c r="CC26" s="253">
        <v>5.1211359999999999</v>
      </c>
      <c r="CD26" s="253">
        <v>61.870683235325004</v>
      </c>
      <c r="CE26" s="253">
        <v>324.12365701136014</v>
      </c>
    </row>
    <row r="27" spans="1:92" ht="13.6" x14ac:dyDescent="0.25">
      <c r="A27" s="690" t="s">
        <v>65</v>
      </c>
      <c r="B27" s="569">
        <f>RdsonDRT</f>
        <v>1.5</v>
      </c>
      <c r="C27" s="702" t="s">
        <v>118</v>
      </c>
      <c r="D27" s="255" t="s">
        <v>643</v>
      </c>
      <c r="G27" s="253">
        <v>18</v>
      </c>
      <c r="H27" s="286">
        <f t="shared" si="0"/>
        <v>12</v>
      </c>
      <c r="I27" s="292" t="str">
        <f>IF(Mode = 2,IF(Table25[[#This Row],[Vin]]&gt;Vout, "BUCK","BOOST"),IF(Table25[[#This Row],[Vin]]&gt;VIN_BB_to_buck, "BUCK", IF(Table25[[#This Row],[Vin]]&lt;=VIN_boost_to_BB,"BOOST","BUCK-BST")))</f>
        <v>BOOST</v>
      </c>
      <c r="J27" s="253">
        <f>IF(Table25[[#This Row],[Mode]]="BOOST",2, IF(Table25[[#This Row],[Mode]]="BUCK", 1,3))</f>
        <v>2</v>
      </c>
      <c r="K27" s="345">
        <f t="shared" si="3"/>
        <v>1.44</v>
      </c>
      <c r="L27" s="292">
        <f>Vout*Table25[[#This Row],[Iout]]/(Table25[[#This Row],[Vin]]*Efficiency)</f>
        <v>2.0210526315789474</v>
      </c>
      <c r="M27" s="682">
        <f>CHOOSE(Table25[[#This Row],[Mode Digit]],(Vout+(Rdson2+Rs+Rdcr)*Table25[[#This Row],[Iout]])/(Table25[[#This Row],[Vin]]+(Rs+Rdson2-Rdson1)*Table25[[#This Row],[Iout]])/Fsw,(Vout+(Rdson3+Rdcr)*Table25[[#This Row],[Iin]]-Table25[[#This Row],[Vin]])/(Vout+(Rdson3-Rdson4-Rs)*Table25[[#This Row],[Iin]])/Fsw,t1_Ph_II)</f>
        <v>6.3037063859351729E-7</v>
      </c>
      <c r="N27" s="518">
        <f>CHOOSE(Table25[[#This Row],[Mode Digit]],1/Fsw-Table25[[#This Row],[t1_Ph_II]],1/Fsw-Table25[[#This Row],[t1_Ph_II]],(Vout/Fsw-Table25[[#This Row],[Vin]]*t1_Ph_II)/(Table25[[#This Row],[Vin]]+Vout))</f>
        <v>1.8821921754768347E-6</v>
      </c>
      <c r="O27" s="518">
        <f>1/Fsw-(Table25[[#This Row],[t1_Ph_II]]+Table25[[#This Row],[t2_Ph_I]])</f>
        <v>0</v>
      </c>
      <c r="P27"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-8.0182830399443183E-2</v>
      </c>
      <c r="Q27" s="292">
        <f>CHOOSE(Table25[[#This Row],[Mode Digit]],Table25[[#This Row],[I_0]]+1/Lf*(Table25[[#This Row],[Vin]]-Vout)*Table25[[#This Row],[t1_Ph_II]],Table25[[#This Row],[I_0]]+1/Lf*Table25[[#This Row],[Vin]]*Table25[[#This Row],[t1_Ph_II]],Table25[[#This Row],[I_0]]+(Table25[[#This Row],[Vin]]-Vout)/L*Table25[[#This Row],[t1_Ph_II]])</f>
        <v>4.1222880935573381</v>
      </c>
      <c r="R27" s="292">
        <f>CHOOSE(Table25[[#This Row],[Mode Digit]],0,0,Table25[[#This Row],[I_1]]+Table25[[#This Row],[Vin]]/L*Table25[[#This Row],[t2_Ph_I]])</f>
        <v>0</v>
      </c>
      <c r="S27" s="292">
        <f>Fsw*(Table25[[#This Row],[I_0]]*Table25[[#This Row],[t1_Ph_II]]+Table25[[#This Row],[I_1]]*Table25[[#This Row],[t2_Ph_I]]+Table25[[#This Row],[I_2]]*Table25[[#This Row],[t3_Ph_III]])</f>
        <v>3.0679406101152189</v>
      </c>
      <c r="T27" s="345">
        <f>CHOOSE(Table25[[#This Row],[Mode Digit]],(Vout+(Rdson2+Rs+Rdcr)*Table25[[#This Row],[Iout]])/(Table25[[#This Row],[Vin]]+(Rs+Rdson2-Rdson1)*Table25[[#This Row],[Iout]]),1,Fsw*Table25[[#This Row],[t2_Ph_I]]+Table25[[#This Row],[t1_Ph_II]])</f>
        <v>1</v>
      </c>
      <c r="U27" s="345">
        <f>CHOOSE(Table25[[#This Row],[Mode Digit]],0,(Vout+(Rdson3+Rdcr)*Table25[[#This Row],[Iin]]-Table25[[#This Row],[Vin]])/(Vout+(Rdson3-Rdson4-Rs)*Table25[[#This Row],[Iin]]),Fsw*Table25[[#This Row],[t1_Ph_II]]+Table25[[#This Row],[t3_Ph_III]])</f>
        <v>0.25088751416021987</v>
      </c>
      <c r="V27" s="292">
        <f>MAX(Table25[[#This Row],[I_0]:[I_2]])-MIN(Table25[[#This Row],[I_0]:[I_1]])</f>
        <v>4.2024709239567812</v>
      </c>
      <c r="W27"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2.3571983147734308</v>
      </c>
      <c r="X27" s="345">
        <f>(Table25[[#This Row],[Irms Lf]]^2*Rdcr*(1+Ltc*Ta-Ltc*25))/(1-Table25[[#This Row],[Irms Lf]]^2*Rdcr*Ltc*ThetaCa)</f>
        <v>1.7805755982186124E-2</v>
      </c>
      <c r="Y27" s="345">
        <f>ABS(7.759*10^-3*Fsw^0.9458*(0.00787*Table25[[#This Row],[Ripple Current pk-pk]])^2.304)</f>
        <v>0.59573870018216124</v>
      </c>
      <c r="Z27" s="345">
        <f>Table25[[#This Row],[DCR    Loss]]+Table25[[#This Row],[Core Loss]]</f>
        <v>0.61354445616434738</v>
      </c>
      <c r="AA27" s="292">
        <f>IF(Table25[[#This Row],[Vin]]&gt;Vout, Table25[[#This Row],[Ripple Current pk-pk]]/SQRT(12), SQRT(Table25[[#This Row],[Duty Cycle BOOST Leg]]/(1-Table25[[#This Row],[Duty Cycle BOOST Leg]]))*SQRT(Table25[[#This Row],[Iout]]^2+(Table25[[#This Row],[Ripple Current pk-pk]]^2)/12))</f>
        <v>1.0896683799300486</v>
      </c>
      <c r="AB27" s="345">
        <f>RCoutEsr*Table25[[#This Row],[Irms Cout]]^2</f>
        <v>2.3747543564387533E-3</v>
      </c>
      <c r="AC27" s="345">
        <f>Table25[[#This Row],[Cout ESR Loss]]</f>
        <v>2.3747543564387533E-3</v>
      </c>
      <c r="AD27" s="292">
        <f>IF(Table25[[#This Row],[Vin]]&gt;Vout, SQRT(Table25[[#This Row],[Duty Cycle BUCK Leg]]*(1-Table25[[#This Row],[Duty Cycle BUCK Leg]]))*SQRT(Table25[[#This Row],[Iout]]^2+(Table25[[#This Row],[Ripple Current pk-pk]]^2)/12), Table25[[#This Row],[Ripple Current pk-pk]]/SQRT(12))</f>
        <v>1.2131488596040116</v>
      </c>
      <c r="AE27" s="345">
        <f>RCinEsr*Table25[[#This Row],[Irms Cin]]^2</f>
        <v>2.9434603111170281E-3</v>
      </c>
      <c r="AF27" s="683">
        <f>Table25[[#This Row],[Cin ESR Loss]]</f>
        <v>2.9434603111170281E-3</v>
      </c>
      <c r="AG27" s="345">
        <f>Table25[[#This Row],[Irms Lf]]</f>
        <v>2.3571983147734308</v>
      </c>
      <c r="AH27" s="345">
        <f>Rdson1*Table25[[#This Row],[Irms BuCtrl]]^2</f>
        <v>1.9447343633097459E-2</v>
      </c>
      <c r="AI27" s="345">
        <f>CHOOSE(Table25[[#This Row],[Mode Digit]], (Table25[[#This Row],[Vin]]*Table25[[#This Row],[Iout]]/2)*(Fsw)*(Tr_buck+Tf_buck), 0, (Table25[[#This Row],[Vin]]*Table25[[#This Row],[Avg IL]]/2)*(Fsw/1)*(Tr_buck+Tf_buck))</f>
        <v>0</v>
      </c>
      <c r="AJ27" s="253">
        <f>IF(Table25[[#This Row],[Vin]]&gt;Vout, IF(Table25[[#This Row],[Iout]]&gt;Table25[[#This Row],[Ripple Current pk-pk]]/2,0,ABS(Table25[[#This Row],[Iout]]-Table25[[#This Row],[Ripple Current pk-pk]]/2)*Vsd_Q1*Deadtime*Fsw),0)</f>
        <v>0</v>
      </c>
      <c r="AK27" s="345">
        <f>(Table25[[#This Row],[Dead Time Loss BuCtrl]]+Table25[[#This Row],[Transition Loss BuCtrl]]+Table25[[#This Row],[RDS(on) Loss BuCtrl]]*(1+RdsonTopTc*Ta-RdsonTopTc*25))/(1-Table25[[#This Row],[RDS(on) Loss BuCtrl]]*RdsonTopTc*ThetaJA_Q1)</f>
        <v>1.9546175141114768E-2</v>
      </c>
      <c r="AL27" s="345">
        <f>Table25[[#This Row],[Irms Lf]]</f>
        <v>2.3571983147734308</v>
      </c>
      <c r="AM27" s="345">
        <f>Rdson2*Table25[[#This Row],[Irms BuSync]]^2</f>
        <v>1.9447343633097459E-2</v>
      </c>
      <c r="AN27"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27" s="345">
        <f>(Table25[[#This Row],[Deadtime Loss BuSync]]+Table25[[#This Row],[RDS(on) Loss BuSync]]*(1+RdsonBotTc*Ta-RdsonBotTc*25))/(1-Table25[[#This Row],[RDS(on) Loss BuSync]]*RdsonBotTc*ThetaJA_Q2)</f>
        <v>1.9546175141114768E-2</v>
      </c>
      <c r="AP27" s="345">
        <f>Table25[[#This Row],[Irms Lf]]</f>
        <v>2.3571983147734308</v>
      </c>
      <c r="AQ27" s="345">
        <f>Rdson4*Table25[[#This Row],[Irms BoCtlr]]^2</f>
        <v>1.9447343633097459E-2</v>
      </c>
      <c r="AR27" s="345">
        <f>CHOOSE(Table25[[#This Row],[Mode Digit]], 0, (Vout*Table25[[#This Row],[Iin]]/2)*(Fsw)*(Tr_boost+Tf_boost), (Vout*Iout/2)*(Fsw/1)*(Tr_boost+Tf_boost))</f>
        <v>0.1201624948715679</v>
      </c>
      <c r="AS27" s="345">
        <f>IF(Table25[[#This Row],[Vin]]&gt;Vout, 0, IF(Table25[[#This Row],[Iin]]&gt;Table25[[#This Row],[Ripple Current pk-pk]]/2,0,ABS(Table25[[#This Row],[Iin]]-Table25[[#This Row],[Ripple Current pk-pk]]/2)*Vsd_Q4*Deadtime*Fsw))</f>
        <v>1.1967287437116894E-3</v>
      </c>
      <c r="AT27" s="345">
        <f>(Table25[[#This Row],[Dead Time Loss BoCtlr]]+Table25[[#This Row],[Transition Loss BoCtlr]]+Table25[[#This Row],[RDS(on) Loss BoCtlr]]*(1+RdsonTopTc*Ta-RdsonTopTc*25))/(1-Table25[[#This Row],[RDS(on) Loss BoCtlr]]*RdsonTopTc*ThetaJA_Q4)</f>
        <v>0.14152214700273558</v>
      </c>
      <c r="AU27" s="345">
        <f>Table25[[#This Row],[Irms Lf]]</f>
        <v>2.3571983147734308</v>
      </c>
      <c r="AV27" s="345">
        <f>Rdson3*Table25[[#This Row],[Irms BoSync]]^2</f>
        <v>1.9447343633097459E-2</v>
      </c>
      <c r="AW27"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6.1525149796343256E-2</v>
      </c>
      <c r="AX27" s="345">
        <f>(Table25[[#This Row],[Deadtime Loss BoSync]]+Table25[[#This Row],[RDS(on) Loss BoSync]]*(1+RdsonBotTc*Ta-RdsonBotTc*25))/(1-Table25[[#This Row],[RDS(on) Loss BoSync]]*RdsonBotTc*ThetaJA_Q3)</f>
        <v>8.1383996089368707E-2</v>
      </c>
      <c r="AY27" s="345">
        <f>CHOOSE(Table25[[#This Row],[Mode Digit]], Rdson3*Table25[[#This Row],[Irms Lf]]^2, Rdson1*Table25[[#This Row],[Irms Lf]]^2, 0)</f>
        <v>1.9447343633097459E-2</v>
      </c>
      <c r="AZ27" s="345">
        <f>CHOOSE(Table25[[#This Row],[Mode Digit]], 2*Deadtime*Fsw*IF(VfdSky_Q2&gt;0,VfdSky_Q2,0)*Table25[[#This Row],[Iout]], 2*Deadtime*Fsw*IF(VfdSky_Q3&gt;0,VfdSky_Q3,0)*Table25[[#This Row],[Iin]], 2*Deadtime*Fsw*IF(VfdSky_Q2&gt;0,VfdSky_Q2,0)*Table25[[#This Row],[Iout]]+2*Deadtime*Fsw*IF(VfdSky_Q3&gt;0,VfdSky_Q3,0)*Table25[[#This Row],[Iin]])</f>
        <v>0</v>
      </c>
      <c r="BA27"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27"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27" s="345">
        <f>CHOOSE(Table25[[#This Row],[Mode Digit]], Rs*Table25[[#This Row],[Irms BuSync]]^2, Rs*Table25[[#This Row],[Irms BoCtlr]]^2, Rs*(Table25[[#This Row],[Irms BuSync]]^2+Table25[[#This Row],[Irms BoCtlr]]^2))</f>
        <v>7.223299063721913E-3</v>
      </c>
      <c r="BD27" s="345">
        <f t="shared" si="1"/>
        <v>0.64</v>
      </c>
      <c r="BE27" s="345">
        <f>IF(Vout&gt;8, Iq*Vout, Iq*Table25[[#This Row],[Vin]])</f>
        <v>4.8000000000000001E-2</v>
      </c>
      <c r="BF27" s="345">
        <f>CHOOSE(Table25[[#This Row],[Mode Digit]], (Qg_Q1+Qg_Q2)*Fsw, (Qg_Q3+Qg_Q4)*Fsw, (Qg_Q1+Qg_Q2+Qg_Q3+Qg_Q4)*Fsw)*IF(Vout&gt;8,  MIN( Table25[[#This Row],[Vin]], Vout), Table25[[#This Row],[Vin]])</f>
        <v>0.63998400000000011</v>
      </c>
      <c r="BG27" s="345">
        <f t="shared" si="4"/>
        <v>0.50594479787234037</v>
      </c>
      <c r="BH27" s="345">
        <f>Table25[[#This Row],[IQ Loss]]+Table25[[#This Row],[Switching Current Loss]]</f>
        <v>0.68798400000000015</v>
      </c>
      <c r="BI27"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2.9292844632699593</v>
      </c>
      <c r="BJ27" s="253">
        <f>Vout*Table25[[#This Row],[Iout]]</f>
        <v>23.04</v>
      </c>
      <c r="BK27" s="684">
        <f>Table25[[#This Row],[Pout]]/(Table25[[#This Row],[Pout]]+Table25[[#This Row],[Total Loss]])</f>
        <v>0.88720195708845828</v>
      </c>
      <c r="BL27" s="685">
        <f>IF(Table25[[#This Row],[Vin]]&gt;Vout,ThetaJA_Q1*(Table25[[#This Row],[Total Control Bu MOSFET Loss]]+Table25[[#This Row],[Reverse Recovery Loss MOSFET D BUCK]]),ThetaJA_Q4*(Table25[[#This Row],[Total Control Bo MOSFET Loss]]+Table25[[#This Row],[Reverse Recovery Loss MOSFET D BOOST]]))</f>
        <v>32.378459555177812</v>
      </c>
      <c r="BM27" s="685">
        <f>IF(Table25[[#This Row],[Vin]]&gt;Vout, Table25[[#This Row],[Total Sync Bu MOSFET Loss]]*ThetaJA_Q2, ThetaJA_Q3*Table25[[#This Row],[Total Sync Bo MOSFET Loss]])</f>
        <v>5.2899597458089662</v>
      </c>
      <c r="BN27" s="640"/>
      <c r="BO27" s="292">
        <f>Table25[[#This Row],[EFF, h]]*100</f>
        <v>88.720195708845822</v>
      </c>
      <c r="BP27" s="345">
        <f>Table25[[#This Row],[Total Inductor Loss]]</f>
        <v>0.61354445616434738</v>
      </c>
      <c r="BQ27" s="345">
        <f>Table25[[#This Row],[Total Control Bu MOSFET Loss]]+Table25[[#This Row],[Total Sync Bu MOSFET Loss]]+Table25[[#This Row],[Total Control Bo MOSFET Loss]]+Table25[[#This Row],[Total Sync Bo MOSFET Loss]]+Table25[[#This Row],[Reverse Recovery Loss MOSFET D BUCK]]+Table25[[#This Row],[Reverse Recovery Loss MOSFET D BOOST]]</f>
        <v>0.97521449337433386</v>
      </c>
      <c r="BR27" s="345">
        <f xml:space="preserve"> Table25[[#This Row],[Total Control Bu MOSFET Loss]]+Table25[[#This Row],[Reverse Recovery Loss MOSFET D BUCK]]*0.66</f>
        <v>0.25490745514111479</v>
      </c>
      <c r="BS27" s="345">
        <f>Table25[[#This Row],[Total Sync Bu MOSFET Loss]]+Table25[[#This Row],[Reverse Recovery Loss MOSFET D BUCK]]*0.33</f>
        <v>0.13722681514111476</v>
      </c>
      <c r="BT27" s="345">
        <f xml:space="preserve"> Table25[[#This Row],[Total Control Bo MOSFET Loss]]+Table25[[#This Row],[Reverse Recovery Loss MOSFET D BOOST]]*0.66</f>
        <v>0.37688342700273558</v>
      </c>
      <c r="BU27" s="345">
        <f xml:space="preserve"> Table25[[#This Row],[Total Sync Bo MOSFET Loss]]+Table25[[#This Row],[Reverse Recovery Loss MOSFET D BOOST]]*0.33</f>
        <v>0.1990646360893687</v>
      </c>
      <c r="BV27" s="345">
        <f>Table25[[#This Row],[Isense Shunt Loss]]</f>
        <v>7.223299063721913E-3</v>
      </c>
      <c r="BZ27" s="253" t="s">
        <v>153</v>
      </c>
      <c r="CA27" s="253">
        <v>9.9986669999999993</v>
      </c>
      <c r="CB27" s="253">
        <v>0.1166</v>
      </c>
      <c r="CC27" s="253">
        <v>5.1212980000000003</v>
      </c>
      <c r="CD27" s="253">
        <v>64.729420570558148</v>
      </c>
      <c r="CE27" s="253">
        <v>325.37886459483997</v>
      </c>
    </row>
    <row r="28" spans="1:92" ht="13.6" x14ac:dyDescent="0.25">
      <c r="A28" s="690" t="s">
        <v>148</v>
      </c>
      <c r="B28" s="569">
        <f>RdsonDRT2</f>
        <v>1</v>
      </c>
      <c r="C28" s="702" t="s">
        <v>118</v>
      </c>
      <c r="D28" s="255" t="s">
        <v>642</v>
      </c>
      <c r="G28" s="253">
        <v>19</v>
      </c>
      <c r="H28" s="286">
        <f t="shared" si="0"/>
        <v>12</v>
      </c>
      <c r="I28" s="292" t="str">
        <f>IF(Mode = 2,IF(Table25[[#This Row],[Vin]]&gt;Vout, "BUCK","BOOST"),IF(Table25[[#This Row],[Vin]]&gt;VIN_BB_to_buck, "BUCK", IF(Table25[[#This Row],[Vin]]&lt;=VIN_boost_to_BB,"BOOST","BUCK-BST")))</f>
        <v>BOOST</v>
      </c>
      <c r="J28" s="253">
        <f>IF(Table25[[#This Row],[Mode]]="BOOST",2, IF(Table25[[#This Row],[Mode]]="BUCK", 1,3))</f>
        <v>2</v>
      </c>
      <c r="K28" s="345">
        <f t="shared" si="3"/>
        <v>1.52</v>
      </c>
      <c r="L28" s="292">
        <f>Vout*Table25[[#This Row],[Iout]]/(Table25[[#This Row],[Vin]]*Efficiency)</f>
        <v>2.1333333333333337</v>
      </c>
      <c r="M28" s="682">
        <f>CHOOSE(Table25[[#This Row],[Mode Digit]],(Vout+(Rdson2+Rs+Rdcr)*Table25[[#This Row],[Iout]])/(Table25[[#This Row],[Vin]]+(Rs+Rdson2-Rdson1)*Table25[[#This Row],[Iout]])/Fsw,(Vout+(Rdson3+Rdcr)*Table25[[#This Row],[Iin]]-Table25[[#This Row],[Vin]])/(Vout+(Rdson3-Rdson4-Rs)*Table25[[#This Row],[Iin]])/Fsw,t1_Ph_II)</f>
        <v>6.3049454535268541E-7</v>
      </c>
      <c r="N28" s="518">
        <f>CHOOSE(Table25[[#This Row],[Mode Digit]],1/Fsw-Table25[[#This Row],[t1_Ph_II]],1/Fsw-Table25[[#This Row],[t1_Ph_II]],(Vout/Fsw-Table25[[#This Row],[Vin]]*t1_Ph_II)/(Table25[[#This Row],[Vin]]+Vout))</f>
        <v>1.8820682687176665E-6</v>
      </c>
      <c r="O28" s="518">
        <f>1/Fsw-(Table25[[#This Row],[t1_Ph_II]]+Table25[[#This Row],[t2_Ph_I]])</f>
        <v>0</v>
      </c>
      <c r="P28"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3.1684848824382605E-2</v>
      </c>
      <c r="Q28" s="292">
        <f>CHOOSE(Table25[[#This Row],[Mode Digit]],Table25[[#This Row],[I_0]]+1/Lf*(Table25[[#This Row],[Vin]]-Vout)*Table25[[#This Row],[t1_Ph_II]],Table25[[#This Row],[I_0]]+1/Lf*Table25[[#This Row],[Vin]]*Table25[[#This Row],[t1_Ph_II]],Table25[[#This Row],[I_0]]+(Table25[[#This Row],[Vin]]-Vout)/L*Table25[[#This Row],[t1_Ph_II]])</f>
        <v>4.2349818178422849</v>
      </c>
      <c r="R28" s="292">
        <f>CHOOSE(Table25[[#This Row],[Mode Digit]],0,0,Table25[[#This Row],[I_1]]+Table25[[#This Row],[Vin]]/L*Table25[[#This Row],[t2_Ph_I]])</f>
        <v>0</v>
      </c>
      <c r="S28" s="292">
        <f>Fsw*(Table25[[#This Row],[I_0]]*Table25[[#This Row],[t1_Ph_II]]+Table25[[#This Row],[I_1]]*Table25[[#This Row],[t2_Ph_I]]+Table25[[#This Row],[I_2]]*Table25[[#This Row],[t3_Ph_III]])</f>
        <v>3.1802198048799069</v>
      </c>
      <c r="T28" s="345">
        <f>CHOOSE(Table25[[#This Row],[Mode Digit]],(Vout+(Rdson2+Rs+Rdcr)*Table25[[#This Row],[Iout]])/(Table25[[#This Row],[Vin]]+(Rs+Rdson2-Rdson1)*Table25[[#This Row],[Iout]]),1,Fsw*Table25[[#This Row],[t2_Ph_I]]+Table25[[#This Row],[t1_Ph_II]])</f>
        <v>1</v>
      </c>
      <c r="U28" s="345">
        <f>CHOOSE(Table25[[#This Row],[Mode Digit]],0,(Vout+(Rdson3+Rdcr)*Table25[[#This Row],[Iin]]-Table25[[#This Row],[Vin]])/(Vout+(Rdson3-Rdson4-Rs)*Table25[[#This Row],[Iin]]),Fsw*Table25[[#This Row],[t1_Ph_II]]+Table25[[#This Row],[t3_Ph_III]])</f>
        <v>0.25093682905036879</v>
      </c>
      <c r="V28" s="292">
        <f>MAX(Table25[[#This Row],[I_0]:[I_2]])-MIN(Table25[[#This Row],[I_0]:[I_1]])</f>
        <v>4.2032969690179023</v>
      </c>
      <c r="W28"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2.454265652951483</v>
      </c>
      <c r="X28" s="345">
        <f>(Table25[[#This Row],[Irms Lf]]^2*Rdcr*(1+Ltc*Ta-Ltc*25))/(1-Table25[[#This Row],[Irms Lf]]^2*Rdcr*Ltc*ThetaCa)</f>
        <v>1.9304711442865732E-2</v>
      </c>
      <c r="Y28" s="345">
        <f>ABS(7.759*10^-3*Fsw^0.9458*(0.00787*Table25[[#This Row],[Ripple Current pk-pk]])^2.304)</f>
        <v>0.59600853187986291</v>
      </c>
      <c r="Z28" s="345">
        <f>Table25[[#This Row],[DCR    Loss]]+Table25[[#This Row],[Core Loss]]</f>
        <v>0.61531324332272863</v>
      </c>
      <c r="AA28" s="292">
        <f>IF(Table25[[#This Row],[Vin]]&gt;Vout, Table25[[#This Row],[Ripple Current pk-pk]]/SQRT(12), SQRT(Table25[[#This Row],[Duty Cycle BOOST Leg]]/(1-Table25[[#This Row],[Duty Cycle BOOST Leg]]))*SQRT(Table25[[#This Row],[Iout]]^2+(Table25[[#This Row],[Ripple Current pk-pk]]^2)/12))</f>
        <v>1.1257045837544175</v>
      </c>
      <c r="AB28" s="345">
        <f>RCoutEsr*Table25[[#This Row],[Irms Cout]]^2</f>
        <v>2.5344216197714128E-3</v>
      </c>
      <c r="AC28" s="345">
        <f>Table25[[#This Row],[Cout ESR Loss]]</f>
        <v>2.5344216197714128E-3</v>
      </c>
      <c r="AD28" s="292">
        <f>IF(Table25[[#This Row],[Vin]]&gt;Vout, SQRT(Table25[[#This Row],[Duty Cycle BUCK Leg]]*(1-Table25[[#This Row],[Duty Cycle BUCK Leg]]))*SQRT(Table25[[#This Row],[Iout]]^2+(Table25[[#This Row],[Ripple Current pk-pk]]^2)/12), Table25[[#This Row],[Ripple Current pk-pk]]/SQRT(12))</f>
        <v>1.213387318273212</v>
      </c>
      <c r="AE28" s="345">
        <f>RCinEsr*Table25[[#This Row],[Irms Cin]]^2</f>
        <v>2.9446175682925142E-3</v>
      </c>
      <c r="AF28" s="683">
        <f>Table25[[#This Row],[Cin ESR Loss]]</f>
        <v>2.9446175682925142E-3</v>
      </c>
      <c r="AG28" s="345">
        <f>Table25[[#This Row],[Irms Lf]]</f>
        <v>2.454265652951483</v>
      </c>
      <c r="AH28" s="345">
        <f>Rdson1*Table25[[#This Row],[Irms BuCtrl]]^2</f>
        <v>2.1081969633400793E-2</v>
      </c>
      <c r="AI28" s="345">
        <f>CHOOSE(Table25[[#This Row],[Mode Digit]], (Table25[[#This Row],[Vin]]*Table25[[#This Row],[Iout]]/2)*(Fsw)*(Tr_buck+Tf_buck), 0, (Table25[[#This Row],[Vin]]*Table25[[#This Row],[Avg IL]]/2)*(Fsw/1)*(Tr_buck+Tf_buck))</f>
        <v>0</v>
      </c>
      <c r="AJ28" s="253">
        <f>IF(Table25[[#This Row],[Vin]]&gt;Vout, IF(Table25[[#This Row],[Iout]]&gt;Table25[[#This Row],[Ripple Current pk-pk]]/2,0,ABS(Table25[[#This Row],[Iout]]-Table25[[#This Row],[Ripple Current pk-pk]]/2)*Vsd_Q1*Deadtime*Fsw),0)</f>
        <v>0</v>
      </c>
      <c r="AK28" s="345">
        <f>(Table25[[#This Row],[Dead Time Loss BuCtrl]]+Table25[[#This Row],[Transition Loss BuCtrl]]+Table25[[#This Row],[RDS(on) Loss BuCtrl]]*(1+RdsonTopTc*Ta-RdsonTopTc*25))/(1-Table25[[#This Row],[RDS(on) Loss BuCtrl]]*RdsonTopTc*ThetaJA_Q1)</f>
        <v>2.1198163382948821E-2</v>
      </c>
      <c r="AL28" s="345">
        <f>Table25[[#This Row],[Irms Lf]]</f>
        <v>2.454265652951483</v>
      </c>
      <c r="AM28" s="345">
        <f>Rdson2*Table25[[#This Row],[Irms BuSync]]^2</f>
        <v>2.1081969633400793E-2</v>
      </c>
      <c r="AN28"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28" s="345">
        <f>(Table25[[#This Row],[Deadtime Loss BuSync]]+Table25[[#This Row],[RDS(on) Loss BuSync]]*(1+RdsonBotTc*Ta-RdsonBotTc*25))/(1-Table25[[#This Row],[RDS(on) Loss BuSync]]*RdsonBotTc*ThetaJA_Q2)</f>
        <v>2.1198163382948821E-2</v>
      </c>
      <c r="AP28" s="345">
        <f>Table25[[#This Row],[Irms Lf]]</f>
        <v>2.454265652951483</v>
      </c>
      <c r="AQ28" s="345">
        <f>Rdson4*Table25[[#This Row],[Irms BoCtlr]]^2</f>
        <v>2.1081969633400793E-2</v>
      </c>
      <c r="AR28" s="345">
        <f>CHOOSE(Table25[[#This Row],[Mode Digit]], 0, (Vout*Table25[[#This Row],[Iin]]/2)*(Fsw)*(Tr_boost+Tf_boost), (Vout*Iout/2)*(Fsw/1)*(Tr_boost+Tf_boost))</f>
        <v>0.12683818903109947</v>
      </c>
      <c r="AS28" s="345">
        <f>IF(Table25[[#This Row],[Vin]]&gt;Vout, 0, IF(Table25[[#This Row],[Iin]]&gt;Table25[[#This Row],[Ripple Current pk-pk]]/2,0,ABS(Table25[[#This Row],[Iin]]-Table25[[#This Row],[Ripple Current pk-pk]]/2)*Vsd_Q4*Deadtime*Fsw))</f>
        <v>0</v>
      </c>
      <c r="AT28" s="345">
        <f>(Table25[[#This Row],[Dead Time Loss BoCtlr]]+Table25[[#This Row],[Transition Loss BoCtlr]]+Table25[[#This Row],[RDS(on) Loss BoCtlr]]*(1+RdsonTopTc*Ta-RdsonTopTc*25))/(1-Table25[[#This Row],[RDS(on) Loss BoCtlr]]*RdsonTopTc*ThetaJA_Q4)</f>
        <v>0.14873542394416073</v>
      </c>
      <c r="AU28" s="345">
        <f>Table25[[#This Row],[Irms Lf]]</f>
        <v>2.454265652951483</v>
      </c>
      <c r="AV28" s="345">
        <f>Rdson3*Table25[[#This Row],[Irms BoSync]]^2</f>
        <v>2.1081969633400793E-2</v>
      </c>
      <c r="AW28"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6.368E-2</v>
      </c>
      <c r="AX28" s="345">
        <f>(Table25[[#This Row],[Deadtime Loss BoSync]]+Table25[[#This Row],[RDS(on) Loss BoSync]]*(1+RdsonBotTc*Ta-RdsonBotTc*25))/(1-Table25[[#This Row],[RDS(on) Loss BoSync]]*RdsonBotTc*ThetaJA_Q3)</f>
        <v>8.522913713444763E-2</v>
      </c>
      <c r="AY28" s="345">
        <f>CHOOSE(Table25[[#This Row],[Mode Digit]], Rdson3*Table25[[#This Row],[Irms Lf]]^2, Rdson1*Table25[[#This Row],[Irms Lf]]^2, 0)</f>
        <v>2.1081969633400793E-2</v>
      </c>
      <c r="AZ28" s="345">
        <f>CHOOSE(Table25[[#This Row],[Mode Digit]], 2*Deadtime*Fsw*IF(VfdSky_Q2&gt;0,VfdSky_Q2,0)*Table25[[#This Row],[Iout]], 2*Deadtime*Fsw*IF(VfdSky_Q3&gt;0,VfdSky_Q3,0)*Table25[[#This Row],[Iin]], 2*Deadtime*Fsw*IF(VfdSky_Q2&gt;0,VfdSky_Q2,0)*Table25[[#This Row],[Iout]]+2*Deadtime*Fsw*IF(VfdSky_Q3&gt;0,VfdSky_Q3,0)*Table25[[#This Row],[Iin]])</f>
        <v>0</v>
      </c>
      <c r="BA28"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28"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28" s="345">
        <f>CHOOSE(Table25[[#This Row],[Mode Digit]], Rs*Table25[[#This Row],[Irms BuSync]]^2, Rs*Table25[[#This Row],[Irms BoCtlr]]^2, Rs*(Table25[[#This Row],[Irms BuSync]]^2+Table25[[#This Row],[Irms BoCtlr]]^2))</f>
        <v>7.8304458638345804E-3</v>
      </c>
      <c r="BD28" s="345">
        <f t="shared" si="1"/>
        <v>0.64</v>
      </c>
      <c r="BE28" s="345">
        <f>IF(Vout&gt;8, Iq*Vout, Iq*Table25[[#This Row],[Vin]])</f>
        <v>4.8000000000000001E-2</v>
      </c>
      <c r="BF28" s="345">
        <f>CHOOSE(Table25[[#This Row],[Mode Digit]], (Qg_Q1+Qg_Q2)*Fsw, (Qg_Q3+Qg_Q4)*Fsw, (Qg_Q1+Qg_Q2+Qg_Q3+Qg_Q4)*Fsw)*IF(Vout&gt;8,  MIN( Table25[[#This Row],[Vin]], Vout), Table25[[#This Row],[Vin]])</f>
        <v>0.63998400000000011</v>
      </c>
      <c r="BG28" s="345">
        <f t="shared" si="4"/>
        <v>0.50594479787234037</v>
      </c>
      <c r="BH28" s="345">
        <f>Table25[[#This Row],[IQ Loss]]+Table25[[#This Row],[Switching Current Loss]]</f>
        <v>0.68798400000000015</v>
      </c>
      <c r="BI28"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2.9461836162191335</v>
      </c>
      <c r="BJ28" s="253">
        <f>Vout*Table25[[#This Row],[Iout]]</f>
        <v>24.32</v>
      </c>
      <c r="BK28" s="684">
        <f>Table25[[#This Row],[Pout]]/(Table25[[#This Row],[Pout]]+Table25[[#This Row],[Total Loss]])</f>
        <v>0.89194734189105174</v>
      </c>
      <c r="BL28" s="685">
        <f>IF(Table25[[#This Row],[Vin]]&gt;Vout,ThetaJA_Q1*(Table25[[#This Row],[Total Control Bu MOSFET Loss]]+Table25[[#This Row],[Reverse Recovery Loss MOSFET D BUCK]]),ThetaJA_Q4*(Table25[[#This Row],[Total Control Bo MOSFET Loss]]+Table25[[#This Row],[Reverse Recovery Loss MOSFET D BOOST]]))</f>
        <v>32.84732255637045</v>
      </c>
      <c r="BM28" s="685">
        <f>IF(Table25[[#This Row],[Vin]]&gt;Vout, Table25[[#This Row],[Total Sync Bu MOSFET Loss]]*ThetaJA_Q2, ThetaJA_Q3*Table25[[#This Row],[Total Sync Bo MOSFET Loss]])</f>
        <v>5.5398939137390961</v>
      </c>
      <c r="BN28" s="640"/>
      <c r="BO28" s="292">
        <f>Table25[[#This Row],[EFF, h]]*100</f>
        <v>89.194734189105176</v>
      </c>
      <c r="BP28" s="345">
        <f>Table25[[#This Row],[Total Inductor Loss]]</f>
        <v>0.61531324332272863</v>
      </c>
      <c r="BQ28" s="345">
        <f>Table25[[#This Row],[Total Control Bu MOSFET Loss]]+Table25[[#This Row],[Total Sync Bu MOSFET Loss]]+Table25[[#This Row],[Total Control Bo MOSFET Loss]]+Table25[[#This Row],[Total Sync Bo MOSFET Loss]]+Table25[[#This Row],[Reverse Recovery Loss MOSFET D BUCK]]+Table25[[#This Row],[Reverse Recovery Loss MOSFET D BOOST]]</f>
        <v>0.98957688784450593</v>
      </c>
      <c r="BR28" s="345">
        <f xml:space="preserve"> Table25[[#This Row],[Total Control Bu MOSFET Loss]]+Table25[[#This Row],[Reverse Recovery Loss MOSFET D BUCK]]*0.66</f>
        <v>0.25655944338294884</v>
      </c>
      <c r="BS28" s="345">
        <f>Table25[[#This Row],[Total Sync Bu MOSFET Loss]]+Table25[[#This Row],[Reverse Recovery Loss MOSFET D BUCK]]*0.33</f>
        <v>0.13887880338294883</v>
      </c>
      <c r="BT28" s="345">
        <f xml:space="preserve"> Table25[[#This Row],[Total Control Bo MOSFET Loss]]+Table25[[#This Row],[Reverse Recovery Loss MOSFET D BOOST]]*0.66</f>
        <v>0.38409670394416073</v>
      </c>
      <c r="BU28" s="345">
        <f xml:space="preserve"> Table25[[#This Row],[Total Sync Bo MOSFET Loss]]+Table25[[#This Row],[Reverse Recovery Loss MOSFET D BOOST]]*0.33</f>
        <v>0.20290977713444763</v>
      </c>
      <c r="BV28" s="345">
        <f>Table25[[#This Row],[Isense Shunt Loss]]</f>
        <v>7.8304458638345804E-3</v>
      </c>
      <c r="BZ28" s="253" t="s">
        <v>154</v>
      </c>
      <c r="CA28" s="253">
        <v>9.9987659999999998</v>
      </c>
      <c r="CB28" s="253">
        <v>0.14660000000000001</v>
      </c>
      <c r="CC28" s="253">
        <v>5.1213230000000003</v>
      </c>
      <c r="CD28" s="253">
        <v>69.885376918691776</v>
      </c>
      <c r="CE28" s="253">
        <v>323.52446193379996</v>
      </c>
    </row>
    <row r="29" spans="1:92" ht="13.6" x14ac:dyDescent="0.25">
      <c r="A29" s="688" t="s">
        <v>115</v>
      </c>
      <c r="B29" s="679" t="s">
        <v>113</v>
      </c>
      <c r="C29" s="688" t="s">
        <v>80</v>
      </c>
      <c r="D29" s="681" t="s">
        <v>109</v>
      </c>
      <c r="G29" s="253">
        <v>20</v>
      </c>
      <c r="H29" s="286">
        <f t="shared" si="0"/>
        <v>12</v>
      </c>
      <c r="I29" s="292" t="str">
        <f>IF(Mode = 2,IF(Table25[[#This Row],[Vin]]&gt;Vout, "BUCK","BOOST"),IF(Table25[[#This Row],[Vin]]&gt;VIN_BB_to_buck, "BUCK", IF(Table25[[#This Row],[Vin]]&lt;=VIN_boost_to_BB,"BOOST","BUCK-BST")))</f>
        <v>BOOST</v>
      </c>
      <c r="J29" s="253">
        <f>IF(Table25[[#This Row],[Mode]]="BOOST",2, IF(Table25[[#This Row],[Mode]]="BUCK", 1,3))</f>
        <v>2</v>
      </c>
      <c r="K29" s="345">
        <f t="shared" si="3"/>
        <v>1.6</v>
      </c>
      <c r="L29" s="292">
        <f>Vout*Table25[[#This Row],[Iout]]/(Table25[[#This Row],[Vin]]*Efficiency)</f>
        <v>2.2456140350877196</v>
      </c>
      <c r="M29" s="682">
        <f>CHOOSE(Table25[[#This Row],[Mode Digit]],(Vout+(Rdson2+Rs+Rdcr)*Table25[[#This Row],[Iout]])/(Table25[[#This Row],[Vin]]+(Rs+Rdson2-Rdson1)*Table25[[#This Row],[Iout]])/Fsw,(Vout+(Rdson3+Rdcr)*Table25[[#This Row],[Iin]]-Table25[[#This Row],[Vin]])/(Vout+(Rdson3-Rdson4-Rs)*Table25[[#This Row],[Iin]])/Fsw,t1_Ph_II)</f>
        <v>6.3061845437302047E-7</v>
      </c>
      <c r="N29" s="518">
        <f>CHOOSE(Table25[[#This Row],[Mode Digit]],1/Fsw-Table25[[#This Row],[t1_Ph_II]],1/Fsw-Table25[[#This Row],[t1_Ph_II]],(Vout/Fsw-Table25[[#This Row],[Vin]]*t1_Ph_II)/(Table25[[#This Row],[Vin]]+Vout))</f>
        <v>1.8819443596973315E-6</v>
      </c>
      <c r="O29" s="518">
        <f>1/Fsw-(Table25[[#This Row],[t1_Ph_II]]+Table25[[#This Row],[t2_Ph_I]])</f>
        <v>0</v>
      </c>
      <c r="P29"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0.1435525205109851</v>
      </c>
      <c r="Q29" s="292">
        <f>CHOOSE(Table25[[#This Row],[Mode Digit]],Table25[[#This Row],[I_0]]+1/Lf*(Table25[[#This Row],[Vin]]-Vout)*Table25[[#This Row],[t1_Ph_II]],Table25[[#This Row],[I_0]]+1/Lf*Table25[[#This Row],[Vin]]*Table25[[#This Row],[t1_Ph_II]],Table25[[#This Row],[I_0]]+(Table25[[#This Row],[Vin]]-Vout)/L*Table25[[#This Row],[t1_Ph_II]])</f>
        <v>4.3476755496644541</v>
      </c>
      <c r="R29" s="292">
        <f>CHOOSE(Table25[[#This Row],[Mode Digit]],0,0,Table25[[#This Row],[I_1]]+Table25[[#This Row],[Vin]]/L*Table25[[#This Row],[t2_Ph_I]])</f>
        <v>0</v>
      </c>
      <c r="S29" s="292">
        <f>Fsw*(Table25[[#This Row],[I_0]]*Table25[[#This Row],[t1_Ph_II]]+Table25[[#This Row],[I_1]]*Table25[[#This Row],[t2_Ph_I]]+Table25[[#This Row],[I_2]]*Table25[[#This Row],[t3_Ph_III]])</f>
        <v>3.2924989181422193</v>
      </c>
      <c r="T29" s="345">
        <f>CHOOSE(Table25[[#This Row],[Mode Digit]],(Vout+(Rdson2+Rs+Rdcr)*Table25[[#This Row],[Iout]])/(Table25[[#This Row],[Vin]]+(Rs+Rdson2-Rdson1)*Table25[[#This Row],[Iout]]),1,Fsw*Table25[[#This Row],[t2_Ph_I]]+Table25[[#This Row],[t1_Ph_II]])</f>
        <v>1</v>
      </c>
      <c r="U29" s="345">
        <f>CHOOSE(Table25[[#This Row],[Mode Digit]],0,(Vout+(Rdson3+Rdcr)*Table25[[#This Row],[Iin]]-Table25[[#This Row],[Vin]])/(Vout+(Rdson3-Rdson4-Rs)*Table25[[#This Row],[Iin]]),Fsw*Table25[[#This Row],[t1_Ph_II]]+Table25[[#This Row],[t3_Ph_III]])</f>
        <v>0.25098614484046217</v>
      </c>
      <c r="V29" s="292">
        <f>MAX(Table25[[#This Row],[I_0]:[I_2]])-MIN(Table25[[#This Row],[I_0]:[I_1]])</f>
        <v>4.204123029153469</v>
      </c>
      <c r="W29"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2.5525810333081482</v>
      </c>
      <c r="X29" s="345">
        <f>(Table25[[#This Row],[Irms Lf]]^2*Rdcr*(1+Ltc*Ta-Ltc*25))/(1-Table25[[#This Row],[Irms Lf]]^2*Rdcr*Ltc*ThetaCa)</f>
        <v>2.088498016828437E-2</v>
      </c>
      <c r="Y29" s="345">
        <f>ABS(7.759*10^-3*Fsw^0.9458*(0.00787*Table25[[#This Row],[Ripple Current pk-pk]])^2.304)</f>
        <v>0.59627843766119282</v>
      </c>
      <c r="Z29" s="345">
        <f>Table25[[#This Row],[DCR    Loss]]+Table25[[#This Row],[Core Loss]]</f>
        <v>0.61716341782947715</v>
      </c>
      <c r="AA29" s="292">
        <f>IF(Table25[[#This Row],[Vin]]&gt;Vout, Table25[[#This Row],[Ripple Current pk-pk]]/SQRT(12), SQRT(Table25[[#This Row],[Duty Cycle BOOST Leg]]/(1-Table25[[#This Row],[Duty Cycle BOOST Leg]]))*SQRT(Table25[[#This Row],[Iout]]^2+(Table25[[#This Row],[Ripple Current pk-pk]]^2)/12))</f>
        <v>1.1624867295970649</v>
      </c>
      <c r="AB29" s="345">
        <f>RCoutEsr*Table25[[#This Row],[Irms Cout]]^2</f>
        <v>2.702750792978559E-3</v>
      </c>
      <c r="AC29" s="345">
        <f>Table25[[#This Row],[Cout ESR Loss]]</f>
        <v>2.702750792978559E-3</v>
      </c>
      <c r="AD29" s="292">
        <f>IF(Table25[[#This Row],[Vin]]&gt;Vout, SQRT(Table25[[#This Row],[Duty Cycle BUCK Leg]]*(1-Table25[[#This Row],[Duty Cycle BUCK Leg]]))*SQRT(Table25[[#This Row],[Iout]]^2+(Table25[[#This Row],[Ripple Current pk-pk]]^2)/12), Table25[[#This Row],[Ripple Current pk-pk]]/SQRT(12))</f>
        <v>1.2136257812940301</v>
      </c>
      <c r="AE29" s="345">
        <f>RCinEsr*Table25[[#This Row],[Irms Cin]]^2</f>
        <v>2.9457750740430901E-3</v>
      </c>
      <c r="AF29" s="683">
        <f>Table25[[#This Row],[Cin ESR Loss]]</f>
        <v>2.9457750740430901E-3</v>
      </c>
      <c r="AG29" s="345">
        <f>Table25[[#This Row],[Irms Lf]]</f>
        <v>2.5525810333081482</v>
      </c>
      <c r="AH29" s="345">
        <f>Rdson1*Table25[[#This Row],[Irms BuCtrl]]^2</f>
        <v>2.2804844760615728E-2</v>
      </c>
      <c r="AI29" s="345">
        <f>CHOOSE(Table25[[#This Row],[Mode Digit]], (Table25[[#This Row],[Vin]]*Table25[[#This Row],[Iout]]/2)*(Fsw)*(Tr_buck+Tf_buck), 0, (Table25[[#This Row],[Vin]]*Table25[[#This Row],[Avg IL]]/2)*(Fsw/1)*(Tr_buck+Tf_buck))</f>
        <v>0</v>
      </c>
      <c r="AJ29" s="253">
        <f>IF(Table25[[#This Row],[Vin]]&gt;Vout, IF(Table25[[#This Row],[Iout]]&gt;Table25[[#This Row],[Ripple Current pk-pk]]/2,0,ABS(Table25[[#This Row],[Iout]]-Table25[[#This Row],[Ripple Current pk-pk]]/2)*Vsd_Q1*Deadtime*Fsw),0)</f>
        <v>0</v>
      </c>
      <c r="AK29" s="345">
        <f>(Table25[[#This Row],[Dead Time Loss BuCtrl]]+Table25[[#This Row],[Transition Loss BuCtrl]]+Table25[[#This Row],[RDS(on) Loss BuCtrl]]*(1+RdsonTopTc*Ta-RdsonTopTc*25))/(1-Table25[[#This Row],[RDS(on) Loss BuCtrl]]*RdsonTopTc*ThetaJA_Q1)</f>
        <v>2.2940867118074144E-2</v>
      </c>
      <c r="AL29" s="345">
        <f>Table25[[#This Row],[Irms Lf]]</f>
        <v>2.5525810333081482</v>
      </c>
      <c r="AM29" s="345">
        <f>Rdson2*Table25[[#This Row],[Irms BuSync]]^2</f>
        <v>2.2804844760615728E-2</v>
      </c>
      <c r="AN29"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29" s="345">
        <f>(Table25[[#This Row],[Deadtime Loss BuSync]]+Table25[[#This Row],[RDS(on) Loss BuSync]]*(1+RdsonBotTc*Ta-RdsonBotTc*25))/(1-Table25[[#This Row],[RDS(on) Loss BuSync]]*RdsonBotTc*ThetaJA_Q2)</f>
        <v>2.2940867118074144E-2</v>
      </c>
      <c r="AP29" s="345">
        <f>Table25[[#This Row],[Irms Lf]]</f>
        <v>2.5525810333081482</v>
      </c>
      <c r="AQ29" s="345">
        <f>Rdson4*Table25[[#This Row],[Irms BoCtlr]]^2</f>
        <v>2.2804844760615728E-2</v>
      </c>
      <c r="AR29" s="345">
        <f>CHOOSE(Table25[[#This Row],[Mode Digit]], 0, (Vout*Table25[[#This Row],[Iin]]/2)*(Fsw)*(Tr_boost+Tf_boost), (Vout*Iout/2)*(Fsw/1)*(Tr_boost+Tf_boost))</f>
        <v>0.13351388319063101</v>
      </c>
      <c r="AS29" s="345">
        <f>IF(Table25[[#This Row],[Vin]]&gt;Vout, 0, IF(Table25[[#This Row],[Iin]]&gt;Table25[[#This Row],[Ripple Current pk-pk]]/2,0,ABS(Table25[[#This Row],[Iin]]-Table25[[#This Row],[Ripple Current pk-pk]]/2)*Vsd_Q4*Deadtime*Fsw))</f>
        <v>0</v>
      </c>
      <c r="AT29" s="345">
        <f>(Table25[[#This Row],[Dead Time Loss BoCtlr]]+Table25[[#This Row],[Transition Loss BoCtlr]]+Table25[[#This Row],[RDS(on) Loss BoCtlr]]*(1+RdsonTopTc*Ta-RdsonTopTc*25))/(1-Table25[[#This Row],[RDS(on) Loss BoCtlr]]*RdsonTopTc*ThetaJA_Q4)</f>
        <v>0.15725111061440569</v>
      </c>
      <c r="AU29" s="345">
        <f>Table25[[#This Row],[Irms Lf]]</f>
        <v>2.5525810333081482</v>
      </c>
      <c r="AV29" s="345">
        <f>Rdson3*Table25[[#This Row],[Irms BoSync]]^2</f>
        <v>2.2804844760615728E-2</v>
      </c>
      <c r="AW29"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6.7031578947368414E-2</v>
      </c>
      <c r="AX29" s="345">
        <f>(Table25[[#This Row],[Deadtime Loss BoSync]]+Table25[[#This Row],[RDS(on) Loss BoSync]]*(1+RdsonBotTc*Ta-RdsonBotTc*25))/(1-Table25[[#This Row],[RDS(on) Loss BoSync]]*RdsonBotTc*ThetaJA_Q3)</f>
        <v>9.0372264327232596E-2</v>
      </c>
      <c r="AY29" s="345">
        <f>CHOOSE(Table25[[#This Row],[Mode Digit]], Rdson3*Table25[[#This Row],[Irms Lf]]^2, Rdson1*Table25[[#This Row],[Irms Lf]]^2, 0)</f>
        <v>2.2804844760615728E-2</v>
      </c>
      <c r="AZ29" s="345">
        <f>CHOOSE(Table25[[#This Row],[Mode Digit]], 2*Deadtime*Fsw*IF(VfdSky_Q2&gt;0,VfdSky_Q2,0)*Table25[[#This Row],[Iout]], 2*Deadtime*Fsw*IF(VfdSky_Q3&gt;0,VfdSky_Q3,0)*Table25[[#This Row],[Iin]], 2*Deadtime*Fsw*IF(VfdSky_Q2&gt;0,VfdSky_Q2,0)*Table25[[#This Row],[Iout]]+2*Deadtime*Fsw*IF(VfdSky_Q3&gt;0,VfdSky_Q3,0)*Table25[[#This Row],[Iin]])</f>
        <v>0</v>
      </c>
      <c r="BA29"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29"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29" s="345">
        <f>CHOOSE(Table25[[#This Row],[Mode Digit]], Rs*Table25[[#This Row],[Irms BuSync]]^2, Rs*Table25[[#This Row],[Irms BoCtlr]]^2, Rs*(Table25[[#This Row],[Irms BuSync]]^2+Table25[[#This Row],[Irms BoCtlr]]^2))</f>
        <v>8.4703709110858418E-3</v>
      </c>
      <c r="BD29" s="345">
        <f t="shared" si="1"/>
        <v>0.64</v>
      </c>
      <c r="BE29" s="345">
        <f>IF(Vout&gt;8, Iq*Vout, Iq*Table25[[#This Row],[Vin]])</f>
        <v>4.8000000000000001E-2</v>
      </c>
      <c r="BF29" s="345">
        <f>CHOOSE(Table25[[#This Row],[Mode Digit]], (Qg_Q1+Qg_Q2)*Fsw, (Qg_Q3+Qg_Q4)*Fsw, (Qg_Q1+Qg_Q2+Qg_Q3+Qg_Q4)*Fsw)*IF(Vout&gt;8,  MIN( Table25[[#This Row],[Vin]], Vout), Table25[[#This Row],[Vin]])</f>
        <v>0.63998400000000011</v>
      </c>
      <c r="BG29" s="345">
        <f t="shared" si="4"/>
        <v>0.50594479787234037</v>
      </c>
      <c r="BH29" s="345">
        <f>Table25[[#This Row],[IQ Loss]]+Table25[[#This Row],[Switching Current Loss]]</f>
        <v>0.68798400000000015</v>
      </c>
      <c r="BI29"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2.9659874237853718</v>
      </c>
      <c r="BJ29" s="253">
        <f>Vout*Table25[[#This Row],[Iout]]</f>
        <v>25.6</v>
      </c>
      <c r="BK29" s="684">
        <f>Table25[[#This Row],[Pout]]/(Table25[[#This Row],[Pout]]+Table25[[#This Row],[Total Loss]])</f>
        <v>0.89617066689192226</v>
      </c>
      <c r="BL29" s="685">
        <f>IF(Table25[[#This Row],[Vin]]&gt;Vout,ThetaJA_Q1*(Table25[[#This Row],[Total Control Bu MOSFET Loss]]+Table25[[#This Row],[Reverse Recovery Loss MOSFET D BUCK]]),ThetaJA_Q4*(Table25[[#This Row],[Total Control Bo MOSFET Loss]]+Table25[[#This Row],[Reverse Recovery Loss MOSFET D BOOST]]))</f>
        <v>33.40084218993637</v>
      </c>
      <c r="BM29" s="685">
        <f>IF(Table25[[#This Row],[Vin]]&gt;Vout, Table25[[#This Row],[Total Sync Bu MOSFET Loss]]*ThetaJA_Q2, ThetaJA_Q3*Table25[[#This Row],[Total Sync Bo MOSFET Loss]])</f>
        <v>5.8741971812701186</v>
      </c>
      <c r="BN29" s="640"/>
      <c r="BO29" s="292">
        <f>Table25[[#This Row],[EFF, h]]*100</f>
        <v>89.617066689192228</v>
      </c>
      <c r="BP29" s="345">
        <f>Table25[[#This Row],[Total Inductor Loss]]</f>
        <v>0.61716341782947715</v>
      </c>
      <c r="BQ29" s="345">
        <f>Table25[[#This Row],[Total Control Bu MOSFET Loss]]+Table25[[#This Row],[Total Sync Bu MOSFET Loss]]+Table25[[#This Row],[Total Control Bo MOSFET Loss]]+Table25[[#This Row],[Total Sync Bo MOSFET Loss]]+Table25[[#This Row],[Reverse Recovery Loss MOSFET D BUCK]]+Table25[[#This Row],[Reverse Recovery Loss MOSFET D BOOST]]</f>
        <v>1.0067211091777866</v>
      </c>
      <c r="BR29" s="345">
        <f xml:space="preserve"> Table25[[#This Row],[Total Control Bu MOSFET Loss]]+Table25[[#This Row],[Reverse Recovery Loss MOSFET D BUCK]]*0.66</f>
        <v>0.25830214711807414</v>
      </c>
      <c r="BS29" s="345">
        <f>Table25[[#This Row],[Total Sync Bu MOSFET Loss]]+Table25[[#This Row],[Reverse Recovery Loss MOSFET D BUCK]]*0.33</f>
        <v>0.14062150711807414</v>
      </c>
      <c r="BT29" s="345">
        <f xml:space="preserve"> Table25[[#This Row],[Total Control Bo MOSFET Loss]]+Table25[[#This Row],[Reverse Recovery Loss MOSFET D BOOST]]*0.66</f>
        <v>0.39261239061440567</v>
      </c>
      <c r="BU29" s="345">
        <f xml:space="preserve"> Table25[[#This Row],[Total Sync Bo MOSFET Loss]]+Table25[[#This Row],[Reverse Recovery Loss MOSFET D BOOST]]*0.33</f>
        <v>0.20805290432723261</v>
      </c>
      <c r="BV29" s="345">
        <f>Table25[[#This Row],[Isense Shunt Loss]]</f>
        <v>8.4703709110858418E-3</v>
      </c>
      <c r="BZ29" s="253" t="s">
        <v>155</v>
      </c>
      <c r="CA29" s="253">
        <v>9.9987899999999996</v>
      </c>
      <c r="CB29" s="253">
        <v>0.1958</v>
      </c>
      <c r="CC29" s="253">
        <v>5.1217600000000001</v>
      </c>
      <c r="CD29" s="253">
        <v>75.662516566515876</v>
      </c>
      <c r="CE29" s="253">
        <v>322.57199766699983</v>
      </c>
    </row>
    <row r="30" spans="1:92" ht="13.6" x14ac:dyDescent="0.25">
      <c r="A30" s="690" t="s">
        <v>64</v>
      </c>
      <c r="B30" s="569">
        <f>RdsonDRB</f>
        <v>1.5</v>
      </c>
      <c r="C30" s="702" t="s">
        <v>118</v>
      </c>
      <c r="D30" s="255" t="s">
        <v>641</v>
      </c>
      <c r="G30" s="253">
        <v>21</v>
      </c>
      <c r="H30" s="286">
        <f t="shared" si="0"/>
        <v>12</v>
      </c>
      <c r="I30" s="292" t="str">
        <f>IF(Mode = 2,IF(Table25[[#This Row],[Vin]]&gt;Vout, "BUCK","BOOST"),IF(Table25[[#This Row],[Vin]]&gt;VIN_BB_to_buck, "BUCK", IF(Table25[[#This Row],[Vin]]&lt;=VIN_boost_to_BB,"BOOST","BUCK-BST")))</f>
        <v>BOOST</v>
      </c>
      <c r="J30" s="253">
        <f>IF(Table25[[#This Row],[Mode]]="BOOST",2, IF(Table25[[#This Row],[Mode]]="BUCK", 1,3))</f>
        <v>2</v>
      </c>
      <c r="K30" s="345">
        <f t="shared" si="3"/>
        <v>1.68</v>
      </c>
      <c r="L30" s="292">
        <f>Vout*Table25[[#This Row],[Iout]]/(Table25[[#This Row],[Vin]]*Efficiency)</f>
        <v>2.3578947368421055</v>
      </c>
      <c r="M30" s="682">
        <f>CHOOSE(Table25[[#This Row],[Mode Digit]],(Vout+(Rdson2+Rs+Rdcr)*Table25[[#This Row],[Iout]])/(Table25[[#This Row],[Vin]]+(Rs+Rdson2-Rdson1)*Table25[[#This Row],[Iout]])/Fsw,(Vout+(Rdson3+Rdcr)*Table25[[#This Row],[Iin]]-Table25[[#This Row],[Vin]])/(Vout+(Rdson3-Rdson4-Rs)*Table25[[#This Row],[Iin]])/Fsw,t1_Ph_II)</f>
        <v>6.3074236565458494E-7</v>
      </c>
      <c r="N30" s="518">
        <f>CHOOSE(Table25[[#This Row],[Mode Digit]],1/Fsw-Table25[[#This Row],[t1_Ph_II]],1/Fsw-Table25[[#This Row],[t1_Ph_II]],(Vout/Fsw-Table25[[#This Row],[Vin]]*t1_Ph_II)/(Table25[[#This Row],[Vin]]+Vout))</f>
        <v>1.881820448415767E-6</v>
      </c>
      <c r="O30" s="518">
        <f>1/Fsw-(Table25[[#This Row],[t1_Ph_II]]+Table25[[#This Row],[t2_Ph_I]])</f>
        <v>0</v>
      </c>
      <c r="P30"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0.25542018466015604</v>
      </c>
      <c r="Q30" s="292">
        <f>CHOOSE(Table25[[#This Row],[Mode Digit]],Table25[[#This Row],[I_0]]+1/Lf*(Table25[[#This Row],[Vin]]-Vout)*Table25[[#This Row],[t1_Ph_II]],Table25[[#This Row],[I_0]]+1/Lf*Table25[[#This Row],[Vin]]*Table25[[#This Row],[t1_Ph_II]],Table25[[#This Row],[I_0]]+(Table25[[#This Row],[Vin]]-Vout)/L*Table25[[#This Row],[t1_Ph_II]])</f>
        <v>4.4603692890240545</v>
      </c>
      <c r="R30" s="292">
        <f>CHOOSE(Table25[[#This Row],[Mode Digit]],0,0,Table25[[#This Row],[I_1]]+Table25[[#This Row],[Vin]]/L*Table25[[#This Row],[t2_Ph_I]])</f>
        <v>0</v>
      </c>
      <c r="S30" s="292">
        <f>Fsw*(Table25[[#This Row],[I_0]]*Table25[[#This Row],[t1_Ph_II]]+Table25[[#This Row],[I_1]]*Table25[[#This Row],[t2_Ph_I]]+Table25[[#This Row],[I_2]]*Table25[[#This Row],[t3_Ph_III]])</f>
        <v>3.4047779498976967</v>
      </c>
      <c r="T30" s="345">
        <f>CHOOSE(Table25[[#This Row],[Mode Digit]],(Vout+(Rdson2+Rs+Rdcr)*Table25[[#This Row],[Iout]])/(Table25[[#This Row],[Vin]]+(Rs+Rdson2-Rdson1)*Table25[[#This Row],[Iout]]),1,Fsw*Table25[[#This Row],[t2_Ph_I]]+Table25[[#This Row],[t1_Ph_II]])</f>
        <v>1</v>
      </c>
      <c r="U30" s="345">
        <f>CHOOSE(Table25[[#This Row],[Mode Digit]],0,(Vout+(Rdson3+Rdcr)*Table25[[#This Row],[Iin]]-Table25[[#This Row],[Vin]])/(Vout+(Rdson3-Rdson4-Rs)*Table25[[#This Row],[Iin]]),Fsw*Table25[[#This Row],[t1_Ph_II]]+Table25[[#This Row],[t3_Ph_III]])</f>
        <v>0.25103546153052481</v>
      </c>
      <c r="V30" s="292">
        <f>MAX(Table25[[#This Row],[I_0]:[I_2]])-MIN(Table25[[#This Row],[I_0]:[I_1]])</f>
        <v>4.204949104363898</v>
      </c>
      <c r="W30"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2.6520056568979253</v>
      </c>
      <c r="X30" s="345">
        <f>(Table25[[#This Row],[Irms Lf]]^2*Rdcr*(1+Ltc*Ta-Ltc*25))/(1-Table25[[#This Row],[Irms Lf]]^2*Rdcr*Ltc*ThetaCa)</f>
        <v>2.2546623610349245E-2</v>
      </c>
      <c r="Y30" s="345">
        <f>ABS(7.759*10^-3*Fsw^0.9458*(0.00787*Table25[[#This Row],[Ripple Current pk-pk]])^2.304)</f>
        <v>0.59654841753420551</v>
      </c>
      <c r="Z30" s="345">
        <f>Table25[[#This Row],[DCR    Loss]]+Table25[[#This Row],[Core Loss]]</f>
        <v>0.61909504114455471</v>
      </c>
      <c r="AA30" s="292">
        <f>IF(Table25[[#This Row],[Vin]]&gt;Vout, Table25[[#This Row],[Ripple Current pk-pk]]/SQRT(12), SQRT(Table25[[#This Row],[Duty Cycle BOOST Leg]]/(1-Table25[[#This Row],[Duty Cycle BOOST Leg]]))*SQRT(Table25[[#This Row],[Iout]]^2+(Table25[[#This Row],[Ripple Current pk-pk]]^2)/12))</f>
        <v>1.1999476335409516</v>
      </c>
      <c r="AB30" s="345">
        <f>RCoutEsr*Table25[[#This Row],[Irms Cout]]^2</f>
        <v>2.8797486464810598E-3</v>
      </c>
      <c r="AC30" s="345">
        <f>Table25[[#This Row],[Cout ESR Loss]]</f>
        <v>2.8797486464810598E-3</v>
      </c>
      <c r="AD30" s="292">
        <f>IF(Table25[[#This Row],[Vin]]&gt;Vout, SQRT(Table25[[#This Row],[Duty Cycle BUCK Leg]]*(1-Table25[[#This Row],[Duty Cycle BUCK Leg]]))*SQRT(Table25[[#This Row],[Iout]]^2+(Table25[[#This Row],[Ripple Current pk-pk]]^2)/12), Table25[[#This Row],[Ripple Current pk-pk]]/SQRT(12))</f>
        <v>1.2138642486665863</v>
      </c>
      <c r="AE30" s="345">
        <f>RCinEsr*Table25[[#This Row],[Irms Cin]]^2</f>
        <v>2.9469328283817922E-3</v>
      </c>
      <c r="AF30" s="683">
        <f>Table25[[#This Row],[Cin ESR Loss]]</f>
        <v>2.9469328283817922E-3</v>
      </c>
      <c r="AG30" s="345">
        <f>Table25[[#This Row],[Irms Lf]]</f>
        <v>2.6520056568979253</v>
      </c>
      <c r="AH30" s="345">
        <f>Rdson1*Table25[[#This Row],[Irms BuCtrl]]^2</f>
        <v>2.461596901476509E-2</v>
      </c>
      <c r="AI30" s="345">
        <f>CHOOSE(Table25[[#This Row],[Mode Digit]], (Table25[[#This Row],[Vin]]*Table25[[#This Row],[Iout]]/2)*(Fsw)*(Tr_buck+Tf_buck), 0, (Table25[[#This Row],[Vin]]*Table25[[#This Row],[Avg IL]]/2)*(Fsw/1)*(Tr_buck+Tf_buck))</f>
        <v>0</v>
      </c>
      <c r="AJ30" s="253">
        <f>IF(Table25[[#This Row],[Vin]]&gt;Vout, IF(Table25[[#This Row],[Iout]]&gt;Table25[[#This Row],[Ripple Current pk-pk]]/2,0,ABS(Table25[[#This Row],[Iout]]-Table25[[#This Row],[Ripple Current pk-pk]]/2)*Vsd_Q1*Deadtime*Fsw),0)</f>
        <v>0</v>
      </c>
      <c r="AK30" s="345">
        <f>(Table25[[#This Row],[Dead Time Loss BuCtrl]]+Table25[[#This Row],[Transition Loss BuCtrl]]+Table25[[#This Row],[RDS(on) Loss BuCtrl]]*(1+RdsonTopTc*Ta-RdsonTopTc*25))/(1-Table25[[#This Row],[RDS(on) Loss BuCtrl]]*RdsonTopTc*ThetaJA_Q1)</f>
        <v>2.4774529769627868E-2</v>
      </c>
      <c r="AL30" s="345">
        <f>Table25[[#This Row],[Irms Lf]]</f>
        <v>2.6520056568979253</v>
      </c>
      <c r="AM30" s="345">
        <f>Rdson2*Table25[[#This Row],[Irms BuSync]]^2</f>
        <v>2.461596901476509E-2</v>
      </c>
      <c r="AN30"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30" s="345">
        <f>(Table25[[#This Row],[Deadtime Loss BuSync]]+Table25[[#This Row],[RDS(on) Loss BuSync]]*(1+RdsonBotTc*Ta-RdsonBotTc*25))/(1-Table25[[#This Row],[RDS(on) Loss BuSync]]*RdsonBotTc*ThetaJA_Q2)</f>
        <v>2.4774529769627868E-2</v>
      </c>
      <c r="AP30" s="345">
        <f>Table25[[#This Row],[Irms Lf]]</f>
        <v>2.6520056568979253</v>
      </c>
      <c r="AQ30" s="345">
        <f>Rdson4*Table25[[#This Row],[Irms BoCtlr]]^2</f>
        <v>2.461596901476509E-2</v>
      </c>
      <c r="AR30" s="345">
        <f>CHOOSE(Table25[[#This Row],[Mode Digit]], 0, (Vout*Table25[[#This Row],[Iin]]/2)*(Fsw)*(Tr_boost+Tf_boost), (Vout*Iout/2)*(Fsw/1)*(Tr_boost+Tf_boost))</f>
        <v>0.14018957735016255</v>
      </c>
      <c r="AS30" s="345">
        <f>IF(Table25[[#This Row],[Vin]]&gt;Vout, 0, IF(Table25[[#This Row],[Iin]]&gt;Table25[[#This Row],[Ripple Current pk-pk]]/2,0,ABS(Table25[[#This Row],[Iin]]-Table25[[#This Row],[Ripple Current pk-pk]]/2)*Vsd_Q4*Deadtime*Fsw))</f>
        <v>0</v>
      </c>
      <c r="AT30" s="345">
        <f>(Table25[[#This Row],[Dead Time Loss BoCtlr]]+Table25[[#This Row],[Transition Loss BoCtlr]]+Table25[[#This Row],[RDS(on) Loss BoCtlr]]*(1+RdsonTopTc*Ta-RdsonTopTc*25))/(1-Table25[[#This Row],[RDS(on) Loss BoCtlr]]*RdsonTopTc*ThetaJA_Q4)</f>
        <v>0.16586712114272822</v>
      </c>
      <c r="AU30" s="345">
        <f>Table25[[#This Row],[Irms Lf]]</f>
        <v>2.6520056568979253</v>
      </c>
      <c r="AV30" s="345">
        <f>Rdson3*Table25[[#This Row],[Irms BoSync]]^2</f>
        <v>2.461596901476509E-2</v>
      </c>
      <c r="AW30"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7.0383157894736842E-2</v>
      </c>
      <c r="AX30" s="345">
        <f>(Table25[[#This Row],[Deadtime Loss BoSync]]+Table25[[#This Row],[RDS(on) Loss BoSync]]*(1+RdsonBotTc*Ta-RdsonBotTc*25))/(1-Table25[[#This Row],[RDS(on) Loss BoSync]]*RdsonBotTc*ThetaJA_Q3)</f>
        <v>9.5611052170906041E-2</v>
      </c>
      <c r="AY30" s="345">
        <f>CHOOSE(Table25[[#This Row],[Mode Digit]], Rdson3*Table25[[#This Row],[Irms Lf]]^2, Rdson1*Table25[[#This Row],[Irms Lf]]^2, 0)</f>
        <v>2.461596901476509E-2</v>
      </c>
      <c r="AZ30" s="345">
        <f>CHOOSE(Table25[[#This Row],[Mode Digit]], 2*Deadtime*Fsw*IF(VfdSky_Q2&gt;0,VfdSky_Q2,0)*Table25[[#This Row],[Iout]], 2*Deadtime*Fsw*IF(VfdSky_Q3&gt;0,VfdSky_Q3,0)*Table25[[#This Row],[Iin]], 2*Deadtime*Fsw*IF(VfdSky_Q2&gt;0,VfdSky_Q2,0)*Table25[[#This Row],[Iout]]+2*Deadtime*Fsw*IF(VfdSky_Q3&gt;0,VfdSky_Q3,0)*Table25[[#This Row],[Iin]])</f>
        <v>0</v>
      </c>
      <c r="BA30"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30"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30" s="345">
        <f>CHOOSE(Table25[[#This Row],[Mode Digit]], Rs*Table25[[#This Row],[Irms BuSync]]^2, Rs*Table25[[#This Row],[Irms BoCtlr]]^2, Rs*(Table25[[#This Row],[Irms BuSync]]^2+Table25[[#This Row],[Irms BoCtlr]]^2))</f>
        <v>9.1430742054841758E-3</v>
      </c>
      <c r="BD30" s="345">
        <f t="shared" si="1"/>
        <v>0.64</v>
      </c>
      <c r="BE30" s="345">
        <f>IF(Vout&gt;8, Iq*Vout, Iq*Table25[[#This Row],[Vin]])</f>
        <v>4.8000000000000001E-2</v>
      </c>
      <c r="BF30" s="345">
        <f>CHOOSE(Table25[[#This Row],[Mode Digit]], (Qg_Q1+Qg_Q2)*Fsw, (Qg_Q3+Qg_Q4)*Fsw, (Qg_Q1+Qg_Q2+Qg_Q3+Qg_Q4)*Fsw)*IF(Vout&gt;8,  MIN( Table25[[#This Row],[Vin]], Vout), Table25[[#This Row],[Vin]])</f>
        <v>0.63998400000000011</v>
      </c>
      <c r="BG30" s="345">
        <f t="shared" si="4"/>
        <v>0.50594479787234037</v>
      </c>
      <c r="BH30" s="345">
        <f>Table25[[#This Row],[IQ Loss]]+Table25[[#This Row],[Switching Current Loss]]</f>
        <v>0.68798400000000015</v>
      </c>
      <c r="BI30"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2.9862920296777919</v>
      </c>
      <c r="BJ30" s="253">
        <f>Vout*Table25[[#This Row],[Iout]]</f>
        <v>26.88</v>
      </c>
      <c r="BK30" s="684">
        <f>Table25[[#This Row],[Pout]]/(Table25[[#This Row],[Pout]]+Table25[[#This Row],[Total Loss]])</f>
        <v>0.90001128942587361</v>
      </c>
      <c r="BL30" s="685">
        <f>IF(Table25[[#This Row],[Vin]]&gt;Vout,ThetaJA_Q1*(Table25[[#This Row],[Total Control Bu MOSFET Loss]]+Table25[[#This Row],[Reverse Recovery Loss MOSFET D BUCK]]),ThetaJA_Q4*(Table25[[#This Row],[Total Control Bo MOSFET Loss]]+Table25[[#This Row],[Reverse Recovery Loss MOSFET D BOOST]]))</f>
        <v>33.960882874277331</v>
      </c>
      <c r="BM30" s="685">
        <f>IF(Table25[[#This Row],[Vin]]&gt;Vout, Table25[[#This Row],[Total Sync Bu MOSFET Loss]]*ThetaJA_Q2, ThetaJA_Q3*Table25[[#This Row],[Total Sync Bo MOSFET Loss]])</f>
        <v>6.2147183911088923</v>
      </c>
      <c r="BN30" s="640"/>
      <c r="BO30" s="292">
        <f>Table25[[#This Row],[EFF, h]]*100</f>
        <v>90.001128942587357</v>
      </c>
      <c r="BP30" s="345">
        <f>Table25[[#This Row],[Total Inductor Loss]]</f>
        <v>0.61909504114455471</v>
      </c>
      <c r="BQ30" s="345">
        <f>Table25[[#This Row],[Total Control Bu MOSFET Loss]]+Table25[[#This Row],[Total Sync Bu MOSFET Loss]]+Table25[[#This Row],[Total Control Bo MOSFET Loss]]+Table25[[#This Row],[Total Sync Bo MOSFET Loss]]+Table25[[#This Row],[Reverse Recovery Loss MOSFET D BUCK]]+Table25[[#This Row],[Reverse Recovery Loss MOSFET D BOOST]]</f>
        <v>1.0242432328528901</v>
      </c>
      <c r="BR30" s="345">
        <f xml:space="preserve"> Table25[[#This Row],[Total Control Bu MOSFET Loss]]+Table25[[#This Row],[Reverse Recovery Loss MOSFET D BUCK]]*0.66</f>
        <v>0.26013580976962786</v>
      </c>
      <c r="BS30" s="345">
        <f>Table25[[#This Row],[Total Sync Bu MOSFET Loss]]+Table25[[#This Row],[Reverse Recovery Loss MOSFET D BUCK]]*0.33</f>
        <v>0.14245516976962788</v>
      </c>
      <c r="BT30" s="345">
        <f xml:space="preserve"> Table25[[#This Row],[Total Control Bo MOSFET Loss]]+Table25[[#This Row],[Reverse Recovery Loss MOSFET D BOOST]]*0.66</f>
        <v>0.40122840114272823</v>
      </c>
      <c r="BU30" s="345">
        <f xml:space="preserve"> Table25[[#This Row],[Total Sync Bo MOSFET Loss]]+Table25[[#This Row],[Reverse Recovery Loss MOSFET D BOOST]]*0.33</f>
        <v>0.21329169217090604</v>
      </c>
      <c r="BV30" s="345">
        <f>Table25[[#This Row],[Isense Shunt Loss]]</f>
        <v>9.1430742054841758E-3</v>
      </c>
      <c r="CA30" s="253">
        <v>9.9987659999999998</v>
      </c>
      <c r="CB30" s="253">
        <v>0.2681</v>
      </c>
      <c r="CC30" s="253">
        <v>5.1224080000000001</v>
      </c>
      <c r="CD30" s="253">
        <v>80.957553445887683</v>
      </c>
      <c r="CE30" s="253">
        <v>323.02506068319997</v>
      </c>
    </row>
    <row r="31" spans="1:92" ht="13.6" x14ac:dyDescent="0.25">
      <c r="A31" s="690" t="s">
        <v>147</v>
      </c>
      <c r="B31" s="569">
        <v>1</v>
      </c>
      <c r="C31" s="702" t="s">
        <v>118</v>
      </c>
      <c r="D31" s="255" t="s">
        <v>640</v>
      </c>
      <c r="G31" s="253">
        <v>22</v>
      </c>
      <c r="H31" s="286">
        <f t="shared" si="0"/>
        <v>12</v>
      </c>
      <c r="I31" s="292" t="str">
        <f>IF(Mode = 2,IF(Table25[[#This Row],[Vin]]&gt;Vout, "BUCK","BOOST"),IF(Table25[[#This Row],[Vin]]&gt;VIN_BB_to_buck, "BUCK", IF(Table25[[#This Row],[Vin]]&lt;=VIN_boost_to_BB,"BOOST","BUCK-BST")))</f>
        <v>BOOST</v>
      </c>
      <c r="J31" s="253">
        <f>IF(Table25[[#This Row],[Mode]]="BOOST",2, IF(Table25[[#This Row],[Mode]]="BUCK", 1,3))</f>
        <v>2</v>
      </c>
      <c r="K31" s="345">
        <f t="shared" si="3"/>
        <v>1.76</v>
      </c>
      <c r="L31" s="292">
        <f>Vout*Table25[[#This Row],[Iout]]/(Table25[[#This Row],[Vin]]*Efficiency)</f>
        <v>2.4701754385964914</v>
      </c>
      <c r="M31" s="682">
        <f>CHOOSE(Table25[[#This Row],[Mode Digit]],(Vout+(Rdson2+Rs+Rdcr)*Table25[[#This Row],[Iout]])/(Table25[[#This Row],[Vin]]+(Rs+Rdson2-Rdson1)*Table25[[#This Row],[Iout]])/Fsw,(Vout+(Rdson3+Rdcr)*Table25[[#This Row],[Iin]]-Table25[[#This Row],[Vin]])/(Vout+(Rdson3-Rdson4-Rs)*Table25[[#This Row],[Iin]])/Fsw,t1_Ph_II)</f>
        <v>6.3086627919744056E-7</v>
      </c>
      <c r="N31" s="518">
        <f>CHOOSE(Table25[[#This Row],[Mode Digit]],1/Fsw-Table25[[#This Row],[t1_Ph_II]],1/Fsw-Table25[[#This Row],[t1_Ph_II]],(Vout/Fsw-Table25[[#This Row],[Vin]]*t1_Ph_II)/(Table25[[#This Row],[Vin]]+Vout))</f>
        <v>1.8816965348729113E-6</v>
      </c>
      <c r="O31" s="518">
        <f>1/Fsw-(Table25[[#This Row],[t1_Ph_II]]+Table25[[#This Row],[t2_Ph_I]])</f>
        <v>0</v>
      </c>
      <c r="P31"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0.36728784127168979</v>
      </c>
      <c r="Q31" s="292">
        <f>CHOOSE(Table25[[#This Row],[Mode Digit]],Table25[[#This Row],[I_0]]+1/Lf*(Table25[[#This Row],[Vin]]-Vout)*Table25[[#This Row],[t1_Ph_II]],Table25[[#This Row],[I_0]]+1/Lf*Table25[[#This Row],[Vin]]*Table25[[#This Row],[t1_Ph_II]],Table25[[#This Row],[I_0]]+(Table25[[#This Row],[Vin]]-Vout)/L*Table25[[#This Row],[t1_Ph_II]])</f>
        <v>4.5730630359212929</v>
      </c>
      <c r="R31" s="292">
        <f>CHOOSE(Table25[[#This Row],[Mode Digit]],0,0,Table25[[#This Row],[I_1]]+Table25[[#This Row],[Vin]]/L*Table25[[#This Row],[t2_Ph_I]])</f>
        <v>0</v>
      </c>
      <c r="S31" s="292">
        <f>Fsw*(Table25[[#This Row],[I_0]]*Table25[[#This Row],[t1_Ph_II]]+Table25[[#This Row],[I_1]]*Table25[[#This Row],[t2_Ph_I]]+Table25[[#This Row],[I_2]]*Table25[[#This Row],[t3_Ph_III]])</f>
        <v>3.5170569001418777</v>
      </c>
      <c r="T31" s="345">
        <f>CHOOSE(Table25[[#This Row],[Mode Digit]],(Vout+(Rdson2+Rs+Rdcr)*Table25[[#This Row],[Iout]])/(Table25[[#This Row],[Vin]]+(Rs+Rdson2-Rdson1)*Table25[[#This Row],[Iout]]),1,Fsw*Table25[[#This Row],[t2_Ph_I]]+Table25[[#This Row],[t1_Ph_II]])</f>
        <v>1</v>
      </c>
      <c r="U31" s="345">
        <f>CHOOSE(Table25[[#This Row],[Mode Digit]],0,(Vout+(Rdson3+Rdcr)*Table25[[#This Row],[Iin]]-Table25[[#This Row],[Vin]])/(Vout+(Rdson3-Rdson4-Rs)*Table25[[#This Row],[Iin]]),Fsw*Table25[[#This Row],[t1_Ph_II]]+Table25[[#This Row],[t3_Ph_III]])</f>
        <v>0.25108477912058136</v>
      </c>
      <c r="V31" s="292">
        <f>MAX(Table25[[#This Row],[I_0]:[I_2]])-MIN(Table25[[#This Row],[I_0]:[I_1]])</f>
        <v>4.2057751946496031</v>
      </c>
      <c r="W31"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2.7524193199994427</v>
      </c>
      <c r="X31" s="345">
        <f>(Table25[[#This Row],[Irms Lf]]^2*Rdcr*(1+Ltc*Ta-Ltc*25))/(1-Table25[[#This Row],[Irms Lf]]^2*Rdcr*Ltc*ThetaCa)</f>
        <v>2.428970641046416E-2</v>
      </c>
      <c r="Y31" s="345">
        <f>ABS(7.759*10^-3*Fsw^0.9458*(0.00787*Table25[[#This Row],[Ripple Current pk-pk]])^2.304)</f>
        <v>0.59681847150695488</v>
      </c>
      <c r="Z31" s="345">
        <f>Table25[[#This Row],[DCR    Loss]]+Table25[[#This Row],[Core Loss]]</f>
        <v>0.62110817791741901</v>
      </c>
      <c r="AA31" s="292">
        <f>IF(Table25[[#This Row],[Vin]]&gt;Vout, Table25[[#This Row],[Ripple Current pk-pk]]/SQRT(12), SQRT(Table25[[#This Row],[Duty Cycle BOOST Leg]]/(1-Table25[[#This Row],[Duty Cycle BOOST Leg]]))*SQRT(Table25[[#This Row],[Iout]]^2+(Table25[[#This Row],[Ripple Current pk-pk]]^2)/12))</f>
        <v>1.2380270499327353</v>
      </c>
      <c r="AB31" s="345">
        <f>RCoutEsr*Table25[[#This Row],[Irms Cout]]^2</f>
        <v>3.0654219527303031E-3</v>
      </c>
      <c r="AC31" s="345">
        <f>Table25[[#This Row],[Cout ESR Loss]]</f>
        <v>3.0654219527303031E-3</v>
      </c>
      <c r="AD31" s="292">
        <f>IF(Table25[[#This Row],[Vin]]&gt;Vout, SQRT(Table25[[#This Row],[Duty Cycle BUCK Leg]]*(1-Table25[[#This Row],[Duty Cycle BUCK Leg]]))*SQRT(Table25[[#This Row],[Iout]]^2+(Table25[[#This Row],[Ripple Current pk-pk]]^2)/12), Table25[[#This Row],[Ripple Current pk-pk]]/SQRT(12))</f>
        <v>1.2141027203909995</v>
      </c>
      <c r="AE31" s="345">
        <f>RCinEsr*Table25[[#This Row],[Irms Cin]]^2</f>
        <v>2.9480908313216513E-3</v>
      </c>
      <c r="AF31" s="683">
        <f>Table25[[#This Row],[Cin ESR Loss]]</f>
        <v>2.9480908313216513E-3</v>
      </c>
      <c r="AG31" s="345">
        <f>Table25[[#This Row],[Irms Lf]]</f>
        <v>2.7524193199994427</v>
      </c>
      <c r="AH31" s="345">
        <f>Rdson1*Table25[[#This Row],[Irms BuCtrl]]^2</f>
        <v>2.6515342395871683E-2</v>
      </c>
      <c r="AI31" s="345">
        <f>CHOOSE(Table25[[#This Row],[Mode Digit]], (Table25[[#This Row],[Vin]]*Table25[[#This Row],[Iout]]/2)*(Fsw)*(Tr_buck+Tf_buck), 0, (Table25[[#This Row],[Vin]]*Table25[[#This Row],[Avg IL]]/2)*(Fsw/1)*(Tr_buck+Tf_buck))</f>
        <v>0</v>
      </c>
      <c r="AJ31" s="253">
        <f>IF(Table25[[#This Row],[Vin]]&gt;Vout, IF(Table25[[#This Row],[Iout]]&gt;Table25[[#This Row],[Ripple Current pk-pk]]/2,0,ABS(Table25[[#This Row],[Iout]]-Table25[[#This Row],[Ripple Current pk-pk]]/2)*Vsd_Q1*Deadtime*Fsw),0)</f>
        <v>0</v>
      </c>
      <c r="AK31" s="345">
        <f>(Table25[[#This Row],[Dead Time Loss BuCtrl]]+Table25[[#This Row],[Transition Loss BuCtrl]]+Table25[[#This Row],[RDS(on) Loss BuCtrl]]*(1+RdsonTopTc*Ta-RdsonTopTc*25))/(1-Table25[[#This Row],[RDS(on) Loss BuCtrl]]*RdsonTopTc*ThetaJA_Q1)</f>
        <v>2.6699407820303497E-2</v>
      </c>
      <c r="AL31" s="345">
        <f>Table25[[#This Row],[Irms Lf]]</f>
        <v>2.7524193199994427</v>
      </c>
      <c r="AM31" s="345">
        <f>Rdson2*Table25[[#This Row],[Irms BuSync]]^2</f>
        <v>2.6515342395871683E-2</v>
      </c>
      <c r="AN31"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31" s="345">
        <f>(Table25[[#This Row],[Deadtime Loss BuSync]]+Table25[[#This Row],[RDS(on) Loss BuSync]]*(1+RdsonBotTc*Ta-RdsonBotTc*25))/(1-Table25[[#This Row],[RDS(on) Loss BuSync]]*RdsonBotTc*ThetaJA_Q2)</f>
        <v>2.6699407820303497E-2</v>
      </c>
      <c r="AP31" s="345">
        <f>Table25[[#This Row],[Irms Lf]]</f>
        <v>2.7524193199994427</v>
      </c>
      <c r="AQ31" s="345">
        <f>Rdson4*Table25[[#This Row],[Irms BoCtlr]]^2</f>
        <v>2.6515342395871683E-2</v>
      </c>
      <c r="AR31" s="345">
        <f>CHOOSE(Table25[[#This Row],[Mode Digit]], 0, (Vout*Table25[[#This Row],[Iin]]/2)*(Fsw)*(Tr_boost+Tf_boost), (Vout*Iout/2)*(Fsw/1)*(Tr_boost+Tf_boost))</f>
        <v>0.14686527150969411</v>
      </c>
      <c r="AS31" s="345">
        <f>IF(Table25[[#This Row],[Vin]]&gt;Vout, 0, IF(Table25[[#This Row],[Iin]]&gt;Table25[[#This Row],[Ripple Current pk-pk]]/2,0,ABS(Table25[[#This Row],[Iin]]-Table25[[#This Row],[Ripple Current pk-pk]]/2)*Vsd_Q4*Deadtime*Fsw))</f>
        <v>0</v>
      </c>
      <c r="AT31" s="345">
        <f>(Table25[[#This Row],[Dead Time Loss BoCtlr]]+Table25[[#This Row],[Transition Loss BoCtlr]]+Table25[[#This Row],[RDS(on) Loss BoCtlr]]*(1+RdsonTopTc*Ta-RdsonTopTc*25))/(1-Table25[[#This Row],[RDS(on) Loss BoCtlr]]*RdsonTopTc*ThetaJA_Q4)</f>
        <v>0.17458419543245363</v>
      </c>
      <c r="AU31" s="345">
        <f>Table25[[#This Row],[Irms Lf]]</f>
        <v>2.7524193199994427</v>
      </c>
      <c r="AV31" s="345">
        <f>Rdson3*Table25[[#This Row],[Irms BoSync]]^2</f>
        <v>2.6515342395871683E-2</v>
      </c>
      <c r="AW31"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7.3734736842105256E-2</v>
      </c>
      <c r="AX31" s="345">
        <f>(Table25[[#This Row],[Deadtime Loss BoSync]]+Table25[[#This Row],[RDS(on) Loss BoSync]]*(1+RdsonBotTc*Ta-RdsonBotTc*25))/(1-Table25[[#This Row],[RDS(on) Loss BoSync]]*RdsonBotTc*ThetaJA_Q3)</f>
        <v>0.10094599985287098</v>
      </c>
      <c r="AY31" s="345">
        <f>CHOOSE(Table25[[#This Row],[Mode Digit]], Rdson3*Table25[[#This Row],[Irms Lf]]^2, Rdson1*Table25[[#This Row],[Irms Lf]]^2, 0)</f>
        <v>2.6515342395871683E-2</v>
      </c>
      <c r="AZ31" s="345">
        <f>CHOOSE(Table25[[#This Row],[Mode Digit]], 2*Deadtime*Fsw*IF(VfdSky_Q2&gt;0,VfdSky_Q2,0)*Table25[[#This Row],[Iout]], 2*Deadtime*Fsw*IF(VfdSky_Q3&gt;0,VfdSky_Q3,0)*Table25[[#This Row],[Iin]], 2*Deadtime*Fsw*IF(VfdSky_Q2&gt;0,VfdSky_Q2,0)*Table25[[#This Row],[Iout]]+2*Deadtime*Fsw*IF(VfdSky_Q3&gt;0,VfdSky_Q3,0)*Table25[[#This Row],[Iin]])</f>
        <v>0</v>
      </c>
      <c r="BA31"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31"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31" s="345">
        <f>CHOOSE(Table25[[#This Row],[Mode Digit]], Rs*Table25[[#This Row],[Irms BuSync]]^2, Rs*Table25[[#This Row],[Irms BoCtlr]]^2, Rs*(Table25[[#This Row],[Irms BuSync]]^2+Table25[[#This Row],[Irms BoCtlr]]^2))</f>
        <v>9.8485557470380531E-3</v>
      </c>
      <c r="BD31" s="345">
        <f t="shared" si="1"/>
        <v>0.64</v>
      </c>
      <c r="BE31" s="345">
        <f>IF(Vout&gt;8, Iq*Vout, Iq*Table25[[#This Row],[Vin]])</f>
        <v>4.8000000000000001E-2</v>
      </c>
      <c r="BF31" s="345">
        <f>CHOOSE(Table25[[#This Row],[Mode Digit]], (Qg_Q1+Qg_Q2)*Fsw, (Qg_Q3+Qg_Q4)*Fsw, (Qg_Q1+Qg_Q2+Qg_Q3+Qg_Q4)*Fsw)*IF(Vout&gt;8,  MIN( Table25[[#This Row],[Vin]], Vout), Table25[[#This Row],[Vin]])</f>
        <v>0.63998400000000011</v>
      </c>
      <c r="BG31" s="345">
        <f t="shared" si="4"/>
        <v>0.50594479787234037</v>
      </c>
      <c r="BH31" s="345">
        <f>Table25[[#This Row],[IQ Loss]]+Table25[[#This Row],[Switching Current Loss]]</f>
        <v>0.68798400000000015</v>
      </c>
      <c r="BI31"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3.0070992573744411</v>
      </c>
      <c r="BJ31" s="253">
        <f>Vout*Table25[[#This Row],[Iout]]</f>
        <v>28.16</v>
      </c>
      <c r="BK31" s="684">
        <f>Table25[[#This Row],[Pout]]/(Table25[[#This Row],[Pout]]+Table25[[#This Row],[Total Loss]])</f>
        <v>0.90351687102665057</v>
      </c>
      <c r="BL31" s="685">
        <f>IF(Table25[[#This Row],[Vin]]&gt;Vout,ThetaJA_Q1*(Table25[[#This Row],[Total Control Bu MOSFET Loss]]+Table25[[#This Row],[Reverse Recovery Loss MOSFET D BUCK]]),ThetaJA_Q4*(Table25[[#This Row],[Total Control Bo MOSFET Loss]]+Table25[[#This Row],[Reverse Recovery Loss MOSFET D BOOST]]))</f>
        <v>34.527492703109488</v>
      </c>
      <c r="BM31" s="685">
        <f>IF(Table25[[#This Row],[Vin]]&gt;Vout, Table25[[#This Row],[Total Sync Bu MOSFET Loss]]*ThetaJA_Q2, ThetaJA_Q3*Table25[[#This Row],[Total Sync Bo MOSFET Loss]])</f>
        <v>6.5614899904366135</v>
      </c>
      <c r="BN31" s="640"/>
      <c r="BO31" s="292">
        <f>Table25[[#This Row],[EFF, h]]*100</f>
        <v>90.351687102665053</v>
      </c>
      <c r="BP31" s="345">
        <f>Table25[[#This Row],[Total Inductor Loss]]</f>
        <v>0.62110817791741901</v>
      </c>
      <c r="BQ31" s="345">
        <f>Table25[[#This Row],[Total Control Bu MOSFET Loss]]+Table25[[#This Row],[Total Sync Bu MOSFET Loss]]+Table25[[#This Row],[Total Control Bo MOSFET Loss]]+Table25[[#This Row],[Total Sync Bo MOSFET Loss]]+Table25[[#This Row],[Reverse Recovery Loss MOSFET D BUCK]]+Table25[[#This Row],[Reverse Recovery Loss MOSFET D BOOST]]</f>
        <v>1.0421450109259316</v>
      </c>
      <c r="BR31" s="345">
        <f xml:space="preserve"> Table25[[#This Row],[Total Control Bu MOSFET Loss]]+Table25[[#This Row],[Reverse Recovery Loss MOSFET D BUCK]]*0.66</f>
        <v>0.26206068782030351</v>
      </c>
      <c r="BS31" s="345">
        <f>Table25[[#This Row],[Total Sync Bu MOSFET Loss]]+Table25[[#This Row],[Reverse Recovery Loss MOSFET D BUCK]]*0.33</f>
        <v>0.1443800478203035</v>
      </c>
      <c r="BT31" s="345">
        <f xml:space="preserve"> Table25[[#This Row],[Total Control Bo MOSFET Loss]]+Table25[[#This Row],[Reverse Recovery Loss MOSFET D BOOST]]*0.66</f>
        <v>0.40994547543245363</v>
      </c>
      <c r="BU31" s="345">
        <f xml:space="preserve"> Table25[[#This Row],[Total Sync Bo MOSFET Loss]]+Table25[[#This Row],[Reverse Recovery Loss MOSFET D BOOST]]*0.33</f>
        <v>0.21862663985287098</v>
      </c>
      <c r="BV31" s="345">
        <f>Table25[[#This Row],[Isense Shunt Loss]]</f>
        <v>9.8485557470380531E-3</v>
      </c>
      <c r="CA31" s="253">
        <v>9.998704</v>
      </c>
      <c r="CB31" s="253">
        <v>0.36549999999999999</v>
      </c>
      <c r="CC31" s="253">
        <v>5.123094</v>
      </c>
      <c r="CD31" s="253">
        <v>85.419022273213088</v>
      </c>
      <c r="CE31" s="253">
        <v>319.63300692320018</v>
      </c>
    </row>
    <row r="32" spans="1:92" ht="13.6" x14ac:dyDescent="0.25">
      <c r="A32" s="688" t="s">
        <v>66</v>
      </c>
      <c r="B32" s="679" t="s">
        <v>113</v>
      </c>
      <c r="C32" s="688" t="s">
        <v>80</v>
      </c>
      <c r="D32" s="681" t="s">
        <v>109</v>
      </c>
      <c r="G32" s="253">
        <v>23</v>
      </c>
      <c r="H32" s="286">
        <f t="shared" si="0"/>
        <v>12</v>
      </c>
      <c r="I32" s="292" t="str">
        <f>IF(Mode = 2,IF(Table25[[#This Row],[Vin]]&gt;Vout, "BUCK","BOOST"),IF(Table25[[#This Row],[Vin]]&gt;VIN_BB_to_buck, "BUCK", IF(Table25[[#This Row],[Vin]]&lt;=VIN_boost_to_BB,"BOOST","BUCK-BST")))</f>
        <v>BOOST</v>
      </c>
      <c r="J32" s="253">
        <f>IF(Table25[[#This Row],[Mode]]="BOOST",2, IF(Table25[[#This Row],[Mode]]="BUCK", 1,3))</f>
        <v>2</v>
      </c>
      <c r="K32" s="345">
        <f t="shared" si="3"/>
        <v>1.84</v>
      </c>
      <c r="L32" s="292">
        <f>Vout*Table25[[#This Row],[Iout]]/(Table25[[#This Row],[Vin]]*Efficiency)</f>
        <v>2.5824561403508777</v>
      </c>
      <c r="M32" s="682">
        <f>CHOOSE(Table25[[#This Row],[Mode Digit]],(Vout+(Rdson2+Rs+Rdcr)*Table25[[#This Row],[Iout]])/(Table25[[#This Row],[Vin]]+(Rs+Rdson2-Rdson1)*Table25[[#This Row],[Iout]])/Fsw,(Vout+(Rdson3+Rdcr)*Table25[[#This Row],[Iin]]-Table25[[#This Row],[Vin]])/(Vout+(Rdson3-Rdson4-Rs)*Table25[[#This Row],[Iin]])/Fsw,t1_Ph_II)</f>
        <v>6.3099019500164947E-7</v>
      </c>
      <c r="N32" s="518">
        <f>CHOOSE(Table25[[#This Row],[Mode Digit]],1/Fsw-Table25[[#This Row],[t1_Ph_II]],1/Fsw-Table25[[#This Row],[t1_Ph_II]],(Vout/Fsw-Table25[[#This Row],[Vin]]*t1_Ph_II)/(Table25[[#This Row],[Vin]]+Vout))</f>
        <v>1.8815726190687024E-6</v>
      </c>
      <c r="O32" s="518">
        <f>1/Fsw-(Table25[[#This Row],[t1_Ph_II]]+Table25[[#This Row],[t2_Ph_I]])</f>
        <v>0</v>
      </c>
      <c r="P32"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0.47915549034537941</v>
      </c>
      <c r="Q32" s="292">
        <f>CHOOSE(Table25[[#This Row],[Mode Digit]],Table25[[#This Row],[I_0]]+1/Lf*(Table25[[#This Row],[Vin]]-Vout)*Table25[[#This Row],[t1_Ph_II]],Table25[[#This Row],[I_0]]+1/Lf*Table25[[#This Row],[Vin]]*Table25[[#This Row],[t1_Ph_II]],Table25[[#This Row],[I_0]]+(Table25[[#This Row],[Vin]]-Vout)/L*Table25[[#This Row],[t1_Ph_II]])</f>
        <v>4.6857567903563755</v>
      </c>
      <c r="R32" s="292">
        <f>CHOOSE(Table25[[#This Row],[Mode Digit]],0,0,Table25[[#This Row],[I_1]]+Table25[[#This Row],[Vin]]/L*Table25[[#This Row],[t2_Ph_I]])</f>
        <v>0</v>
      </c>
      <c r="S32" s="292">
        <f>Fsw*(Table25[[#This Row],[I_0]]*Table25[[#This Row],[t1_Ph_II]]+Table25[[#This Row],[I_1]]*Table25[[#This Row],[t2_Ph_I]]+Table25[[#This Row],[I_2]]*Table25[[#This Row],[t3_Ph_III]])</f>
        <v>3.6293357688703001</v>
      </c>
      <c r="T32" s="345">
        <f>CHOOSE(Table25[[#This Row],[Mode Digit]],(Vout+(Rdson2+Rs+Rdcr)*Table25[[#This Row],[Iout]])/(Table25[[#This Row],[Vin]]+(Rs+Rdson2-Rdson1)*Table25[[#This Row],[Iout]]),1,Fsw*Table25[[#This Row],[t2_Ph_I]]+Table25[[#This Row],[t1_Ph_II]])</f>
        <v>1</v>
      </c>
      <c r="U32" s="345">
        <f>CHOOSE(Table25[[#This Row],[Mode Digit]],0,(Vout+(Rdson3+Rdcr)*Table25[[#This Row],[Iin]]-Table25[[#This Row],[Vin]])/(Vout+(Rdson3-Rdson4-Rs)*Table25[[#This Row],[Iin]]),Fsw*Table25[[#This Row],[t1_Ph_II]]+Table25[[#This Row],[t3_Ph_III]])</f>
        <v>0.25113409761065647</v>
      </c>
      <c r="V32" s="292">
        <f>MAX(Table25[[#This Row],[I_0]:[I_2]])-MIN(Table25[[#This Row],[I_0]:[I_1]])</f>
        <v>4.2066013000109965</v>
      </c>
      <c r="W32"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2.8537176206264352</v>
      </c>
      <c r="X32" s="345">
        <f>(Table25[[#This Row],[Irms Lf]]^2*Rdcr*(1+Ltc*Ta-Ltc*25))/(1-Table25[[#This Row],[Irms Lf]]^2*Rdcr*Ltc*ThetaCa)</f>
        <v>2.6114296405827707E-2</v>
      </c>
      <c r="Y32" s="345">
        <f>ABS(7.759*10^-3*Fsw^0.9458*(0.00787*Table25[[#This Row],[Ripple Current pk-pk]])^2.304)</f>
        <v>0.59708859958749205</v>
      </c>
      <c r="Z32" s="345">
        <f>Table25[[#This Row],[DCR    Loss]]+Table25[[#This Row],[Core Loss]]</f>
        <v>0.62320289599331979</v>
      </c>
      <c r="AA32" s="292">
        <f>IF(Table25[[#This Row],[Vin]]&gt;Vout, Table25[[#This Row],[Ripple Current pk-pk]]/SQRT(12), SQRT(Table25[[#This Row],[Duty Cycle BOOST Leg]]/(1-Table25[[#This Row],[Duty Cycle BOOST Leg]]))*SQRT(Table25[[#This Row],[Iout]]^2+(Table25[[#This Row],[Ripple Current pk-pk]]^2)/12))</f>
        <v>1.2766709611738136</v>
      </c>
      <c r="AB32" s="345">
        <f>RCoutEsr*Table25[[#This Row],[Irms Cout]]^2</f>
        <v>3.2597774862089383E-3</v>
      </c>
      <c r="AC32" s="345">
        <f>Table25[[#This Row],[Cout ESR Loss]]</f>
        <v>3.2597774862089383E-3</v>
      </c>
      <c r="AD32" s="292">
        <f>IF(Table25[[#This Row],[Vin]]&gt;Vout, SQRT(Table25[[#This Row],[Duty Cycle BUCK Leg]]*(1-Table25[[#This Row],[Duty Cycle BUCK Leg]]))*SQRT(Table25[[#This Row],[Iout]]^2+(Table25[[#This Row],[Ripple Current pk-pk]]^2)/12), Table25[[#This Row],[Ripple Current pk-pk]]/SQRT(12))</f>
        <v>1.2143411964673894</v>
      </c>
      <c r="AE32" s="345">
        <f>RCinEsr*Table25[[#This Row],[Irms Cin]]^2</f>
        <v>2.9492490828757017E-3</v>
      </c>
      <c r="AF32" s="683">
        <f>Table25[[#This Row],[Cin ESR Loss]]</f>
        <v>2.9492490828757017E-3</v>
      </c>
      <c r="AG32" s="345">
        <f>Table25[[#This Row],[Irms Lf]]</f>
        <v>2.8537176206264352</v>
      </c>
      <c r="AH32" s="345">
        <f>Rdson1*Table25[[#This Row],[Irms BuCtrl]]^2</f>
        <v>2.8502964903958306E-2</v>
      </c>
      <c r="AI32" s="345">
        <f>CHOOSE(Table25[[#This Row],[Mode Digit]], (Table25[[#This Row],[Vin]]*Table25[[#This Row],[Iout]]/2)*(Fsw)*(Tr_buck+Tf_buck), 0, (Table25[[#This Row],[Vin]]*Table25[[#This Row],[Avg IL]]/2)*(Fsw/1)*(Tr_buck+Tf_buck))</f>
        <v>0</v>
      </c>
      <c r="AJ32" s="253">
        <f>IF(Table25[[#This Row],[Vin]]&gt;Vout, IF(Table25[[#This Row],[Iout]]&gt;Table25[[#This Row],[Ripple Current pk-pk]]/2,0,ABS(Table25[[#This Row],[Iout]]-Table25[[#This Row],[Ripple Current pk-pk]]/2)*Vsd_Q1*Deadtime*Fsw),0)</f>
        <v>0</v>
      </c>
      <c r="AK32" s="345">
        <f>(Table25[[#This Row],[Dead Time Loss BuCtrl]]+Table25[[#This Row],[Transition Loss BuCtrl]]+Table25[[#This Row],[RDS(on) Loss BuCtrl]]*(1+RdsonTopTc*Ta-RdsonTopTc*25))/(1-Table25[[#This Row],[RDS(on) Loss BuCtrl]]*RdsonTopTc*ThetaJA_Q1)</f>
        <v>2.8715770902617434E-2</v>
      </c>
      <c r="AL32" s="345">
        <f>Table25[[#This Row],[Irms Lf]]</f>
        <v>2.8537176206264352</v>
      </c>
      <c r="AM32" s="345">
        <f>Rdson2*Table25[[#This Row],[Irms BuSync]]^2</f>
        <v>2.8502964903958306E-2</v>
      </c>
      <c r="AN32"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32" s="345">
        <f>(Table25[[#This Row],[Deadtime Loss BuSync]]+Table25[[#This Row],[RDS(on) Loss BuSync]]*(1+RdsonBotTc*Ta-RdsonBotTc*25))/(1-Table25[[#This Row],[RDS(on) Loss BuSync]]*RdsonBotTc*ThetaJA_Q2)</f>
        <v>2.8715770902617434E-2</v>
      </c>
      <c r="AP32" s="345">
        <f>Table25[[#This Row],[Irms Lf]]</f>
        <v>2.8537176206264352</v>
      </c>
      <c r="AQ32" s="345">
        <f>Rdson4*Table25[[#This Row],[Irms BoCtlr]]^2</f>
        <v>2.8502964903958306E-2</v>
      </c>
      <c r="AR32" s="345">
        <f>CHOOSE(Table25[[#This Row],[Mode Digit]], 0, (Vout*Table25[[#This Row],[Iin]]/2)*(Fsw)*(Tr_boost+Tf_boost), (Vout*Iout/2)*(Fsw/1)*(Tr_boost+Tf_boost))</f>
        <v>0.15354096566922568</v>
      </c>
      <c r="AS32" s="345">
        <f>IF(Table25[[#This Row],[Vin]]&gt;Vout, 0, IF(Table25[[#This Row],[Iin]]&gt;Table25[[#This Row],[Ripple Current pk-pk]]/2,0,ABS(Table25[[#This Row],[Iin]]-Table25[[#This Row],[Ripple Current pk-pk]]/2)*Vsd_Q4*Deadtime*Fsw))</f>
        <v>0</v>
      </c>
      <c r="AT32" s="345">
        <f>(Table25[[#This Row],[Dead Time Loss BoCtlr]]+Table25[[#This Row],[Transition Loss BoCtlr]]+Table25[[#This Row],[RDS(on) Loss BoCtlr]]*(1+RdsonTopTc*Ta-RdsonTopTc*25))/(1-Table25[[#This Row],[RDS(on) Loss BoCtlr]]*RdsonTopTc*ThetaJA_Q4)</f>
        <v>0.18340308884236739</v>
      </c>
      <c r="AU32" s="345">
        <f>Table25[[#This Row],[Irms Lf]]</f>
        <v>2.8537176206264352</v>
      </c>
      <c r="AV32" s="345">
        <f>Rdson3*Table25[[#This Row],[Irms BoSync]]^2</f>
        <v>2.8502964903958306E-2</v>
      </c>
      <c r="AW32"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7.7086315789473683E-2</v>
      </c>
      <c r="AX32" s="345">
        <f>(Table25[[#This Row],[Deadtime Loss BoSync]]+Table25[[#This Row],[RDS(on) Loss BoSync]]*(1+RdsonBotTc*Ta-RdsonBotTc*25))/(1-Table25[[#This Row],[RDS(on) Loss BoSync]]*RdsonBotTc*ThetaJA_Q3)</f>
        <v>0.10637762086791483</v>
      </c>
      <c r="AY32" s="345">
        <f>CHOOSE(Table25[[#This Row],[Mode Digit]], Rdson3*Table25[[#This Row],[Irms Lf]]^2, Rdson1*Table25[[#This Row],[Irms Lf]]^2, 0)</f>
        <v>2.8502964903958306E-2</v>
      </c>
      <c r="AZ32" s="345">
        <f>CHOOSE(Table25[[#This Row],[Mode Digit]], 2*Deadtime*Fsw*IF(VfdSky_Q2&gt;0,VfdSky_Q2,0)*Table25[[#This Row],[Iout]], 2*Deadtime*Fsw*IF(VfdSky_Q3&gt;0,VfdSky_Q3,0)*Table25[[#This Row],[Iin]], 2*Deadtime*Fsw*IF(VfdSky_Q2&gt;0,VfdSky_Q2,0)*Table25[[#This Row],[Iout]]+2*Deadtime*Fsw*IF(VfdSky_Q3&gt;0,VfdSky_Q3,0)*Table25[[#This Row],[Iin]])</f>
        <v>0</v>
      </c>
      <c r="BA32"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32"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32" s="345">
        <f>CHOOSE(Table25[[#This Row],[Mode Digit]], Rs*Table25[[#This Row],[Irms BuSync]]^2, Rs*Table25[[#This Row],[Irms BoCtlr]]^2, Rs*(Table25[[#This Row],[Irms BuSync]]^2+Table25[[#This Row],[Irms BoCtlr]]^2))</f>
        <v>1.0586815535755943E-2</v>
      </c>
      <c r="BD32" s="345">
        <f t="shared" si="1"/>
        <v>0.64</v>
      </c>
      <c r="BE32" s="345">
        <f>IF(Vout&gt;8, Iq*Vout, Iq*Table25[[#This Row],[Vin]])</f>
        <v>4.8000000000000001E-2</v>
      </c>
      <c r="BF32" s="345">
        <f>CHOOSE(Table25[[#This Row],[Mode Digit]], (Qg_Q1+Qg_Q2)*Fsw, (Qg_Q3+Qg_Q4)*Fsw, (Qg_Q1+Qg_Q2+Qg_Q3+Qg_Q4)*Fsw)*IF(Vout&gt;8,  MIN( Table25[[#This Row],[Vin]], Vout), Table25[[#This Row],[Vin]])</f>
        <v>0.63998400000000011</v>
      </c>
      <c r="BG32" s="345">
        <f t="shared" si="4"/>
        <v>0.50594479787234037</v>
      </c>
      <c r="BH32" s="345">
        <f>Table25[[#This Row],[IQ Loss]]+Table25[[#This Row],[Switching Current Loss]]</f>
        <v>0.68798400000000015</v>
      </c>
      <c r="BI32"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3.0284109896136777</v>
      </c>
      <c r="BJ32" s="253">
        <f>Vout*Table25[[#This Row],[Iout]]</f>
        <v>29.44</v>
      </c>
      <c r="BK32" s="684">
        <f>Table25[[#This Row],[Pout]]/(Table25[[#This Row],[Pout]]+Table25[[#This Row],[Total Loss]])</f>
        <v>0.90672746533292192</v>
      </c>
      <c r="BL32" s="685">
        <f>IF(Table25[[#This Row],[Vin]]&gt;Vout,ThetaJA_Q1*(Table25[[#This Row],[Total Control Bu MOSFET Loss]]+Table25[[#This Row],[Reverse Recovery Loss MOSFET D BUCK]]),ThetaJA_Q4*(Table25[[#This Row],[Total Control Bo MOSFET Loss]]+Table25[[#This Row],[Reverse Recovery Loss MOSFET D BOOST]]))</f>
        <v>35.100720774753881</v>
      </c>
      <c r="BM32" s="685">
        <f>IF(Table25[[#This Row],[Vin]]&gt;Vout, Table25[[#This Row],[Total Sync Bu MOSFET Loss]]*ThetaJA_Q2, ThetaJA_Q3*Table25[[#This Row],[Total Sync Bo MOSFET Loss]])</f>
        <v>6.9145453564144637</v>
      </c>
      <c r="BN32" s="640"/>
      <c r="BO32" s="292">
        <f>Table25[[#This Row],[EFF, h]]*100</f>
        <v>90.672746533292198</v>
      </c>
      <c r="BP32" s="345">
        <f>Table25[[#This Row],[Total Inductor Loss]]</f>
        <v>0.62320289599331979</v>
      </c>
      <c r="BQ32" s="345">
        <f>Table25[[#This Row],[Total Control Bu MOSFET Loss]]+Table25[[#This Row],[Total Sync Bu MOSFET Loss]]+Table25[[#This Row],[Total Control Bo MOSFET Loss]]+Table25[[#This Row],[Total Sync Bo MOSFET Loss]]+Table25[[#This Row],[Reverse Recovery Loss MOSFET D BUCK]]+Table25[[#This Row],[Reverse Recovery Loss MOSFET D BOOST]]</f>
        <v>1.060428251515517</v>
      </c>
      <c r="BR32" s="345">
        <f xml:space="preserve"> Table25[[#This Row],[Total Control Bu MOSFET Loss]]+Table25[[#This Row],[Reverse Recovery Loss MOSFET D BUCK]]*0.66</f>
        <v>0.26407705090261746</v>
      </c>
      <c r="BS32" s="345">
        <f>Table25[[#This Row],[Total Sync Bu MOSFET Loss]]+Table25[[#This Row],[Reverse Recovery Loss MOSFET D BUCK]]*0.33</f>
        <v>0.14639641090261743</v>
      </c>
      <c r="BT32" s="345">
        <f xml:space="preserve"> Table25[[#This Row],[Total Control Bo MOSFET Loss]]+Table25[[#This Row],[Reverse Recovery Loss MOSFET D BOOST]]*0.66</f>
        <v>0.4187643688423674</v>
      </c>
      <c r="BU32" s="345">
        <f xml:space="preserve"> Table25[[#This Row],[Total Sync Bo MOSFET Loss]]+Table25[[#This Row],[Reverse Recovery Loss MOSFET D BOOST]]*0.33</f>
        <v>0.22405826086791483</v>
      </c>
      <c r="BV32" s="345">
        <f>Table25[[#This Row],[Isense Shunt Loss]]</f>
        <v>1.0586815535755943E-2</v>
      </c>
      <c r="CA32" s="253">
        <v>9.9987290000000009</v>
      </c>
      <c r="CB32" s="253">
        <v>0.49059999999999998</v>
      </c>
      <c r="CC32" s="253">
        <v>5.1238169999999998</v>
      </c>
      <c r="CD32" s="253">
        <v>88.551850267052174</v>
      </c>
      <c r="CE32" s="253">
        <v>324.98153184230057</v>
      </c>
    </row>
    <row r="33" spans="1:83" x14ac:dyDescent="0.2">
      <c r="A33" s="690" t="s">
        <v>66</v>
      </c>
      <c r="B33" s="569">
        <f>Deadtime*1000000000</f>
        <v>50</v>
      </c>
      <c r="C33" s="255" t="s">
        <v>79</v>
      </c>
      <c r="D33" s="255" t="s">
        <v>100</v>
      </c>
      <c r="G33" s="253">
        <v>24</v>
      </c>
      <c r="H33" s="286">
        <f t="shared" si="0"/>
        <v>12</v>
      </c>
      <c r="I33" s="292" t="str">
        <f>IF(Mode = 2,IF(Table25[[#This Row],[Vin]]&gt;Vout, "BUCK","BOOST"),IF(Table25[[#This Row],[Vin]]&gt;VIN_BB_to_buck, "BUCK", IF(Table25[[#This Row],[Vin]]&lt;=VIN_boost_to_BB,"BOOST","BUCK-BST")))</f>
        <v>BOOST</v>
      </c>
      <c r="J33" s="253">
        <f>IF(Table25[[#This Row],[Mode]]="BOOST",2, IF(Table25[[#This Row],[Mode]]="BUCK", 1,3))</f>
        <v>2</v>
      </c>
      <c r="K33" s="345">
        <f t="shared" si="3"/>
        <v>1.92</v>
      </c>
      <c r="L33" s="292">
        <f>Vout*Table25[[#This Row],[Iout]]/(Table25[[#This Row],[Vin]]*Efficiency)</f>
        <v>2.6947368421052635</v>
      </c>
      <c r="M33" s="682">
        <f>CHOOSE(Table25[[#This Row],[Mode Digit]],(Vout+(Rdson2+Rs+Rdcr)*Table25[[#This Row],[Iout]])/(Table25[[#This Row],[Vin]]+(Rs+Rdson2-Rdson1)*Table25[[#This Row],[Iout]])/Fsw,(Vout+(Rdson3+Rdcr)*Table25[[#This Row],[Iin]]-Table25[[#This Row],[Vin]])/(Vout+(Rdson3-Rdson4-Rs)*Table25[[#This Row],[Iin]])/Fsw,t1_Ph_II)</f>
        <v>6.3111411306727393E-7</v>
      </c>
      <c r="N33" s="518">
        <f>CHOOSE(Table25[[#This Row],[Mode Digit]],1/Fsw-Table25[[#This Row],[t1_Ph_II]],1/Fsw-Table25[[#This Row],[t1_Ph_II]],(Vout/Fsw-Table25[[#This Row],[Vin]]*t1_Ph_II)/(Table25[[#This Row],[Vin]]+Vout))</f>
        <v>1.881448701003078E-6</v>
      </c>
      <c r="O33" s="518">
        <f>1/Fsw-(Table25[[#This Row],[t1_Ph_II]]+Table25[[#This Row],[t2_Ph_I]])</f>
        <v>0</v>
      </c>
      <c r="P33"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0.59102313188101707</v>
      </c>
      <c r="Q33" s="292">
        <f>CHOOSE(Table25[[#This Row],[Mode Digit]],Table25[[#This Row],[I_0]]+1/Lf*(Table25[[#This Row],[Vin]]-Vout)*Table25[[#This Row],[t1_Ph_II]],Table25[[#This Row],[I_0]]+1/Lf*Table25[[#This Row],[Vin]]*Table25[[#This Row],[t1_Ph_II]],Table25[[#This Row],[I_0]]+(Table25[[#This Row],[Vin]]-Vout)/L*Table25[[#This Row],[t1_Ph_II]])</f>
        <v>4.79845055232951</v>
      </c>
      <c r="R33" s="292">
        <f>CHOOSE(Table25[[#This Row],[Mode Digit]],0,0,Table25[[#This Row],[I_1]]+Table25[[#This Row],[Vin]]/L*Table25[[#This Row],[t2_Ph_I]])</f>
        <v>0</v>
      </c>
      <c r="S33" s="292">
        <f>Fsw*(Table25[[#This Row],[I_0]]*Table25[[#This Row],[t1_Ph_II]]+Table25[[#This Row],[I_1]]*Table25[[#This Row],[t2_Ph_I]]+Table25[[#This Row],[I_2]]*Table25[[#This Row],[t3_Ph_III]])</f>
        <v>3.7416145560785012</v>
      </c>
      <c r="T33" s="345">
        <f>CHOOSE(Table25[[#This Row],[Mode Digit]],(Vout+(Rdson2+Rs+Rdcr)*Table25[[#This Row],[Iout]])/(Table25[[#This Row],[Vin]]+(Rs+Rdson2-Rdson1)*Table25[[#This Row],[Iout]]),1,Fsw*Table25[[#This Row],[t2_Ph_I]]+Table25[[#This Row],[t1_Ph_II]])</f>
        <v>1</v>
      </c>
      <c r="U33" s="345">
        <f>CHOOSE(Table25[[#This Row],[Mode Digit]],0,(Vout+(Rdson3+Rdcr)*Table25[[#This Row],[Iin]]-Table25[[#This Row],[Vin]])/(Vout+(Rdson3-Rdson4-Rs)*Table25[[#This Row],[Iin]]),Fsw*Table25[[#This Row],[t1_Ph_II]]+Table25[[#This Row],[t3_Ph_III]])</f>
        <v>0.25118341700077501</v>
      </c>
      <c r="V33" s="292">
        <f>MAX(Table25[[#This Row],[I_0]:[I_2]])-MIN(Table25[[#This Row],[I_0]:[I_1]])</f>
        <v>4.2074274204484929</v>
      </c>
      <c r="W33"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2.9558096081662528</v>
      </c>
      <c r="X33" s="345">
        <f>(Table25[[#This Row],[Irms Lf]]^2*Rdcr*(1+Ltc*Ta-Ltc*25))/(1-Table25[[#This Row],[Irms Lf]]^2*Rdcr*Ltc*ThetaCa)</f>
        <v>2.802046463604671E-2</v>
      </c>
      <c r="Y33" s="345">
        <f>ABS(7.759*10^-3*Fsw^0.9458*(0.00787*Table25[[#This Row],[Ripple Current pk-pk]])^2.304)</f>
        <v>0.59735880178387235</v>
      </c>
      <c r="Z33" s="345">
        <f>Table25[[#This Row],[DCR    Loss]]+Table25[[#This Row],[Core Loss]]</f>
        <v>0.62537926641991903</v>
      </c>
      <c r="AA33" s="292">
        <f>IF(Table25[[#This Row],[Vin]]&gt;Vout, Table25[[#This Row],[Ripple Current pk-pk]]/SQRT(12), SQRT(Table25[[#This Row],[Duty Cycle BOOST Leg]]/(1-Table25[[#This Row],[Duty Cycle BOOST Leg]]))*SQRT(Table25[[#This Row],[Iout]]^2+(Table25[[#This Row],[Ripple Current pk-pk]]^2)/12))</f>
        <v>1.315830920641339</v>
      </c>
      <c r="AB33" s="345">
        <f>RCoutEsr*Table25[[#This Row],[Irms Cout]]^2</f>
        <v>3.4628220234316676E-3</v>
      </c>
      <c r="AC33" s="345">
        <f>Table25[[#This Row],[Cout ESR Loss]]</f>
        <v>3.4628220234316676E-3</v>
      </c>
      <c r="AD33" s="292">
        <f>IF(Table25[[#This Row],[Vin]]&gt;Vout, SQRT(Table25[[#This Row],[Duty Cycle BUCK Leg]]*(1-Table25[[#This Row],[Duty Cycle BUCK Leg]]))*SQRT(Table25[[#This Row],[Iout]]^2+(Table25[[#This Row],[Ripple Current pk-pk]]^2)/12), Table25[[#This Row],[Ripple Current pk-pk]]/SQRT(12))</f>
        <v>1.2145796768958752</v>
      </c>
      <c r="AE33" s="345">
        <f>RCinEsr*Table25[[#This Row],[Irms Cin]]^2</f>
        <v>2.9504075830569772E-3</v>
      </c>
      <c r="AF33" s="683">
        <f>Table25[[#This Row],[Cin ESR Loss]]</f>
        <v>2.9504075830569772E-3</v>
      </c>
      <c r="AG33" s="345">
        <f>Table25[[#This Row],[Irms Lf]]</f>
        <v>2.9558096081662528</v>
      </c>
      <c r="AH33" s="345">
        <f>Rdson1*Table25[[#This Row],[Irms BuCtrl]]^2</f>
        <v>3.0578836539047784E-2</v>
      </c>
      <c r="AI33" s="345">
        <f>CHOOSE(Table25[[#This Row],[Mode Digit]], (Table25[[#This Row],[Vin]]*Table25[[#This Row],[Iout]]/2)*(Fsw)*(Tr_buck+Tf_buck), 0, (Table25[[#This Row],[Vin]]*Table25[[#This Row],[Avg IL]]/2)*(Fsw/1)*(Tr_buck+Tf_buck))</f>
        <v>0</v>
      </c>
      <c r="AJ33" s="253">
        <f>IF(Table25[[#This Row],[Vin]]&gt;Vout, IF(Table25[[#This Row],[Iout]]&gt;Table25[[#This Row],[Ripple Current pk-pk]]/2,0,ABS(Table25[[#This Row],[Iout]]-Table25[[#This Row],[Ripple Current pk-pk]]/2)*Vsd_Q1*Deadtime*Fsw),0)</f>
        <v>0</v>
      </c>
      <c r="AK33" s="345">
        <f>(Table25[[#This Row],[Dead Time Loss BuCtrl]]+Table25[[#This Row],[Transition Loss BuCtrl]]+Table25[[#This Row],[RDS(on) Loss BuCtrl]]*(1+RdsonTopTc*Ta-RdsonTopTc*25))/(1-Table25[[#This Row],[RDS(on) Loss BuCtrl]]*RdsonTopTc*ThetaJA_Q1)</f>
        <v>3.0823901894000982E-2</v>
      </c>
      <c r="AL33" s="345">
        <f>Table25[[#This Row],[Irms Lf]]</f>
        <v>2.9558096081662528</v>
      </c>
      <c r="AM33" s="345">
        <f>Rdson2*Table25[[#This Row],[Irms BuSync]]^2</f>
        <v>3.0578836539047784E-2</v>
      </c>
      <c r="AN33"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33" s="345">
        <f>(Table25[[#This Row],[Deadtime Loss BuSync]]+Table25[[#This Row],[RDS(on) Loss BuSync]]*(1+RdsonBotTc*Ta-RdsonBotTc*25))/(1-Table25[[#This Row],[RDS(on) Loss BuSync]]*RdsonBotTc*ThetaJA_Q2)</f>
        <v>3.0823901894000982E-2</v>
      </c>
      <c r="AP33" s="345">
        <f>Table25[[#This Row],[Irms Lf]]</f>
        <v>2.9558096081662528</v>
      </c>
      <c r="AQ33" s="345">
        <f>Rdson4*Table25[[#This Row],[Irms BoCtlr]]^2</f>
        <v>3.0578836539047784E-2</v>
      </c>
      <c r="AR33" s="345">
        <f>CHOOSE(Table25[[#This Row],[Mode Digit]], 0, (Vout*Table25[[#This Row],[Iin]]/2)*(Fsw)*(Tr_boost+Tf_boost), (Vout*Iout/2)*(Fsw/1)*(Tr_boost+Tf_boost))</f>
        <v>0.16021665982875721</v>
      </c>
      <c r="AS33" s="345">
        <f>IF(Table25[[#This Row],[Vin]]&gt;Vout, 0, IF(Table25[[#This Row],[Iin]]&gt;Table25[[#This Row],[Ripple Current pk-pk]]/2,0,ABS(Table25[[#This Row],[Iin]]-Table25[[#This Row],[Ripple Current pk-pk]]/2)*Vsd_Q4*Deadtime*Fsw))</f>
        <v>0</v>
      </c>
      <c r="AT33" s="345">
        <f>(Table25[[#This Row],[Dead Time Loss BoCtlr]]+Table25[[#This Row],[Transition Loss BoCtlr]]+Table25[[#This Row],[RDS(on) Loss BoCtlr]]*(1+RdsonTopTc*Ta-RdsonTopTc*25))/(1-Table25[[#This Row],[RDS(on) Loss BoCtlr]]*RdsonTopTc*ThetaJA_Q4)</f>
        <v>0.19232457239988818</v>
      </c>
      <c r="AU33" s="345">
        <f>Table25[[#This Row],[Irms Lf]]</f>
        <v>2.9558096081662528</v>
      </c>
      <c r="AV33" s="345">
        <f>Rdson3*Table25[[#This Row],[Irms BoSync]]^2</f>
        <v>3.0578836539047784E-2</v>
      </c>
      <c r="AW33"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8.0437894736842097E-2</v>
      </c>
      <c r="AX33" s="345">
        <f>(Table25[[#This Row],[Deadtime Loss BoSync]]+Table25[[#This Row],[RDS(on) Loss BoSync]]*(1+RdsonBotTc*Ta-RdsonBotTc*25))/(1-Table25[[#This Row],[RDS(on) Loss BoSync]]*RdsonBotTc*ThetaJA_Q3)</f>
        <v>0.11190644317258445</v>
      </c>
      <c r="AY33" s="345">
        <f>CHOOSE(Table25[[#This Row],[Mode Digit]], Rdson3*Table25[[#This Row],[Irms Lf]]^2, Rdson1*Table25[[#This Row],[Irms Lf]]^2, 0)</f>
        <v>3.0578836539047784E-2</v>
      </c>
      <c r="AZ33" s="345">
        <f>CHOOSE(Table25[[#This Row],[Mode Digit]], 2*Deadtime*Fsw*IF(VfdSky_Q2&gt;0,VfdSky_Q2,0)*Table25[[#This Row],[Iout]], 2*Deadtime*Fsw*IF(VfdSky_Q3&gt;0,VfdSky_Q3,0)*Table25[[#This Row],[Iin]], 2*Deadtime*Fsw*IF(VfdSky_Q2&gt;0,VfdSky_Q2,0)*Table25[[#This Row],[Iout]]+2*Deadtime*Fsw*IF(VfdSky_Q3&gt;0,VfdSky_Q3,0)*Table25[[#This Row],[Iin]])</f>
        <v>0</v>
      </c>
      <c r="BA33"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33"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33" s="345">
        <f>CHOOSE(Table25[[#This Row],[Mode Digit]], Rs*Table25[[#This Row],[Irms BuSync]]^2, Rs*Table25[[#This Row],[Irms BoCtlr]]^2, Rs*(Table25[[#This Row],[Irms BuSync]]^2+Table25[[#This Row],[Irms BoCtlr]]^2))</f>
        <v>1.1357853571646318E-2</v>
      </c>
      <c r="BD33" s="345">
        <f t="shared" si="1"/>
        <v>0.64</v>
      </c>
      <c r="BE33" s="345">
        <f>IF(Vout&gt;8, Iq*Vout, Iq*Table25[[#This Row],[Vin]])</f>
        <v>4.8000000000000001E-2</v>
      </c>
      <c r="BF33" s="345">
        <f>CHOOSE(Table25[[#This Row],[Mode Digit]], (Qg_Q1+Qg_Q2)*Fsw, (Qg_Q3+Qg_Q4)*Fsw, (Qg_Q1+Qg_Q2+Qg_Q3+Qg_Q4)*Fsw)*IF(Vout&gt;8,  MIN( Table25[[#This Row],[Vin]], Vout), Table25[[#This Row],[Vin]])</f>
        <v>0.63998400000000011</v>
      </c>
      <c r="BG33" s="345">
        <f t="shared" si="4"/>
        <v>0.50594479787234037</v>
      </c>
      <c r="BH33" s="345">
        <f>Table25[[#This Row],[IQ Loss]]+Table25[[#This Row],[Switching Current Loss]]</f>
        <v>0.68798400000000015</v>
      </c>
      <c r="BI33"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3.0502291689585292</v>
      </c>
      <c r="BJ33" s="253">
        <f>Vout*Table25[[#This Row],[Iout]]</f>
        <v>30.72</v>
      </c>
      <c r="BK33" s="684">
        <f>Table25[[#This Row],[Pout]]/(Table25[[#This Row],[Pout]]+Table25[[#This Row],[Total Loss]])</f>
        <v>0.90967697750294541</v>
      </c>
      <c r="BL33" s="685">
        <f>IF(Table25[[#This Row],[Vin]]&gt;Vout,ThetaJA_Q1*(Table25[[#This Row],[Total Control Bu MOSFET Loss]]+Table25[[#This Row],[Reverse Recovery Loss MOSFET D BUCK]]),ThetaJA_Q4*(Table25[[#This Row],[Total Control Bo MOSFET Loss]]+Table25[[#This Row],[Reverse Recovery Loss MOSFET D BOOST]]))</f>
        <v>35.680617205992732</v>
      </c>
      <c r="BM33" s="685">
        <f>IF(Table25[[#This Row],[Vin]]&gt;Vout, Table25[[#This Row],[Total Sync Bu MOSFET Loss]]*ThetaJA_Q2, ThetaJA_Q3*Table25[[#This Row],[Total Sync Bo MOSFET Loss]])</f>
        <v>7.2739188062179894</v>
      </c>
      <c r="BN33" s="640"/>
      <c r="BO33" s="292">
        <f>Table25[[#This Row],[EFF, h]]*100</f>
        <v>90.967697750294548</v>
      </c>
      <c r="BP33" s="345">
        <f>Table25[[#This Row],[Total Inductor Loss]]</f>
        <v>0.62537926641991903</v>
      </c>
      <c r="BQ33" s="345">
        <f>Table25[[#This Row],[Total Control Bu MOSFET Loss]]+Table25[[#This Row],[Total Sync Bu MOSFET Loss]]+Table25[[#This Row],[Total Control Bo MOSFET Loss]]+Table25[[#This Row],[Total Sync Bo MOSFET Loss]]+Table25[[#This Row],[Reverse Recovery Loss MOSFET D BUCK]]+Table25[[#This Row],[Reverse Recovery Loss MOSFET D BOOST]]</f>
        <v>1.0790948193604746</v>
      </c>
      <c r="BR33" s="345">
        <f xml:space="preserve"> Table25[[#This Row],[Total Control Bu MOSFET Loss]]+Table25[[#This Row],[Reverse Recovery Loss MOSFET D BUCK]]*0.66</f>
        <v>0.26618518189400098</v>
      </c>
      <c r="BS33" s="345">
        <f>Table25[[#This Row],[Total Sync Bu MOSFET Loss]]+Table25[[#This Row],[Reverse Recovery Loss MOSFET D BUCK]]*0.33</f>
        <v>0.14850454189400097</v>
      </c>
      <c r="BT33" s="345">
        <f xml:space="preserve"> Table25[[#This Row],[Total Control Bo MOSFET Loss]]+Table25[[#This Row],[Reverse Recovery Loss MOSFET D BOOST]]*0.66</f>
        <v>0.42768585239988821</v>
      </c>
      <c r="BU33" s="345">
        <f xml:space="preserve"> Table25[[#This Row],[Total Sync Bo MOSFET Loss]]+Table25[[#This Row],[Reverse Recovery Loss MOSFET D BOOST]]*0.33</f>
        <v>0.22958708317258447</v>
      </c>
      <c r="BV33" s="345">
        <f>Table25[[#This Row],[Isense Shunt Loss]]</f>
        <v>1.1357853571646318E-2</v>
      </c>
      <c r="CA33" s="253">
        <v>9.9986420000000003</v>
      </c>
      <c r="CB33" s="253">
        <v>0.64549999999999996</v>
      </c>
      <c r="CC33" s="253">
        <v>5.1237300000000001</v>
      </c>
      <c r="CD33" s="253">
        <v>90.41893857119905</v>
      </c>
      <c r="CE33" s="253">
        <v>350.45848473660021</v>
      </c>
    </row>
    <row r="34" spans="1:83" ht="13.6" x14ac:dyDescent="0.25">
      <c r="A34" s="688" t="s">
        <v>56</v>
      </c>
      <c r="B34" s="679" t="s">
        <v>113</v>
      </c>
      <c r="C34" s="688" t="s">
        <v>80</v>
      </c>
      <c r="D34" s="681" t="s">
        <v>109</v>
      </c>
      <c r="G34" s="253">
        <v>25</v>
      </c>
      <c r="H34" s="286">
        <f t="shared" si="0"/>
        <v>12</v>
      </c>
      <c r="I34" s="292" t="str">
        <f>IF(Mode = 2,IF(Table25[[#This Row],[Vin]]&gt;Vout, "BUCK","BOOST"),IF(Table25[[#This Row],[Vin]]&gt;VIN_BB_to_buck, "BUCK", IF(Table25[[#This Row],[Vin]]&lt;=VIN_boost_to_BB,"BOOST","BUCK-BST")))</f>
        <v>BOOST</v>
      </c>
      <c r="J34" s="253">
        <f>IF(Table25[[#This Row],[Mode]]="BOOST",2, IF(Table25[[#This Row],[Mode]]="BUCK", 1,3))</f>
        <v>2</v>
      </c>
      <c r="K34" s="345">
        <f t="shared" si="3"/>
        <v>2</v>
      </c>
      <c r="L34" s="292">
        <f>Vout*Table25[[#This Row],[Iout]]/(Table25[[#This Row],[Vin]]*Efficiency)</f>
        <v>2.8070175438596494</v>
      </c>
      <c r="M34" s="682">
        <f>CHOOSE(Table25[[#This Row],[Mode Digit]],(Vout+(Rdson2+Rs+Rdcr)*Table25[[#This Row],[Iout]])/(Table25[[#This Row],[Vin]]+(Rs+Rdson2-Rdson1)*Table25[[#This Row],[Iout]])/Fsw,(Vout+(Rdson3+Rdcr)*Table25[[#This Row],[Iin]]-Table25[[#This Row],[Vin]])/(Vout+(Rdson3-Rdson4-Rs)*Table25[[#This Row],[Iin]])/Fsw,t1_Ph_II)</f>
        <v>6.3123803339437472E-7</v>
      </c>
      <c r="N34" s="518">
        <f>CHOOSE(Table25[[#This Row],[Mode Digit]],1/Fsw-Table25[[#This Row],[t1_Ph_II]],1/Fsw-Table25[[#This Row],[t1_Ph_II]],(Vout/Fsw-Table25[[#This Row],[Vin]]*t1_Ph_II)/(Table25[[#This Row],[Vin]]+Vout))</f>
        <v>1.8813247806759772E-6</v>
      </c>
      <c r="O34" s="518">
        <f>1/Fsw-(Table25[[#This Row],[t1_Ph_II]]+Table25[[#This Row],[t2_Ph_I]])</f>
        <v>0</v>
      </c>
      <c r="P34"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0.70289076587840071</v>
      </c>
      <c r="Q34" s="292">
        <f>CHOOSE(Table25[[#This Row],[Mode Digit]],Table25[[#This Row],[I_0]]+1/Lf*(Table25[[#This Row],[Vin]]-Vout)*Table25[[#This Row],[t1_Ph_II]],Table25[[#This Row],[I_0]]+1/Lf*Table25[[#This Row],[Vin]]*Table25[[#This Row],[t1_Ph_II]],Table25[[#This Row],[I_0]]+(Table25[[#This Row],[Vin]]-Vout)/L*Table25[[#This Row],[t1_Ph_II]])</f>
        <v>4.9111443218408981</v>
      </c>
      <c r="R34" s="292">
        <f>CHOOSE(Table25[[#This Row],[Mode Digit]],0,0,Table25[[#This Row],[I_1]]+Table25[[#This Row],[Vin]]/L*Table25[[#This Row],[t2_Ph_I]])</f>
        <v>0</v>
      </c>
      <c r="S34" s="292">
        <f>Fsw*(Table25[[#This Row],[I_0]]*Table25[[#This Row],[t1_Ph_II]]+Table25[[#This Row],[I_1]]*Table25[[#This Row],[t2_Ph_I]]+Table25[[#This Row],[I_2]]*Table25[[#This Row],[t3_Ph_III]])</f>
        <v>3.8538932617620194</v>
      </c>
      <c r="T34" s="345">
        <f>CHOOSE(Table25[[#This Row],[Mode Digit]],(Vout+(Rdson2+Rs+Rdcr)*Table25[[#This Row],[Iout]])/(Table25[[#This Row],[Vin]]+(Rs+Rdson2-Rdson1)*Table25[[#This Row],[Iout]]),1,Fsw*Table25[[#This Row],[t2_Ph_I]]+Table25[[#This Row],[t1_Ph_II]])</f>
        <v>1</v>
      </c>
      <c r="U34" s="345">
        <f>CHOOSE(Table25[[#This Row],[Mode Digit]],0,(Vout+(Rdson3+Rdcr)*Table25[[#This Row],[Iin]]-Table25[[#This Row],[Vin]])/(Vout+(Rdson3-Rdson4-Rs)*Table25[[#This Row],[Iin]]),Fsw*Table25[[#This Row],[t1_Ph_II]]+Table25[[#This Row],[t3_Ph_III]])</f>
        <v>0.25123273729096113</v>
      </c>
      <c r="V34" s="292">
        <f>MAX(Table25[[#This Row],[I_0]:[I_2]])-MIN(Table25[[#This Row],[I_0]:[I_1]])</f>
        <v>4.2082535559624974</v>
      </c>
      <c r="W34"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3.0586158074323602</v>
      </c>
      <c r="X34" s="345">
        <f>(Table25[[#This Row],[Irms Lf]]^2*Rdcr*(1+Ltc*Ta-Ltc*25))/(1-Table25[[#This Row],[Irms Lf]]^2*Rdcr*Ltc*ThetaCa)</f>
        <v>3.0008285350066055E-2</v>
      </c>
      <c r="Y34" s="345">
        <f>ABS(7.759*10^-3*Fsw^0.9458*(0.00787*Table25[[#This Row],[Ripple Current pk-pk]])^2.304)</f>
        <v>0.59762907810414578</v>
      </c>
      <c r="Z34" s="345">
        <f>Table25[[#This Row],[DCR    Loss]]+Table25[[#This Row],[Core Loss]]</f>
        <v>0.62763736345421184</v>
      </c>
      <c r="AA34" s="292">
        <f>IF(Table25[[#This Row],[Vin]]&gt;Vout, Table25[[#This Row],[Ripple Current pk-pk]]/SQRT(12), SQRT(Table25[[#This Row],[Duty Cycle BOOST Leg]]/(1-Table25[[#This Row],[Duty Cycle BOOST Leg]]))*SQRT(Table25[[#This Row],[Iout]]^2+(Table25[[#This Row],[Ripple Current pk-pk]]^2)/12))</f>
        <v>1.3554634526511531</v>
      </c>
      <c r="AB34" s="345">
        <f>RCoutEsr*Table25[[#This Row],[Irms Cout]]^2</f>
        <v>3.6745623429459695E-3</v>
      </c>
      <c r="AC34" s="345">
        <f>Table25[[#This Row],[Cout ESR Loss]]</f>
        <v>3.6745623429459695E-3</v>
      </c>
      <c r="AD34" s="292">
        <f>IF(Table25[[#This Row],[Vin]]&gt;Vout, SQRT(Table25[[#This Row],[Duty Cycle BUCK Leg]]*(1-Table25[[#This Row],[Duty Cycle BUCK Leg]]))*SQRT(Table25[[#This Row],[Iout]]^2+(Table25[[#This Row],[Ripple Current pk-pk]]^2)/12), Table25[[#This Row],[Ripple Current pk-pk]]/SQRT(12))</f>
        <v>1.2148181616765739</v>
      </c>
      <c r="AE34" s="345">
        <f>RCinEsr*Table25[[#This Row],[Irms Cin]]^2</f>
        <v>2.9515663318785009E-3</v>
      </c>
      <c r="AF34" s="683">
        <f>Table25[[#This Row],[Cin ESR Loss]]</f>
        <v>2.9515663318785009E-3</v>
      </c>
      <c r="AG34" s="345">
        <f>Table25[[#This Row],[Irms Lf]]</f>
        <v>3.0586158074323602</v>
      </c>
      <c r="AH34" s="345">
        <f>Rdson1*Table25[[#This Row],[Irms BuCtrl]]^2</f>
        <v>3.2742957301162876E-2</v>
      </c>
      <c r="AI34" s="345">
        <f>CHOOSE(Table25[[#This Row],[Mode Digit]], (Table25[[#This Row],[Vin]]*Table25[[#This Row],[Iout]]/2)*(Fsw)*(Tr_buck+Tf_buck), 0, (Table25[[#This Row],[Vin]]*Table25[[#This Row],[Avg IL]]/2)*(Fsw/1)*(Tr_buck+Tf_buck))</f>
        <v>0</v>
      </c>
      <c r="AJ34" s="253">
        <f>IF(Table25[[#This Row],[Vin]]&gt;Vout, IF(Table25[[#This Row],[Iout]]&gt;Table25[[#This Row],[Ripple Current pk-pk]]/2,0,ABS(Table25[[#This Row],[Iout]]-Table25[[#This Row],[Ripple Current pk-pk]]/2)*Vsd_Q1*Deadtime*Fsw),0)</f>
        <v>0</v>
      </c>
      <c r="AK34" s="345">
        <f>(Table25[[#This Row],[Dead Time Loss BuCtrl]]+Table25[[#This Row],[Transition Loss BuCtrl]]+Table25[[#This Row],[RDS(on) Loss BuCtrl]]*(1+RdsonTopTc*Ta-RdsonTopTc*25))/(1-Table25[[#This Row],[RDS(on) Loss BuCtrl]]*RdsonTopTc*ThetaJA_Q1)</f>
        <v>3.3024097016780649E-2</v>
      </c>
      <c r="AL34" s="345">
        <f>Table25[[#This Row],[Irms Lf]]</f>
        <v>3.0586158074323602</v>
      </c>
      <c r="AM34" s="345">
        <f>Rdson2*Table25[[#This Row],[Irms BuSync]]^2</f>
        <v>3.2742957301162876E-2</v>
      </c>
      <c r="AN34"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34" s="345">
        <f>(Table25[[#This Row],[Deadtime Loss BuSync]]+Table25[[#This Row],[RDS(on) Loss BuSync]]*(1+RdsonBotTc*Ta-RdsonBotTc*25))/(1-Table25[[#This Row],[RDS(on) Loss BuSync]]*RdsonBotTc*ThetaJA_Q2)</f>
        <v>3.3024097016780649E-2</v>
      </c>
      <c r="AP34" s="345">
        <f>Table25[[#This Row],[Irms Lf]]</f>
        <v>3.0586158074323602</v>
      </c>
      <c r="AQ34" s="345">
        <f>Rdson4*Table25[[#This Row],[Irms BoCtlr]]^2</f>
        <v>3.2742957301162876E-2</v>
      </c>
      <c r="AR34" s="345">
        <f>CHOOSE(Table25[[#This Row],[Mode Digit]], 0, (Vout*Table25[[#This Row],[Iin]]/2)*(Fsw)*(Tr_boost+Tf_boost), (Vout*Iout/2)*(Fsw/1)*(Tr_boost+Tf_boost))</f>
        <v>0.16689235398828875</v>
      </c>
      <c r="AS34" s="345">
        <f>IF(Table25[[#This Row],[Vin]]&gt;Vout, 0, IF(Table25[[#This Row],[Iin]]&gt;Table25[[#This Row],[Ripple Current pk-pk]]/2,0,ABS(Table25[[#This Row],[Iin]]-Table25[[#This Row],[Ripple Current pk-pk]]/2)*Vsd_Q4*Deadtime*Fsw))</f>
        <v>0</v>
      </c>
      <c r="AT34" s="345">
        <f>(Table25[[#This Row],[Dead Time Loss BoCtlr]]+Table25[[#This Row],[Transition Loss BoCtlr]]+Table25[[#This Row],[RDS(on) Loss BoCtlr]]*(1+RdsonTopTc*Ta-RdsonTopTc*25))/(1-Table25[[#This Row],[RDS(on) Loss BoCtlr]]*RdsonTopTc*ThetaJA_Q4)</f>
        <v>0.20134943302033109</v>
      </c>
      <c r="AU34" s="345">
        <f>Table25[[#This Row],[Irms Lf]]</f>
        <v>3.0586158074323602</v>
      </c>
      <c r="AV34" s="345">
        <f>Rdson3*Table25[[#This Row],[Irms BoSync]]^2</f>
        <v>3.2742957301162876E-2</v>
      </c>
      <c r="AW34"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8.3789473684210525E-2</v>
      </c>
      <c r="AX34" s="345">
        <f>(Table25[[#This Row],[Deadtime Loss BoSync]]+Table25[[#This Row],[RDS(on) Loss BoSync]]*(1+RdsonBotTc*Ta-RdsonBotTc*25))/(1-Table25[[#This Row],[RDS(on) Loss BoSync]]*RdsonBotTc*ThetaJA_Q3)</f>
        <v>0.11753300934505359</v>
      </c>
      <c r="AY34" s="345">
        <f>CHOOSE(Table25[[#This Row],[Mode Digit]], Rdson3*Table25[[#This Row],[Irms Lf]]^2, Rdson1*Table25[[#This Row],[Irms Lf]]^2, 0)</f>
        <v>3.2742957301162876E-2</v>
      </c>
      <c r="AZ34" s="345">
        <f>CHOOSE(Table25[[#This Row],[Mode Digit]], 2*Deadtime*Fsw*IF(VfdSky_Q2&gt;0,VfdSky_Q2,0)*Table25[[#This Row],[Iout]], 2*Deadtime*Fsw*IF(VfdSky_Q3&gt;0,VfdSky_Q3,0)*Table25[[#This Row],[Iin]], 2*Deadtime*Fsw*IF(VfdSky_Q2&gt;0,VfdSky_Q2,0)*Table25[[#This Row],[Iout]]+2*Deadtime*Fsw*IF(VfdSky_Q3&gt;0,VfdSky_Q3,0)*Table25[[#This Row],[Iin]])</f>
        <v>0</v>
      </c>
      <c r="BA34"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34"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34" s="345">
        <f>CHOOSE(Table25[[#This Row],[Mode Digit]], Rs*Table25[[#This Row],[Irms BuSync]]^2, Rs*Table25[[#This Row],[Irms BoCtlr]]^2, Rs*(Table25[[#This Row],[Irms BuSync]]^2+Table25[[#This Row],[Irms BoCtlr]]^2))</f>
        <v>1.216166985471764E-2</v>
      </c>
      <c r="BD34" s="345">
        <f t="shared" si="1"/>
        <v>0.64</v>
      </c>
      <c r="BE34" s="345">
        <f>IF(Vout&gt;8, Iq*Vout, Iq*Table25[[#This Row],[Vin]])</f>
        <v>4.8000000000000001E-2</v>
      </c>
      <c r="BF34" s="345">
        <f>CHOOSE(Table25[[#This Row],[Mode Digit]], (Qg_Q1+Qg_Q2)*Fsw, (Qg_Q3+Qg_Q4)*Fsw, (Qg_Q1+Qg_Q2+Qg_Q3+Qg_Q4)*Fsw)*IF(Vout&gt;8,  MIN( Table25[[#This Row],[Vin]], Vout), Table25[[#This Row],[Vin]])</f>
        <v>0.63998400000000011</v>
      </c>
      <c r="BG34" s="345">
        <f t="shared" si="4"/>
        <v>0.50594479787234037</v>
      </c>
      <c r="BH34" s="345">
        <f>Table25[[#This Row],[IQ Loss]]+Table25[[#This Row],[Switching Current Loss]]</f>
        <v>0.68798400000000015</v>
      </c>
      <c r="BI34"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3.0725557983827003</v>
      </c>
      <c r="BJ34" s="253">
        <f>Vout*Table25[[#This Row],[Iout]]</f>
        <v>32</v>
      </c>
      <c r="BK34" s="684">
        <f>Table25[[#This Row],[Pout]]/(Table25[[#This Row],[Pout]]+Table25[[#This Row],[Total Loss]])</f>
        <v>0.91239430008906319</v>
      </c>
      <c r="BL34" s="685">
        <f>IF(Table25[[#This Row],[Vin]]&gt;Vout,ThetaJA_Q1*(Table25[[#This Row],[Total Control Bu MOSFET Loss]]+Table25[[#This Row],[Reverse Recovery Loss MOSFET D BUCK]]),ThetaJA_Q4*(Table25[[#This Row],[Total Control Bo MOSFET Loss]]+Table25[[#This Row],[Reverse Recovery Loss MOSFET D BOOST]]))</f>
        <v>36.267233146321523</v>
      </c>
      <c r="BM34" s="685">
        <f>IF(Table25[[#This Row],[Vin]]&gt;Vout, Table25[[#This Row],[Total Sync Bu MOSFET Loss]]*ThetaJA_Q2, ThetaJA_Q3*Table25[[#This Row],[Total Sync Bo MOSFET Loss]])</f>
        <v>7.6396456074284833</v>
      </c>
      <c r="BN34" s="640"/>
      <c r="BO34" s="292">
        <f>Table25[[#This Row],[EFF, h]]*100</f>
        <v>91.239430008906325</v>
      </c>
      <c r="BP34" s="345">
        <f>Table25[[#This Row],[Total Inductor Loss]]</f>
        <v>0.62763736345421184</v>
      </c>
      <c r="BQ34" s="345">
        <f>Table25[[#This Row],[Total Control Bu MOSFET Loss]]+Table25[[#This Row],[Total Sync Bu MOSFET Loss]]+Table25[[#This Row],[Total Control Bo MOSFET Loss]]+Table25[[#This Row],[Total Sync Bo MOSFET Loss]]+Table25[[#This Row],[Reverse Recovery Loss MOSFET D BUCK]]+Table25[[#This Row],[Reverse Recovery Loss MOSFET D BOOST]]</f>
        <v>1.0981466363989461</v>
      </c>
      <c r="BR34" s="345">
        <f xml:space="preserve"> Table25[[#This Row],[Total Control Bu MOSFET Loss]]+Table25[[#This Row],[Reverse Recovery Loss MOSFET D BUCK]]*0.66</f>
        <v>0.26838537701678067</v>
      </c>
      <c r="BS34" s="345">
        <f>Table25[[#This Row],[Total Sync Bu MOSFET Loss]]+Table25[[#This Row],[Reverse Recovery Loss MOSFET D BUCK]]*0.33</f>
        <v>0.15070473701678067</v>
      </c>
      <c r="BT34" s="345">
        <f xml:space="preserve"> Table25[[#This Row],[Total Control Bo MOSFET Loss]]+Table25[[#This Row],[Reverse Recovery Loss MOSFET D BOOST]]*0.66</f>
        <v>0.4367107130203311</v>
      </c>
      <c r="BU34" s="345">
        <f xml:space="preserve"> Table25[[#This Row],[Total Sync Bo MOSFET Loss]]+Table25[[#This Row],[Reverse Recovery Loss MOSFET D BOOST]]*0.33</f>
        <v>0.23521364934505359</v>
      </c>
      <c r="BV34" s="345">
        <f>Table25[[#This Row],[Isense Shunt Loss]]</f>
        <v>1.216166985471764E-2</v>
      </c>
      <c r="CA34" s="253">
        <v>9.9986049999999995</v>
      </c>
      <c r="CB34" s="253">
        <v>0.83240000000000003</v>
      </c>
      <c r="CC34" s="253">
        <v>5.1231559999999998</v>
      </c>
      <c r="CD34" s="253">
        <v>91.678946361105133</v>
      </c>
      <c r="CE34" s="253">
        <v>387.05996035199956</v>
      </c>
    </row>
    <row r="35" spans="1:83" x14ac:dyDescent="0.2">
      <c r="A35" s="690" t="s">
        <v>156</v>
      </c>
      <c r="B35" s="569">
        <f>Iq*1000</f>
        <v>3</v>
      </c>
      <c r="C35" s="255" t="s">
        <v>68</v>
      </c>
      <c r="D35" s="255" t="s">
        <v>159</v>
      </c>
      <c r="G35" s="253">
        <v>26</v>
      </c>
      <c r="H35" s="286">
        <f t="shared" si="0"/>
        <v>12</v>
      </c>
      <c r="I35" s="292" t="str">
        <f>IF(Mode = 2,IF(Table25[[#This Row],[Vin]]&gt;Vout, "BUCK","BOOST"),IF(Table25[[#This Row],[Vin]]&gt;VIN_BB_to_buck, "BUCK", IF(Table25[[#This Row],[Vin]]&lt;=VIN_boost_to_BB,"BOOST","BUCK-BST")))</f>
        <v>BOOST</v>
      </c>
      <c r="J35" s="253">
        <f>IF(Table25[[#This Row],[Mode]]="BOOST",2, IF(Table25[[#This Row],[Mode]]="BUCK", 1,3))</f>
        <v>2</v>
      </c>
      <c r="K35" s="345">
        <f t="shared" si="3"/>
        <v>2.08</v>
      </c>
      <c r="L35" s="292">
        <f>Vout*Table25[[#This Row],[Iout]]/(Table25[[#This Row],[Vin]]*Efficiency)</f>
        <v>2.9192982456140357</v>
      </c>
      <c r="M35" s="682">
        <f>CHOOSE(Table25[[#This Row],[Mode Digit]],(Vout+(Rdson2+Rs+Rdcr)*Table25[[#This Row],[Iout]])/(Table25[[#This Row],[Vin]]+(Rs+Rdson2-Rdson1)*Table25[[#This Row],[Iout]])/Fsw,(Vout+(Rdson3+Rdcr)*Table25[[#This Row],[Iin]]-Table25[[#This Row],[Vin]])/(Vout+(Rdson3-Rdson4-Rs)*Table25[[#This Row],[Iin]])/Fsw,t1_Ph_II)</f>
        <v>6.3136195598301441E-7</v>
      </c>
      <c r="N35" s="518">
        <f>CHOOSE(Table25[[#This Row],[Mode Digit]],1/Fsw-Table25[[#This Row],[t1_Ph_II]],1/Fsw-Table25[[#This Row],[t1_Ph_II]],(Vout/Fsw-Table25[[#This Row],[Vin]]*t1_Ph_II)/(Table25[[#This Row],[Vin]]+Vout))</f>
        <v>1.8812008580873374E-6</v>
      </c>
      <c r="O35" s="518">
        <f>1/Fsw-(Table25[[#This Row],[t1_Ph_II]]+Table25[[#This Row],[t2_Ph_I]])</f>
        <v>0</v>
      </c>
      <c r="P35"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0.81475839233732117</v>
      </c>
      <c r="Q35" s="292">
        <f>CHOOSE(Table25[[#This Row],[Mode Digit]],Table25[[#This Row],[I_0]]+1/Lf*(Table25[[#This Row],[Vin]]-Vout)*Table25[[#This Row],[t1_Ph_II]],Table25[[#This Row],[I_0]]+1/Lf*Table25[[#This Row],[Vin]]*Table25[[#This Row],[t1_Ph_II]],Table25[[#This Row],[I_0]]+(Table25[[#This Row],[Vin]]-Vout)/L*Table25[[#This Row],[t1_Ph_II]])</f>
        <v>5.0238380988907503</v>
      </c>
      <c r="R35" s="292">
        <f>CHOOSE(Table25[[#This Row],[Mode Digit]],0,0,Table25[[#This Row],[I_1]]+Table25[[#This Row],[Vin]]/L*Table25[[#This Row],[t2_Ph_I]])</f>
        <v>0</v>
      </c>
      <c r="S35" s="292">
        <f>Fsw*(Table25[[#This Row],[I_0]]*Table25[[#This Row],[t1_Ph_II]]+Table25[[#This Row],[I_1]]*Table25[[#This Row],[t2_Ph_I]]+Table25[[#This Row],[I_2]]*Table25[[#This Row],[t3_Ph_III]])</f>
        <v>3.9661718859163924</v>
      </c>
      <c r="T35" s="345">
        <f>CHOOSE(Table25[[#This Row],[Mode Digit]],(Vout+(Rdson2+Rs+Rdcr)*Table25[[#This Row],[Iout]])/(Table25[[#This Row],[Vin]]+(Rs+Rdson2-Rdson1)*Table25[[#This Row],[Iout]]),1,Fsw*Table25[[#This Row],[t2_Ph_I]]+Table25[[#This Row],[t1_Ph_II]])</f>
        <v>1</v>
      </c>
      <c r="U35" s="345">
        <f>CHOOSE(Table25[[#This Row],[Mode Digit]],0,(Vout+(Rdson3+Rdcr)*Table25[[#This Row],[Iin]]-Table25[[#This Row],[Vin]])/(Vout+(Rdson3-Rdson4-Rs)*Table25[[#This Row],[Iin]]),Fsw*Table25[[#This Row],[t1_Ph_II]]+Table25[[#This Row],[t3_Ph_III]])</f>
        <v>0.25128205848123975</v>
      </c>
      <c r="V35" s="292">
        <f>MAX(Table25[[#This Row],[I_0]:[I_2]])-MIN(Table25[[#This Row],[I_0]:[I_1]])</f>
        <v>4.2090797065534291</v>
      </c>
      <c r="W35"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3.1620665570986715</v>
      </c>
      <c r="X35" s="345">
        <f>(Table25[[#This Row],[Irms Lf]]^2*Rdcr*(1+Ltc*Ta-Ltc*25))/(1-Table25[[#This Row],[Irms Lf]]^2*Rdcr*Ltc*ThetaCa)</f>
        <v>3.2077836013416447E-2</v>
      </c>
      <c r="Y35" s="345">
        <f>ABS(7.759*10^-3*Fsw^0.9458*(0.00787*Table25[[#This Row],[Ripple Current pk-pk]])^2.304)</f>
        <v>0.59789942855636846</v>
      </c>
      <c r="Z35" s="345">
        <f>Table25[[#This Row],[DCR    Loss]]+Table25[[#This Row],[Core Loss]]</f>
        <v>0.62997726456978487</v>
      </c>
      <c r="AA35" s="292">
        <f>IF(Table25[[#This Row],[Vin]]&gt;Vout, Table25[[#This Row],[Ripple Current pk-pk]]/SQRT(12), SQRT(Table25[[#This Row],[Duty Cycle BOOST Leg]]/(1-Table25[[#This Row],[Duty Cycle BOOST Leg]]))*SQRT(Table25[[#This Row],[Iout]]^2+(Table25[[#This Row],[Ripple Current pk-pk]]^2)/12))</f>
        <v>1.3955295097798734</v>
      </c>
      <c r="AB35" s="345">
        <f>RCoutEsr*Table25[[#This Row],[Irms Cout]]^2</f>
        <v>3.8950052253329077E-3</v>
      </c>
      <c r="AC35" s="345">
        <f>Table25[[#This Row],[Cout ESR Loss]]</f>
        <v>3.8950052253329077E-3</v>
      </c>
      <c r="AD35" s="292">
        <f>IF(Table25[[#This Row],[Vin]]&gt;Vout, SQRT(Table25[[#This Row],[Duty Cycle BUCK Leg]]*(1-Table25[[#This Row],[Duty Cycle BUCK Leg]]))*SQRT(Table25[[#This Row],[Iout]]^2+(Table25[[#This Row],[Ripple Current pk-pk]]^2)/12), Table25[[#This Row],[Ripple Current pk-pk]]/SQRT(12))</f>
        <v>1.2150566508096068</v>
      </c>
      <c r="AE35" s="345">
        <f>RCinEsr*Table25[[#This Row],[Irms Cin]]^2</f>
        <v>2.9527253293533174E-3</v>
      </c>
      <c r="AF35" s="683">
        <f>Table25[[#This Row],[Cin ESR Loss]]</f>
        <v>2.9527253293533174E-3</v>
      </c>
      <c r="AG35" s="345">
        <f>Table25[[#This Row],[Irms Lf]]</f>
        <v>3.1620665570986715</v>
      </c>
      <c r="AH35" s="345">
        <f>Rdson1*Table25[[#This Row],[Irms BuCtrl]]^2</f>
        <v>3.4995327190326463E-2</v>
      </c>
      <c r="AI35" s="345">
        <f>CHOOSE(Table25[[#This Row],[Mode Digit]], (Table25[[#This Row],[Vin]]*Table25[[#This Row],[Iout]]/2)*(Fsw)*(Tr_buck+Tf_buck), 0, (Table25[[#This Row],[Vin]]*Table25[[#This Row],[Avg IL]]/2)*(Fsw/1)*(Tr_buck+Tf_buck))</f>
        <v>0</v>
      </c>
      <c r="AJ35" s="253">
        <f>IF(Table25[[#This Row],[Vin]]&gt;Vout, IF(Table25[[#This Row],[Iout]]&gt;Table25[[#This Row],[Ripple Current pk-pk]]/2,0,ABS(Table25[[#This Row],[Iout]]-Table25[[#This Row],[Ripple Current pk-pk]]/2)*Vsd_Q1*Deadtime*Fsw),0)</f>
        <v>0</v>
      </c>
      <c r="AK35" s="345">
        <f>(Table25[[#This Row],[Dead Time Loss BuCtrl]]+Table25[[#This Row],[Transition Loss BuCtrl]]+Table25[[#This Row],[RDS(on) Loss BuCtrl]]*(1+RdsonTopTc*Ta-RdsonTopTc*25))/(1-Table25[[#This Row],[RDS(on) Loss BuCtrl]]*RdsonTopTc*ThetaJA_Q1)</f>
        <v>3.5316665943113654E-2</v>
      </c>
      <c r="AL35" s="345">
        <f>Table25[[#This Row],[Irms Lf]]</f>
        <v>3.1620665570986715</v>
      </c>
      <c r="AM35" s="345">
        <f>Rdson2*Table25[[#This Row],[Irms BuSync]]^2</f>
        <v>3.4995327190326463E-2</v>
      </c>
      <c r="AN35"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35" s="345">
        <f>(Table25[[#This Row],[Deadtime Loss BuSync]]+Table25[[#This Row],[RDS(on) Loss BuSync]]*(1+RdsonBotTc*Ta-RdsonBotTc*25))/(1-Table25[[#This Row],[RDS(on) Loss BuSync]]*RdsonBotTc*ThetaJA_Q2)</f>
        <v>3.5316665943113654E-2</v>
      </c>
      <c r="AP35" s="345">
        <f>Table25[[#This Row],[Irms Lf]]</f>
        <v>3.1620665570986715</v>
      </c>
      <c r="AQ35" s="345">
        <f>Rdson4*Table25[[#This Row],[Irms BoCtlr]]^2</f>
        <v>3.4995327190326463E-2</v>
      </c>
      <c r="AR35" s="345">
        <f>CHOOSE(Table25[[#This Row],[Mode Digit]], 0, (Vout*Table25[[#This Row],[Iin]]/2)*(Fsw)*(Tr_boost+Tf_boost), (Vout*Iout/2)*(Fsw/1)*(Tr_boost+Tf_boost))</f>
        <v>0.17356804814782034</v>
      </c>
      <c r="AS35" s="345">
        <f>IF(Table25[[#This Row],[Vin]]&gt;Vout, 0, IF(Table25[[#This Row],[Iin]]&gt;Table25[[#This Row],[Ripple Current pk-pk]]/2,0,ABS(Table25[[#This Row],[Iin]]-Table25[[#This Row],[Ripple Current pk-pk]]/2)*Vsd_Q4*Deadtime*Fsw))</f>
        <v>0</v>
      </c>
      <c r="AT35" s="345">
        <f>(Table25[[#This Row],[Dead Time Loss BoCtlr]]+Table25[[#This Row],[Transition Loss BoCtlr]]+Table25[[#This Row],[RDS(on) Loss BoCtlr]]*(1+RdsonTopTc*Ta-RdsonTopTc*25))/(1-Table25[[#This Row],[RDS(on) Loss BoCtlr]]*RdsonTopTc*ThetaJA_Q4)</f>
        <v>0.21047847373239106</v>
      </c>
      <c r="AU35" s="345">
        <f>Table25[[#This Row],[Irms Lf]]</f>
        <v>3.1620665570986715</v>
      </c>
      <c r="AV35" s="345">
        <f>Rdson3*Table25[[#This Row],[Irms BoSync]]^2</f>
        <v>3.4995327190326463E-2</v>
      </c>
      <c r="AW35"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8.7141052631578952E-2</v>
      </c>
      <c r="AX35" s="345">
        <f>(Table25[[#This Row],[Deadtime Loss BoSync]]+Table25[[#This Row],[RDS(on) Loss BoSync]]*(1+RdsonBotTc*Ta-RdsonBotTc*25))/(1-Table25[[#This Row],[RDS(on) Loss BoSync]]*RdsonBotTc*ThetaJA_Q3)</f>
        <v>0.12325787675058002</v>
      </c>
      <c r="AY35" s="345">
        <f>CHOOSE(Table25[[#This Row],[Mode Digit]], Rdson3*Table25[[#This Row],[Irms Lf]]^2, Rdson1*Table25[[#This Row],[Irms Lf]]^2, 0)</f>
        <v>3.4995327190326463E-2</v>
      </c>
      <c r="AZ35" s="345">
        <f>CHOOSE(Table25[[#This Row],[Mode Digit]], 2*Deadtime*Fsw*IF(VfdSky_Q2&gt;0,VfdSky_Q2,0)*Table25[[#This Row],[Iout]], 2*Deadtime*Fsw*IF(VfdSky_Q3&gt;0,VfdSky_Q3,0)*Table25[[#This Row],[Iin]], 2*Deadtime*Fsw*IF(VfdSky_Q2&gt;0,VfdSky_Q2,0)*Table25[[#This Row],[Iout]]+2*Deadtime*Fsw*IF(VfdSky_Q3&gt;0,VfdSky_Q3,0)*Table25[[#This Row],[Iin]])</f>
        <v>0</v>
      </c>
      <c r="BA35"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35"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35" s="345">
        <f>CHOOSE(Table25[[#This Row],[Mode Digit]], Rs*Table25[[#This Row],[Irms BuSync]]^2, Rs*Table25[[#This Row],[Irms BoCtlr]]^2, Rs*(Table25[[#This Row],[Irms BuSync]]^2+Table25[[#This Row],[Irms BoCtlr]]^2))</f>
        <v>1.2998264384978399E-2</v>
      </c>
      <c r="BD35" s="345">
        <f t="shared" si="1"/>
        <v>0.64</v>
      </c>
      <c r="BE35" s="345">
        <f>IF(Vout&gt;8, Iq*Vout, Iq*Table25[[#This Row],[Vin]])</f>
        <v>4.8000000000000001E-2</v>
      </c>
      <c r="BF35" s="345">
        <f>CHOOSE(Table25[[#This Row],[Mode Digit]], (Qg_Q1+Qg_Q2)*Fsw, (Qg_Q3+Qg_Q4)*Fsw, (Qg_Q1+Qg_Q2+Qg_Q3+Qg_Q4)*Fsw)*IF(Vout&gt;8,  MIN( Table25[[#This Row],[Vin]], Vout), Table25[[#This Row],[Vin]])</f>
        <v>0.63998400000000011</v>
      </c>
      <c r="BG35" s="345">
        <f t="shared" si="4"/>
        <v>0.50594479787234037</v>
      </c>
      <c r="BH35" s="345">
        <f>Table25[[#This Row],[IQ Loss]]+Table25[[#This Row],[Switching Current Loss]]</f>
        <v>0.68798400000000015</v>
      </c>
      <c r="BI35"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3.0953929418786483</v>
      </c>
      <c r="BJ35" s="253">
        <f>Vout*Table25[[#This Row],[Iout]]</f>
        <v>33.28</v>
      </c>
      <c r="BK35" s="684">
        <f>Table25[[#This Row],[Pout]]/(Table25[[#This Row],[Pout]]+Table25[[#This Row],[Total Loss]])</f>
        <v>0.91490420607072109</v>
      </c>
      <c r="BL35" s="685">
        <f>IF(Table25[[#This Row],[Vin]]&gt;Vout,ThetaJA_Q1*(Table25[[#This Row],[Total Control Bu MOSFET Loss]]+Table25[[#This Row],[Reverse Recovery Loss MOSFET D BUCK]]),ThetaJA_Q4*(Table25[[#This Row],[Total Control Bo MOSFET Loss]]+Table25[[#This Row],[Reverse Recovery Loss MOSFET D BOOST]]))</f>
        <v>36.860620792605417</v>
      </c>
      <c r="BM35" s="685">
        <f>IF(Table25[[#This Row],[Vin]]&gt;Vout, Table25[[#This Row],[Total Sync Bu MOSFET Loss]]*ThetaJA_Q2, ThetaJA_Q3*Table25[[#This Row],[Total Sync Bo MOSFET Loss]])</f>
        <v>8.0117619887877005</v>
      </c>
      <c r="BN35" s="640"/>
      <c r="BO35" s="292">
        <f>Table25[[#This Row],[EFF, h]]*100</f>
        <v>91.49042060707211</v>
      </c>
      <c r="BP35" s="345">
        <f>Table25[[#This Row],[Total Inductor Loss]]</f>
        <v>0.62997726456978487</v>
      </c>
      <c r="BQ35" s="345">
        <f>Table25[[#This Row],[Total Control Bu MOSFET Loss]]+Table25[[#This Row],[Total Sync Bu MOSFET Loss]]+Table25[[#This Row],[Total Control Bo MOSFET Loss]]+Table25[[#This Row],[Total Sync Bo MOSFET Loss]]+Table25[[#This Row],[Reverse Recovery Loss MOSFET D BUCK]]+Table25[[#This Row],[Reverse Recovery Loss MOSFET D BOOST]]</f>
        <v>1.1175856823691983</v>
      </c>
      <c r="BR35" s="345">
        <f xml:space="preserve"> Table25[[#This Row],[Total Control Bu MOSFET Loss]]+Table25[[#This Row],[Reverse Recovery Loss MOSFET D BUCK]]*0.66</f>
        <v>0.27067794594311367</v>
      </c>
      <c r="BS35" s="345">
        <f>Table25[[#This Row],[Total Sync Bu MOSFET Loss]]+Table25[[#This Row],[Reverse Recovery Loss MOSFET D BUCK]]*0.33</f>
        <v>0.15299730594311367</v>
      </c>
      <c r="BT35" s="345">
        <f xml:space="preserve"> Table25[[#This Row],[Total Control Bo MOSFET Loss]]+Table25[[#This Row],[Reverse Recovery Loss MOSFET D BOOST]]*0.66</f>
        <v>0.44583975373239104</v>
      </c>
      <c r="BU35" s="345">
        <f xml:space="preserve"> Table25[[#This Row],[Total Sync Bo MOSFET Loss]]+Table25[[#This Row],[Reverse Recovery Loss MOSFET D BOOST]]*0.33</f>
        <v>0.24093851675058003</v>
      </c>
      <c r="BV35" s="345">
        <f>Table25[[#This Row],[Isense Shunt Loss]]</f>
        <v>1.2998264384978399E-2</v>
      </c>
      <c r="CA35" s="253">
        <v>9.9986049999999995</v>
      </c>
      <c r="CB35" s="253">
        <v>1.0528999999999999</v>
      </c>
      <c r="CC35" s="253">
        <v>5.1218219999999999</v>
      </c>
      <c r="CD35" s="253">
        <v>92.889938966292178</v>
      </c>
      <c r="CE35" s="253">
        <v>412.77762981700039</v>
      </c>
    </row>
    <row r="36" spans="1:83" ht="13.6" x14ac:dyDescent="0.25">
      <c r="A36" s="688" t="s">
        <v>686</v>
      </c>
      <c r="B36" s="679" t="s">
        <v>113</v>
      </c>
      <c r="C36" s="688" t="s">
        <v>80</v>
      </c>
      <c r="D36" s="681" t="s">
        <v>109</v>
      </c>
      <c r="G36" s="253">
        <v>27</v>
      </c>
      <c r="H36" s="286">
        <f t="shared" si="0"/>
        <v>12</v>
      </c>
      <c r="I36" s="292" t="str">
        <f>IF(Mode = 2,IF(Table25[[#This Row],[Vin]]&gt;Vout, "BUCK","BOOST"),IF(Table25[[#This Row],[Vin]]&gt;VIN_BB_to_buck, "BUCK", IF(Table25[[#This Row],[Vin]]&lt;=VIN_boost_to_BB,"BOOST","BUCK-BST")))</f>
        <v>BOOST</v>
      </c>
      <c r="J36" s="253">
        <f>IF(Table25[[#This Row],[Mode]]="BOOST",2, IF(Table25[[#This Row],[Mode]]="BUCK", 1,3))</f>
        <v>2</v>
      </c>
      <c r="K36" s="345">
        <f t="shared" si="3"/>
        <v>2.16</v>
      </c>
      <c r="L36" s="292">
        <f>Vout*Table25[[#This Row],[Iout]]/(Table25[[#This Row],[Vin]]*Efficiency)</f>
        <v>3.0315789473684216</v>
      </c>
      <c r="M36" s="682">
        <f>CHOOSE(Table25[[#This Row],[Mode Digit]],(Vout+(Rdson2+Rs+Rdcr)*Table25[[#This Row],[Iout]])/(Table25[[#This Row],[Vin]]+(Rs+Rdson2-Rdson1)*Table25[[#This Row],[Iout]])/Fsw,(Vout+(Rdson3+Rdcr)*Table25[[#This Row],[Iin]]-Table25[[#This Row],[Vin]])/(Vout+(Rdson3-Rdson4-Rs)*Table25[[#This Row],[Iin]])/Fsw,t1_Ph_II)</f>
        <v>6.3148588083325504E-7</v>
      </c>
      <c r="N36" s="518">
        <f>CHOOSE(Table25[[#This Row],[Mode Digit]],1/Fsw-Table25[[#This Row],[t1_Ph_II]],1/Fsw-Table25[[#This Row],[t1_Ph_II]],(Vout/Fsw-Table25[[#This Row],[Vin]]*t1_Ph_II)/(Table25[[#This Row],[Vin]]+Vout))</f>
        <v>1.881076933237097E-6</v>
      </c>
      <c r="O36" s="518">
        <f>1/Fsw-(Table25[[#This Row],[t1_Ph_II]]+Table25[[#This Row],[t2_Ph_I]])</f>
        <v>0</v>
      </c>
      <c r="P36"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0.92662601125757149</v>
      </c>
      <c r="Q36" s="292">
        <f>CHOOSE(Table25[[#This Row],[Mode Digit]],Table25[[#This Row],[I_0]]+1/Lf*(Table25[[#This Row],[Vin]]-Vout)*Table25[[#This Row],[t1_Ph_II]],Table25[[#This Row],[I_0]]+1/Lf*Table25[[#This Row],[Vin]]*Table25[[#This Row],[t1_Ph_II]],Table25[[#This Row],[I_0]]+(Table25[[#This Row],[Vin]]-Vout)/L*Table25[[#This Row],[t1_Ph_II]])</f>
        <v>5.1365318834792717</v>
      </c>
      <c r="R36" s="292">
        <f>CHOOSE(Table25[[#This Row],[Mode Digit]],0,0,Table25[[#This Row],[I_1]]+Table25[[#This Row],[Vin]]/L*Table25[[#This Row],[t2_Ph_I]])</f>
        <v>0</v>
      </c>
      <c r="S36" s="292">
        <f>Fsw*(Table25[[#This Row],[I_0]]*Table25[[#This Row],[t1_Ph_II]]+Table25[[#This Row],[I_1]]*Table25[[#This Row],[t2_Ph_I]]+Table25[[#This Row],[I_2]]*Table25[[#This Row],[t3_Ph_III]])</f>
        <v>4.078450428537157</v>
      </c>
      <c r="T36" s="345">
        <f>CHOOSE(Table25[[#This Row],[Mode Digit]],(Vout+(Rdson2+Rs+Rdcr)*Table25[[#This Row],[Iout]])/(Table25[[#This Row],[Vin]]+(Rs+Rdson2-Rdson1)*Table25[[#This Row],[Iout]]),1,Fsw*Table25[[#This Row],[t2_Ph_I]]+Table25[[#This Row],[t1_Ph_II]])</f>
        <v>1</v>
      </c>
      <c r="U36" s="345">
        <f>CHOOSE(Table25[[#This Row],[Mode Digit]],0,(Vout+(Rdson3+Rdcr)*Table25[[#This Row],[Iin]]-Table25[[#This Row],[Vin]])/(Vout+(Rdson3-Rdson4-Rs)*Table25[[#This Row],[Iin]]),Fsw*Table25[[#This Row],[t1_Ph_II]]+Table25[[#This Row],[t3_Ph_III]])</f>
        <v>0.25133138057163551</v>
      </c>
      <c r="V36" s="292">
        <f>MAX(Table25[[#This Row],[I_0]:[I_2]])-MIN(Table25[[#This Row],[I_0]:[I_1]])</f>
        <v>4.2099058722217002</v>
      </c>
      <c r="W36"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3.2661006111071744</v>
      </c>
      <c r="X36" s="345">
        <f>(Table25[[#This Row],[Irms Lf]]^2*Rdcr*(1+Ltc*Ta-Ltc*25))/(1-Table25[[#This Row],[Irms Lf]]^2*Rdcr*Ltc*ThetaCa)</f>
        <v>3.4229197315780911E-2</v>
      </c>
      <c r="Y36" s="345">
        <f>ABS(7.759*10^-3*Fsw^0.9458*(0.00787*Table25[[#This Row],[Ripple Current pk-pk]])^2.304)</f>
        <v>0.59816985314859328</v>
      </c>
      <c r="Z36" s="345">
        <f>Table25[[#This Row],[DCR    Loss]]+Table25[[#This Row],[Core Loss]]</f>
        <v>0.63239905046437417</v>
      </c>
      <c r="AA36" s="292">
        <f>IF(Table25[[#This Row],[Vin]]&gt;Vout, Table25[[#This Row],[Ripple Current pk-pk]]/SQRT(12), SQRT(Table25[[#This Row],[Duty Cycle BOOST Leg]]/(1-Table25[[#This Row],[Duty Cycle BOOST Leg]]))*SQRT(Table25[[#This Row],[Iout]]^2+(Table25[[#This Row],[Ripple Current pk-pk]]^2)/12))</f>
        <v>1.4359939855737314</v>
      </c>
      <c r="AB36" s="345">
        <f>RCoutEsr*Table25[[#This Row],[Irms Cout]]^2</f>
        <v>4.12415745320786E-3</v>
      </c>
      <c r="AC36" s="345">
        <f>Table25[[#This Row],[Cout ESR Loss]]</f>
        <v>4.12415745320786E-3</v>
      </c>
      <c r="AD36" s="292">
        <f>IF(Table25[[#This Row],[Vin]]&gt;Vout, SQRT(Table25[[#This Row],[Duty Cycle BUCK Leg]]*(1-Table25[[#This Row],[Duty Cycle BUCK Leg]]))*SQRT(Table25[[#This Row],[Iout]]^2+(Table25[[#This Row],[Ripple Current pk-pk]]^2)/12), Table25[[#This Row],[Ripple Current pk-pk]]/SQRT(12))</f>
        <v>1.2152951442950926</v>
      </c>
      <c r="AE36" s="345">
        <f>RCinEsr*Table25[[#This Row],[Irms Cin]]^2</f>
        <v>2.9538845754944597E-3</v>
      </c>
      <c r="AF36" s="683">
        <f>Table25[[#This Row],[Cin ESR Loss]]</f>
        <v>2.9538845754944597E-3</v>
      </c>
      <c r="AG36" s="345">
        <f>Table25[[#This Row],[Irms Lf]]</f>
        <v>3.2661006111071744</v>
      </c>
      <c r="AH36" s="345">
        <f>Rdson1*Table25[[#This Row],[Irms BuCtrl]]^2</f>
        <v>3.7335946206561305E-2</v>
      </c>
      <c r="AI36" s="345">
        <f>CHOOSE(Table25[[#This Row],[Mode Digit]], (Table25[[#This Row],[Vin]]*Table25[[#This Row],[Iout]]/2)*(Fsw)*(Tr_buck+Tf_buck), 0, (Table25[[#This Row],[Vin]]*Table25[[#This Row],[Avg IL]]/2)*(Fsw/1)*(Tr_buck+Tf_buck))</f>
        <v>0</v>
      </c>
      <c r="AJ36" s="253">
        <f>IF(Table25[[#This Row],[Vin]]&gt;Vout, IF(Table25[[#This Row],[Iout]]&gt;Table25[[#This Row],[Ripple Current pk-pk]]/2,0,ABS(Table25[[#This Row],[Iout]]-Table25[[#This Row],[Ripple Current pk-pk]]/2)*Vsd_Q1*Deadtime*Fsw),0)</f>
        <v>0</v>
      </c>
      <c r="AK36" s="345">
        <f>(Table25[[#This Row],[Dead Time Loss BuCtrl]]+Table25[[#This Row],[Transition Loss BuCtrl]]+Table25[[#This Row],[RDS(on) Loss BuCtrl]]*(1+RdsonTopTc*Ta-RdsonTopTc*25))/(1-Table25[[#This Row],[RDS(on) Loss BuCtrl]]*RdsonTopTc*ThetaJA_Q1)</f>
        <v>3.7701931904947812E-2</v>
      </c>
      <c r="AL36" s="345">
        <f>Table25[[#This Row],[Irms Lf]]</f>
        <v>3.2661006111071744</v>
      </c>
      <c r="AM36" s="345">
        <f>Rdson2*Table25[[#This Row],[Irms BuSync]]^2</f>
        <v>3.7335946206561305E-2</v>
      </c>
      <c r="AN36"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36" s="345">
        <f>(Table25[[#This Row],[Deadtime Loss BuSync]]+Table25[[#This Row],[RDS(on) Loss BuSync]]*(1+RdsonBotTc*Ta-RdsonBotTc*25))/(1-Table25[[#This Row],[RDS(on) Loss BuSync]]*RdsonBotTc*ThetaJA_Q2)</f>
        <v>3.7701931904947812E-2</v>
      </c>
      <c r="AP36" s="345">
        <f>Table25[[#This Row],[Irms Lf]]</f>
        <v>3.2661006111071744</v>
      </c>
      <c r="AQ36" s="345">
        <f>Rdson4*Table25[[#This Row],[Irms BoCtlr]]^2</f>
        <v>3.7335946206561305E-2</v>
      </c>
      <c r="AR36" s="345">
        <f>CHOOSE(Table25[[#This Row],[Mode Digit]], 0, (Vout*Table25[[#This Row],[Iin]]/2)*(Fsw)*(Tr_boost+Tf_boost), (Vout*Iout/2)*(Fsw/1)*(Tr_boost+Tf_boost))</f>
        <v>0.18024374230735185</v>
      </c>
      <c r="AS36" s="345">
        <f>IF(Table25[[#This Row],[Vin]]&gt;Vout, 0, IF(Table25[[#This Row],[Iin]]&gt;Table25[[#This Row],[Ripple Current pk-pk]]/2,0,ABS(Table25[[#This Row],[Iin]]-Table25[[#This Row],[Ripple Current pk-pk]]/2)*Vsd_Q4*Deadtime*Fsw))</f>
        <v>0</v>
      </c>
      <c r="AT36" s="345">
        <f>(Table25[[#This Row],[Dead Time Loss BoCtlr]]+Table25[[#This Row],[Transition Loss BoCtlr]]+Table25[[#This Row],[RDS(on) Loss BoCtlr]]*(1+RdsonTopTc*Ta-RdsonTopTc*25))/(1-Table25[[#This Row],[RDS(on) Loss BoCtlr]]*RdsonTopTc*ThetaJA_Q4)</f>
        <v>0.21971251390997851</v>
      </c>
      <c r="AU36" s="345">
        <f>Table25[[#This Row],[Irms Lf]]</f>
        <v>3.2661006111071744</v>
      </c>
      <c r="AV36" s="345">
        <f>Rdson3*Table25[[#This Row],[Irms BoSync]]^2</f>
        <v>3.7335946206561305E-2</v>
      </c>
      <c r="AW36"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9.0492631578947366E-2</v>
      </c>
      <c r="AX36" s="345">
        <f>(Table25[[#This Row],[Deadtime Loss BoSync]]+Table25[[#This Row],[RDS(on) Loss BoSync]]*(1+RdsonBotTc*Ta-RdsonBotTc*25))/(1-Table25[[#This Row],[RDS(on) Loss BoSync]]*RdsonBotTc*ThetaJA_Q3)</f>
        <v>0.12908161771265431</v>
      </c>
      <c r="AY36" s="345">
        <f>CHOOSE(Table25[[#This Row],[Mode Digit]], Rdson3*Table25[[#This Row],[Irms Lf]]^2, Rdson1*Table25[[#This Row],[Irms Lf]]^2, 0)</f>
        <v>3.7335946206561305E-2</v>
      </c>
      <c r="AZ36" s="345">
        <f>CHOOSE(Table25[[#This Row],[Mode Digit]], 2*Deadtime*Fsw*IF(VfdSky_Q2&gt;0,VfdSky_Q2,0)*Table25[[#This Row],[Iout]], 2*Deadtime*Fsw*IF(VfdSky_Q3&gt;0,VfdSky_Q3,0)*Table25[[#This Row],[Iin]], 2*Deadtime*Fsw*IF(VfdSky_Q2&gt;0,VfdSky_Q2,0)*Table25[[#This Row],[Iout]]+2*Deadtime*Fsw*IF(VfdSky_Q3&gt;0,VfdSky_Q3,0)*Table25[[#This Row],[Iin]])</f>
        <v>0</v>
      </c>
      <c r="BA36"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36"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36" s="345">
        <f>CHOOSE(Table25[[#This Row],[Mode Digit]], Rs*Table25[[#This Row],[Irms BuSync]]^2, Rs*Table25[[#This Row],[Irms BoCtlr]]^2, Rs*(Table25[[#This Row],[Irms BuSync]]^2+Table25[[#This Row],[Irms BoCtlr]]^2))</f>
        <v>1.3867637162437055E-2</v>
      </c>
      <c r="BD36" s="345">
        <f t="shared" si="1"/>
        <v>0.64</v>
      </c>
      <c r="BE36" s="345">
        <f>IF(Vout&gt;8, Iq*Vout, Iq*Table25[[#This Row],[Vin]])</f>
        <v>4.8000000000000001E-2</v>
      </c>
      <c r="BF36" s="345">
        <f>CHOOSE(Table25[[#This Row],[Mode Digit]], (Qg_Q1+Qg_Q2)*Fsw, (Qg_Q3+Qg_Q4)*Fsw, (Qg_Q1+Qg_Q2+Qg_Q3+Qg_Q4)*Fsw)*IF(Vout&gt;8,  MIN( Table25[[#This Row],[Vin]], Vout), Table25[[#This Row],[Vin]])</f>
        <v>0.63998400000000011</v>
      </c>
      <c r="BG36" s="345">
        <f t="shared" si="4"/>
        <v>0.50594479787234037</v>
      </c>
      <c r="BH36" s="345">
        <f>Table25[[#This Row],[IQ Loss]]+Table25[[#This Row],[Switching Current Loss]]</f>
        <v>0.68798400000000015</v>
      </c>
      <c r="BI36"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3.1187427250880422</v>
      </c>
      <c r="BJ36" s="253">
        <f>Vout*Table25[[#This Row],[Iout]]</f>
        <v>34.56</v>
      </c>
      <c r="BK36" s="684">
        <f>Table25[[#This Row],[Pout]]/(Table25[[#This Row],[Pout]]+Table25[[#This Row],[Total Loss]])</f>
        <v>0.91722805753251813</v>
      </c>
      <c r="BL36" s="685">
        <f>IF(Table25[[#This Row],[Vin]]&gt;Vout,ThetaJA_Q1*(Table25[[#This Row],[Total Control Bu MOSFET Loss]]+Table25[[#This Row],[Reverse Recovery Loss MOSFET D BUCK]]),ThetaJA_Q4*(Table25[[#This Row],[Total Control Bo MOSFET Loss]]+Table25[[#This Row],[Reverse Recovery Loss MOSFET D BOOST]]))</f>
        <v>37.460833404148602</v>
      </c>
      <c r="BM36" s="685">
        <f>IF(Table25[[#This Row],[Vin]]&gt;Vout, Table25[[#This Row],[Total Sync Bu MOSFET Loss]]*ThetaJA_Q2, ThetaJA_Q3*Table25[[#This Row],[Total Sync Bo MOSFET Loss]])</f>
        <v>8.3903051513225293</v>
      </c>
      <c r="BN36" s="640"/>
      <c r="BO36" s="292">
        <f>Table25[[#This Row],[EFF, h]]*100</f>
        <v>91.722805753251819</v>
      </c>
      <c r="BP36" s="345">
        <f>Table25[[#This Row],[Total Inductor Loss]]</f>
        <v>0.63239905046437417</v>
      </c>
      <c r="BQ36" s="345">
        <f>Table25[[#This Row],[Total Control Bu MOSFET Loss]]+Table25[[#This Row],[Total Sync Bu MOSFET Loss]]+Table25[[#This Row],[Total Control Bo MOSFET Loss]]+Table25[[#This Row],[Total Sync Bo MOSFET Loss]]+Table25[[#This Row],[Reverse Recovery Loss MOSFET D BUCK]]+Table25[[#This Row],[Reverse Recovery Loss MOSFET D BOOST]]</f>
        <v>1.1374139954325284</v>
      </c>
      <c r="BR36" s="345">
        <f xml:space="preserve"> Table25[[#This Row],[Total Control Bu MOSFET Loss]]+Table25[[#This Row],[Reverse Recovery Loss MOSFET D BUCK]]*0.66</f>
        <v>0.27306321190494781</v>
      </c>
      <c r="BS36" s="345">
        <f>Table25[[#This Row],[Total Sync Bu MOSFET Loss]]+Table25[[#This Row],[Reverse Recovery Loss MOSFET D BUCK]]*0.33</f>
        <v>0.15538257190494781</v>
      </c>
      <c r="BT36" s="345">
        <f xml:space="preserve"> Table25[[#This Row],[Total Control Bo MOSFET Loss]]+Table25[[#This Row],[Reverse Recovery Loss MOSFET D BOOST]]*0.66</f>
        <v>0.45507379390997849</v>
      </c>
      <c r="BU36" s="345">
        <f xml:space="preserve"> Table25[[#This Row],[Total Sync Bo MOSFET Loss]]+Table25[[#This Row],[Reverse Recovery Loss MOSFET D BOOST]]*0.33</f>
        <v>0.24676225771265431</v>
      </c>
      <c r="BV36" s="345">
        <f>Table25[[#This Row],[Isense Shunt Loss]]</f>
        <v>1.3867637162437055E-2</v>
      </c>
      <c r="CA36" s="253">
        <v>9.9986669999999993</v>
      </c>
      <c r="CB36" s="253">
        <v>1.3092999999999999</v>
      </c>
      <c r="CC36" s="253">
        <v>5.1195649999999997</v>
      </c>
      <c r="CD36" s="253">
        <v>93.690364214923264</v>
      </c>
      <c r="CE36" s="253">
        <v>451.42072788069993</v>
      </c>
    </row>
    <row r="37" spans="1:83" ht="13.6" x14ac:dyDescent="0.25">
      <c r="A37" s="691" t="s">
        <v>75</v>
      </c>
      <c r="B37" s="569">
        <f>Rdson1*1000</f>
        <v>3.5</v>
      </c>
      <c r="C37" s="695" t="s">
        <v>601</v>
      </c>
      <c r="D37" s="255" t="s">
        <v>689</v>
      </c>
      <c r="G37" s="253">
        <v>28</v>
      </c>
      <c r="H37" s="286">
        <f t="shared" si="0"/>
        <v>12</v>
      </c>
      <c r="I37" s="292" t="str">
        <f>IF(Mode = 2,IF(Table25[[#This Row],[Vin]]&gt;Vout, "BUCK","BOOST"),IF(Table25[[#This Row],[Vin]]&gt;VIN_BB_to_buck, "BUCK", IF(Table25[[#This Row],[Vin]]&lt;=VIN_boost_to_BB,"BOOST","BUCK-BST")))</f>
        <v>BOOST</v>
      </c>
      <c r="J37" s="253">
        <f>IF(Table25[[#This Row],[Mode]]="BOOST",2, IF(Table25[[#This Row],[Mode]]="BUCK", 1,3))</f>
        <v>2</v>
      </c>
      <c r="K37" s="345">
        <f t="shared" si="3"/>
        <v>2.2400000000000002</v>
      </c>
      <c r="L37" s="292">
        <f>Vout*Table25[[#This Row],[Iout]]/(Table25[[#This Row],[Vin]]*Efficiency)</f>
        <v>3.1438596491228079</v>
      </c>
      <c r="M37" s="682">
        <f>CHOOSE(Table25[[#This Row],[Mode Digit]],(Vout+(Rdson2+Rs+Rdcr)*Table25[[#This Row],[Iout]])/(Table25[[#This Row],[Vin]]+(Rs+Rdson2-Rdson1)*Table25[[#This Row],[Iout]])/Fsw,(Vout+(Rdson3+Rdcr)*Table25[[#This Row],[Iin]]-Table25[[#This Row],[Vin]])/(Vout+(Rdson3-Rdson4-Rs)*Table25[[#This Row],[Iin]])/Fsw,t1_Ph_II)</f>
        <v>6.3160980794515834E-7</v>
      </c>
      <c r="N37" s="518">
        <f>CHOOSE(Table25[[#This Row],[Mode Digit]],1/Fsw-Table25[[#This Row],[t1_Ph_II]],1/Fsw-Table25[[#This Row],[t1_Ph_II]],(Vout/Fsw-Table25[[#This Row],[Vin]]*t1_Ph_II)/(Table25[[#This Row],[Vin]]+Vout))</f>
        <v>1.8809530061251934E-6</v>
      </c>
      <c r="O37" s="518">
        <f>1/Fsw-(Table25[[#This Row],[t1_Ph_II]]+Table25[[#This Row],[t2_Ph_I]])</f>
        <v>0</v>
      </c>
      <c r="P37"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1.038493622638947</v>
      </c>
      <c r="Q37" s="292">
        <f>CHOOSE(Table25[[#This Row],[Mode Digit]],Table25[[#This Row],[I_0]]+1/Lf*(Table25[[#This Row],[Vin]]-Vout)*Table25[[#This Row],[t1_Ph_II]],Table25[[#This Row],[I_0]]+1/Lf*Table25[[#This Row],[Vin]]*Table25[[#This Row],[t1_Ph_II]],Table25[[#This Row],[I_0]]+(Table25[[#This Row],[Vin]]-Vout)/L*Table25[[#This Row],[t1_Ph_II]])</f>
        <v>5.2492256756066684</v>
      </c>
      <c r="R37" s="292">
        <f>CHOOSE(Table25[[#This Row],[Mode Digit]],0,0,Table25[[#This Row],[I_1]]+Table25[[#This Row],[Vin]]/L*Table25[[#This Row],[t2_Ph_I]])</f>
        <v>0</v>
      </c>
      <c r="S37" s="292">
        <f>Fsw*(Table25[[#This Row],[I_0]]*Table25[[#This Row],[t1_Ph_II]]+Table25[[#This Row],[I_1]]*Table25[[#This Row],[t2_Ph_I]]+Table25[[#This Row],[I_2]]*Table25[[#This Row],[t3_Ph_III]])</f>
        <v>4.1907288896198498</v>
      </c>
      <c r="T37" s="345">
        <f>CHOOSE(Table25[[#This Row],[Mode Digit]],(Vout+(Rdson2+Rs+Rdcr)*Table25[[#This Row],[Iout]])/(Table25[[#This Row],[Vin]]+(Rs+Rdson2-Rdson1)*Table25[[#This Row],[Iout]]),1,Fsw*Table25[[#This Row],[t2_Ph_I]]+Table25[[#This Row],[t1_Ph_II]])</f>
        <v>1</v>
      </c>
      <c r="U37" s="345">
        <f>CHOOSE(Table25[[#This Row],[Mode Digit]],0,(Vout+(Rdson3+Rdcr)*Table25[[#This Row],[Iin]]-Table25[[#This Row],[Vin]])/(Vout+(Rdson3-Rdson4-Rs)*Table25[[#This Row],[Iin]]),Fsw*Table25[[#This Row],[t1_Ph_II]]+Table25[[#This Row],[t3_Ph_III]])</f>
        <v>0.25138070356217301</v>
      </c>
      <c r="V37" s="292">
        <f>MAX(Table25[[#This Row],[I_0]:[I_2]])-MIN(Table25[[#This Row],[I_0]:[I_1]])</f>
        <v>4.210732052967721</v>
      </c>
      <c r="W37"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3.3706639595990673</v>
      </c>
      <c r="X37" s="345">
        <f>(Table25[[#This Row],[Irms Lf]]^2*Rdcr*(1+Ltc*Ta-Ltc*25))/(1-Table25[[#This Row],[Irms Lf]]^2*Rdcr*Ltc*ThetaCa)</f>
        <v>3.6462453178882012E-2</v>
      </c>
      <c r="Y37" s="345">
        <f>ABS(7.759*10^-3*Fsw^0.9458*(0.00787*Table25[[#This Row],[Ripple Current pk-pk]])^2.304)</f>
        <v>0.59844035188887257</v>
      </c>
      <c r="Z37" s="345">
        <f>Table25[[#This Row],[DCR    Loss]]+Table25[[#This Row],[Core Loss]]</f>
        <v>0.63490280506775454</v>
      </c>
      <c r="AA37" s="292">
        <f>IF(Table25[[#This Row],[Vin]]&gt;Vout, Table25[[#This Row],[Ripple Current pk-pk]]/SQRT(12), SQRT(Table25[[#This Row],[Duty Cycle BOOST Leg]]/(1-Table25[[#This Row],[Duty Cycle BOOST Leg]]))*SQRT(Table25[[#This Row],[Iout]]^2+(Table25[[#This Row],[Ripple Current pk-pk]]^2)/12))</f>
        <v>1.4768252793105363</v>
      </c>
      <c r="AB37" s="345">
        <f>RCoutEsr*Table25[[#This Row],[Irms Cout]]^2</f>
        <v>4.3620258112212875E-3</v>
      </c>
      <c r="AC37" s="345">
        <f>Table25[[#This Row],[Cout ESR Loss]]</f>
        <v>4.3620258112212875E-3</v>
      </c>
      <c r="AD37" s="292">
        <f>IF(Table25[[#This Row],[Vin]]&gt;Vout, SQRT(Table25[[#This Row],[Duty Cycle BUCK Leg]]*(1-Table25[[#This Row],[Duty Cycle BUCK Leg]]))*SQRT(Table25[[#This Row],[Iout]]^2+(Table25[[#This Row],[Ripple Current pk-pk]]^2)/12), Table25[[#This Row],[Ripple Current pk-pk]]/SQRT(12))</f>
        <v>1.2155336421331497</v>
      </c>
      <c r="AE37" s="345">
        <f>RCinEsr*Table25[[#This Row],[Irms Cin]]^2</f>
        <v>2.95504407031496E-3</v>
      </c>
      <c r="AF37" s="683">
        <f>Table25[[#This Row],[Cin ESR Loss]]</f>
        <v>2.95504407031496E-3</v>
      </c>
      <c r="AG37" s="345">
        <f>Table25[[#This Row],[Irms Lf]]</f>
        <v>3.3706639595990673</v>
      </c>
      <c r="AH37" s="345">
        <f>Rdson1*Table25[[#This Row],[Irms BuCtrl]]^2</f>
        <v>3.9764814349890217E-2</v>
      </c>
      <c r="AI37" s="345">
        <f>CHOOSE(Table25[[#This Row],[Mode Digit]], (Table25[[#This Row],[Vin]]*Table25[[#This Row],[Iout]]/2)*(Fsw)*(Tr_buck+Tf_buck), 0, (Table25[[#This Row],[Vin]]*Table25[[#This Row],[Avg IL]]/2)*(Fsw/1)*(Tr_buck+Tf_buck))</f>
        <v>0</v>
      </c>
      <c r="AJ37" s="253">
        <f>IF(Table25[[#This Row],[Vin]]&gt;Vout, IF(Table25[[#This Row],[Iout]]&gt;Table25[[#This Row],[Ripple Current pk-pk]]/2,0,ABS(Table25[[#This Row],[Iout]]-Table25[[#This Row],[Ripple Current pk-pk]]/2)*Vsd_Q1*Deadtime*Fsw),0)</f>
        <v>0</v>
      </c>
      <c r="AK37" s="345">
        <f>(Table25[[#This Row],[Dead Time Loss BuCtrl]]+Table25[[#This Row],[Transition Loss BuCtrl]]+Table25[[#This Row],[RDS(on) Loss BuCtrl]]*(1+RdsonTopTc*Ta-RdsonTopTc*25))/(1-Table25[[#This Row],[RDS(on) Loss BuCtrl]]*RdsonTopTc*ThetaJA_Q1)</f>
        <v>4.0180231809080362E-2</v>
      </c>
      <c r="AL37" s="345">
        <f>Table25[[#This Row],[Irms Lf]]</f>
        <v>3.3706639595990673</v>
      </c>
      <c r="AM37" s="345">
        <f>Rdson2*Table25[[#This Row],[Irms BuSync]]^2</f>
        <v>3.9764814349890217E-2</v>
      </c>
      <c r="AN37"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37" s="345">
        <f>(Table25[[#This Row],[Deadtime Loss BuSync]]+Table25[[#This Row],[RDS(on) Loss BuSync]]*(1+RdsonBotTc*Ta-RdsonBotTc*25))/(1-Table25[[#This Row],[RDS(on) Loss BuSync]]*RdsonBotTc*ThetaJA_Q2)</f>
        <v>4.0180231809080362E-2</v>
      </c>
      <c r="AP37" s="345">
        <f>Table25[[#This Row],[Irms Lf]]</f>
        <v>3.3706639595990673</v>
      </c>
      <c r="AQ37" s="345">
        <f>Rdson4*Table25[[#This Row],[Irms BoCtlr]]^2</f>
        <v>3.9764814349890217E-2</v>
      </c>
      <c r="AR37" s="345">
        <f>CHOOSE(Table25[[#This Row],[Mode Digit]], 0, (Vout*Table25[[#This Row],[Iin]]/2)*(Fsw)*(Tr_boost+Tf_boost), (Vout*Iout/2)*(Fsw/1)*(Tr_boost+Tf_boost))</f>
        <v>0.18691943646688344</v>
      </c>
      <c r="AS37" s="345">
        <f>IF(Table25[[#This Row],[Vin]]&gt;Vout, 0, IF(Table25[[#This Row],[Iin]]&gt;Table25[[#This Row],[Ripple Current pk-pk]]/2,0,ABS(Table25[[#This Row],[Iin]]-Table25[[#This Row],[Ripple Current pk-pk]]/2)*Vsd_Q4*Deadtime*Fsw))</f>
        <v>0</v>
      </c>
      <c r="AT37" s="345">
        <f>(Table25[[#This Row],[Dead Time Loss BoCtlr]]+Table25[[#This Row],[Transition Loss BoCtlr]]+Table25[[#This Row],[RDS(on) Loss BoCtlr]]*(1+RdsonTopTc*Ta-RdsonTopTc*25))/(1-Table25[[#This Row],[RDS(on) Loss BoCtlr]]*RdsonTopTc*ThetaJA_Q4)</f>
        <v>0.22905238951054793</v>
      </c>
      <c r="AU37" s="345">
        <f>Table25[[#This Row],[Irms Lf]]</f>
        <v>3.3706639595990673</v>
      </c>
      <c r="AV37" s="345">
        <f>Rdson3*Table25[[#This Row],[Irms BoSync]]^2</f>
        <v>3.9764814349890217E-2</v>
      </c>
      <c r="AW37"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9.3844210526315794E-2</v>
      </c>
      <c r="AX37" s="345">
        <f>(Table25[[#This Row],[Deadtime Loss BoSync]]+Table25[[#This Row],[RDS(on) Loss BoSync]]*(1+RdsonBotTc*Ta-RdsonBotTc*25))/(1-Table25[[#This Row],[RDS(on) Loss BoSync]]*RdsonBotTc*ThetaJA_Q3)</f>
        <v>0.13500481968994693</v>
      </c>
      <c r="AY37" s="345">
        <f>CHOOSE(Table25[[#This Row],[Mode Digit]], Rdson3*Table25[[#This Row],[Irms Lf]]^2, Rdson1*Table25[[#This Row],[Irms Lf]]^2, 0)</f>
        <v>3.9764814349890217E-2</v>
      </c>
      <c r="AZ37" s="345">
        <f>CHOOSE(Table25[[#This Row],[Mode Digit]], 2*Deadtime*Fsw*IF(VfdSky_Q2&gt;0,VfdSky_Q2,0)*Table25[[#This Row],[Iout]], 2*Deadtime*Fsw*IF(VfdSky_Q3&gt;0,VfdSky_Q3,0)*Table25[[#This Row],[Iin]], 2*Deadtime*Fsw*IF(VfdSky_Q2&gt;0,VfdSky_Q2,0)*Table25[[#This Row],[Iout]]+2*Deadtime*Fsw*IF(VfdSky_Q3&gt;0,VfdSky_Q3,0)*Table25[[#This Row],[Iin]])</f>
        <v>0</v>
      </c>
      <c r="BA37"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37"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37" s="345">
        <f>CHOOSE(Table25[[#This Row],[Mode Digit]], Rs*Table25[[#This Row],[Irms BuSync]]^2, Rs*Table25[[#This Row],[Irms BoCtlr]]^2, Rs*(Table25[[#This Row],[Irms BuSync]]^2+Table25[[#This Row],[Irms BoCtlr]]^2))</f>
        <v>1.4769788187102079E-2</v>
      </c>
      <c r="BD37" s="345">
        <f t="shared" si="1"/>
        <v>0.64</v>
      </c>
      <c r="BE37" s="345">
        <f>IF(Vout&gt;8, Iq*Vout, Iq*Table25[[#This Row],[Vin]])</f>
        <v>4.8000000000000001E-2</v>
      </c>
      <c r="BF37" s="345">
        <f>CHOOSE(Table25[[#This Row],[Mode Digit]], (Qg_Q1+Qg_Q2)*Fsw, (Qg_Q3+Qg_Q4)*Fsw, (Qg_Q1+Qg_Q2+Qg_Q3+Qg_Q4)*Fsw)*IF(Vout&gt;8,  MIN( Table25[[#This Row],[Vin]], Vout), Table25[[#This Row],[Vin]])</f>
        <v>0.63998400000000011</v>
      </c>
      <c r="BG37" s="345">
        <f t="shared" si="4"/>
        <v>0.50594479787234037</v>
      </c>
      <c r="BH37" s="345">
        <f>Table25[[#This Row],[IQ Loss]]+Table25[[#This Row],[Switching Current Loss]]</f>
        <v>0.68798400000000015</v>
      </c>
      <c r="BI37"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3.1426073359550486</v>
      </c>
      <c r="BJ37" s="253">
        <f>Vout*Table25[[#This Row],[Iout]]</f>
        <v>35.840000000000003</v>
      </c>
      <c r="BK37" s="684">
        <f>Table25[[#This Row],[Pout]]/(Table25[[#This Row],[Pout]]+Table25[[#This Row],[Total Loss]])</f>
        <v>0.91938437291092867</v>
      </c>
      <c r="BL37" s="685">
        <f>IF(Table25[[#This Row],[Vin]]&gt;Vout,ThetaJA_Q1*(Table25[[#This Row],[Total Control Bu MOSFET Loss]]+Table25[[#This Row],[Reverse Recovery Loss MOSFET D BUCK]]),ThetaJA_Q4*(Table25[[#This Row],[Total Control Bo MOSFET Loss]]+Table25[[#This Row],[Reverse Recovery Loss MOSFET D BOOST]]))</f>
        <v>38.067925318185615</v>
      </c>
      <c r="BM37" s="685">
        <f>IF(Table25[[#This Row],[Vin]]&gt;Vout, Table25[[#This Row],[Total Sync Bu MOSFET Loss]]*ThetaJA_Q2, ThetaJA_Q3*Table25[[#This Row],[Total Sync Bo MOSFET Loss]])</f>
        <v>8.7753132798465501</v>
      </c>
      <c r="BN37" s="640"/>
      <c r="BO37" s="292">
        <f>Table25[[#This Row],[EFF, h]]*100</f>
        <v>91.938437291092868</v>
      </c>
      <c r="BP37" s="345">
        <f>Table25[[#This Row],[Total Inductor Loss]]</f>
        <v>0.63490280506775454</v>
      </c>
      <c r="BQ37" s="345">
        <f>Table25[[#This Row],[Total Control Bu MOSFET Loss]]+Table25[[#This Row],[Total Sync Bu MOSFET Loss]]+Table25[[#This Row],[Total Control Bo MOSFET Loss]]+Table25[[#This Row],[Total Sync Bo MOSFET Loss]]+Table25[[#This Row],[Reverse Recovery Loss MOSFET D BUCK]]+Table25[[#This Row],[Reverse Recovery Loss MOSFET D BOOST]]</f>
        <v>1.1576336728186556</v>
      </c>
      <c r="BR37" s="345">
        <f xml:space="preserve"> Table25[[#This Row],[Total Control Bu MOSFET Loss]]+Table25[[#This Row],[Reverse Recovery Loss MOSFET D BUCK]]*0.66</f>
        <v>0.27554151180908037</v>
      </c>
      <c r="BS37" s="345">
        <f>Table25[[#This Row],[Total Sync Bu MOSFET Loss]]+Table25[[#This Row],[Reverse Recovery Loss MOSFET D BUCK]]*0.33</f>
        <v>0.15786087180908037</v>
      </c>
      <c r="BT37" s="345">
        <f xml:space="preserve"> Table25[[#This Row],[Total Control Bo MOSFET Loss]]+Table25[[#This Row],[Reverse Recovery Loss MOSFET D BOOST]]*0.66</f>
        <v>0.46441366951054797</v>
      </c>
      <c r="BU37" s="345">
        <f xml:space="preserve"> Table25[[#This Row],[Total Sync Bo MOSFET Loss]]+Table25[[#This Row],[Reverse Recovery Loss MOSFET D BOOST]]*0.33</f>
        <v>0.25268545968994693</v>
      </c>
      <c r="BV37" s="345">
        <f>Table25[[#This Row],[Isense Shunt Loss]]</f>
        <v>1.4769788187102079E-2</v>
      </c>
      <c r="CA37" s="253">
        <v>9.9985429999999997</v>
      </c>
      <c r="CB37" s="253">
        <v>1.6020000000000001</v>
      </c>
      <c r="CC37" s="253">
        <v>5.1182809999999996</v>
      </c>
      <c r="CD37" s="253">
        <v>93.864473327748414</v>
      </c>
      <c r="CE37" s="253">
        <v>535.96589716749952</v>
      </c>
    </row>
    <row r="38" spans="1:83" x14ac:dyDescent="0.2">
      <c r="A38" s="690" t="s">
        <v>83</v>
      </c>
      <c r="B38" s="569">
        <f>RdsonTopTc*1000000</f>
        <v>4000</v>
      </c>
      <c r="C38" s="255" t="s">
        <v>85</v>
      </c>
      <c r="D38" s="255" t="s">
        <v>111</v>
      </c>
      <c r="G38" s="253">
        <v>29</v>
      </c>
      <c r="H38" s="286">
        <f t="shared" si="0"/>
        <v>12</v>
      </c>
      <c r="I38" s="292" t="str">
        <f>IF(Mode = 2,IF(Table25[[#This Row],[Vin]]&gt;Vout, "BUCK","BOOST"),IF(Table25[[#This Row],[Vin]]&gt;VIN_BB_to_buck, "BUCK", IF(Table25[[#This Row],[Vin]]&lt;=VIN_boost_to_BB,"BOOST","BUCK-BST")))</f>
        <v>BOOST</v>
      </c>
      <c r="J38" s="253">
        <f>IF(Table25[[#This Row],[Mode]]="BOOST",2, IF(Table25[[#This Row],[Mode]]="BUCK", 1,3))</f>
        <v>2</v>
      </c>
      <c r="K38" s="345">
        <f t="shared" si="3"/>
        <v>2.3199999999999998</v>
      </c>
      <c r="L38" s="292">
        <f>Vout*Table25[[#This Row],[Iout]]/(Table25[[#This Row],[Vin]]*Efficiency)</f>
        <v>3.2561403508771933</v>
      </c>
      <c r="M38" s="682">
        <f>CHOOSE(Table25[[#This Row],[Mode Digit]],(Vout+(Rdson2+Rs+Rdcr)*Table25[[#This Row],[Iout]])/(Table25[[#This Row],[Vin]]+(Rs+Rdson2-Rdson1)*Table25[[#This Row],[Iout]])/Fsw,(Vout+(Rdson3+Rdcr)*Table25[[#This Row],[Iin]]-Table25[[#This Row],[Vin]])/(Vout+(Rdson3-Rdson4-Rs)*Table25[[#This Row],[Iin]])/Fsw,t1_Ph_II)</f>
        <v>6.3173373731878658E-7</v>
      </c>
      <c r="N38" s="518">
        <f>CHOOSE(Table25[[#This Row],[Mode Digit]],1/Fsw-Table25[[#This Row],[t1_Ph_II]],1/Fsw-Table25[[#This Row],[t1_Ph_II]],(Vout/Fsw-Table25[[#This Row],[Vin]]*t1_Ph_II)/(Table25[[#This Row],[Vin]]+Vout))</f>
        <v>1.8808290767515654E-6</v>
      </c>
      <c r="O38" s="518">
        <f>1/Fsw-(Table25[[#This Row],[t1_Ph_II]]+Table25[[#This Row],[t2_Ph_I]])</f>
        <v>0</v>
      </c>
      <c r="P38"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1.1503612264812384</v>
      </c>
      <c r="Q38" s="292">
        <f>CHOOSE(Table25[[#This Row],[Mode Digit]],Table25[[#This Row],[I_0]]+1/Lf*(Table25[[#This Row],[Vin]]-Vout)*Table25[[#This Row],[t1_Ph_II]],Table25[[#This Row],[I_0]]+1/Lf*Table25[[#This Row],[Vin]]*Table25[[#This Row],[t1_Ph_II]],Table25[[#This Row],[I_0]]+(Table25[[#This Row],[Vin]]-Vout)/L*Table25[[#This Row],[t1_Ph_II]])</f>
        <v>5.3619194752731483</v>
      </c>
      <c r="R38" s="292">
        <f>CHOOSE(Table25[[#This Row],[Mode Digit]],0,0,Table25[[#This Row],[I_1]]+Table25[[#This Row],[Vin]]/L*Table25[[#This Row],[t2_Ph_I]])</f>
        <v>0</v>
      </c>
      <c r="S38" s="292">
        <f>Fsw*(Table25[[#This Row],[I_0]]*Table25[[#This Row],[t1_Ph_II]]+Table25[[#This Row],[I_1]]*Table25[[#This Row],[t2_Ph_I]]+Table25[[#This Row],[I_2]]*Table25[[#This Row],[t3_Ph_III]])</f>
        <v>4.3030072691600081</v>
      </c>
      <c r="T38" s="345">
        <f>CHOOSE(Table25[[#This Row],[Mode Digit]],(Vout+(Rdson2+Rs+Rdcr)*Table25[[#This Row],[Iout]])/(Table25[[#This Row],[Vin]]+(Rs+Rdson2-Rdson1)*Table25[[#This Row],[Iout]]),1,Fsw*Table25[[#This Row],[t2_Ph_I]]+Table25[[#This Row],[t1_Ph_II]])</f>
        <v>1</v>
      </c>
      <c r="U38" s="345">
        <f>CHOOSE(Table25[[#This Row],[Mode Digit]],0,(Vout+(Rdson3+Rdcr)*Table25[[#This Row],[Iin]]-Table25[[#This Row],[Vin]])/(Vout+(Rdson3-Rdson4-Rs)*Table25[[#This Row],[Iin]]),Fsw*Table25[[#This Row],[t1_Ph_II]]+Table25[[#This Row],[t3_Ph_III]])</f>
        <v>0.25143002745287707</v>
      </c>
      <c r="V38" s="292">
        <f>MAX(Table25[[#This Row],[I_0]:[I_2]])-MIN(Table25[[#This Row],[I_0]:[I_1]])</f>
        <v>4.2115582487919099</v>
      </c>
      <c r="W38"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3.4757088329612107</v>
      </c>
      <c r="X38" s="345">
        <f>(Table25[[#This Row],[Irms Lf]]^2*Rdcr*(1+Ltc*Ta-Ltc*25))/(1-Table25[[#This Row],[Irms Lf]]^2*Rdcr*Ltc*ThetaCa)</f>
        <v>3.8777690764690842E-2</v>
      </c>
      <c r="Y38" s="345">
        <f>ABS(7.759*10^-3*Fsw^0.9458*(0.00787*Table25[[#This Row],[Ripple Current pk-pk]])^2.304)</f>
        <v>0.59871092478526311</v>
      </c>
      <c r="Z38" s="345">
        <f>Table25[[#This Row],[DCR    Loss]]+Table25[[#This Row],[Core Loss]]</f>
        <v>0.63748861554995395</v>
      </c>
      <c r="AA38" s="292">
        <f>IF(Table25[[#This Row],[Vin]]&gt;Vout, Table25[[#This Row],[Ripple Current pk-pk]]/SQRT(12), SQRT(Table25[[#This Row],[Duty Cycle BOOST Leg]]/(1-Table25[[#This Row],[Duty Cycle BOOST Leg]]))*SQRT(Table25[[#This Row],[Iout]]^2+(Table25[[#This Row],[Ripple Current pk-pk]]^2)/12))</f>
        <v>1.5179949087627918</v>
      </c>
      <c r="AB38" s="345">
        <f>RCoutEsr*Table25[[#This Row],[Irms Cout]]^2</f>
        <v>4.6086170860595134E-3</v>
      </c>
      <c r="AC38" s="345">
        <f>Table25[[#This Row],[Cout ESR Loss]]</f>
        <v>4.6086170860595134E-3</v>
      </c>
      <c r="AD38" s="292">
        <f>IF(Table25[[#This Row],[Vin]]&gt;Vout, SQRT(Table25[[#This Row],[Duty Cycle BUCK Leg]]*(1-Table25[[#This Row],[Duty Cycle BUCK Leg]]))*SQRT(Table25[[#This Row],[Iout]]^2+(Table25[[#This Row],[Ripple Current pk-pk]]^2)/12), Table25[[#This Row],[Ripple Current pk-pk]]/SQRT(12))</f>
        <v>1.2157721443238991</v>
      </c>
      <c r="AE38" s="345">
        <f>RCinEsr*Table25[[#This Row],[Irms Cin]]^2</f>
        <v>2.9562038138278637E-3</v>
      </c>
      <c r="AF38" s="683">
        <f>Table25[[#This Row],[Cin ESR Loss]]</f>
        <v>2.9562038138278637E-3</v>
      </c>
      <c r="AG38" s="345">
        <f>Table25[[#This Row],[Irms Lf]]</f>
        <v>3.4757088329612107</v>
      </c>
      <c r="AH38" s="345">
        <f>Rdson1*Table25[[#This Row],[Irms BuCtrl]]^2</f>
        <v>4.2281931620336041E-2</v>
      </c>
      <c r="AI38" s="345">
        <f>CHOOSE(Table25[[#This Row],[Mode Digit]], (Table25[[#This Row],[Vin]]*Table25[[#This Row],[Iout]]/2)*(Fsw)*(Tr_buck+Tf_buck), 0, (Table25[[#This Row],[Vin]]*Table25[[#This Row],[Avg IL]]/2)*(Fsw/1)*(Tr_buck+Tf_buck))</f>
        <v>0</v>
      </c>
      <c r="AJ38" s="253">
        <f>IF(Table25[[#This Row],[Vin]]&gt;Vout, IF(Table25[[#This Row],[Iout]]&gt;Table25[[#This Row],[Ripple Current pk-pk]]/2,0,ABS(Table25[[#This Row],[Iout]]-Table25[[#This Row],[Ripple Current pk-pk]]/2)*Vsd_Q1*Deadtime*Fsw),0)</f>
        <v>0</v>
      </c>
      <c r="AK38" s="345">
        <f>(Table25[[#This Row],[Dead Time Loss BuCtrl]]+Table25[[#This Row],[Transition Loss BuCtrl]]+Table25[[#This Row],[RDS(on) Loss BuCtrl]]*(1+RdsonTopTc*Ta-RdsonTopTc*25))/(1-Table25[[#This Row],[RDS(on) Loss BuCtrl]]*RdsonTopTc*ThetaJA_Q1)</f>
        <v>4.2751916357392047E-2</v>
      </c>
      <c r="AL38" s="345">
        <f>Table25[[#This Row],[Irms Lf]]</f>
        <v>3.4757088329612107</v>
      </c>
      <c r="AM38" s="345">
        <f>Rdson2*Table25[[#This Row],[Irms BuSync]]^2</f>
        <v>4.2281931620336041E-2</v>
      </c>
      <c r="AN38"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38" s="345">
        <f>(Table25[[#This Row],[Deadtime Loss BuSync]]+Table25[[#This Row],[RDS(on) Loss BuSync]]*(1+RdsonBotTc*Ta-RdsonBotTc*25))/(1-Table25[[#This Row],[RDS(on) Loss BuSync]]*RdsonBotTc*ThetaJA_Q2)</f>
        <v>4.2751916357392047E-2</v>
      </c>
      <c r="AP38" s="345">
        <f>Table25[[#This Row],[Irms Lf]]</f>
        <v>3.4757088329612107</v>
      </c>
      <c r="AQ38" s="345">
        <f>Rdson4*Table25[[#This Row],[Irms BoCtlr]]^2</f>
        <v>4.2281931620336041E-2</v>
      </c>
      <c r="AR38" s="345">
        <f>CHOOSE(Table25[[#This Row],[Mode Digit]], 0, (Vout*Table25[[#This Row],[Iin]]/2)*(Fsw)*(Tr_boost+Tf_boost), (Vout*Iout/2)*(Fsw/1)*(Tr_boost+Tf_boost))</f>
        <v>0.19359513062641495</v>
      </c>
      <c r="AS38" s="345">
        <f>IF(Table25[[#This Row],[Vin]]&gt;Vout, 0, IF(Table25[[#This Row],[Iin]]&gt;Table25[[#This Row],[Ripple Current pk-pk]]/2,0,ABS(Table25[[#This Row],[Iin]]-Table25[[#This Row],[Ripple Current pk-pk]]/2)*Vsd_Q4*Deadtime*Fsw))</f>
        <v>0</v>
      </c>
      <c r="AT38" s="345">
        <f>(Table25[[#This Row],[Dead Time Loss BoCtlr]]+Table25[[#This Row],[Transition Loss BoCtlr]]+Table25[[#This Row],[RDS(on) Loss BoCtlr]]*(1+RdsonTopTc*Ta-RdsonTopTc*25))/(1-Table25[[#This Row],[RDS(on) Loss BoCtlr]]*RdsonTopTc*ThetaJA_Q4)</f>
        <v>0.2384989533200591</v>
      </c>
      <c r="AU38" s="345">
        <f>Table25[[#This Row],[Irms Lf]]</f>
        <v>3.4757088329612107</v>
      </c>
      <c r="AV38" s="345">
        <f>Rdson3*Table25[[#This Row],[Irms BoSync]]^2</f>
        <v>4.2281931620336041E-2</v>
      </c>
      <c r="AW38"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9.7195789473684208E-2</v>
      </c>
      <c r="AX38" s="345">
        <f>(Table25[[#This Row],[Deadtime Loss BoSync]]+Table25[[#This Row],[RDS(on) Loss BoSync]]*(1+RdsonBotTc*Ta-RdsonBotTc*25))/(1-Table25[[#This Row],[RDS(on) Loss BoSync]]*RdsonBotTc*ThetaJA_Q3)</f>
        <v>0.14102808545916234</v>
      </c>
      <c r="AY38" s="345">
        <f>CHOOSE(Table25[[#This Row],[Mode Digit]], Rdson3*Table25[[#This Row],[Irms Lf]]^2, Rdson1*Table25[[#This Row],[Irms Lf]]^2, 0)</f>
        <v>4.2281931620336041E-2</v>
      </c>
      <c r="AZ38" s="345">
        <f>CHOOSE(Table25[[#This Row],[Mode Digit]], 2*Deadtime*Fsw*IF(VfdSky_Q2&gt;0,VfdSky_Q2,0)*Table25[[#This Row],[Iout]], 2*Deadtime*Fsw*IF(VfdSky_Q3&gt;0,VfdSky_Q3,0)*Table25[[#This Row],[Iin]], 2*Deadtime*Fsw*IF(VfdSky_Q2&gt;0,VfdSky_Q2,0)*Table25[[#This Row],[Iout]]+2*Deadtime*Fsw*IF(VfdSky_Q3&gt;0,VfdSky_Q3,0)*Table25[[#This Row],[Iin]])</f>
        <v>0</v>
      </c>
      <c r="BA38"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38"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38" s="345">
        <f>CHOOSE(Table25[[#This Row],[Mode Digit]], Rs*Table25[[#This Row],[Irms BuSync]]^2, Rs*Table25[[#This Row],[Irms BoCtlr]]^2, Rs*(Table25[[#This Row],[Irms BuSync]]^2+Table25[[#This Row],[Irms BoCtlr]]^2))</f>
        <v>1.5704717458981957E-2</v>
      </c>
      <c r="BD38" s="345">
        <f t="shared" si="1"/>
        <v>0.64</v>
      </c>
      <c r="BE38" s="345">
        <f>IF(Vout&gt;8, Iq*Vout, Iq*Table25[[#This Row],[Vin]])</f>
        <v>4.8000000000000001E-2</v>
      </c>
      <c r="BF38" s="345">
        <f>CHOOSE(Table25[[#This Row],[Mode Digit]], (Qg_Q1+Qg_Q2)*Fsw, (Qg_Q3+Qg_Q4)*Fsw, (Qg_Q1+Qg_Q2+Qg_Q3+Qg_Q4)*Fsw)*IF(Vout&gt;8,  MIN( Table25[[#This Row],[Vin]], Vout), Table25[[#This Row],[Vin]])</f>
        <v>0.63998400000000011</v>
      </c>
      <c r="BG38" s="345">
        <f t="shared" si="4"/>
        <v>0.50594479787234037</v>
      </c>
      <c r="BH38" s="345">
        <f>Table25[[#This Row],[IQ Loss]]+Table25[[#This Row],[Switching Current Loss]]</f>
        <v>0.68798400000000015</v>
      </c>
      <c r="BI38"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3.1669890254028292</v>
      </c>
      <c r="BJ38" s="253">
        <f>Vout*Table25[[#This Row],[Iout]]</f>
        <v>37.119999999999997</v>
      </c>
      <c r="BK38" s="684">
        <f>Table25[[#This Row],[Pout]]/(Table25[[#This Row],[Pout]]+Table25[[#This Row],[Total Loss]])</f>
        <v>0.92138928467933179</v>
      </c>
      <c r="BL38" s="685">
        <f>IF(Table25[[#This Row],[Vin]]&gt;Vout,ThetaJA_Q1*(Table25[[#This Row],[Total Control Bu MOSFET Loss]]+Table25[[#This Row],[Reverse Recovery Loss MOSFET D BUCK]]),ThetaJA_Q4*(Table25[[#This Row],[Total Control Bo MOSFET Loss]]+Table25[[#This Row],[Reverse Recovery Loss MOSFET D BOOST]]))</f>
        <v>38.68195196580384</v>
      </c>
      <c r="BM38" s="685">
        <f>IF(Table25[[#This Row],[Vin]]&gt;Vout, Table25[[#This Row],[Total Sync Bu MOSFET Loss]]*ThetaJA_Q2, ThetaJA_Q3*Table25[[#This Row],[Total Sync Bo MOSFET Loss]])</f>
        <v>9.1668255548455519</v>
      </c>
      <c r="BN38" s="640"/>
      <c r="BO38" s="292">
        <f>Table25[[#This Row],[EFF, h]]*100</f>
        <v>92.138928467933184</v>
      </c>
      <c r="BP38" s="345">
        <f>Table25[[#This Row],[Total Inductor Loss]]</f>
        <v>0.63748861554995395</v>
      </c>
      <c r="BQ38" s="345">
        <f>Table25[[#This Row],[Total Control Bu MOSFET Loss]]+Table25[[#This Row],[Total Sync Bu MOSFET Loss]]+Table25[[#This Row],[Total Control Bo MOSFET Loss]]+Table25[[#This Row],[Total Sync Bo MOSFET Loss]]+Table25[[#This Row],[Reverse Recovery Loss MOSFET D BUCK]]+Table25[[#This Row],[Reverse Recovery Loss MOSFET D BOOST]]</f>
        <v>1.1782468714940055</v>
      </c>
      <c r="BR38" s="345">
        <f xml:space="preserve"> Table25[[#This Row],[Total Control Bu MOSFET Loss]]+Table25[[#This Row],[Reverse Recovery Loss MOSFET D BUCK]]*0.66</f>
        <v>0.27811319635739207</v>
      </c>
      <c r="BS38" s="345">
        <f>Table25[[#This Row],[Total Sync Bu MOSFET Loss]]+Table25[[#This Row],[Reverse Recovery Loss MOSFET D BUCK]]*0.33</f>
        <v>0.16043255635739206</v>
      </c>
      <c r="BT38" s="345">
        <f xml:space="preserve"> Table25[[#This Row],[Total Control Bo MOSFET Loss]]+Table25[[#This Row],[Reverse Recovery Loss MOSFET D BOOST]]*0.66</f>
        <v>0.47386023332005911</v>
      </c>
      <c r="BU38" s="345">
        <f xml:space="preserve"> Table25[[#This Row],[Total Sync Bo MOSFET Loss]]+Table25[[#This Row],[Reverse Recovery Loss MOSFET D BOOST]]*0.33</f>
        <v>0.25870872545916235</v>
      </c>
      <c r="BV38" s="345">
        <f>Table25[[#This Row],[Isense Shunt Loss]]</f>
        <v>1.5704717458981957E-2</v>
      </c>
      <c r="CA38" s="253">
        <v>9.9985429999999997</v>
      </c>
      <c r="CB38" s="253">
        <v>1.9350000000000001</v>
      </c>
      <c r="CC38" s="253">
        <v>5.117146</v>
      </c>
      <c r="CD38" s="253">
        <v>94.224527198076927</v>
      </c>
      <c r="CE38" s="253">
        <v>606.92116405899924</v>
      </c>
    </row>
    <row r="39" spans="1:83" x14ac:dyDescent="0.2">
      <c r="A39" s="691" t="s">
        <v>74</v>
      </c>
      <c r="B39" s="569">
        <f>Qg_Q1*1000000000</f>
        <v>67</v>
      </c>
      <c r="C39" s="255" t="s">
        <v>69</v>
      </c>
      <c r="D39" s="255" t="s">
        <v>101</v>
      </c>
      <c r="G39" s="253">
        <v>30</v>
      </c>
      <c r="H39" s="286">
        <f t="shared" si="0"/>
        <v>12</v>
      </c>
      <c r="I39" s="292" t="str">
        <f>IF(Mode = 2,IF(Table25[[#This Row],[Vin]]&gt;Vout, "BUCK","BOOST"),IF(Table25[[#This Row],[Vin]]&gt;VIN_BB_to_buck, "BUCK", IF(Table25[[#This Row],[Vin]]&lt;=VIN_boost_to_BB,"BOOST","BUCK-BST")))</f>
        <v>BOOST</v>
      </c>
      <c r="J39" s="253">
        <f>IF(Table25[[#This Row],[Mode]]="BOOST",2, IF(Table25[[#This Row],[Mode]]="BUCK", 1,3))</f>
        <v>2</v>
      </c>
      <c r="K39" s="345">
        <f t="shared" si="3"/>
        <v>2.4</v>
      </c>
      <c r="L39" s="292">
        <f>Vout*Table25[[#This Row],[Iout]]/(Table25[[#This Row],[Vin]]*Efficiency)</f>
        <v>3.3684210526315792</v>
      </c>
      <c r="M39" s="682">
        <f>CHOOSE(Table25[[#This Row],[Mode Digit]],(Vout+(Rdson2+Rs+Rdcr)*Table25[[#This Row],[Iout]])/(Table25[[#This Row],[Vin]]+(Rs+Rdson2-Rdson1)*Table25[[#This Row],[Iout]])/Fsw,(Vout+(Rdson3+Rdcr)*Table25[[#This Row],[Iin]]-Table25[[#This Row],[Vin]])/(Vout+(Rdson3-Rdson4-Rs)*Table25[[#This Row],[Iin]])/Fsw,t1_Ph_II)</f>
        <v>6.3185766895420115E-7</v>
      </c>
      <c r="N39" s="518">
        <f>CHOOSE(Table25[[#This Row],[Mode Digit]],1/Fsw-Table25[[#This Row],[t1_Ph_II]],1/Fsw-Table25[[#This Row],[t1_Ph_II]],(Vout/Fsw-Table25[[#This Row],[Vin]]*t1_Ph_II)/(Table25[[#This Row],[Vin]]+Vout))</f>
        <v>1.8807051451161506E-6</v>
      </c>
      <c r="O39" s="518">
        <f>1/Fsw-(Table25[[#This Row],[t1_Ph_II]]+Table25[[#This Row],[t2_Ph_I]])</f>
        <v>0</v>
      </c>
      <c r="P39"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1.2622288227842424</v>
      </c>
      <c r="Q39" s="292">
        <f>CHOOSE(Table25[[#This Row],[Mode Digit]],Table25[[#This Row],[I_0]]+1/Lf*(Table25[[#This Row],[Vin]]-Vout)*Table25[[#This Row],[t1_Ph_II]],Table25[[#This Row],[I_0]]+1/Lf*Table25[[#This Row],[Vin]]*Table25[[#This Row],[t1_Ph_II]],Table25[[#This Row],[I_0]]+(Table25[[#This Row],[Vin]]-Vout)/L*Table25[[#This Row],[t1_Ph_II]])</f>
        <v>5.4746132824789164</v>
      </c>
      <c r="R39" s="292">
        <f>CHOOSE(Table25[[#This Row],[Mode Digit]],0,0,Table25[[#This Row],[I_1]]+Table25[[#This Row],[Vin]]/L*Table25[[#This Row],[t2_Ph_I]])</f>
        <v>0</v>
      </c>
      <c r="S39" s="292">
        <f>Fsw*(Table25[[#This Row],[I_0]]*Table25[[#This Row],[t1_Ph_II]]+Table25[[#This Row],[I_1]]*Table25[[#This Row],[t2_Ph_I]]+Table25[[#This Row],[I_2]]*Table25[[#This Row],[t3_Ph_III]])</f>
        <v>4.4152855671531679</v>
      </c>
      <c r="T39" s="345">
        <f>CHOOSE(Table25[[#This Row],[Mode Digit]],(Vout+(Rdson2+Rs+Rdcr)*Table25[[#This Row],[Iout]])/(Table25[[#This Row],[Vin]]+(Rs+Rdson2-Rdson1)*Table25[[#This Row],[Iout]]),1,Fsw*Table25[[#This Row],[t2_Ph_I]]+Table25[[#This Row],[t1_Ph_II]])</f>
        <v>1</v>
      </c>
      <c r="U39" s="345">
        <f>CHOOSE(Table25[[#This Row],[Mode Digit]],0,(Vout+(Rdson3+Rdcr)*Table25[[#This Row],[Iin]]-Table25[[#This Row],[Vin]])/(Vout+(Rdson3-Rdson4-Rs)*Table25[[#This Row],[Iin]]),Fsw*Table25[[#This Row],[t1_Ph_II]]+Table25[[#This Row],[t3_Ph_III]])</f>
        <v>0.25147935224377205</v>
      </c>
      <c r="V39" s="292">
        <f>MAX(Table25[[#This Row],[I_0]:[I_2]])-MIN(Table25[[#This Row],[I_0]:[I_1]])</f>
        <v>4.2123844596946736</v>
      </c>
      <c r="W39"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3.5811928586484609</v>
      </c>
      <c r="X39" s="345">
        <f>(Table25[[#This Row],[Irms Lf]]^2*Rdcr*(1+Ltc*Ta-Ltc*25))/(1-Table25[[#This Row],[Irms Lf]]^2*Rdcr*Ltc*ThetaCa)</f>
        <v>4.1175000483959313E-2</v>
      </c>
      <c r="Y39" s="345">
        <f>ABS(7.759*10^-3*Fsw^0.9458*(0.00787*Table25[[#This Row],[Ripple Current pk-pk]])^2.304)</f>
        <v>0.5989815718458148</v>
      </c>
      <c r="Z39" s="345">
        <f>Table25[[#This Row],[DCR    Loss]]+Table25[[#This Row],[Core Loss]]</f>
        <v>0.64015657232977408</v>
      </c>
      <c r="AA39" s="292">
        <f>IF(Table25[[#This Row],[Vin]]&gt;Vout, Table25[[#This Row],[Ripple Current pk-pk]]/SQRT(12), SQRT(Table25[[#This Row],[Duty Cycle BOOST Leg]]/(1-Table25[[#This Row],[Duty Cycle BOOST Leg]]))*SQRT(Table25[[#This Row],[Iout]]^2+(Table25[[#This Row],[Ripple Current pk-pk]]^2)/12))</f>
        <v>1.5594771666243556</v>
      </c>
      <c r="AB39" s="345">
        <f>RCoutEsr*Table25[[#This Row],[Irms Cout]]^2</f>
        <v>4.8639380664454567E-3</v>
      </c>
      <c r="AC39" s="345">
        <f>Table25[[#This Row],[Cout ESR Loss]]</f>
        <v>4.8639380664454567E-3</v>
      </c>
      <c r="AD39" s="292">
        <f>IF(Table25[[#This Row],[Vin]]&gt;Vout, SQRT(Table25[[#This Row],[Duty Cycle BUCK Leg]]*(1-Table25[[#This Row],[Duty Cycle BUCK Leg]]))*SQRT(Table25[[#This Row],[Iout]]^2+(Table25[[#This Row],[Ripple Current pk-pk]]^2)/12), Table25[[#This Row],[Ripple Current pk-pk]]/SQRT(12))</f>
        <v>1.2160106508674582</v>
      </c>
      <c r="AE39" s="345">
        <f>RCinEsr*Table25[[#This Row],[Irms Cin]]^2</f>
        <v>2.9573638060461987E-3</v>
      </c>
      <c r="AF39" s="683">
        <f>Table25[[#This Row],[Cin ESR Loss]]</f>
        <v>2.9573638060461987E-3</v>
      </c>
      <c r="AG39" s="345">
        <f>Table25[[#This Row],[Irms Lf]]</f>
        <v>3.5811928586484609</v>
      </c>
      <c r="AH39" s="345">
        <f>Rdson1*Table25[[#This Row],[Irms BuCtrl]]^2</f>
        <v>4.488729801792158E-2</v>
      </c>
      <c r="AI39" s="345">
        <f>CHOOSE(Table25[[#This Row],[Mode Digit]], (Table25[[#This Row],[Vin]]*Table25[[#This Row],[Iout]]/2)*(Fsw)*(Tr_buck+Tf_buck), 0, (Table25[[#This Row],[Vin]]*Table25[[#This Row],[Avg IL]]/2)*(Fsw/1)*(Tr_buck+Tf_buck))</f>
        <v>0</v>
      </c>
      <c r="AJ39" s="253">
        <f>IF(Table25[[#This Row],[Vin]]&gt;Vout, IF(Table25[[#This Row],[Iout]]&gt;Table25[[#This Row],[Ripple Current pk-pk]]/2,0,ABS(Table25[[#This Row],[Iout]]-Table25[[#This Row],[Ripple Current pk-pk]]/2)*Vsd_Q1*Deadtime*Fsw),0)</f>
        <v>0</v>
      </c>
      <c r="AK39" s="345">
        <f>(Table25[[#This Row],[Dead Time Loss BuCtrl]]+Table25[[#This Row],[Transition Loss BuCtrl]]+Table25[[#This Row],[RDS(on) Loss BuCtrl]]*(1+RdsonTopTc*Ta-RdsonTopTc*25))/(1-Table25[[#This Row],[RDS(on) Loss BuCtrl]]*RdsonTopTc*ThetaJA_Q1)</f>
        <v>4.5417350172337792E-2</v>
      </c>
      <c r="AL39" s="345">
        <f>Table25[[#This Row],[Irms Lf]]</f>
        <v>3.5811928586484609</v>
      </c>
      <c r="AM39" s="345">
        <f>Rdson2*Table25[[#This Row],[Irms BuSync]]^2</f>
        <v>4.488729801792158E-2</v>
      </c>
      <c r="AN39"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39" s="345">
        <f>(Table25[[#This Row],[Deadtime Loss BuSync]]+Table25[[#This Row],[RDS(on) Loss BuSync]]*(1+RdsonBotTc*Ta-RdsonBotTc*25))/(1-Table25[[#This Row],[RDS(on) Loss BuSync]]*RdsonBotTc*ThetaJA_Q2)</f>
        <v>4.5417350172337792E-2</v>
      </c>
      <c r="AP39" s="345">
        <f>Table25[[#This Row],[Irms Lf]]</f>
        <v>3.5811928586484609</v>
      </c>
      <c r="AQ39" s="345">
        <f>Rdson4*Table25[[#This Row],[Irms BoCtlr]]^2</f>
        <v>4.488729801792158E-2</v>
      </c>
      <c r="AR39" s="345">
        <f>CHOOSE(Table25[[#This Row],[Mode Digit]], 0, (Vout*Table25[[#This Row],[Iin]]/2)*(Fsw)*(Tr_boost+Tf_boost), (Vout*Iout/2)*(Fsw/1)*(Tr_boost+Tf_boost))</f>
        <v>0.20027082478594652</v>
      </c>
      <c r="AS39" s="345">
        <f>IF(Table25[[#This Row],[Vin]]&gt;Vout, 0, IF(Table25[[#This Row],[Iin]]&gt;Table25[[#This Row],[Ripple Current pk-pk]]/2,0,ABS(Table25[[#This Row],[Iin]]-Table25[[#This Row],[Ripple Current pk-pk]]/2)*Vsd_Q4*Deadtime*Fsw))</f>
        <v>0</v>
      </c>
      <c r="AT39" s="345">
        <f>(Table25[[#This Row],[Dead Time Loss BoCtlr]]+Table25[[#This Row],[Transition Loss BoCtlr]]+Table25[[#This Row],[RDS(on) Loss BoCtlr]]*(1+RdsonTopTc*Ta-RdsonTopTc*25))/(1-Table25[[#This Row],[RDS(on) Loss BoCtlr]]*RdsonTopTc*ThetaJA_Q4)</f>
        <v>0.24805307520472192</v>
      </c>
      <c r="AU39" s="345">
        <f>Table25[[#This Row],[Irms Lf]]</f>
        <v>3.5811928586484609</v>
      </c>
      <c r="AV39" s="345">
        <f>Rdson3*Table25[[#This Row],[Irms BoSync]]^2</f>
        <v>4.488729801792158E-2</v>
      </c>
      <c r="AW39"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0.10054736842105262</v>
      </c>
      <c r="AX39" s="345">
        <f>(Table25[[#This Row],[Deadtime Loss BoSync]]+Table25[[#This Row],[RDS(on) Loss BoSync]]*(1+RdsonBotTc*Ta-RdsonBotTc*25))/(1-Table25[[#This Row],[RDS(on) Loss BoSync]]*RdsonBotTc*ThetaJA_Q3)</f>
        <v>0.1471520333039168</v>
      </c>
      <c r="AY39" s="345">
        <f>CHOOSE(Table25[[#This Row],[Mode Digit]], Rdson3*Table25[[#This Row],[Irms Lf]]^2, Rdson1*Table25[[#This Row],[Irms Lf]]^2, 0)</f>
        <v>4.488729801792158E-2</v>
      </c>
      <c r="AZ39" s="345">
        <f>CHOOSE(Table25[[#This Row],[Mode Digit]], 2*Deadtime*Fsw*IF(VfdSky_Q2&gt;0,VfdSky_Q2,0)*Table25[[#This Row],[Iout]], 2*Deadtime*Fsw*IF(VfdSky_Q3&gt;0,VfdSky_Q3,0)*Table25[[#This Row],[Iin]], 2*Deadtime*Fsw*IF(VfdSky_Q2&gt;0,VfdSky_Q2,0)*Table25[[#This Row],[Iout]]+2*Deadtime*Fsw*IF(VfdSky_Q3&gt;0,VfdSky_Q3,0)*Table25[[#This Row],[Iin]])</f>
        <v>0</v>
      </c>
      <c r="BA39"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39"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39" s="345">
        <f>CHOOSE(Table25[[#This Row],[Mode Digit]], Rs*Table25[[#This Row],[Irms BuSync]]^2, Rs*Table25[[#This Row],[Irms BoCtlr]]^2, Rs*(Table25[[#This Row],[Irms BuSync]]^2+Table25[[#This Row],[Irms BoCtlr]]^2))</f>
        <v>1.6672424978085156E-2</v>
      </c>
      <c r="BD39" s="345">
        <f t="shared" si="1"/>
        <v>0.64</v>
      </c>
      <c r="BE39" s="345">
        <f>IF(Vout&gt;8, Iq*Vout, Iq*Table25[[#This Row],[Vin]])</f>
        <v>4.8000000000000001E-2</v>
      </c>
      <c r="BF39" s="345">
        <f>CHOOSE(Table25[[#This Row],[Mode Digit]], (Qg_Q1+Qg_Q2)*Fsw, (Qg_Q3+Qg_Q4)*Fsw, (Qg_Q1+Qg_Q2+Qg_Q3+Qg_Q4)*Fsw)*IF(Vout&gt;8,  MIN( Table25[[#This Row],[Vin]], Vout), Table25[[#This Row],[Vin]])</f>
        <v>0.63998400000000011</v>
      </c>
      <c r="BG39" s="345">
        <f t="shared" si="4"/>
        <v>0.50594479787234037</v>
      </c>
      <c r="BH39" s="345">
        <f>Table25[[#This Row],[IQ Loss]]+Table25[[#This Row],[Switching Current Loss]]</f>
        <v>0.68798400000000015</v>
      </c>
      <c r="BI39"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3.1918901080336655</v>
      </c>
      <c r="BJ39" s="253">
        <f>Vout*Table25[[#This Row],[Iout]]</f>
        <v>38.4</v>
      </c>
      <c r="BK39" s="684">
        <f>Table25[[#This Row],[Pout]]/(Table25[[#This Row],[Pout]]+Table25[[#This Row],[Total Loss]])</f>
        <v>0.92325691138962829</v>
      </c>
      <c r="BL39" s="685">
        <f>IF(Table25[[#This Row],[Vin]]&gt;Vout,ThetaJA_Q1*(Table25[[#This Row],[Total Control Bu MOSFET Loss]]+Table25[[#This Row],[Reverse Recovery Loss MOSFET D BUCK]]),ThetaJA_Q4*(Table25[[#This Row],[Total Control Bo MOSFET Loss]]+Table25[[#This Row],[Reverse Recovery Loss MOSFET D BOOST]]))</f>
        <v>39.302969888306926</v>
      </c>
      <c r="BM39" s="685">
        <f>IF(Table25[[#This Row],[Vin]]&gt;Vout, Table25[[#This Row],[Total Sync Bu MOSFET Loss]]*ThetaJA_Q2, ThetaJA_Q3*Table25[[#This Row],[Total Sync Bo MOSFET Loss]])</f>
        <v>9.5648821647545912</v>
      </c>
      <c r="BN39" s="640"/>
      <c r="BO39" s="292">
        <f>Table25[[#This Row],[EFF, h]]*100</f>
        <v>92.325691138962824</v>
      </c>
      <c r="BP39" s="345">
        <f>Table25[[#This Row],[Total Inductor Loss]]</f>
        <v>0.64015657232977408</v>
      </c>
      <c r="BQ39" s="345">
        <f>Table25[[#This Row],[Total Control Bu MOSFET Loss]]+Table25[[#This Row],[Total Sync Bu MOSFET Loss]]+Table25[[#This Row],[Total Control Bo MOSFET Loss]]+Table25[[#This Row],[Total Sync Bo MOSFET Loss]]+Table25[[#This Row],[Reverse Recovery Loss MOSFET D BUCK]]+Table25[[#This Row],[Reverse Recovery Loss MOSFET D BOOST]]</f>
        <v>1.1992558088533143</v>
      </c>
      <c r="BR39" s="345">
        <f xml:space="preserve"> Table25[[#This Row],[Total Control Bu MOSFET Loss]]+Table25[[#This Row],[Reverse Recovery Loss MOSFET D BUCK]]*0.66</f>
        <v>0.28077863017233778</v>
      </c>
      <c r="BS39" s="345">
        <f>Table25[[#This Row],[Total Sync Bu MOSFET Loss]]+Table25[[#This Row],[Reverse Recovery Loss MOSFET D BUCK]]*0.33</f>
        <v>0.16309799017233778</v>
      </c>
      <c r="BT39" s="345">
        <f xml:space="preserve"> Table25[[#This Row],[Total Control Bo MOSFET Loss]]+Table25[[#This Row],[Reverse Recovery Loss MOSFET D BOOST]]*0.66</f>
        <v>0.48341435520472192</v>
      </c>
      <c r="BU39" s="345">
        <f xml:space="preserve"> Table25[[#This Row],[Total Sync Bo MOSFET Loss]]+Table25[[#This Row],[Reverse Recovery Loss MOSFET D BOOST]]*0.33</f>
        <v>0.2648326733039168</v>
      </c>
      <c r="BV39" s="345">
        <f>Table25[[#This Row],[Isense Shunt Loss]]</f>
        <v>1.6672424978085156E-2</v>
      </c>
      <c r="CA39" s="253">
        <v>9.9985060000000008</v>
      </c>
      <c r="CB39" s="253">
        <v>2.31</v>
      </c>
      <c r="CC39" s="253">
        <v>5.1166349999999996</v>
      </c>
      <c r="CD39" s="253">
        <v>94.492663502717292</v>
      </c>
      <c r="CE39" s="253">
        <v>688.87413060200208</v>
      </c>
    </row>
    <row r="40" spans="1:83" x14ac:dyDescent="0.2">
      <c r="A40" s="691" t="s">
        <v>128</v>
      </c>
      <c r="B40" s="569">
        <f>Qgd_Q1*1000000000</f>
        <v>10.31</v>
      </c>
      <c r="C40" s="255" t="s">
        <v>69</v>
      </c>
      <c r="D40" s="255" t="s">
        <v>129</v>
      </c>
      <c r="G40" s="253">
        <v>31</v>
      </c>
      <c r="H40" s="286">
        <f t="shared" si="0"/>
        <v>12</v>
      </c>
      <c r="I40" s="292" t="str">
        <f>IF(Mode = 2,IF(Table25[[#This Row],[Vin]]&gt;Vout, "BUCK","BOOST"),IF(Table25[[#This Row],[Vin]]&gt;VIN_BB_to_buck, "BUCK", IF(Table25[[#This Row],[Vin]]&lt;=VIN_boost_to_BB,"BOOST","BUCK-BST")))</f>
        <v>BOOST</v>
      </c>
      <c r="J40" s="253">
        <f>IF(Table25[[#This Row],[Mode]]="BOOST",2, IF(Table25[[#This Row],[Mode]]="BUCK", 1,3))</f>
        <v>2</v>
      </c>
      <c r="K40" s="345">
        <f t="shared" si="3"/>
        <v>2.48</v>
      </c>
      <c r="L40" s="292">
        <f>Vout*Table25[[#This Row],[Iout]]/(Table25[[#This Row],[Vin]]*Efficiency)</f>
        <v>3.4807017543859655</v>
      </c>
      <c r="M40" s="682">
        <f>CHOOSE(Table25[[#This Row],[Mode Digit]],(Vout+(Rdson2+Rs+Rdcr)*Table25[[#This Row],[Iout]])/(Table25[[#This Row],[Vin]]+(Rs+Rdson2-Rdson1)*Table25[[#This Row],[Iout]])/Fsw,(Vout+(Rdson3+Rdcr)*Table25[[#This Row],[Iin]]-Table25[[#This Row],[Vin]])/(Vout+(Rdson3-Rdson4-Rs)*Table25[[#This Row],[Iin]])/Fsw,t1_Ph_II)</f>
        <v>6.319816028514639E-7</v>
      </c>
      <c r="N40" s="518">
        <f>CHOOSE(Table25[[#This Row],[Mode Digit]],1/Fsw-Table25[[#This Row],[t1_Ph_II]],1/Fsw-Table25[[#This Row],[t1_Ph_II]],(Vout/Fsw-Table25[[#This Row],[Vin]]*t1_Ph_II)/(Table25[[#This Row],[Vin]]+Vout))</f>
        <v>1.8805812112188881E-6</v>
      </c>
      <c r="O40" s="518">
        <f>1/Fsw-(Table25[[#This Row],[t1_Ph_II]]+Table25[[#This Row],[t2_Ph_I]])</f>
        <v>0</v>
      </c>
      <c r="P40"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1.3740964115477525</v>
      </c>
      <c r="Q40" s="292">
        <f>CHOOSE(Table25[[#This Row],[Mode Digit]],Table25[[#This Row],[I_0]]+1/Lf*(Table25[[#This Row],[Vin]]-Vout)*Table25[[#This Row],[t1_Ph_II]],Table25[[#This Row],[I_0]]+1/Lf*Table25[[#This Row],[Vin]]*Table25[[#This Row],[t1_Ph_II]],Table25[[#This Row],[I_0]]+(Table25[[#This Row],[Vin]]-Vout)/L*Table25[[#This Row],[t1_Ph_II]])</f>
        <v>5.5873070972241781</v>
      </c>
      <c r="R40" s="292">
        <f>CHOOSE(Table25[[#This Row],[Mode Digit]],0,0,Table25[[#This Row],[I_1]]+Table25[[#This Row],[Vin]]/L*Table25[[#This Row],[t2_Ph_I]])</f>
        <v>0</v>
      </c>
      <c r="S40" s="292">
        <f>Fsw*(Table25[[#This Row],[I_0]]*Table25[[#This Row],[t1_Ph_II]]+Table25[[#This Row],[I_1]]*Table25[[#This Row],[t2_Ph_I]]+Table25[[#This Row],[I_2]]*Table25[[#This Row],[t3_Ph_III]])</f>
        <v>4.527563783594867</v>
      </c>
      <c r="T40" s="345">
        <f>CHOOSE(Table25[[#This Row],[Mode Digit]],(Vout+(Rdson2+Rs+Rdcr)*Table25[[#This Row],[Iout]])/(Table25[[#This Row],[Vin]]+(Rs+Rdson2-Rdson1)*Table25[[#This Row],[Iout]]),1,Fsw*Table25[[#This Row],[t2_Ph_I]]+Table25[[#This Row],[t1_Ph_II]])</f>
        <v>1</v>
      </c>
      <c r="U40" s="345">
        <f>CHOOSE(Table25[[#This Row],[Mode Digit]],0,(Vout+(Rdson3+Rdcr)*Table25[[#This Row],[Iin]]-Table25[[#This Row],[Vin]])/(Vout+(Rdson3-Rdson4-Rs)*Table25[[#This Row],[Iin]]),Fsw*Table25[[#This Row],[t1_Ph_II]]+Table25[[#This Row],[t3_Ph_III]])</f>
        <v>0.25152867793488265</v>
      </c>
      <c r="V40" s="292">
        <f>MAX(Table25[[#This Row],[I_0]:[I_2]])-MIN(Table25[[#This Row],[I_0]:[I_1]])</f>
        <v>4.213210685676426</v>
      </c>
      <c r="W40"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3.6870783455843514</v>
      </c>
      <c r="X40" s="345">
        <f>(Table25[[#This Row],[Irms Lf]]^2*Rdcr*(1+Ltc*Ta-Ltc*25))/(1-Table25[[#This Row],[Irms Lf]]^2*Rdcr*Ltc*ThetaCa)</f>
        <v>4.3654476005077471E-2</v>
      </c>
      <c r="Y40" s="345">
        <f>ABS(7.759*10^-3*Fsw^0.9458*(0.00787*Table25[[#This Row],[Ripple Current pk-pk]])^2.304)</f>
        <v>0.5992522930785833</v>
      </c>
      <c r="Z40" s="345">
        <f>Table25[[#This Row],[DCR    Loss]]+Table25[[#This Row],[Core Loss]]</f>
        <v>0.64290676908366073</v>
      </c>
      <c r="AA40" s="292">
        <f>IF(Table25[[#This Row],[Vin]]&gt;Vout, Table25[[#This Row],[Ripple Current pk-pk]]/SQRT(12), SQRT(Table25[[#This Row],[Duty Cycle BOOST Leg]]/(1-Table25[[#This Row],[Duty Cycle BOOST Leg]]))*SQRT(Table25[[#This Row],[Iout]]^2+(Table25[[#This Row],[Ripple Current pk-pk]]^2)/12))</f>
        <v>1.6012488162586456</v>
      </c>
      <c r="AB40" s="345">
        <f>RCoutEsr*Table25[[#This Row],[Irms Cout]]^2</f>
        <v>5.1279955431394273E-3</v>
      </c>
      <c r="AC40" s="345">
        <f>Table25[[#This Row],[Cout ESR Loss]]</f>
        <v>5.1279955431394273E-3</v>
      </c>
      <c r="AD40" s="292">
        <f>IF(Table25[[#This Row],[Vin]]&gt;Vout, SQRT(Table25[[#This Row],[Duty Cycle BUCK Leg]]*(1-Table25[[#This Row],[Duty Cycle BUCK Leg]]))*SQRT(Table25[[#This Row],[Iout]]^2+(Table25[[#This Row],[Ripple Current pk-pk]]^2)/12), Table25[[#This Row],[Ripple Current pk-pk]]/SQRT(12))</f>
        <v>1.2162491617639462</v>
      </c>
      <c r="AE40" s="345">
        <f>RCinEsr*Table25[[#This Row],[Irms Cin]]^2</f>
        <v>2.9585240469830036E-3</v>
      </c>
      <c r="AF40" s="683">
        <f>Table25[[#This Row],[Cin ESR Loss]]</f>
        <v>2.9585240469830036E-3</v>
      </c>
      <c r="AG40" s="345">
        <f>Table25[[#This Row],[Irms Lf]]</f>
        <v>3.6870783455843514</v>
      </c>
      <c r="AH40" s="345">
        <f>Rdson1*Table25[[#This Row],[Irms BuCtrl]]^2</f>
        <v>4.7580913542669634E-2</v>
      </c>
      <c r="AI40" s="345">
        <f>CHOOSE(Table25[[#This Row],[Mode Digit]], (Table25[[#This Row],[Vin]]*Table25[[#This Row],[Iout]]/2)*(Fsw)*(Tr_buck+Tf_buck), 0, (Table25[[#This Row],[Vin]]*Table25[[#This Row],[Avg IL]]/2)*(Fsw/1)*(Tr_buck+Tf_buck))</f>
        <v>0</v>
      </c>
      <c r="AJ40" s="253">
        <f>IF(Table25[[#This Row],[Vin]]&gt;Vout, IF(Table25[[#This Row],[Iout]]&gt;Table25[[#This Row],[Ripple Current pk-pk]]/2,0,ABS(Table25[[#This Row],[Iout]]-Table25[[#This Row],[Ripple Current pk-pk]]/2)*Vsd_Q1*Deadtime*Fsw),0)</f>
        <v>0</v>
      </c>
      <c r="AK40" s="345">
        <f>(Table25[[#This Row],[Dead Time Loss BuCtrl]]+Table25[[#This Row],[Transition Loss BuCtrl]]+Table25[[#This Row],[RDS(on) Loss BuCtrl]]*(1+RdsonTopTc*Ta-RdsonTopTc*25))/(1-Table25[[#This Row],[RDS(on) Loss BuCtrl]]*RdsonTopTc*ThetaJA_Q1)</f>
        <v>4.8176911927778635E-2</v>
      </c>
      <c r="AL40" s="345">
        <f>Table25[[#This Row],[Irms Lf]]</f>
        <v>3.6870783455843514</v>
      </c>
      <c r="AM40" s="345">
        <f>Rdson2*Table25[[#This Row],[Irms BuSync]]^2</f>
        <v>4.7580913542669634E-2</v>
      </c>
      <c r="AN40"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40" s="345">
        <f>(Table25[[#This Row],[Deadtime Loss BuSync]]+Table25[[#This Row],[RDS(on) Loss BuSync]]*(1+RdsonBotTc*Ta-RdsonBotTc*25))/(1-Table25[[#This Row],[RDS(on) Loss BuSync]]*RdsonBotTc*ThetaJA_Q2)</f>
        <v>4.8176911927778635E-2</v>
      </c>
      <c r="AP40" s="345">
        <f>Table25[[#This Row],[Irms Lf]]</f>
        <v>3.6870783455843514</v>
      </c>
      <c r="AQ40" s="345">
        <f>Rdson4*Table25[[#This Row],[Irms BoCtlr]]^2</f>
        <v>4.7580913542669634E-2</v>
      </c>
      <c r="AR40" s="345">
        <f>CHOOSE(Table25[[#This Row],[Mode Digit]], 0, (Vout*Table25[[#This Row],[Iin]]/2)*(Fsw)*(Tr_boost+Tf_boost), (Vout*Iout/2)*(Fsw/1)*(Tr_boost+Tf_boost))</f>
        <v>0.20694651894547805</v>
      </c>
      <c r="AS40" s="345">
        <f>IF(Table25[[#This Row],[Vin]]&gt;Vout, 0, IF(Table25[[#This Row],[Iin]]&gt;Table25[[#This Row],[Ripple Current pk-pk]]/2,0,ABS(Table25[[#This Row],[Iin]]-Table25[[#This Row],[Ripple Current pk-pk]]/2)*Vsd_Q4*Deadtime*Fsw))</f>
        <v>0</v>
      </c>
      <c r="AT40" s="345">
        <f>(Table25[[#This Row],[Dead Time Loss BoCtlr]]+Table25[[#This Row],[Transition Loss BoCtlr]]+Table25[[#This Row],[RDS(on) Loss BoCtlr]]*(1+RdsonTopTc*Ta-RdsonTopTc*25))/(1-Table25[[#This Row],[RDS(on) Loss BoCtlr]]*RdsonTopTc*ThetaJA_Q4)</f>
        <v>0.25771564236967581</v>
      </c>
      <c r="AU40" s="345">
        <f>Table25[[#This Row],[Irms Lf]]</f>
        <v>3.6870783455843514</v>
      </c>
      <c r="AV40" s="345">
        <f>Rdson3*Table25[[#This Row],[Irms BoSync]]^2</f>
        <v>4.7580913542669634E-2</v>
      </c>
      <c r="AW40"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0.10389894736842105</v>
      </c>
      <c r="AX40" s="345">
        <f>(Table25[[#This Row],[Deadtime Loss BoSync]]+Table25[[#This Row],[RDS(on) Loss BoSync]]*(1+RdsonBotTc*Ta-RdsonBotTc*25))/(1-Table25[[#This Row],[RDS(on) Loss BoSync]]*RdsonBotTc*ThetaJA_Q3)</f>
        <v>0.15337729720975657</v>
      </c>
      <c r="AY40" s="345">
        <f>CHOOSE(Table25[[#This Row],[Mode Digit]], Rdson3*Table25[[#This Row],[Irms Lf]]^2, Rdson1*Table25[[#This Row],[Irms Lf]]^2, 0)</f>
        <v>4.7580913542669634E-2</v>
      </c>
      <c r="AZ40" s="345">
        <f>CHOOSE(Table25[[#This Row],[Mode Digit]], 2*Deadtime*Fsw*IF(VfdSky_Q2&gt;0,VfdSky_Q2,0)*Table25[[#This Row],[Iout]], 2*Deadtime*Fsw*IF(VfdSky_Q3&gt;0,VfdSky_Q3,0)*Table25[[#This Row],[Iin]], 2*Deadtime*Fsw*IF(VfdSky_Q2&gt;0,VfdSky_Q2,0)*Table25[[#This Row],[Iout]]+2*Deadtime*Fsw*IF(VfdSky_Q3&gt;0,VfdSky_Q3,0)*Table25[[#This Row],[Iin]])</f>
        <v>0</v>
      </c>
      <c r="BA40"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40"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40" s="345">
        <f>CHOOSE(Table25[[#This Row],[Mode Digit]], Rs*Table25[[#This Row],[Irms BuSync]]^2, Rs*Table25[[#This Row],[Irms BoCtlr]]^2, Rs*(Table25[[#This Row],[Irms BuSync]]^2+Table25[[#This Row],[Irms BoCtlr]]^2))</f>
        <v>1.7672910744420147E-2</v>
      </c>
      <c r="BD40" s="345">
        <f t="shared" si="1"/>
        <v>0.64</v>
      </c>
      <c r="BE40" s="345">
        <f>IF(Vout&gt;8, Iq*Vout, Iq*Table25[[#This Row],[Vin]])</f>
        <v>4.8000000000000001E-2</v>
      </c>
      <c r="BF40" s="345">
        <f>CHOOSE(Table25[[#This Row],[Mode Digit]], (Qg_Q1+Qg_Q2)*Fsw, (Qg_Q3+Qg_Q4)*Fsw, (Qg_Q1+Qg_Q2+Qg_Q3+Qg_Q4)*Fsw)*IF(Vout&gt;8,  MIN( Table25[[#This Row],[Vin]], Vout), Table25[[#This Row],[Vin]])</f>
        <v>0.63998400000000011</v>
      </c>
      <c r="BG40" s="345">
        <f t="shared" si="4"/>
        <v>0.50594479787234037</v>
      </c>
      <c r="BH40" s="345">
        <f>Table25[[#This Row],[IQ Loss]]+Table25[[#This Row],[Switching Current Loss]]</f>
        <v>0.68798400000000015</v>
      </c>
      <c r="BI40"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3.2173129628531933</v>
      </c>
      <c r="BJ40" s="253">
        <f>Vout*Table25[[#This Row],[Iout]]</f>
        <v>39.68</v>
      </c>
      <c r="BK40" s="684">
        <f>Table25[[#This Row],[Pout]]/(Table25[[#This Row],[Pout]]+Table25[[#This Row],[Total Loss]])</f>
        <v>0.92499966220170449</v>
      </c>
      <c r="BL40" s="685">
        <f>IF(Table25[[#This Row],[Vin]]&gt;Vout,ThetaJA_Q1*(Table25[[#This Row],[Total Control Bu MOSFET Loss]]+Table25[[#This Row],[Reverse Recovery Loss MOSFET D BUCK]]),ThetaJA_Q4*(Table25[[#This Row],[Total Control Bo MOSFET Loss]]+Table25[[#This Row],[Reverse Recovery Loss MOSFET D BOOST]]))</f>
        <v>39.931036754028931</v>
      </c>
      <c r="BM40" s="685">
        <f>IF(Table25[[#This Row],[Vin]]&gt;Vout, Table25[[#This Row],[Total Sync Bu MOSFET Loss]]*ThetaJA_Q2, ThetaJA_Q3*Table25[[#This Row],[Total Sync Bo MOSFET Loss]])</f>
        <v>9.9695243186341767</v>
      </c>
      <c r="BN40" s="640"/>
      <c r="BO40" s="292">
        <f>Table25[[#This Row],[EFF, h]]*100</f>
        <v>92.49996622017045</v>
      </c>
      <c r="BP40" s="345">
        <f>Table25[[#This Row],[Total Inductor Loss]]</f>
        <v>0.64290676908366073</v>
      </c>
      <c r="BQ40" s="345">
        <f>Table25[[#This Row],[Total Control Bu MOSFET Loss]]+Table25[[#This Row],[Total Sync Bu MOSFET Loss]]+Table25[[#This Row],[Total Control Bo MOSFET Loss]]+Table25[[#This Row],[Total Sync Bo MOSFET Loss]]+Table25[[#This Row],[Reverse Recovery Loss MOSFET D BUCK]]+Table25[[#This Row],[Reverse Recovery Loss MOSFET D BOOST]]</f>
        <v>1.2206627634349896</v>
      </c>
      <c r="BR40" s="345">
        <f xml:space="preserve"> Table25[[#This Row],[Total Control Bu MOSFET Loss]]+Table25[[#This Row],[Reverse Recovery Loss MOSFET D BUCK]]*0.66</f>
        <v>0.28353819192777863</v>
      </c>
      <c r="BS40" s="345">
        <f>Table25[[#This Row],[Total Sync Bu MOSFET Loss]]+Table25[[#This Row],[Reverse Recovery Loss MOSFET D BUCK]]*0.33</f>
        <v>0.16585755192777862</v>
      </c>
      <c r="BT40" s="345">
        <f xml:space="preserve"> Table25[[#This Row],[Total Control Bo MOSFET Loss]]+Table25[[#This Row],[Reverse Recovery Loss MOSFET D BOOST]]*0.66</f>
        <v>0.49307692236967582</v>
      </c>
      <c r="BU40" s="345">
        <f xml:space="preserve"> Table25[[#This Row],[Total Sync Bo MOSFET Loss]]+Table25[[#This Row],[Reverse Recovery Loss MOSFET D BOOST]]*0.33</f>
        <v>0.27105793720975657</v>
      </c>
      <c r="BV40" s="345">
        <f>Table25[[#This Row],[Isense Shunt Loss]]</f>
        <v>1.7672910744420147E-2</v>
      </c>
      <c r="CA40" s="253">
        <v>9.9984319999999993</v>
      </c>
      <c r="CB40" s="253">
        <v>2.7269999999999999</v>
      </c>
      <c r="CC40" s="253">
        <v>5.115812</v>
      </c>
      <c r="CD40" s="253">
        <v>94.558770424517263</v>
      </c>
      <c r="CE40" s="253">
        <v>802.77694931200062</v>
      </c>
    </row>
    <row r="41" spans="1:83" x14ac:dyDescent="0.2">
      <c r="A41" s="691" t="s">
        <v>146</v>
      </c>
      <c r="B41" s="569">
        <f>Qgs_Q1*1000000000</f>
        <v>11.25</v>
      </c>
      <c r="C41" s="255" t="s">
        <v>69</v>
      </c>
      <c r="D41" s="255"/>
      <c r="G41" s="253">
        <v>32</v>
      </c>
      <c r="H41" s="286">
        <f t="shared" ref="H41:H72" si="5">Vin</f>
        <v>12</v>
      </c>
      <c r="I41" s="292" t="str">
        <f>IF(Mode = 2,IF(Table25[[#This Row],[Vin]]&gt;Vout, "BUCK","BOOST"),IF(Table25[[#This Row],[Vin]]&gt;VIN_BB_to_buck, "BUCK", IF(Table25[[#This Row],[Vin]]&lt;=VIN_boost_to_BB,"BOOST","BUCK-BST")))</f>
        <v>BOOST</v>
      </c>
      <c r="J41" s="253">
        <f>IF(Table25[[#This Row],[Mode]]="BOOST",2, IF(Table25[[#This Row],[Mode]]="BUCK", 1,3))</f>
        <v>2</v>
      </c>
      <c r="K41" s="345">
        <f t="shared" si="3"/>
        <v>2.56</v>
      </c>
      <c r="L41" s="292">
        <f>Vout*Table25[[#This Row],[Iout]]/(Table25[[#This Row],[Vin]]*Efficiency)</f>
        <v>3.5929824561403514</v>
      </c>
      <c r="M41" s="682">
        <f>CHOOSE(Table25[[#This Row],[Mode Digit]],(Vout+(Rdson2+Rs+Rdcr)*Table25[[#This Row],[Iout]])/(Table25[[#This Row],[Vin]]+(Rs+Rdson2-Rdson1)*Table25[[#This Row],[Iout]])/Fsw,(Vout+(Rdson3+Rdcr)*Table25[[#This Row],[Iin]]-Table25[[#This Row],[Vin]])/(Vout+(Rdson3-Rdson4-Rs)*Table25[[#This Row],[Iin]])/Fsw,t1_Ph_II)</f>
        <v>6.3210553901063718E-7</v>
      </c>
      <c r="N41" s="518">
        <f>CHOOSE(Table25[[#This Row],[Mode Digit]],1/Fsw-Table25[[#This Row],[t1_Ph_II]],1/Fsw-Table25[[#This Row],[t1_Ph_II]],(Vout/Fsw-Table25[[#This Row],[Vin]]*t1_Ph_II)/(Table25[[#This Row],[Vin]]+Vout))</f>
        <v>1.8804572750597147E-6</v>
      </c>
      <c r="O41" s="518">
        <f>1/Fsw-(Table25[[#This Row],[t1_Ph_II]]+Table25[[#This Row],[t2_Ph_I]])</f>
        <v>0</v>
      </c>
      <c r="P41"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1.4859639927715609</v>
      </c>
      <c r="Q41" s="292">
        <f>CHOOSE(Table25[[#This Row],[Mode Digit]],Table25[[#This Row],[I_0]]+1/Lf*(Table25[[#This Row],[Vin]]-Vout)*Table25[[#This Row],[t1_Ph_II]],Table25[[#This Row],[I_0]]+1/Lf*Table25[[#This Row],[Vin]]*Table25[[#This Row],[t1_Ph_II]],Table25[[#This Row],[I_0]]+(Table25[[#This Row],[Vin]]-Vout)/L*Table25[[#This Row],[t1_Ph_II]])</f>
        <v>5.7000009195091419</v>
      </c>
      <c r="R41" s="292">
        <f>CHOOSE(Table25[[#This Row],[Mode Digit]],0,0,Table25[[#This Row],[I_1]]+Table25[[#This Row],[Vin]]/L*Table25[[#This Row],[t2_Ph_I]])</f>
        <v>0</v>
      </c>
      <c r="S41" s="292">
        <f>Fsw*(Table25[[#This Row],[I_0]]*Table25[[#This Row],[t1_Ph_II]]+Table25[[#This Row],[I_1]]*Table25[[#This Row],[t2_Ph_I]]+Table25[[#This Row],[I_2]]*Table25[[#This Row],[t3_Ph_III]])</f>
        <v>4.6398419184806396</v>
      </c>
      <c r="T41" s="345">
        <f>CHOOSE(Table25[[#This Row],[Mode Digit]],(Vout+(Rdson2+Rs+Rdcr)*Table25[[#This Row],[Iout]])/(Table25[[#This Row],[Vin]]+(Rs+Rdson2-Rdson1)*Table25[[#This Row],[Iout]]),1,Fsw*Table25[[#This Row],[t2_Ph_I]]+Table25[[#This Row],[t1_Ph_II]])</f>
        <v>1</v>
      </c>
      <c r="U41" s="345">
        <f>CHOOSE(Table25[[#This Row],[Mode Digit]],0,(Vout+(Rdson3+Rdcr)*Table25[[#This Row],[Iin]]-Table25[[#This Row],[Vin]])/(Vout+(Rdson3-Rdson4-Rs)*Table25[[#This Row],[Iin]]),Fsw*Table25[[#This Row],[t1_Ph_II]]+Table25[[#This Row],[t3_Ph_III]])</f>
        <v>0.25157800452623358</v>
      </c>
      <c r="V41" s="292">
        <f>MAX(Table25[[#This Row],[I_0]:[I_2]])-MIN(Table25[[#This Row],[I_0]:[I_1]])</f>
        <v>4.214036926737581</v>
      </c>
      <c r="W41"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3.7933316752504007</v>
      </c>
      <c r="X41" s="345">
        <f>(Table25[[#This Row],[Irms Lf]]^2*Rdcr*(1+Ltc*Ta-Ltc*25))/(1-Table25[[#This Row],[Irms Lf]]^2*Rdcr*Ltc*ThetaCa)</f>
        <v>4.6216214263257428E-2</v>
      </c>
      <c r="Y41" s="345">
        <f>ABS(7.759*10^-3*Fsw^0.9458*(0.00787*Table25[[#This Row],[Ripple Current pk-pk]])^2.304)</f>
        <v>0.59952308849162261</v>
      </c>
      <c r="Z41" s="345">
        <f>Table25[[#This Row],[DCR    Loss]]+Table25[[#This Row],[Core Loss]]</f>
        <v>0.64573930275488001</v>
      </c>
      <c r="AA41" s="292">
        <f>IF(Table25[[#This Row],[Vin]]&gt;Vout, Table25[[#This Row],[Ripple Current pk-pk]]/SQRT(12), SQRT(Table25[[#This Row],[Duty Cycle BOOST Leg]]/(1-Table25[[#This Row],[Duty Cycle BOOST Leg]]))*SQRT(Table25[[#This Row],[Iout]]^2+(Table25[[#This Row],[Ripple Current pk-pk]]^2)/12))</f>
        <v>1.6432888225963018</v>
      </c>
      <c r="AB41" s="345">
        <f>RCoutEsr*Table25[[#This Row],[Irms Cout]]^2</f>
        <v>5.40079630893988E-3</v>
      </c>
      <c r="AC41" s="345">
        <f>Table25[[#This Row],[Cout ESR Loss]]</f>
        <v>5.40079630893988E-3</v>
      </c>
      <c r="AD41" s="292">
        <f>IF(Table25[[#This Row],[Vin]]&gt;Vout, SQRT(Table25[[#This Row],[Duty Cycle BUCK Leg]]*(1-Table25[[#This Row],[Duty Cycle BUCK Leg]]))*SQRT(Table25[[#This Row],[Iout]]^2+(Table25[[#This Row],[Ripple Current pk-pk]]^2)/12), Table25[[#This Row],[Ripple Current pk-pk]]/SQRT(12))</f>
        <v>1.2164876770134829</v>
      </c>
      <c r="AE41" s="345">
        <f>RCinEsr*Table25[[#This Row],[Irms Cin]]^2</f>
        <v>2.9596845366513199E-3</v>
      </c>
      <c r="AF41" s="683">
        <f>Table25[[#This Row],[Cin ESR Loss]]</f>
        <v>2.9596845366513199E-3</v>
      </c>
      <c r="AG41" s="345">
        <f>Table25[[#This Row],[Irms Lf]]</f>
        <v>3.7933316752504007</v>
      </c>
      <c r="AH41" s="345">
        <f>Rdson1*Table25[[#This Row],[Irms BuCtrl]]^2</f>
        <v>5.0362778194603046E-2</v>
      </c>
      <c r="AI41" s="345">
        <f>CHOOSE(Table25[[#This Row],[Mode Digit]], (Table25[[#This Row],[Vin]]*Table25[[#This Row],[Iout]]/2)*(Fsw)*(Tr_buck+Tf_buck), 0, (Table25[[#This Row],[Vin]]*Table25[[#This Row],[Avg IL]]/2)*(Fsw/1)*(Tr_buck+Tf_buck))</f>
        <v>0</v>
      </c>
      <c r="AJ41" s="253">
        <f>IF(Table25[[#This Row],[Vin]]&gt;Vout, IF(Table25[[#This Row],[Iout]]&gt;Table25[[#This Row],[Ripple Current pk-pk]]/2,0,ABS(Table25[[#This Row],[Iout]]-Table25[[#This Row],[Ripple Current pk-pk]]/2)*Vsd_Q1*Deadtime*Fsw),0)</f>
        <v>0</v>
      </c>
      <c r="AK41" s="345">
        <f>(Table25[[#This Row],[Dead Time Loss BuCtrl]]+Table25[[#This Row],[Transition Loss BuCtrl]]+Table25[[#This Row],[RDS(on) Loss BuCtrl]]*(1+RdsonTopTc*Ta-RdsonTopTc*25))/(1-Table25[[#This Row],[RDS(on) Loss BuCtrl]]*RdsonTopTc*ThetaJA_Q1)</f>
        <v>5.1030994485243737E-2</v>
      </c>
      <c r="AL41" s="345">
        <f>Table25[[#This Row],[Irms Lf]]</f>
        <v>3.7933316752504007</v>
      </c>
      <c r="AM41" s="345">
        <f>Rdson2*Table25[[#This Row],[Irms BuSync]]^2</f>
        <v>5.0362778194603046E-2</v>
      </c>
      <c r="AN41"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41" s="345">
        <f>(Table25[[#This Row],[Deadtime Loss BuSync]]+Table25[[#This Row],[RDS(on) Loss BuSync]]*(1+RdsonBotTc*Ta-RdsonBotTc*25))/(1-Table25[[#This Row],[RDS(on) Loss BuSync]]*RdsonBotTc*ThetaJA_Q2)</f>
        <v>5.1030994485243737E-2</v>
      </c>
      <c r="AP41" s="345">
        <f>Table25[[#This Row],[Irms Lf]]</f>
        <v>3.7933316752504007</v>
      </c>
      <c r="AQ41" s="345">
        <f>Rdson4*Table25[[#This Row],[Irms BoCtlr]]^2</f>
        <v>5.0362778194603046E-2</v>
      </c>
      <c r="AR41" s="345">
        <f>CHOOSE(Table25[[#This Row],[Mode Digit]], 0, (Vout*Table25[[#This Row],[Iin]]/2)*(Fsw)*(Tr_boost+Tf_boost), (Vout*Iout/2)*(Fsw/1)*(Tr_boost+Tf_boost))</f>
        <v>0.21362221310500962</v>
      </c>
      <c r="AS41" s="345">
        <f>IF(Table25[[#This Row],[Vin]]&gt;Vout, 0, IF(Table25[[#This Row],[Iin]]&gt;Table25[[#This Row],[Ripple Current pk-pk]]/2,0,ABS(Table25[[#This Row],[Iin]]-Table25[[#This Row],[Ripple Current pk-pk]]/2)*Vsd_Q4*Deadtime*Fsw))</f>
        <v>0</v>
      </c>
      <c r="AT41" s="345">
        <f>(Table25[[#This Row],[Dead Time Loss BoCtlr]]+Table25[[#This Row],[Transition Loss BoCtlr]]+Table25[[#This Row],[RDS(on) Loss BoCtlr]]*(1+RdsonTopTc*Ta-RdsonTopTc*25))/(1-Table25[[#This Row],[RDS(on) Loss BoCtlr]]*RdsonTopTc*ThetaJA_Q4)</f>
        <v>0.26748755962476406</v>
      </c>
      <c r="AU41" s="345">
        <f>Table25[[#This Row],[Irms Lf]]</f>
        <v>3.7933316752504007</v>
      </c>
      <c r="AV41" s="345">
        <f>Rdson3*Table25[[#This Row],[Irms BoSync]]^2</f>
        <v>5.0362778194603046E-2</v>
      </c>
      <c r="AW41"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0.10725052631578946</v>
      </c>
      <c r="AX41" s="345">
        <f>(Table25[[#This Row],[Deadtime Loss BoSync]]+Table25[[#This Row],[RDS(on) Loss BoSync]]*(1+RdsonBotTc*Ta-RdsonBotTc*25))/(1-Table25[[#This Row],[RDS(on) Loss BoSync]]*RdsonBotTc*ThetaJA_Q3)</f>
        <v>0.15970452706544294</v>
      </c>
      <c r="AY41" s="345">
        <f>CHOOSE(Table25[[#This Row],[Mode Digit]], Rdson3*Table25[[#This Row],[Irms Lf]]^2, Rdson1*Table25[[#This Row],[Irms Lf]]^2, 0)</f>
        <v>5.0362778194603046E-2</v>
      </c>
      <c r="AZ41" s="345">
        <f>CHOOSE(Table25[[#This Row],[Mode Digit]], 2*Deadtime*Fsw*IF(VfdSky_Q2&gt;0,VfdSky_Q2,0)*Table25[[#This Row],[Iout]], 2*Deadtime*Fsw*IF(VfdSky_Q3&gt;0,VfdSky_Q3,0)*Table25[[#This Row],[Iin]], 2*Deadtime*Fsw*IF(VfdSky_Q2&gt;0,VfdSky_Q2,0)*Table25[[#This Row],[Iout]]+2*Deadtime*Fsw*IF(VfdSky_Q3&gt;0,VfdSky_Q3,0)*Table25[[#This Row],[Iin]])</f>
        <v>0</v>
      </c>
      <c r="BA41"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41"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41" s="345">
        <f>CHOOSE(Table25[[#This Row],[Mode Digit]], Rs*Table25[[#This Row],[Irms BuSync]]^2, Rs*Table25[[#This Row],[Irms BoCtlr]]^2, Rs*(Table25[[#This Row],[Irms BuSync]]^2+Table25[[#This Row],[Irms BoCtlr]]^2))</f>
        <v>1.8706174757995415E-2</v>
      </c>
      <c r="BD41" s="345">
        <f t="shared" ref="BD41:BD72" si="6">Rshunt/1000*Iout^2</f>
        <v>0.64</v>
      </c>
      <c r="BE41" s="345">
        <f>IF(Vout&gt;8, Iq*Vout, Iq*Table25[[#This Row],[Vin]])</f>
        <v>4.8000000000000001E-2</v>
      </c>
      <c r="BF41" s="345">
        <f>CHOOSE(Table25[[#This Row],[Mode Digit]], (Qg_Q1+Qg_Q2)*Fsw, (Qg_Q3+Qg_Q4)*Fsw, (Qg_Q1+Qg_Q2+Qg_Q3+Qg_Q4)*Fsw)*IF(Vout&gt;8,  MIN( Table25[[#This Row],[Vin]], Vout), Table25[[#This Row],[Vin]])</f>
        <v>0.63998400000000011</v>
      </c>
      <c r="BG41" s="345">
        <f t="shared" si="4"/>
        <v>0.50594479787234037</v>
      </c>
      <c r="BH41" s="345">
        <f>Table25[[#This Row],[IQ Loss]]+Table25[[#This Row],[Switching Current Loss]]</f>
        <v>0.68798400000000015</v>
      </c>
      <c r="BI41"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3.2432600340191615</v>
      </c>
      <c r="BJ41" s="253">
        <f>Vout*Table25[[#This Row],[Iout]]</f>
        <v>40.96</v>
      </c>
      <c r="BK41" s="684">
        <f>Table25[[#This Row],[Pout]]/(Table25[[#This Row],[Pout]]+Table25[[#This Row],[Total Loss]])</f>
        <v>0.92662848777390805</v>
      </c>
      <c r="BL41" s="685">
        <f>IF(Table25[[#This Row],[Vin]]&gt;Vout,ThetaJA_Q1*(Table25[[#This Row],[Total Control Bu MOSFET Loss]]+Table25[[#This Row],[Reverse Recovery Loss MOSFET D BUCK]]),ThetaJA_Q4*(Table25[[#This Row],[Total Control Bo MOSFET Loss]]+Table25[[#This Row],[Reverse Recovery Loss MOSFET D BOOST]]))</f>
        <v>40.566211375609662</v>
      </c>
      <c r="BM41" s="685">
        <f>IF(Table25[[#This Row],[Vin]]&gt;Vout, Table25[[#This Row],[Total Sync Bu MOSFET Loss]]*ThetaJA_Q2, ThetaJA_Q3*Table25[[#This Row],[Total Sync Bo MOSFET Loss]])</f>
        <v>10.380794259253792</v>
      </c>
      <c r="BN41" s="640"/>
      <c r="BO41" s="292">
        <f>Table25[[#This Row],[EFF, h]]*100</f>
        <v>92.662848777390806</v>
      </c>
      <c r="BP41" s="345">
        <f>Table25[[#This Row],[Total Inductor Loss]]</f>
        <v>0.64573930275488001</v>
      </c>
      <c r="BQ41" s="345">
        <f>Table25[[#This Row],[Total Control Bu MOSFET Loss]]+Table25[[#This Row],[Total Sync Bu MOSFET Loss]]+Table25[[#This Row],[Total Control Bo MOSFET Loss]]+Table25[[#This Row],[Total Sync Bo MOSFET Loss]]+Table25[[#This Row],[Reverse Recovery Loss MOSFET D BUCK]]+Table25[[#This Row],[Reverse Recovery Loss MOSFET D BOOST]]</f>
        <v>1.2424700756606946</v>
      </c>
      <c r="BR41" s="345">
        <f xml:space="preserve"> Table25[[#This Row],[Total Control Bu MOSFET Loss]]+Table25[[#This Row],[Reverse Recovery Loss MOSFET D BUCK]]*0.66</f>
        <v>0.28639227448524374</v>
      </c>
      <c r="BS41" s="345">
        <f>Table25[[#This Row],[Total Sync Bu MOSFET Loss]]+Table25[[#This Row],[Reverse Recovery Loss MOSFET D BUCK]]*0.33</f>
        <v>0.16871163448524373</v>
      </c>
      <c r="BT41" s="345">
        <f xml:space="preserve"> Table25[[#This Row],[Total Control Bo MOSFET Loss]]+Table25[[#This Row],[Reverse Recovery Loss MOSFET D BOOST]]*0.66</f>
        <v>0.50284883962476412</v>
      </c>
      <c r="BU41" s="345">
        <f xml:space="preserve"> Table25[[#This Row],[Total Sync Bo MOSFET Loss]]+Table25[[#This Row],[Reverse Recovery Loss MOSFET D BOOST]]*0.33</f>
        <v>0.27738516706544292</v>
      </c>
      <c r="BV41" s="345">
        <f>Table25[[#This Row],[Isense Shunt Loss]]</f>
        <v>1.8706174757995415E-2</v>
      </c>
      <c r="CA41" s="253">
        <v>9.9985180000000007</v>
      </c>
      <c r="CB41" s="253">
        <v>3.1859999999999999</v>
      </c>
      <c r="CC41" s="253">
        <v>5.1148889999999998</v>
      </c>
      <c r="CD41" s="253">
        <v>94.58411932633652</v>
      </c>
      <c r="CE41" s="253">
        <v>933.10990806000302</v>
      </c>
    </row>
    <row r="42" spans="1:83" ht="13.6" x14ac:dyDescent="0.25">
      <c r="A42" s="691" t="s">
        <v>93</v>
      </c>
      <c r="B42" s="569">
        <f>Rgate1</f>
        <v>0.63</v>
      </c>
      <c r="C42" s="702" t="s">
        <v>118</v>
      </c>
      <c r="D42" s="255" t="s">
        <v>102</v>
      </c>
      <c r="G42" s="253">
        <v>33</v>
      </c>
      <c r="H42" s="286">
        <f t="shared" si="5"/>
        <v>12</v>
      </c>
      <c r="I42" s="292" t="str">
        <f>IF(Mode = 2,IF(Table25[[#This Row],[Vin]]&gt;Vout, "BUCK","BOOST"),IF(Table25[[#This Row],[Vin]]&gt;VIN_BB_to_buck, "BUCK", IF(Table25[[#This Row],[Vin]]&lt;=VIN_boost_to_BB,"BOOST","BUCK-BST")))</f>
        <v>BOOST</v>
      </c>
      <c r="J42" s="253">
        <f>IF(Table25[[#This Row],[Mode]]="BOOST",2, IF(Table25[[#This Row],[Mode]]="BUCK", 1,3))</f>
        <v>2</v>
      </c>
      <c r="K42" s="345">
        <f t="shared" ref="K42:K73" si="7">Iout*G42/100</f>
        <v>2.64</v>
      </c>
      <c r="L42" s="292">
        <f>Vout*Table25[[#This Row],[Iout]]/(Table25[[#This Row],[Vin]]*Efficiency)</f>
        <v>3.7052631578947373</v>
      </c>
      <c r="M42" s="682">
        <f>CHOOSE(Table25[[#This Row],[Mode Digit]],(Vout+(Rdson2+Rs+Rdcr)*Table25[[#This Row],[Iout]])/(Table25[[#This Row],[Vin]]+(Rs+Rdson2-Rdson1)*Table25[[#This Row],[Iout]])/Fsw,(Vout+(Rdson3+Rdcr)*Table25[[#This Row],[Iin]]-Table25[[#This Row],[Vin]])/(Vout+(Rdson3-Rdson4-Rs)*Table25[[#This Row],[Iin]])/Fsw,t1_Ph_II)</f>
        <v>6.3222947743178272E-7</v>
      </c>
      <c r="N42" s="518">
        <f>CHOOSE(Table25[[#This Row],[Mode Digit]],1/Fsw-Table25[[#This Row],[t1_Ph_II]],1/Fsw-Table25[[#This Row],[t1_Ph_II]],(Vout/Fsw-Table25[[#This Row],[Vin]]*t1_Ph_II)/(Table25[[#This Row],[Vin]]+Vout))</f>
        <v>1.8803333366385691E-6</v>
      </c>
      <c r="O42" s="518">
        <f>1/Fsw-(Table25[[#This Row],[t1_Ph_II]]+Table25[[#This Row],[t2_Ph_I]])</f>
        <v>0</v>
      </c>
      <c r="P42"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1.5978315664554619</v>
      </c>
      <c r="Q42" s="292">
        <f>CHOOSE(Table25[[#This Row],[Mode Digit]],Table25[[#This Row],[I_0]]+1/Lf*(Table25[[#This Row],[Vin]]-Vout)*Table25[[#This Row],[t1_Ph_II]],Table25[[#This Row],[I_0]]+1/Lf*Table25[[#This Row],[Vin]]*Table25[[#This Row],[t1_Ph_II]],Table25[[#This Row],[I_0]]+(Table25[[#This Row],[Vin]]-Vout)/L*Table25[[#This Row],[t1_Ph_II]])</f>
        <v>5.8126947493340122</v>
      </c>
      <c r="R42" s="292">
        <f>CHOOSE(Table25[[#This Row],[Mode Digit]],0,0,Table25[[#This Row],[I_1]]+Table25[[#This Row],[Vin]]/L*Table25[[#This Row],[t2_Ph_I]])</f>
        <v>0</v>
      </c>
      <c r="S42" s="292">
        <f>Fsw*(Table25[[#This Row],[I_0]]*Table25[[#This Row],[t1_Ph_II]]+Table25[[#This Row],[I_1]]*Table25[[#This Row],[t2_Ph_I]]+Table25[[#This Row],[I_2]]*Table25[[#This Row],[t3_Ph_III]])</f>
        <v>4.7521199718060219</v>
      </c>
      <c r="T42" s="345">
        <f>CHOOSE(Table25[[#This Row],[Mode Digit]],(Vout+(Rdson2+Rs+Rdcr)*Table25[[#This Row],[Iout]])/(Table25[[#This Row],[Vin]]+(Rs+Rdson2-Rdson1)*Table25[[#This Row],[Iout]]),1,Fsw*Table25[[#This Row],[t2_Ph_I]]+Table25[[#This Row],[t1_Ph_II]])</f>
        <v>1</v>
      </c>
      <c r="U42" s="345">
        <f>CHOOSE(Table25[[#This Row],[Mode Digit]],0,(Vout+(Rdson3+Rdcr)*Table25[[#This Row],[Iin]]-Table25[[#This Row],[Vin]])/(Vout+(Rdson3-Rdson4-Rs)*Table25[[#This Row],[Iin]]),Fsw*Table25[[#This Row],[t1_Ph_II]]+Table25[[#This Row],[t3_Ph_III]])</f>
        <v>0.25162733201784954</v>
      </c>
      <c r="V42" s="292">
        <f>MAX(Table25[[#This Row],[I_0]:[I_2]])-MIN(Table25[[#This Row],[I_0]:[I_1]])</f>
        <v>4.2148631828785508</v>
      </c>
      <c r="W42"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3.899922782156612</v>
      </c>
      <c r="X42" s="345">
        <f>(Table25[[#This Row],[Irms Lf]]^2*Rdcr*(1+Ltc*Ta-Ltc*25))/(1-Table25[[#This Row],[Irms Lf]]^2*Rdcr*Ltc*ThetaCa)</f>
        <v>4.8860315470045441E-2</v>
      </c>
      <c r="Y42" s="345">
        <f>ABS(7.759*10^-3*Fsw^0.9458*(0.00787*Table25[[#This Row],[Ripple Current pk-pk]])^2.304)</f>
        <v>0.59979395809298552</v>
      </c>
      <c r="Z42" s="345">
        <f>Table25[[#This Row],[DCR    Loss]]+Table25[[#This Row],[Core Loss]]</f>
        <v>0.64865427356303096</v>
      </c>
      <c r="AA42" s="292">
        <f>IF(Table25[[#This Row],[Vin]]&gt;Vout, Table25[[#This Row],[Ripple Current pk-pk]]/SQRT(12), SQRT(Table25[[#This Row],[Duty Cycle BOOST Leg]]/(1-Table25[[#This Row],[Duty Cycle BOOST Leg]]))*SQRT(Table25[[#This Row],[Iout]]^2+(Table25[[#This Row],[Ripple Current pk-pk]]^2)/12))</f>
        <v>1.6855781142807014</v>
      </c>
      <c r="AB42" s="345">
        <f>RCoutEsr*Table25[[#This Row],[Irms Cout]]^2</f>
        <v>5.6823471586841708E-3</v>
      </c>
      <c r="AC42" s="345">
        <f>Table25[[#This Row],[Cout ESR Loss]]</f>
        <v>5.6823471586841708E-3</v>
      </c>
      <c r="AD42" s="292">
        <f>IF(Table25[[#This Row],[Vin]]&gt;Vout, SQRT(Table25[[#This Row],[Duty Cycle BUCK Leg]]*(1-Table25[[#This Row],[Duty Cycle BUCK Leg]]))*SQRT(Table25[[#This Row],[Iout]]^2+(Table25[[#This Row],[Ripple Current pk-pk]]^2)/12), Table25[[#This Row],[Ripple Current pk-pk]]/SQRT(12))</f>
        <v>1.2167261966161871</v>
      </c>
      <c r="AE42" s="345">
        <f>RCinEsr*Table25[[#This Row],[Irms Cin]]^2</f>
        <v>2.9608452750641847E-3</v>
      </c>
      <c r="AF42" s="683">
        <f>Table25[[#This Row],[Cin ESR Loss]]</f>
        <v>2.9608452750641847E-3</v>
      </c>
      <c r="AG42" s="345">
        <f>Table25[[#This Row],[Irms Lf]]</f>
        <v>3.899922782156612</v>
      </c>
      <c r="AH42" s="345">
        <f>Rdson1*Table25[[#This Row],[Irms BuCtrl]]^2</f>
        <v>5.3232891973744596E-2</v>
      </c>
      <c r="AI42" s="345">
        <f>CHOOSE(Table25[[#This Row],[Mode Digit]], (Table25[[#This Row],[Vin]]*Table25[[#This Row],[Iout]]/2)*(Fsw)*(Tr_buck+Tf_buck), 0, (Table25[[#This Row],[Vin]]*Table25[[#This Row],[Avg IL]]/2)*(Fsw/1)*(Tr_buck+Tf_buck))</f>
        <v>0</v>
      </c>
      <c r="AJ42" s="253">
        <f>IF(Table25[[#This Row],[Vin]]&gt;Vout, IF(Table25[[#This Row],[Iout]]&gt;Table25[[#This Row],[Ripple Current pk-pk]]/2,0,ABS(Table25[[#This Row],[Iout]]-Table25[[#This Row],[Ripple Current pk-pk]]/2)*Vsd_Q1*Deadtime*Fsw),0)</f>
        <v>0</v>
      </c>
      <c r="AK42" s="345">
        <f>(Table25[[#This Row],[Dead Time Loss BuCtrl]]+Table25[[#This Row],[Transition Loss BuCtrl]]+Table25[[#This Row],[RDS(on) Loss BuCtrl]]*(1+RdsonTopTc*Ta-RdsonTopTc*25))/(1-Table25[[#This Row],[RDS(on) Loss BuCtrl]]*RdsonTopTc*ThetaJA_Q1)</f>
        <v>5.3980005035714776E-2</v>
      </c>
      <c r="AL42" s="345">
        <f>Table25[[#This Row],[Irms Lf]]</f>
        <v>3.899922782156612</v>
      </c>
      <c r="AM42" s="345">
        <f>Rdson2*Table25[[#This Row],[Irms BuSync]]^2</f>
        <v>5.3232891973744596E-2</v>
      </c>
      <c r="AN42"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42" s="345">
        <f>(Table25[[#This Row],[Deadtime Loss BuSync]]+Table25[[#This Row],[RDS(on) Loss BuSync]]*(1+RdsonBotTc*Ta-RdsonBotTc*25))/(1-Table25[[#This Row],[RDS(on) Loss BuSync]]*RdsonBotTc*ThetaJA_Q2)</f>
        <v>5.3980005035714776E-2</v>
      </c>
      <c r="AP42" s="345">
        <f>Table25[[#This Row],[Irms Lf]]</f>
        <v>3.899922782156612</v>
      </c>
      <c r="AQ42" s="345">
        <f>Rdson4*Table25[[#This Row],[Irms BoCtlr]]^2</f>
        <v>5.3232891973744596E-2</v>
      </c>
      <c r="AR42" s="345">
        <f>CHOOSE(Table25[[#This Row],[Mode Digit]], 0, (Vout*Table25[[#This Row],[Iin]]/2)*(Fsw)*(Tr_boost+Tf_boost), (Vout*Iout/2)*(Fsw/1)*(Tr_boost+Tf_boost))</f>
        <v>0.22029790726454115</v>
      </c>
      <c r="AS42" s="345">
        <f>IF(Table25[[#This Row],[Vin]]&gt;Vout, 0, IF(Table25[[#This Row],[Iin]]&gt;Table25[[#This Row],[Ripple Current pk-pk]]/2,0,ABS(Table25[[#This Row],[Iin]]-Table25[[#This Row],[Ripple Current pk-pk]]/2)*Vsd_Q4*Deadtime*Fsw))</f>
        <v>0</v>
      </c>
      <c r="AT42" s="345">
        <f>(Table25[[#This Row],[Dead Time Loss BoCtlr]]+Table25[[#This Row],[Transition Loss BoCtlr]]+Table25[[#This Row],[RDS(on) Loss BoCtlr]]*(1+RdsonTopTc*Ta-RdsonTopTc*25))/(1-Table25[[#This Row],[RDS(on) Loss BoCtlr]]*RdsonTopTc*ThetaJA_Q4)</f>
        <v>0.27736974965756528</v>
      </c>
      <c r="AU42" s="345">
        <f>Table25[[#This Row],[Irms Lf]]</f>
        <v>3.899922782156612</v>
      </c>
      <c r="AV42" s="345">
        <f>Rdson3*Table25[[#This Row],[Irms BoSync]]^2</f>
        <v>5.3232891973744596E-2</v>
      </c>
      <c r="AW42"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0.11060210526315789</v>
      </c>
      <c r="AX42" s="345">
        <f>(Table25[[#This Row],[Deadtime Loss BoSync]]+Table25[[#This Row],[RDS(on) Loss BoSync]]*(1+RdsonBotTc*Ta-RdsonBotTc*25))/(1-Table25[[#This Row],[RDS(on) Loss BoSync]]*RdsonBotTc*ThetaJA_Q3)</f>
        <v>0.16613438887062978</v>
      </c>
      <c r="AY42" s="345">
        <f>CHOOSE(Table25[[#This Row],[Mode Digit]], Rdson3*Table25[[#This Row],[Irms Lf]]^2, Rdson1*Table25[[#This Row],[Irms Lf]]^2, 0)</f>
        <v>5.3232891973744596E-2</v>
      </c>
      <c r="AZ42" s="345">
        <f>CHOOSE(Table25[[#This Row],[Mode Digit]], 2*Deadtime*Fsw*IF(VfdSky_Q2&gt;0,VfdSky_Q2,0)*Table25[[#This Row],[Iout]], 2*Deadtime*Fsw*IF(VfdSky_Q3&gt;0,VfdSky_Q3,0)*Table25[[#This Row],[Iin]], 2*Deadtime*Fsw*IF(VfdSky_Q2&gt;0,VfdSky_Q2,0)*Table25[[#This Row],[Iout]]+2*Deadtime*Fsw*IF(VfdSky_Q3&gt;0,VfdSky_Q3,0)*Table25[[#This Row],[Iin]])</f>
        <v>0</v>
      </c>
      <c r="BA42"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42"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42" s="345">
        <f>CHOOSE(Table25[[#This Row],[Mode Digit]], Rs*Table25[[#This Row],[Irms BuSync]]^2, Rs*Table25[[#This Row],[Irms BoCtlr]]^2, Rs*(Table25[[#This Row],[Irms BuSync]]^2+Table25[[#This Row],[Irms BoCtlr]]^2))</f>
        <v>1.977221701881942E-2</v>
      </c>
      <c r="BD42" s="345">
        <f t="shared" si="6"/>
        <v>0.64</v>
      </c>
      <c r="BE42" s="345">
        <f>IF(Vout&gt;8, Iq*Vout, Iq*Table25[[#This Row],[Vin]])</f>
        <v>4.8000000000000001E-2</v>
      </c>
      <c r="BF42" s="345">
        <f>CHOOSE(Table25[[#This Row],[Mode Digit]], (Qg_Q1+Qg_Q2)*Fsw, (Qg_Q3+Qg_Q4)*Fsw, (Qg_Q1+Qg_Q2+Qg_Q3+Qg_Q4)*Fsw)*IF(Vout&gt;8,  MIN( Table25[[#This Row],[Vin]], Vout), Table25[[#This Row],[Vin]])</f>
        <v>0.63998400000000011</v>
      </c>
      <c r="BG42" s="345">
        <f t="shared" si="4"/>
        <v>0.50594479787234037</v>
      </c>
      <c r="BH42" s="345">
        <f>Table25[[#This Row],[IQ Loss]]+Table25[[#This Row],[Switching Current Loss]]</f>
        <v>0.68798400000000015</v>
      </c>
      <c r="BI42"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3.2697338316152238</v>
      </c>
      <c r="BJ42" s="253">
        <f>Vout*Table25[[#This Row],[Iout]]</f>
        <v>42.24</v>
      </c>
      <c r="BK42" s="684">
        <f>Table25[[#This Row],[Pout]]/(Table25[[#This Row],[Pout]]+Table25[[#This Row],[Total Loss]])</f>
        <v>0.92815308822255138</v>
      </c>
      <c r="BL42" s="685">
        <f>IF(Table25[[#This Row],[Vin]]&gt;Vout,ThetaJA_Q1*(Table25[[#This Row],[Total Control Bu MOSFET Loss]]+Table25[[#This Row],[Reverse Recovery Loss MOSFET D BUCK]]),ThetaJA_Q4*(Table25[[#This Row],[Total Control Bo MOSFET Loss]]+Table25[[#This Row],[Reverse Recovery Loss MOSFET D BOOST]]))</f>
        <v>41.208553727741744</v>
      </c>
      <c r="BM42" s="685">
        <f>IF(Table25[[#This Row],[Vin]]&gt;Vout, Table25[[#This Row],[Total Sync Bu MOSFET Loss]]*ThetaJA_Q2, ThetaJA_Q3*Table25[[#This Row],[Total Sync Bo MOSFET Loss]])</f>
        <v>10.798735276590936</v>
      </c>
      <c r="BN42" s="640"/>
      <c r="BO42" s="292">
        <f>Table25[[#This Row],[EFF, h]]*100</f>
        <v>92.815308822255133</v>
      </c>
      <c r="BP42" s="345">
        <f>Table25[[#This Row],[Total Inductor Loss]]</f>
        <v>0.64865427356303096</v>
      </c>
      <c r="BQ42" s="345">
        <f>Table25[[#This Row],[Total Control Bu MOSFET Loss]]+Table25[[#This Row],[Total Sync Bu MOSFET Loss]]+Table25[[#This Row],[Total Control Bo MOSFET Loss]]+Table25[[#This Row],[Total Sync Bo MOSFET Loss]]+Table25[[#This Row],[Reverse Recovery Loss MOSFET D BUCK]]+Table25[[#This Row],[Reverse Recovery Loss MOSFET D BOOST]]</f>
        <v>1.2646801485996246</v>
      </c>
      <c r="BR42" s="345">
        <f xml:space="preserve"> Table25[[#This Row],[Total Control Bu MOSFET Loss]]+Table25[[#This Row],[Reverse Recovery Loss MOSFET D BUCK]]*0.66</f>
        <v>0.28934128503571477</v>
      </c>
      <c r="BS42" s="345">
        <f>Table25[[#This Row],[Total Sync Bu MOSFET Loss]]+Table25[[#This Row],[Reverse Recovery Loss MOSFET D BUCK]]*0.33</f>
        <v>0.17166064503571477</v>
      </c>
      <c r="BT42" s="345">
        <f xml:space="preserve"> Table25[[#This Row],[Total Control Bo MOSFET Loss]]+Table25[[#This Row],[Reverse Recovery Loss MOSFET D BOOST]]*0.66</f>
        <v>0.51273102965756534</v>
      </c>
      <c r="BU42" s="345">
        <f xml:space="preserve"> Table25[[#This Row],[Total Sync Bo MOSFET Loss]]+Table25[[#This Row],[Reverse Recovery Loss MOSFET D BOOST]]*0.33</f>
        <v>0.28381502887062982</v>
      </c>
      <c r="BV42" s="345">
        <f>Table25[[#This Row],[Isense Shunt Loss]]</f>
        <v>1.977221701881942E-2</v>
      </c>
      <c r="CA42" s="253">
        <v>9.9984190000000002</v>
      </c>
      <c r="CB42" s="253">
        <v>3.6920000000000002</v>
      </c>
      <c r="CC42" s="253">
        <v>5.1137540000000001</v>
      </c>
      <c r="CD42" s="253">
        <v>94.441363374789603</v>
      </c>
      <c r="CE42" s="253">
        <v>1111.2391205219994</v>
      </c>
    </row>
    <row r="43" spans="1:83" x14ac:dyDescent="0.2">
      <c r="A43" s="691" t="s">
        <v>73</v>
      </c>
      <c r="B43" s="569">
        <f>Gfs_Q1</f>
        <v>117</v>
      </c>
      <c r="C43" s="255" t="s">
        <v>70</v>
      </c>
      <c r="D43" s="255" t="s">
        <v>103</v>
      </c>
      <c r="G43" s="253">
        <v>34</v>
      </c>
      <c r="H43" s="286">
        <f t="shared" si="5"/>
        <v>12</v>
      </c>
      <c r="I43" s="292" t="str">
        <f>IF(Mode = 2,IF(Table25[[#This Row],[Vin]]&gt;Vout, "BUCK","BOOST"),IF(Table25[[#This Row],[Vin]]&gt;VIN_BB_to_buck, "BUCK", IF(Table25[[#This Row],[Vin]]&lt;=VIN_boost_to_BB,"BOOST","BUCK-BST")))</f>
        <v>BOOST</v>
      </c>
      <c r="J43" s="253">
        <f>IF(Table25[[#This Row],[Mode]]="BOOST",2, IF(Table25[[#This Row],[Mode]]="BUCK", 1,3))</f>
        <v>2</v>
      </c>
      <c r="K43" s="345">
        <f t="shared" si="7"/>
        <v>2.72</v>
      </c>
      <c r="L43" s="292">
        <f>Vout*Table25[[#This Row],[Iout]]/(Table25[[#This Row],[Vin]]*Efficiency)</f>
        <v>3.8175438596491236</v>
      </c>
      <c r="M43" s="682">
        <f>CHOOSE(Table25[[#This Row],[Mode Digit]],(Vout+(Rdson2+Rs+Rdcr)*Table25[[#This Row],[Iout]])/(Table25[[#This Row],[Vin]]+(Rs+Rdson2-Rdson1)*Table25[[#This Row],[Iout]])/Fsw,(Vout+(Rdson3+Rdcr)*Table25[[#This Row],[Iin]]-Table25[[#This Row],[Vin]])/(Vout+(Rdson3-Rdson4-Rs)*Table25[[#This Row],[Iin]])/Fsw,t1_Ph_II)</f>
        <v>6.32353418114963E-7</v>
      </c>
      <c r="N43" s="518">
        <f>CHOOSE(Table25[[#This Row],[Mode Digit]],1/Fsw-Table25[[#This Row],[t1_Ph_II]],1/Fsw-Table25[[#This Row],[t1_Ph_II]],(Vout/Fsw-Table25[[#This Row],[Vin]]*t1_Ph_II)/(Table25[[#This Row],[Vin]]+Vout))</f>
        <v>1.8802093959553889E-6</v>
      </c>
      <c r="O43" s="518">
        <f>1/Fsw-(Table25[[#This Row],[t1_Ph_II]]+Table25[[#This Row],[t2_Ph_I]])</f>
        <v>0</v>
      </c>
      <c r="P43"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1.7096991325992472</v>
      </c>
      <c r="Q43" s="292">
        <f>CHOOSE(Table25[[#This Row],[Mode Digit]],Table25[[#This Row],[I_0]]+1/Lf*(Table25[[#This Row],[Vin]]-Vout)*Table25[[#This Row],[t1_Ph_II]],Table25[[#This Row],[I_0]]+1/Lf*Table25[[#This Row],[Vin]]*Table25[[#This Row],[t1_Ph_II]],Table25[[#This Row],[I_0]]+(Table25[[#This Row],[Vin]]-Vout)/L*Table25[[#This Row],[t1_Ph_II]])</f>
        <v>5.9253885866990004</v>
      </c>
      <c r="R43" s="292">
        <f>CHOOSE(Table25[[#This Row],[Mode Digit]],0,0,Table25[[#This Row],[I_1]]+Table25[[#This Row],[Vin]]/L*Table25[[#This Row],[t2_Ph_I]])</f>
        <v>0</v>
      </c>
      <c r="S43" s="292">
        <f>Fsw*(Table25[[#This Row],[I_0]]*Table25[[#This Row],[t1_Ph_II]]+Table25[[#This Row],[I_1]]*Table25[[#This Row],[t2_Ph_I]]+Table25[[#This Row],[I_2]]*Table25[[#This Row],[t3_Ph_III]])</f>
        <v>4.8643979435665505</v>
      </c>
      <c r="T43" s="345">
        <f>CHOOSE(Table25[[#This Row],[Mode Digit]],(Vout+(Rdson2+Rs+Rdcr)*Table25[[#This Row],[Iout]])/(Table25[[#This Row],[Vin]]+(Rs+Rdson2-Rdson1)*Table25[[#This Row],[Iout]]),1,Fsw*Table25[[#This Row],[t2_Ph_I]]+Table25[[#This Row],[t1_Ph_II]])</f>
        <v>1</v>
      </c>
      <c r="U43" s="345">
        <f>CHOOSE(Table25[[#This Row],[Mode Digit]],0,(Vout+(Rdson3+Rdcr)*Table25[[#This Row],[Iin]]-Table25[[#This Row],[Vin]])/(Vout+(Rdson3-Rdson4-Rs)*Table25[[#This Row],[Iin]]),Fsw*Table25[[#This Row],[t1_Ph_II]]+Table25[[#This Row],[t3_Ph_III]])</f>
        <v>0.25167666040975528</v>
      </c>
      <c r="V43" s="292">
        <f>MAX(Table25[[#This Row],[I_0]:[I_2]])-MIN(Table25[[#This Row],[I_0]:[I_1]])</f>
        <v>4.2156894540997527</v>
      </c>
      <c r="W43"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4.0068247093505418</v>
      </c>
      <c r="X43" s="345">
        <f>(Table25[[#This Row],[Irms Lf]]^2*Rdcr*(1+Ltc*Ta-Ltc*25))/(1-Table25[[#This Row],[Irms Lf]]^2*Rdcr*Ltc*ThetaCa)</f>
        <v>5.1586883123164125E-2</v>
      </c>
      <c r="Y43" s="345">
        <f>ABS(7.759*10^-3*Fsw^0.9458*(0.00787*Table25[[#This Row],[Ripple Current pk-pk]])^2.304)</f>
        <v>0.60006490189073003</v>
      </c>
      <c r="Z43" s="345">
        <f>Table25[[#This Row],[DCR    Loss]]+Table25[[#This Row],[Core Loss]]</f>
        <v>0.6516517850138942</v>
      </c>
      <c r="AA43" s="292">
        <f>IF(Table25[[#This Row],[Vin]]&gt;Vout, Table25[[#This Row],[Ripple Current pk-pk]]/SQRT(12), SQRT(Table25[[#This Row],[Duty Cycle BOOST Leg]]/(1-Table25[[#This Row],[Duty Cycle BOOST Leg]]))*SQRT(Table25[[#This Row],[Iout]]^2+(Table25[[#This Row],[Ripple Current pk-pk]]^2)/12))</f>
        <v>1.728099373480781</v>
      </c>
      <c r="AB43" s="345">
        <f>RCoutEsr*Table25[[#This Row],[Irms Cout]]^2</f>
        <v>5.9726548892493356E-3</v>
      </c>
      <c r="AC43" s="345">
        <f>Table25[[#This Row],[Cout ESR Loss]]</f>
        <v>5.9726548892493356E-3</v>
      </c>
      <c r="AD43" s="292">
        <f>IF(Table25[[#This Row],[Vin]]&gt;Vout, SQRT(Table25[[#This Row],[Duty Cycle BUCK Leg]]*(1-Table25[[#This Row],[Duty Cycle BUCK Leg]]))*SQRT(Table25[[#This Row],[Iout]]^2+(Table25[[#This Row],[Ripple Current pk-pk]]^2)/12), Table25[[#This Row],[Ripple Current pk-pk]]/SQRT(12))</f>
        <v>1.2169647205721794</v>
      </c>
      <c r="AE43" s="345">
        <f>RCinEsr*Table25[[#This Row],[Irms Cin]]^2</f>
        <v>2.9620062622346451E-3</v>
      </c>
      <c r="AF43" s="683">
        <f>Table25[[#This Row],[Cin ESR Loss]]</f>
        <v>2.9620062622346451E-3</v>
      </c>
      <c r="AG43" s="345">
        <f>Table25[[#This Row],[Irms Lf]]</f>
        <v>4.0068247093505418</v>
      </c>
      <c r="AH43" s="345">
        <f>Rdson1*Table25[[#This Row],[Irms BuCtrl]]^2</f>
        <v>5.619125488011719E-2</v>
      </c>
      <c r="AI43" s="345">
        <f>CHOOSE(Table25[[#This Row],[Mode Digit]], (Table25[[#This Row],[Vin]]*Table25[[#This Row],[Iout]]/2)*(Fsw)*(Tr_buck+Tf_buck), 0, (Table25[[#This Row],[Vin]]*Table25[[#This Row],[Avg IL]]/2)*(Fsw/1)*(Tr_buck+Tf_buck))</f>
        <v>0</v>
      </c>
      <c r="AJ43" s="253">
        <f>IF(Table25[[#This Row],[Vin]]&gt;Vout, IF(Table25[[#This Row],[Iout]]&gt;Table25[[#This Row],[Ripple Current pk-pk]]/2,0,ABS(Table25[[#This Row],[Iout]]-Table25[[#This Row],[Ripple Current pk-pk]]/2)*Vsd_Q1*Deadtime*Fsw),0)</f>
        <v>0</v>
      </c>
      <c r="AK43" s="345">
        <f>(Table25[[#This Row],[Dead Time Loss BuCtrl]]+Table25[[#This Row],[Transition Loss BuCtrl]]+Table25[[#This Row],[RDS(on) Loss BuCtrl]]*(1+RdsonTopTc*Ta-RdsonTopTc*25))/(1-Table25[[#This Row],[RDS(on) Loss BuCtrl]]*RdsonTopTc*ThetaJA_Q1)</f>
        <v>5.7024365247030112E-2</v>
      </c>
      <c r="AL43" s="345">
        <f>Table25[[#This Row],[Irms Lf]]</f>
        <v>4.0068247093505418</v>
      </c>
      <c r="AM43" s="345">
        <f>Rdson2*Table25[[#This Row],[Irms BuSync]]^2</f>
        <v>5.619125488011719E-2</v>
      </c>
      <c r="AN43"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43" s="345">
        <f>(Table25[[#This Row],[Deadtime Loss BuSync]]+Table25[[#This Row],[RDS(on) Loss BuSync]]*(1+RdsonBotTc*Ta-RdsonBotTc*25))/(1-Table25[[#This Row],[RDS(on) Loss BuSync]]*RdsonBotTc*ThetaJA_Q2)</f>
        <v>5.7024365247030112E-2</v>
      </c>
      <c r="AP43" s="345">
        <f>Table25[[#This Row],[Irms Lf]]</f>
        <v>4.0068247093505418</v>
      </c>
      <c r="AQ43" s="345">
        <f>Rdson4*Table25[[#This Row],[Irms BoCtlr]]^2</f>
        <v>5.619125488011719E-2</v>
      </c>
      <c r="AR43" s="345">
        <f>CHOOSE(Table25[[#This Row],[Mode Digit]], 0, (Vout*Table25[[#This Row],[Iin]]/2)*(Fsw)*(Tr_boost+Tf_boost), (Vout*Iout/2)*(Fsw/1)*(Tr_boost+Tf_boost))</f>
        <v>0.22697360142407275</v>
      </c>
      <c r="AS43" s="345">
        <f>IF(Table25[[#This Row],[Vin]]&gt;Vout, 0, IF(Table25[[#This Row],[Iin]]&gt;Table25[[#This Row],[Ripple Current pk-pk]]/2,0,ABS(Table25[[#This Row],[Iin]]-Table25[[#This Row],[Ripple Current pk-pk]]/2)*Vsd_Q4*Deadtime*Fsw))</f>
        <v>0</v>
      </c>
      <c r="AT43" s="345">
        <f>(Table25[[#This Row],[Dead Time Loss BoCtlr]]+Table25[[#This Row],[Transition Loss BoCtlr]]+Table25[[#This Row],[RDS(on) Loss BoCtlr]]*(1+RdsonTopTc*Ta-RdsonTopTc*25))/(1-Table25[[#This Row],[RDS(on) Loss BoCtlr]]*RdsonTopTc*ThetaJA_Q4)</f>
        <v>0.28736315331385326</v>
      </c>
      <c r="AU43" s="345">
        <f>Table25[[#This Row],[Irms Lf]]</f>
        <v>4.0068247093505418</v>
      </c>
      <c r="AV43" s="345">
        <f>Rdson3*Table25[[#This Row],[Irms BoSync]]^2</f>
        <v>5.619125488011719E-2</v>
      </c>
      <c r="AW43"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0.11395368421052632</v>
      </c>
      <c r="AX43" s="345">
        <f>(Table25[[#This Row],[Deadtime Loss BoSync]]+Table25[[#This Row],[RDS(on) Loss BoSync]]*(1+RdsonBotTc*Ta-RdsonBotTc*25))/(1-Table25[[#This Row],[RDS(on) Loss BoSync]]*RdsonBotTc*ThetaJA_Q3)</f>
        <v>0.17266756495006955</v>
      </c>
      <c r="AY43" s="345">
        <f>CHOOSE(Table25[[#This Row],[Mode Digit]], Rdson3*Table25[[#This Row],[Irms Lf]]^2, Rdson1*Table25[[#This Row],[Irms Lf]]^2, 0)</f>
        <v>5.619125488011719E-2</v>
      </c>
      <c r="AZ43" s="345">
        <f>CHOOSE(Table25[[#This Row],[Mode Digit]], 2*Deadtime*Fsw*IF(VfdSky_Q2&gt;0,VfdSky_Q2,0)*Table25[[#This Row],[Iout]], 2*Deadtime*Fsw*IF(VfdSky_Q3&gt;0,VfdSky_Q3,0)*Table25[[#This Row],[Iin]], 2*Deadtime*Fsw*IF(VfdSky_Q2&gt;0,VfdSky_Q2,0)*Table25[[#This Row],[Iout]]+2*Deadtime*Fsw*IF(VfdSky_Q3&gt;0,VfdSky_Q3,0)*Table25[[#This Row],[Iin]])</f>
        <v>0</v>
      </c>
      <c r="BA43"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43"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43" s="345">
        <f>CHOOSE(Table25[[#This Row],[Mode Digit]], Rs*Table25[[#This Row],[Irms BuSync]]^2, Rs*Table25[[#This Row],[Irms BoCtlr]]^2, Rs*(Table25[[#This Row],[Irms BuSync]]^2+Table25[[#This Row],[Irms BoCtlr]]^2))</f>
        <v>2.0871037526900671E-2</v>
      </c>
      <c r="BD43" s="345">
        <f t="shared" si="6"/>
        <v>0.64</v>
      </c>
      <c r="BE43" s="345">
        <f>IF(Vout&gt;8, Iq*Vout, Iq*Table25[[#This Row],[Vin]])</f>
        <v>4.8000000000000001E-2</v>
      </c>
      <c r="BF43" s="345">
        <f>CHOOSE(Table25[[#This Row],[Mode Digit]], (Qg_Q1+Qg_Q2)*Fsw, (Qg_Q3+Qg_Q4)*Fsw, (Qg_Q1+Qg_Q2+Qg_Q3+Qg_Q4)*Fsw)*IF(Vout&gt;8,  MIN( Table25[[#This Row],[Vin]], Vout), Table25[[#This Row],[Vin]])</f>
        <v>0.63998400000000011</v>
      </c>
      <c r="BG43" s="345">
        <f t="shared" si="4"/>
        <v>0.50594479787234037</v>
      </c>
      <c r="BH43" s="345">
        <f>Table25[[#This Row],[IQ Loss]]+Table25[[#This Row],[Switching Current Loss]]</f>
        <v>0.68798400000000015</v>
      </c>
      <c r="BI43"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3.2967369324502624</v>
      </c>
      <c r="BJ43" s="253">
        <f>Vout*Table25[[#This Row],[Iout]]</f>
        <v>43.52</v>
      </c>
      <c r="BK43" s="684">
        <f>Table25[[#This Row],[Pout]]/(Table25[[#This Row],[Pout]]+Table25[[#This Row],[Total Loss]])</f>
        <v>0.92958208648315288</v>
      </c>
      <c r="BL43" s="685">
        <f>IF(Table25[[#This Row],[Vin]]&gt;Vout,ThetaJA_Q1*(Table25[[#This Row],[Total Control Bu MOSFET Loss]]+Table25[[#This Row],[Reverse Recovery Loss MOSFET D BUCK]]),ThetaJA_Q4*(Table25[[#This Row],[Total Control Bo MOSFET Loss]]+Table25[[#This Row],[Reverse Recovery Loss MOSFET D BOOST]]))</f>
        <v>41.858124965400464</v>
      </c>
      <c r="BM43" s="685">
        <f>IF(Table25[[#This Row],[Vin]]&gt;Vout, Table25[[#This Row],[Total Sync Bu MOSFET Loss]]*ThetaJA_Q2, ThetaJA_Q3*Table25[[#This Row],[Total Sync Bo MOSFET Loss]])</f>
        <v>11.22339172175452</v>
      </c>
      <c r="BN43" s="640"/>
      <c r="BO43" s="292">
        <f>Table25[[#This Row],[EFF, h]]*100</f>
        <v>92.958208648315292</v>
      </c>
      <c r="BP43" s="345">
        <f>Table25[[#This Row],[Total Inductor Loss]]</f>
        <v>0.6516517850138942</v>
      </c>
      <c r="BQ43" s="345">
        <f>Table25[[#This Row],[Total Control Bu MOSFET Loss]]+Table25[[#This Row],[Total Sync Bu MOSFET Loss]]+Table25[[#This Row],[Total Control Bo MOSFET Loss]]+Table25[[#This Row],[Total Sync Bo MOSFET Loss]]+Table25[[#This Row],[Reverse Recovery Loss MOSFET D BUCK]]+Table25[[#This Row],[Reverse Recovery Loss MOSFET D BOOST]]</f>
        <v>1.2872954487579831</v>
      </c>
      <c r="BR43" s="345">
        <f xml:space="preserve"> Table25[[#This Row],[Total Control Bu MOSFET Loss]]+Table25[[#This Row],[Reverse Recovery Loss MOSFET D BUCK]]*0.66</f>
        <v>0.29238564524703015</v>
      </c>
      <c r="BS43" s="345">
        <f>Table25[[#This Row],[Total Sync Bu MOSFET Loss]]+Table25[[#This Row],[Reverse Recovery Loss MOSFET D BUCK]]*0.33</f>
        <v>0.17470500524703012</v>
      </c>
      <c r="BT43" s="345">
        <f xml:space="preserve"> Table25[[#This Row],[Total Control Bo MOSFET Loss]]+Table25[[#This Row],[Reverse Recovery Loss MOSFET D BOOST]]*0.66</f>
        <v>0.52272443331385321</v>
      </c>
      <c r="BU43" s="345">
        <f xml:space="preserve"> Table25[[#This Row],[Total Sync Bo MOSFET Loss]]+Table25[[#This Row],[Reverse Recovery Loss MOSFET D BOOST]]*0.33</f>
        <v>0.29034820495006952</v>
      </c>
      <c r="BV43" s="345">
        <f>Table25[[#This Row],[Isense Shunt Loss]]</f>
        <v>2.0871037526900671E-2</v>
      </c>
      <c r="CA43" s="253">
        <v>9.998246</v>
      </c>
      <c r="CB43" s="253">
        <v>4.2430000000000003</v>
      </c>
      <c r="CC43" s="253">
        <v>5.1120590000000004</v>
      </c>
      <c r="CD43" s="253">
        <v>94.267178615859891</v>
      </c>
      <c r="CE43" s="253">
        <v>1319.0970775599953</v>
      </c>
    </row>
    <row r="44" spans="1:83" x14ac:dyDescent="0.2">
      <c r="A44" s="691" t="s">
        <v>95</v>
      </c>
      <c r="B44" s="569">
        <f>Vth_Q1</f>
        <v>2</v>
      </c>
      <c r="C44" s="255" t="s">
        <v>0</v>
      </c>
      <c r="D44" s="255" t="s">
        <v>104</v>
      </c>
      <c r="G44" s="253">
        <v>35</v>
      </c>
      <c r="H44" s="286">
        <f t="shared" si="5"/>
        <v>12</v>
      </c>
      <c r="I44" s="292" t="str">
        <f>IF(Mode = 2,IF(Table25[[#This Row],[Vin]]&gt;Vout, "BUCK","BOOST"),IF(Table25[[#This Row],[Vin]]&gt;VIN_BB_to_buck, "BUCK", IF(Table25[[#This Row],[Vin]]&lt;=VIN_boost_to_BB,"BOOST","BUCK-BST")))</f>
        <v>BOOST</v>
      </c>
      <c r="J44" s="253">
        <f>IF(Table25[[#This Row],[Mode]]="BOOST",2, IF(Table25[[#This Row],[Mode]]="BUCK", 1,3))</f>
        <v>2</v>
      </c>
      <c r="K44" s="345">
        <f t="shared" si="7"/>
        <v>2.8</v>
      </c>
      <c r="L44" s="292">
        <f>Vout*Table25[[#This Row],[Iout]]/(Table25[[#This Row],[Vin]]*Efficiency)</f>
        <v>3.929824561403509</v>
      </c>
      <c r="M44" s="682">
        <f>CHOOSE(Table25[[#This Row],[Mode Digit]],(Vout+(Rdson2+Rs+Rdcr)*Table25[[#This Row],[Iout]])/(Table25[[#This Row],[Vin]]+(Rs+Rdson2-Rdson1)*Table25[[#This Row],[Iout]])/Fsw,(Vout+(Rdson3+Rdcr)*Table25[[#This Row],[Iin]]-Table25[[#This Row],[Vin]])/(Vout+(Rdson3-Rdson4-Rs)*Table25[[#This Row],[Iin]])/Fsw,t1_Ph_II)</f>
        <v>6.3247736106023888E-7</v>
      </c>
      <c r="N44" s="518">
        <f>CHOOSE(Table25[[#This Row],[Mode Digit]],1/Fsw-Table25[[#This Row],[t1_Ph_II]],1/Fsw-Table25[[#This Row],[t1_Ph_II]],(Vout/Fsw-Table25[[#This Row],[Vin]]*t1_Ph_II)/(Table25[[#This Row],[Vin]]+Vout))</f>
        <v>1.880085453010113E-6</v>
      </c>
      <c r="O44" s="518">
        <f>1/Fsw-(Table25[[#This Row],[t1_Ph_II]]+Table25[[#This Row],[t2_Ph_I]])</f>
        <v>0</v>
      </c>
      <c r="P44"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1.8215666912027131</v>
      </c>
      <c r="Q44" s="292">
        <f>CHOOSE(Table25[[#This Row],[Mode Digit]],Table25[[#This Row],[I_0]]+1/Lf*(Table25[[#This Row],[Vin]]-Vout)*Table25[[#This Row],[t1_Ph_II]],Table25[[#This Row],[I_0]]+1/Lf*Table25[[#This Row],[Vin]]*Table25[[#This Row],[t1_Ph_II]],Table25[[#This Row],[I_0]]+(Table25[[#This Row],[Vin]]-Vout)/L*Table25[[#This Row],[t1_Ph_II]])</f>
        <v>6.0380824316043054</v>
      </c>
      <c r="R44" s="292">
        <f>CHOOSE(Table25[[#This Row],[Mode Digit]],0,0,Table25[[#This Row],[I_1]]+Table25[[#This Row],[Vin]]/L*Table25[[#This Row],[t2_Ph_I]])</f>
        <v>0</v>
      </c>
      <c r="S44" s="292">
        <f>Fsw*(Table25[[#This Row],[I_0]]*Table25[[#This Row],[t1_Ph_II]]+Table25[[#This Row],[I_1]]*Table25[[#This Row],[t2_Ph_I]]+Table25[[#This Row],[I_2]]*Table25[[#This Row],[t3_Ph_III]])</f>
        <v>4.976675833757759</v>
      </c>
      <c r="T44" s="345">
        <f>CHOOSE(Table25[[#This Row],[Mode Digit]],(Vout+(Rdson2+Rs+Rdcr)*Table25[[#This Row],[Iout]])/(Table25[[#This Row],[Vin]]+(Rs+Rdson2-Rdson1)*Table25[[#This Row],[Iout]]),1,Fsw*Table25[[#This Row],[t2_Ph_I]]+Table25[[#This Row],[t1_Ph_II]])</f>
        <v>1</v>
      </c>
      <c r="U44" s="345">
        <f>CHOOSE(Table25[[#This Row],[Mode Digit]],0,(Vout+(Rdson3+Rdcr)*Table25[[#This Row],[Iin]]-Table25[[#This Row],[Vin]])/(Vout+(Rdson3-Rdson4-Rs)*Table25[[#This Row],[Iin]]),Fsw*Table25[[#This Row],[t1_Ph_II]]+Table25[[#This Row],[t3_Ph_III]])</f>
        <v>0.25172598970197507</v>
      </c>
      <c r="V44" s="292">
        <f>MAX(Table25[[#This Row],[I_0]:[I_2]])-MIN(Table25[[#This Row],[I_0]:[I_1]])</f>
        <v>4.2165157404015918</v>
      </c>
      <c r="W44"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4.1140132270689342</v>
      </c>
      <c r="X44" s="345">
        <f>(Table25[[#This Row],[Irms Lf]]^2*Rdcr*(1+Ltc*Ta-Ltc*25))/(1-Table25[[#This Row],[Irms Lf]]^2*Rdcr*Ltc*ThetaCa)</f>
        <v>5.4396024016686167E-2</v>
      </c>
      <c r="Y44" s="345">
        <f>ABS(7.759*10^-3*Fsw^0.9458*(0.00787*Table25[[#This Row],[Ripple Current pk-pk]])^2.304)</f>
        <v>0.60033591989290525</v>
      </c>
      <c r="Z44" s="345">
        <f>Table25[[#This Row],[DCR    Loss]]+Table25[[#This Row],[Core Loss]]</f>
        <v>0.65473194390959144</v>
      </c>
      <c r="AA44" s="292">
        <f>IF(Table25[[#This Row],[Vin]]&gt;Vout, Table25[[#This Row],[Ripple Current pk-pk]]/SQRT(12), SQRT(Table25[[#This Row],[Duty Cycle BOOST Leg]]/(1-Table25[[#This Row],[Duty Cycle BOOST Leg]]))*SQRT(Table25[[#This Row],[Iout]]^2+(Table25[[#This Row],[Ripple Current pk-pk]]^2)/12))</f>
        <v>1.7708368501294547</v>
      </c>
      <c r="AB44" s="345">
        <f>RCoutEsr*Table25[[#This Row],[Irms Cout]]^2</f>
        <v>6.2717262995528175E-3</v>
      </c>
      <c r="AC44" s="345">
        <f>Table25[[#This Row],[Cout ESR Loss]]</f>
        <v>6.2717262995528175E-3</v>
      </c>
      <c r="AD44" s="292">
        <f>IF(Table25[[#This Row],[Vin]]&gt;Vout, SQRT(Table25[[#This Row],[Duty Cycle BUCK Leg]]*(1-Table25[[#This Row],[Duty Cycle BUCK Leg]]))*SQRT(Table25[[#This Row],[Iout]]^2+(Table25[[#This Row],[Ripple Current pk-pk]]^2)/12), Table25[[#This Row],[Ripple Current pk-pk]]/SQRT(12))</f>
        <v>1.2172032488815767</v>
      </c>
      <c r="AE44" s="345">
        <f>RCinEsr*Table25[[#This Row],[Irms Cin]]^2</f>
        <v>2.9631674981757312E-3</v>
      </c>
      <c r="AF44" s="683">
        <f>Table25[[#This Row],[Cin ESR Loss]]</f>
        <v>2.9631674981757312E-3</v>
      </c>
      <c r="AG44" s="345">
        <f>Table25[[#This Row],[Irms Lf]]</f>
        <v>4.1140132270689342</v>
      </c>
      <c r="AH44" s="345">
        <f>Rdson1*Table25[[#This Row],[Irms BuCtrl]]^2</f>
        <v>5.9237866913743512E-2</v>
      </c>
      <c r="AI44" s="345">
        <f>CHOOSE(Table25[[#This Row],[Mode Digit]], (Table25[[#This Row],[Vin]]*Table25[[#This Row],[Iout]]/2)*(Fsw)*(Tr_buck+Tf_buck), 0, (Table25[[#This Row],[Vin]]*Table25[[#This Row],[Avg IL]]/2)*(Fsw/1)*(Tr_buck+Tf_buck))</f>
        <v>0</v>
      </c>
      <c r="AJ44" s="253">
        <f>IF(Table25[[#This Row],[Vin]]&gt;Vout, IF(Table25[[#This Row],[Iout]]&gt;Table25[[#This Row],[Ripple Current pk-pk]]/2,0,ABS(Table25[[#This Row],[Iout]]-Table25[[#This Row],[Ripple Current pk-pk]]/2)*Vsd_Q1*Deadtime*Fsw),0)</f>
        <v>0</v>
      </c>
      <c r="AK44" s="345">
        <f>(Table25[[#This Row],[Dead Time Loss BuCtrl]]+Table25[[#This Row],[Transition Loss BuCtrl]]+Table25[[#This Row],[RDS(on) Loss BuCtrl]]*(1+RdsonTopTc*Ta-RdsonTopTc*25))/(1-Table25[[#This Row],[RDS(on) Loss BuCtrl]]*RdsonTopTc*ThetaJA_Q1)</f>
        <v>6.0164511417008813E-2</v>
      </c>
      <c r="AL44" s="345">
        <f>Table25[[#This Row],[Irms Lf]]</f>
        <v>4.1140132270689342</v>
      </c>
      <c r="AM44" s="345">
        <f>Rdson2*Table25[[#This Row],[Irms BuSync]]^2</f>
        <v>5.9237866913743512E-2</v>
      </c>
      <c r="AN44"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44" s="345">
        <f>(Table25[[#This Row],[Deadtime Loss BuSync]]+Table25[[#This Row],[RDS(on) Loss BuSync]]*(1+RdsonBotTc*Ta-RdsonBotTc*25))/(1-Table25[[#This Row],[RDS(on) Loss BuSync]]*RdsonBotTc*ThetaJA_Q2)</f>
        <v>6.0164511417008813E-2</v>
      </c>
      <c r="AP44" s="345">
        <f>Table25[[#This Row],[Irms Lf]]</f>
        <v>4.1140132270689342</v>
      </c>
      <c r="AQ44" s="345">
        <f>Rdson4*Table25[[#This Row],[Irms BoCtlr]]^2</f>
        <v>5.9237866913743512E-2</v>
      </c>
      <c r="AR44" s="345">
        <f>CHOOSE(Table25[[#This Row],[Mode Digit]], 0, (Vout*Table25[[#This Row],[Iin]]/2)*(Fsw)*(Tr_boost+Tf_boost), (Vout*Iout/2)*(Fsw/1)*(Tr_boost+Tf_boost))</f>
        <v>0.23364929558360426</v>
      </c>
      <c r="AS44" s="345">
        <f>IF(Table25[[#This Row],[Vin]]&gt;Vout, 0, IF(Table25[[#This Row],[Iin]]&gt;Table25[[#This Row],[Ripple Current pk-pk]]/2,0,ABS(Table25[[#This Row],[Iin]]-Table25[[#This Row],[Ripple Current pk-pk]]/2)*Vsd_Q4*Deadtime*Fsw))</f>
        <v>0</v>
      </c>
      <c r="AT44" s="345">
        <f>(Table25[[#This Row],[Dead Time Loss BoCtlr]]+Table25[[#This Row],[Transition Loss BoCtlr]]+Table25[[#This Row],[RDS(on) Loss BoCtlr]]*(1+RdsonTopTc*Ta-RdsonTopTc*25))/(1-Table25[[#This Row],[RDS(on) Loss BoCtlr]]*RdsonTopTc*ThetaJA_Q4)</f>
        <v>0.29746872988565914</v>
      </c>
      <c r="AU44" s="345">
        <f>Table25[[#This Row],[Irms Lf]]</f>
        <v>4.1140132270689342</v>
      </c>
      <c r="AV44" s="345">
        <f>Rdson3*Table25[[#This Row],[Irms BoSync]]^2</f>
        <v>5.9237866913743512E-2</v>
      </c>
      <c r="AW44"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0.11730526315789472</v>
      </c>
      <c r="AX44" s="345">
        <f>(Table25[[#This Row],[Deadtime Loss BoSync]]+Table25[[#This Row],[RDS(on) Loss BoSync]]*(1+RdsonBotTc*Ta-RdsonBotTc*25))/(1-Table25[[#This Row],[RDS(on) Loss BoSync]]*RdsonBotTc*ThetaJA_Q3)</f>
        <v>0.17930475417448352</v>
      </c>
      <c r="AY44" s="345">
        <f>CHOOSE(Table25[[#This Row],[Mode Digit]], Rdson3*Table25[[#This Row],[Irms Lf]]^2, Rdson1*Table25[[#This Row],[Irms Lf]]^2, 0)</f>
        <v>5.9237866913743512E-2</v>
      </c>
      <c r="AZ44" s="345">
        <f>CHOOSE(Table25[[#This Row],[Mode Digit]], 2*Deadtime*Fsw*IF(VfdSky_Q2&gt;0,VfdSky_Q2,0)*Table25[[#This Row],[Iout]], 2*Deadtime*Fsw*IF(VfdSky_Q3&gt;0,VfdSky_Q3,0)*Table25[[#This Row],[Iin]], 2*Deadtime*Fsw*IF(VfdSky_Q2&gt;0,VfdSky_Q2,0)*Table25[[#This Row],[Iout]]+2*Deadtime*Fsw*IF(VfdSky_Q3&gt;0,VfdSky_Q3,0)*Table25[[#This Row],[Iin]])</f>
        <v>0</v>
      </c>
      <c r="BA44"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44"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44" s="345">
        <f>CHOOSE(Table25[[#This Row],[Mode Digit]], Rs*Table25[[#This Row],[Irms BuSync]]^2, Rs*Table25[[#This Row],[Irms BoCtlr]]^2, Rs*(Table25[[#This Row],[Irms BuSync]]^2+Table25[[#This Row],[Irms BoCtlr]]^2))</f>
        <v>2.2002636282247589E-2</v>
      </c>
      <c r="BD44" s="345">
        <f t="shared" si="6"/>
        <v>0.64</v>
      </c>
      <c r="BE44" s="345">
        <f>IF(Vout&gt;8, Iq*Vout, Iq*Table25[[#This Row],[Vin]])</f>
        <v>4.8000000000000001E-2</v>
      </c>
      <c r="BF44" s="345">
        <f>CHOOSE(Table25[[#This Row],[Mode Digit]], (Qg_Q1+Qg_Q2)*Fsw, (Qg_Q3+Qg_Q4)*Fsw, (Qg_Q1+Qg_Q2+Qg_Q3+Qg_Q4)*Fsw)*IF(Vout&gt;8,  MIN( Table25[[#This Row],[Vin]], Vout), Table25[[#This Row],[Vin]])</f>
        <v>0.63998400000000011</v>
      </c>
      <c r="BG44" s="345">
        <f t="shared" si="4"/>
        <v>0.50594479787234037</v>
      </c>
      <c r="BH44" s="345">
        <f>Table25[[#This Row],[IQ Loss]]+Table25[[#This Row],[Switching Current Loss]]</f>
        <v>0.68798400000000015</v>
      </c>
      <c r="BI44"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3.324271980883728</v>
      </c>
      <c r="BJ44" s="253">
        <f>Vout*Table25[[#This Row],[Iout]]</f>
        <v>44.8</v>
      </c>
      <c r="BK44" s="684">
        <f>Table25[[#This Row],[Pout]]/(Table25[[#This Row],[Pout]]+Table25[[#This Row],[Total Loss]])</f>
        <v>0.93092317360760868</v>
      </c>
      <c r="BL44" s="685">
        <f>IF(Table25[[#This Row],[Vin]]&gt;Vout,ThetaJA_Q1*(Table25[[#This Row],[Total Control Bu MOSFET Loss]]+Table25[[#This Row],[Reverse Recovery Loss MOSFET D BUCK]]),ThetaJA_Q4*(Table25[[#This Row],[Total Control Bo MOSFET Loss]]+Table25[[#This Row],[Reverse Recovery Loss MOSFET D BOOST]]))</f>
        <v>42.514987442567843</v>
      </c>
      <c r="BM44" s="685">
        <f>IF(Table25[[#This Row],[Vin]]&gt;Vout, Table25[[#This Row],[Total Sync Bu MOSFET Loss]]*ThetaJA_Q2, ThetaJA_Q3*Table25[[#This Row],[Total Sync Bo MOSFET Loss]])</f>
        <v>11.654809021341428</v>
      </c>
      <c r="BN44" s="640"/>
      <c r="BO44" s="292">
        <f>Table25[[#This Row],[EFF, h]]*100</f>
        <v>93.092317360760873</v>
      </c>
      <c r="BP44" s="345">
        <f>Table25[[#This Row],[Total Inductor Loss]]</f>
        <v>0.65473194390959144</v>
      </c>
      <c r="BQ44" s="345">
        <f>Table25[[#This Row],[Total Control Bu MOSFET Loss]]+Table25[[#This Row],[Total Sync Bu MOSFET Loss]]+Table25[[#This Row],[Total Control Bo MOSFET Loss]]+Table25[[#This Row],[Total Sync Bo MOSFET Loss]]+Table25[[#This Row],[Reverse Recovery Loss MOSFET D BUCK]]+Table25[[#This Row],[Reverse Recovery Loss MOSFET D BOOST]]</f>
        <v>1.3103185068941603</v>
      </c>
      <c r="BR44" s="345">
        <f xml:space="preserve"> Table25[[#This Row],[Total Control Bu MOSFET Loss]]+Table25[[#This Row],[Reverse Recovery Loss MOSFET D BUCK]]*0.66</f>
        <v>0.2955257914170088</v>
      </c>
      <c r="BS44" s="345">
        <f>Table25[[#This Row],[Total Sync Bu MOSFET Loss]]+Table25[[#This Row],[Reverse Recovery Loss MOSFET D BUCK]]*0.33</f>
        <v>0.17784515141700882</v>
      </c>
      <c r="BT44" s="345">
        <f xml:space="preserve"> Table25[[#This Row],[Total Control Bo MOSFET Loss]]+Table25[[#This Row],[Reverse Recovery Loss MOSFET D BOOST]]*0.66</f>
        <v>0.53283000988565909</v>
      </c>
      <c r="BU44" s="345">
        <f xml:space="preserve"> Table25[[#This Row],[Total Sync Bo MOSFET Loss]]+Table25[[#This Row],[Reverse Recovery Loss MOSFET D BOOST]]*0.33</f>
        <v>0.29698539417448355</v>
      </c>
      <c r="BV44" s="345">
        <f>Table25[[#This Row],[Isense Shunt Loss]]</f>
        <v>2.2002636282247589E-2</v>
      </c>
      <c r="CA44" s="253">
        <v>9.9981469999999995</v>
      </c>
      <c r="CB44" s="253">
        <v>4.8490000000000002</v>
      </c>
      <c r="CC44" s="253">
        <v>5.1107740000000002</v>
      </c>
      <c r="CD44" s="253">
        <v>93.953815994681278</v>
      </c>
      <c r="CE44" s="253">
        <v>1594.7983209009985</v>
      </c>
    </row>
    <row r="45" spans="1:83" x14ac:dyDescent="0.2">
      <c r="A45" s="703" t="s">
        <v>145</v>
      </c>
      <c r="B45" s="704">
        <f>Vsp_Q1</f>
        <v>2.0683760683760686</v>
      </c>
      <c r="C45" s="697" t="s">
        <v>0</v>
      </c>
      <c r="G45" s="253">
        <v>36</v>
      </c>
      <c r="H45" s="286">
        <f t="shared" si="5"/>
        <v>12</v>
      </c>
      <c r="I45" s="292" t="str">
        <f>IF(Mode = 2,IF(Table25[[#This Row],[Vin]]&gt;Vout, "BUCK","BOOST"),IF(Table25[[#This Row],[Vin]]&gt;VIN_BB_to_buck, "BUCK", IF(Table25[[#This Row],[Vin]]&lt;=VIN_boost_to_BB,"BOOST","BUCK-BST")))</f>
        <v>BOOST</v>
      </c>
      <c r="J45" s="253">
        <f>IF(Table25[[#This Row],[Mode]]="BOOST",2, IF(Table25[[#This Row],[Mode]]="BUCK", 1,3))</f>
        <v>2</v>
      </c>
      <c r="K45" s="345">
        <f t="shared" si="7"/>
        <v>2.88</v>
      </c>
      <c r="L45" s="292">
        <f>Vout*Table25[[#This Row],[Iout]]/(Table25[[#This Row],[Vin]]*Efficiency)</f>
        <v>4.0421052631578949</v>
      </c>
      <c r="M45" s="682">
        <f>CHOOSE(Table25[[#This Row],[Mode Digit]],(Vout+(Rdson2+Rs+Rdcr)*Table25[[#This Row],[Iout]])/(Table25[[#This Row],[Vin]]+(Rs+Rdson2-Rdson1)*Table25[[#This Row],[Iout]])/Fsw,(Vout+(Rdson3+Rdcr)*Table25[[#This Row],[Iin]]-Table25[[#This Row],[Vin]])/(Vout+(Rdson3-Rdson4-Rs)*Table25[[#This Row],[Iin]])/Fsw,t1_Ph_II)</f>
        <v>6.3260130626767285E-7</v>
      </c>
      <c r="N45" s="518">
        <f>CHOOSE(Table25[[#This Row],[Mode Digit]],1/Fsw-Table25[[#This Row],[t1_Ph_II]],1/Fsw-Table25[[#This Row],[t1_Ph_II]],(Vout/Fsw-Table25[[#This Row],[Vin]]*t1_Ph_II)/(Table25[[#This Row],[Vin]]+Vout))</f>
        <v>1.8799615078026789E-6</v>
      </c>
      <c r="O45" s="518">
        <f>1/Fsw-(Table25[[#This Row],[t1_Ph_II]]+Table25[[#This Row],[t2_Ph_I]])</f>
        <v>0</v>
      </c>
      <c r="P45"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1.9334342422656521</v>
      </c>
      <c r="Q45" s="292">
        <f>CHOOSE(Table25[[#This Row],[Mode Digit]],Table25[[#This Row],[I_0]]+1/Lf*(Table25[[#This Row],[Vin]]-Vout)*Table25[[#This Row],[t1_Ph_II]],Table25[[#This Row],[I_0]]+1/Lf*Table25[[#This Row],[Vin]]*Table25[[#This Row],[t1_Ph_II]],Table25[[#This Row],[I_0]]+(Table25[[#This Row],[Vin]]-Vout)/L*Table25[[#This Row],[t1_Ph_II]])</f>
        <v>6.1507762840501377</v>
      </c>
      <c r="R45" s="292">
        <f>CHOOSE(Table25[[#This Row],[Mode Digit]],0,0,Table25[[#This Row],[I_1]]+Table25[[#This Row],[Vin]]/L*Table25[[#This Row],[t2_Ph_I]])</f>
        <v>0</v>
      </c>
      <c r="S45" s="292">
        <f>Fsw*(Table25[[#This Row],[I_0]]*Table25[[#This Row],[t1_Ph_II]]+Table25[[#This Row],[I_1]]*Table25[[#This Row],[t2_Ph_I]]+Table25[[#This Row],[I_2]]*Table25[[#This Row],[t3_Ph_III]])</f>
        <v>5.0889536423751824</v>
      </c>
      <c r="T45" s="345">
        <f>CHOOSE(Table25[[#This Row],[Mode Digit]],(Vout+(Rdson2+Rs+Rdcr)*Table25[[#This Row],[Iout]])/(Table25[[#This Row],[Vin]]+(Rs+Rdson2-Rdson1)*Table25[[#This Row],[Iout]]),1,Fsw*Table25[[#This Row],[t2_Ph_I]]+Table25[[#This Row],[t1_Ph_II]])</f>
        <v>1</v>
      </c>
      <c r="U45" s="345">
        <f>CHOOSE(Table25[[#This Row],[Mode Digit]],0,(Vout+(Rdson3+Rdcr)*Table25[[#This Row],[Iin]]-Table25[[#This Row],[Vin]])/(Vout+(Rdson3-Rdson4-Rs)*Table25[[#This Row],[Iin]]),Fsw*Table25[[#This Row],[t1_Ph_II]]+Table25[[#This Row],[t3_Ph_III]])</f>
        <v>0.25177531989453378</v>
      </c>
      <c r="V45" s="292">
        <f>MAX(Table25[[#This Row],[I_0]:[I_2]])-MIN(Table25[[#This Row],[I_0]:[I_1]])</f>
        <v>4.2173420417844856</v>
      </c>
      <c r="W45"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4.2214665046520263</v>
      </c>
      <c r="X45" s="345">
        <f>(Table25[[#This Row],[Irms Lf]]^2*Rdcr*(1+Ltc*Ta-Ltc*25))/(1-Table25[[#This Row],[Irms Lf]]^2*Rdcr*Ltc*ThetaCa)</f>
        <v>5.7287848251542393E-2</v>
      </c>
      <c r="Y45" s="345">
        <f>ABS(7.759*10^-3*Fsw^0.9458*(0.00787*Table25[[#This Row],[Ripple Current pk-pk]])^2.304)</f>
        <v>0.60060701210756817</v>
      </c>
      <c r="Z45" s="345">
        <f>Table25[[#This Row],[DCR    Loss]]+Table25[[#This Row],[Core Loss]]</f>
        <v>0.6578948603591106</v>
      </c>
      <c r="AA45" s="292">
        <f>IF(Table25[[#This Row],[Vin]]&gt;Vout, Table25[[#This Row],[Ripple Current pk-pk]]/SQRT(12), SQRT(Table25[[#This Row],[Duty Cycle BOOST Leg]]/(1-Table25[[#This Row],[Duty Cycle BOOST Leg]]))*SQRT(Table25[[#This Row],[Iout]]^2+(Table25[[#This Row],[Ripple Current pk-pk]]^2)/12))</f>
        <v>1.8137761976816915</v>
      </c>
      <c r="AB45" s="345">
        <f>RCoutEsr*Table25[[#This Row],[Irms Cout]]^2</f>
        <v>6.5795681905533093E-3</v>
      </c>
      <c r="AC45" s="345">
        <f>Table25[[#This Row],[Cout ESR Loss]]</f>
        <v>6.5795681905533093E-3</v>
      </c>
      <c r="AD45" s="292">
        <f>IF(Table25[[#This Row],[Vin]]&gt;Vout, SQRT(Table25[[#This Row],[Duty Cycle BUCK Leg]]*(1-Table25[[#This Row],[Duty Cycle BUCK Leg]]))*SQRT(Table25[[#This Row],[Iout]]^2+(Table25[[#This Row],[Ripple Current pk-pk]]^2)/12), Table25[[#This Row],[Ripple Current pk-pk]]/SQRT(12))</f>
        <v>1.2174417815444993</v>
      </c>
      <c r="AE45" s="345">
        <f>RCinEsr*Table25[[#This Row],[Irms Cin]]^2</f>
        <v>2.9643289829004893E-3</v>
      </c>
      <c r="AF45" s="683">
        <f>Table25[[#This Row],[Cin ESR Loss]]</f>
        <v>2.9643289829004893E-3</v>
      </c>
      <c r="AG45" s="345">
        <f>Table25[[#This Row],[Irms Lf]]</f>
        <v>4.2214665046520263</v>
      </c>
      <c r="AH45" s="345">
        <f>Rdson1*Table25[[#This Row],[Irms BuCtrl]]^2</f>
        <v>6.2372728074646486E-2</v>
      </c>
      <c r="AI45" s="345">
        <f>CHOOSE(Table25[[#This Row],[Mode Digit]], (Table25[[#This Row],[Vin]]*Table25[[#This Row],[Iout]]/2)*(Fsw)*(Tr_buck+Tf_buck), 0, (Table25[[#This Row],[Vin]]*Table25[[#This Row],[Avg IL]]/2)*(Fsw/1)*(Tr_buck+Tf_buck))</f>
        <v>0</v>
      </c>
      <c r="AJ45" s="253">
        <f>IF(Table25[[#This Row],[Vin]]&gt;Vout, IF(Table25[[#This Row],[Iout]]&gt;Table25[[#This Row],[Ripple Current pk-pk]]/2,0,ABS(Table25[[#This Row],[Iout]]-Table25[[#This Row],[Ripple Current pk-pk]]/2)*Vsd_Q1*Deadtime*Fsw),0)</f>
        <v>0</v>
      </c>
      <c r="AK45" s="345">
        <f>(Table25[[#This Row],[Dead Time Loss BuCtrl]]+Table25[[#This Row],[Transition Loss BuCtrl]]+Table25[[#This Row],[RDS(on) Loss BuCtrl]]*(1+RdsonTopTc*Ta-RdsonTopTc*25))/(1-Table25[[#This Row],[RDS(on) Loss BuCtrl]]*RdsonTopTc*ThetaJA_Q1)</f>
        <v>6.3400894632401478E-2</v>
      </c>
      <c r="AL45" s="345">
        <f>Table25[[#This Row],[Irms Lf]]</f>
        <v>4.2214665046520263</v>
      </c>
      <c r="AM45" s="345">
        <f>Rdson2*Table25[[#This Row],[Irms BuSync]]^2</f>
        <v>6.2372728074646486E-2</v>
      </c>
      <c r="AN45"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45" s="345">
        <f>(Table25[[#This Row],[Deadtime Loss BuSync]]+Table25[[#This Row],[RDS(on) Loss BuSync]]*(1+RdsonBotTc*Ta-RdsonBotTc*25))/(1-Table25[[#This Row],[RDS(on) Loss BuSync]]*RdsonBotTc*ThetaJA_Q2)</f>
        <v>6.3400894632401478E-2</v>
      </c>
      <c r="AP45" s="345">
        <f>Table25[[#This Row],[Irms Lf]]</f>
        <v>4.2214665046520263</v>
      </c>
      <c r="AQ45" s="345">
        <f>Rdson4*Table25[[#This Row],[Irms BoCtlr]]^2</f>
        <v>6.2372728074646486E-2</v>
      </c>
      <c r="AR45" s="345">
        <f>CHOOSE(Table25[[#This Row],[Mode Digit]], 0, (Vout*Table25[[#This Row],[Iin]]/2)*(Fsw)*(Tr_boost+Tf_boost), (Vout*Iout/2)*(Fsw/1)*(Tr_boost+Tf_boost))</f>
        <v>0.24032498974313579</v>
      </c>
      <c r="AS45" s="345">
        <f>IF(Table25[[#This Row],[Vin]]&gt;Vout, 0, IF(Table25[[#This Row],[Iin]]&gt;Table25[[#This Row],[Ripple Current pk-pk]]/2,0,ABS(Table25[[#This Row],[Iin]]-Table25[[#This Row],[Ripple Current pk-pk]]/2)*Vsd_Q4*Deadtime*Fsw))</f>
        <v>0</v>
      </c>
      <c r="AT45" s="345">
        <f>(Table25[[#This Row],[Dead Time Loss BoCtlr]]+Table25[[#This Row],[Transition Loss BoCtlr]]+Table25[[#This Row],[RDS(on) Loss BoCtlr]]*(1+RdsonTopTc*Ta-RdsonTopTc*25))/(1-Table25[[#This Row],[RDS(on) Loss BoCtlr]]*RdsonTopTc*ThetaJA_Q4)</f>
        <v>0.307687457407119</v>
      </c>
      <c r="AU45" s="345">
        <f>Table25[[#This Row],[Irms Lf]]</f>
        <v>4.2214665046520263</v>
      </c>
      <c r="AV45" s="345">
        <f>Rdson3*Table25[[#This Row],[Irms BoSync]]^2</f>
        <v>6.2372728074646486E-2</v>
      </c>
      <c r="AW45"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0.12065684210526315</v>
      </c>
      <c r="AX45" s="345">
        <f>(Table25[[#This Row],[Deadtime Loss BoSync]]+Table25[[#This Row],[RDS(on) Loss BoSync]]*(1+RdsonBotTc*Ta-RdsonBotTc*25))/(1-Table25[[#This Row],[RDS(on) Loss BoSync]]*RdsonBotTc*ThetaJA_Q3)</f>
        <v>0.18604667218824306</v>
      </c>
      <c r="AY45" s="345">
        <f>CHOOSE(Table25[[#This Row],[Mode Digit]], Rdson3*Table25[[#This Row],[Irms Lf]]^2, Rdson1*Table25[[#This Row],[Irms Lf]]^2, 0)</f>
        <v>6.2372728074646486E-2</v>
      </c>
      <c r="AZ45" s="345">
        <f>CHOOSE(Table25[[#This Row],[Mode Digit]], 2*Deadtime*Fsw*IF(VfdSky_Q2&gt;0,VfdSky_Q2,0)*Table25[[#This Row],[Iout]], 2*Deadtime*Fsw*IF(VfdSky_Q3&gt;0,VfdSky_Q3,0)*Table25[[#This Row],[Iin]], 2*Deadtime*Fsw*IF(VfdSky_Q2&gt;0,VfdSky_Q2,0)*Table25[[#This Row],[Iout]]+2*Deadtime*Fsw*IF(VfdSky_Q3&gt;0,VfdSky_Q3,0)*Table25[[#This Row],[Iin]])</f>
        <v>0</v>
      </c>
      <c r="BA45"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45"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45" s="345">
        <f>CHOOSE(Table25[[#This Row],[Mode Digit]], Rs*Table25[[#This Row],[Irms BuSync]]^2, Rs*Table25[[#This Row],[Irms BoCtlr]]^2, Rs*(Table25[[#This Row],[Irms BuSync]]^2+Table25[[#This Row],[Irms BoCtlr]]^2))</f>
        <v>2.3167013284868695E-2</v>
      </c>
      <c r="BD45" s="345">
        <f t="shared" si="6"/>
        <v>0.64</v>
      </c>
      <c r="BE45" s="345">
        <f>IF(Vout&gt;8, Iq*Vout, Iq*Table25[[#This Row],[Vin]])</f>
        <v>4.8000000000000001E-2</v>
      </c>
      <c r="BF45" s="345">
        <f>CHOOSE(Table25[[#This Row],[Mode Digit]], (Qg_Q1+Qg_Q2)*Fsw, (Qg_Q3+Qg_Q4)*Fsw, (Qg_Q1+Qg_Q2+Qg_Q3+Qg_Q4)*Fsw)*IF(Vout&gt;8,  MIN( Table25[[#This Row],[Vin]], Vout), Table25[[#This Row],[Vin]])</f>
        <v>0.63998400000000011</v>
      </c>
      <c r="BG45" s="345">
        <f t="shared" si="4"/>
        <v>0.50594479787234037</v>
      </c>
      <c r="BH45" s="345">
        <f>Table25[[#This Row],[IQ Loss]]+Table25[[#This Row],[Switching Current Loss]]</f>
        <v>0.68798400000000015</v>
      </c>
      <c r="BI45"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3.3523416896775982</v>
      </c>
      <c r="BJ45" s="253">
        <f>Vout*Table25[[#This Row],[Iout]]</f>
        <v>46.08</v>
      </c>
      <c r="BK45" s="684">
        <f>Table25[[#This Row],[Pout]]/(Table25[[#This Row],[Pout]]+Table25[[#This Row],[Total Loss]])</f>
        <v>0.93218323115820279</v>
      </c>
      <c r="BL45" s="685">
        <f>IF(Table25[[#This Row],[Vin]]&gt;Vout,ThetaJA_Q1*(Table25[[#This Row],[Total Control Bu MOSFET Loss]]+Table25[[#This Row],[Reverse Recovery Loss MOSFET D BUCK]]),ThetaJA_Q4*(Table25[[#This Row],[Total Control Bo MOSFET Loss]]+Table25[[#This Row],[Reverse Recovery Loss MOSFET D BOOST]]))</f>
        <v>43.179204731462733</v>
      </c>
      <c r="BM45" s="685">
        <f>IF(Table25[[#This Row],[Vin]]&gt;Vout, Table25[[#This Row],[Total Sync Bu MOSFET Loss]]*ThetaJA_Q2, ThetaJA_Q3*Table25[[#This Row],[Total Sync Bo MOSFET Loss]])</f>
        <v>12.093033692235799</v>
      </c>
      <c r="BN45" s="640"/>
      <c r="BO45" s="292">
        <f>Table25[[#This Row],[EFF, h]]*100</f>
        <v>93.218323115820283</v>
      </c>
      <c r="BP45" s="345">
        <f>Table25[[#This Row],[Total Inductor Loss]]</f>
        <v>0.6578948603591106</v>
      </c>
      <c r="BQ45" s="345">
        <f>Table25[[#This Row],[Total Control Bu MOSFET Loss]]+Table25[[#This Row],[Total Sync Bu MOSFET Loss]]+Table25[[#This Row],[Total Control Bo MOSFET Loss]]+Table25[[#This Row],[Total Sync Bo MOSFET Loss]]+Table25[[#This Row],[Reverse Recovery Loss MOSFET D BUCK]]+Table25[[#This Row],[Reverse Recovery Loss MOSFET D BOOST]]</f>
        <v>1.333751918860165</v>
      </c>
      <c r="BR45" s="345">
        <f xml:space="preserve"> Table25[[#This Row],[Total Control Bu MOSFET Loss]]+Table25[[#This Row],[Reverse Recovery Loss MOSFET D BUCK]]*0.66</f>
        <v>0.29876217463240151</v>
      </c>
      <c r="BS45" s="345">
        <f>Table25[[#This Row],[Total Sync Bu MOSFET Loss]]+Table25[[#This Row],[Reverse Recovery Loss MOSFET D BUCK]]*0.33</f>
        <v>0.18108153463240148</v>
      </c>
      <c r="BT45" s="345">
        <f xml:space="preserve"> Table25[[#This Row],[Total Control Bo MOSFET Loss]]+Table25[[#This Row],[Reverse Recovery Loss MOSFET D BOOST]]*0.66</f>
        <v>0.54304873740711901</v>
      </c>
      <c r="BU45" s="345">
        <f xml:space="preserve"> Table25[[#This Row],[Total Sync Bo MOSFET Loss]]+Table25[[#This Row],[Reverse Recovery Loss MOSFET D BOOST]]*0.33</f>
        <v>0.30372731218824306</v>
      </c>
      <c r="BV45" s="345">
        <f>Table25[[#This Row],[Isense Shunt Loss]]</f>
        <v>2.3167013284868695E-2</v>
      </c>
      <c r="CA45" s="253">
        <v>9.9979859999999992</v>
      </c>
      <c r="CB45" s="253">
        <v>5.4960000000000004</v>
      </c>
      <c r="CC45" s="253">
        <v>5.1097890000000001</v>
      </c>
      <c r="CD45" s="253">
        <v>93.599771362833366</v>
      </c>
      <c r="CE45" s="253">
        <v>1920.3056923499939</v>
      </c>
    </row>
    <row r="46" spans="1:83" x14ac:dyDescent="0.2">
      <c r="A46" s="705" t="s">
        <v>234</v>
      </c>
      <c r="B46" s="569">
        <f>Vsd_Q1</f>
        <v>0.75</v>
      </c>
      <c r="C46" s="697" t="s">
        <v>0</v>
      </c>
      <c r="G46" s="253">
        <v>37</v>
      </c>
      <c r="H46" s="286">
        <f t="shared" si="5"/>
        <v>12</v>
      </c>
      <c r="I46" s="292" t="str">
        <f>IF(Mode = 2,IF(Table25[[#This Row],[Vin]]&gt;Vout, "BUCK","BOOST"),IF(Table25[[#This Row],[Vin]]&gt;VIN_BB_to_buck, "BUCK", IF(Table25[[#This Row],[Vin]]&lt;=VIN_boost_to_BB,"BOOST","BUCK-BST")))</f>
        <v>BOOST</v>
      </c>
      <c r="J46" s="253">
        <f>IF(Table25[[#This Row],[Mode]]="BOOST",2, IF(Table25[[#This Row],[Mode]]="BUCK", 1,3))</f>
        <v>2</v>
      </c>
      <c r="K46" s="345">
        <f t="shared" si="7"/>
        <v>2.96</v>
      </c>
      <c r="L46" s="292">
        <f>Vout*Table25[[#This Row],[Iout]]/(Table25[[#This Row],[Vin]]*Efficiency)</f>
        <v>4.1543859649122812</v>
      </c>
      <c r="M46" s="682">
        <f>CHOOSE(Table25[[#This Row],[Mode Digit]],(Vout+(Rdson2+Rs+Rdcr)*Table25[[#This Row],[Iout]])/(Table25[[#This Row],[Vin]]+(Rs+Rdson2-Rdson1)*Table25[[#This Row],[Iout]])/Fsw,(Vout+(Rdson3+Rdcr)*Table25[[#This Row],[Iin]]-Table25[[#This Row],[Vin]])/(Vout+(Rdson3-Rdson4-Rs)*Table25[[#This Row],[Iin]])/Fsw,t1_Ph_II)</f>
        <v>6.3272525373732684E-7</v>
      </c>
      <c r="N46" s="518">
        <f>CHOOSE(Table25[[#This Row],[Mode Digit]],1/Fsw-Table25[[#This Row],[t1_Ph_II]],1/Fsw-Table25[[#This Row],[t1_Ph_II]],(Vout/Fsw-Table25[[#This Row],[Vin]]*t1_Ph_II)/(Table25[[#This Row],[Vin]]+Vout))</f>
        <v>1.8798375603330251E-6</v>
      </c>
      <c r="O46" s="518">
        <f>1/Fsw-(Table25[[#This Row],[t1_Ph_II]]+Table25[[#This Row],[t2_Ph_I]])</f>
        <v>0</v>
      </c>
      <c r="P46"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2.0453017857878586</v>
      </c>
      <c r="Q46" s="292">
        <f>CHOOSE(Table25[[#This Row],[Mode Digit]],Table25[[#This Row],[I_0]]+1/Lf*(Table25[[#This Row],[Vin]]-Vout)*Table25[[#This Row],[t1_Ph_II]],Table25[[#This Row],[I_0]]+1/Lf*Table25[[#This Row],[Vin]]*Table25[[#This Row],[t1_Ph_II]],Table25[[#This Row],[I_0]]+(Table25[[#This Row],[Vin]]-Vout)/L*Table25[[#This Row],[t1_Ph_II]])</f>
        <v>6.2634701440367042</v>
      </c>
      <c r="R46" s="292">
        <f>CHOOSE(Table25[[#This Row],[Mode Digit]],0,0,Table25[[#This Row],[I_1]]+Table25[[#This Row],[Vin]]/L*Table25[[#This Row],[t2_Ph_I]])</f>
        <v>0</v>
      </c>
      <c r="S46" s="292">
        <f>Fsw*(Table25[[#This Row],[I_0]]*Table25[[#This Row],[t1_Ph_II]]+Table25[[#This Row],[I_1]]*Table25[[#This Row],[t2_Ph_I]]+Table25[[#This Row],[I_2]]*Table25[[#This Row],[t3_Ph_III]])</f>
        <v>5.2012313694143586</v>
      </c>
      <c r="T46" s="345">
        <f>CHOOSE(Table25[[#This Row],[Mode Digit]],(Vout+(Rdson2+Rs+Rdcr)*Table25[[#This Row],[Iout]])/(Table25[[#This Row],[Vin]]+(Rs+Rdson2-Rdson1)*Table25[[#This Row],[Iout]]),1,Fsw*Table25[[#This Row],[t2_Ph_I]]+Table25[[#This Row],[t1_Ph_II]])</f>
        <v>1</v>
      </c>
      <c r="U46" s="345">
        <f>CHOOSE(Table25[[#This Row],[Mode Digit]],0,(Vout+(Rdson3+Rdcr)*Table25[[#This Row],[Iin]]-Table25[[#This Row],[Vin]])/(Vout+(Rdson3-Rdson4-Rs)*Table25[[#This Row],[Iin]]),Fsw*Table25[[#This Row],[t1_Ph_II]]+Table25[[#This Row],[t3_Ph_III]])</f>
        <v>0.2518246509874561</v>
      </c>
      <c r="V46" s="292">
        <f>MAX(Table25[[#This Row],[I_0]:[I_2]])-MIN(Table25[[#This Row],[I_0]:[I_1]])</f>
        <v>4.2181683582488461</v>
      </c>
      <c r="W46"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4.3291648275009269</v>
      </c>
      <c r="X46" s="345">
        <f>(Table25[[#This Row],[Irms Lf]]^2*Rdcr*(1+Ltc*Ta-Ltc*25))/(1-Table25[[#This Row],[Irms Lf]]^2*Rdcr*Ltc*ThetaCa)</f>
        <v>6.0262469246364726E-2</v>
      </c>
      <c r="Y46" s="345">
        <f>ABS(7.759*10^-3*Fsw^0.9458*(0.00787*Table25[[#This Row],[Ripple Current pk-pk]])^2.304)</f>
        <v>0.60087817854277314</v>
      </c>
      <c r="Z46" s="345">
        <f>Table25[[#This Row],[DCR    Loss]]+Table25[[#This Row],[Core Loss]]</f>
        <v>0.66114064778913784</v>
      </c>
      <c r="AA46" s="292">
        <f>IF(Table25[[#This Row],[Vin]]&gt;Vout, Table25[[#This Row],[Ripple Current pk-pk]]/SQRT(12), SQRT(Table25[[#This Row],[Duty Cycle BOOST Leg]]/(1-Table25[[#This Row],[Duty Cycle BOOST Leg]]))*SQRT(Table25[[#This Row],[Iout]]^2+(Table25[[#This Row],[Ripple Current pk-pk]]^2)/12))</f>
        <v>1.8569043278062873</v>
      </c>
      <c r="AB46" s="345">
        <f>RCoutEsr*Table25[[#This Row],[Irms Cout]]^2</f>
        <v>6.89618736525144E-3</v>
      </c>
      <c r="AC46" s="345">
        <f>Table25[[#This Row],[Cout ESR Loss]]</f>
        <v>6.89618736525144E-3</v>
      </c>
      <c r="AD46" s="292">
        <f>IF(Table25[[#This Row],[Vin]]&gt;Vout, SQRT(Table25[[#This Row],[Duty Cycle BUCK Leg]]*(1-Table25[[#This Row],[Duty Cycle BUCK Leg]]))*SQRT(Table25[[#This Row],[Iout]]^2+(Table25[[#This Row],[Ripple Current pk-pk]]^2)/12), Table25[[#This Row],[Ripple Current pk-pk]]/SQRT(12))</f>
        <v>1.2176803185610665</v>
      </c>
      <c r="AE46" s="345">
        <f>RCinEsr*Table25[[#This Row],[Irms Cin]]^2</f>
        <v>2.9654907164219607E-3</v>
      </c>
      <c r="AF46" s="683">
        <f>Table25[[#This Row],[Cin ESR Loss]]</f>
        <v>2.9654907164219607E-3</v>
      </c>
      <c r="AG46" s="345">
        <f>Table25[[#This Row],[Irms Lf]]</f>
        <v>4.3291648275009269</v>
      </c>
      <c r="AH46" s="345">
        <f>Rdson1*Table25[[#This Row],[Irms BuCtrl]]^2</f>
        <v>6.5595838362848963E-2</v>
      </c>
      <c r="AI46" s="345">
        <f>CHOOSE(Table25[[#This Row],[Mode Digit]], (Table25[[#This Row],[Vin]]*Table25[[#This Row],[Iout]]/2)*(Fsw)*(Tr_buck+Tf_buck), 0, (Table25[[#This Row],[Vin]]*Table25[[#This Row],[Avg IL]]/2)*(Fsw/1)*(Tr_buck+Tf_buck))</f>
        <v>0</v>
      </c>
      <c r="AJ46" s="253">
        <f>IF(Table25[[#This Row],[Vin]]&gt;Vout, IF(Table25[[#This Row],[Iout]]&gt;Table25[[#This Row],[Ripple Current pk-pk]]/2,0,ABS(Table25[[#This Row],[Iout]]-Table25[[#This Row],[Ripple Current pk-pk]]/2)*Vsd_Q1*Deadtime*Fsw),0)</f>
        <v>0</v>
      </c>
      <c r="AK46" s="345">
        <f>(Table25[[#This Row],[Dead Time Loss BuCtrl]]+Table25[[#This Row],[Transition Loss BuCtrl]]+Table25[[#This Row],[RDS(on) Loss BuCtrl]]*(1+RdsonTopTc*Ta-RdsonTopTc*25))/(1-Table25[[#This Row],[RDS(on) Loss BuCtrl]]*RdsonTopTc*ThetaJA_Q1)</f>
        <v>6.6733980933775736E-2</v>
      </c>
      <c r="AL46" s="345">
        <f>Table25[[#This Row],[Irms Lf]]</f>
        <v>4.3291648275009269</v>
      </c>
      <c r="AM46" s="345">
        <f>Rdson2*Table25[[#This Row],[Irms BuSync]]^2</f>
        <v>6.5595838362848963E-2</v>
      </c>
      <c r="AN46"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46" s="345">
        <f>(Table25[[#This Row],[Deadtime Loss BuSync]]+Table25[[#This Row],[RDS(on) Loss BuSync]]*(1+RdsonBotTc*Ta-RdsonBotTc*25))/(1-Table25[[#This Row],[RDS(on) Loss BuSync]]*RdsonBotTc*ThetaJA_Q2)</f>
        <v>6.6733980933775736E-2</v>
      </c>
      <c r="AP46" s="345">
        <f>Table25[[#This Row],[Irms Lf]]</f>
        <v>4.3291648275009269</v>
      </c>
      <c r="AQ46" s="345">
        <f>Rdson4*Table25[[#This Row],[Irms BoCtlr]]^2</f>
        <v>6.5595838362848963E-2</v>
      </c>
      <c r="AR46" s="345">
        <f>CHOOSE(Table25[[#This Row],[Mode Digit]], 0, (Vout*Table25[[#This Row],[Iin]]/2)*(Fsw)*(Tr_boost+Tf_boost), (Vout*Iout/2)*(Fsw/1)*(Tr_boost+Tf_boost))</f>
        <v>0.24700068390266736</v>
      </c>
      <c r="AS46" s="345">
        <f>IF(Table25[[#This Row],[Vin]]&gt;Vout, 0, IF(Table25[[#This Row],[Iin]]&gt;Table25[[#This Row],[Ripple Current pk-pk]]/2,0,ABS(Table25[[#This Row],[Iin]]-Table25[[#This Row],[Ripple Current pk-pk]]/2)*Vsd_Q4*Deadtime*Fsw))</f>
        <v>0</v>
      </c>
      <c r="AT46" s="345">
        <f>(Table25[[#This Row],[Dead Time Loss BoCtlr]]+Table25[[#This Row],[Transition Loss BoCtlr]]+Table25[[#This Row],[RDS(on) Loss BoCtlr]]*(1+RdsonTopTc*Ta-RdsonTopTc*25))/(1-Table25[[#This Row],[RDS(on) Loss BoCtlr]]*RdsonTopTc*ThetaJA_Q4)</f>
        <v>0.31802033295829252</v>
      </c>
      <c r="AU46" s="345">
        <f>Table25[[#This Row],[Irms Lf]]</f>
        <v>4.3291648275009269</v>
      </c>
      <c r="AV46" s="345">
        <f>Rdson3*Table25[[#This Row],[Irms BoSync]]^2</f>
        <v>6.5595838362848963E-2</v>
      </c>
      <c r="AW46"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0.12400842105263157</v>
      </c>
      <c r="AX46" s="345">
        <f>(Table25[[#This Row],[Deadtime Loss BoSync]]+Table25[[#This Row],[RDS(on) Loss BoSync]]*(1+RdsonBotTc*Ta-RdsonBotTc*25))/(1-Table25[[#This Row],[RDS(on) Loss BoSync]]*RdsonBotTc*ThetaJA_Q3)</f>
        <v>0.19289405164400733</v>
      </c>
      <c r="AY46" s="345">
        <f>CHOOSE(Table25[[#This Row],[Mode Digit]], Rdson3*Table25[[#This Row],[Irms Lf]]^2, Rdson1*Table25[[#This Row],[Irms Lf]]^2, 0)</f>
        <v>6.5595838362848963E-2</v>
      </c>
      <c r="AZ46" s="345">
        <f>CHOOSE(Table25[[#This Row],[Mode Digit]], 2*Deadtime*Fsw*IF(VfdSky_Q2&gt;0,VfdSky_Q2,0)*Table25[[#This Row],[Iout]], 2*Deadtime*Fsw*IF(VfdSky_Q3&gt;0,VfdSky_Q3,0)*Table25[[#This Row],[Iin]], 2*Deadtime*Fsw*IF(VfdSky_Q2&gt;0,VfdSky_Q2,0)*Table25[[#This Row],[Iout]]+2*Deadtime*Fsw*IF(VfdSky_Q3&gt;0,VfdSky_Q3,0)*Table25[[#This Row],[Iin]])</f>
        <v>0</v>
      </c>
      <c r="BA46"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46"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46" s="345">
        <f>CHOOSE(Table25[[#This Row],[Mode Digit]], Rs*Table25[[#This Row],[Irms BuSync]]^2, Rs*Table25[[#This Row],[Irms BoCtlr]]^2, Rs*(Table25[[#This Row],[Irms BuSync]]^2+Table25[[#This Row],[Irms BoCtlr]]^2))</f>
        <v>2.4364168534772468E-2</v>
      </c>
      <c r="BD46" s="345">
        <f t="shared" si="6"/>
        <v>0.64</v>
      </c>
      <c r="BE46" s="345">
        <f>IF(Vout&gt;8, Iq*Vout, Iq*Table25[[#This Row],[Vin]])</f>
        <v>4.8000000000000001E-2</v>
      </c>
      <c r="BF46" s="345">
        <f>CHOOSE(Table25[[#This Row],[Mode Digit]], (Qg_Q1+Qg_Q2)*Fsw, (Qg_Q3+Qg_Q4)*Fsw, (Qg_Q1+Qg_Q2+Qg_Q3+Qg_Q4)*Fsw)*IF(Vout&gt;8,  MIN( Table25[[#This Row],[Vin]], Vout), Table25[[#This Row],[Vin]])</f>
        <v>0.63998400000000011</v>
      </c>
      <c r="BG46" s="345">
        <f t="shared" si="4"/>
        <v>0.50594479787234037</v>
      </c>
      <c r="BH46" s="345">
        <f>Table25[[#This Row],[IQ Loss]]+Table25[[#This Row],[Switching Current Loss]]</f>
        <v>0.68798400000000015</v>
      </c>
      <c r="BI46"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3.3809488408754356</v>
      </c>
      <c r="BJ46" s="253">
        <f>Vout*Table25[[#This Row],[Iout]]</f>
        <v>47.36</v>
      </c>
      <c r="BK46" s="684">
        <f>Table25[[#This Row],[Pout]]/(Table25[[#This Row],[Pout]]+Table25[[#This Row],[Total Loss]])</f>
        <v>0.93336843480246789</v>
      </c>
      <c r="BL46" s="685">
        <f>IF(Table25[[#This Row],[Vin]]&gt;Vout,ThetaJA_Q1*(Table25[[#This Row],[Total Control Bu MOSFET Loss]]+Table25[[#This Row],[Reverse Recovery Loss MOSFET D BUCK]]),ThetaJA_Q4*(Table25[[#This Row],[Total Control Bo MOSFET Loss]]+Table25[[#This Row],[Reverse Recovery Loss MOSFET D BOOST]]))</f>
        <v>43.850841642289012</v>
      </c>
      <c r="BM46" s="685">
        <f>IF(Table25[[#This Row],[Vin]]&gt;Vout, Table25[[#This Row],[Total Sync Bu MOSFET Loss]]*ThetaJA_Q2, ThetaJA_Q3*Table25[[#This Row],[Total Sync Bo MOSFET Loss]])</f>
        <v>12.538113356860476</v>
      </c>
      <c r="BN46" s="640"/>
      <c r="BO46" s="292">
        <f>Table25[[#This Row],[EFF, h]]*100</f>
        <v>93.336843480246785</v>
      </c>
      <c r="BP46" s="345">
        <f>Table25[[#This Row],[Total Inductor Loss]]</f>
        <v>0.66114064778913784</v>
      </c>
      <c r="BQ46" s="345">
        <f>Table25[[#This Row],[Total Control Bu MOSFET Loss]]+Table25[[#This Row],[Total Sync Bu MOSFET Loss]]+Table25[[#This Row],[Total Control Bo MOSFET Loss]]+Table25[[#This Row],[Total Sync Bo MOSFET Loss]]+Table25[[#This Row],[Reverse Recovery Loss MOSFET D BUCK]]+Table25[[#This Row],[Reverse Recovery Loss MOSFET D BOOST]]</f>
        <v>1.3575983464698513</v>
      </c>
      <c r="BR46" s="345">
        <f xml:space="preserve"> Table25[[#This Row],[Total Control Bu MOSFET Loss]]+Table25[[#This Row],[Reverse Recovery Loss MOSFET D BUCK]]*0.66</f>
        <v>0.30209526093377576</v>
      </c>
      <c r="BS46" s="345">
        <f>Table25[[#This Row],[Total Sync Bu MOSFET Loss]]+Table25[[#This Row],[Reverse Recovery Loss MOSFET D BUCK]]*0.33</f>
        <v>0.18441462093377575</v>
      </c>
      <c r="BT46" s="345">
        <f xml:space="preserve"> Table25[[#This Row],[Total Control Bo MOSFET Loss]]+Table25[[#This Row],[Reverse Recovery Loss MOSFET D BOOST]]*0.66</f>
        <v>0.55338161295829247</v>
      </c>
      <c r="BU46" s="345">
        <f xml:space="preserve"> Table25[[#This Row],[Total Sync Bo MOSFET Loss]]+Table25[[#This Row],[Reverse Recovery Loss MOSFET D BOOST]]*0.33</f>
        <v>0.31057469164400731</v>
      </c>
      <c r="BV46" s="345">
        <f>Table25[[#This Row],[Isense Shunt Loss]]</f>
        <v>2.4364168534772468E-2</v>
      </c>
      <c r="CA46" s="253">
        <v>9.9978999999999996</v>
      </c>
      <c r="CB46" s="253">
        <v>6.1950000000000003</v>
      </c>
      <c r="CC46" s="253">
        <v>5.109191</v>
      </c>
      <c r="CD46" s="253">
        <v>93.156651672159526</v>
      </c>
      <c r="CE46" s="253">
        <v>2325.1351758999972</v>
      </c>
    </row>
    <row r="47" spans="1:83" ht="17" x14ac:dyDescent="0.35">
      <c r="A47" s="691" t="s">
        <v>607</v>
      </c>
      <c r="B47" s="569">
        <f>ThetaJA_Q1</f>
        <v>65</v>
      </c>
      <c r="C47" s="259" t="s">
        <v>236</v>
      </c>
      <c r="D47" s="255" t="s">
        <v>105</v>
      </c>
      <c r="G47" s="253">
        <v>38</v>
      </c>
      <c r="H47" s="286">
        <f t="shared" si="5"/>
        <v>12</v>
      </c>
      <c r="I47" s="292" t="str">
        <f>IF(Mode = 2,IF(Table25[[#This Row],[Vin]]&gt;Vout, "BUCK","BOOST"),IF(Table25[[#This Row],[Vin]]&gt;VIN_BB_to_buck, "BUCK", IF(Table25[[#This Row],[Vin]]&lt;=VIN_boost_to_BB,"BOOST","BUCK-BST")))</f>
        <v>BOOST</v>
      </c>
      <c r="J47" s="253">
        <f>IF(Table25[[#This Row],[Mode]]="BOOST",2, IF(Table25[[#This Row],[Mode]]="BUCK", 1,3))</f>
        <v>2</v>
      </c>
      <c r="K47" s="345">
        <f t="shared" si="7"/>
        <v>3.04</v>
      </c>
      <c r="L47" s="292">
        <f>Vout*Table25[[#This Row],[Iout]]/(Table25[[#This Row],[Vin]]*Efficiency)</f>
        <v>4.2666666666666675</v>
      </c>
      <c r="M47" s="682">
        <f>CHOOSE(Table25[[#This Row],[Mode Digit]],(Vout+(Rdson2+Rs+Rdcr)*Table25[[#This Row],[Iout]])/(Table25[[#This Row],[Vin]]+(Rs+Rdson2-Rdson1)*Table25[[#This Row],[Iout]])/Fsw,(Vout+(Rdson3+Rdcr)*Table25[[#This Row],[Iin]]-Table25[[#This Row],[Vin]])/(Vout+(Rdson3-Rdson4-Rs)*Table25[[#This Row],[Iin]])/Fsw,t1_Ph_II)</f>
        <v>6.328492034692629E-7</v>
      </c>
      <c r="N47" s="518">
        <f>CHOOSE(Table25[[#This Row],[Mode Digit]],1/Fsw-Table25[[#This Row],[t1_Ph_II]],1/Fsw-Table25[[#This Row],[t1_Ph_II]],(Vout/Fsw-Table25[[#This Row],[Vin]]*t1_Ph_II)/(Table25[[#This Row],[Vin]]+Vout))</f>
        <v>1.8797136106010889E-6</v>
      </c>
      <c r="O47" s="518">
        <f>1/Fsw-(Table25[[#This Row],[t1_Ph_II]]+Table25[[#This Row],[t2_Ph_I]])</f>
        <v>0</v>
      </c>
      <c r="P47"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2.1571693217691248</v>
      </c>
      <c r="Q47" s="292">
        <f>CHOOSE(Table25[[#This Row],[Mode Digit]],Table25[[#This Row],[I_0]]+1/Lf*(Table25[[#This Row],[Vin]]-Vout)*Table25[[#This Row],[t1_Ph_II]],Table25[[#This Row],[I_0]]+1/Lf*Table25[[#This Row],[Vin]]*Table25[[#This Row],[t1_Ph_II]],Table25[[#This Row],[I_0]]+(Table25[[#This Row],[Vin]]-Vout)/L*Table25[[#This Row],[t1_Ph_II]])</f>
        <v>6.3761640115642102</v>
      </c>
      <c r="R47" s="292">
        <f>CHOOSE(Table25[[#This Row],[Mode Digit]],0,0,Table25[[#This Row],[I_1]]+Table25[[#This Row],[Vin]]/L*Table25[[#This Row],[t2_Ph_I]])</f>
        <v>0</v>
      </c>
      <c r="S47" s="292">
        <f>Fsw*(Table25[[#This Row],[I_0]]*Table25[[#This Row],[t1_Ph_II]]+Table25[[#This Row],[I_1]]*Table25[[#This Row],[t2_Ph_I]]+Table25[[#This Row],[I_2]]*Table25[[#This Row],[t3_Ph_III]])</f>
        <v>5.3135090148708173</v>
      </c>
      <c r="T47" s="345">
        <f>CHOOSE(Table25[[#This Row],[Mode Digit]],(Vout+(Rdson2+Rs+Rdcr)*Table25[[#This Row],[Iout]])/(Table25[[#This Row],[Vin]]+(Rs+Rdson2-Rdson1)*Table25[[#This Row],[Iout]]),1,Fsw*Table25[[#This Row],[t2_Ph_I]]+Table25[[#This Row],[t1_Ph_II]])</f>
        <v>1</v>
      </c>
      <c r="U47" s="345">
        <f>CHOOSE(Table25[[#This Row],[Mode Digit]],0,(Vout+(Rdson3+Rdcr)*Table25[[#This Row],[Iin]]-Table25[[#This Row],[Vin]])/(Vout+(Rdson3-Rdson4-Rs)*Table25[[#This Row],[Iin]]),Fsw*Table25[[#This Row],[t1_Ph_II]]+Table25[[#This Row],[t3_Ph_III]])</f>
        <v>0.25187398298076663</v>
      </c>
      <c r="V47" s="292">
        <f>MAX(Table25[[#This Row],[I_0]:[I_2]])-MIN(Table25[[#This Row],[I_0]:[I_1]])</f>
        <v>4.2189946897950854</v>
      </c>
      <c r="W47"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4.4370903522264502</v>
      </c>
      <c r="X47" s="345">
        <f>(Table25[[#This Row],[Irms Lf]]^2*Rdcr*(1+Ltc*Ta-Ltc*25))/(1-Table25[[#This Row],[Irms Lf]]^2*Rdcr*Ltc*ThetaCa)</f>
        <v>6.3320003748667072E-2</v>
      </c>
      <c r="Y47" s="345">
        <f>ABS(7.759*10^-3*Fsw^0.9458*(0.00787*Table25[[#This Row],[Ripple Current pk-pk]])^2.304)</f>
        <v>0.60114941920657483</v>
      </c>
      <c r="Z47" s="345">
        <f>Table25[[#This Row],[DCR    Loss]]+Table25[[#This Row],[Core Loss]]</f>
        <v>0.66446942295524192</v>
      </c>
      <c r="AA47" s="292">
        <f>IF(Table25[[#This Row],[Vin]]&gt;Vout, Table25[[#This Row],[Ripple Current pk-pk]]/SQRT(12), SQRT(Table25[[#This Row],[Duty Cycle BOOST Leg]]/(1-Table25[[#This Row],[Duty Cycle BOOST Leg]]))*SQRT(Table25[[#This Row],[Iout]]^2+(Table25[[#This Row],[Ripple Current pk-pk]]^2)/12))</f>
        <v>1.9002092817227514</v>
      </c>
      <c r="AB47" s="345">
        <f>RCoutEsr*Table25[[#This Row],[Irms Cout]]^2</f>
        <v>7.2215906286905891E-3</v>
      </c>
      <c r="AC47" s="345">
        <f>Table25[[#This Row],[Cout ESR Loss]]</f>
        <v>7.2215906286905891E-3</v>
      </c>
      <c r="AD47" s="292">
        <f>IF(Table25[[#This Row],[Vin]]&gt;Vout, SQRT(Table25[[#This Row],[Duty Cycle BUCK Leg]]*(1-Table25[[#This Row],[Duty Cycle BUCK Leg]]))*SQRT(Table25[[#This Row],[Iout]]^2+(Table25[[#This Row],[Ripple Current pk-pk]]^2)/12), Table25[[#This Row],[Ripple Current pk-pk]]/SQRT(12))</f>
        <v>1.2179188599313973</v>
      </c>
      <c r="AE47" s="345">
        <f>RCinEsr*Table25[[#This Row],[Irms Cin]]^2</f>
        <v>2.9666526987531892E-3</v>
      </c>
      <c r="AF47" s="683">
        <f>Table25[[#This Row],[Cin ESR Loss]]</f>
        <v>2.9666526987531892E-3</v>
      </c>
      <c r="AG47" s="345">
        <f>Table25[[#This Row],[Irms Lf]]</f>
        <v>4.4370903522264502</v>
      </c>
      <c r="AH47" s="345">
        <f>Rdson1*Table25[[#This Row],[Irms BuCtrl]]^2</f>
        <v>6.8907197778373661E-2</v>
      </c>
      <c r="AI47" s="345">
        <f>CHOOSE(Table25[[#This Row],[Mode Digit]], (Table25[[#This Row],[Vin]]*Table25[[#This Row],[Iout]]/2)*(Fsw)*(Tr_buck+Tf_buck), 0, (Table25[[#This Row],[Vin]]*Table25[[#This Row],[Avg IL]]/2)*(Fsw/1)*(Tr_buck+Tf_buck))</f>
        <v>0</v>
      </c>
      <c r="AJ47" s="253">
        <f>IF(Table25[[#This Row],[Vin]]&gt;Vout, IF(Table25[[#This Row],[Iout]]&gt;Table25[[#This Row],[Ripple Current pk-pk]]/2,0,ABS(Table25[[#This Row],[Iout]]-Table25[[#This Row],[Ripple Current pk-pk]]/2)*Vsd_Q1*Deadtime*Fsw),0)</f>
        <v>0</v>
      </c>
      <c r="AK47" s="345">
        <f>(Table25[[#This Row],[Dead Time Loss BuCtrl]]+Table25[[#This Row],[Transition Loss BuCtrl]]+Table25[[#This Row],[RDS(on) Loss BuCtrl]]*(1+RdsonTopTc*Ta-RdsonTopTc*25))/(1-Table25[[#This Row],[RDS(on) Loss BuCtrl]]*RdsonTopTc*ThetaJA_Q1)</f>
        <v>7.0164251486452278E-2</v>
      </c>
      <c r="AL47" s="345">
        <f>Table25[[#This Row],[Irms Lf]]</f>
        <v>4.4370903522264502</v>
      </c>
      <c r="AM47" s="345">
        <f>Rdson2*Table25[[#This Row],[Irms BuSync]]^2</f>
        <v>6.8907197778373661E-2</v>
      </c>
      <c r="AN47"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47" s="345">
        <f>(Table25[[#This Row],[Deadtime Loss BuSync]]+Table25[[#This Row],[RDS(on) Loss BuSync]]*(1+RdsonBotTc*Ta-RdsonBotTc*25))/(1-Table25[[#This Row],[RDS(on) Loss BuSync]]*RdsonBotTc*ThetaJA_Q2)</f>
        <v>7.0164251486452278E-2</v>
      </c>
      <c r="AP47" s="345">
        <f>Table25[[#This Row],[Irms Lf]]</f>
        <v>4.4370903522264502</v>
      </c>
      <c r="AQ47" s="345">
        <f>Rdson4*Table25[[#This Row],[Irms BoCtlr]]^2</f>
        <v>6.8907197778373661E-2</v>
      </c>
      <c r="AR47" s="345">
        <f>CHOOSE(Table25[[#This Row],[Mode Digit]], 0, (Vout*Table25[[#This Row],[Iin]]/2)*(Fsw)*(Tr_boost+Tf_boost), (Vout*Iout/2)*(Fsw/1)*(Tr_boost+Tf_boost))</f>
        <v>0.25367637806219895</v>
      </c>
      <c r="AS47" s="345">
        <f>IF(Table25[[#This Row],[Vin]]&gt;Vout, 0, IF(Table25[[#This Row],[Iin]]&gt;Table25[[#This Row],[Ripple Current pk-pk]]/2,0,ABS(Table25[[#This Row],[Iin]]-Table25[[#This Row],[Ripple Current pk-pk]]/2)*Vsd_Q4*Deadtime*Fsw))</f>
        <v>0</v>
      </c>
      <c r="AT47" s="345">
        <f>(Table25[[#This Row],[Dead Time Loss BoCtlr]]+Table25[[#This Row],[Transition Loss BoCtlr]]+Table25[[#This Row],[RDS(on) Loss BoCtlr]]*(1+RdsonTopTc*Ta-RdsonTopTc*25))/(1-Table25[[#This Row],[RDS(on) Loss BoCtlr]]*RdsonTopTc*ThetaJA_Q4)</f>
        <v>0.32846837297714865</v>
      </c>
      <c r="AU47" s="345">
        <f>Table25[[#This Row],[Irms Lf]]</f>
        <v>4.4370903522264502</v>
      </c>
      <c r="AV47" s="345">
        <f>Rdson3*Table25[[#This Row],[Irms BoSync]]^2</f>
        <v>6.8907197778373661E-2</v>
      </c>
      <c r="AW47"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0.12736</v>
      </c>
      <c r="AX47" s="345">
        <f>(Table25[[#This Row],[Deadtime Loss BoSync]]+Table25[[#This Row],[RDS(on) Loss BoSync]]*(1+RdsonBotTc*Ta-RdsonBotTc*25))/(1-Table25[[#This Row],[RDS(on) Loss BoSync]]*RdsonBotTc*ThetaJA_Q3)</f>
        <v>0.19984764244447406</v>
      </c>
      <c r="AY47" s="345">
        <f>CHOOSE(Table25[[#This Row],[Mode Digit]], Rdson3*Table25[[#This Row],[Irms Lf]]^2, Rdson1*Table25[[#This Row],[Irms Lf]]^2, 0)</f>
        <v>6.8907197778373661E-2</v>
      </c>
      <c r="AZ47" s="345">
        <f>CHOOSE(Table25[[#This Row],[Mode Digit]], 2*Deadtime*Fsw*IF(VfdSky_Q2&gt;0,VfdSky_Q2,0)*Table25[[#This Row],[Iout]], 2*Deadtime*Fsw*IF(VfdSky_Q3&gt;0,VfdSky_Q3,0)*Table25[[#This Row],[Iin]], 2*Deadtime*Fsw*IF(VfdSky_Q2&gt;0,VfdSky_Q2,0)*Table25[[#This Row],[Iout]]+2*Deadtime*Fsw*IF(VfdSky_Q3&gt;0,VfdSky_Q3,0)*Table25[[#This Row],[Iin]])</f>
        <v>0</v>
      </c>
      <c r="BA47"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47"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47" s="345">
        <f>CHOOSE(Table25[[#This Row],[Mode Digit]], Rs*Table25[[#This Row],[Irms BuSync]]^2, Rs*Table25[[#This Row],[Irms BoCtlr]]^2, Rs*(Table25[[#This Row],[Irms BuSync]]^2+Table25[[#This Row],[Irms BoCtlr]]^2))</f>
        <v>2.5594102031967356E-2</v>
      </c>
      <c r="BD47" s="345">
        <f t="shared" si="6"/>
        <v>0.64</v>
      </c>
      <c r="BE47" s="345">
        <f>IF(Vout&gt;8, Iq*Vout, Iq*Table25[[#This Row],[Vin]])</f>
        <v>4.8000000000000001E-2</v>
      </c>
      <c r="BF47" s="345">
        <f>CHOOSE(Table25[[#This Row],[Mode Digit]], (Qg_Q1+Qg_Q2)*Fsw, (Qg_Q3+Qg_Q4)*Fsw, (Qg_Q1+Qg_Q2+Qg_Q3+Qg_Q4)*Fsw)*IF(Vout&gt;8,  MIN( Table25[[#This Row],[Vin]], Vout), Table25[[#This Row],[Vin]])</f>
        <v>0.63998400000000011</v>
      </c>
      <c r="BG47" s="345">
        <f t="shared" si="4"/>
        <v>0.50594479787234037</v>
      </c>
      <c r="BH47" s="345">
        <f>Table25[[#This Row],[IQ Loss]]+Table25[[#This Row],[Switching Current Loss]]</f>
        <v>0.68798400000000015</v>
      </c>
      <c r="BI47"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3.4100962867091806</v>
      </c>
      <c r="BJ47" s="253">
        <f>Vout*Table25[[#This Row],[Iout]]</f>
        <v>48.64</v>
      </c>
      <c r="BK47" s="684">
        <f>Table25[[#This Row],[Pout]]/(Table25[[#This Row],[Pout]]+Table25[[#This Row],[Total Loss]])</f>
        <v>0.93448434239342726</v>
      </c>
      <c r="BL47" s="685">
        <f>IF(Table25[[#This Row],[Vin]]&gt;Vout,ThetaJA_Q1*(Table25[[#This Row],[Total Control Bu MOSFET Loss]]+Table25[[#This Row],[Reverse Recovery Loss MOSFET D BUCK]]),ThetaJA_Q4*(Table25[[#This Row],[Total Control Bo MOSFET Loss]]+Table25[[#This Row],[Reverse Recovery Loss MOSFET D BOOST]]))</f>
        <v>44.529964243514662</v>
      </c>
      <c r="BM47" s="685">
        <f>IF(Table25[[#This Row],[Vin]]&gt;Vout, Table25[[#This Row],[Total Sync Bu MOSFET Loss]]*ThetaJA_Q2, ThetaJA_Q3*Table25[[#This Row],[Total Sync Bo MOSFET Loss]])</f>
        <v>12.990096758890814</v>
      </c>
      <c r="BN47" s="640"/>
      <c r="BO47" s="292">
        <f>Table25[[#This Row],[EFF, h]]*100</f>
        <v>93.448434239342731</v>
      </c>
      <c r="BP47" s="345">
        <f>Table25[[#This Row],[Total Inductor Loss]]</f>
        <v>0.66446942295524192</v>
      </c>
      <c r="BQ47" s="345">
        <f>Table25[[#This Row],[Total Control Bu MOSFET Loss]]+Table25[[#This Row],[Total Sync Bu MOSFET Loss]]+Table25[[#This Row],[Total Control Bo MOSFET Loss]]+Table25[[#This Row],[Total Sync Bo MOSFET Loss]]+Table25[[#This Row],[Reverse Recovery Loss MOSFET D BUCK]]+Table25[[#This Row],[Reverse Recovery Loss MOSFET D BOOST]]</f>
        <v>1.3818605183945274</v>
      </c>
      <c r="BR47" s="345">
        <f xml:space="preserve"> Table25[[#This Row],[Total Control Bu MOSFET Loss]]+Table25[[#This Row],[Reverse Recovery Loss MOSFET D BUCK]]*0.66</f>
        <v>0.30552553148645228</v>
      </c>
      <c r="BS47" s="345">
        <f>Table25[[#This Row],[Total Sync Bu MOSFET Loss]]+Table25[[#This Row],[Reverse Recovery Loss MOSFET D BUCK]]*0.33</f>
        <v>0.18784489148645228</v>
      </c>
      <c r="BT47" s="345">
        <f xml:space="preserve"> Table25[[#This Row],[Total Control Bo MOSFET Loss]]+Table25[[#This Row],[Reverse Recovery Loss MOSFET D BOOST]]*0.66</f>
        <v>0.56382965297714871</v>
      </c>
      <c r="BU47" s="345">
        <f xml:space="preserve"> Table25[[#This Row],[Total Sync Bo MOSFET Loss]]+Table25[[#This Row],[Reverse Recovery Loss MOSFET D BOOST]]*0.33</f>
        <v>0.31752828244447406</v>
      </c>
      <c r="BV47" s="345">
        <f>Table25[[#This Row],[Isense Shunt Loss]]</f>
        <v>2.5594102031967356E-2</v>
      </c>
      <c r="CA47" s="253">
        <v>9.9976269999999996</v>
      </c>
      <c r="CB47" s="253">
        <v>6.9470000000000001</v>
      </c>
      <c r="CC47" s="253">
        <v>5.1086669999999996</v>
      </c>
      <c r="CD47" s="253">
        <v>92.656807634751772</v>
      </c>
      <c r="CE47" s="253">
        <v>2812.6290012010018</v>
      </c>
    </row>
    <row r="48" spans="1:83" ht="13.6" x14ac:dyDescent="0.25">
      <c r="A48" s="688" t="s">
        <v>687</v>
      </c>
      <c r="B48" s="679" t="s">
        <v>113</v>
      </c>
      <c r="C48" s="688" t="s">
        <v>80</v>
      </c>
      <c r="D48" s="681" t="s">
        <v>109</v>
      </c>
      <c r="G48" s="253">
        <v>39</v>
      </c>
      <c r="H48" s="286">
        <f t="shared" si="5"/>
        <v>12</v>
      </c>
      <c r="I48" s="292" t="str">
        <f>IF(Mode = 2,IF(Table25[[#This Row],[Vin]]&gt;Vout, "BUCK","BOOST"),IF(Table25[[#This Row],[Vin]]&gt;VIN_BB_to_buck, "BUCK", IF(Table25[[#This Row],[Vin]]&lt;=VIN_boost_to_BB,"BOOST","BUCK-BST")))</f>
        <v>BOOST</v>
      </c>
      <c r="J48" s="253">
        <f>IF(Table25[[#This Row],[Mode]]="BOOST",2, IF(Table25[[#This Row],[Mode]]="BUCK", 1,3))</f>
        <v>2</v>
      </c>
      <c r="K48" s="345">
        <f t="shared" si="7"/>
        <v>3.12</v>
      </c>
      <c r="L48" s="292">
        <f>Vout*Table25[[#This Row],[Iout]]/(Table25[[#This Row],[Vin]]*Efficiency)</f>
        <v>4.3789473684210529</v>
      </c>
      <c r="M48" s="682">
        <f>CHOOSE(Table25[[#This Row],[Mode Digit]],(Vout+(Rdson2+Rs+Rdcr)*Table25[[#This Row],[Iout]])/(Table25[[#This Row],[Vin]]+(Rs+Rdson2-Rdson1)*Table25[[#This Row],[Iout]])/Fsw,(Vout+(Rdson3+Rdcr)*Table25[[#This Row],[Iin]]-Table25[[#This Row],[Vin]])/(Vout+(Rdson3-Rdson4-Rs)*Table25[[#This Row],[Iin]])/Fsw,t1_Ph_II)</f>
        <v>6.3297315546354264E-7</v>
      </c>
      <c r="N48" s="518">
        <f>CHOOSE(Table25[[#This Row],[Mode Digit]],1/Fsw-Table25[[#This Row],[t1_Ph_II]],1/Fsw-Table25[[#This Row],[t1_Ph_II]],(Vout/Fsw-Table25[[#This Row],[Vin]]*t1_Ph_II)/(Table25[[#This Row],[Vin]]+Vout))</f>
        <v>1.8795896586068093E-6</v>
      </c>
      <c r="O48" s="518">
        <f>1/Fsw-(Table25[[#This Row],[t1_Ph_II]]+Table25[[#This Row],[t2_Ph_I]])</f>
        <v>0</v>
      </c>
      <c r="P48"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2.2690368502092442</v>
      </c>
      <c r="Q48" s="292">
        <f>CHOOSE(Table25[[#This Row],[Mode Digit]],Table25[[#This Row],[I_0]]+1/Lf*(Table25[[#This Row],[Vin]]-Vout)*Table25[[#This Row],[t1_Ph_II]],Table25[[#This Row],[I_0]]+1/Lf*Table25[[#This Row],[Vin]]*Table25[[#This Row],[t1_Ph_II]],Table25[[#This Row],[I_0]]+(Table25[[#This Row],[Vin]]-Vout)/L*Table25[[#This Row],[t1_Ph_II]])</f>
        <v>6.4888578866328617</v>
      </c>
      <c r="R48" s="292">
        <f>CHOOSE(Table25[[#This Row],[Mode Digit]],0,0,Table25[[#This Row],[I_1]]+Table25[[#This Row],[Vin]]/L*Table25[[#This Row],[t2_Ph_I]])</f>
        <v>0</v>
      </c>
      <c r="S48" s="292">
        <f>Fsw*(Table25[[#This Row],[I_0]]*Table25[[#This Row],[t1_Ph_II]]+Table25[[#This Row],[I_1]]*Table25[[#This Row],[t2_Ph_I]]+Table25[[#This Row],[I_2]]*Table25[[#This Row],[t3_Ph_III]])</f>
        <v>5.4257865787400972</v>
      </c>
      <c r="T48" s="345">
        <f>CHOOSE(Table25[[#This Row],[Mode Digit]],(Vout+(Rdson2+Rs+Rdcr)*Table25[[#This Row],[Iout]])/(Table25[[#This Row],[Vin]]+(Rs+Rdson2-Rdson1)*Table25[[#This Row],[Iout]]),1,Fsw*Table25[[#This Row],[t2_Ph_I]]+Table25[[#This Row],[t1_Ph_II]])</f>
        <v>1</v>
      </c>
      <c r="U48" s="345">
        <f>CHOOSE(Table25[[#This Row],[Mode Digit]],0,(Vout+(Rdson3+Rdcr)*Table25[[#This Row],[Iin]]-Table25[[#This Row],[Vin]])/(Vout+(Rdson3-Rdson4-Rs)*Table25[[#This Row],[Iin]]),Fsw*Table25[[#This Row],[t1_Ph_II]]+Table25[[#This Row],[t3_Ph_III]])</f>
        <v>0.25192331587448996</v>
      </c>
      <c r="V48" s="292">
        <f>MAX(Table25[[#This Row],[I_0]:[I_2]])-MIN(Table25[[#This Row],[I_0]:[I_1]])</f>
        <v>4.2198210364236175</v>
      </c>
      <c r="W48"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4.5452268942655953</v>
      </c>
      <c r="X48" s="345">
        <f>(Table25[[#This Row],[Irms Lf]]^2*Rdcr*(1+Ltc*Ta-Ltc*25))/(1-Table25[[#This Row],[Irms Lf]]^2*Rdcr*Ltc*ThetaCa)</f>
        <v>6.6460571846366154E-2</v>
      </c>
      <c r="Y48" s="345">
        <f>ABS(7.759*10^-3*Fsw^0.9458*(0.00787*Table25[[#This Row],[Ripple Current pk-pk]])^2.304)</f>
        <v>0.6014207341070269</v>
      </c>
      <c r="Z48" s="345">
        <f>Table25[[#This Row],[DCR    Loss]]+Table25[[#This Row],[Core Loss]]</f>
        <v>0.66788130595339301</v>
      </c>
      <c r="AA48" s="292">
        <f>IF(Table25[[#This Row],[Vin]]&gt;Vout, Table25[[#This Row],[Ripple Current pk-pk]]/SQRT(12), SQRT(Table25[[#This Row],[Duty Cycle BOOST Leg]]/(1-Table25[[#This Row],[Duty Cycle BOOST Leg]]))*SQRT(Table25[[#This Row],[Iout]]^2+(Table25[[#This Row],[Ripple Current pk-pk]]^2)/12))</f>
        <v>1.9436801161659332</v>
      </c>
      <c r="AB48" s="345">
        <f>RCoutEsr*Table25[[#This Row],[Irms Cout]]^2</f>
        <v>7.5557847879576309E-3</v>
      </c>
      <c r="AC48" s="345">
        <f>Table25[[#This Row],[Cout ESR Loss]]</f>
        <v>7.5557847879576309E-3</v>
      </c>
      <c r="AD48" s="292">
        <f>IF(Table25[[#This Row],[Vin]]&gt;Vout, SQRT(Table25[[#This Row],[Duty Cycle BUCK Leg]]*(1-Table25[[#This Row],[Duty Cycle BUCK Leg]]))*SQRT(Table25[[#This Row],[Iout]]^2+(Table25[[#This Row],[Ripple Current pk-pk]]^2)/12), Table25[[#This Row],[Ripple Current pk-pk]]/SQRT(12))</f>
        <v>1.2181574056556106</v>
      </c>
      <c r="AE48" s="345">
        <f>RCinEsr*Table25[[#This Row],[Irms Cin]]^2</f>
        <v>2.9678149299072159E-3</v>
      </c>
      <c r="AF48" s="683">
        <f>Table25[[#This Row],[Cin ESR Loss]]</f>
        <v>2.9678149299072159E-3</v>
      </c>
      <c r="AG48" s="345">
        <f>Table25[[#This Row],[Irms Lf]]</f>
        <v>4.5452268942655953</v>
      </c>
      <c r="AH48" s="345">
        <f>Rdson1*Table25[[#This Row],[Irms BuCtrl]]^2</f>
        <v>7.2306806321243436E-2</v>
      </c>
      <c r="AI48" s="345">
        <f>CHOOSE(Table25[[#This Row],[Mode Digit]], (Table25[[#This Row],[Vin]]*Table25[[#This Row],[Iout]]/2)*(Fsw)*(Tr_buck+Tf_buck), 0, (Table25[[#This Row],[Vin]]*Table25[[#This Row],[Avg IL]]/2)*(Fsw/1)*(Tr_buck+Tf_buck))</f>
        <v>0</v>
      </c>
      <c r="AJ48" s="253">
        <f>IF(Table25[[#This Row],[Vin]]&gt;Vout, IF(Table25[[#This Row],[Iout]]&gt;Table25[[#This Row],[Ripple Current pk-pk]]/2,0,ABS(Table25[[#This Row],[Iout]]-Table25[[#This Row],[Ripple Current pk-pk]]/2)*Vsd_Q1*Deadtime*Fsw),0)</f>
        <v>0</v>
      </c>
      <c r="AK48" s="345">
        <f>(Table25[[#This Row],[Dead Time Loss BuCtrl]]+Table25[[#This Row],[Transition Loss BuCtrl]]+Table25[[#This Row],[RDS(on) Loss BuCtrl]]*(1+RdsonTopTc*Ta-RdsonTopTc*25))/(1-Table25[[#This Row],[RDS(on) Loss BuCtrl]]*RdsonTopTc*ThetaJA_Q1)</f>
        <v>7.369220275761032E-2</v>
      </c>
      <c r="AL48" s="345">
        <f>Table25[[#This Row],[Irms Lf]]</f>
        <v>4.5452268942655953</v>
      </c>
      <c r="AM48" s="345">
        <f>Rdson2*Table25[[#This Row],[Irms BuSync]]^2</f>
        <v>7.2306806321243436E-2</v>
      </c>
      <c r="AN48"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48" s="345">
        <f>(Table25[[#This Row],[Deadtime Loss BuSync]]+Table25[[#This Row],[RDS(on) Loss BuSync]]*(1+RdsonBotTc*Ta-RdsonBotTc*25))/(1-Table25[[#This Row],[RDS(on) Loss BuSync]]*RdsonBotTc*ThetaJA_Q2)</f>
        <v>7.369220275761032E-2</v>
      </c>
      <c r="AP48" s="345">
        <f>Table25[[#This Row],[Irms Lf]]</f>
        <v>4.5452268942655953</v>
      </c>
      <c r="AQ48" s="345">
        <f>Rdson4*Table25[[#This Row],[Irms BoCtlr]]^2</f>
        <v>7.2306806321243436E-2</v>
      </c>
      <c r="AR48" s="345">
        <f>CHOOSE(Table25[[#This Row],[Mode Digit]], 0, (Vout*Table25[[#This Row],[Iin]]/2)*(Fsw)*(Tr_boost+Tf_boost), (Vout*Iout/2)*(Fsw/1)*(Tr_boost+Tf_boost))</f>
        <v>0.26035207222173046</v>
      </c>
      <c r="AS48" s="345">
        <f>IF(Table25[[#This Row],[Vin]]&gt;Vout, 0, IF(Table25[[#This Row],[Iin]]&gt;Table25[[#This Row],[Ripple Current pk-pk]]/2,0,ABS(Table25[[#This Row],[Iin]]-Table25[[#This Row],[Ripple Current pk-pk]]/2)*Vsd_Q4*Deadtime*Fsw))</f>
        <v>0</v>
      </c>
      <c r="AT48" s="345">
        <f>(Table25[[#This Row],[Dead Time Loss BoCtlr]]+Table25[[#This Row],[Transition Loss BoCtlr]]+Table25[[#This Row],[RDS(on) Loss BoCtlr]]*(1+RdsonTopTc*Ta-RdsonTopTc*25))/(1-Table25[[#This Row],[RDS(on) Loss BoCtlr]]*RdsonTopTc*ThetaJA_Q4)</f>
        <v>0.33903261357991799</v>
      </c>
      <c r="AU48" s="345">
        <f>Table25[[#This Row],[Irms Lf]]</f>
        <v>4.5452268942655953</v>
      </c>
      <c r="AV48" s="345">
        <f>Rdson3*Table25[[#This Row],[Irms BoSync]]^2</f>
        <v>7.2306806321243436E-2</v>
      </c>
      <c r="AW48"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0.1307115789473684</v>
      </c>
      <c r="AX48" s="345">
        <f>(Table25[[#This Row],[Deadtime Loss BoSync]]+Table25[[#This Row],[RDS(on) Loss BoSync]]*(1+RdsonBotTc*Ta-RdsonBotTc*25))/(1-Table25[[#This Row],[RDS(on) Loss BoSync]]*RdsonBotTc*ThetaJA_Q3)</f>
        <v>0.2069082119914035</v>
      </c>
      <c r="AY48" s="345">
        <f>CHOOSE(Table25[[#This Row],[Mode Digit]], Rdson3*Table25[[#This Row],[Irms Lf]]^2, Rdson1*Table25[[#This Row],[Irms Lf]]^2, 0)</f>
        <v>7.2306806321243436E-2</v>
      </c>
      <c r="AZ48" s="345">
        <f>CHOOSE(Table25[[#This Row],[Mode Digit]], 2*Deadtime*Fsw*IF(VfdSky_Q2&gt;0,VfdSky_Q2,0)*Table25[[#This Row],[Iout]], 2*Deadtime*Fsw*IF(VfdSky_Q3&gt;0,VfdSky_Q3,0)*Table25[[#This Row],[Iin]], 2*Deadtime*Fsw*IF(VfdSky_Q2&gt;0,VfdSky_Q2,0)*Table25[[#This Row],[Iout]]+2*Deadtime*Fsw*IF(VfdSky_Q3&gt;0,VfdSky_Q3,0)*Table25[[#This Row],[Iin]])</f>
        <v>0</v>
      </c>
      <c r="BA48"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48"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48" s="345">
        <f>CHOOSE(Table25[[#This Row],[Mode Digit]], Rs*Table25[[#This Row],[Irms BuSync]]^2, Rs*Table25[[#This Row],[Irms BoCtlr]]^2, Rs*(Table25[[#This Row],[Irms BuSync]]^2+Table25[[#This Row],[Irms BoCtlr]]^2))</f>
        <v>2.6856813776461846E-2</v>
      </c>
      <c r="BD48" s="345">
        <f t="shared" si="6"/>
        <v>0.64</v>
      </c>
      <c r="BE48" s="345">
        <f>IF(Vout&gt;8, Iq*Vout, Iq*Table25[[#This Row],[Vin]])</f>
        <v>4.8000000000000001E-2</v>
      </c>
      <c r="BF48" s="345">
        <f>CHOOSE(Table25[[#This Row],[Mode Digit]], (Qg_Q1+Qg_Q2)*Fsw, (Qg_Q3+Qg_Q4)*Fsw, (Qg_Q1+Qg_Q2+Qg_Q3+Qg_Q4)*Fsw)*IF(Vout&gt;8,  MIN( Table25[[#This Row],[Vin]], Vout), Table25[[#This Row],[Vin]])</f>
        <v>0.63998400000000011</v>
      </c>
      <c r="BG48" s="345">
        <f t="shared" si="4"/>
        <v>0.50594479787234037</v>
      </c>
      <c r="BH48" s="345">
        <f>Table25[[#This Row],[IQ Loss]]+Table25[[#This Row],[Switching Current Loss]]</f>
        <v>0.68798400000000015</v>
      </c>
      <c r="BI48"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3.4397869505342618</v>
      </c>
      <c r="BJ48" s="253">
        <f>Vout*Table25[[#This Row],[Iout]]</f>
        <v>49.92</v>
      </c>
      <c r="BK48" s="684">
        <f>Table25[[#This Row],[Pout]]/(Table25[[#This Row],[Pout]]+Table25[[#This Row],[Total Loss]])</f>
        <v>0.93553596917988024</v>
      </c>
      <c r="BL48" s="685">
        <f>IF(Table25[[#This Row],[Vin]]&gt;Vout,ThetaJA_Q1*(Table25[[#This Row],[Total Control Bu MOSFET Loss]]+Table25[[#This Row],[Reverse Recovery Loss MOSFET D BUCK]]),ThetaJA_Q4*(Table25[[#This Row],[Total Control Bo MOSFET Loss]]+Table25[[#This Row],[Reverse Recovery Loss MOSFET D BOOST]]))</f>
        <v>45.216639882694672</v>
      </c>
      <c r="BM48" s="685">
        <f>IF(Table25[[#This Row],[Vin]]&gt;Vout, Table25[[#This Row],[Total Sync Bu MOSFET Loss]]*ThetaJA_Q2, ThetaJA_Q3*Table25[[#This Row],[Total Sync Bo MOSFET Loss]])</f>
        <v>13.449033779441228</v>
      </c>
      <c r="BN48" s="640"/>
      <c r="BO48" s="292">
        <f>Table25[[#This Row],[EFF, h]]*100</f>
        <v>93.553596917988031</v>
      </c>
      <c r="BP48" s="345">
        <f>Table25[[#This Row],[Total Inductor Loss]]</f>
        <v>0.66788130595339301</v>
      </c>
      <c r="BQ48" s="345">
        <f>Table25[[#This Row],[Total Control Bu MOSFET Loss]]+Table25[[#This Row],[Total Sync Bu MOSFET Loss]]+Table25[[#This Row],[Total Control Bo MOSFET Loss]]+Table25[[#This Row],[Total Sync Bo MOSFET Loss]]+Table25[[#This Row],[Reverse Recovery Loss MOSFET D BUCK]]+Table25[[#This Row],[Reverse Recovery Loss MOSFET D BOOST]]</f>
        <v>1.4065412310865422</v>
      </c>
      <c r="BR48" s="345">
        <f xml:space="preserve"> Table25[[#This Row],[Total Control Bu MOSFET Loss]]+Table25[[#This Row],[Reverse Recovery Loss MOSFET D BUCK]]*0.66</f>
        <v>0.30905348275761035</v>
      </c>
      <c r="BS48" s="345">
        <f>Table25[[#This Row],[Total Sync Bu MOSFET Loss]]+Table25[[#This Row],[Reverse Recovery Loss MOSFET D BUCK]]*0.33</f>
        <v>0.19137284275761032</v>
      </c>
      <c r="BT48" s="345">
        <f xml:space="preserve"> Table25[[#This Row],[Total Control Bo MOSFET Loss]]+Table25[[#This Row],[Reverse Recovery Loss MOSFET D BOOST]]*0.66</f>
        <v>0.57439389357991799</v>
      </c>
      <c r="BU48" s="345">
        <f xml:space="preserve"> Table25[[#This Row],[Total Sync Bo MOSFET Loss]]+Table25[[#This Row],[Reverse Recovery Loss MOSFET D BOOST]]*0.33</f>
        <v>0.32458885199140353</v>
      </c>
      <c r="BV48" s="345">
        <f>Table25[[#This Row],[Isense Shunt Loss]]</f>
        <v>2.6856813776461846E-2</v>
      </c>
      <c r="CA48" s="253">
        <v>9.9975280000000009</v>
      </c>
      <c r="CB48" s="253">
        <v>7.7530000000000001</v>
      </c>
      <c r="CC48" s="253">
        <v>5.10853</v>
      </c>
      <c r="CD48" s="253">
        <v>92.034336419785248</v>
      </c>
      <c r="CE48" s="253">
        <v>3427.976173640001</v>
      </c>
    </row>
    <row r="49" spans="1:83" ht="13.6" x14ac:dyDescent="0.25">
      <c r="A49" s="691" t="s">
        <v>72</v>
      </c>
      <c r="B49" s="569">
        <f>Rdson2*1000</f>
        <v>3.5</v>
      </c>
      <c r="C49" s="695" t="s">
        <v>601</v>
      </c>
      <c r="D49" s="255" t="s">
        <v>688</v>
      </c>
      <c r="G49" s="253">
        <v>40</v>
      </c>
      <c r="H49" s="286">
        <f t="shared" si="5"/>
        <v>12</v>
      </c>
      <c r="I49" s="292" t="str">
        <f>IF(Mode = 2,IF(Table25[[#This Row],[Vin]]&gt;Vout, "BUCK","BOOST"),IF(Table25[[#This Row],[Vin]]&gt;VIN_BB_to_buck, "BUCK", IF(Table25[[#This Row],[Vin]]&lt;=VIN_boost_to_BB,"BOOST","BUCK-BST")))</f>
        <v>BOOST</v>
      </c>
      <c r="J49" s="253">
        <f>IF(Table25[[#This Row],[Mode]]="BOOST",2, IF(Table25[[#This Row],[Mode]]="BUCK", 1,3))</f>
        <v>2</v>
      </c>
      <c r="K49" s="345">
        <f t="shared" si="7"/>
        <v>3.2</v>
      </c>
      <c r="L49" s="292">
        <f>Vout*Table25[[#This Row],[Iout]]/(Table25[[#This Row],[Vin]]*Efficiency)</f>
        <v>4.4912280701754392</v>
      </c>
      <c r="M49" s="682">
        <f>CHOOSE(Table25[[#This Row],[Mode Digit]],(Vout+(Rdson2+Rs+Rdcr)*Table25[[#This Row],[Iout]])/(Table25[[#This Row],[Vin]]+(Rs+Rdson2-Rdson1)*Table25[[#This Row],[Iout]])/Fsw,(Vout+(Rdson3+Rdcr)*Table25[[#This Row],[Iin]]-Table25[[#This Row],[Vin]])/(Vout+(Rdson3-Rdson4-Rs)*Table25[[#This Row],[Iin]])/Fsw,t1_Ph_II)</f>
        <v>6.3309710972022885E-7</v>
      </c>
      <c r="N49" s="518">
        <f>CHOOSE(Table25[[#This Row],[Mode Digit]],1/Fsw-Table25[[#This Row],[t1_Ph_II]],1/Fsw-Table25[[#This Row],[t1_Ph_II]],(Vout/Fsw-Table25[[#This Row],[Vin]]*t1_Ph_II)/(Table25[[#This Row],[Vin]]+Vout))</f>
        <v>1.879465704350123E-6</v>
      </c>
      <c r="O49" s="518">
        <f>1/Fsw-(Table25[[#This Row],[t1_Ph_II]]+Table25[[#This Row],[t2_Ph_I]])</f>
        <v>0</v>
      </c>
      <c r="P49"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2.3809043711080098</v>
      </c>
      <c r="Q49" s="292">
        <f>CHOOSE(Table25[[#This Row],[Mode Digit]],Table25[[#This Row],[I_0]]+1/Lf*(Table25[[#This Row],[Vin]]-Vout)*Table25[[#This Row],[t1_Ph_II]],Table25[[#This Row],[I_0]]+1/Lf*Table25[[#This Row],[Vin]]*Table25[[#This Row],[t1_Ph_II]],Table25[[#This Row],[I_0]]+(Table25[[#This Row],[Vin]]-Vout)/L*Table25[[#This Row],[t1_Ph_II]])</f>
        <v>6.6015517692428691</v>
      </c>
      <c r="R49" s="292">
        <f>CHOOSE(Table25[[#This Row],[Mode Digit]],0,0,Table25[[#This Row],[I_1]]+Table25[[#This Row],[Vin]]/L*Table25[[#This Row],[t2_Ph_I]])</f>
        <v>0</v>
      </c>
      <c r="S49" s="292">
        <f>Fsw*(Table25[[#This Row],[I_0]]*Table25[[#This Row],[t1_Ph_II]]+Table25[[#This Row],[I_1]]*Table25[[#This Row],[t2_Ph_I]]+Table25[[#This Row],[I_2]]*Table25[[#This Row],[t3_Ph_III]])</f>
        <v>5.5380640610177307</v>
      </c>
      <c r="T49" s="345">
        <f>CHOOSE(Table25[[#This Row],[Mode Digit]],(Vout+(Rdson2+Rs+Rdcr)*Table25[[#This Row],[Iout]])/(Table25[[#This Row],[Vin]]+(Rs+Rdson2-Rdson1)*Table25[[#This Row],[Iout]]),1,Fsw*Table25[[#This Row],[t2_Ph_I]]+Table25[[#This Row],[t1_Ph_II]])</f>
        <v>1</v>
      </c>
      <c r="U49" s="345">
        <f>CHOOSE(Table25[[#This Row],[Mode Digit]],0,(Vout+(Rdson3+Rdcr)*Table25[[#This Row],[Iin]]-Table25[[#This Row],[Vin]])/(Vout+(Rdson3-Rdson4-Rs)*Table25[[#This Row],[Iin]]),Fsw*Table25[[#This Row],[t1_Ph_II]]+Table25[[#This Row],[t3_Ph_III]])</f>
        <v>0.25197264966865107</v>
      </c>
      <c r="V49" s="292">
        <f>MAX(Table25[[#This Row],[I_0]:[I_2]])-MIN(Table25[[#This Row],[I_0]:[I_1]])</f>
        <v>4.2206473981348598</v>
      </c>
      <c r="W49"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4.6535597431729991</v>
      </c>
      <c r="X49" s="345">
        <f>(Table25[[#This Row],[Irms Lf]]^2*Rdcr*(1+Ltc*Ta-Ltc*25))/(1-Table25[[#This Row],[Irms Lf]]^2*Rdcr*Ltc*ThetaCa)</f>
        <v>6.9684296979643984E-2</v>
      </c>
      <c r="Y49" s="345">
        <f>ABS(7.759*10^-3*Fsw^0.9458*(0.00787*Table25[[#This Row],[Ripple Current pk-pk]])^2.304)</f>
        <v>0.60169212325218657</v>
      </c>
      <c r="Z49" s="345">
        <f>Table25[[#This Row],[DCR    Loss]]+Table25[[#This Row],[Core Loss]]</f>
        <v>0.67137642023183053</v>
      </c>
      <c r="AA49" s="292">
        <f>IF(Table25[[#This Row],[Vin]]&gt;Vout, Table25[[#This Row],[Ripple Current pk-pk]]/SQRT(12), SQRT(Table25[[#This Row],[Duty Cycle BOOST Leg]]/(1-Table25[[#This Row],[Duty Cycle BOOST Leg]]))*SQRT(Table25[[#This Row],[Iout]]^2+(Table25[[#This Row],[Ripple Current pk-pk]]^2)/12))</f>
        <v>1.9873068022054028</v>
      </c>
      <c r="AB49" s="345">
        <f>RCoutEsr*Table25[[#This Row],[Irms Cout]]^2</f>
        <v>7.8987766521837286E-3</v>
      </c>
      <c r="AC49" s="345">
        <f>Table25[[#This Row],[Cout ESR Loss]]</f>
        <v>7.8987766521837286E-3</v>
      </c>
      <c r="AD49" s="292">
        <f>IF(Table25[[#This Row],[Vin]]&gt;Vout, SQRT(Table25[[#This Row],[Duty Cycle BUCK Leg]]*(1-Table25[[#This Row],[Duty Cycle BUCK Leg]]))*SQRT(Table25[[#This Row],[Iout]]^2+(Table25[[#This Row],[Ripple Current pk-pk]]^2)/12), Table25[[#This Row],[Ripple Current pk-pk]]/SQRT(12))</f>
        <v>1.2183959557338275</v>
      </c>
      <c r="AE49" s="345">
        <f>RCinEsr*Table25[[#This Row],[Irms Cin]]^2</f>
        <v>2.9689774098970944E-3</v>
      </c>
      <c r="AF49" s="683">
        <f>Table25[[#This Row],[Cin ESR Loss]]</f>
        <v>2.9689774098970944E-3</v>
      </c>
      <c r="AG49" s="345">
        <f>Table25[[#This Row],[Irms Lf]]</f>
        <v>4.6535597431729991</v>
      </c>
      <c r="AH49" s="345">
        <f>Rdson1*Table25[[#This Row],[Irms BuCtrl]]^2</f>
        <v>7.5794663991481229E-2</v>
      </c>
      <c r="AI49" s="345">
        <f>CHOOSE(Table25[[#This Row],[Mode Digit]], (Table25[[#This Row],[Vin]]*Table25[[#This Row],[Iout]]/2)*(Fsw)*(Tr_buck+Tf_buck), 0, (Table25[[#This Row],[Vin]]*Table25[[#This Row],[Avg IL]]/2)*(Fsw/1)*(Tr_buck+Tf_buck))</f>
        <v>0</v>
      </c>
      <c r="AJ49" s="253">
        <f>IF(Table25[[#This Row],[Vin]]&gt;Vout, IF(Table25[[#This Row],[Iout]]&gt;Table25[[#This Row],[Ripple Current pk-pk]]/2,0,ABS(Table25[[#This Row],[Iout]]-Table25[[#This Row],[Ripple Current pk-pk]]/2)*Vsd_Q1*Deadtime*Fsw),0)</f>
        <v>0</v>
      </c>
      <c r="AK49" s="345">
        <f>(Table25[[#This Row],[Dead Time Loss BuCtrl]]+Table25[[#This Row],[Transition Loss BuCtrl]]+Table25[[#This Row],[RDS(on) Loss BuCtrl]]*(1+RdsonTopTc*Ta-RdsonTopTc*25))/(1-Table25[[#This Row],[RDS(on) Loss BuCtrl]]*RdsonTopTc*ThetaJA_Q1)</f>
        <v>7.7318346699685916E-2</v>
      </c>
      <c r="AL49" s="345">
        <f>Table25[[#This Row],[Irms Lf]]</f>
        <v>4.6535597431729991</v>
      </c>
      <c r="AM49" s="345">
        <f>Rdson2*Table25[[#This Row],[Irms BuSync]]^2</f>
        <v>7.5794663991481229E-2</v>
      </c>
      <c r="AN49"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49" s="345">
        <f>(Table25[[#This Row],[Deadtime Loss BuSync]]+Table25[[#This Row],[RDS(on) Loss BuSync]]*(1+RdsonBotTc*Ta-RdsonBotTc*25))/(1-Table25[[#This Row],[RDS(on) Loss BuSync]]*RdsonBotTc*ThetaJA_Q2)</f>
        <v>7.7318346699685916E-2</v>
      </c>
      <c r="AP49" s="345">
        <f>Table25[[#This Row],[Irms Lf]]</f>
        <v>4.6535597431729991</v>
      </c>
      <c r="AQ49" s="345">
        <f>Rdson4*Table25[[#This Row],[Irms BoCtlr]]^2</f>
        <v>7.5794663991481229E-2</v>
      </c>
      <c r="AR49" s="345">
        <f>CHOOSE(Table25[[#This Row],[Mode Digit]], 0, (Vout*Table25[[#This Row],[Iin]]/2)*(Fsw)*(Tr_boost+Tf_boost), (Vout*Iout/2)*(Fsw/1)*(Tr_boost+Tf_boost))</f>
        <v>0.26702776638126202</v>
      </c>
      <c r="AS49" s="345">
        <f>IF(Table25[[#This Row],[Vin]]&gt;Vout, 0, IF(Table25[[#This Row],[Iin]]&gt;Table25[[#This Row],[Ripple Current pk-pk]]/2,0,ABS(Table25[[#This Row],[Iin]]-Table25[[#This Row],[Ripple Current pk-pk]]/2)*Vsd_Q4*Deadtime*Fsw))</f>
        <v>0</v>
      </c>
      <c r="AT49" s="345">
        <f>(Table25[[#This Row],[Dead Time Loss BoCtlr]]+Table25[[#This Row],[Transition Loss BoCtlr]]+Table25[[#This Row],[RDS(on) Loss BoCtlr]]*(1+RdsonTopTc*Ta-RdsonTopTc*25))/(1-Table25[[#This Row],[RDS(on) Loss BoCtlr]]*RdsonTopTc*ThetaJA_Q4)</f>
        <v>0.3497141108900203</v>
      </c>
      <c r="AU49" s="345">
        <f>Table25[[#This Row],[Irms Lf]]</f>
        <v>4.6535597431729991</v>
      </c>
      <c r="AV49" s="345">
        <f>Rdson3*Table25[[#This Row],[Irms BoSync]]^2</f>
        <v>7.5794663991481229E-2</v>
      </c>
      <c r="AW49"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0.13406315789473683</v>
      </c>
      <c r="AX49" s="345">
        <f>(Table25[[#This Row],[Deadtime Loss BoSync]]+Table25[[#This Row],[RDS(on) Loss BoSync]]*(1+RdsonBotTc*Ta-RdsonBotTc*25))/(1-Table25[[#This Row],[RDS(on) Loss BoSync]]*RdsonBotTc*ThetaJA_Q3)</f>
        <v>0.21407654544208032</v>
      </c>
      <c r="AY49" s="345">
        <f>CHOOSE(Table25[[#This Row],[Mode Digit]], Rdson3*Table25[[#This Row],[Irms Lf]]^2, Rdson1*Table25[[#This Row],[Irms Lf]]^2, 0)</f>
        <v>7.5794663991481229E-2</v>
      </c>
      <c r="AZ49" s="345">
        <f>CHOOSE(Table25[[#This Row],[Mode Digit]], 2*Deadtime*Fsw*IF(VfdSky_Q2&gt;0,VfdSky_Q2,0)*Table25[[#This Row],[Iout]], 2*Deadtime*Fsw*IF(VfdSky_Q3&gt;0,VfdSky_Q3,0)*Table25[[#This Row],[Iin]], 2*Deadtime*Fsw*IF(VfdSky_Q2&gt;0,VfdSky_Q2,0)*Table25[[#This Row],[Iout]]+2*Deadtime*Fsw*IF(VfdSky_Q3&gt;0,VfdSky_Q3,0)*Table25[[#This Row],[Iin]])</f>
        <v>0</v>
      </c>
      <c r="BA49"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49"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49" s="345">
        <f>CHOOSE(Table25[[#This Row],[Mode Digit]], Rs*Table25[[#This Row],[Irms BuSync]]^2, Rs*Table25[[#This Row],[Irms BoCtlr]]^2, Rs*(Table25[[#This Row],[Irms BuSync]]^2+Table25[[#This Row],[Irms BoCtlr]]^2))</f>
        <v>2.8152303768264456E-2</v>
      </c>
      <c r="BD49" s="345">
        <f t="shared" si="6"/>
        <v>0.64</v>
      </c>
      <c r="BE49" s="345">
        <f>IF(Vout&gt;8, Iq*Vout, Iq*Table25[[#This Row],[Vin]])</f>
        <v>4.8000000000000001E-2</v>
      </c>
      <c r="BF49" s="345">
        <f>CHOOSE(Table25[[#This Row],[Mode Digit]], (Qg_Q1+Qg_Q2)*Fsw, (Qg_Q3+Qg_Q4)*Fsw, (Qg_Q1+Qg_Q2+Qg_Q3+Qg_Q4)*Fsw)*IF(Vout&gt;8,  MIN( Table25[[#This Row],[Vin]], Vout), Table25[[#This Row],[Vin]])</f>
        <v>0.63998400000000011</v>
      </c>
      <c r="BG49" s="345">
        <f t="shared" si="4"/>
        <v>0.50594479787234037</v>
      </c>
      <c r="BH49" s="345">
        <f>Table25[[#This Row],[IQ Loss]]+Table25[[#This Row],[Switching Current Loss]]</f>
        <v>0.68798400000000015</v>
      </c>
      <c r="BI49"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3.4700238277936486</v>
      </c>
      <c r="BJ49" s="253">
        <f>Vout*Table25[[#This Row],[Iout]]</f>
        <v>51.2</v>
      </c>
      <c r="BK49" s="684">
        <f>Table25[[#This Row],[Pout]]/(Table25[[#This Row],[Pout]]+Table25[[#This Row],[Total Loss]])</f>
        <v>0.93652785228841395</v>
      </c>
      <c r="BL49" s="685">
        <f>IF(Table25[[#This Row],[Vin]]&gt;Vout,ThetaJA_Q1*(Table25[[#This Row],[Total Control Bu MOSFET Loss]]+Table25[[#This Row],[Reverse Recovery Loss MOSFET D BUCK]]),ThetaJA_Q4*(Table25[[#This Row],[Total Control Bo MOSFET Loss]]+Table25[[#This Row],[Reverse Recovery Loss MOSFET D BOOST]]))</f>
        <v>45.910937207851319</v>
      </c>
      <c r="BM49" s="685">
        <f>IF(Table25[[#This Row],[Vin]]&gt;Vout, Table25[[#This Row],[Total Sync Bu MOSFET Loss]]*ThetaJA_Q2, ThetaJA_Q3*Table25[[#This Row],[Total Sync Bo MOSFET Loss]])</f>
        <v>13.91497545373522</v>
      </c>
      <c r="BN49" s="640"/>
      <c r="BO49" s="292">
        <f>Table25[[#This Row],[EFF, h]]*100</f>
        <v>93.652785228841395</v>
      </c>
      <c r="BP49" s="345">
        <f>Table25[[#This Row],[Total Inductor Loss]]</f>
        <v>0.67137642023183053</v>
      </c>
      <c r="BQ49" s="345">
        <f>Table25[[#This Row],[Total Control Bu MOSFET Loss]]+Table25[[#This Row],[Total Sync Bu MOSFET Loss]]+Table25[[#This Row],[Total Control Bo MOSFET Loss]]+Table25[[#This Row],[Total Sync Bo MOSFET Loss]]+Table25[[#This Row],[Reverse Recovery Loss MOSFET D BUCK]]+Table25[[#This Row],[Reverse Recovery Loss MOSFET D BOOST]]</f>
        <v>1.4316433497314724</v>
      </c>
      <c r="BR49" s="345">
        <f xml:space="preserve"> Table25[[#This Row],[Total Control Bu MOSFET Loss]]+Table25[[#This Row],[Reverse Recovery Loss MOSFET D BUCK]]*0.66</f>
        <v>0.31267962669968591</v>
      </c>
      <c r="BS49" s="345">
        <f>Table25[[#This Row],[Total Sync Bu MOSFET Loss]]+Table25[[#This Row],[Reverse Recovery Loss MOSFET D BUCK]]*0.33</f>
        <v>0.19499898669968591</v>
      </c>
      <c r="BT49" s="345">
        <f xml:space="preserve"> Table25[[#This Row],[Total Control Bo MOSFET Loss]]+Table25[[#This Row],[Reverse Recovery Loss MOSFET D BOOST]]*0.66</f>
        <v>0.58507539089002036</v>
      </c>
      <c r="BU49" s="345">
        <f xml:space="preserve"> Table25[[#This Row],[Total Sync Bo MOSFET Loss]]+Table25[[#This Row],[Reverse Recovery Loss MOSFET D BOOST]]*0.33</f>
        <v>0.33175718544208033</v>
      </c>
      <c r="BV49" s="345">
        <f>Table25[[#This Row],[Isense Shunt Loss]]</f>
        <v>2.8152303768264456E-2</v>
      </c>
      <c r="CA49" s="253">
        <v>9.9970090000000003</v>
      </c>
      <c r="CB49" s="253">
        <v>8.6120000000000001</v>
      </c>
      <c r="CC49" s="253">
        <v>5.1085419999999999</v>
      </c>
      <c r="CD49" s="253">
        <v>91.346378256658895</v>
      </c>
      <c r="CE49" s="253">
        <v>4167.8065612820019</v>
      </c>
    </row>
    <row r="50" spans="1:83" x14ac:dyDescent="0.2">
      <c r="A50" s="691" t="s">
        <v>84</v>
      </c>
      <c r="B50" s="569">
        <f>RdsonBotTc*1000000</f>
        <v>4000</v>
      </c>
      <c r="C50" s="255" t="s">
        <v>85</v>
      </c>
      <c r="D50" s="255" t="s">
        <v>106</v>
      </c>
      <c r="G50" s="253">
        <v>41</v>
      </c>
      <c r="H50" s="286">
        <f t="shared" si="5"/>
        <v>12</v>
      </c>
      <c r="I50" s="292" t="str">
        <f>IF(Mode = 2,IF(Table25[[#This Row],[Vin]]&gt;Vout, "BUCK","BOOST"),IF(Table25[[#This Row],[Vin]]&gt;VIN_BB_to_buck, "BUCK", IF(Table25[[#This Row],[Vin]]&lt;=VIN_boost_to_BB,"BOOST","BUCK-BST")))</f>
        <v>BOOST</v>
      </c>
      <c r="J50" s="253">
        <f>IF(Table25[[#This Row],[Mode]]="BOOST",2, IF(Table25[[#This Row],[Mode]]="BUCK", 1,3))</f>
        <v>2</v>
      </c>
      <c r="K50" s="345">
        <f t="shared" si="7"/>
        <v>3.28</v>
      </c>
      <c r="L50" s="292">
        <f>Vout*Table25[[#This Row],[Iout]]/(Table25[[#This Row],[Vin]]*Efficiency)</f>
        <v>4.6035087719298247</v>
      </c>
      <c r="M50" s="682">
        <f>CHOOSE(Table25[[#This Row],[Mode Digit]],(Vout+(Rdson2+Rs+Rdcr)*Table25[[#This Row],[Iout]])/(Table25[[#This Row],[Vin]]+(Rs+Rdson2-Rdson1)*Table25[[#This Row],[Iout]])/Fsw,(Vout+(Rdson3+Rdcr)*Table25[[#This Row],[Iin]]-Table25[[#This Row],[Vin]])/(Vout+(Rdson3-Rdson4-Rs)*Table25[[#This Row],[Iin]])/Fsw,t1_Ph_II)</f>
        <v>6.3322106623938231E-7</v>
      </c>
      <c r="N50" s="518">
        <f>CHOOSE(Table25[[#This Row],[Mode Digit]],1/Fsw-Table25[[#This Row],[t1_Ph_II]],1/Fsw-Table25[[#This Row],[t1_Ph_II]],(Vout/Fsw-Table25[[#This Row],[Vin]]*t1_Ph_II)/(Table25[[#This Row],[Vin]]+Vout))</f>
        <v>1.8793417478309697E-6</v>
      </c>
      <c r="O50" s="518">
        <f>1/Fsw-(Table25[[#This Row],[t1_Ph_II]]+Table25[[#This Row],[t2_Ph_I]])</f>
        <v>0</v>
      </c>
      <c r="P50"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2.4927718844652174</v>
      </c>
      <c r="Q50" s="292">
        <f>CHOOSE(Table25[[#This Row],[Mode Digit]],Table25[[#This Row],[I_0]]+1/Lf*(Table25[[#This Row],[Vin]]-Vout)*Table25[[#This Row],[t1_Ph_II]],Table25[[#This Row],[I_0]]+1/Lf*Table25[[#This Row],[Vin]]*Table25[[#This Row],[t1_Ph_II]],Table25[[#This Row],[I_0]]+(Table25[[#This Row],[Vin]]-Vout)/L*Table25[[#This Row],[t1_Ph_II]])</f>
        <v>6.7142456593944324</v>
      </c>
      <c r="R50" s="292">
        <f>CHOOSE(Table25[[#This Row],[Mode Digit]],0,0,Table25[[#This Row],[I_1]]+Table25[[#This Row],[Vin]]/L*Table25[[#This Row],[t2_Ph_I]])</f>
        <v>0</v>
      </c>
      <c r="S50" s="292">
        <f>Fsw*(Table25[[#This Row],[I_0]]*Table25[[#This Row],[t1_Ph_II]]+Table25[[#This Row],[I_1]]*Table25[[#This Row],[t2_Ph_I]]+Table25[[#This Row],[I_2]]*Table25[[#This Row],[t3_Ph_III]])</f>
        <v>5.6503414616992504</v>
      </c>
      <c r="T50" s="345">
        <f>CHOOSE(Table25[[#This Row],[Mode Digit]],(Vout+(Rdson2+Rs+Rdcr)*Table25[[#This Row],[Iout]])/(Table25[[#This Row],[Vin]]+(Rs+Rdson2-Rdson1)*Table25[[#This Row],[Iout]]),1,Fsw*Table25[[#This Row],[t2_Ph_I]]+Table25[[#This Row],[t1_Ph_II]])</f>
        <v>1</v>
      </c>
      <c r="U50" s="345">
        <f>CHOOSE(Table25[[#This Row],[Mode Digit]],0,(Vout+(Rdson3+Rdcr)*Table25[[#This Row],[Iin]]-Table25[[#This Row],[Vin]])/(Vout+(Rdson3-Rdson4-Rs)*Table25[[#This Row],[Iin]]),Fsw*Table25[[#This Row],[t1_Ph_II]]+Table25[[#This Row],[t3_Ph_III]])</f>
        <v>0.25202198436327417</v>
      </c>
      <c r="V50" s="292">
        <f>MAX(Table25[[#This Row],[I_0]:[I_2]])-MIN(Table25[[#This Row],[I_0]:[I_1]])</f>
        <v>4.2214737749292155</v>
      </c>
      <c r="W50"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4.7620755015647092</v>
      </c>
      <c r="X50" s="345">
        <f>(Table25[[#This Row],[Irms Lf]]^2*Rdcr*(1+Ltc*Ta-Ltc*25))/(1-Table25[[#This Row],[Irms Lf]]^2*Rdcr*Ltc*ThetaCa)</f>
        <v>7.2991305953153979E-2</v>
      </c>
      <c r="Y50" s="345">
        <f>ABS(7.759*10^-3*Fsw^0.9458*(0.00787*Table25[[#This Row],[Ripple Current pk-pk]])^2.304)</f>
        <v>0.6019635866501053</v>
      </c>
      <c r="Z50" s="345">
        <f>Table25[[#This Row],[DCR    Loss]]+Table25[[#This Row],[Core Loss]]</f>
        <v>0.67495489260325925</v>
      </c>
      <c r="AA50" s="292">
        <f>IF(Table25[[#This Row],[Vin]]&gt;Vout, Table25[[#This Row],[Ripple Current pk-pk]]/SQRT(12), SQRT(Table25[[#This Row],[Duty Cycle BOOST Leg]]/(1-Table25[[#This Row],[Duty Cycle BOOST Leg]]))*SQRT(Table25[[#This Row],[Iout]]^2+(Table25[[#This Row],[Ripple Current pk-pk]]^2)/12))</f>
        <v>2.0310801353645593</v>
      </c>
      <c r="AB50" s="345">
        <f>RCoutEsr*Table25[[#This Row],[Irms Cout]]^2</f>
        <v>8.2505730325450333E-3</v>
      </c>
      <c r="AC50" s="345">
        <f>Table25[[#This Row],[Cout ESR Loss]]</f>
        <v>8.2505730325450333E-3</v>
      </c>
      <c r="AD50" s="292">
        <f>IF(Table25[[#This Row],[Vin]]&gt;Vout, SQRT(Table25[[#This Row],[Duty Cycle BUCK Leg]]*(1-Table25[[#This Row],[Duty Cycle BUCK Leg]]))*SQRT(Table25[[#This Row],[Iout]]^2+(Table25[[#This Row],[Ripple Current pk-pk]]^2)/12), Table25[[#This Row],[Ripple Current pk-pk]]/SQRT(12))</f>
        <v>1.2186345101661642</v>
      </c>
      <c r="AE50" s="345">
        <f>RCinEsr*Table25[[#This Row],[Irms Cin]]^2</f>
        <v>2.9701401387358536E-3</v>
      </c>
      <c r="AF50" s="683">
        <f>Table25[[#This Row],[Cin ESR Loss]]</f>
        <v>2.9701401387358536E-3</v>
      </c>
      <c r="AG50" s="345">
        <f>Table25[[#This Row],[Irms Lf]]</f>
        <v>4.7620755015647092</v>
      </c>
      <c r="AH50" s="345">
        <f>Rdson1*Table25[[#This Row],[Irms BuCtrl]]^2</f>
        <v>7.9370770789109729E-2</v>
      </c>
      <c r="AI50" s="345">
        <f>CHOOSE(Table25[[#This Row],[Mode Digit]], (Table25[[#This Row],[Vin]]*Table25[[#This Row],[Iout]]/2)*(Fsw)*(Tr_buck+Tf_buck), 0, (Table25[[#This Row],[Vin]]*Table25[[#This Row],[Avg IL]]/2)*(Fsw/1)*(Tr_buck+Tf_buck))</f>
        <v>0</v>
      </c>
      <c r="AJ50" s="253">
        <f>IF(Table25[[#This Row],[Vin]]&gt;Vout, IF(Table25[[#This Row],[Iout]]&gt;Table25[[#This Row],[Ripple Current pk-pk]]/2,0,ABS(Table25[[#This Row],[Iout]]-Table25[[#This Row],[Ripple Current pk-pk]]/2)*Vsd_Q1*Deadtime*Fsw),0)</f>
        <v>0</v>
      </c>
      <c r="AK50" s="345">
        <f>(Table25[[#This Row],[Dead Time Loss BuCtrl]]+Table25[[#This Row],[Transition Loss BuCtrl]]+Table25[[#This Row],[RDS(on) Loss BuCtrl]]*(1+RdsonTopTc*Ta-RdsonTopTc*25))/(1-Table25[[#This Row],[RDS(on) Loss BuCtrl]]*RdsonTopTc*ThetaJA_Q1)</f>
        <v>8.1043210940192068E-2</v>
      </c>
      <c r="AL50" s="345">
        <f>Table25[[#This Row],[Irms Lf]]</f>
        <v>4.7620755015647092</v>
      </c>
      <c r="AM50" s="345">
        <f>Rdson2*Table25[[#This Row],[Irms BuSync]]^2</f>
        <v>7.9370770789109729E-2</v>
      </c>
      <c r="AN50"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50" s="345">
        <f>(Table25[[#This Row],[Deadtime Loss BuSync]]+Table25[[#This Row],[RDS(on) Loss BuSync]]*(1+RdsonBotTc*Ta-RdsonBotTc*25))/(1-Table25[[#This Row],[RDS(on) Loss BuSync]]*RdsonBotTc*ThetaJA_Q2)</f>
        <v>8.1043210940192068E-2</v>
      </c>
      <c r="AP50" s="345">
        <f>Table25[[#This Row],[Irms Lf]]</f>
        <v>4.7620755015647092</v>
      </c>
      <c r="AQ50" s="345">
        <f>Rdson4*Table25[[#This Row],[Irms BoCtlr]]^2</f>
        <v>7.9370770789109729E-2</v>
      </c>
      <c r="AR50" s="345">
        <f>CHOOSE(Table25[[#This Row],[Mode Digit]], 0, (Vout*Table25[[#This Row],[Iin]]/2)*(Fsw)*(Tr_boost+Tf_boost), (Vout*Iout/2)*(Fsw/1)*(Tr_boost+Tf_boost))</f>
        <v>0.27370346054079353</v>
      </c>
      <c r="AS50" s="345">
        <f>IF(Table25[[#This Row],[Vin]]&gt;Vout, 0, IF(Table25[[#This Row],[Iin]]&gt;Table25[[#This Row],[Ripple Current pk-pk]]/2,0,ABS(Table25[[#This Row],[Iin]]-Table25[[#This Row],[Ripple Current pk-pk]]/2)*Vsd_Q4*Deadtime*Fsw))</f>
        <v>0</v>
      </c>
      <c r="AT50" s="345">
        <f>(Table25[[#This Row],[Dead Time Loss BoCtlr]]+Table25[[#This Row],[Transition Loss BoCtlr]]+Table25[[#This Row],[RDS(on) Loss BoCtlr]]*(1+RdsonTopTc*Ta-RdsonTopTc*25))/(1-Table25[[#This Row],[RDS(on) Loss BoCtlr]]*RdsonTopTc*ThetaJA_Q4)</f>
        <v>0.3605139413757793</v>
      </c>
      <c r="AU50" s="345">
        <f>Table25[[#This Row],[Irms Lf]]</f>
        <v>4.7620755015647092</v>
      </c>
      <c r="AV50" s="345">
        <f>Rdson3*Table25[[#This Row],[Irms BoSync]]^2</f>
        <v>7.9370770789109729E-2</v>
      </c>
      <c r="AW50"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0.13741473684210523</v>
      </c>
      <c r="AX50" s="345">
        <f>(Table25[[#This Row],[Deadtime Loss BoSync]]+Table25[[#This Row],[RDS(on) Loss BoSync]]*(1+RdsonBotTc*Ta-RdsonBotTc*25))/(1-Table25[[#This Row],[RDS(on) Loss BoSync]]*RdsonBotTc*ThetaJA_Q3)</f>
        <v>0.22135344597338558</v>
      </c>
      <c r="AY50" s="345">
        <f>CHOOSE(Table25[[#This Row],[Mode Digit]], Rdson3*Table25[[#This Row],[Irms Lf]]^2, Rdson1*Table25[[#This Row],[Irms Lf]]^2, 0)</f>
        <v>7.9370770789109729E-2</v>
      </c>
      <c r="AZ50" s="345">
        <f>CHOOSE(Table25[[#This Row],[Mode Digit]], 2*Deadtime*Fsw*IF(VfdSky_Q2&gt;0,VfdSky_Q2,0)*Table25[[#This Row],[Iout]], 2*Deadtime*Fsw*IF(VfdSky_Q3&gt;0,VfdSky_Q3,0)*Table25[[#This Row],[Iin]], 2*Deadtime*Fsw*IF(VfdSky_Q2&gt;0,VfdSky_Q2,0)*Table25[[#This Row],[Iout]]+2*Deadtime*Fsw*IF(VfdSky_Q3&gt;0,VfdSky_Q3,0)*Table25[[#This Row],[Iin]])</f>
        <v>0</v>
      </c>
      <c r="BA50"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50"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50" s="345">
        <f>CHOOSE(Table25[[#This Row],[Mode Digit]], Rs*Table25[[#This Row],[Irms BuSync]]^2, Rs*Table25[[#This Row],[Irms BoCtlr]]^2, Rs*(Table25[[#This Row],[Irms BuSync]]^2+Table25[[#This Row],[Irms BoCtlr]]^2))</f>
        <v>2.9480572007383611E-2</v>
      </c>
      <c r="BD50" s="345">
        <f t="shared" si="6"/>
        <v>0.64</v>
      </c>
      <c r="BE50" s="345">
        <f>IF(Vout&gt;8, Iq*Vout, Iq*Table25[[#This Row],[Vin]])</f>
        <v>4.8000000000000001E-2</v>
      </c>
      <c r="BF50" s="345">
        <f>CHOOSE(Table25[[#This Row],[Mode Digit]], (Qg_Q1+Qg_Q2)*Fsw, (Qg_Q3+Qg_Q4)*Fsw, (Qg_Q1+Qg_Q2+Qg_Q3+Qg_Q4)*Fsw)*IF(Vout&gt;8,  MIN( Table25[[#This Row],[Vin]], Vout), Table25[[#This Row],[Vin]])</f>
        <v>0.63998400000000011</v>
      </c>
      <c r="BG50" s="345">
        <f t="shared" si="4"/>
        <v>0.50594479787234037</v>
      </c>
      <c r="BH50" s="345">
        <f>Table25[[#This Row],[IQ Loss]]+Table25[[#This Row],[Switching Current Loss]]</f>
        <v>0.68798400000000015</v>
      </c>
      <c r="BI50"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3.5008099870114733</v>
      </c>
      <c r="BJ50" s="253">
        <f>Vout*Table25[[#This Row],[Iout]]</f>
        <v>52.48</v>
      </c>
      <c r="BK50" s="684">
        <f>Table25[[#This Row],[Pout]]/(Table25[[#This Row],[Pout]]+Table25[[#This Row],[Total Loss]])</f>
        <v>0.93746410622097609</v>
      </c>
      <c r="BL50" s="685">
        <f>IF(Table25[[#This Row],[Vin]]&gt;Vout,ThetaJA_Q1*(Table25[[#This Row],[Total Control Bu MOSFET Loss]]+Table25[[#This Row],[Reverse Recovery Loss MOSFET D BUCK]]),ThetaJA_Q4*(Table25[[#This Row],[Total Control Bo MOSFET Loss]]+Table25[[#This Row],[Reverse Recovery Loss MOSFET D BOOST]]))</f>
        <v>46.61292618942565</v>
      </c>
      <c r="BM50" s="685">
        <f>IF(Table25[[#This Row],[Vin]]&gt;Vout, Table25[[#This Row],[Total Sync Bu MOSFET Loss]]*ThetaJA_Q2, ThetaJA_Q3*Table25[[#This Row],[Total Sync Bo MOSFET Loss]])</f>
        <v>14.387973988270062</v>
      </c>
      <c r="BN50" s="640"/>
      <c r="BO50" s="292">
        <f>Table25[[#This Row],[EFF, h]]*100</f>
        <v>93.746410622097613</v>
      </c>
      <c r="BP50" s="345">
        <f>Table25[[#This Row],[Total Inductor Loss]]</f>
        <v>0.67495489260325925</v>
      </c>
      <c r="BQ50" s="345">
        <f>Table25[[#This Row],[Total Control Bu MOSFET Loss]]+Table25[[#This Row],[Total Sync Bu MOSFET Loss]]+Table25[[#This Row],[Total Control Bo MOSFET Loss]]+Table25[[#This Row],[Total Sync Bo MOSFET Loss]]+Table25[[#This Row],[Reverse Recovery Loss MOSFET D BUCK]]+Table25[[#This Row],[Reverse Recovery Loss MOSFET D BOOST]]</f>
        <v>1.4571698092295491</v>
      </c>
      <c r="BR50" s="345">
        <f xml:space="preserve"> Table25[[#This Row],[Total Control Bu MOSFET Loss]]+Table25[[#This Row],[Reverse Recovery Loss MOSFET D BUCK]]*0.66</f>
        <v>0.31640449094019207</v>
      </c>
      <c r="BS50" s="345">
        <f>Table25[[#This Row],[Total Sync Bu MOSFET Loss]]+Table25[[#This Row],[Reverse Recovery Loss MOSFET D BUCK]]*0.33</f>
        <v>0.19872385094019207</v>
      </c>
      <c r="BT50" s="345">
        <f xml:space="preserve"> Table25[[#This Row],[Total Control Bo MOSFET Loss]]+Table25[[#This Row],[Reverse Recovery Loss MOSFET D BOOST]]*0.66</f>
        <v>0.59587522137577931</v>
      </c>
      <c r="BU50" s="345">
        <f xml:space="preserve"> Table25[[#This Row],[Total Sync Bo MOSFET Loss]]+Table25[[#This Row],[Reverse Recovery Loss MOSFET D BOOST]]*0.33</f>
        <v>0.33903408597338558</v>
      </c>
      <c r="BV50" s="345">
        <f>Table25[[#This Row],[Isense Shunt Loss]]</f>
        <v>2.9480572007383611E-2</v>
      </c>
      <c r="CA50" s="253">
        <v>9.9969590000000004</v>
      </c>
      <c r="CB50" s="253">
        <v>9.5229999999999997</v>
      </c>
      <c r="CC50" s="253">
        <v>5.1087540000000002</v>
      </c>
      <c r="CD50" s="253">
        <v>90.547826191651922</v>
      </c>
      <c r="CE50" s="253">
        <v>5078.5816240809982</v>
      </c>
    </row>
    <row r="51" spans="1:83" x14ac:dyDescent="0.2">
      <c r="A51" s="691" t="s">
        <v>71</v>
      </c>
      <c r="B51" s="569">
        <f>Qg_Q2*1000000000</f>
        <v>67</v>
      </c>
      <c r="C51" s="255" t="s">
        <v>69</v>
      </c>
      <c r="D51" s="255" t="s">
        <v>101</v>
      </c>
      <c r="G51" s="253">
        <v>42</v>
      </c>
      <c r="H51" s="286">
        <f t="shared" si="5"/>
        <v>12</v>
      </c>
      <c r="I51" s="292" t="str">
        <f>IF(Mode = 2,IF(Table25[[#This Row],[Vin]]&gt;Vout, "BUCK","BOOST"),IF(Table25[[#This Row],[Vin]]&gt;VIN_BB_to_buck, "BUCK", IF(Table25[[#This Row],[Vin]]&lt;=VIN_boost_to_BB,"BOOST","BUCK-BST")))</f>
        <v>BOOST</v>
      </c>
      <c r="J51" s="253">
        <f>IF(Table25[[#This Row],[Mode]]="BOOST",2, IF(Table25[[#This Row],[Mode]]="BUCK", 1,3))</f>
        <v>2</v>
      </c>
      <c r="K51" s="345">
        <f t="shared" si="7"/>
        <v>3.36</v>
      </c>
      <c r="L51" s="292">
        <f>Vout*Table25[[#This Row],[Iout]]/(Table25[[#This Row],[Vin]]*Efficiency)</f>
        <v>4.715789473684211</v>
      </c>
      <c r="M51" s="682">
        <f>CHOOSE(Table25[[#This Row],[Mode Digit]],(Vout+(Rdson2+Rs+Rdcr)*Table25[[#This Row],[Iout]])/(Table25[[#This Row],[Vin]]+(Rs+Rdson2-Rdson1)*Table25[[#This Row],[Iout]])/Fsw,(Vout+(Rdson3+Rdcr)*Table25[[#This Row],[Iin]]-Table25[[#This Row],[Vin]])/(Vout+(Rdson3-Rdson4-Rs)*Table25[[#This Row],[Iin]])/Fsw,t1_Ph_II)</f>
        <v>6.3334502502106549E-7</v>
      </c>
      <c r="N51" s="518">
        <f>CHOOSE(Table25[[#This Row],[Mode Digit]],1/Fsw-Table25[[#This Row],[t1_Ph_II]],1/Fsw-Table25[[#This Row],[t1_Ph_II]],(Vout/Fsw-Table25[[#This Row],[Vin]]*t1_Ph_II)/(Table25[[#This Row],[Vin]]+Vout))</f>
        <v>1.8792177890492865E-6</v>
      </c>
      <c r="O51" s="518">
        <f>1/Fsw-(Table25[[#This Row],[t1_Ph_II]]+Table25[[#This Row],[t2_Ph_I]])</f>
        <v>0</v>
      </c>
      <c r="P51"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2.6046393902806595</v>
      </c>
      <c r="Q51" s="292">
        <f>CHOOSE(Table25[[#This Row],[Mode Digit]],Table25[[#This Row],[I_0]]+1/Lf*(Table25[[#This Row],[Vin]]-Vout)*Table25[[#This Row],[t1_Ph_II]],Table25[[#This Row],[I_0]]+1/Lf*Table25[[#This Row],[Vin]]*Table25[[#This Row],[t1_Ph_II]],Table25[[#This Row],[I_0]]+(Table25[[#This Row],[Vin]]-Vout)/L*Table25[[#This Row],[t1_Ph_II]])</f>
        <v>6.826939557087762</v>
      </c>
      <c r="R51" s="292">
        <f>CHOOSE(Table25[[#This Row],[Mode Digit]],0,0,Table25[[#This Row],[I_1]]+Table25[[#This Row],[Vin]]/L*Table25[[#This Row],[t2_Ph_I]])</f>
        <v>0</v>
      </c>
      <c r="S51" s="292">
        <f>Fsw*(Table25[[#This Row],[I_0]]*Table25[[#This Row],[t1_Ph_II]]+Table25[[#This Row],[I_1]]*Table25[[#This Row],[t2_Ph_I]]+Table25[[#This Row],[I_2]]*Table25[[#This Row],[t3_Ph_III]])</f>
        <v>5.7626187807801914</v>
      </c>
      <c r="T51" s="345">
        <f>CHOOSE(Table25[[#This Row],[Mode Digit]],(Vout+(Rdson2+Rs+Rdcr)*Table25[[#This Row],[Iout]])/(Table25[[#This Row],[Vin]]+(Rs+Rdson2-Rdson1)*Table25[[#This Row],[Iout]]),1,Fsw*Table25[[#This Row],[t2_Ph_I]]+Table25[[#This Row],[t1_Ph_II]])</f>
        <v>1</v>
      </c>
      <c r="U51" s="345">
        <f>CHOOSE(Table25[[#This Row],[Mode Digit]],0,(Vout+(Rdson3+Rdcr)*Table25[[#This Row],[Iin]]-Table25[[#This Row],[Vin]])/(Vout+(Rdson3-Rdson4-Rs)*Table25[[#This Row],[Iin]]),Fsw*Table25[[#This Row],[t1_Ph_II]]+Table25[[#This Row],[t3_Ph_III]])</f>
        <v>0.25207131995838405</v>
      </c>
      <c r="V51" s="292">
        <f>MAX(Table25[[#This Row],[I_0]:[I_2]])-MIN(Table25[[#This Row],[I_0]:[I_1]])</f>
        <v>4.2223001668071021</v>
      </c>
      <c r="W51"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4.8707619443295602</v>
      </c>
      <c r="X51" s="345">
        <f>(Table25[[#This Row],[Irms Lf]]^2*Rdcr*(1+Ltc*Ta-Ltc*25))/(1-Table25[[#This Row],[Irms Lf]]^2*Rdcr*Ltc*ThetaCa)</f>
        <v>7.6381728948574215E-2</v>
      </c>
      <c r="Y51" s="345">
        <f>ABS(7.759*10^-3*Fsw^0.9458*(0.00787*Table25[[#This Row],[Ripple Current pk-pk]])^2.304)</f>
        <v>0.60223512430884019</v>
      </c>
      <c r="Z51" s="345">
        <f>Table25[[#This Row],[DCR    Loss]]+Table25[[#This Row],[Core Loss]]</f>
        <v>0.67861685325741439</v>
      </c>
      <c r="AA51" s="292">
        <f>IF(Table25[[#This Row],[Vin]]&gt;Vout, Table25[[#This Row],[Ripple Current pk-pk]]/SQRT(12), SQRT(Table25[[#This Row],[Duty Cycle BOOST Leg]]/(1-Table25[[#This Row],[Duty Cycle BOOST Leg]]))*SQRT(Table25[[#This Row],[Iout]]^2+(Table25[[#This Row],[Ripple Current pk-pk]]^2)/12))</f>
        <v>2.0749916556776267</v>
      </c>
      <c r="AB51" s="345">
        <f>RCoutEsr*Table25[[#This Row],[Irms Cout]]^2</f>
        <v>8.6111807422635574E-3</v>
      </c>
      <c r="AC51" s="345">
        <f>Table25[[#This Row],[Cout ESR Loss]]</f>
        <v>8.6111807422635574E-3</v>
      </c>
      <c r="AD51" s="292">
        <f>IF(Table25[[#This Row],[Vin]]&gt;Vout, SQRT(Table25[[#This Row],[Duty Cycle BUCK Leg]]*(1-Table25[[#This Row],[Duty Cycle BUCK Leg]]))*SQRT(Table25[[#This Row],[Iout]]^2+(Table25[[#This Row],[Ripple Current pk-pk]]^2)/12), Table25[[#This Row],[Ripple Current pk-pk]]/SQRT(12))</f>
        <v>1.2188730689527412</v>
      </c>
      <c r="AE51" s="345">
        <f>RCinEsr*Table25[[#This Row],[Irms Cin]]^2</f>
        <v>2.9713031164365473E-3</v>
      </c>
      <c r="AF51" s="683">
        <f>Table25[[#This Row],[Cin ESR Loss]]</f>
        <v>2.9713031164365473E-3</v>
      </c>
      <c r="AG51" s="345">
        <f>Table25[[#This Row],[Irms Lf]]</f>
        <v>4.8707619443295602</v>
      </c>
      <c r="AH51" s="345">
        <f>Rdson1*Table25[[#This Row],[Irms BuCtrl]]^2</f>
        <v>8.303512671415178E-2</v>
      </c>
      <c r="AI51" s="345">
        <f>CHOOSE(Table25[[#This Row],[Mode Digit]], (Table25[[#This Row],[Vin]]*Table25[[#This Row],[Iout]]/2)*(Fsw)*(Tr_buck+Tf_buck), 0, (Table25[[#This Row],[Vin]]*Table25[[#This Row],[Avg IL]]/2)*(Fsw/1)*(Tr_buck+Tf_buck))</f>
        <v>0</v>
      </c>
      <c r="AJ51" s="253">
        <f>IF(Table25[[#This Row],[Vin]]&gt;Vout, IF(Table25[[#This Row],[Iout]]&gt;Table25[[#This Row],[Ripple Current pk-pk]]/2,0,ABS(Table25[[#This Row],[Iout]]-Table25[[#This Row],[Ripple Current pk-pk]]/2)*Vsd_Q1*Deadtime*Fsw),0)</f>
        <v>0</v>
      </c>
      <c r="AK51" s="345">
        <f>(Table25[[#This Row],[Dead Time Loss BuCtrl]]+Table25[[#This Row],[Transition Loss BuCtrl]]+Table25[[#This Row],[RDS(on) Loss BuCtrl]]*(1+RdsonTopTc*Ta-RdsonTopTc*25))/(1-Table25[[#This Row],[RDS(on) Loss BuCtrl]]*RdsonTopTc*ThetaJA_Q1)</f>
        <v>8.4867338978095938E-2</v>
      </c>
      <c r="AL51" s="345">
        <f>Table25[[#This Row],[Irms Lf]]</f>
        <v>4.8707619443295602</v>
      </c>
      <c r="AM51" s="345">
        <f>Rdson2*Table25[[#This Row],[Irms BuSync]]^2</f>
        <v>8.303512671415178E-2</v>
      </c>
      <c r="AN51"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51" s="345">
        <f>(Table25[[#This Row],[Deadtime Loss BuSync]]+Table25[[#This Row],[RDS(on) Loss BuSync]]*(1+RdsonBotTc*Ta-RdsonBotTc*25))/(1-Table25[[#This Row],[RDS(on) Loss BuSync]]*RdsonBotTc*ThetaJA_Q2)</f>
        <v>8.4867338978095938E-2</v>
      </c>
      <c r="AP51" s="345">
        <f>Table25[[#This Row],[Irms Lf]]</f>
        <v>4.8707619443295602</v>
      </c>
      <c r="AQ51" s="345">
        <f>Rdson4*Table25[[#This Row],[Irms BoCtlr]]^2</f>
        <v>8.303512671415178E-2</v>
      </c>
      <c r="AR51" s="345">
        <f>CHOOSE(Table25[[#This Row],[Mode Digit]], 0, (Vout*Table25[[#This Row],[Iin]]/2)*(Fsw)*(Tr_boost+Tf_boost), (Vout*Iout/2)*(Fsw/1)*(Tr_boost+Tf_boost))</f>
        <v>0.2803791547003251</v>
      </c>
      <c r="AS51" s="345">
        <f>IF(Table25[[#This Row],[Vin]]&gt;Vout, 0, IF(Table25[[#This Row],[Iin]]&gt;Table25[[#This Row],[Ripple Current pk-pk]]/2,0,ABS(Table25[[#This Row],[Iin]]-Table25[[#This Row],[Ripple Current pk-pk]]/2)*Vsd_Q4*Deadtime*Fsw))</f>
        <v>0</v>
      </c>
      <c r="AT51" s="345">
        <f>(Table25[[#This Row],[Dead Time Loss BoCtlr]]+Table25[[#This Row],[Transition Loss BoCtlr]]+Table25[[#This Row],[RDS(on) Loss BoCtlr]]*(1+RdsonTopTc*Ta-RdsonTopTc*25))/(1-Table25[[#This Row],[RDS(on) Loss BoCtlr]]*RdsonTopTc*ThetaJA_Q4)</f>
        <v>0.37143320219715054</v>
      </c>
      <c r="AU51" s="345">
        <f>Table25[[#This Row],[Irms Lf]]</f>
        <v>4.8707619443295602</v>
      </c>
      <c r="AV51" s="345">
        <f>Rdson3*Table25[[#This Row],[Irms BoSync]]^2</f>
        <v>8.303512671415178E-2</v>
      </c>
      <c r="AW51"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0.14076631578947368</v>
      </c>
      <c r="AX51" s="345">
        <f>(Table25[[#This Row],[Deadtime Loss BoSync]]+Table25[[#This Row],[RDS(on) Loss BoSync]]*(1+RdsonBotTc*Ta-RdsonBotTc*25))/(1-Table25[[#This Row],[RDS(on) Loss BoSync]]*RdsonBotTc*ThetaJA_Q3)</f>
        <v>0.22873973505365838</v>
      </c>
      <c r="AY51" s="345">
        <f>CHOOSE(Table25[[#This Row],[Mode Digit]], Rdson3*Table25[[#This Row],[Irms Lf]]^2, Rdson1*Table25[[#This Row],[Irms Lf]]^2, 0)</f>
        <v>8.303512671415178E-2</v>
      </c>
      <c r="AZ51" s="345">
        <f>CHOOSE(Table25[[#This Row],[Mode Digit]], 2*Deadtime*Fsw*IF(VfdSky_Q2&gt;0,VfdSky_Q2,0)*Table25[[#This Row],[Iout]], 2*Deadtime*Fsw*IF(VfdSky_Q3&gt;0,VfdSky_Q3,0)*Table25[[#This Row],[Iin]], 2*Deadtime*Fsw*IF(VfdSky_Q2&gt;0,VfdSky_Q2,0)*Table25[[#This Row],[Iout]]+2*Deadtime*Fsw*IF(VfdSky_Q3&gt;0,VfdSky_Q3,0)*Table25[[#This Row],[Iin]])</f>
        <v>0</v>
      </c>
      <c r="BA51"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51"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51" s="345">
        <f>CHOOSE(Table25[[#This Row],[Mode Digit]], Rs*Table25[[#This Row],[Irms BuSync]]^2, Rs*Table25[[#This Row],[Irms BoCtlr]]^2, Rs*(Table25[[#This Row],[Irms BuSync]]^2+Table25[[#This Row],[Irms BoCtlr]]^2))</f>
        <v>3.0841618493827799E-2</v>
      </c>
      <c r="BD51" s="345">
        <f t="shared" si="6"/>
        <v>0.64</v>
      </c>
      <c r="BE51" s="345">
        <f>IF(Vout&gt;8, Iq*Vout, Iq*Table25[[#This Row],[Vin]])</f>
        <v>4.8000000000000001E-2</v>
      </c>
      <c r="BF51" s="345">
        <f>CHOOSE(Table25[[#This Row],[Mode Digit]], (Qg_Q1+Qg_Q2)*Fsw, (Qg_Q3+Qg_Q4)*Fsw, (Qg_Q1+Qg_Q2+Qg_Q3+Qg_Q4)*Fsw)*IF(Vout&gt;8,  MIN( Table25[[#This Row],[Vin]], Vout), Table25[[#This Row],[Vin]])</f>
        <v>0.63998400000000011</v>
      </c>
      <c r="BG51" s="345">
        <f t="shared" si="4"/>
        <v>0.50594479787234037</v>
      </c>
      <c r="BH51" s="345">
        <f>Table25[[#This Row],[IQ Loss]]+Table25[[#This Row],[Switching Current Loss]]</f>
        <v>0.68798400000000015</v>
      </c>
      <c r="BI51"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3.5321485708169433</v>
      </c>
      <c r="BJ51" s="253">
        <f>Vout*Table25[[#This Row],[Iout]]</f>
        <v>53.76</v>
      </c>
      <c r="BK51" s="684">
        <f>Table25[[#This Row],[Pout]]/(Table25[[#This Row],[Pout]]+Table25[[#This Row],[Total Loss]])</f>
        <v>0.93834847079524397</v>
      </c>
      <c r="BL51" s="685">
        <f>IF(Table25[[#This Row],[Vin]]&gt;Vout,ThetaJA_Q1*(Table25[[#This Row],[Total Control Bu MOSFET Loss]]+Table25[[#This Row],[Reverse Recovery Loss MOSFET D BUCK]]),ThetaJA_Q4*(Table25[[#This Row],[Total Control Bo MOSFET Loss]]+Table25[[#This Row],[Reverse Recovery Loss MOSFET D BOOST]]))</f>
        <v>47.32267814281478</v>
      </c>
      <c r="BM51" s="685">
        <f>IF(Table25[[#This Row],[Vin]]&gt;Vout, Table25[[#This Row],[Total Sync Bu MOSFET Loss]]*ThetaJA_Q2, ThetaJA_Q3*Table25[[#This Row],[Total Sync Bo MOSFET Loss]])</f>
        <v>14.868082778487794</v>
      </c>
      <c r="BN51" s="640"/>
      <c r="BO51" s="292">
        <f>Table25[[#This Row],[EFF, h]]*100</f>
        <v>93.834847079524394</v>
      </c>
      <c r="BP51" s="345">
        <f>Table25[[#This Row],[Total Inductor Loss]]</f>
        <v>0.67861685325741439</v>
      </c>
      <c r="BQ51" s="345">
        <f>Table25[[#This Row],[Total Control Bu MOSFET Loss]]+Table25[[#This Row],[Total Sync Bu MOSFET Loss]]+Table25[[#This Row],[Total Control Bo MOSFET Loss]]+Table25[[#This Row],[Total Sync Bo MOSFET Loss]]+Table25[[#This Row],[Reverse Recovery Loss MOSFET D BUCK]]+Table25[[#This Row],[Reverse Recovery Loss MOSFET D BOOST]]</f>
        <v>1.4831236152070009</v>
      </c>
      <c r="BR51" s="345">
        <f xml:space="preserve"> Table25[[#This Row],[Total Control Bu MOSFET Loss]]+Table25[[#This Row],[Reverse Recovery Loss MOSFET D BUCK]]*0.66</f>
        <v>0.32022861897809596</v>
      </c>
      <c r="BS51" s="345">
        <f>Table25[[#This Row],[Total Sync Bu MOSFET Loss]]+Table25[[#This Row],[Reverse Recovery Loss MOSFET D BUCK]]*0.33</f>
        <v>0.20254797897809595</v>
      </c>
      <c r="BT51" s="345">
        <f xml:space="preserve"> Table25[[#This Row],[Total Control Bo MOSFET Loss]]+Table25[[#This Row],[Reverse Recovery Loss MOSFET D BOOST]]*0.66</f>
        <v>0.60679448219715049</v>
      </c>
      <c r="BU51" s="345">
        <f xml:space="preserve"> Table25[[#This Row],[Total Sync Bo MOSFET Loss]]+Table25[[#This Row],[Reverse Recovery Loss MOSFET D BOOST]]*0.33</f>
        <v>0.34642037505365841</v>
      </c>
      <c r="BV51" s="345">
        <f>Table25[[#This Row],[Isense Shunt Loss]]</f>
        <v>3.0841618493827799E-2</v>
      </c>
      <c r="CA51" s="253">
        <v>9.9964639999999996</v>
      </c>
      <c r="CB51" s="253">
        <v>10.493</v>
      </c>
      <c r="CC51" s="253">
        <v>5.1092279999999999</v>
      </c>
      <c r="CD51" s="253">
        <v>89.626660259106615</v>
      </c>
      <c r="CE51" s="253">
        <v>6204.9221585439973</v>
      </c>
    </row>
    <row r="52" spans="1:83" ht="13.6" x14ac:dyDescent="0.25">
      <c r="A52" s="691" t="s">
        <v>94</v>
      </c>
      <c r="B52" s="569">
        <f>Rgate2</f>
        <v>0.63</v>
      </c>
      <c r="C52" s="702" t="s">
        <v>118</v>
      </c>
      <c r="D52" s="255" t="s">
        <v>102</v>
      </c>
      <c r="G52" s="253">
        <v>43</v>
      </c>
      <c r="H52" s="286">
        <f t="shared" si="5"/>
        <v>12</v>
      </c>
      <c r="I52" s="292" t="str">
        <f>IF(Mode = 2,IF(Table25[[#This Row],[Vin]]&gt;Vout, "BUCK","BOOST"),IF(Table25[[#This Row],[Vin]]&gt;VIN_BB_to_buck, "BUCK", IF(Table25[[#This Row],[Vin]]&lt;=VIN_boost_to_BB,"BOOST","BUCK-BST")))</f>
        <v>BOOST</v>
      </c>
      <c r="J52" s="253">
        <f>IF(Table25[[#This Row],[Mode]]="BOOST",2, IF(Table25[[#This Row],[Mode]]="BUCK", 1,3))</f>
        <v>2</v>
      </c>
      <c r="K52" s="345">
        <f t="shared" si="7"/>
        <v>3.44</v>
      </c>
      <c r="L52" s="292">
        <f>Vout*Table25[[#This Row],[Iout]]/(Table25[[#This Row],[Vin]]*Efficiency)</f>
        <v>4.8280701754385973</v>
      </c>
      <c r="M52" s="682">
        <f>CHOOSE(Table25[[#This Row],[Mode Digit]],(Vout+(Rdson2+Rs+Rdcr)*Table25[[#This Row],[Iout]])/(Table25[[#This Row],[Vin]]+(Rs+Rdson2-Rdson1)*Table25[[#This Row],[Iout]])/Fsw,(Vout+(Rdson3+Rdcr)*Table25[[#This Row],[Iin]]-Table25[[#This Row],[Vin]])/(Vout+(Rdson3-Rdson4-Rs)*Table25[[#This Row],[Iin]])/Fsw,t1_Ph_II)</f>
        <v>6.3346898606534012E-7</v>
      </c>
      <c r="N52" s="518">
        <f>CHOOSE(Table25[[#This Row],[Mode Digit]],1/Fsw-Table25[[#This Row],[t1_Ph_II]],1/Fsw-Table25[[#This Row],[t1_Ph_II]],(Vout/Fsw-Table25[[#This Row],[Vin]]*t1_Ph_II)/(Table25[[#This Row],[Vin]]+Vout))</f>
        <v>1.8790938280050119E-6</v>
      </c>
      <c r="O52" s="518">
        <f>1/Fsw-(Table25[[#This Row],[t1_Ph_II]]+Table25[[#This Row],[t2_Ph_I]])</f>
        <v>0</v>
      </c>
      <c r="P52"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2.7165068885541306</v>
      </c>
      <c r="Q52" s="292">
        <f>CHOOSE(Table25[[#This Row],[Mode Digit]],Table25[[#This Row],[I_0]]+1/Lf*(Table25[[#This Row],[Vin]]-Vout)*Table25[[#This Row],[t1_Ph_II]],Table25[[#This Row],[I_0]]+1/Lf*Table25[[#This Row],[Vin]]*Table25[[#This Row],[t1_Ph_II]],Table25[[#This Row],[I_0]]+(Table25[[#This Row],[Vin]]-Vout)/L*Table25[[#This Row],[t1_Ph_II]])</f>
        <v>6.939633462323064</v>
      </c>
      <c r="R52" s="292">
        <f>CHOOSE(Table25[[#This Row],[Mode Digit]],0,0,Table25[[#This Row],[I_1]]+Table25[[#This Row],[Vin]]/L*Table25[[#This Row],[t2_Ph_I]])</f>
        <v>0</v>
      </c>
      <c r="S52" s="292">
        <f>Fsw*(Table25[[#This Row],[I_0]]*Table25[[#This Row],[t1_Ph_II]]+Table25[[#This Row],[I_1]]*Table25[[#This Row],[t2_Ph_I]]+Table25[[#This Row],[I_2]]*Table25[[#This Row],[t3_Ph_III]])</f>
        <v>5.8748960182560861</v>
      </c>
      <c r="T52" s="345">
        <f>CHOOSE(Table25[[#This Row],[Mode Digit]],(Vout+(Rdson2+Rs+Rdcr)*Table25[[#This Row],[Iout]])/(Table25[[#This Row],[Vin]]+(Rs+Rdson2-Rdson1)*Table25[[#This Row],[Iout]]),1,Fsw*Table25[[#This Row],[t2_Ph_I]]+Table25[[#This Row],[t1_Ph_II]])</f>
        <v>1</v>
      </c>
      <c r="U52" s="345">
        <f>CHOOSE(Table25[[#This Row],[Mode Digit]],0,(Vout+(Rdson3+Rdcr)*Table25[[#This Row],[Iin]]-Table25[[#This Row],[Vin]])/(Vout+(Rdson3-Rdson4-Rs)*Table25[[#This Row],[Iin]]),Fsw*Table25[[#This Row],[t1_Ph_II]]+Table25[[#This Row],[t3_Ph_III]])</f>
        <v>0.25212065645400539</v>
      </c>
      <c r="V52" s="292">
        <f>MAX(Table25[[#This Row],[I_0]:[I_2]])-MIN(Table25[[#This Row],[I_0]:[I_1]])</f>
        <v>4.2231265737689334</v>
      </c>
      <c r="W52"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4.979607895252979</v>
      </c>
      <c r="X52" s="345">
        <f>(Table25[[#This Row],[Irms Lf]]^2*Rdcr*(1+Ltc*Ta-Ltc*25))/(1-Table25[[#This Row],[Irms Lf]]^2*Rdcr*Ltc*ThetaCa)</f>
        <v>7.9855699537508706E-2</v>
      </c>
      <c r="Y52" s="345">
        <f>ABS(7.759*10^-3*Fsw^0.9458*(0.00787*Table25[[#This Row],[Ripple Current pk-pk]])^2.304)</f>
        <v>0.60250673623644546</v>
      </c>
      <c r="Z52" s="345">
        <f>Table25[[#This Row],[DCR    Loss]]+Table25[[#This Row],[Core Loss]]</f>
        <v>0.68236243577395417</v>
      </c>
      <c r="AA52" s="292">
        <f>IF(Table25[[#This Row],[Vin]]&gt;Vout, Table25[[#This Row],[Ripple Current pk-pk]]/SQRT(12), SQRT(Table25[[#This Row],[Duty Cycle BOOST Leg]]/(1-Table25[[#This Row],[Duty Cycle BOOST Leg]]))*SQRT(Table25[[#This Row],[Iout]]^2+(Table25[[#This Row],[Ripple Current pk-pk]]^2)/12))</f>
        <v>2.1190335764928143</v>
      </c>
      <c r="AB52" s="345">
        <f>RCoutEsr*Table25[[#This Row],[Irms Cout]]^2</f>
        <v>8.9806065966078572E-3</v>
      </c>
      <c r="AC52" s="345">
        <f>Table25[[#This Row],[Cout ESR Loss]]</f>
        <v>8.9806065966078572E-3</v>
      </c>
      <c r="AD52" s="292">
        <f>IF(Table25[[#This Row],[Vin]]&gt;Vout, SQRT(Table25[[#This Row],[Duty Cycle BUCK Leg]]*(1-Table25[[#This Row],[Duty Cycle BUCK Leg]]))*SQRT(Table25[[#This Row],[Iout]]^2+(Table25[[#This Row],[Ripple Current pk-pk]]^2)/12), Table25[[#This Row],[Ripple Current pk-pk]]/SQRT(12))</f>
        <v>1.2191116320936779</v>
      </c>
      <c r="AE52" s="345">
        <f>RCinEsr*Table25[[#This Row],[Irms Cin]]^2</f>
        <v>2.9724663430122219E-3</v>
      </c>
      <c r="AF52" s="683">
        <f>Table25[[#This Row],[Cin ESR Loss]]</f>
        <v>2.9724663430122219E-3</v>
      </c>
      <c r="AG52" s="345">
        <f>Table25[[#This Row],[Irms Lf]]</f>
        <v>4.979607895252979</v>
      </c>
      <c r="AH52" s="345">
        <f>Rdson1*Table25[[#This Row],[Irms BuCtrl]]^2</f>
        <v>8.6787731766630322E-2</v>
      </c>
      <c r="AI52" s="345">
        <f>CHOOSE(Table25[[#This Row],[Mode Digit]], (Table25[[#This Row],[Vin]]*Table25[[#This Row],[Iout]]/2)*(Fsw)*(Tr_buck+Tf_buck), 0, (Table25[[#This Row],[Vin]]*Table25[[#This Row],[Avg IL]]/2)*(Fsw/1)*(Tr_buck+Tf_buck))</f>
        <v>0</v>
      </c>
      <c r="AJ52" s="253">
        <f>IF(Table25[[#This Row],[Vin]]&gt;Vout, IF(Table25[[#This Row],[Iout]]&gt;Table25[[#This Row],[Ripple Current pk-pk]]/2,0,ABS(Table25[[#This Row],[Iout]]-Table25[[#This Row],[Ripple Current pk-pk]]/2)*Vsd_Q1*Deadtime*Fsw),0)</f>
        <v>0</v>
      </c>
      <c r="AK52" s="345">
        <f>(Table25[[#This Row],[Dead Time Loss BuCtrl]]+Table25[[#This Row],[Transition Loss BuCtrl]]+Table25[[#This Row],[RDS(on) Loss BuCtrl]]*(1+RdsonTopTc*Ta-RdsonTopTc*25))/(1-Table25[[#This Row],[RDS(on) Loss BuCtrl]]*RdsonTopTc*ThetaJA_Q1)</f>
        <v>8.8791290386891042E-2</v>
      </c>
      <c r="AL52" s="345">
        <f>Table25[[#This Row],[Irms Lf]]</f>
        <v>4.979607895252979</v>
      </c>
      <c r="AM52" s="345">
        <f>Rdson2*Table25[[#This Row],[Irms BuSync]]^2</f>
        <v>8.6787731766630322E-2</v>
      </c>
      <c r="AN52"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52" s="345">
        <f>(Table25[[#This Row],[Deadtime Loss BuSync]]+Table25[[#This Row],[RDS(on) Loss BuSync]]*(1+RdsonBotTc*Ta-RdsonBotTc*25))/(1-Table25[[#This Row],[RDS(on) Loss BuSync]]*RdsonBotTc*ThetaJA_Q2)</f>
        <v>8.8791290386891042E-2</v>
      </c>
      <c r="AP52" s="345">
        <f>Table25[[#This Row],[Irms Lf]]</f>
        <v>4.979607895252979</v>
      </c>
      <c r="AQ52" s="345">
        <f>Rdson4*Table25[[#This Row],[Irms BoCtlr]]^2</f>
        <v>8.6787731766630322E-2</v>
      </c>
      <c r="AR52" s="345">
        <f>CHOOSE(Table25[[#This Row],[Mode Digit]], 0, (Vout*Table25[[#This Row],[Iin]]/2)*(Fsw)*(Tr_boost+Tf_boost), (Vout*Iout/2)*(Fsw/1)*(Tr_boost+Tf_boost))</f>
        <v>0.28705484885985671</v>
      </c>
      <c r="AS52" s="345">
        <f>IF(Table25[[#This Row],[Vin]]&gt;Vout, 0, IF(Table25[[#This Row],[Iin]]&gt;Table25[[#This Row],[Ripple Current pk-pk]]/2,0,ABS(Table25[[#This Row],[Iin]]-Table25[[#This Row],[Ripple Current pk-pk]]/2)*Vsd_Q4*Deadtime*Fsw))</f>
        <v>0</v>
      </c>
      <c r="AT52" s="345">
        <f>(Table25[[#This Row],[Dead Time Loss BoCtlr]]+Table25[[#This Row],[Transition Loss BoCtlr]]+Table25[[#This Row],[RDS(on) Loss BoCtlr]]*(1+RdsonTopTc*Ta-RdsonTopTc*25))/(1-Table25[[#This Row],[RDS(on) Loss BoCtlr]]*RdsonTopTc*ThetaJA_Q4)</f>
        <v>0.38247301156168872</v>
      </c>
      <c r="AU52" s="345">
        <f>Table25[[#This Row],[Irms Lf]]</f>
        <v>4.979607895252979</v>
      </c>
      <c r="AV52" s="345">
        <f>Rdson3*Table25[[#This Row],[Irms BoSync]]^2</f>
        <v>8.6787731766630322E-2</v>
      </c>
      <c r="AW52"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0.14411789473684211</v>
      </c>
      <c r="AX52" s="345">
        <f>(Table25[[#This Row],[Deadtime Loss BoSync]]+Table25[[#This Row],[RDS(on) Loss BoSync]]*(1+RdsonBotTc*Ta-RdsonBotTc*25))/(1-Table25[[#This Row],[RDS(on) Loss BoSync]]*RdsonBotTc*ThetaJA_Q3)</f>
        <v>0.23623625272253002</v>
      </c>
      <c r="AY52" s="345">
        <f>CHOOSE(Table25[[#This Row],[Mode Digit]], Rdson3*Table25[[#This Row],[Irms Lf]]^2, Rdson1*Table25[[#This Row],[Irms Lf]]^2, 0)</f>
        <v>8.6787731766630322E-2</v>
      </c>
      <c r="AZ52" s="345">
        <f>CHOOSE(Table25[[#This Row],[Mode Digit]], 2*Deadtime*Fsw*IF(VfdSky_Q2&gt;0,VfdSky_Q2,0)*Table25[[#This Row],[Iout]], 2*Deadtime*Fsw*IF(VfdSky_Q3&gt;0,VfdSky_Q3,0)*Table25[[#This Row],[Iin]], 2*Deadtime*Fsw*IF(VfdSky_Q2&gt;0,VfdSky_Q2,0)*Table25[[#This Row],[Iout]]+2*Deadtime*Fsw*IF(VfdSky_Q3&gt;0,VfdSky_Q3,0)*Table25[[#This Row],[Iin]])</f>
        <v>0</v>
      </c>
      <c r="BA52"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52"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52" s="345">
        <f>CHOOSE(Table25[[#This Row],[Mode Digit]], Rs*Table25[[#This Row],[Irms BuSync]]^2, Rs*Table25[[#This Row],[Irms BoCtlr]]^2, Rs*(Table25[[#This Row],[Irms BuSync]]^2+Table25[[#This Row],[Irms BoCtlr]]^2))</f>
        <v>3.2235443227605541E-2</v>
      </c>
      <c r="BD52" s="345">
        <f t="shared" si="6"/>
        <v>0.64</v>
      </c>
      <c r="BE52" s="345">
        <f>IF(Vout&gt;8, Iq*Vout, Iq*Table25[[#This Row],[Vin]])</f>
        <v>4.8000000000000001E-2</v>
      </c>
      <c r="BF52" s="345">
        <f>CHOOSE(Table25[[#This Row],[Mode Digit]], (Qg_Q1+Qg_Q2)*Fsw, (Qg_Q3+Qg_Q4)*Fsw, (Qg_Q1+Qg_Q2+Qg_Q3+Qg_Q4)*Fsw)*IF(Vout&gt;8,  MIN( Table25[[#This Row],[Vin]], Vout), Table25[[#This Row],[Vin]])</f>
        <v>0.63998400000000011</v>
      </c>
      <c r="BG52" s="345">
        <f t="shared" si="4"/>
        <v>0.50594479787234037</v>
      </c>
      <c r="BH52" s="345">
        <f>Table25[[#This Row],[IQ Loss]]+Table25[[#This Row],[Switching Current Loss]]</f>
        <v>0.68798400000000015</v>
      </c>
      <c r="BI52"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3.564042796999181</v>
      </c>
      <c r="BJ52" s="253">
        <f>Vout*Table25[[#This Row],[Iout]]</f>
        <v>55.04</v>
      </c>
      <c r="BK52" s="684">
        <f>Table25[[#This Row],[Pout]]/(Table25[[#This Row],[Pout]]+Table25[[#This Row],[Total Loss]])</f>
        <v>0.93918435270165901</v>
      </c>
      <c r="BL52" s="685">
        <f>IF(Table25[[#This Row],[Vin]]&gt;Vout,ThetaJA_Q1*(Table25[[#This Row],[Total Control Bu MOSFET Loss]]+Table25[[#This Row],[Reverse Recovery Loss MOSFET D BUCK]]),ThetaJA_Q4*(Table25[[#This Row],[Total Control Bo MOSFET Loss]]+Table25[[#This Row],[Reverse Recovery Loss MOSFET D BOOST]]))</f>
        <v>48.040265751509764</v>
      </c>
      <c r="BM52" s="685">
        <f>IF(Table25[[#This Row],[Vin]]&gt;Vout, Table25[[#This Row],[Total Sync Bu MOSFET Loss]]*ThetaJA_Q2, ThetaJA_Q3*Table25[[#This Row],[Total Sync Bo MOSFET Loss]])</f>
        <v>15.355356426964452</v>
      </c>
      <c r="BN52" s="640"/>
      <c r="BO52" s="292">
        <f>Table25[[#This Row],[EFF, h]]*100</f>
        <v>93.918435270165901</v>
      </c>
      <c r="BP52" s="345">
        <f>Table25[[#This Row],[Total Inductor Loss]]</f>
        <v>0.68236243577395417</v>
      </c>
      <c r="BQ52" s="345">
        <f>Table25[[#This Row],[Total Control Bu MOSFET Loss]]+Table25[[#This Row],[Total Sync Bu MOSFET Loss]]+Table25[[#This Row],[Total Control Bo MOSFET Loss]]+Table25[[#This Row],[Total Sync Bo MOSFET Loss]]+Table25[[#This Row],[Reverse Recovery Loss MOSFET D BUCK]]+Table25[[#This Row],[Reverse Recovery Loss MOSFET D BOOST]]</f>
        <v>1.5095078450580008</v>
      </c>
      <c r="BR52" s="345">
        <f xml:space="preserve"> Table25[[#This Row],[Total Control Bu MOSFET Loss]]+Table25[[#This Row],[Reverse Recovery Loss MOSFET D BUCK]]*0.66</f>
        <v>0.32415257038689105</v>
      </c>
      <c r="BS52" s="345">
        <f>Table25[[#This Row],[Total Sync Bu MOSFET Loss]]+Table25[[#This Row],[Reverse Recovery Loss MOSFET D BUCK]]*0.33</f>
        <v>0.20647193038689104</v>
      </c>
      <c r="BT52" s="345">
        <f xml:space="preserve"> Table25[[#This Row],[Total Control Bo MOSFET Loss]]+Table25[[#This Row],[Reverse Recovery Loss MOSFET D BOOST]]*0.66</f>
        <v>0.61783429156168879</v>
      </c>
      <c r="BU52" s="345">
        <f xml:space="preserve"> Table25[[#This Row],[Total Sync Bo MOSFET Loss]]+Table25[[#This Row],[Reverse Recovery Loss MOSFET D BOOST]]*0.33</f>
        <v>0.35391689272253002</v>
      </c>
      <c r="BV52" s="345">
        <f>Table25[[#This Row],[Isense Shunt Loss]]</f>
        <v>3.2235443227605541E-2</v>
      </c>
      <c r="CA52" s="253">
        <v>9.9959819999999997</v>
      </c>
      <c r="CB52" s="253">
        <v>11.519</v>
      </c>
      <c r="CC52" s="253">
        <v>5.1101260000000002</v>
      </c>
      <c r="CD52" s="253">
        <v>88.591390420220321</v>
      </c>
      <c r="CE52" s="253">
        <v>7580.3207309739973</v>
      </c>
    </row>
    <row r="53" spans="1:83" x14ac:dyDescent="0.2">
      <c r="A53" s="691" t="s">
        <v>76</v>
      </c>
      <c r="B53" s="569">
        <f>Vsd_Q2</f>
        <v>0.75</v>
      </c>
      <c r="C53" s="255" t="s">
        <v>0</v>
      </c>
      <c r="D53" s="255" t="s">
        <v>107</v>
      </c>
      <c r="G53" s="253">
        <v>44</v>
      </c>
      <c r="H53" s="286">
        <f t="shared" si="5"/>
        <v>12</v>
      </c>
      <c r="I53" s="292" t="str">
        <f>IF(Mode = 2,IF(Table25[[#This Row],[Vin]]&gt;Vout, "BUCK","BOOST"),IF(Table25[[#This Row],[Vin]]&gt;VIN_BB_to_buck, "BUCK", IF(Table25[[#This Row],[Vin]]&lt;=VIN_boost_to_BB,"BOOST","BUCK-BST")))</f>
        <v>BOOST</v>
      </c>
      <c r="J53" s="253">
        <f>IF(Table25[[#This Row],[Mode]]="BOOST",2, IF(Table25[[#This Row],[Mode]]="BUCK", 1,3))</f>
        <v>2</v>
      </c>
      <c r="K53" s="345">
        <f t="shared" si="7"/>
        <v>3.52</v>
      </c>
      <c r="L53" s="292">
        <f>Vout*Table25[[#This Row],[Iout]]/(Table25[[#This Row],[Vin]]*Efficiency)</f>
        <v>4.9403508771929827</v>
      </c>
      <c r="M53" s="682">
        <f>CHOOSE(Table25[[#This Row],[Mode Digit]],(Vout+(Rdson2+Rs+Rdcr)*Table25[[#This Row],[Iout]])/(Table25[[#This Row],[Vin]]+(Rs+Rdson2-Rdson1)*Table25[[#This Row],[Iout]])/Fsw,(Vout+(Rdson3+Rdcr)*Table25[[#This Row],[Iin]]-Table25[[#This Row],[Vin]])/(Vout+(Rdson3-Rdson4-Rs)*Table25[[#This Row],[Iin]])/Fsw,t1_Ph_II)</f>
        <v>6.3359294937226865E-7</v>
      </c>
      <c r="N53" s="518">
        <f>CHOOSE(Table25[[#This Row],[Mode Digit]],1/Fsw-Table25[[#This Row],[t1_Ph_II]],1/Fsw-Table25[[#This Row],[t1_Ph_II]],(Vout/Fsw-Table25[[#This Row],[Vin]]*t1_Ph_II)/(Table25[[#This Row],[Vin]]+Vout))</f>
        <v>1.8789698646980831E-6</v>
      </c>
      <c r="O53" s="518">
        <f>1/Fsw-(Table25[[#This Row],[t1_Ph_II]]+Table25[[#This Row],[t2_Ph_I]])</f>
        <v>0</v>
      </c>
      <c r="P53"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2.8283743792854206</v>
      </c>
      <c r="Q53" s="292">
        <f>CHOOSE(Table25[[#This Row],[Mode Digit]],Table25[[#This Row],[I_0]]+1/Lf*(Table25[[#This Row],[Vin]]-Vout)*Table25[[#This Row],[t1_Ph_II]],Table25[[#This Row],[I_0]]+1/Lf*Table25[[#This Row],[Vin]]*Table25[[#This Row],[t1_Ph_II]],Table25[[#This Row],[I_0]]+(Table25[[#This Row],[Vin]]-Vout)/L*Table25[[#This Row],[t1_Ph_II]])</f>
        <v>7.0523273751005444</v>
      </c>
      <c r="R53" s="292">
        <f>CHOOSE(Table25[[#This Row],[Mode Digit]],0,0,Table25[[#This Row],[I_1]]+Table25[[#This Row],[Vin]]/L*Table25[[#This Row],[t2_Ph_I]])</f>
        <v>0</v>
      </c>
      <c r="S53" s="292">
        <f>Fsw*(Table25[[#This Row],[I_0]]*Table25[[#This Row],[t1_Ph_II]]+Table25[[#This Row],[I_1]]*Table25[[#This Row],[t2_Ph_I]]+Table25[[#This Row],[I_2]]*Table25[[#This Row],[t3_Ph_III]])</f>
        <v>5.987173174122467</v>
      </c>
      <c r="T53" s="345">
        <f>CHOOSE(Table25[[#This Row],[Mode Digit]],(Vout+(Rdson2+Rs+Rdcr)*Table25[[#This Row],[Iout]])/(Table25[[#This Row],[Vin]]+(Rs+Rdson2-Rdson1)*Table25[[#This Row],[Iout]]),1,Fsw*Table25[[#This Row],[t2_Ph_I]]+Table25[[#This Row],[t1_Ph_II]])</f>
        <v>1</v>
      </c>
      <c r="U53" s="345">
        <f>CHOOSE(Table25[[#This Row],[Mode Digit]],0,(Vout+(Rdson3+Rdcr)*Table25[[#This Row],[Iin]]-Table25[[#This Row],[Vin]])/(Vout+(Rdson3-Rdson4-Rs)*Table25[[#This Row],[Iin]]),Fsw*Table25[[#This Row],[t1_Ph_II]]+Table25[[#This Row],[t3_Ph_III]])</f>
        <v>0.25216999385016292</v>
      </c>
      <c r="V53" s="292">
        <f>MAX(Table25[[#This Row],[I_0]:[I_2]])-MIN(Table25[[#This Row],[I_0]:[I_1]])</f>
        <v>4.2239529958151234</v>
      </c>
      <c r="W53"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5.0886031186386935</v>
      </c>
      <c r="X53" s="345">
        <f>(Table25[[#This Row],[Irms Lf]]^2*Rdcr*(1+Ltc*Ta-Ltc*25))/(1-Table25[[#This Row],[Irms Lf]]^2*Rdcr*Ltc*ThetaCa)</f>
        <v>8.3413354694739691E-2</v>
      </c>
      <c r="Y53" s="345">
        <f>ABS(7.759*10^-3*Fsw^0.9458*(0.00787*Table25[[#This Row],[Ripple Current pk-pk]])^2.304)</f>
        <v>0.60277842244097701</v>
      </c>
      <c r="Z53" s="345">
        <f>Table25[[#This Row],[DCR    Loss]]+Table25[[#This Row],[Core Loss]]</f>
        <v>0.68619177713571666</v>
      </c>
      <c r="AA53" s="292">
        <f>IF(Table25[[#This Row],[Vin]]&gt;Vout, Table25[[#This Row],[Ripple Current pk-pk]]/SQRT(12), SQRT(Table25[[#This Row],[Duty Cycle BOOST Leg]]/(1-Table25[[#This Row],[Duty Cycle BOOST Leg]]))*SQRT(Table25[[#This Row],[Iout]]^2+(Table25[[#This Row],[Ripple Current pk-pk]]^2)/12))</f>
        <v>2.1631987209794024</v>
      </c>
      <c r="AB53" s="345">
        <f>RCoutEsr*Table25[[#This Row],[Irms Cout]]^2</f>
        <v>9.3588574128938441E-3</v>
      </c>
      <c r="AC53" s="345">
        <f>Table25[[#This Row],[Cout ESR Loss]]</f>
        <v>9.3588574128938441E-3</v>
      </c>
      <c r="AD53" s="292">
        <f>IF(Table25[[#This Row],[Vin]]&gt;Vout, SQRT(Table25[[#This Row],[Duty Cycle BUCK Leg]]*(1-Table25[[#This Row],[Duty Cycle BUCK Leg]]))*SQRT(Table25[[#This Row],[Iout]]^2+(Table25[[#This Row],[Ripple Current pk-pk]]^2)/12), Table25[[#This Row],[Ripple Current pk-pk]]/SQRT(12))</f>
        <v>1.2193501995890939</v>
      </c>
      <c r="AE53" s="345">
        <f>RCinEsr*Table25[[#This Row],[Irms Cin]]^2</f>
        <v>2.9736298184759261E-3</v>
      </c>
      <c r="AF53" s="683">
        <f>Table25[[#This Row],[Cin ESR Loss]]</f>
        <v>2.9736298184759261E-3</v>
      </c>
      <c r="AG53" s="345">
        <f>Table25[[#This Row],[Irms Lf]]</f>
        <v>5.0886031186386935</v>
      </c>
      <c r="AH53" s="345">
        <f>Rdson1*Table25[[#This Row],[Irms BuCtrl]]^2</f>
        <v>9.062858594656803E-2</v>
      </c>
      <c r="AI53" s="345">
        <f>CHOOSE(Table25[[#This Row],[Mode Digit]], (Table25[[#This Row],[Vin]]*Table25[[#This Row],[Iout]]/2)*(Fsw)*(Tr_buck+Tf_buck), 0, (Table25[[#This Row],[Vin]]*Table25[[#This Row],[Avg IL]]/2)*(Fsw/1)*(Tr_buck+Tf_buck))</f>
        <v>0</v>
      </c>
      <c r="AJ53" s="253">
        <f>IF(Table25[[#This Row],[Vin]]&gt;Vout, IF(Table25[[#This Row],[Iout]]&gt;Table25[[#This Row],[Ripple Current pk-pk]]/2,0,ABS(Table25[[#This Row],[Iout]]-Table25[[#This Row],[Ripple Current pk-pk]]/2)*Vsd_Q1*Deadtime*Fsw),0)</f>
        <v>0</v>
      </c>
      <c r="AK53" s="345">
        <f>(Table25[[#This Row],[Dead Time Loss BuCtrl]]+Table25[[#This Row],[Transition Loss BuCtrl]]+Table25[[#This Row],[RDS(on) Loss BuCtrl]]*(1+RdsonTopTc*Ta-RdsonTopTc*25))/(1-Table25[[#This Row],[RDS(on) Loss BuCtrl]]*RdsonTopTc*ThetaJA_Q1)</f>
        <v>9.2815641024509676E-2</v>
      </c>
      <c r="AL53" s="345">
        <f>Table25[[#This Row],[Irms Lf]]</f>
        <v>5.0886031186386935</v>
      </c>
      <c r="AM53" s="345">
        <f>Rdson2*Table25[[#This Row],[Irms BuSync]]^2</f>
        <v>9.062858594656803E-2</v>
      </c>
      <c r="AN53"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53" s="345">
        <f>(Table25[[#This Row],[Deadtime Loss BuSync]]+Table25[[#This Row],[RDS(on) Loss BuSync]]*(1+RdsonBotTc*Ta-RdsonBotTc*25))/(1-Table25[[#This Row],[RDS(on) Loss BuSync]]*RdsonBotTc*ThetaJA_Q2)</f>
        <v>9.2815641024509676E-2</v>
      </c>
      <c r="AP53" s="345">
        <f>Table25[[#This Row],[Irms Lf]]</f>
        <v>5.0886031186386935</v>
      </c>
      <c r="AQ53" s="345">
        <f>Rdson4*Table25[[#This Row],[Irms BoCtlr]]^2</f>
        <v>9.062858594656803E-2</v>
      </c>
      <c r="AR53" s="345">
        <f>CHOOSE(Table25[[#This Row],[Mode Digit]], 0, (Vout*Table25[[#This Row],[Iin]]/2)*(Fsw)*(Tr_boost+Tf_boost), (Vout*Iout/2)*(Fsw/1)*(Tr_boost+Tf_boost))</f>
        <v>0.29373054301938822</v>
      </c>
      <c r="AS53" s="345">
        <f>IF(Table25[[#This Row],[Vin]]&gt;Vout, 0, IF(Table25[[#This Row],[Iin]]&gt;Table25[[#This Row],[Ripple Current pk-pk]]/2,0,ABS(Table25[[#This Row],[Iin]]-Table25[[#This Row],[Ripple Current pk-pk]]/2)*Vsd_Q4*Deadtime*Fsw))</f>
        <v>0</v>
      </c>
      <c r="AT53" s="345">
        <f>(Table25[[#This Row],[Dead Time Loss BoCtlr]]+Table25[[#This Row],[Transition Loss BoCtlr]]+Table25[[#This Row],[RDS(on) Loss BoCtlr]]*(1+RdsonTopTc*Ta-RdsonTopTc*25))/(1-Table25[[#This Row],[RDS(on) Loss BoCtlr]]*RdsonTopTc*ThetaJA_Q4)</f>
        <v>0.39363450908999159</v>
      </c>
      <c r="AU53" s="345">
        <f>Table25[[#This Row],[Irms Lf]]</f>
        <v>5.0886031186386935</v>
      </c>
      <c r="AV53" s="345">
        <f>Rdson3*Table25[[#This Row],[Irms BoSync]]^2</f>
        <v>9.062858594656803E-2</v>
      </c>
      <c r="AW53"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0.14746947368421051</v>
      </c>
      <c r="AX53" s="345">
        <f>(Table25[[#This Row],[Deadtime Loss BoSync]]+Table25[[#This Row],[RDS(on) Loss BoSync]]*(1+RdsonBotTc*Ta-RdsonBotTc*25))/(1-Table25[[#This Row],[RDS(on) Loss BoSync]]*RdsonBotTc*ThetaJA_Q3)</f>
        <v>0.24384385787892243</v>
      </c>
      <c r="AY53" s="345">
        <f>CHOOSE(Table25[[#This Row],[Mode Digit]], Rdson3*Table25[[#This Row],[Irms Lf]]^2, Rdson1*Table25[[#This Row],[Irms Lf]]^2, 0)</f>
        <v>9.062858594656803E-2</v>
      </c>
      <c r="AZ53" s="345">
        <f>CHOOSE(Table25[[#This Row],[Mode Digit]], 2*Deadtime*Fsw*IF(VfdSky_Q2&gt;0,VfdSky_Q2,0)*Table25[[#This Row],[Iout]], 2*Deadtime*Fsw*IF(VfdSky_Q3&gt;0,VfdSky_Q3,0)*Table25[[#This Row],[Iin]], 2*Deadtime*Fsw*IF(VfdSky_Q2&gt;0,VfdSky_Q2,0)*Table25[[#This Row],[Iout]]+2*Deadtime*Fsw*IF(VfdSky_Q3&gt;0,VfdSky_Q3,0)*Table25[[#This Row],[Iin]])</f>
        <v>0</v>
      </c>
      <c r="BA53"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53"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53" s="345">
        <f>CHOOSE(Table25[[#This Row],[Mode Digit]], Rs*Table25[[#This Row],[Irms BuSync]]^2, Rs*Table25[[#This Row],[Irms BoCtlr]]^2, Rs*(Table25[[#This Row],[Irms BuSync]]^2+Table25[[#This Row],[Irms BoCtlr]]^2))</f>
        <v>3.3662046208725267E-2</v>
      </c>
      <c r="BD53" s="345">
        <f t="shared" si="6"/>
        <v>0.64</v>
      </c>
      <c r="BE53" s="345">
        <f>IF(Vout&gt;8, Iq*Vout, Iq*Table25[[#This Row],[Vin]])</f>
        <v>4.8000000000000001E-2</v>
      </c>
      <c r="BF53" s="345">
        <f>CHOOSE(Table25[[#This Row],[Mode Digit]], (Qg_Q1+Qg_Q2)*Fsw, (Qg_Q3+Qg_Q4)*Fsw, (Qg_Q1+Qg_Q2+Qg_Q3+Qg_Q4)*Fsw)*IF(Vout&gt;8,  MIN( Table25[[#This Row],[Vin]], Vout), Table25[[#This Row],[Vin]])</f>
        <v>0.63998400000000011</v>
      </c>
      <c r="BG53" s="345">
        <f t="shared" si="4"/>
        <v>0.50594479787234037</v>
      </c>
      <c r="BH53" s="345">
        <f>Table25[[#This Row],[IQ Loss]]+Table25[[#This Row],[Switching Current Loss]]</f>
        <v>0.68798400000000015</v>
      </c>
      <c r="BI53"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3.5964959595937454</v>
      </c>
      <c r="BJ53" s="253">
        <f>Vout*Table25[[#This Row],[Iout]]</f>
        <v>56.32</v>
      </c>
      <c r="BK53" s="684">
        <f>Table25[[#This Row],[Pout]]/(Table25[[#This Row],[Pout]]+Table25[[#This Row],[Total Loss]])</f>
        <v>0.93997486164713073</v>
      </c>
      <c r="BL53" s="685">
        <f>IF(Table25[[#This Row],[Vin]]&gt;Vout,ThetaJA_Q1*(Table25[[#This Row],[Total Control Bu MOSFET Loss]]+Table25[[#This Row],[Reverse Recovery Loss MOSFET D BUCK]]),ThetaJA_Q4*(Table25[[#This Row],[Total Control Bo MOSFET Loss]]+Table25[[#This Row],[Reverse Recovery Loss MOSFET D BOOST]]))</f>
        <v>48.765763090849454</v>
      </c>
      <c r="BM53" s="685">
        <f>IF(Table25[[#This Row],[Vin]]&gt;Vout, Table25[[#This Row],[Total Sync Bu MOSFET Loss]]*ThetaJA_Q2, ThetaJA_Q3*Table25[[#This Row],[Total Sync Bo MOSFET Loss]])</f>
        <v>15.849850762129957</v>
      </c>
      <c r="BN53" s="640"/>
      <c r="BO53" s="292">
        <f>Table25[[#This Row],[EFF, h]]*100</f>
        <v>93.997486164713067</v>
      </c>
      <c r="BP53" s="345">
        <f>Table25[[#This Row],[Total Inductor Loss]]</f>
        <v>0.68619177713571666</v>
      </c>
      <c r="BQ53" s="345">
        <f>Table25[[#This Row],[Total Control Bu MOSFET Loss]]+Table25[[#This Row],[Total Sync Bu MOSFET Loss]]+Table25[[#This Row],[Total Control Bo MOSFET Loss]]+Table25[[#This Row],[Total Sync Bo MOSFET Loss]]+Table25[[#This Row],[Reverse Recovery Loss MOSFET D BUCK]]+Table25[[#This Row],[Reverse Recovery Loss MOSFET D BOOST]]</f>
        <v>1.5363256490179333</v>
      </c>
      <c r="BR53" s="345">
        <f xml:space="preserve"> Table25[[#This Row],[Total Control Bu MOSFET Loss]]+Table25[[#This Row],[Reverse Recovery Loss MOSFET D BUCK]]*0.66</f>
        <v>0.32817692102450968</v>
      </c>
      <c r="BS53" s="345">
        <f>Table25[[#This Row],[Total Sync Bu MOSFET Loss]]+Table25[[#This Row],[Reverse Recovery Loss MOSFET D BUCK]]*0.33</f>
        <v>0.21049628102450968</v>
      </c>
      <c r="BT53" s="345">
        <f xml:space="preserve"> Table25[[#This Row],[Total Control Bo MOSFET Loss]]+Table25[[#This Row],[Reverse Recovery Loss MOSFET D BOOST]]*0.66</f>
        <v>0.62899578908999154</v>
      </c>
      <c r="BU53" s="345">
        <f xml:space="preserve"> Table25[[#This Row],[Total Sync Bo MOSFET Loss]]+Table25[[#This Row],[Reverse Recovery Loss MOSFET D BOOST]]*0.33</f>
        <v>0.36152449787892244</v>
      </c>
      <c r="BV53" s="345">
        <f>Table25[[#This Row],[Isense Shunt Loss]]</f>
        <v>3.3662046208725267E-2</v>
      </c>
      <c r="CA53" s="253">
        <v>9.9955739999999995</v>
      </c>
      <c r="CB53" s="253">
        <v>12.605</v>
      </c>
      <c r="CC53" s="253">
        <v>5.1111979999999999</v>
      </c>
      <c r="CD53" s="253">
        <v>87.386508098290477</v>
      </c>
      <c r="CE53" s="253">
        <v>9299.4335961019988</v>
      </c>
    </row>
    <row r="54" spans="1:83" x14ac:dyDescent="0.2">
      <c r="A54" s="691" t="s">
        <v>77</v>
      </c>
      <c r="B54" s="569">
        <f>Qrr_Q2*1000000000</f>
        <v>45</v>
      </c>
      <c r="C54" s="255" t="s">
        <v>69</v>
      </c>
      <c r="D54" s="255" t="s">
        <v>112</v>
      </c>
      <c r="G54" s="253">
        <v>45</v>
      </c>
      <c r="H54" s="286">
        <f t="shared" si="5"/>
        <v>12</v>
      </c>
      <c r="I54" s="292" t="str">
        <f>IF(Mode = 2,IF(Table25[[#This Row],[Vin]]&gt;Vout, "BUCK","BOOST"),IF(Table25[[#This Row],[Vin]]&gt;VIN_BB_to_buck, "BUCK", IF(Table25[[#This Row],[Vin]]&lt;=VIN_boost_to_BB,"BOOST","BUCK-BST")))</f>
        <v>BOOST</v>
      </c>
      <c r="J54" s="253">
        <f>IF(Table25[[#This Row],[Mode]]="BOOST",2, IF(Table25[[#This Row],[Mode]]="BUCK", 1,3))</f>
        <v>2</v>
      </c>
      <c r="K54" s="345">
        <f t="shared" si="7"/>
        <v>3.6</v>
      </c>
      <c r="L54" s="292">
        <f>Vout*Table25[[#This Row],[Iout]]/(Table25[[#This Row],[Vin]]*Efficiency)</f>
        <v>5.052631578947369</v>
      </c>
      <c r="M54" s="682">
        <f>CHOOSE(Table25[[#This Row],[Mode Digit]],(Vout+(Rdson2+Rs+Rdcr)*Table25[[#This Row],[Iout]])/(Table25[[#This Row],[Vin]]+(Rs+Rdson2-Rdson1)*Table25[[#This Row],[Iout]])/Fsw,(Vout+(Rdson3+Rdcr)*Table25[[#This Row],[Iin]]-Table25[[#This Row],[Vin]])/(Vout+(Rdson3-Rdson4-Rs)*Table25[[#This Row],[Iin]])/Fsw,t1_Ph_II)</f>
        <v>6.3371691494191325E-7</v>
      </c>
      <c r="N54" s="518">
        <f>CHOOSE(Table25[[#This Row],[Mode Digit]],1/Fsw-Table25[[#This Row],[t1_Ph_II]],1/Fsw-Table25[[#This Row],[t1_Ph_II]],(Vout/Fsw-Table25[[#This Row],[Vin]]*t1_Ph_II)/(Table25[[#This Row],[Vin]]+Vout))</f>
        <v>1.8788458991284386E-6</v>
      </c>
      <c r="O54" s="518">
        <f>1/Fsw-(Table25[[#This Row],[t1_Ph_II]]+Table25[[#This Row],[t2_Ph_I]])</f>
        <v>0</v>
      </c>
      <c r="P54"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2.9402418624743252</v>
      </c>
      <c r="Q54" s="292">
        <f>CHOOSE(Table25[[#This Row],[Mode Digit]],Table25[[#This Row],[I_0]]+1/Lf*(Table25[[#This Row],[Vin]]-Vout)*Table25[[#This Row],[t1_Ph_II]],Table25[[#This Row],[I_0]]+1/Lf*Table25[[#This Row],[Vin]]*Table25[[#This Row],[t1_Ph_II]],Table25[[#This Row],[I_0]]+(Table25[[#This Row],[Vin]]-Vout)/L*Table25[[#This Row],[t1_Ph_II]])</f>
        <v>7.1650212954204129</v>
      </c>
      <c r="R54" s="292">
        <f>CHOOSE(Table25[[#This Row],[Mode Digit]],0,0,Table25[[#This Row],[I_1]]+Table25[[#This Row],[Vin]]/L*Table25[[#This Row],[t2_Ph_I]])</f>
        <v>0</v>
      </c>
      <c r="S54" s="292">
        <f>Fsw*(Table25[[#This Row],[I_0]]*Table25[[#This Row],[t1_Ph_II]]+Table25[[#This Row],[I_1]]*Table25[[#This Row],[t2_Ph_I]]+Table25[[#This Row],[I_2]]*Table25[[#This Row],[t3_Ph_III]])</f>
        <v>6.09945024837487</v>
      </c>
      <c r="T54" s="345">
        <f>CHOOSE(Table25[[#This Row],[Mode Digit]],(Vout+(Rdson2+Rs+Rdcr)*Table25[[#This Row],[Iout]])/(Table25[[#This Row],[Vin]]+(Rs+Rdson2-Rdson1)*Table25[[#This Row],[Iout]]),1,Fsw*Table25[[#This Row],[t2_Ph_I]]+Table25[[#This Row],[t1_Ph_II]])</f>
        <v>1</v>
      </c>
      <c r="U54" s="345">
        <f>CHOOSE(Table25[[#This Row],[Mode Digit]],0,(Vout+(Rdson3+Rdcr)*Table25[[#This Row],[Iin]]-Table25[[#This Row],[Vin]])/(Vout+(Rdson3-Rdson4-Rs)*Table25[[#This Row],[Iin]]),Fsw*Table25[[#This Row],[t1_Ph_II]]+Table25[[#This Row],[t3_Ph_III]])</f>
        <v>0.25221933214688147</v>
      </c>
      <c r="V54" s="292">
        <f>MAX(Table25[[#This Row],[I_0]:[I_2]])-MIN(Table25[[#This Row],[I_0]:[I_1]])</f>
        <v>4.2247794329460877</v>
      </c>
      <c r="W54"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5.1977382238812817</v>
      </c>
      <c r="X54" s="345">
        <f>(Table25[[#This Row],[Irms Lf]]^2*Rdcr*(1+Ltc*Ta-Ltc*25))/(1-Table25[[#This Row],[Irms Lf]]^2*Rdcr*Ltc*ThetaCa)</f>
        <v>8.7054834811834028E-2</v>
      </c>
      <c r="Y54" s="345">
        <f>ABS(7.759*10^-3*Fsw^0.9458*(0.00787*Table25[[#This Row],[Ripple Current pk-pk]])^2.304)</f>
        <v>0.60305018293049129</v>
      </c>
      <c r="Z54" s="345">
        <f>Table25[[#This Row],[DCR    Loss]]+Table25[[#This Row],[Core Loss]]</f>
        <v>0.69010501774232536</v>
      </c>
      <c r="AA54" s="292">
        <f>IF(Table25[[#This Row],[Vin]]&gt;Vout, Table25[[#This Row],[Ripple Current pk-pk]]/SQRT(12), SQRT(Table25[[#This Row],[Duty Cycle BOOST Leg]]/(1-Table25[[#This Row],[Duty Cycle BOOST Leg]]))*SQRT(Table25[[#This Row],[Iout]]^2+(Table25[[#This Row],[Ripple Current pk-pk]]^2)/12))</f>
        <v>2.2074804654272189</v>
      </c>
      <c r="AB54" s="345">
        <f>RCoutEsr*Table25[[#This Row],[Irms Cout]]^2</f>
        <v>9.7459400104855428E-3</v>
      </c>
      <c r="AC54" s="345">
        <f>Table25[[#This Row],[Cout ESR Loss]]</f>
        <v>9.7459400104855428E-3</v>
      </c>
      <c r="AD54" s="292">
        <f>IF(Table25[[#This Row],[Vin]]&gt;Vout, SQRT(Table25[[#This Row],[Duty Cycle BUCK Leg]]*(1-Table25[[#This Row],[Duty Cycle BUCK Leg]]))*SQRT(Table25[[#This Row],[Iout]]^2+(Table25[[#This Row],[Ripple Current pk-pk]]^2)/12), Table25[[#This Row],[Ripple Current pk-pk]]/SQRT(12))</f>
        <v>1.2195887714391092</v>
      </c>
      <c r="AE54" s="345">
        <f>RCinEsr*Table25[[#This Row],[Irms Cin]]^2</f>
        <v>2.9747935428407111E-3</v>
      </c>
      <c r="AF54" s="683">
        <f>Table25[[#This Row],[Cin ESR Loss]]</f>
        <v>2.9747935428407111E-3</v>
      </c>
      <c r="AG54" s="345">
        <f>Table25[[#This Row],[Irms Lf]]</f>
        <v>5.1977382238812817</v>
      </c>
      <c r="AH54" s="345">
        <f>Rdson1*Table25[[#This Row],[Irms BuCtrl]]^2</f>
        <v>9.4557689253987887E-2</v>
      </c>
      <c r="AI54" s="345">
        <f>CHOOSE(Table25[[#This Row],[Mode Digit]], (Table25[[#This Row],[Vin]]*Table25[[#This Row],[Iout]]/2)*(Fsw)*(Tr_buck+Tf_buck), 0, (Table25[[#This Row],[Vin]]*Table25[[#This Row],[Avg IL]]/2)*(Fsw/1)*(Tr_buck+Tf_buck))</f>
        <v>0</v>
      </c>
      <c r="AJ54" s="253">
        <f>IF(Table25[[#This Row],[Vin]]&gt;Vout, IF(Table25[[#This Row],[Iout]]&gt;Table25[[#This Row],[Ripple Current pk-pk]]/2,0,ABS(Table25[[#This Row],[Iout]]-Table25[[#This Row],[Ripple Current pk-pk]]/2)*Vsd_Q1*Deadtime*Fsw),0)</f>
        <v>0</v>
      </c>
      <c r="AK54" s="345">
        <f>(Table25[[#This Row],[Dead Time Loss BuCtrl]]+Table25[[#This Row],[Transition Loss BuCtrl]]+Table25[[#This Row],[RDS(on) Loss BuCtrl]]*(1+RdsonTopTc*Ta-RdsonTopTc*25))/(1-Table25[[#This Row],[RDS(on) Loss BuCtrl]]*RdsonTopTc*ThetaJA_Q1)</f>
        <v>9.6940983250227153E-2</v>
      </c>
      <c r="AL54" s="345">
        <f>Table25[[#This Row],[Irms Lf]]</f>
        <v>5.1977382238812817</v>
      </c>
      <c r="AM54" s="345">
        <f>Rdson2*Table25[[#This Row],[Irms BuSync]]^2</f>
        <v>9.4557689253987887E-2</v>
      </c>
      <c r="AN54"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54" s="345">
        <f>(Table25[[#This Row],[Deadtime Loss BuSync]]+Table25[[#This Row],[RDS(on) Loss BuSync]]*(1+RdsonBotTc*Ta-RdsonBotTc*25))/(1-Table25[[#This Row],[RDS(on) Loss BuSync]]*RdsonBotTc*ThetaJA_Q2)</f>
        <v>9.6940983250227153E-2</v>
      </c>
      <c r="AP54" s="345">
        <f>Table25[[#This Row],[Irms Lf]]</f>
        <v>5.1977382238812817</v>
      </c>
      <c r="AQ54" s="345">
        <f>Rdson4*Table25[[#This Row],[Irms BoCtlr]]^2</f>
        <v>9.4557689253987887E-2</v>
      </c>
      <c r="AR54" s="345">
        <f>CHOOSE(Table25[[#This Row],[Mode Digit]], 0, (Vout*Table25[[#This Row],[Iin]]/2)*(Fsw)*(Tr_boost+Tf_boost), (Vout*Iout/2)*(Fsw/1)*(Tr_boost+Tf_boost))</f>
        <v>0.30040623717891973</v>
      </c>
      <c r="AS54" s="345">
        <f>IF(Table25[[#This Row],[Vin]]&gt;Vout, 0, IF(Table25[[#This Row],[Iin]]&gt;Table25[[#This Row],[Ripple Current pk-pk]]/2,0,ABS(Table25[[#This Row],[Iin]]-Table25[[#This Row],[Ripple Current pk-pk]]/2)*Vsd_Q4*Deadtime*Fsw))</f>
        <v>0</v>
      </c>
      <c r="AT54" s="345">
        <f>(Table25[[#This Row],[Dead Time Loss BoCtlr]]+Table25[[#This Row],[Transition Loss BoCtlr]]+Table25[[#This Row],[RDS(on) Loss BoCtlr]]*(1+RdsonTopTc*Ta-RdsonTopTc*25))/(1-Table25[[#This Row],[RDS(on) Loss BoCtlr]]*RdsonTopTc*ThetaJA_Q4)</f>
        <v>0.40491885619086948</v>
      </c>
      <c r="AU54" s="345">
        <f>Table25[[#This Row],[Irms Lf]]</f>
        <v>5.1977382238812817</v>
      </c>
      <c r="AV54" s="345">
        <f>Rdson3*Table25[[#This Row],[Irms BoSync]]^2</f>
        <v>9.4557689253987887E-2</v>
      </c>
      <c r="AW54"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0.15082105263157894</v>
      </c>
      <c r="AX54" s="345">
        <f>(Table25[[#This Row],[Deadtime Loss BoSync]]+Table25[[#This Row],[RDS(on) Loss BoSync]]*(1+RdsonBotTc*Ta-RdsonBotTc*25))/(1-Table25[[#This Row],[RDS(on) Loss BoSync]]*RdsonBotTc*ThetaJA_Q3)</f>
        <v>0.25156342857741038</v>
      </c>
      <c r="AY54" s="345">
        <f>CHOOSE(Table25[[#This Row],[Mode Digit]], Rdson3*Table25[[#This Row],[Irms Lf]]^2, Rdson1*Table25[[#This Row],[Irms Lf]]^2, 0)</f>
        <v>9.4557689253987887E-2</v>
      </c>
      <c r="AZ54" s="345">
        <f>CHOOSE(Table25[[#This Row],[Mode Digit]], 2*Deadtime*Fsw*IF(VfdSky_Q2&gt;0,VfdSky_Q2,0)*Table25[[#This Row],[Iout]], 2*Deadtime*Fsw*IF(VfdSky_Q3&gt;0,VfdSky_Q3,0)*Table25[[#This Row],[Iin]], 2*Deadtime*Fsw*IF(VfdSky_Q2&gt;0,VfdSky_Q2,0)*Table25[[#This Row],[Iout]]+2*Deadtime*Fsw*IF(VfdSky_Q3&gt;0,VfdSky_Q3,0)*Table25[[#This Row],[Iin]])</f>
        <v>0</v>
      </c>
      <c r="BA54"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54"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54" s="345">
        <f>CHOOSE(Table25[[#This Row],[Mode Digit]], Rs*Table25[[#This Row],[Irms BuSync]]^2, Rs*Table25[[#This Row],[Irms BoCtlr]]^2, Rs*(Table25[[#This Row],[Irms BuSync]]^2+Table25[[#This Row],[Irms BoCtlr]]^2))</f>
        <v>3.5121427437195499E-2</v>
      </c>
      <c r="BD54" s="345">
        <f t="shared" si="6"/>
        <v>0.64</v>
      </c>
      <c r="BE54" s="345">
        <f>IF(Vout&gt;8, Iq*Vout, Iq*Table25[[#This Row],[Vin]])</f>
        <v>4.8000000000000001E-2</v>
      </c>
      <c r="BF54" s="345">
        <f>CHOOSE(Table25[[#This Row],[Mode Digit]], (Qg_Q1+Qg_Q2)*Fsw, (Qg_Q3+Qg_Q4)*Fsw, (Qg_Q1+Qg_Q2+Qg_Q3+Qg_Q4)*Fsw)*IF(Vout&gt;8,  MIN( Table25[[#This Row],[Vin]], Vout), Table25[[#This Row],[Vin]])</f>
        <v>0.63998400000000011</v>
      </c>
      <c r="BG54" s="345">
        <f t="shared" si="4"/>
        <v>0.50594479787234037</v>
      </c>
      <c r="BH54" s="345">
        <f>Table25[[#This Row],[IQ Loss]]+Table25[[#This Row],[Switching Current Loss]]</f>
        <v>0.68798400000000015</v>
      </c>
      <c r="BI54"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3.6295114300015818</v>
      </c>
      <c r="BJ54" s="253">
        <f>Vout*Table25[[#This Row],[Iout]]</f>
        <v>57.6</v>
      </c>
      <c r="BK54" s="684">
        <f>Table25[[#This Row],[Pout]]/(Table25[[#This Row],[Pout]]+Table25[[#This Row],[Total Loss]])</f>
        <v>0.94072284189053368</v>
      </c>
      <c r="BL54" s="685">
        <f>IF(Table25[[#This Row],[Vin]]&gt;Vout,ThetaJA_Q1*(Table25[[#This Row],[Total Control Bu MOSFET Loss]]+Table25[[#This Row],[Reverse Recovery Loss MOSFET D BUCK]]),ThetaJA_Q4*(Table25[[#This Row],[Total Control Bo MOSFET Loss]]+Table25[[#This Row],[Reverse Recovery Loss MOSFET D BOOST]]))</f>
        <v>49.499245652406515</v>
      </c>
      <c r="BM54" s="685">
        <f>IF(Table25[[#This Row],[Vin]]&gt;Vout, Table25[[#This Row],[Total Sync Bu MOSFET Loss]]*ThetaJA_Q2, ThetaJA_Q3*Table25[[#This Row],[Total Sync Bo MOSFET Loss]])</f>
        <v>16.351622857531673</v>
      </c>
      <c r="BN54" s="640"/>
      <c r="BO54" s="292">
        <f>Table25[[#This Row],[EFF, h]]*100</f>
        <v>94.072284189053363</v>
      </c>
      <c r="BP54" s="345">
        <f>Table25[[#This Row],[Total Inductor Loss]]</f>
        <v>0.69010501774232536</v>
      </c>
      <c r="BQ54" s="345">
        <f>Table25[[#This Row],[Total Control Bu MOSFET Loss]]+Table25[[#This Row],[Total Sync Bu MOSFET Loss]]+Table25[[#This Row],[Total Control Bo MOSFET Loss]]+Table25[[#This Row],[Total Sync Bo MOSFET Loss]]+Table25[[#This Row],[Reverse Recovery Loss MOSFET D BUCK]]+Table25[[#This Row],[Reverse Recovery Loss MOSFET D BOOST]]</f>
        <v>1.5635802512687342</v>
      </c>
      <c r="BR54" s="345">
        <f xml:space="preserve"> Table25[[#This Row],[Total Control Bu MOSFET Loss]]+Table25[[#This Row],[Reverse Recovery Loss MOSFET D BUCK]]*0.66</f>
        <v>0.33230226325022716</v>
      </c>
      <c r="BS54" s="345">
        <f>Table25[[#This Row],[Total Sync Bu MOSFET Loss]]+Table25[[#This Row],[Reverse Recovery Loss MOSFET D BUCK]]*0.33</f>
        <v>0.21462162325022716</v>
      </c>
      <c r="BT54" s="345">
        <f xml:space="preserve"> Table25[[#This Row],[Total Control Bo MOSFET Loss]]+Table25[[#This Row],[Reverse Recovery Loss MOSFET D BOOST]]*0.66</f>
        <v>0.64028013619086943</v>
      </c>
      <c r="BU54" s="345">
        <f xml:space="preserve"> Table25[[#This Row],[Total Sync Bo MOSFET Loss]]+Table25[[#This Row],[Reverse Recovery Loss MOSFET D BOOST]]*0.33</f>
        <v>0.36924406857741038</v>
      </c>
      <c r="BV54" s="345">
        <f>Table25[[#This Row],[Isense Shunt Loss]]</f>
        <v>3.5121427437195499E-2</v>
      </c>
      <c r="CA54" s="253">
        <v>9.9949670000000008</v>
      </c>
      <c r="CB54" s="253">
        <v>13.75</v>
      </c>
      <c r="CC54" s="253">
        <v>5.1122329999999998</v>
      </c>
      <c r="CD54" s="253">
        <v>85.985113444924963</v>
      </c>
      <c r="CE54" s="253">
        <v>11457.230537720005</v>
      </c>
    </row>
    <row r="55" spans="1:83" x14ac:dyDescent="0.2">
      <c r="A55" s="691" t="s">
        <v>78</v>
      </c>
      <c r="B55" s="569">
        <f>Trr_Q2*1000000000</f>
        <v>40</v>
      </c>
      <c r="C55" s="255" t="s">
        <v>79</v>
      </c>
      <c r="D55" s="352" t="s">
        <v>108</v>
      </c>
      <c r="G55" s="253">
        <v>46</v>
      </c>
      <c r="H55" s="286">
        <f t="shared" si="5"/>
        <v>12</v>
      </c>
      <c r="I55" s="292" t="str">
        <f>IF(Mode = 2,IF(Table25[[#This Row],[Vin]]&gt;Vout, "BUCK","BOOST"),IF(Table25[[#This Row],[Vin]]&gt;VIN_BB_to_buck, "BUCK", IF(Table25[[#This Row],[Vin]]&lt;=VIN_boost_to_BB,"BOOST","BUCK-BST")))</f>
        <v>BOOST</v>
      </c>
      <c r="J55" s="253">
        <f>IF(Table25[[#This Row],[Mode]]="BOOST",2, IF(Table25[[#This Row],[Mode]]="BUCK", 1,3))</f>
        <v>2</v>
      </c>
      <c r="K55" s="345">
        <f t="shared" si="7"/>
        <v>3.68</v>
      </c>
      <c r="L55" s="292">
        <f>Vout*Table25[[#This Row],[Iout]]/(Table25[[#This Row],[Vin]]*Efficiency)</f>
        <v>5.1649122807017553</v>
      </c>
      <c r="M55" s="682">
        <f>CHOOSE(Table25[[#This Row],[Mode Digit]],(Vout+(Rdson2+Rs+Rdcr)*Table25[[#This Row],[Iout]])/(Table25[[#This Row],[Vin]]+(Rs+Rdson2-Rdson1)*Table25[[#This Row],[Iout]])/Fsw,(Vout+(Rdson3+Rdcr)*Table25[[#This Row],[Iin]]-Table25[[#This Row],[Vin]])/(Vout+(Rdson3-Rdson4-Rs)*Table25[[#This Row],[Iin]])/Fsw,t1_Ph_II)</f>
        <v>6.3384088277433458E-7</v>
      </c>
      <c r="N55" s="518">
        <f>CHOOSE(Table25[[#This Row],[Mode Digit]],1/Fsw-Table25[[#This Row],[t1_Ph_II]],1/Fsw-Table25[[#This Row],[t1_Ph_II]],(Vout/Fsw-Table25[[#This Row],[Vin]]*t1_Ph_II)/(Table25[[#This Row],[Vin]]+Vout))</f>
        <v>1.8787219312960172E-6</v>
      </c>
      <c r="O55" s="518">
        <f>1/Fsw-(Table25[[#This Row],[t1_Ph_II]]+Table25[[#This Row],[t2_Ph_I]])</f>
        <v>0</v>
      </c>
      <c r="P55"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3.0521093381206401</v>
      </c>
      <c r="Q55" s="292">
        <f>CHOOSE(Table25[[#This Row],[Mode Digit]],Table25[[#This Row],[I_0]]+1/Lf*(Table25[[#This Row],[Vin]]-Vout)*Table25[[#This Row],[t1_Ph_II]],Table25[[#This Row],[I_0]]+1/Lf*Table25[[#This Row],[Vin]]*Table25[[#This Row],[t1_Ph_II]],Table25[[#This Row],[I_0]]+(Table25[[#This Row],[Vin]]-Vout)/L*Table25[[#This Row],[t1_Ph_II]])</f>
        <v>7.2777152232828701</v>
      </c>
      <c r="R55" s="292">
        <f>CHOOSE(Table25[[#This Row],[Mode Digit]],0,0,Table25[[#This Row],[I_1]]+Table25[[#This Row],[Vin]]/L*Table25[[#This Row],[t2_Ph_I]])</f>
        <v>0</v>
      </c>
      <c r="S55" s="292">
        <f>Fsw*(Table25[[#This Row],[I_0]]*Table25[[#This Row],[t1_Ph_II]]+Table25[[#This Row],[I_1]]*Table25[[#This Row],[t2_Ph_I]]+Table25[[#This Row],[I_2]]*Table25[[#This Row],[t3_Ph_III]])</f>
        <v>6.2117272410088251</v>
      </c>
      <c r="T55" s="345">
        <f>CHOOSE(Table25[[#This Row],[Mode Digit]],(Vout+(Rdson2+Rs+Rdcr)*Table25[[#This Row],[Iout]])/(Table25[[#This Row],[Vin]]+(Rs+Rdson2-Rdson1)*Table25[[#This Row],[Iout]]),1,Fsw*Table25[[#This Row],[t2_Ph_I]]+Table25[[#This Row],[t1_Ph_II]])</f>
        <v>1</v>
      </c>
      <c r="U55" s="345">
        <f>CHOOSE(Table25[[#This Row],[Mode Digit]],0,(Vout+(Rdson3+Rdcr)*Table25[[#This Row],[Iin]]-Table25[[#This Row],[Vin]])/(Vout+(Rdson3-Rdson4-Rs)*Table25[[#This Row],[Iin]]),Fsw*Table25[[#This Row],[t1_Ph_II]]+Table25[[#This Row],[t3_Ph_III]])</f>
        <v>0.25226867134418518</v>
      </c>
      <c r="V55" s="292">
        <f>MAX(Table25[[#This Row],[I_0]:[I_2]])-MIN(Table25[[#This Row],[I_0]:[I_1]])</f>
        <v>4.2256058851622296</v>
      </c>
      <c r="W55"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5.307004581249541</v>
      </c>
      <c r="X55" s="345">
        <f>(Table25[[#This Row],[Irms Lf]]^2*Rdcr*(1+Ltc*Ta-Ltc*25))/(1-Table25[[#This Row],[Irms Lf]]^2*Rdcr*Ltc*ThetaCa)</f>
        <v>9.0780283711104859E-2</v>
      </c>
      <c r="Y55" s="345">
        <f>ABS(7.759*10^-3*Fsw^0.9458*(0.00787*Table25[[#This Row],[Ripple Current pk-pk]])^2.304)</f>
        <v>0.60332201771304017</v>
      </c>
      <c r="Z55" s="345">
        <f>Table25[[#This Row],[DCR    Loss]]+Table25[[#This Row],[Core Loss]]</f>
        <v>0.69410230142414497</v>
      </c>
      <c r="AA55" s="292">
        <f>IF(Table25[[#This Row],[Vin]]&gt;Vout, Table25[[#This Row],[Ripple Current pk-pk]]/SQRT(12), SQRT(Table25[[#This Row],[Duty Cycle BOOST Leg]]/(1-Table25[[#This Row],[Duty Cycle BOOST Leg]]))*SQRT(Table25[[#This Row],[Iout]]^2+(Table25[[#This Row],[Ripple Current pk-pk]]^2)/12))</f>
        <v>2.2518726885412295</v>
      </c>
      <c r="AB55" s="345">
        <f>RCoutEsr*Table25[[#This Row],[Irms Cout]]^2</f>
        <v>1.014186121079581E-2</v>
      </c>
      <c r="AC55" s="345">
        <f>Table25[[#This Row],[Cout ESR Loss]]</f>
        <v>1.014186121079581E-2</v>
      </c>
      <c r="AD55" s="292">
        <f>IF(Table25[[#This Row],[Vin]]&gt;Vout, SQRT(Table25[[#This Row],[Duty Cycle BUCK Leg]]*(1-Table25[[#This Row],[Duty Cycle BUCK Leg]]))*SQRT(Table25[[#This Row],[Iout]]^2+(Table25[[#This Row],[Ripple Current pk-pk]]^2)/12), Table25[[#This Row],[Ripple Current pk-pk]]/SQRT(12))</f>
        <v>1.2198273476438402</v>
      </c>
      <c r="AE55" s="345">
        <f>RCinEsr*Table25[[#This Row],[Irms Cin]]^2</f>
        <v>2.9759575161196123E-3</v>
      </c>
      <c r="AF55" s="683">
        <f>Table25[[#This Row],[Cin ESR Loss]]</f>
        <v>2.9759575161196123E-3</v>
      </c>
      <c r="AG55" s="345">
        <f>Table25[[#This Row],[Irms Lf]]</f>
        <v>5.307004581249541</v>
      </c>
      <c r="AH55" s="345">
        <f>Rdson1*Table25[[#This Row],[Irms BuCtrl]]^2</f>
        <v>9.8575041688912665E-2</v>
      </c>
      <c r="AI55" s="345">
        <f>CHOOSE(Table25[[#This Row],[Mode Digit]], (Table25[[#This Row],[Vin]]*Table25[[#This Row],[Iout]]/2)*(Fsw)*(Tr_buck+Tf_buck), 0, (Table25[[#This Row],[Vin]]*Table25[[#This Row],[Avg IL]]/2)*(Fsw/1)*(Tr_buck+Tf_buck))</f>
        <v>0</v>
      </c>
      <c r="AJ55" s="253">
        <f>IF(Table25[[#This Row],[Vin]]&gt;Vout, IF(Table25[[#This Row],[Iout]]&gt;Table25[[#This Row],[Ripple Current pk-pk]]/2,0,ABS(Table25[[#This Row],[Iout]]-Table25[[#This Row],[Ripple Current pk-pk]]/2)*Vsd_Q1*Deadtime*Fsw),0)</f>
        <v>0</v>
      </c>
      <c r="AK55" s="345">
        <f>(Table25[[#This Row],[Dead Time Loss BuCtrl]]+Table25[[#This Row],[Transition Loss BuCtrl]]+Table25[[#This Row],[RDS(on) Loss BuCtrl]]*(1+RdsonTopTc*Ta-RdsonTopTc*25))/(1-Table25[[#This Row],[RDS(on) Loss BuCtrl]]*RdsonTopTc*ThetaJA_Q1)</f>
        <v>0.10116792614871209</v>
      </c>
      <c r="AL55" s="345">
        <f>Table25[[#This Row],[Irms Lf]]</f>
        <v>5.307004581249541</v>
      </c>
      <c r="AM55" s="345">
        <f>Rdson2*Table25[[#This Row],[Irms BuSync]]^2</f>
        <v>9.8575041688912665E-2</v>
      </c>
      <c r="AN55"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55" s="345">
        <f>(Table25[[#This Row],[Deadtime Loss BuSync]]+Table25[[#This Row],[RDS(on) Loss BuSync]]*(1+RdsonBotTc*Ta-RdsonBotTc*25))/(1-Table25[[#This Row],[RDS(on) Loss BuSync]]*RdsonBotTc*ThetaJA_Q2)</f>
        <v>0.10116792614871209</v>
      </c>
      <c r="AP55" s="345">
        <f>Table25[[#This Row],[Irms Lf]]</f>
        <v>5.307004581249541</v>
      </c>
      <c r="AQ55" s="345">
        <f>Rdson4*Table25[[#This Row],[Irms BoCtlr]]^2</f>
        <v>9.8575041688912665E-2</v>
      </c>
      <c r="AR55" s="345">
        <f>CHOOSE(Table25[[#This Row],[Mode Digit]], 0, (Vout*Table25[[#This Row],[Iin]]/2)*(Fsw)*(Tr_boost+Tf_boost), (Vout*Iout/2)*(Fsw/1)*(Tr_boost+Tf_boost))</f>
        <v>0.30708193133845135</v>
      </c>
      <c r="AS55" s="345">
        <f>IF(Table25[[#This Row],[Vin]]&gt;Vout, 0, IF(Table25[[#This Row],[Iin]]&gt;Table25[[#This Row],[Ripple Current pk-pk]]/2,0,ABS(Table25[[#This Row],[Iin]]-Table25[[#This Row],[Ripple Current pk-pk]]/2)*Vsd_Q4*Deadtime*Fsw))</f>
        <v>0</v>
      </c>
      <c r="AT55" s="345">
        <f>(Table25[[#This Row],[Dead Time Loss BoCtlr]]+Table25[[#This Row],[Transition Loss BoCtlr]]+Table25[[#This Row],[RDS(on) Loss BoCtlr]]*(1+RdsonTopTc*Ta-RdsonTopTc*25))/(1-Table25[[#This Row],[RDS(on) Loss BoCtlr]]*RdsonTopTc*ThetaJA_Q4)</f>
        <v>0.41632723644648906</v>
      </c>
      <c r="AU55" s="345">
        <f>Table25[[#This Row],[Irms Lf]]</f>
        <v>5.307004581249541</v>
      </c>
      <c r="AV55" s="345">
        <f>Rdson3*Table25[[#This Row],[Irms BoSync]]^2</f>
        <v>9.8575041688912665E-2</v>
      </c>
      <c r="AW55"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0.15417263157894737</v>
      </c>
      <c r="AX55" s="345">
        <f>(Table25[[#This Row],[Deadtime Loss BoSync]]+Table25[[#This Row],[RDS(on) Loss BoSync]]*(1+RdsonBotTc*Ta-RdsonBotTc*25))/(1-Table25[[#This Row],[RDS(on) Loss BoSync]]*RdsonBotTc*ThetaJA_Q3)</f>
        <v>0.25939586233314965</v>
      </c>
      <c r="AY55" s="345">
        <f>CHOOSE(Table25[[#This Row],[Mode Digit]], Rdson3*Table25[[#This Row],[Irms Lf]]^2, Rdson1*Table25[[#This Row],[Irms Lf]]^2, 0)</f>
        <v>9.8575041688912665E-2</v>
      </c>
      <c r="AZ55" s="345">
        <f>CHOOSE(Table25[[#This Row],[Mode Digit]], 2*Deadtime*Fsw*IF(VfdSky_Q2&gt;0,VfdSky_Q2,0)*Table25[[#This Row],[Iout]], 2*Deadtime*Fsw*IF(VfdSky_Q3&gt;0,VfdSky_Q3,0)*Table25[[#This Row],[Iin]], 2*Deadtime*Fsw*IF(VfdSky_Q2&gt;0,VfdSky_Q2,0)*Table25[[#This Row],[Iout]]+2*Deadtime*Fsw*IF(VfdSky_Q3&gt;0,VfdSky_Q3,0)*Table25[[#This Row],[Iin]])</f>
        <v>0</v>
      </c>
      <c r="BA55"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55"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55" s="345">
        <f>CHOOSE(Table25[[#This Row],[Mode Digit]], Rs*Table25[[#This Row],[Irms BuSync]]^2, Rs*Table25[[#This Row],[Irms BoCtlr]]^2, Rs*(Table25[[#This Row],[Irms BuSync]]^2+Table25[[#This Row],[Irms BoCtlr]]^2))</f>
        <v>3.6613586913024701E-2</v>
      </c>
      <c r="BD55" s="345">
        <f t="shared" si="6"/>
        <v>0.64</v>
      </c>
      <c r="BE55" s="345">
        <f>IF(Vout&gt;8, Iq*Vout, Iq*Table25[[#This Row],[Vin]])</f>
        <v>4.8000000000000001E-2</v>
      </c>
      <c r="BF55" s="345">
        <f>CHOOSE(Table25[[#This Row],[Mode Digit]], (Qg_Q1+Qg_Q2)*Fsw, (Qg_Q3+Qg_Q4)*Fsw, (Qg_Q1+Qg_Q2+Qg_Q3+Qg_Q4)*Fsw)*IF(Vout&gt;8,  MIN( Table25[[#This Row],[Vin]], Vout), Table25[[#This Row],[Vin]])</f>
        <v>0.63998400000000011</v>
      </c>
      <c r="BG55" s="345">
        <f t="shared" si="4"/>
        <v>0.50594479787234037</v>
      </c>
      <c r="BH55" s="345">
        <f>Table25[[#This Row],[IQ Loss]]+Table25[[#This Row],[Switching Current Loss]]</f>
        <v>0.68798400000000015</v>
      </c>
      <c r="BI55"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3.663092658141148</v>
      </c>
      <c r="BJ55" s="253">
        <f>Vout*Table25[[#This Row],[Iout]]</f>
        <v>58.88</v>
      </c>
      <c r="BK55" s="684">
        <f>Table25[[#This Row],[Pout]]/(Table25[[#This Row],[Pout]]+Table25[[#This Row],[Total Loss]])</f>
        <v>0.94143089984111417</v>
      </c>
      <c r="BL55" s="685">
        <f>IF(Table25[[#This Row],[Vin]]&gt;Vout,ThetaJA_Q1*(Table25[[#This Row],[Total Control Bu MOSFET Loss]]+Table25[[#This Row],[Reverse Recovery Loss MOSFET D BUCK]]),ThetaJA_Q4*(Table25[[#This Row],[Total Control Bo MOSFET Loss]]+Table25[[#This Row],[Reverse Recovery Loss MOSFET D BOOST]]))</f>
        <v>50.240790369021781</v>
      </c>
      <c r="BM55" s="685">
        <f>IF(Table25[[#This Row],[Vin]]&gt;Vout, Table25[[#This Row],[Total Sync Bu MOSFET Loss]]*ThetaJA_Q2, ThetaJA_Q3*Table25[[#This Row],[Total Sync Bo MOSFET Loss]])</f>
        <v>16.860731051654728</v>
      </c>
      <c r="BN55" s="640"/>
      <c r="BO55" s="292">
        <f>Table25[[#This Row],[EFF, h]]*100</f>
        <v>94.143089984111413</v>
      </c>
      <c r="BP55" s="345">
        <f>Table25[[#This Row],[Total Inductor Loss]]</f>
        <v>0.69410230142414497</v>
      </c>
      <c r="BQ55" s="345">
        <f>Table25[[#This Row],[Total Control Bu MOSFET Loss]]+Table25[[#This Row],[Total Sync Bu MOSFET Loss]]+Table25[[#This Row],[Total Control Bo MOSFET Loss]]+Table25[[#This Row],[Total Sync Bo MOSFET Loss]]+Table25[[#This Row],[Reverse Recovery Loss MOSFET D BUCK]]+Table25[[#This Row],[Reverse Recovery Loss MOSFET D BOOST]]</f>
        <v>1.591274951077063</v>
      </c>
      <c r="BR55" s="345">
        <f xml:space="preserve"> Table25[[#This Row],[Total Control Bu MOSFET Loss]]+Table25[[#This Row],[Reverse Recovery Loss MOSFET D BUCK]]*0.66</f>
        <v>0.33652920614871207</v>
      </c>
      <c r="BS55" s="345">
        <f>Table25[[#This Row],[Total Sync Bu MOSFET Loss]]+Table25[[#This Row],[Reverse Recovery Loss MOSFET D BUCK]]*0.33</f>
        <v>0.21884856614871209</v>
      </c>
      <c r="BT55" s="345">
        <f xml:space="preserve"> Table25[[#This Row],[Total Control Bo MOSFET Loss]]+Table25[[#This Row],[Reverse Recovery Loss MOSFET D BOOST]]*0.66</f>
        <v>0.65168851644648906</v>
      </c>
      <c r="BU55" s="345">
        <f xml:space="preserve"> Table25[[#This Row],[Total Sync Bo MOSFET Loss]]+Table25[[#This Row],[Reverse Recovery Loss MOSFET D BOOST]]*0.33</f>
        <v>0.37707650233314965</v>
      </c>
      <c r="BV55" s="345">
        <f>Table25[[#This Row],[Isense Shunt Loss]]</f>
        <v>3.6613586913024701E-2</v>
      </c>
      <c r="CA55" s="253">
        <v>9.9943860000000004</v>
      </c>
      <c r="CB55" s="253">
        <v>14.954000000000001</v>
      </c>
      <c r="CC55" s="253">
        <v>5.1130310000000003</v>
      </c>
      <c r="CD55" s="253">
        <v>84.352650264578628</v>
      </c>
      <c r="CE55" s="253">
        <v>14183.318533699994</v>
      </c>
    </row>
    <row r="56" spans="1:83" ht="17" x14ac:dyDescent="0.35">
      <c r="A56" s="691" t="s">
        <v>606</v>
      </c>
      <c r="B56" s="569">
        <f>ThetaJA_Q2</f>
        <v>65</v>
      </c>
      <c r="C56" s="259" t="s">
        <v>236</v>
      </c>
      <c r="D56" s="352" t="s">
        <v>105</v>
      </c>
      <c r="E56" s="706"/>
      <c r="G56" s="253">
        <v>47</v>
      </c>
      <c r="H56" s="286">
        <f t="shared" si="5"/>
        <v>12</v>
      </c>
      <c r="I56" s="292" t="str">
        <f>IF(Mode = 2,IF(Table25[[#This Row],[Vin]]&gt;Vout, "BUCK","BOOST"),IF(Table25[[#This Row],[Vin]]&gt;VIN_BB_to_buck, "BUCK", IF(Table25[[#This Row],[Vin]]&lt;=VIN_boost_to_BB,"BOOST","BUCK-BST")))</f>
        <v>BOOST</v>
      </c>
      <c r="J56" s="253">
        <f>IF(Table25[[#This Row],[Mode]]="BOOST",2, IF(Table25[[#This Row],[Mode]]="BUCK", 1,3))</f>
        <v>2</v>
      </c>
      <c r="K56" s="345">
        <f t="shared" si="7"/>
        <v>3.76</v>
      </c>
      <c r="L56" s="292">
        <f>Vout*Table25[[#This Row],[Iout]]/(Table25[[#This Row],[Vin]]*Efficiency)</f>
        <v>5.2771929824561408</v>
      </c>
      <c r="M56" s="682">
        <f>CHOOSE(Table25[[#This Row],[Mode Digit]],(Vout+(Rdson2+Rs+Rdcr)*Table25[[#This Row],[Iout]])/(Table25[[#This Row],[Vin]]+(Rs+Rdson2-Rdson1)*Table25[[#This Row],[Iout]])/Fsw,(Vout+(Rdson3+Rdcr)*Table25[[#This Row],[Iin]]-Table25[[#This Row],[Vin]])/(Vout+(Rdson3-Rdson4-Rs)*Table25[[#This Row],[Iin]])/Fsw,t1_Ph_II)</f>
        <v>6.3396485286959554E-7</v>
      </c>
      <c r="N56" s="518">
        <f>CHOOSE(Table25[[#This Row],[Mode Digit]],1/Fsw-Table25[[#This Row],[t1_Ph_II]],1/Fsw-Table25[[#This Row],[t1_Ph_II]],(Vout/Fsw-Table25[[#This Row],[Vin]]*t1_Ph_II)/(Table25[[#This Row],[Vin]]+Vout))</f>
        <v>1.8785979612007564E-6</v>
      </c>
      <c r="O56" s="518">
        <f>1/Fsw-(Table25[[#This Row],[t1_Ph_II]]+Table25[[#This Row],[t2_Ph_I]])</f>
        <v>0</v>
      </c>
      <c r="P56"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3.1639768062241558</v>
      </c>
      <c r="Q56" s="292">
        <f>CHOOSE(Table25[[#This Row],[Mode Digit]],Table25[[#This Row],[I_0]]+1/Lf*(Table25[[#This Row],[Vin]]-Vout)*Table25[[#This Row],[t1_Ph_II]],Table25[[#This Row],[I_0]]+1/Lf*Table25[[#This Row],[Vin]]*Table25[[#This Row],[t1_Ph_II]],Table25[[#This Row],[I_0]]+(Table25[[#This Row],[Vin]]-Vout)/L*Table25[[#This Row],[t1_Ph_II]])</f>
        <v>7.3904091586881258</v>
      </c>
      <c r="R56" s="292">
        <f>CHOOSE(Table25[[#This Row],[Mode Digit]],0,0,Table25[[#This Row],[I_1]]+Table25[[#This Row],[Vin]]/L*Table25[[#This Row],[t2_Ph_I]])</f>
        <v>0</v>
      </c>
      <c r="S56" s="292">
        <f>Fsw*(Table25[[#This Row],[I_0]]*Table25[[#This Row],[t1_Ph_II]]+Table25[[#This Row],[I_1]]*Table25[[#This Row],[t2_Ph_I]]+Table25[[#This Row],[I_2]]*Table25[[#This Row],[t3_Ph_III]])</f>
        <v>6.3240041520198638</v>
      </c>
      <c r="T56" s="345">
        <f>CHOOSE(Table25[[#This Row],[Mode Digit]],(Vout+(Rdson2+Rs+Rdcr)*Table25[[#This Row],[Iout]])/(Table25[[#This Row],[Vin]]+(Rs+Rdson2-Rdson1)*Table25[[#This Row],[Iout]]),1,Fsw*Table25[[#This Row],[t2_Ph_I]]+Table25[[#This Row],[t1_Ph_II]])</f>
        <v>1</v>
      </c>
      <c r="U56" s="345">
        <f>CHOOSE(Table25[[#This Row],[Mode Digit]],0,(Vout+(Rdson3+Rdcr)*Table25[[#This Row],[Iin]]-Table25[[#This Row],[Vin]])/(Vout+(Rdson3-Rdson4-Rs)*Table25[[#This Row],[Iin]]),Fsw*Table25[[#This Row],[t1_Ph_II]]+Table25[[#This Row],[t3_Ph_III]])</f>
        <v>0.25231801144209903</v>
      </c>
      <c r="V56" s="292">
        <f>MAX(Table25[[#This Row],[I_0]:[I_2]])-MIN(Table25[[#This Row],[I_0]:[I_1]])</f>
        <v>4.22643235246397</v>
      </c>
      <c r="W56"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5.4163942473980953</v>
      </c>
      <c r="X56" s="345">
        <f>(Table25[[#This Row],[Irms Lf]]^2*Rdcr*(1+Ltc*Ta-Ltc*25))/(1-Table25[[#This Row],[Irms Lf]]^2*Rdcr*Ltc*ThetaCa)</f>
        <v>9.4589848659932529E-2</v>
      </c>
      <c r="Y56" s="345">
        <f>ABS(7.759*10^-3*Fsw^0.9458*(0.00787*Table25[[#This Row],[Ripple Current pk-pk]])^2.304)</f>
        <v>0.603593926796682</v>
      </c>
      <c r="Z56" s="345">
        <f>Table25[[#This Row],[DCR    Loss]]+Table25[[#This Row],[Core Loss]]</f>
        <v>0.69818377545661447</v>
      </c>
      <c r="AA56" s="292">
        <f>IF(Table25[[#This Row],[Vin]]&gt;Vout, Table25[[#This Row],[Ripple Current pk-pk]]/SQRT(12), SQRT(Table25[[#This Row],[Duty Cycle BOOST Leg]]/(1-Table25[[#This Row],[Duty Cycle BOOST Leg]]))*SQRT(Table25[[#This Row],[Iout]]^2+(Table25[[#This Row],[Ripple Current pk-pk]]^2)/12))</f>
        <v>2.2963697260335953</v>
      </c>
      <c r="AB56" s="345">
        <f>RCoutEsr*Table25[[#This Row],[Irms Cout]]^2</f>
        <v>1.054662783728722E-2</v>
      </c>
      <c r="AC56" s="345">
        <f>Table25[[#This Row],[Cout ESR Loss]]</f>
        <v>1.054662783728722E-2</v>
      </c>
      <c r="AD56" s="292">
        <f>IF(Table25[[#This Row],[Vin]]&gt;Vout, SQRT(Table25[[#This Row],[Duty Cycle BUCK Leg]]*(1-Table25[[#This Row],[Duty Cycle BUCK Leg]]))*SQRT(Table25[[#This Row],[Iout]]^2+(Table25[[#This Row],[Ripple Current pk-pk]]^2)/12), Table25[[#This Row],[Ripple Current pk-pk]]/SQRT(12))</f>
        <v>1.2200659282034083</v>
      </c>
      <c r="AE56" s="345">
        <f>RCinEsr*Table25[[#This Row],[Irms Cin]]^2</f>
        <v>2.9771217383256885E-3</v>
      </c>
      <c r="AF56" s="683">
        <f>Table25[[#This Row],[Cin ESR Loss]]</f>
        <v>2.9771217383256885E-3</v>
      </c>
      <c r="AG56" s="345">
        <f>Table25[[#This Row],[Irms Lf]]</f>
        <v>5.4163942473980953</v>
      </c>
      <c r="AH56" s="345">
        <f>Rdson1*Table25[[#This Row],[Irms BuCtrl]]^2</f>
        <v>0.10268064325136513</v>
      </c>
      <c r="AI56" s="345">
        <f>CHOOSE(Table25[[#This Row],[Mode Digit]], (Table25[[#This Row],[Vin]]*Table25[[#This Row],[Iout]]/2)*(Fsw)*(Tr_buck+Tf_buck), 0, (Table25[[#This Row],[Vin]]*Table25[[#This Row],[Avg IL]]/2)*(Fsw/1)*(Tr_buck+Tf_buck))</f>
        <v>0</v>
      </c>
      <c r="AJ56" s="253">
        <f>IF(Table25[[#This Row],[Vin]]&gt;Vout, IF(Table25[[#This Row],[Iout]]&gt;Table25[[#This Row],[Ripple Current pk-pk]]/2,0,ABS(Table25[[#This Row],[Iout]]-Table25[[#This Row],[Ripple Current pk-pk]]/2)*Vsd_Q1*Deadtime*Fsw),0)</f>
        <v>0</v>
      </c>
      <c r="AK56" s="345">
        <f>(Table25[[#This Row],[Dead Time Loss BuCtrl]]+Table25[[#This Row],[Transition Loss BuCtrl]]+Table25[[#This Row],[RDS(on) Loss BuCtrl]]*(1+RdsonTopTc*Ta-RdsonTopTc*25))/(1-Table25[[#This Row],[RDS(on) Loss BuCtrl]]*RdsonTopTc*ThetaJA_Q1)</f>
        <v>0.10549709576138695</v>
      </c>
      <c r="AL56" s="345">
        <f>Table25[[#This Row],[Irms Lf]]</f>
        <v>5.4163942473980953</v>
      </c>
      <c r="AM56" s="345">
        <f>Rdson2*Table25[[#This Row],[Irms BuSync]]^2</f>
        <v>0.10268064325136513</v>
      </c>
      <c r="AN56"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56" s="345">
        <f>(Table25[[#This Row],[Deadtime Loss BuSync]]+Table25[[#This Row],[RDS(on) Loss BuSync]]*(1+RdsonBotTc*Ta-RdsonBotTc*25))/(1-Table25[[#This Row],[RDS(on) Loss BuSync]]*RdsonBotTc*ThetaJA_Q2)</f>
        <v>0.10549709576138695</v>
      </c>
      <c r="AP56" s="345">
        <f>Table25[[#This Row],[Irms Lf]]</f>
        <v>5.4163942473980953</v>
      </c>
      <c r="AQ56" s="345">
        <f>Rdson4*Table25[[#This Row],[Irms BoCtlr]]^2</f>
        <v>0.10268064325136513</v>
      </c>
      <c r="AR56" s="345">
        <f>CHOOSE(Table25[[#This Row],[Mode Digit]], 0, (Vout*Table25[[#This Row],[Iin]]/2)*(Fsw)*(Tr_boost+Tf_boost), (Vout*Iout/2)*(Fsw/1)*(Tr_boost+Tf_boost))</f>
        <v>0.31375762549798281</v>
      </c>
      <c r="AS56" s="345">
        <f>IF(Table25[[#This Row],[Vin]]&gt;Vout, 0, IF(Table25[[#This Row],[Iin]]&gt;Table25[[#This Row],[Ripple Current pk-pk]]/2,0,ABS(Table25[[#This Row],[Iin]]-Table25[[#This Row],[Ripple Current pk-pk]]/2)*Vsd_Q4*Deadtime*Fsw))</f>
        <v>0</v>
      </c>
      <c r="AT56" s="345">
        <f>(Table25[[#This Row],[Dead Time Loss BoCtlr]]+Table25[[#This Row],[Transition Loss BoCtlr]]+Table25[[#This Row],[RDS(on) Loss BoCtlr]]*(1+RdsonTopTc*Ta-RdsonTopTc*25))/(1-Table25[[#This Row],[RDS(on) Loss BoCtlr]]*RdsonTopTc*ThetaJA_Q4)</f>
        <v>0.42786085600775653</v>
      </c>
      <c r="AU56" s="345">
        <f>Table25[[#This Row],[Irms Lf]]</f>
        <v>5.4163942473980953</v>
      </c>
      <c r="AV56" s="345">
        <f>Rdson3*Table25[[#This Row],[Irms BoSync]]^2</f>
        <v>0.10268064325136513</v>
      </c>
      <c r="AW56"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0.15752421052631577</v>
      </c>
      <c r="AX56" s="345">
        <f>(Table25[[#This Row],[Deadtime Loss BoSync]]+Table25[[#This Row],[RDS(on) Loss BoSync]]*(1+RdsonBotTc*Ta-RdsonBotTc*25))/(1-Table25[[#This Row],[RDS(on) Loss BoSync]]*RdsonBotTc*ThetaJA_Q3)</f>
        <v>0.26734207643558694</v>
      </c>
      <c r="AY56" s="345">
        <f>CHOOSE(Table25[[#This Row],[Mode Digit]], Rdson3*Table25[[#This Row],[Irms Lf]]^2, Rdson1*Table25[[#This Row],[Irms Lf]]^2, 0)</f>
        <v>0.10268064325136513</v>
      </c>
      <c r="AZ56" s="345">
        <f>CHOOSE(Table25[[#This Row],[Mode Digit]], 2*Deadtime*Fsw*IF(VfdSky_Q2&gt;0,VfdSky_Q2,0)*Table25[[#This Row],[Iout]], 2*Deadtime*Fsw*IF(VfdSky_Q3&gt;0,VfdSky_Q3,0)*Table25[[#This Row],[Iin]], 2*Deadtime*Fsw*IF(VfdSky_Q2&gt;0,VfdSky_Q2,0)*Table25[[#This Row],[Iout]]+2*Deadtime*Fsw*IF(VfdSky_Q3&gt;0,VfdSky_Q3,0)*Table25[[#This Row],[Iin]])</f>
        <v>0</v>
      </c>
      <c r="BA56"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56"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56" s="345">
        <f>CHOOSE(Table25[[#This Row],[Mode Digit]], Rs*Table25[[#This Row],[Irms BuSync]]^2, Rs*Table25[[#This Row],[Irms BoCtlr]]^2, Rs*(Table25[[#This Row],[Irms BuSync]]^2+Table25[[#This Row],[Irms BoCtlr]]^2))</f>
        <v>3.8138524636221326E-2</v>
      </c>
      <c r="BD56" s="345">
        <f t="shared" si="6"/>
        <v>0.64</v>
      </c>
      <c r="BE56" s="345">
        <f>IF(Vout&gt;8, Iq*Vout, Iq*Table25[[#This Row],[Vin]])</f>
        <v>4.8000000000000001E-2</v>
      </c>
      <c r="BF56" s="345">
        <f>CHOOSE(Table25[[#This Row],[Mode Digit]], (Qg_Q1+Qg_Q2)*Fsw, (Qg_Q3+Qg_Q4)*Fsw, (Qg_Q1+Qg_Q2+Qg_Q3+Qg_Q4)*Fsw)*IF(Vout&gt;8,  MIN( Table25[[#This Row],[Vin]], Vout), Table25[[#This Row],[Vin]])</f>
        <v>0.63998400000000011</v>
      </c>
      <c r="BG56" s="345">
        <f t="shared" si="4"/>
        <v>0.50594479787234037</v>
      </c>
      <c r="BH56" s="345">
        <f>Table25[[#This Row],[IQ Loss]]+Table25[[#This Row],[Switching Current Loss]]</f>
        <v>0.68798400000000015</v>
      </c>
      <c r="BI56"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3.6972431736345661</v>
      </c>
      <c r="BJ56" s="253">
        <f>Vout*Table25[[#This Row],[Iout]]</f>
        <v>60.16</v>
      </c>
      <c r="BK56" s="684">
        <f>Table25[[#This Row],[Pout]]/(Table25[[#This Row],[Pout]]+Table25[[#This Row],[Total Loss]])</f>
        <v>0.94210142828149701</v>
      </c>
      <c r="BL56" s="685">
        <f>IF(Table25[[#This Row],[Vin]]&gt;Vout,ThetaJA_Q1*(Table25[[#This Row],[Total Control Bu MOSFET Loss]]+Table25[[#This Row],[Reverse Recovery Loss MOSFET D BUCK]]),ThetaJA_Q4*(Table25[[#This Row],[Total Control Bo MOSFET Loss]]+Table25[[#This Row],[Reverse Recovery Loss MOSFET D BOOST]]))</f>
        <v>50.990475640504172</v>
      </c>
      <c r="BM56" s="685">
        <f>IF(Table25[[#This Row],[Vin]]&gt;Vout, Table25[[#This Row],[Total Sync Bu MOSFET Loss]]*ThetaJA_Q2, ThetaJA_Q3*Table25[[#This Row],[Total Sync Bo MOSFET Loss]])</f>
        <v>17.37723496831315</v>
      </c>
      <c r="BN56" s="640"/>
      <c r="BO56" s="292">
        <f>Table25[[#This Row],[EFF, h]]*100</f>
        <v>94.210142828149699</v>
      </c>
      <c r="BP56" s="345">
        <f>Table25[[#This Row],[Total Inductor Loss]]</f>
        <v>0.69818377545661447</v>
      </c>
      <c r="BQ56" s="345">
        <f>Table25[[#This Row],[Total Control Bu MOSFET Loss]]+Table25[[#This Row],[Total Sync Bu MOSFET Loss]]+Table25[[#This Row],[Total Control Bo MOSFET Loss]]+Table25[[#This Row],[Total Sync Bo MOSFET Loss]]+Table25[[#This Row],[Reverse Recovery Loss MOSFET D BUCK]]+Table25[[#This Row],[Reverse Recovery Loss MOSFET D BOOST]]</f>
        <v>1.6194131239661174</v>
      </c>
      <c r="BR56" s="345">
        <f xml:space="preserve"> Table25[[#This Row],[Total Control Bu MOSFET Loss]]+Table25[[#This Row],[Reverse Recovery Loss MOSFET D BUCK]]*0.66</f>
        <v>0.34085837576138694</v>
      </c>
      <c r="BS56" s="345">
        <f>Table25[[#This Row],[Total Sync Bu MOSFET Loss]]+Table25[[#This Row],[Reverse Recovery Loss MOSFET D BUCK]]*0.33</f>
        <v>0.22317773576138694</v>
      </c>
      <c r="BT56" s="345">
        <f xml:space="preserve"> Table25[[#This Row],[Total Control Bo MOSFET Loss]]+Table25[[#This Row],[Reverse Recovery Loss MOSFET D BOOST]]*0.66</f>
        <v>0.66322213600775659</v>
      </c>
      <c r="BU56" s="345">
        <f xml:space="preserve"> Table25[[#This Row],[Total Sync Bo MOSFET Loss]]+Table25[[#This Row],[Reverse Recovery Loss MOSFET D BOOST]]*0.33</f>
        <v>0.38502271643558694</v>
      </c>
      <c r="BV56" s="345">
        <f>Table25[[#This Row],[Isense Shunt Loss]]</f>
        <v>3.8138524636221326E-2</v>
      </c>
      <c r="CB56" s="686"/>
      <c r="CC56" s="686"/>
    </row>
    <row r="57" spans="1:83" ht="13.6" x14ac:dyDescent="0.25">
      <c r="A57" s="688" t="s">
        <v>274</v>
      </c>
      <c r="B57" s="679" t="s">
        <v>113</v>
      </c>
      <c r="C57" s="688" t="s">
        <v>80</v>
      </c>
      <c r="D57" s="688" t="s">
        <v>244</v>
      </c>
      <c r="G57" s="253">
        <v>48</v>
      </c>
      <c r="H57" s="286">
        <f t="shared" si="5"/>
        <v>12</v>
      </c>
      <c r="I57" s="292" t="str">
        <f>IF(Mode = 2,IF(Table25[[#This Row],[Vin]]&gt;Vout, "BUCK","BOOST"),IF(Table25[[#This Row],[Vin]]&gt;VIN_BB_to_buck, "BUCK", IF(Table25[[#This Row],[Vin]]&lt;=VIN_boost_to_BB,"BOOST","BUCK-BST")))</f>
        <v>BOOST</v>
      </c>
      <c r="J57" s="253">
        <f>IF(Table25[[#This Row],[Mode]]="BOOST",2, IF(Table25[[#This Row],[Mode]]="BUCK", 1,3))</f>
        <v>2</v>
      </c>
      <c r="K57" s="345">
        <f t="shared" si="7"/>
        <v>3.84</v>
      </c>
      <c r="L57" s="292">
        <f>Vout*Table25[[#This Row],[Iout]]/(Table25[[#This Row],[Vin]]*Efficiency)</f>
        <v>5.3894736842105271</v>
      </c>
      <c r="M57" s="682">
        <f>CHOOSE(Table25[[#This Row],[Mode Digit]],(Vout+(Rdson2+Rs+Rdcr)*Table25[[#This Row],[Iout]])/(Table25[[#This Row],[Vin]]+(Rs+Rdson2-Rdson1)*Table25[[#This Row],[Iout]])/Fsw,(Vout+(Rdson3+Rdcr)*Table25[[#This Row],[Iin]]-Table25[[#This Row],[Vin]])/(Vout+(Rdson3-Rdson4-Rs)*Table25[[#This Row],[Iin]])/Fsw,t1_Ph_II)</f>
        <v>6.3408882522775785E-7</v>
      </c>
      <c r="N57" s="518">
        <f>CHOOSE(Table25[[#This Row],[Mode Digit]],1/Fsw-Table25[[#This Row],[t1_Ph_II]],1/Fsw-Table25[[#This Row],[t1_Ph_II]],(Vout/Fsw-Table25[[#This Row],[Vin]]*t1_Ph_II)/(Table25[[#This Row],[Vin]]+Vout))</f>
        <v>1.878473988842594E-6</v>
      </c>
      <c r="O57" s="518">
        <f>1/Fsw-(Table25[[#This Row],[t1_Ph_II]]+Table25[[#This Row],[t2_Ph_I]])</f>
        <v>0</v>
      </c>
      <c r="P57"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3.2758442667846679</v>
      </c>
      <c r="Q57" s="292">
        <f>CHOOSE(Table25[[#This Row],[Mode Digit]],Table25[[#This Row],[I_0]]+1/Lf*(Table25[[#This Row],[Vin]]-Vout)*Table25[[#This Row],[t1_Ph_II]],Table25[[#This Row],[I_0]]+1/Lf*Table25[[#This Row],[Vin]]*Table25[[#This Row],[t1_Ph_II]],Table25[[#This Row],[I_0]]+(Table25[[#This Row],[Vin]]-Vout)/L*Table25[[#This Row],[t1_Ph_II]])</f>
        <v>7.5031031016363858</v>
      </c>
      <c r="R57" s="292">
        <f>CHOOSE(Table25[[#This Row],[Mode Digit]],0,0,Table25[[#This Row],[I_1]]+Table25[[#This Row],[Vin]]/L*Table25[[#This Row],[t2_Ph_I]])</f>
        <v>0</v>
      </c>
      <c r="S57" s="292">
        <f>Fsw*(Table25[[#This Row],[I_0]]*Table25[[#This Row],[t1_Ph_II]]+Table25[[#This Row],[I_1]]*Table25[[#This Row],[t2_Ph_I]]+Table25[[#This Row],[I_2]]*Table25[[#This Row],[t3_Ph_III]])</f>
        <v>6.4362809814035211</v>
      </c>
      <c r="T57" s="345">
        <f>CHOOSE(Table25[[#This Row],[Mode Digit]],(Vout+(Rdson2+Rs+Rdcr)*Table25[[#This Row],[Iout]])/(Table25[[#This Row],[Vin]]+(Rs+Rdson2-Rdson1)*Table25[[#This Row],[Iout]]),1,Fsw*Table25[[#This Row],[t2_Ph_I]]+Table25[[#This Row],[t1_Ph_II]])</f>
        <v>1</v>
      </c>
      <c r="U57" s="345">
        <f>CHOOSE(Table25[[#This Row],[Mode Digit]],0,(Vout+(Rdson3+Rdcr)*Table25[[#This Row],[Iin]]-Table25[[#This Row],[Vin]])/(Vout+(Rdson3-Rdson4-Rs)*Table25[[#This Row],[Iin]]),Fsw*Table25[[#This Row],[t1_Ph_II]]+Table25[[#This Row],[t3_Ph_III]])</f>
        <v>0.25236735244064762</v>
      </c>
      <c r="V57" s="292">
        <f>MAX(Table25[[#This Row],[I_0]:[I_2]])-MIN(Table25[[#This Row],[I_0]:[I_1]])</f>
        <v>4.2272588348517175</v>
      </c>
      <c r="W57"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5.52589989934072</v>
      </c>
      <c r="X57" s="345">
        <f>(Table25[[#This Row],[Irms Lf]]^2*Rdcr*(1+Ltc*Ta-Ltc*25))/(1-Table25[[#This Row],[Irms Lf]]^2*Rdcr*Ltc*ThetaCa)</f>
        <v>9.8483680385446845E-2</v>
      </c>
      <c r="Y57" s="345">
        <f>ABS(7.759*10^-3*Fsw^0.9458*(0.00787*Table25[[#This Row],[Ripple Current pk-pk]])^2.304)</f>
        <v>0.60386591018947045</v>
      </c>
      <c r="Z57" s="345">
        <f>Table25[[#This Row],[DCR    Loss]]+Table25[[#This Row],[Core Loss]]</f>
        <v>0.7023495905749173</v>
      </c>
      <c r="AA57" s="292">
        <f>IF(Table25[[#This Row],[Vin]]&gt;Vout, Table25[[#This Row],[Ripple Current pk-pk]]/SQRT(12), SQRT(Table25[[#This Row],[Duty Cycle BOOST Leg]]/(1-Table25[[#This Row],[Duty Cycle BOOST Leg]]))*SQRT(Table25[[#This Row],[Iout]]^2+(Table25[[#This Row],[Ripple Current pk-pk]]^2)/12))</f>
        <v>2.3409663299023244</v>
      </c>
      <c r="AB57" s="345">
        <f>RCoutEsr*Table25[[#This Row],[Irms Cout]]^2</f>
        <v>1.0960246715472717E-2</v>
      </c>
      <c r="AC57" s="345">
        <f>Table25[[#This Row],[Cout ESR Loss]]</f>
        <v>1.0960246715472717E-2</v>
      </c>
      <c r="AD57" s="292">
        <f>IF(Table25[[#This Row],[Vin]]&gt;Vout, SQRT(Table25[[#This Row],[Duty Cycle BUCK Leg]]*(1-Table25[[#This Row],[Duty Cycle BUCK Leg]]))*SQRT(Table25[[#This Row],[Iout]]^2+(Table25[[#This Row],[Ripple Current pk-pk]]^2)/12), Table25[[#This Row],[Ripple Current pk-pk]]/SQRT(12))</f>
        <v>1.2203045131179315</v>
      </c>
      <c r="AE57" s="345">
        <f>RCinEsr*Table25[[#This Row],[Irms Cin]]^2</f>
        <v>2.9782862094719842E-3</v>
      </c>
      <c r="AF57" s="683">
        <f>Table25[[#This Row],[Cin ESR Loss]]</f>
        <v>2.9782862094719842E-3</v>
      </c>
      <c r="AG57" s="345">
        <f>Table25[[#This Row],[Irms Lf]]</f>
        <v>5.52589989934072</v>
      </c>
      <c r="AH57" s="345">
        <f>Rdson1*Table25[[#This Row],[Irms BuCtrl]]^2</f>
        <v>0.10687449394136823</v>
      </c>
      <c r="AI57" s="345">
        <f>CHOOSE(Table25[[#This Row],[Mode Digit]], (Table25[[#This Row],[Vin]]*Table25[[#This Row],[Iout]]/2)*(Fsw)*(Tr_buck+Tf_buck), 0, (Table25[[#This Row],[Vin]]*Table25[[#This Row],[Avg IL]]/2)*(Fsw/1)*(Tr_buck+Tf_buck))</f>
        <v>0</v>
      </c>
      <c r="AJ57" s="253">
        <f>IF(Table25[[#This Row],[Vin]]&gt;Vout, IF(Table25[[#This Row],[Iout]]&gt;Table25[[#This Row],[Ripple Current pk-pk]]/2,0,ABS(Table25[[#This Row],[Iout]]-Table25[[#This Row],[Ripple Current pk-pk]]/2)*Vsd_Q1*Deadtime*Fsw),0)</f>
        <v>0</v>
      </c>
      <c r="AK57" s="345">
        <f>(Table25[[#This Row],[Dead Time Loss BuCtrl]]+Table25[[#This Row],[Transition Loss BuCtrl]]+Table25[[#This Row],[RDS(on) Loss BuCtrl]]*(1+RdsonTopTc*Ta-RdsonTopTc*25))/(1-Table25[[#This Row],[RDS(on) Loss BuCtrl]]*RdsonTopTc*ThetaJA_Q1)</f>
        <v>0.10992913532526623</v>
      </c>
      <c r="AL57" s="345">
        <f>Table25[[#This Row],[Irms Lf]]</f>
        <v>5.52589989934072</v>
      </c>
      <c r="AM57" s="345">
        <f>Rdson2*Table25[[#This Row],[Irms BuSync]]^2</f>
        <v>0.10687449394136823</v>
      </c>
      <c r="AN57"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57" s="345">
        <f>(Table25[[#This Row],[Deadtime Loss BuSync]]+Table25[[#This Row],[RDS(on) Loss BuSync]]*(1+RdsonBotTc*Ta-RdsonBotTc*25))/(1-Table25[[#This Row],[RDS(on) Loss BuSync]]*RdsonBotTc*ThetaJA_Q2)</f>
        <v>0.10992913532526623</v>
      </c>
      <c r="AP57" s="345">
        <f>Table25[[#This Row],[Irms Lf]]</f>
        <v>5.52589989934072</v>
      </c>
      <c r="AQ57" s="345">
        <f>Rdson4*Table25[[#This Row],[Irms BoCtlr]]^2</f>
        <v>0.10687449394136823</v>
      </c>
      <c r="AR57" s="345">
        <f>CHOOSE(Table25[[#This Row],[Mode Digit]], 0, (Vout*Table25[[#This Row],[Iin]]/2)*(Fsw)*(Tr_boost+Tf_boost), (Vout*Iout/2)*(Fsw/1)*(Tr_boost+Tf_boost))</f>
        <v>0.32043331965751443</v>
      </c>
      <c r="AS57" s="345">
        <f>IF(Table25[[#This Row],[Vin]]&gt;Vout, 0, IF(Table25[[#This Row],[Iin]]&gt;Table25[[#This Row],[Ripple Current pk-pk]]/2,0,ABS(Table25[[#This Row],[Iin]]-Table25[[#This Row],[Ripple Current pk-pk]]/2)*Vsd_Q4*Deadtime*Fsw))</f>
        <v>0</v>
      </c>
      <c r="AT57" s="345">
        <f>(Table25[[#This Row],[Dead Time Loss BoCtlr]]+Table25[[#This Row],[Transition Loss BoCtlr]]+Table25[[#This Row],[RDS(on) Loss BoCtlr]]*(1+RdsonTopTc*Ta-RdsonTopTc*25))/(1-Table25[[#This Row],[RDS(on) Loss BoCtlr]]*RdsonTopTc*ThetaJA_Q4)</f>
        <v>0.43952094400021297</v>
      </c>
      <c r="AU57" s="345">
        <f>Table25[[#This Row],[Irms Lf]]</f>
        <v>5.52589989934072</v>
      </c>
      <c r="AV57" s="345">
        <f>Rdson3*Table25[[#This Row],[Irms BoSync]]^2</f>
        <v>0.10687449394136823</v>
      </c>
      <c r="AW57"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0.16087578947368419</v>
      </c>
      <c r="AX57" s="345">
        <f>(Table25[[#This Row],[Deadtime Loss BoSync]]+Table25[[#This Row],[RDS(on) Loss BoSync]]*(1+RdsonBotTc*Ta-RdsonBotTc*25))/(1-Table25[[#This Row],[RDS(on) Loss BoSync]]*RdsonBotTc*ThetaJA_Q3)</f>
        <v>0.27540300827116942</v>
      </c>
      <c r="AY57" s="345">
        <f>CHOOSE(Table25[[#This Row],[Mode Digit]], Rdson3*Table25[[#This Row],[Irms Lf]]^2, Rdson1*Table25[[#This Row],[Irms Lf]]^2, 0)</f>
        <v>0.10687449394136823</v>
      </c>
      <c r="AZ57" s="345">
        <f>CHOOSE(Table25[[#This Row],[Mode Digit]], 2*Deadtime*Fsw*IF(VfdSky_Q2&gt;0,VfdSky_Q2,0)*Table25[[#This Row],[Iout]], 2*Deadtime*Fsw*IF(VfdSky_Q3&gt;0,VfdSky_Q3,0)*Table25[[#This Row],[Iin]], 2*Deadtime*Fsw*IF(VfdSky_Q2&gt;0,VfdSky_Q2,0)*Table25[[#This Row],[Iout]]+2*Deadtime*Fsw*IF(VfdSky_Q3&gt;0,VfdSky_Q3,0)*Table25[[#This Row],[Iin]])</f>
        <v>0</v>
      </c>
      <c r="BA57"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57"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57" s="345">
        <f>CHOOSE(Table25[[#This Row],[Mode Digit]], Rs*Table25[[#This Row],[Irms BuSync]]^2, Rs*Table25[[#This Row],[Irms BoCtlr]]^2, Rs*(Table25[[#This Row],[Irms BuSync]]^2+Table25[[#This Row],[Irms BoCtlr]]^2))</f>
        <v>3.9696240606793914E-2</v>
      </c>
      <c r="BD57" s="345">
        <f t="shared" si="6"/>
        <v>0.64</v>
      </c>
      <c r="BE57" s="345">
        <f>IF(Vout&gt;8, Iq*Vout, Iq*Table25[[#This Row],[Vin]])</f>
        <v>4.8000000000000001E-2</v>
      </c>
      <c r="BF57" s="345">
        <f>CHOOSE(Table25[[#This Row],[Mode Digit]], (Qg_Q1+Qg_Q2)*Fsw, (Qg_Q3+Qg_Q4)*Fsw, (Qg_Q1+Qg_Q2+Qg_Q3+Qg_Q4)*Fsw)*IF(Vout&gt;8,  MIN( Table25[[#This Row],[Vin]], Vout), Table25[[#This Row],[Vin]])</f>
        <v>0.63998400000000011</v>
      </c>
      <c r="BG57" s="345">
        <f t="shared" si="4"/>
        <v>0.50594479787234037</v>
      </c>
      <c r="BH57" s="345">
        <f>Table25[[#This Row],[IQ Loss]]+Table25[[#This Row],[Switching Current Loss]]</f>
        <v>0.68798400000000015</v>
      </c>
      <c r="BI57"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3.731966587028571</v>
      </c>
      <c r="BJ57" s="253">
        <f>Vout*Table25[[#This Row],[Iout]]</f>
        <v>61.44</v>
      </c>
      <c r="BK57" s="684">
        <f>Table25[[#This Row],[Pout]]/(Table25[[#This Row],[Pout]]+Table25[[#This Row],[Total Loss]])</f>
        <v>0.94273662768722777</v>
      </c>
      <c r="BL57" s="685">
        <f>IF(Table25[[#This Row],[Vin]]&gt;Vout,ThetaJA_Q1*(Table25[[#This Row],[Total Control Bu MOSFET Loss]]+Table25[[#This Row],[Reverse Recovery Loss MOSFET D BUCK]]),ThetaJA_Q4*(Table25[[#This Row],[Total Control Bo MOSFET Loss]]+Table25[[#This Row],[Reverse Recovery Loss MOSFET D BOOST]]))</f>
        <v>51.748381360013845</v>
      </c>
      <c r="BM57" s="685">
        <f>IF(Table25[[#This Row],[Vin]]&gt;Vout, Table25[[#This Row],[Total Sync Bu MOSFET Loss]]*ThetaJA_Q2, ThetaJA_Q3*Table25[[#This Row],[Total Sync Bo MOSFET Loss]])</f>
        <v>17.901195537626013</v>
      </c>
      <c r="BN57" s="640"/>
      <c r="BO57" s="292">
        <f>Table25[[#This Row],[EFF, h]]*100</f>
        <v>94.273662768722772</v>
      </c>
      <c r="BP57" s="345">
        <f>Table25[[#This Row],[Total Inductor Loss]]</f>
        <v>0.7023495905749173</v>
      </c>
      <c r="BQ57" s="345">
        <f>Table25[[#This Row],[Total Control Bu MOSFET Loss]]+Table25[[#This Row],[Total Sync Bu MOSFET Loss]]+Table25[[#This Row],[Total Control Bo MOSFET Loss]]+Table25[[#This Row],[Total Sync Bo MOSFET Loss]]+Table25[[#This Row],[Reverse Recovery Loss MOSFET D BUCK]]+Table25[[#This Row],[Reverse Recovery Loss MOSFET D BOOST]]</f>
        <v>1.647998222921915</v>
      </c>
      <c r="BR57" s="345">
        <f xml:space="preserve"> Table25[[#This Row],[Total Control Bu MOSFET Loss]]+Table25[[#This Row],[Reverse Recovery Loss MOSFET D BUCK]]*0.66</f>
        <v>0.34529041532526622</v>
      </c>
      <c r="BS57" s="345">
        <f>Table25[[#This Row],[Total Sync Bu MOSFET Loss]]+Table25[[#This Row],[Reverse Recovery Loss MOSFET D BUCK]]*0.33</f>
        <v>0.22760977532526622</v>
      </c>
      <c r="BT57" s="345">
        <f xml:space="preserve"> Table25[[#This Row],[Total Control Bo MOSFET Loss]]+Table25[[#This Row],[Reverse Recovery Loss MOSFET D BOOST]]*0.66</f>
        <v>0.67488222400021303</v>
      </c>
      <c r="BU57" s="345">
        <f xml:space="preserve"> Table25[[#This Row],[Total Sync Bo MOSFET Loss]]+Table25[[#This Row],[Reverse Recovery Loss MOSFET D BOOST]]*0.33</f>
        <v>0.39308364827116943</v>
      </c>
      <c r="BV57" s="345">
        <f>Table25[[#This Row],[Isense Shunt Loss]]</f>
        <v>3.9696240606793914E-2</v>
      </c>
      <c r="CB57" s="686"/>
      <c r="CC57" s="686"/>
    </row>
    <row r="58" spans="1:83" x14ac:dyDescent="0.2">
      <c r="A58" s="691" t="s">
        <v>227</v>
      </c>
      <c r="B58" s="707">
        <f>VfdSky_Q2</f>
        <v>0</v>
      </c>
      <c r="C58" s="255" t="s">
        <v>0</v>
      </c>
      <c r="D58" s="352" t="s">
        <v>230</v>
      </c>
      <c r="G58" s="253">
        <v>49</v>
      </c>
      <c r="H58" s="286">
        <f t="shared" si="5"/>
        <v>12</v>
      </c>
      <c r="I58" s="292" t="str">
        <f>IF(Mode = 2,IF(Table25[[#This Row],[Vin]]&gt;Vout, "BUCK","BOOST"),IF(Table25[[#This Row],[Vin]]&gt;VIN_BB_to_buck, "BUCK", IF(Table25[[#This Row],[Vin]]&lt;=VIN_boost_to_BB,"BOOST","BUCK-BST")))</f>
        <v>BOOST</v>
      </c>
      <c r="J58" s="253">
        <f>IF(Table25[[#This Row],[Mode]]="BOOST",2, IF(Table25[[#This Row],[Mode]]="BUCK", 1,3))</f>
        <v>2</v>
      </c>
      <c r="K58" s="345">
        <f t="shared" si="7"/>
        <v>3.92</v>
      </c>
      <c r="L58" s="292">
        <f>Vout*Table25[[#This Row],[Iout]]/(Table25[[#This Row],[Vin]]*Efficiency)</f>
        <v>5.5017543859649125</v>
      </c>
      <c r="M58" s="682">
        <f>CHOOSE(Table25[[#This Row],[Mode Digit]],(Vout+(Rdson2+Rs+Rdcr)*Table25[[#This Row],[Iout]])/(Table25[[#This Row],[Vin]]+(Rs+Rdson2-Rdson1)*Table25[[#This Row],[Iout]])/Fsw,(Vout+(Rdson3+Rdcr)*Table25[[#This Row],[Iin]]-Table25[[#This Row],[Vin]])/(Vout+(Rdson3-Rdson4-Rs)*Table25[[#This Row],[Iin]])/Fsw,t1_Ph_II)</f>
        <v>6.3421279984888366E-7</v>
      </c>
      <c r="N58" s="518">
        <f>CHOOSE(Table25[[#This Row],[Mode Digit]],1/Fsw-Table25[[#This Row],[t1_Ph_II]],1/Fsw-Table25[[#This Row],[t1_Ph_II]],(Vout/Fsw-Table25[[#This Row],[Vin]]*t1_Ph_II)/(Table25[[#This Row],[Vin]]+Vout))</f>
        <v>1.8783500142214682E-6</v>
      </c>
      <c r="O58" s="518">
        <f>1/Fsw-(Table25[[#This Row],[t1_Ph_II]]+Table25[[#This Row],[t2_Ph_I]])</f>
        <v>0</v>
      </c>
      <c r="P58"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3.3877117198019673</v>
      </c>
      <c r="Q58" s="292">
        <f>CHOOSE(Table25[[#This Row],[Mode Digit]],Table25[[#This Row],[I_0]]+1/Lf*(Table25[[#This Row],[Vin]]-Vout)*Table25[[#This Row],[t1_Ph_II]],Table25[[#This Row],[I_0]]+1/Lf*Table25[[#This Row],[Vin]]*Table25[[#This Row],[t1_Ph_II]],Table25[[#This Row],[I_0]]+(Table25[[#This Row],[Vin]]-Vout)/L*Table25[[#This Row],[t1_Ph_II]])</f>
        <v>7.6157970521278582</v>
      </c>
      <c r="R58" s="292">
        <f>CHOOSE(Table25[[#This Row],[Mode Digit]],0,0,Table25[[#This Row],[I_1]]+Table25[[#This Row],[Vin]]/L*Table25[[#This Row],[t2_Ph_I]])</f>
        <v>0</v>
      </c>
      <c r="S58" s="292">
        <f>Fsw*(Table25[[#This Row],[I_0]]*Table25[[#This Row],[t1_Ph_II]]+Table25[[#This Row],[I_1]]*Table25[[#This Row],[t2_Ph_I]]+Table25[[#This Row],[I_2]]*Table25[[#This Row],[t3_Ph_III]])</f>
        <v>6.5485577291553279</v>
      </c>
      <c r="T58" s="345">
        <f>CHOOSE(Table25[[#This Row],[Mode Digit]],(Vout+(Rdson2+Rs+Rdcr)*Table25[[#This Row],[Iout]])/(Table25[[#This Row],[Vin]]+(Rs+Rdson2-Rdson1)*Table25[[#This Row],[Iout]]),1,Fsw*Table25[[#This Row],[t2_Ph_I]]+Table25[[#This Row],[t1_Ph_II]])</f>
        <v>1</v>
      </c>
      <c r="U58" s="345">
        <f>CHOOSE(Table25[[#This Row],[Mode Digit]],0,(Vout+(Rdson3+Rdcr)*Table25[[#This Row],[Iin]]-Table25[[#This Row],[Vin]])/(Vout+(Rdson3-Rdson4-Rs)*Table25[[#This Row],[Iin]]),Fsw*Table25[[#This Row],[t1_Ph_II]]+Table25[[#This Row],[t3_Ph_III]])</f>
        <v>0.2524166943398557</v>
      </c>
      <c r="V58" s="292">
        <f>MAX(Table25[[#This Row],[I_0]:[I_2]])-MIN(Table25[[#This Row],[I_0]:[I_1]])</f>
        <v>4.2280853323258913</v>
      </c>
      <c r="W58"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5.6355147758008703</v>
      </c>
      <c r="X58" s="345">
        <f>(Table25[[#This Row],[Irms Lf]]^2*Rdcr*(1+Ltc*Ta-Ltc*25))/(1-Table25[[#This Row],[Irms Lf]]^2*Rdcr*Ltc*ThetaCa)</f>
        <v>0.10246193308957284</v>
      </c>
      <c r="Y58" s="345">
        <f>ABS(7.759*10^-3*Fsw^0.9458*(0.00787*Table25[[#This Row],[Ripple Current pk-pk]])^2.304)</f>
        <v>0.60413796789946339</v>
      </c>
      <c r="Z58" s="345">
        <f>Table25[[#This Row],[DCR    Loss]]+Table25[[#This Row],[Core Loss]]</f>
        <v>0.70659990098903624</v>
      </c>
      <c r="AA58" s="292">
        <f>IF(Table25[[#This Row],[Vin]]&gt;Vout, Table25[[#This Row],[Ripple Current pk-pk]]/SQRT(12), SQRT(Table25[[#This Row],[Duty Cycle BOOST Leg]]/(1-Table25[[#This Row],[Duty Cycle BOOST Leg]]))*SQRT(Table25[[#This Row],[Iout]]^2+(Table25[[#This Row],[Ripple Current pk-pk]]^2)/12))</f>
        <v>2.3856576318613358</v>
      </c>
      <c r="AB58" s="345">
        <f>RCoutEsr*Table25[[#This Row],[Irms Cout]]^2</f>
        <v>1.1382724672916475E-2</v>
      </c>
      <c r="AC58" s="345">
        <f>Table25[[#This Row],[Cout ESR Loss]]</f>
        <v>1.1382724672916475E-2</v>
      </c>
      <c r="AD58" s="292">
        <f>IF(Table25[[#This Row],[Vin]]&gt;Vout, SQRT(Table25[[#This Row],[Duty Cycle BUCK Leg]]*(1-Table25[[#This Row],[Duty Cycle BUCK Leg]]))*SQRT(Table25[[#This Row],[Iout]]^2+(Table25[[#This Row],[Ripple Current pk-pk]]^2)/12), Table25[[#This Row],[Ripple Current pk-pk]]/SQRT(12))</f>
        <v>1.2205431023875308</v>
      </c>
      <c r="AE58" s="345">
        <f>RCinEsr*Table25[[#This Row],[Irms Cin]]^2</f>
        <v>2.9794509295715571E-3</v>
      </c>
      <c r="AF58" s="683">
        <f>Table25[[#This Row],[Cin ESR Loss]]</f>
        <v>2.9794509295715571E-3</v>
      </c>
      <c r="AG58" s="345">
        <f>Table25[[#This Row],[Irms Lf]]</f>
        <v>5.6355147758008703</v>
      </c>
      <c r="AH58" s="345">
        <f>Rdson1*Table25[[#This Row],[Irms BuCtrl]]^2</f>
        <v>0.11115659375894478</v>
      </c>
      <c r="AI58" s="345">
        <f>CHOOSE(Table25[[#This Row],[Mode Digit]], (Table25[[#This Row],[Vin]]*Table25[[#This Row],[Iout]]/2)*(Fsw)*(Tr_buck+Tf_buck), 0, (Table25[[#This Row],[Vin]]*Table25[[#This Row],[Avg IL]]/2)*(Fsw/1)*(Tr_buck+Tf_buck))</f>
        <v>0</v>
      </c>
      <c r="AJ58" s="253">
        <f>IF(Table25[[#This Row],[Vin]]&gt;Vout, IF(Table25[[#This Row],[Iout]]&gt;Table25[[#This Row],[Ripple Current pk-pk]]/2,0,ABS(Table25[[#This Row],[Iout]]-Table25[[#This Row],[Ripple Current pk-pk]]/2)*Vsd_Q1*Deadtime*Fsw),0)</f>
        <v>0</v>
      </c>
      <c r="AK58" s="345">
        <f>(Table25[[#This Row],[Dead Time Loss BuCtrl]]+Table25[[#This Row],[Transition Loss BuCtrl]]+Table25[[#This Row],[RDS(on) Loss BuCtrl]]*(1+RdsonTopTc*Ta-RdsonTopTc*25))/(1-Table25[[#This Row],[RDS(on) Loss BuCtrl]]*RdsonTopTc*ThetaJA_Q1)</f>
        <v>0.11446470551944701</v>
      </c>
      <c r="AL58" s="345">
        <f>Table25[[#This Row],[Irms Lf]]</f>
        <v>5.6355147758008703</v>
      </c>
      <c r="AM58" s="345">
        <f>Rdson2*Table25[[#This Row],[Irms BuSync]]^2</f>
        <v>0.11115659375894478</v>
      </c>
      <c r="AN58"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58" s="345">
        <f>(Table25[[#This Row],[Deadtime Loss BuSync]]+Table25[[#This Row],[RDS(on) Loss BuSync]]*(1+RdsonBotTc*Ta-RdsonBotTc*25))/(1-Table25[[#This Row],[RDS(on) Loss BuSync]]*RdsonBotTc*ThetaJA_Q2)</f>
        <v>0.11446470551944701</v>
      </c>
      <c r="AP58" s="345">
        <f>Table25[[#This Row],[Irms Lf]]</f>
        <v>5.6355147758008703</v>
      </c>
      <c r="AQ58" s="345">
        <f>Rdson4*Table25[[#This Row],[Irms BoCtlr]]^2</f>
        <v>0.11115659375894478</v>
      </c>
      <c r="AR58" s="345">
        <f>CHOOSE(Table25[[#This Row],[Mode Digit]], 0, (Vout*Table25[[#This Row],[Iin]]/2)*(Fsw)*(Tr_boost+Tf_boost), (Vout*Iout/2)*(Fsw/1)*(Tr_boost+Tf_boost))</f>
        <v>0.32710901381704593</v>
      </c>
      <c r="AS58" s="345">
        <f>IF(Table25[[#This Row],[Vin]]&gt;Vout, 0, IF(Table25[[#This Row],[Iin]]&gt;Table25[[#This Row],[Ripple Current pk-pk]]/2,0,ABS(Table25[[#This Row],[Iin]]-Table25[[#This Row],[Ripple Current pk-pk]]/2)*Vsd_Q4*Deadtime*Fsw))</f>
        <v>0</v>
      </c>
      <c r="AT58" s="345">
        <f>(Table25[[#This Row],[Dead Time Loss BoCtlr]]+Table25[[#This Row],[Transition Loss BoCtlr]]+Table25[[#This Row],[RDS(on) Loss BoCtlr]]*(1+RdsonTopTc*Ta-RdsonTopTc*25))/(1-Table25[[#This Row],[RDS(on) Loss BoCtlr]]*RdsonTopTc*ThetaJA_Q4)</f>
        <v>0.45130875294071743</v>
      </c>
      <c r="AU58" s="345">
        <f>Table25[[#This Row],[Irms Lf]]</f>
        <v>5.6355147758008703</v>
      </c>
      <c r="AV58" s="345">
        <f>Rdson3*Table25[[#This Row],[Irms BoSync]]^2</f>
        <v>0.11115659375894478</v>
      </c>
      <c r="AW58"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0.16422736842105262</v>
      </c>
      <c r="AX58" s="345">
        <f>(Table25[[#This Row],[Deadtime Loss BoSync]]+Table25[[#This Row],[RDS(on) Loss BoSync]]*(1+RdsonBotTc*Ta-RdsonBotTc*25))/(1-Table25[[#This Row],[RDS(on) Loss BoSync]]*RdsonBotTc*ThetaJA_Q3)</f>
        <v>0.2835796156552825</v>
      </c>
      <c r="AY58" s="345">
        <f>CHOOSE(Table25[[#This Row],[Mode Digit]], Rdson3*Table25[[#This Row],[Irms Lf]]^2, Rdson1*Table25[[#This Row],[Irms Lf]]^2, 0)</f>
        <v>0.11115659375894478</v>
      </c>
      <c r="AZ58" s="345">
        <f>CHOOSE(Table25[[#This Row],[Mode Digit]], 2*Deadtime*Fsw*IF(VfdSky_Q2&gt;0,VfdSky_Q2,0)*Table25[[#This Row],[Iout]], 2*Deadtime*Fsw*IF(VfdSky_Q3&gt;0,VfdSky_Q3,0)*Table25[[#This Row],[Iin]], 2*Deadtime*Fsw*IF(VfdSky_Q2&gt;0,VfdSky_Q2,0)*Table25[[#This Row],[Iout]]+2*Deadtime*Fsw*IF(VfdSky_Q3&gt;0,VfdSky_Q3,0)*Table25[[#This Row],[Iin]])</f>
        <v>0</v>
      </c>
      <c r="BA58"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58"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58" s="345">
        <f>CHOOSE(Table25[[#This Row],[Mode Digit]], Rs*Table25[[#This Row],[Irms BuSync]]^2, Rs*Table25[[#This Row],[Irms BoCtlr]]^2, Rs*(Table25[[#This Row],[Irms BuSync]]^2+Table25[[#This Row],[Irms BoCtlr]]^2))</f>
        <v>4.1286734824750912E-2</v>
      </c>
      <c r="BD58" s="345">
        <f t="shared" si="6"/>
        <v>0.64</v>
      </c>
      <c r="BE58" s="345">
        <f>IF(Vout&gt;8, Iq*Vout, Iq*Table25[[#This Row],[Vin]])</f>
        <v>4.8000000000000001E-2</v>
      </c>
      <c r="BF58" s="345">
        <f>CHOOSE(Table25[[#This Row],[Mode Digit]], (Qg_Q1+Qg_Q2)*Fsw, (Qg_Q3+Qg_Q4)*Fsw, (Qg_Q1+Qg_Q2+Qg_Q3+Qg_Q4)*Fsw)*IF(Vout&gt;8,  MIN( Table25[[#This Row],[Vin]], Vout), Table25[[#This Row],[Vin]])</f>
        <v>0.63998400000000011</v>
      </c>
      <c r="BG58" s="345">
        <f t="shared" si="4"/>
        <v>0.50594479787234037</v>
      </c>
      <c r="BH58" s="345">
        <f>Table25[[#This Row],[IQ Loss]]+Table25[[#This Row],[Switching Current Loss]]</f>
        <v>0.68798400000000015</v>
      </c>
      <c r="BI58"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3.7672665910511691</v>
      </c>
      <c r="BJ58" s="253">
        <f>Vout*Table25[[#This Row],[Iout]]</f>
        <v>62.72</v>
      </c>
      <c r="BK58" s="684">
        <f>Table25[[#This Row],[Pout]]/(Table25[[#This Row],[Pout]]+Table25[[#This Row],[Total Loss]])</f>
        <v>0.94333852504085014</v>
      </c>
      <c r="BL58" s="685">
        <f>IF(Table25[[#This Row],[Vin]]&gt;Vout,ThetaJA_Q1*(Table25[[#This Row],[Total Control Bu MOSFET Loss]]+Table25[[#This Row],[Reverse Recovery Loss MOSFET D BUCK]]),ThetaJA_Q4*(Table25[[#This Row],[Total Control Bo MOSFET Loss]]+Table25[[#This Row],[Reverse Recovery Loss MOSFET D BOOST]]))</f>
        <v>52.514588941146634</v>
      </c>
      <c r="BM58" s="685">
        <f>IF(Table25[[#This Row],[Vin]]&gt;Vout, Table25[[#This Row],[Total Sync Bu MOSFET Loss]]*ThetaJA_Q2, ThetaJA_Q3*Table25[[#This Row],[Total Sync Bo MOSFET Loss]])</f>
        <v>18.432675017593361</v>
      </c>
      <c r="BN58" s="640"/>
      <c r="BO58" s="292">
        <f>Table25[[#This Row],[EFF, h]]*100</f>
        <v>94.333852504085016</v>
      </c>
      <c r="BP58" s="345">
        <f>Table25[[#This Row],[Total Inductor Loss]]</f>
        <v>0.70659990098903624</v>
      </c>
      <c r="BQ58" s="345">
        <f>Table25[[#This Row],[Total Control Bu MOSFET Loss]]+Table25[[#This Row],[Total Sync Bu MOSFET Loss]]+Table25[[#This Row],[Total Control Bo MOSFET Loss]]+Table25[[#This Row],[Total Sync Bo MOSFET Loss]]+Table25[[#This Row],[Reverse Recovery Loss MOSFET D BUCK]]+Table25[[#This Row],[Reverse Recovery Loss MOSFET D BOOST]]</f>
        <v>1.677033779634894</v>
      </c>
      <c r="BR58" s="345">
        <f xml:space="preserve"> Table25[[#This Row],[Total Control Bu MOSFET Loss]]+Table25[[#This Row],[Reverse Recovery Loss MOSFET D BUCK]]*0.66</f>
        <v>0.34982598551944699</v>
      </c>
      <c r="BS58" s="345">
        <f>Table25[[#This Row],[Total Sync Bu MOSFET Loss]]+Table25[[#This Row],[Reverse Recovery Loss MOSFET D BUCK]]*0.33</f>
        <v>0.23214534551944702</v>
      </c>
      <c r="BT58" s="345">
        <f xml:space="preserve"> Table25[[#This Row],[Total Control Bo MOSFET Loss]]+Table25[[#This Row],[Reverse Recovery Loss MOSFET D BOOST]]*0.66</f>
        <v>0.68667003294071738</v>
      </c>
      <c r="BU58" s="345">
        <f xml:space="preserve"> Table25[[#This Row],[Total Sync Bo MOSFET Loss]]+Table25[[#This Row],[Reverse Recovery Loss MOSFET D BOOST]]*0.33</f>
        <v>0.40126025565528251</v>
      </c>
      <c r="BV58" s="345">
        <f>Table25[[#This Row],[Isense Shunt Loss]]</f>
        <v>4.1286734824750912E-2</v>
      </c>
      <c r="CB58" s="686"/>
      <c r="CC58" s="686"/>
    </row>
    <row r="59" spans="1:83" x14ac:dyDescent="0.2">
      <c r="A59" s="691" t="s">
        <v>228</v>
      </c>
      <c r="B59" s="707">
        <f>QrrSky_Q2*1000000000</f>
        <v>0</v>
      </c>
      <c r="C59" s="255" t="s">
        <v>69</v>
      </c>
      <c r="D59" s="352" t="s">
        <v>231</v>
      </c>
      <c r="G59" s="253">
        <v>50</v>
      </c>
      <c r="H59" s="286">
        <f t="shared" si="5"/>
        <v>12</v>
      </c>
      <c r="I59" s="292" t="str">
        <f>IF(Mode = 2,IF(Table25[[#This Row],[Vin]]&gt;Vout, "BUCK","BOOST"),IF(Table25[[#This Row],[Vin]]&gt;VIN_BB_to_buck, "BUCK", IF(Table25[[#This Row],[Vin]]&lt;=VIN_boost_to_BB,"BOOST","BUCK-BST")))</f>
        <v>BOOST</v>
      </c>
      <c r="J59" s="253">
        <f>IF(Table25[[#This Row],[Mode]]="BOOST",2, IF(Table25[[#This Row],[Mode]]="BUCK", 1,3))</f>
        <v>2</v>
      </c>
      <c r="K59" s="345">
        <f t="shared" si="7"/>
        <v>4</v>
      </c>
      <c r="L59" s="292">
        <f>Vout*Table25[[#This Row],[Iout]]/(Table25[[#This Row],[Vin]]*Efficiency)</f>
        <v>5.6140350877192988</v>
      </c>
      <c r="M59" s="682">
        <f>CHOOSE(Table25[[#This Row],[Mode Digit]],(Vout+(Rdson2+Rs+Rdcr)*Table25[[#This Row],[Iout]])/(Table25[[#This Row],[Vin]]+(Rs+Rdson2-Rdson1)*Table25[[#This Row],[Iout]])/Fsw,(Vout+(Rdson3+Rdcr)*Table25[[#This Row],[Iin]]-Table25[[#This Row],[Vin]])/(Vout+(Rdson3-Rdson4-Rs)*Table25[[#This Row],[Iin]])/Fsw,t1_Ph_II)</f>
        <v>6.3433677673303524E-7</v>
      </c>
      <c r="N59" s="518">
        <f>CHOOSE(Table25[[#This Row],[Mode Digit]],1/Fsw-Table25[[#This Row],[t1_Ph_II]],1/Fsw-Table25[[#This Row],[t1_Ph_II]],(Vout/Fsw-Table25[[#This Row],[Vin]]*t1_Ph_II)/(Table25[[#This Row],[Vin]]+Vout))</f>
        <v>1.8782260373373167E-6</v>
      </c>
      <c r="O59" s="518">
        <f>1/Fsw-(Table25[[#This Row],[t1_Ph_II]]+Table25[[#This Row],[t2_Ph_I]])</f>
        <v>0</v>
      </c>
      <c r="P59"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3.4995791652758483</v>
      </c>
      <c r="Q59" s="292">
        <f>CHOOSE(Table25[[#This Row],[Mode Digit]],Table25[[#This Row],[I_0]]+1/Lf*(Table25[[#This Row],[Vin]]-Vout)*Table25[[#This Row],[t1_Ph_II]],Table25[[#This Row],[I_0]]+1/Lf*Table25[[#This Row],[Vin]]*Table25[[#This Row],[t1_Ph_II]],Table25[[#This Row],[I_0]]+(Table25[[#This Row],[Vin]]-Vout)/L*Table25[[#This Row],[t1_Ph_II]])</f>
        <v>7.7284910101627489</v>
      </c>
      <c r="R59" s="292">
        <f>CHOOSE(Table25[[#This Row],[Mode Digit]],0,0,Table25[[#This Row],[I_1]]+Table25[[#This Row],[Vin]]/L*Table25[[#This Row],[t2_Ph_I]])</f>
        <v>0</v>
      </c>
      <c r="S59" s="292">
        <f>Fsw*(Table25[[#This Row],[I_0]]*Table25[[#This Row],[t1_Ph_II]]+Table25[[#This Row],[I_1]]*Table25[[#This Row],[t2_Ph_I]]+Table25[[#This Row],[I_2]]*Table25[[#This Row],[t3_Ph_III]])</f>
        <v>6.6608343952708129</v>
      </c>
      <c r="T59" s="345">
        <f>CHOOSE(Table25[[#This Row],[Mode Digit]],(Vout+(Rdson2+Rs+Rdcr)*Table25[[#This Row],[Iout]])/(Table25[[#This Row],[Vin]]+(Rs+Rdson2-Rdson1)*Table25[[#This Row],[Iout]]),1,Fsw*Table25[[#This Row],[t2_Ph_I]]+Table25[[#This Row],[t1_Ph_II]])</f>
        <v>1</v>
      </c>
      <c r="U59" s="345">
        <f>CHOOSE(Table25[[#This Row],[Mode Digit]],0,(Vout+(Rdson3+Rdcr)*Table25[[#This Row],[Iin]]-Table25[[#This Row],[Vin]])/(Vout+(Rdson3-Rdson4-Rs)*Table25[[#This Row],[Iin]]),Fsw*Table25[[#This Row],[t1_Ph_II]]+Table25[[#This Row],[t3_Ph_III]])</f>
        <v>0.25246603713974802</v>
      </c>
      <c r="V59" s="292">
        <f>MAX(Table25[[#This Row],[I_0]:[I_2]])-MIN(Table25[[#This Row],[I_0]:[I_1]])</f>
        <v>4.2289118448869001</v>
      </c>
      <c r="W59"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5.7452326250085086</v>
      </c>
      <c r="X59" s="345">
        <f>(Table25[[#This Row],[Irms Lf]]^2*Rdcr*(1+Ltc*Ta-Ltc*25))/(1-Table25[[#This Row],[Irms Lf]]^2*Rdcr*Ltc*ThetaCa)</f>
        <v>0.1065247644644442</v>
      </c>
      <c r="Y59" s="345">
        <f>ABS(7.759*10^-3*Fsw^0.9458*(0.00787*Table25[[#This Row],[Ripple Current pk-pk]])^2.304)</f>
        <v>0.60441009993471573</v>
      </c>
      <c r="Z59" s="345">
        <f>Table25[[#This Row],[DCR    Loss]]+Table25[[#This Row],[Core Loss]]</f>
        <v>0.71093486439915998</v>
      </c>
      <c r="AA59" s="292">
        <f>IF(Table25[[#This Row],[Vin]]&gt;Vout, Table25[[#This Row],[Ripple Current pk-pk]]/SQRT(12), SQRT(Table25[[#This Row],[Duty Cycle BOOST Leg]]/(1-Table25[[#This Row],[Duty Cycle BOOST Leg]]))*SQRT(Table25[[#This Row],[Iout]]^2+(Table25[[#This Row],[Ripple Current pk-pk]]^2)/12))</f>
        <v>2.4304391104525322</v>
      </c>
      <c r="AB59" s="345">
        <f>RCoutEsr*Table25[[#This Row],[Irms Cout]]^2</f>
        <v>1.1814068539234591E-2</v>
      </c>
      <c r="AC59" s="345">
        <f>Table25[[#This Row],[Cout ESR Loss]]</f>
        <v>1.1814068539234591E-2</v>
      </c>
      <c r="AD59" s="292">
        <f>IF(Table25[[#This Row],[Vin]]&gt;Vout, SQRT(Table25[[#This Row],[Duty Cycle BUCK Leg]]*(1-Table25[[#This Row],[Duty Cycle BUCK Leg]]))*SQRT(Table25[[#This Row],[Iout]]^2+(Table25[[#This Row],[Ripple Current pk-pk]]^2)/12), Table25[[#This Row],[Ripple Current pk-pk]]/SQRT(12))</f>
        <v>1.2207816960123243</v>
      </c>
      <c r="AE59" s="345">
        <f>RCinEsr*Table25[[#This Row],[Irms Cin]]^2</f>
        <v>2.9806158986374542E-3</v>
      </c>
      <c r="AF59" s="683">
        <f>Table25[[#This Row],[Cin ESR Loss]]</f>
        <v>2.9806158986374542E-3</v>
      </c>
      <c r="AG59" s="345">
        <f>Table25[[#This Row],[Irms Lf]]</f>
        <v>5.7452326250085086</v>
      </c>
      <c r="AH59" s="345">
        <f>Rdson1*Table25[[#This Row],[Irms BuCtrl]]^2</f>
        <v>0.11552694270411756</v>
      </c>
      <c r="AI59" s="345">
        <f>CHOOSE(Table25[[#This Row],[Mode Digit]], (Table25[[#This Row],[Vin]]*Table25[[#This Row],[Iout]]/2)*(Fsw)*(Tr_buck+Tf_buck), 0, (Table25[[#This Row],[Vin]]*Table25[[#This Row],[Avg IL]]/2)*(Fsw/1)*(Tr_buck+Tf_buck))</f>
        <v>0</v>
      </c>
      <c r="AJ59" s="253">
        <f>IF(Table25[[#This Row],[Vin]]&gt;Vout, IF(Table25[[#This Row],[Iout]]&gt;Table25[[#This Row],[Ripple Current pk-pk]]/2,0,ABS(Table25[[#This Row],[Iout]]-Table25[[#This Row],[Ripple Current pk-pk]]/2)*Vsd_Q1*Deadtime*Fsw),0)</f>
        <v>0</v>
      </c>
      <c r="AK59" s="345">
        <f>(Table25[[#This Row],[Dead Time Loss BuCtrl]]+Table25[[#This Row],[Transition Loss BuCtrl]]+Table25[[#This Row],[RDS(on) Loss BuCtrl]]*(1+RdsonTopTc*Ta-RdsonTopTc*25))/(1-Table25[[#This Row],[RDS(on) Loss BuCtrl]]*RdsonTopTc*ThetaJA_Q1)</f>
        <v>0.11910448471943379</v>
      </c>
      <c r="AL59" s="345">
        <f>Table25[[#This Row],[Irms Lf]]</f>
        <v>5.7452326250085086</v>
      </c>
      <c r="AM59" s="345">
        <f>Rdson2*Table25[[#This Row],[Irms BuSync]]^2</f>
        <v>0.11552694270411756</v>
      </c>
      <c r="AN59"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59" s="345">
        <f>(Table25[[#This Row],[Deadtime Loss BuSync]]+Table25[[#This Row],[RDS(on) Loss BuSync]]*(1+RdsonBotTc*Ta-RdsonBotTc*25))/(1-Table25[[#This Row],[RDS(on) Loss BuSync]]*RdsonBotTc*ThetaJA_Q2)</f>
        <v>0.11910448471943379</v>
      </c>
      <c r="AP59" s="345">
        <f>Table25[[#This Row],[Irms Lf]]</f>
        <v>5.7452326250085086</v>
      </c>
      <c r="AQ59" s="345">
        <f>Rdson4*Table25[[#This Row],[Irms BoCtlr]]^2</f>
        <v>0.11552694270411756</v>
      </c>
      <c r="AR59" s="345">
        <f>CHOOSE(Table25[[#This Row],[Mode Digit]], 0, (Vout*Table25[[#This Row],[Iin]]/2)*(Fsw)*(Tr_boost+Tf_boost), (Vout*Iout/2)*(Fsw/1)*(Tr_boost+Tf_boost))</f>
        <v>0.3337847079765775</v>
      </c>
      <c r="AS59" s="345">
        <f>IF(Table25[[#This Row],[Vin]]&gt;Vout, 0, IF(Table25[[#This Row],[Iin]]&gt;Table25[[#This Row],[Ripple Current pk-pk]]/2,0,ABS(Table25[[#This Row],[Iin]]-Table25[[#This Row],[Ripple Current pk-pk]]/2)*Vsd_Q4*Deadtime*Fsw))</f>
        <v>0</v>
      </c>
      <c r="AT59" s="345">
        <f>(Table25[[#This Row],[Dead Time Loss BoCtlr]]+Table25[[#This Row],[Transition Loss BoCtlr]]+Table25[[#This Row],[RDS(on) Loss BoCtlr]]*(1+RdsonTopTc*Ta-RdsonTopTc*25))/(1-Table25[[#This Row],[RDS(on) Loss BoCtlr]]*RdsonTopTc*ThetaJA_Q4)</f>
        <v>0.4632255591652133</v>
      </c>
      <c r="AU59" s="345">
        <f>Table25[[#This Row],[Irms Lf]]</f>
        <v>5.7452326250085086</v>
      </c>
      <c r="AV59" s="345">
        <f>Rdson3*Table25[[#This Row],[Irms BoSync]]^2</f>
        <v>0.11552694270411756</v>
      </c>
      <c r="AW59"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0.16757894736842105</v>
      </c>
      <c r="AX59" s="345">
        <f>(Table25[[#This Row],[Deadtime Loss BoSync]]+Table25[[#This Row],[RDS(on) Loss BoSync]]*(1+RdsonBotTc*Ta-RdsonBotTc*25))/(1-Table25[[#This Row],[RDS(on) Loss BoSync]]*RdsonBotTc*ThetaJA_Q3)</f>
        <v>0.29187287717365146</v>
      </c>
      <c r="AY59" s="345">
        <f>CHOOSE(Table25[[#This Row],[Mode Digit]], Rdson3*Table25[[#This Row],[Irms Lf]]^2, Rdson1*Table25[[#This Row],[Irms Lf]]^2, 0)</f>
        <v>0.11552694270411756</v>
      </c>
      <c r="AZ59" s="345">
        <f>CHOOSE(Table25[[#This Row],[Mode Digit]], 2*Deadtime*Fsw*IF(VfdSky_Q2&gt;0,VfdSky_Q2,0)*Table25[[#This Row],[Iout]], 2*Deadtime*Fsw*IF(VfdSky_Q3&gt;0,VfdSky_Q3,0)*Table25[[#This Row],[Iin]], 2*Deadtime*Fsw*IF(VfdSky_Q2&gt;0,VfdSky_Q2,0)*Table25[[#This Row],[Iout]]+2*Deadtime*Fsw*IF(VfdSky_Q3&gt;0,VfdSky_Q3,0)*Table25[[#This Row],[Iin]])</f>
        <v>0</v>
      </c>
      <c r="BA59"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59"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59" s="345">
        <f>CHOOSE(Table25[[#This Row],[Mode Digit]], Rs*Table25[[#This Row],[Irms BuSync]]^2, Rs*Table25[[#This Row],[Irms BoCtlr]]^2, Rs*(Table25[[#This Row],[Irms BuSync]]^2+Table25[[#This Row],[Irms BoCtlr]]^2))</f>
        <v>4.2910007290100805E-2</v>
      </c>
      <c r="BD59" s="345">
        <f t="shared" si="6"/>
        <v>0.64</v>
      </c>
      <c r="BE59" s="345">
        <f>IF(Vout&gt;8, Iq*Vout, Iq*Table25[[#This Row],[Vin]])</f>
        <v>4.8000000000000001E-2</v>
      </c>
      <c r="BF59" s="345">
        <f>CHOOSE(Table25[[#This Row],[Mode Digit]], (Qg_Q1+Qg_Q2)*Fsw, (Qg_Q3+Qg_Q4)*Fsw, (Qg_Q1+Qg_Q2+Qg_Q3+Qg_Q4)*Fsw)*IF(Vout&gt;8,  MIN( Table25[[#This Row],[Vin]], Vout), Table25[[#This Row],[Vin]])</f>
        <v>0.63998400000000011</v>
      </c>
      <c r="BG59" s="345">
        <f t="shared" si="4"/>
        <v>0.50594479787234037</v>
      </c>
      <c r="BH59" s="345">
        <f>Table25[[#This Row],[IQ Loss]]+Table25[[#This Row],[Switching Current Loss]]</f>
        <v>0.68798400000000015</v>
      </c>
      <c r="BI59"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3.8031469619048655</v>
      </c>
      <c r="BJ59" s="253">
        <f>Vout*Table25[[#This Row],[Iout]]</f>
        <v>64</v>
      </c>
      <c r="BK59" s="684">
        <f>Table25[[#This Row],[Pout]]/(Table25[[#This Row],[Pout]]+Table25[[#This Row],[Total Loss]])</f>
        <v>0.94390899047736432</v>
      </c>
      <c r="BL59" s="685">
        <f>IF(Table25[[#This Row],[Vin]]&gt;Vout,ThetaJA_Q1*(Table25[[#This Row],[Total Control Bu MOSFET Loss]]+Table25[[#This Row],[Reverse Recovery Loss MOSFET D BUCK]]),ThetaJA_Q4*(Table25[[#This Row],[Total Control Bo MOSFET Loss]]+Table25[[#This Row],[Reverse Recovery Loss MOSFET D BOOST]]))</f>
        <v>53.289181345738861</v>
      </c>
      <c r="BM59" s="685">
        <f>IF(Table25[[#This Row],[Vin]]&gt;Vout, Table25[[#This Row],[Total Sync Bu MOSFET Loss]]*ThetaJA_Q2, ThetaJA_Q3*Table25[[#This Row],[Total Sync Bo MOSFET Loss]])</f>
        <v>18.971737016287346</v>
      </c>
      <c r="BN59" s="640"/>
      <c r="BO59" s="292">
        <f>Table25[[#This Row],[EFF, h]]*100</f>
        <v>94.390899047736426</v>
      </c>
      <c r="BP59" s="345">
        <f>Table25[[#This Row],[Total Inductor Loss]]</f>
        <v>0.71093486439915998</v>
      </c>
      <c r="BQ59" s="345">
        <f>Table25[[#This Row],[Total Control Bu MOSFET Loss]]+Table25[[#This Row],[Total Sync Bu MOSFET Loss]]+Table25[[#This Row],[Total Control Bo MOSFET Loss]]+Table25[[#This Row],[Total Sync Bo MOSFET Loss]]+Table25[[#This Row],[Reverse Recovery Loss MOSFET D BUCK]]+Table25[[#This Row],[Reverse Recovery Loss MOSFET D BOOST]]</f>
        <v>1.7065234057777323</v>
      </c>
      <c r="BR59" s="345">
        <f xml:space="preserve"> Table25[[#This Row],[Total Control Bu MOSFET Loss]]+Table25[[#This Row],[Reverse Recovery Loss MOSFET D BUCK]]*0.66</f>
        <v>0.35446576471943381</v>
      </c>
      <c r="BS59" s="345">
        <f>Table25[[#This Row],[Total Sync Bu MOSFET Loss]]+Table25[[#This Row],[Reverse Recovery Loss MOSFET D BUCK]]*0.33</f>
        <v>0.2367851247194338</v>
      </c>
      <c r="BT59" s="345">
        <f xml:space="preserve"> Table25[[#This Row],[Total Control Bo MOSFET Loss]]+Table25[[#This Row],[Reverse Recovery Loss MOSFET D BOOST]]*0.66</f>
        <v>0.69858683916521325</v>
      </c>
      <c r="BU59" s="345">
        <f xml:space="preserve"> Table25[[#This Row],[Total Sync Bo MOSFET Loss]]+Table25[[#This Row],[Reverse Recovery Loss MOSFET D BOOST]]*0.33</f>
        <v>0.40955351717365146</v>
      </c>
      <c r="BV59" s="345">
        <f>Table25[[#This Row],[Isense Shunt Loss]]</f>
        <v>4.2910007290100805E-2</v>
      </c>
      <c r="CB59" s="686"/>
      <c r="CC59" s="686"/>
    </row>
    <row r="60" spans="1:83" ht="13.6" x14ac:dyDescent="0.25">
      <c r="A60" s="691" t="s">
        <v>229</v>
      </c>
      <c r="B60" s="707">
        <f>Ireverse</f>
        <v>0</v>
      </c>
      <c r="C60" s="255" t="s">
        <v>68</v>
      </c>
      <c r="D60" s="352" t="s">
        <v>232</v>
      </c>
      <c r="E60" s="706"/>
      <c r="G60" s="253">
        <v>51</v>
      </c>
      <c r="H60" s="286">
        <f t="shared" si="5"/>
        <v>12</v>
      </c>
      <c r="I60" s="292" t="str">
        <f>IF(Mode = 2,IF(Table25[[#This Row],[Vin]]&gt;Vout, "BUCK","BOOST"),IF(Table25[[#This Row],[Vin]]&gt;VIN_BB_to_buck, "BUCK", IF(Table25[[#This Row],[Vin]]&lt;=VIN_boost_to_BB,"BOOST","BUCK-BST")))</f>
        <v>BOOST</v>
      </c>
      <c r="J60" s="253">
        <f>IF(Table25[[#This Row],[Mode]]="BOOST",2, IF(Table25[[#This Row],[Mode]]="BUCK", 1,3))</f>
        <v>2</v>
      </c>
      <c r="K60" s="345">
        <f t="shared" si="7"/>
        <v>4.08</v>
      </c>
      <c r="L60" s="292">
        <f>Vout*Table25[[#This Row],[Iout]]/(Table25[[#This Row],[Vin]]*Efficiency)</f>
        <v>5.7263157894736851</v>
      </c>
      <c r="M60" s="682">
        <f>CHOOSE(Table25[[#This Row],[Mode Digit]],(Vout+(Rdson2+Rs+Rdcr)*Table25[[#This Row],[Iout]])/(Table25[[#This Row],[Vin]]+(Rs+Rdson2-Rdson1)*Table25[[#This Row],[Iout]])/Fsw,(Vout+(Rdson3+Rdcr)*Table25[[#This Row],[Iin]]-Table25[[#This Row],[Vin]])/(Vout+(Rdson3-Rdson4-Rs)*Table25[[#This Row],[Iin]])/Fsw,t1_Ph_II)</f>
        <v>6.3446075588027366E-7</v>
      </c>
      <c r="N60" s="518">
        <f>CHOOSE(Table25[[#This Row],[Mode Digit]],1/Fsw-Table25[[#This Row],[t1_Ph_II]],1/Fsw-Table25[[#This Row],[t1_Ph_II]],(Vout/Fsw-Table25[[#This Row],[Vin]]*t1_Ph_II)/(Table25[[#This Row],[Vin]]+Vout))</f>
        <v>1.8781020581900783E-6</v>
      </c>
      <c r="O60" s="518">
        <f>1/Fsw-(Table25[[#This Row],[t1_Ph_II]]+Table25[[#This Row],[t2_Ph_I]])</f>
        <v>0</v>
      </c>
      <c r="P60"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3.6114466032061063</v>
      </c>
      <c r="Q60" s="292">
        <f>CHOOSE(Table25[[#This Row],[Mode Digit]],Table25[[#This Row],[I_0]]+1/Lf*(Table25[[#This Row],[Vin]]-Vout)*Table25[[#This Row],[t1_Ph_II]],Table25[[#This Row],[I_0]]+1/Lf*Table25[[#This Row],[Vin]]*Table25[[#This Row],[t1_Ph_II]],Table25[[#This Row],[I_0]]+(Table25[[#This Row],[Vin]]-Vout)/L*Table25[[#This Row],[t1_Ph_II]])</f>
        <v>7.8411849757412639</v>
      </c>
      <c r="R60" s="292">
        <f>CHOOSE(Table25[[#This Row],[Mode Digit]],0,0,Table25[[#This Row],[I_1]]+Table25[[#This Row],[Vin]]/L*Table25[[#This Row],[t2_Ph_I]])</f>
        <v>0</v>
      </c>
      <c r="S60" s="292">
        <f>Fsw*(Table25[[#This Row],[I_0]]*Table25[[#This Row],[t1_Ph_II]]+Table25[[#This Row],[I_1]]*Table25[[#This Row],[t2_Ph_I]]+Table25[[#This Row],[I_2]]*Table25[[#This Row],[t3_Ph_III]])</f>
        <v>6.7731109797455122</v>
      </c>
      <c r="T60" s="345">
        <f>CHOOSE(Table25[[#This Row],[Mode Digit]],(Vout+(Rdson2+Rs+Rdcr)*Table25[[#This Row],[Iout]])/(Table25[[#This Row],[Vin]]+(Rs+Rdson2-Rdson1)*Table25[[#This Row],[Iout]]),1,Fsw*Table25[[#This Row],[t2_Ph_I]]+Table25[[#This Row],[t1_Ph_II]])</f>
        <v>1</v>
      </c>
      <c r="U60" s="345">
        <f>CHOOSE(Table25[[#This Row],[Mode Digit]],0,(Vout+(Rdson3+Rdcr)*Table25[[#This Row],[Iin]]-Table25[[#This Row],[Vin]])/(Vout+(Rdson3-Rdson4-Rs)*Table25[[#This Row],[Iin]]),Fsw*Table25[[#This Row],[t1_Ph_II]]+Table25[[#This Row],[t3_Ph_III]])</f>
        <v>0.25251538084034891</v>
      </c>
      <c r="V60" s="292">
        <f>MAX(Table25[[#This Row],[I_0]:[I_2]])-MIN(Table25[[#This Row],[I_0]:[I_1]])</f>
        <v>4.2297383725351576</v>
      </c>
      <c r="W60"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5.8550476581422464</v>
      </c>
      <c r="X60" s="345">
        <f>(Table25[[#This Row],[Irms Lf]]^2*Rdcr*(1+Ltc*Ta-Ltc*25))/(1-Table25[[#This Row],[Irms Lf]]^2*Rdcr*Ltc*ThetaCa)</f>
        <v>0.11067233570818628</v>
      </c>
      <c r="Y60" s="345">
        <f>ABS(7.759*10^-3*Fsw^0.9458*(0.00787*Table25[[#This Row],[Ripple Current pk-pk]])^2.304)</f>
        <v>0.60468230630328246</v>
      </c>
      <c r="Z60" s="345">
        <f>Table25[[#This Row],[DCR    Loss]]+Table25[[#This Row],[Core Loss]]</f>
        <v>0.7153546420114687</v>
      </c>
      <c r="AA60" s="292">
        <f>IF(Table25[[#This Row],[Vin]]&gt;Vout, Table25[[#This Row],[Ripple Current pk-pk]]/SQRT(12), SQRT(Table25[[#This Row],[Duty Cycle BOOST Leg]]/(1-Table25[[#This Row],[Duty Cycle BOOST Leg]]))*SQRT(Table25[[#This Row],[Iout]]^2+(Table25[[#This Row],[Ripple Current pk-pk]]^2)/12))</f>
        <v>2.475306561427888</v>
      </c>
      <c r="AB60" s="345">
        <f>RCoutEsr*Table25[[#This Row],[Irms Cout]]^2</f>
        <v>1.2254285146095908E-2</v>
      </c>
      <c r="AC60" s="345">
        <f>Table25[[#This Row],[Cout ESR Loss]]</f>
        <v>1.2254285146095908E-2</v>
      </c>
      <c r="AD60" s="292">
        <f>IF(Table25[[#This Row],[Vin]]&gt;Vout, SQRT(Table25[[#This Row],[Duty Cycle BUCK Leg]]*(1-Table25[[#This Row],[Duty Cycle BUCK Leg]]))*SQRT(Table25[[#This Row],[Iout]]^2+(Table25[[#This Row],[Ripple Current pk-pk]]^2)/12), Table25[[#This Row],[Ripple Current pk-pk]]/SQRT(12))</f>
        <v>1.2210202939924315</v>
      </c>
      <c r="AE60" s="345">
        <f>RCinEsr*Table25[[#This Row],[Irms Cin]]^2</f>
        <v>2.9817811166827279E-3</v>
      </c>
      <c r="AF60" s="683">
        <f>Table25[[#This Row],[Cin ESR Loss]]</f>
        <v>2.9817811166827279E-3</v>
      </c>
      <c r="AG60" s="345">
        <f>Table25[[#This Row],[Irms Lf]]</f>
        <v>5.8550476581422464</v>
      </c>
      <c r="AH60" s="345">
        <f>Rdson1*Table25[[#This Row],[Irms BuCtrl]]^2</f>
        <v>0.11998554077690952</v>
      </c>
      <c r="AI60" s="345">
        <f>CHOOSE(Table25[[#This Row],[Mode Digit]], (Table25[[#This Row],[Vin]]*Table25[[#This Row],[Iout]]/2)*(Fsw)*(Tr_buck+Tf_buck), 0, (Table25[[#This Row],[Vin]]*Table25[[#This Row],[Avg IL]]/2)*(Fsw/1)*(Tr_buck+Tf_buck))</f>
        <v>0</v>
      </c>
      <c r="AJ60" s="253">
        <f>IF(Table25[[#This Row],[Vin]]&gt;Vout, IF(Table25[[#This Row],[Iout]]&gt;Table25[[#This Row],[Ripple Current pk-pk]]/2,0,ABS(Table25[[#This Row],[Iout]]-Table25[[#This Row],[Ripple Current pk-pk]]/2)*Vsd_Q1*Deadtime*Fsw),0)</f>
        <v>0</v>
      </c>
      <c r="AK60" s="345">
        <f>(Table25[[#This Row],[Dead Time Loss BuCtrl]]+Table25[[#This Row],[Transition Loss BuCtrl]]+Table25[[#This Row],[RDS(on) Loss BuCtrl]]*(1+RdsonTopTc*Ta-RdsonTopTc*25))/(1-Table25[[#This Row],[RDS(on) Loss BuCtrl]]*RdsonTopTc*ThetaJA_Q1)</f>
        <v>0.12384916925948583</v>
      </c>
      <c r="AL60" s="345">
        <f>Table25[[#This Row],[Irms Lf]]</f>
        <v>5.8550476581422464</v>
      </c>
      <c r="AM60" s="345">
        <f>Rdson2*Table25[[#This Row],[Irms BuSync]]^2</f>
        <v>0.11998554077690952</v>
      </c>
      <c r="AN60"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60" s="345">
        <f>(Table25[[#This Row],[Deadtime Loss BuSync]]+Table25[[#This Row],[RDS(on) Loss BuSync]]*(1+RdsonBotTc*Ta-RdsonBotTc*25))/(1-Table25[[#This Row],[RDS(on) Loss BuSync]]*RdsonBotTc*ThetaJA_Q2)</f>
        <v>0.12384916925948583</v>
      </c>
      <c r="AP60" s="345">
        <f>Table25[[#This Row],[Irms Lf]]</f>
        <v>5.8550476581422464</v>
      </c>
      <c r="AQ60" s="345">
        <f>Rdson4*Table25[[#This Row],[Irms BoCtlr]]^2</f>
        <v>0.11998554077690952</v>
      </c>
      <c r="AR60" s="345">
        <f>CHOOSE(Table25[[#This Row],[Mode Digit]], 0, (Vout*Table25[[#This Row],[Iin]]/2)*(Fsw)*(Tr_boost+Tf_boost), (Vout*Iout/2)*(Fsw/1)*(Tr_boost+Tf_boost))</f>
        <v>0.34046040213610912</v>
      </c>
      <c r="AS60" s="345">
        <f>IF(Table25[[#This Row],[Vin]]&gt;Vout, 0, IF(Table25[[#This Row],[Iin]]&gt;Table25[[#This Row],[Ripple Current pk-pk]]/2,0,ABS(Table25[[#This Row],[Iin]]-Table25[[#This Row],[Ripple Current pk-pk]]/2)*Vsd_Q4*Deadtime*Fsw))</f>
        <v>0</v>
      </c>
      <c r="AT60" s="345">
        <f>(Table25[[#This Row],[Dead Time Loss BoCtlr]]+Table25[[#This Row],[Transition Loss BoCtlr]]+Table25[[#This Row],[RDS(on) Loss BoCtlr]]*(1+RdsonTopTc*Ta-RdsonTopTc*25))/(1-Table25[[#This Row],[RDS(on) Loss BoCtlr]]*RdsonTopTc*ThetaJA_Q4)</f>
        <v>0.47527266326787493</v>
      </c>
      <c r="AU60" s="345">
        <f>Table25[[#This Row],[Irms Lf]]</f>
        <v>5.8550476581422464</v>
      </c>
      <c r="AV60" s="345">
        <f>Rdson3*Table25[[#This Row],[Irms BoSync]]^2</f>
        <v>0.11998554077690952</v>
      </c>
      <c r="AW60"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0.17093052631578948</v>
      </c>
      <c r="AX60" s="345">
        <f>(Table25[[#This Row],[Deadtime Loss BoSync]]+Table25[[#This Row],[RDS(on) Loss BoSync]]*(1+RdsonBotTc*Ta-RdsonBotTc*25))/(1-Table25[[#This Row],[RDS(on) Loss BoSync]]*RdsonBotTc*ThetaJA_Q3)</f>
        <v>0.30028379253345261</v>
      </c>
      <c r="AY60" s="345">
        <f>CHOOSE(Table25[[#This Row],[Mode Digit]], Rdson3*Table25[[#This Row],[Irms Lf]]^2, Rdson1*Table25[[#This Row],[Irms Lf]]^2, 0)</f>
        <v>0.11998554077690952</v>
      </c>
      <c r="AZ60" s="345">
        <f>CHOOSE(Table25[[#This Row],[Mode Digit]], 2*Deadtime*Fsw*IF(VfdSky_Q2&gt;0,VfdSky_Q2,0)*Table25[[#This Row],[Iout]], 2*Deadtime*Fsw*IF(VfdSky_Q3&gt;0,VfdSky_Q3,0)*Table25[[#This Row],[Iin]], 2*Deadtime*Fsw*IF(VfdSky_Q2&gt;0,VfdSky_Q2,0)*Table25[[#This Row],[Iout]]+2*Deadtime*Fsw*IF(VfdSky_Q3&gt;0,VfdSky_Q3,0)*Table25[[#This Row],[Iin]])</f>
        <v>0</v>
      </c>
      <c r="BA60"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60"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60" s="345">
        <f>CHOOSE(Table25[[#This Row],[Mode Digit]], Rs*Table25[[#This Row],[Irms BuSync]]^2, Rs*Table25[[#This Row],[Irms BoCtlr]]^2, Rs*(Table25[[#This Row],[Irms BuSync]]^2+Table25[[#This Row],[Irms BoCtlr]]^2))</f>
        <v>4.4566058002852106E-2</v>
      </c>
      <c r="BD60" s="345">
        <f t="shared" si="6"/>
        <v>0.64</v>
      </c>
      <c r="BE60" s="345">
        <f>IF(Vout&gt;8, Iq*Vout, Iq*Table25[[#This Row],[Vin]])</f>
        <v>4.8000000000000001E-2</v>
      </c>
      <c r="BF60" s="345">
        <f>CHOOSE(Table25[[#This Row],[Mode Digit]], (Qg_Q1+Qg_Q2)*Fsw, (Qg_Q3+Qg_Q4)*Fsw, (Qg_Q1+Qg_Q2+Qg_Q3+Qg_Q4)*Fsw)*IF(Vout&gt;8,  MIN( Table25[[#This Row],[Vin]], Vout), Table25[[#This Row],[Vin]])</f>
        <v>0.63998400000000011</v>
      </c>
      <c r="BG60" s="345">
        <f t="shared" si="4"/>
        <v>0.50594479787234037</v>
      </c>
      <c r="BH60" s="345">
        <f>Table25[[#This Row],[IQ Loss]]+Table25[[#This Row],[Switching Current Loss]]</f>
        <v>0.68798400000000015</v>
      </c>
      <c r="BI60"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3.8396115605973988</v>
      </c>
      <c r="BJ60" s="253">
        <f>Vout*Table25[[#This Row],[Iout]]</f>
        <v>65.28</v>
      </c>
      <c r="BK60" s="684">
        <f>Table25[[#This Row],[Pout]]/(Table25[[#This Row],[Pout]]+Table25[[#This Row],[Total Loss]])</f>
        <v>0.94444975204712767</v>
      </c>
      <c r="BL60" s="685">
        <f>IF(Table25[[#This Row],[Vin]]&gt;Vout,ThetaJA_Q1*(Table25[[#This Row],[Total Control Bu MOSFET Loss]]+Table25[[#This Row],[Reverse Recovery Loss MOSFET D BUCK]]),ThetaJA_Q4*(Table25[[#This Row],[Total Control Bo MOSFET Loss]]+Table25[[#This Row],[Reverse Recovery Loss MOSFET D BOOST]]))</f>
        <v>54.072243112411869</v>
      </c>
      <c r="BM60" s="685">
        <f>IF(Table25[[#This Row],[Vin]]&gt;Vout, Table25[[#This Row],[Total Sync Bu MOSFET Loss]]*ThetaJA_Q2, ThetaJA_Q3*Table25[[#This Row],[Total Sync Bo MOSFET Loss]])</f>
        <v>19.518446514674419</v>
      </c>
      <c r="BN60" s="640"/>
      <c r="BO60" s="292">
        <f>Table25[[#This Row],[EFF, h]]*100</f>
        <v>94.444975204712762</v>
      </c>
      <c r="BP60" s="345">
        <f>Table25[[#This Row],[Total Inductor Loss]]</f>
        <v>0.7153546420114687</v>
      </c>
      <c r="BQ60" s="345">
        <f>Table25[[#This Row],[Total Control Bu MOSFET Loss]]+Table25[[#This Row],[Total Sync Bu MOSFET Loss]]+Table25[[#This Row],[Total Control Bo MOSFET Loss]]+Table25[[#This Row],[Total Sync Bo MOSFET Loss]]+Table25[[#This Row],[Reverse Recovery Loss MOSFET D BUCK]]+Table25[[#This Row],[Reverse Recovery Loss MOSFET D BOOST]]</f>
        <v>1.7364707943202993</v>
      </c>
      <c r="BR60" s="345">
        <f xml:space="preserve"> Table25[[#This Row],[Total Control Bu MOSFET Loss]]+Table25[[#This Row],[Reverse Recovery Loss MOSFET D BUCK]]*0.66</f>
        <v>0.35921044925948586</v>
      </c>
      <c r="BS60" s="345">
        <f>Table25[[#This Row],[Total Sync Bu MOSFET Loss]]+Table25[[#This Row],[Reverse Recovery Loss MOSFET D BUCK]]*0.33</f>
        <v>0.24152980925948583</v>
      </c>
      <c r="BT60" s="345">
        <f xml:space="preserve"> Table25[[#This Row],[Total Control Bo MOSFET Loss]]+Table25[[#This Row],[Reverse Recovery Loss MOSFET D BOOST]]*0.66</f>
        <v>0.71063394326787499</v>
      </c>
      <c r="BU60" s="345">
        <f xml:space="preserve"> Table25[[#This Row],[Total Sync Bo MOSFET Loss]]+Table25[[#This Row],[Reverse Recovery Loss MOSFET D BOOST]]*0.33</f>
        <v>0.41796443253345261</v>
      </c>
      <c r="BV60" s="345">
        <f>Table25[[#This Row],[Isense Shunt Loss]]</f>
        <v>4.4566058002852106E-2</v>
      </c>
      <c r="CB60" s="686"/>
      <c r="CC60" s="686"/>
    </row>
    <row r="61" spans="1:83" ht="13.6" x14ac:dyDescent="0.25">
      <c r="A61" s="688" t="s">
        <v>119</v>
      </c>
      <c r="B61" s="679" t="s">
        <v>113</v>
      </c>
      <c r="C61" s="688" t="s">
        <v>80</v>
      </c>
      <c r="D61" s="688" t="s">
        <v>244</v>
      </c>
      <c r="G61" s="253">
        <v>52</v>
      </c>
      <c r="H61" s="286">
        <f t="shared" si="5"/>
        <v>12</v>
      </c>
      <c r="I61" s="292" t="str">
        <f>IF(Mode = 2,IF(Table25[[#This Row],[Vin]]&gt;Vout, "BUCK","BOOST"),IF(Table25[[#This Row],[Vin]]&gt;VIN_BB_to_buck, "BUCK", IF(Table25[[#This Row],[Vin]]&lt;=VIN_boost_to_BB,"BOOST","BUCK-BST")))</f>
        <v>BOOST</v>
      </c>
      <c r="J61" s="253">
        <f>IF(Table25[[#This Row],[Mode]]="BOOST",2, IF(Table25[[#This Row],[Mode]]="BUCK", 1,3))</f>
        <v>2</v>
      </c>
      <c r="K61" s="345">
        <f t="shared" si="7"/>
        <v>4.16</v>
      </c>
      <c r="L61" s="292">
        <f>Vout*Table25[[#This Row],[Iout]]/(Table25[[#This Row],[Vin]]*Efficiency)</f>
        <v>5.8385964912280715</v>
      </c>
      <c r="M61" s="682">
        <f>CHOOSE(Table25[[#This Row],[Mode Digit]],(Vout+(Rdson2+Rs+Rdcr)*Table25[[#This Row],[Iout]])/(Table25[[#This Row],[Vin]]+(Rs+Rdson2-Rdson1)*Table25[[#This Row],[Iout]])/Fsw,(Vout+(Rdson3+Rdcr)*Table25[[#This Row],[Iin]]-Table25[[#This Row],[Vin]])/(Vout+(Rdson3-Rdson4-Rs)*Table25[[#This Row],[Iin]])/Fsw,t1_Ph_II)</f>
        <v>6.345847372906613E-7</v>
      </c>
      <c r="N61" s="518">
        <f>CHOOSE(Table25[[#This Row],[Mode Digit]],1/Fsw-Table25[[#This Row],[t1_Ph_II]],1/Fsw-Table25[[#This Row],[t1_Ph_II]],(Vout/Fsw-Table25[[#This Row],[Vin]]*t1_Ph_II)/(Table25[[#This Row],[Vin]]+Vout))</f>
        <v>1.8779780767796906E-6</v>
      </c>
      <c r="O61" s="518">
        <f>1/Fsw-(Table25[[#This Row],[t1_Ph_II]]+Table25[[#This Row],[t2_Ph_I]])</f>
        <v>0</v>
      </c>
      <c r="P61"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3.7233140335925339</v>
      </c>
      <c r="Q61" s="292">
        <f>CHOOSE(Table25[[#This Row],[Mode Digit]],Table25[[#This Row],[I_0]]+1/Lf*(Table25[[#This Row],[Vin]]-Vout)*Table25[[#This Row],[t1_Ph_II]],Table25[[#This Row],[I_0]]+1/Lf*Table25[[#This Row],[Vin]]*Table25[[#This Row],[t1_Ph_II]],Table25[[#This Row],[I_0]]+(Table25[[#This Row],[Vin]]-Vout)/L*Table25[[#This Row],[t1_Ph_II]])</f>
        <v>7.9538789488636095</v>
      </c>
      <c r="R61" s="292">
        <f>CHOOSE(Table25[[#This Row],[Mode Digit]],0,0,Table25[[#This Row],[I_1]]+Table25[[#This Row],[Vin]]/L*Table25[[#This Row],[t2_Ph_I]])</f>
        <v>0</v>
      </c>
      <c r="S61" s="292">
        <f>Fsw*(Table25[[#This Row],[I_0]]*Table25[[#This Row],[t1_Ph_II]]+Table25[[#This Row],[I_1]]*Table25[[#This Row],[t2_Ph_I]]+Table25[[#This Row],[I_2]]*Table25[[#This Row],[t3_Ph_III]])</f>
        <v>6.8853874825749521</v>
      </c>
      <c r="T61" s="345">
        <f>CHOOSE(Table25[[#This Row],[Mode Digit]],(Vout+(Rdson2+Rs+Rdcr)*Table25[[#This Row],[Iout]])/(Table25[[#This Row],[Vin]]+(Rs+Rdson2-Rdson1)*Table25[[#This Row],[Iout]]),1,Fsw*Table25[[#This Row],[t2_Ph_I]]+Table25[[#This Row],[t1_Ph_II]])</f>
        <v>1</v>
      </c>
      <c r="U61" s="345">
        <f>CHOOSE(Table25[[#This Row],[Mode Digit]],0,(Vout+(Rdson3+Rdcr)*Table25[[#This Row],[Iin]]-Table25[[#This Row],[Vin]])/(Vout+(Rdson3-Rdson4-Rs)*Table25[[#This Row],[Iin]]),Fsw*Table25[[#This Row],[t1_Ph_II]]+Table25[[#This Row],[t3_Ph_III]])</f>
        <v>0.25256472544168318</v>
      </c>
      <c r="V61" s="292">
        <f>MAX(Table25[[#This Row],[I_0]:[I_2]])-MIN(Table25[[#This Row],[I_0]:[I_1]])</f>
        <v>4.230564915271076</v>
      </c>
      <c r="W61"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5.96495450772602</v>
      </c>
      <c r="X61" s="345">
        <f>(Table25[[#This Row],[Irms Lf]]^2*Rdcr*(1+Ltc*Ta-Ltc*25))/(1-Table25[[#This Row],[Irms Lf]]^2*Rdcr*Ltc*ThetaCa)</f>
        <v>0.11490481154107163</v>
      </c>
      <c r="Y61" s="345">
        <f>ABS(7.759*10^-3*Fsw^0.9458*(0.00787*Table25[[#This Row],[Ripple Current pk-pk]])^2.304)</f>
        <v>0.60495458701322014</v>
      </c>
      <c r="Z61" s="345">
        <f>Table25[[#This Row],[DCR    Loss]]+Table25[[#This Row],[Core Loss]]</f>
        <v>0.71985939855429182</v>
      </c>
      <c r="AA61" s="292">
        <f>IF(Table25[[#This Row],[Vin]]&gt;Vout, Table25[[#This Row],[Ripple Current pk-pk]]/SQRT(12), SQRT(Table25[[#This Row],[Duty Cycle BOOST Leg]]/(1-Table25[[#This Row],[Duty Cycle BOOST Leg]]))*SQRT(Table25[[#This Row],[Iout]]^2+(Table25[[#This Row],[Ripple Current pk-pk]]^2)/12))</f>
        <v>2.5202560710394848</v>
      </c>
      <c r="AB61" s="345">
        <f>RCoutEsr*Table25[[#This Row],[Irms Cout]]^2</f>
        <v>1.2703381327222761E-2</v>
      </c>
      <c r="AC61" s="345">
        <f>Table25[[#This Row],[Cout ESR Loss]]</f>
        <v>1.2703381327222761E-2</v>
      </c>
      <c r="AD61" s="292">
        <f>IF(Table25[[#This Row],[Vin]]&gt;Vout, SQRT(Table25[[#This Row],[Duty Cycle BUCK Leg]]*(1-Table25[[#This Row],[Duty Cycle BUCK Leg]]))*SQRT(Table25[[#This Row],[Iout]]^2+(Table25[[#This Row],[Ripple Current pk-pk]]^2)/12), Table25[[#This Row],[Ripple Current pk-pk]]/SQRT(12))</f>
        <v>1.2212588963279711</v>
      </c>
      <c r="AE61" s="345">
        <f>RCinEsr*Table25[[#This Row],[Irms Cin]]^2</f>
        <v>2.9829465837204281E-3</v>
      </c>
      <c r="AF61" s="683">
        <f>Table25[[#This Row],[Cin ESR Loss]]</f>
        <v>2.9829465837204281E-3</v>
      </c>
      <c r="AG61" s="345">
        <f>Table25[[#This Row],[Irms Lf]]</f>
        <v>5.96495450772602</v>
      </c>
      <c r="AH61" s="345">
        <f>Rdson1*Table25[[#This Row],[Irms BuCtrl]]^2</f>
        <v>0.1245323879773434</v>
      </c>
      <c r="AI61" s="345">
        <f>CHOOSE(Table25[[#This Row],[Mode Digit]], (Table25[[#This Row],[Vin]]*Table25[[#This Row],[Iout]]/2)*(Fsw)*(Tr_buck+Tf_buck), 0, (Table25[[#This Row],[Vin]]*Table25[[#This Row],[Avg IL]]/2)*(Fsw/1)*(Tr_buck+Tf_buck))</f>
        <v>0</v>
      </c>
      <c r="AJ61" s="253">
        <f>IF(Table25[[#This Row],[Vin]]&gt;Vout, IF(Table25[[#This Row],[Iout]]&gt;Table25[[#This Row],[Ripple Current pk-pk]]/2,0,ABS(Table25[[#This Row],[Iout]]-Table25[[#This Row],[Ripple Current pk-pk]]/2)*Vsd_Q1*Deadtime*Fsw),0)</f>
        <v>0</v>
      </c>
      <c r="AK61" s="345">
        <f>(Table25[[#This Row],[Dead Time Loss BuCtrl]]+Table25[[#This Row],[Transition Loss BuCtrl]]+Table25[[#This Row],[RDS(on) Loss BuCtrl]]*(1+RdsonTopTc*Ta-RdsonTopTc*25))/(1-Table25[[#This Row],[RDS(on) Loss BuCtrl]]*RdsonTopTc*ThetaJA_Q1)</f>
        <v>0.12869947370318136</v>
      </c>
      <c r="AL61" s="345">
        <f>Table25[[#This Row],[Irms Lf]]</f>
        <v>5.96495450772602</v>
      </c>
      <c r="AM61" s="345">
        <f>Rdson2*Table25[[#This Row],[Irms BuSync]]^2</f>
        <v>0.1245323879773434</v>
      </c>
      <c r="AN61"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61" s="345">
        <f>(Table25[[#This Row],[Deadtime Loss BuSync]]+Table25[[#This Row],[RDS(on) Loss BuSync]]*(1+RdsonBotTc*Ta-RdsonBotTc*25))/(1-Table25[[#This Row],[RDS(on) Loss BuSync]]*RdsonBotTc*ThetaJA_Q2)</f>
        <v>0.12869947370318136</v>
      </c>
      <c r="AP61" s="345">
        <f>Table25[[#This Row],[Irms Lf]]</f>
        <v>5.96495450772602</v>
      </c>
      <c r="AQ61" s="345">
        <f>Rdson4*Table25[[#This Row],[Irms BoCtlr]]^2</f>
        <v>0.1245323879773434</v>
      </c>
      <c r="AR61" s="345">
        <f>CHOOSE(Table25[[#This Row],[Mode Digit]], 0, (Vout*Table25[[#This Row],[Iin]]/2)*(Fsw)*(Tr_boost+Tf_boost), (Vout*Iout/2)*(Fsw/1)*(Tr_boost+Tf_boost))</f>
        <v>0.34713609629564068</v>
      </c>
      <c r="AS61" s="345">
        <f>IF(Table25[[#This Row],[Vin]]&gt;Vout, 0, IF(Table25[[#This Row],[Iin]]&gt;Table25[[#This Row],[Ripple Current pk-pk]]/2,0,ABS(Table25[[#This Row],[Iin]]-Table25[[#This Row],[Ripple Current pk-pk]]/2)*Vsd_Q4*Deadtime*Fsw))</f>
        <v>0</v>
      </c>
      <c r="AT61" s="345">
        <f>(Table25[[#This Row],[Dead Time Loss BoCtlr]]+Table25[[#This Row],[Transition Loss BoCtlr]]+Table25[[#This Row],[RDS(on) Loss BoCtlr]]*(1+RdsonTopTc*Ta-RdsonTopTc*25))/(1-Table25[[#This Row],[RDS(on) Loss BoCtlr]]*RdsonTopTc*ThetaJA_Q4)</f>
        <v>0.48745139055194475</v>
      </c>
      <c r="AU61" s="345">
        <f>Table25[[#This Row],[Irms Lf]]</f>
        <v>5.96495450772602</v>
      </c>
      <c r="AV61" s="345">
        <f>Rdson3*Table25[[#This Row],[Irms BoSync]]^2</f>
        <v>0.1245323879773434</v>
      </c>
      <c r="AW61"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0.1742821052631579</v>
      </c>
      <c r="AX61" s="345">
        <f>(Table25[[#This Row],[Deadtime Loss BoSync]]+Table25[[#This Row],[RDS(on) Loss BoSync]]*(1+RdsonBotTc*Ta-RdsonBotTc*25))/(1-Table25[[#This Row],[RDS(on) Loss BoSync]]*RdsonBotTc*ThetaJA_Q3)</f>
        <v>0.30881338292438448</v>
      </c>
      <c r="AY61" s="345">
        <f>CHOOSE(Table25[[#This Row],[Mode Digit]], Rdson3*Table25[[#This Row],[Irms Lf]]^2, Rdson1*Table25[[#This Row],[Irms Lf]]^2, 0)</f>
        <v>0.1245323879773434</v>
      </c>
      <c r="AZ61" s="345">
        <f>CHOOSE(Table25[[#This Row],[Mode Digit]], 2*Deadtime*Fsw*IF(VfdSky_Q2&gt;0,VfdSky_Q2,0)*Table25[[#This Row],[Iout]], 2*Deadtime*Fsw*IF(VfdSky_Q3&gt;0,VfdSky_Q3,0)*Table25[[#This Row],[Iin]], 2*Deadtime*Fsw*IF(VfdSky_Q2&gt;0,VfdSky_Q2,0)*Table25[[#This Row],[Iout]]+2*Deadtime*Fsw*IF(VfdSky_Q3&gt;0,VfdSky_Q3,0)*Table25[[#This Row],[Iin]])</f>
        <v>0</v>
      </c>
      <c r="BA61"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61"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61" s="345">
        <f>CHOOSE(Table25[[#This Row],[Mode Digit]], Rs*Table25[[#This Row],[Irms BuSync]]^2, Rs*Table25[[#This Row],[Irms BoCtlr]]^2, Rs*(Table25[[#This Row],[Irms BuSync]]^2+Table25[[#This Row],[Irms BoCtlr]]^2))</f>
        <v>4.6254886963013254E-2</v>
      </c>
      <c r="BD61" s="345">
        <f t="shared" si="6"/>
        <v>0.64</v>
      </c>
      <c r="BE61" s="345">
        <f>IF(Vout&gt;8, Iq*Vout, Iq*Table25[[#This Row],[Vin]])</f>
        <v>4.8000000000000001E-2</v>
      </c>
      <c r="BF61" s="345">
        <f>CHOOSE(Table25[[#This Row],[Mode Digit]], (Qg_Q1+Qg_Q2)*Fsw, (Qg_Q3+Qg_Q4)*Fsw, (Qg_Q1+Qg_Q2+Qg_Q3+Qg_Q4)*Fsw)*IF(Vout&gt;8,  MIN( Table25[[#This Row],[Vin]], Vout), Table25[[#This Row],[Vin]])</f>
        <v>0.63998400000000011</v>
      </c>
      <c r="BG61" s="345">
        <f t="shared" si="4"/>
        <v>0.50594479787234037</v>
      </c>
      <c r="BH61" s="345">
        <f>Table25[[#This Row],[IQ Loss]]+Table25[[#This Row],[Switching Current Loss]]</f>
        <v>0.68798400000000015</v>
      </c>
      <c r="BI61"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3.8766643343109402</v>
      </c>
      <c r="BJ61" s="253">
        <f>Vout*Table25[[#This Row],[Iout]]</f>
        <v>66.56</v>
      </c>
      <c r="BK61" s="684">
        <f>Table25[[#This Row],[Pout]]/(Table25[[#This Row],[Pout]]+Table25[[#This Row],[Total Loss]])</f>
        <v>0.94496240883992921</v>
      </c>
      <c r="BL61" s="685">
        <f>IF(Table25[[#This Row],[Vin]]&gt;Vout,ThetaJA_Q1*(Table25[[#This Row],[Total Control Bu MOSFET Loss]]+Table25[[#This Row],[Reverse Recovery Loss MOSFET D BUCK]]),ThetaJA_Q4*(Table25[[#This Row],[Total Control Bo MOSFET Loss]]+Table25[[#This Row],[Reverse Recovery Loss MOSFET D BOOST]]))</f>
        <v>54.863860385876407</v>
      </c>
      <c r="BM61" s="685">
        <f>IF(Table25[[#This Row],[Vin]]&gt;Vout, Table25[[#This Row],[Total Sync Bu MOSFET Loss]]*ThetaJA_Q2, ThetaJA_Q3*Table25[[#This Row],[Total Sync Bo MOSFET Loss]])</f>
        <v>20.072869890084991</v>
      </c>
      <c r="BN61" s="640"/>
      <c r="BO61" s="292">
        <f>Table25[[#This Row],[EFF, h]]*100</f>
        <v>94.496240883992925</v>
      </c>
      <c r="BP61" s="345">
        <f>Table25[[#This Row],[Total Inductor Loss]]</f>
        <v>0.71985939855429182</v>
      </c>
      <c r="BQ61" s="345">
        <f>Table25[[#This Row],[Total Control Bu MOSFET Loss]]+Table25[[#This Row],[Total Sync Bu MOSFET Loss]]+Table25[[#This Row],[Total Control Bo MOSFET Loss]]+Table25[[#This Row],[Total Sync Bo MOSFET Loss]]+Table25[[#This Row],[Reverse Recovery Loss MOSFET D BUCK]]+Table25[[#This Row],[Reverse Recovery Loss MOSFET D BOOST]]</f>
        <v>1.7668797208826921</v>
      </c>
      <c r="BR61" s="345">
        <f xml:space="preserve"> Table25[[#This Row],[Total Control Bu MOSFET Loss]]+Table25[[#This Row],[Reverse Recovery Loss MOSFET D BUCK]]*0.66</f>
        <v>0.36406075370318136</v>
      </c>
      <c r="BS61" s="345">
        <f>Table25[[#This Row],[Total Sync Bu MOSFET Loss]]+Table25[[#This Row],[Reverse Recovery Loss MOSFET D BUCK]]*0.33</f>
        <v>0.24638011370318136</v>
      </c>
      <c r="BT61" s="345">
        <f xml:space="preserve"> Table25[[#This Row],[Total Control Bo MOSFET Loss]]+Table25[[#This Row],[Reverse Recovery Loss MOSFET D BOOST]]*0.66</f>
        <v>0.72281267055194476</v>
      </c>
      <c r="BU61" s="345">
        <f xml:space="preserve"> Table25[[#This Row],[Total Sync Bo MOSFET Loss]]+Table25[[#This Row],[Reverse Recovery Loss MOSFET D BOOST]]*0.33</f>
        <v>0.42649402292438449</v>
      </c>
      <c r="BV61" s="345">
        <f>Table25[[#This Row],[Isense Shunt Loss]]</f>
        <v>4.6254886963013254E-2</v>
      </c>
      <c r="CB61" s="686"/>
      <c r="CC61" s="686"/>
    </row>
    <row r="62" spans="1:83" ht="17" x14ac:dyDescent="0.35">
      <c r="A62" s="691" t="s">
        <v>605</v>
      </c>
      <c r="B62" s="708">
        <v>30</v>
      </c>
      <c r="C62" s="259" t="s">
        <v>236</v>
      </c>
      <c r="D62" s="352" t="s">
        <v>105</v>
      </c>
      <c r="G62" s="253">
        <v>53</v>
      </c>
      <c r="H62" s="286">
        <f t="shared" si="5"/>
        <v>12</v>
      </c>
      <c r="I62" s="292" t="str">
        <f>IF(Mode = 2,IF(Table25[[#This Row],[Vin]]&gt;Vout, "BUCK","BOOST"),IF(Table25[[#This Row],[Vin]]&gt;VIN_BB_to_buck, "BUCK", IF(Table25[[#This Row],[Vin]]&lt;=VIN_boost_to_BB,"BOOST","BUCK-BST")))</f>
        <v>BOOST</v>
      </c>
      <c r="J62" s="253">
        <f>IF(Table25[[#This Row],[Mode]]="BOOST",2, IF(Table25[[#This Row],[Mode]]="BUCK", 1,3))</f>
        <v>2</v>
      </c>
      <c r="K62" s="345">
        <f t="shared" si="7"/>
        <v>4.24</v>
      </c>
      <c r="L62" s="292">
        <f>Vout*Table25[[#This Row],[Iout]]/(Table25[[#This Row],[Vin]]*Efficiency)</f>
        <v>5.9508771929824569</v>
      </c>
      <c r="M62" s="682">
        <f>CHOOSE(Table25[[#This Row],[Mode Digit]],(Vout+(Rdson2+Rs+Rdcr)*Table25[[#This Row],[Iout]])/(Table25[[#This Row],[Vin]]+(Rs+Rdson2-Rdson1)*Table25[[#This Row],[Iout]])/Fsw,(Vout+(Rdson3+Rdcr)*Table25[[#This Row],[Iin]]-Table25[[#This Row],[Vin]])/(Vout+(Rdson3-Rdson4-Rs)*Table25[[#This Row],[Iin]])/Fsw,t1_Ph_II)</f>
        <v>6.3470872096426031E-7</v>
      </c>
      <c r="N62" s="518">
        <f>CHOOSE(Table25[[#This Row],[Mode Digit]],1/Fsw-Table25[[#This Row],[t1_Ph_II]],1/Fsw-Table25[[#This Row],[t1_Ph_II]],(Vout/Fsw-Table25[[#This Row],[Vin]]*t1_Ph_II)/(Table25[[#This Row],[Vin]]+Vout))</f>
        <v>1.8778540931060916E-6</v>
      </c>
      <c r="O62" s="518">
        <f>1/Fsw-(Table25[[#This Row],[t1_Ph_II]]+Table25[[#This Row],[t2_Ph_I]])</f>
        <v>0</v>
      </c>
      <c r="P62"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3.8351814564349227</v>
      </c>
      <c r="Q62" s="292">
        <f>CHOOSE(Table25[[#This Row],[Mode Digit]],Table25[[#This Row],[I_0]]+1/Lf*(Table25[[#This Row],[Vin]]-Vout)*Table25[[#This Row],[t1_Ph_II]],Table25[[#This Row],[I_0]]+1/Lf*Table25[[#This Row],[Vin]]*Table25[[#This Row],[t1_Ph_II]],Table25[[#This Row],[I_0]]+(Table25[[#This Row],[Vin]]-Vout)/L*Table25[[#This Row],[t1_Ph_II]])</f>
        <v>8.0665729295299915</v>
      </c>
      <c r="R62" s="292">
        <f>CHOOSE(Table25[[#This Row],[Mode Digit]],0,0,Table25[[#This Row],[I_1]]+Table25[[#This Row],[Vin]]/L*Table25[[#This Row],[t2_Ph_I]])</f>
        <v>0</v>
      </c>
      <c r="S62" s="292">
        <f>Fsw*(Table25[[#This Row],[I_0]]*Table25[[#This Row],[t1_Ph_II]]+Table25[[#This Row],[I_1]]*Table25[[#This Row],[t2_Ph_I]]+Table25[[#This Row],[I_2]]*Table25[[#This Row],[t3_Ph_III]])</f>
        <v>6.9976639037546668</v>
      </c>
      <c r="T62" s="345">
        <f>CHOOSE(Table25[[#This Row],[Mode Digit]],(Vout+(Rdson2+Rs+Rdcr)*Table25[[#This Row],[Iout]])/(Table25[[#This Row],[Vin]]+(Rs+Rdson2-Rdson1)*Table25[[#This Row],[Iout]]),1,Fsw*Table25[[#This Row],[t2_Ph_I]]+Table25[[#This Row],[t1_Ph_II]])</f>
        <v>1</v>
      </c>
      <c r="U62" s="345">
        <f>CHOOSE(Table25[[#This Row],[Mode Digit]],0,(Vout+(Rdson3+Rdcr)*Table25[[#This Row],[Iin]]-Table25[[#This Row],[Vin]])/(Vout+(Rdson3-Rdson4-Rs)*Table25[[#This Row],[Iin]]),Fsw*Table25[[#This Row],[t1_Ph_II]]+Table25[[#This Row],[t3_Ph_III]])</f>
        <v>0.25261407094377558</v>
      </c>
      <c r="V62" s="292">
        <f>MAX(Table25[[#This Row],[I_0]:[I_2]])-MIN(Table25[[#This Row],[I_0]:[I_1]])</f>
        <v>4.2313914730950692</v>
      </c>
      <c r="W62"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6.0749481903832381</v>
      </c>
      <c r="X62" s="345">
        <f>(Table25[[#This Row],[Irms Lf]]^2*Rdcr*(1+Ltc*Ta-Ltc*25))/(1-Table25[[#This Row],[Irms Lf]]^2*Rdcr*Ltc*ThetaCa)</f>
        <v>0.11922236022205185</v>
      </c>
      <c r="Y62" s="345">
        <f>ABS(7.759*10^-3*Fsw^0.9458*(0.00787*Table25[[#This Row],[Ripple Current pk-pk]])^2.304)</f>
        <v>0.60522694207258532</v>
      </c>
      <c r="Z62" s="345">
        <f>Table25[[#This Row],[DCR    Loss]]+Table25[[#This Row],[Core Loss]]</f>
        <v>0.72444930229463722</v>
      </c>
      <c r="AA62" s="292">
        <f>IF(Table25[[#This Row],[Vin]]&gt;Vout, Table25[[#This Row],[Ripple Current pk-pk]]/SQRT(12), SQRT(Table25[[#This Row],[Duty Cycle BOOST Leg]]/(1-Table25[[#This Row],[Duty Cycle BOOST Leg]]))*SQRT(Table25[[#This Row],[Iout]]^2+(Table25[[#This Row],[Ripple Current pk-pk]]^2)/12))</f>
        <v>2.5652839919190034</v>
      </c>
      <c r="AB62" s="345">
        <f>RCoutEsr*Table25[[#This Row],[Irms Cout]]^2</f>
        <v>1.3161363918391794E-2</v>
      </c>
      <c r="AC62" s="345">
        <f>Table25[[#This Row],[Cout ESR Loss]]</f>
        <v>1.3161363918391794E-2</v>
      </c>
      <c r="AD62" s="292">
        <f>IF(Table25[[#This Row],[Vin]]&gt;Vout, SQRT(Table25[[#This Row],[Duty Cycle BUCK Leg]]*(1-Table25[[#This Row],[Duty Cycle BUCK Leg]]))*SQRT(Table25[[#This Row],[Iout]]^2+(Table25[[#This Row],[Ripple Current pk-pk]]^2)/12), Table25[[#This Row],[Ripple Current pk-pk]]/SQRT(12))</f>
        <v>1.2214975030190627</v>
      </c>
      <c r="AE62" s="345">
        <f>RCinEsr*Table25[[#This Row],[Irms Cin]]^2</f>
        <v>2.9841122997636099E-3</v>
      </c>
      <c r="AF62" s="683">
        <f>Table25[[#This Row],[Cin ESR Loss]]</f>
        <v>2.9841122997636099E-3</v>
      </c>
      <c r="AG62" s="345">
        <f>Table25[[#This Row],[Irms Lf]]</f>
        <v>6.0749481903832381</v>
      </c>
      <c r="AH62" s="345">
        <f>Rdson1*Table25[[#This Row],[Irms BuCtrl]]^2</f>
        <v>0.12916748430544203</v>
      </c>
      <c r="AI62" s="345">
        <f>CHOOSE(Table25[[#This Row],[Mode Digit]], (Table25[[#This Row],[Vin]]*Table25[[#This Row],[Iout]]/2)*(Fsw)*(Tr_buck+Tf_buck), 0, (Table25[[#This Row],[Vin]]*Table25[[#This Row],[Avg IL]]/2)*(Fsw/1)*(Tr_buck+Tf_buck))</f>
        <v>0</v>
      </c>
      <c r="AJ62" s="253">
        <f>IF(Table25[[#This Row],[Vin]]&gt;Vout, IF(Table25[[#This Row],[Iout]]&gt;Table25[[#This Row],[Ripple Current pk-pk]]/2,0,ABS(Table25[[#This Row],[Iout]]-Table25[[#This Row],[Ripple Current pk-pk]]/2)*Vsd_Q1*Deadtime*Fsw),0)</f>
        <v>0</v>
      </c>
      <c r="AK62" s="345">
        <f>(Table25[[#This Row],[Dead Time Loss BuCtrl]]+Table25[[#This Row],[Transition Loss BuCtrl]]+Table25[[#This Row],[RDS(on) Loss BuCtrl]]*(1+RdsonTopTc*Ta-RdsonTopTc*25))/(1-Table25[[#This Row],[RDS(on) Loss BuCtrl]]*RdsonTopTc*ThetaJA_Q1)</f>
        <v>0.13365613112240257</v>
      </c>
      <c r="AL62" s="345">
        <f>Table25[[#This Row],[Irms Lf]]</f>
        <v>6.0749481903832381</v>
      </c>
      <c r="AM62" s="345">
        <f>Rdson2*Table25[[#This Row],[Irms BuSync]]^2</f>
        <v>0.12916748430544203</v>
      </c>
      <c r="AN62"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62" s="345">
        <f>(Table25[[#This Row],[Deadtime Loss BuSync]]+Table25[[#This Row],[RDS(on) Loss BuSync]]*(1+RdsonBotTc*Ta-RdsonBotTc*25))/(1-Table25[[#This Row],[RDS(on) Loss BuSync]]*RdsonBotTc*ThetaJA_Q2)</f>
        <v>0.13365613112240257</v>
      </c>
      <c r="AP62" s="345">
        <f>Table25[[#This Row],[Irms Lf]]</f>
        <v>6.0749481903832381</v>
      </c>
      <c r="AQ62" s="345">
        <f>Rdson4*Table25[[#This Row],[Irms BoCtlr]]^2</f>
        <v>0.12916748430544203</v>
      </c>
      <c r="AR62" s="345">
        <f>CHOOSE(Table25[[#This Row],[Mode Digit]], 0, (Vout*Table25[[#This Row],[Iin]]/2)*(Fsw)*(Tr_boost+Tf_boost), (Vout*Iout/2)*(Fsw/1)*(Tr_boost+Tf_boost))</f>
        <v>0.35381179045517219</v>
      </c>
      <c r="AS62" s="345">
        <f>IF(Table25[[#This Row],[Vin]]&gt;Vout, 0, IF(Table25[[#This Row],[Iin]]&gt;Table25[[#This Row],[Ripple Current pk-pk]]/2,0,ABS(Table25[[#This Row],[Iin]]-Table25[[#This Row],[Ripple Current pk-pk]]/2)*Vsd_Q4*Deadtime*Fsw))</f>
        <v>0</v>
      </c>
      <c r="AT62" s="345">
        <f>(Table25[[#This Row],[Dead Time Loss BoCtlr]]+Table25[[#This Row],[Transition Loss BoCtlr]]+Table25[[#This Row],[RDS(on) Loss BoCtlr]]*(1+RdsonTopTc*Ta-RdsonTopTc*25))/(1-Table25[[#This Row],[RDS(on) Loss BoCtlr]]*RdsonTopTc*ThetaJA_Q4)</f>
        <v>0.49976309149258413</v>
      </c>
      <c r="AU62" s="345">
        <f>Table25[[#This Row],[Irms Lf]]</f>
        <v>6.0749481903832381</v>
      </c>
      <c r="AV62" s="345">
        <f>Rdson3*Table25[[#This Row],[Irms BoSync]]^2</f>
        <v>0.12916748430544203</v>
      </c>
      <c r="AW62"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0.1776336842105263</v>
      </c>
      <c r="AX62" s="345">
        <f>(Table25[[#This Row],[Deadtime Loss BoSync]]+Table25[[#This Row],[RDS(on) Loss BoSync]]*(1+RdsonBotTc*Ta-RdsonBotTc*25))/(1-Table25[[#This Row],[RDS(on) Loss BoSync]]*RdsonBotTc*ThetaJA_Q3)</f>
        <v>0.31746269138996425</v>
      </c>
      <c r="AY62" s="345">
        <f>CHOOSE(Table25[[#This Row],[Mode Digit]], Rdson3*Table25[[#This Row],[Irms Lf]]^2, Rdson1*Table25[[#This Row],[Irms Lf]]^2, 0)</f>
        <v>0.12916748430544203</v>
      </c>
      <c r="AZ62" s="345">
        <f>CHOOSE(Table25[[#This Row],[Mode Digit]], 2*Deadtime*Fsw*IF(VfdSky_Q2&gt;0,VfdSky_Q2,0)*Table25[[#This Row],[Iout]], 2*Deadtime*Fsw*IF(VfdSky_Q3&gt;0,VfdSky_Q3,0)*Table25[[#This Row],[Iin]], 2*Deadtime*Fsw*IF(VfdSky_Q2&gt;0,VfdSky_Q2,0)*Table25[[#This Row],[Iout]]+2*Deadtime*Fsw*IF(VfdSky_Q3&gt;0,VfdSky_Q3,0)*Table25[[#This Row],[Iin]])</f>
        <v>0</v>
      </c>
      <c r="BA62"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62"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62" s="345">
        <f>CHOOSE(Table25[[#This Row],[Mode Digit]], Rs*Table25[[#This Row],[Irms BuSync]]^2, Rs*Table25[[#This Row],[Irms BoCtlr]]^2, Rs*(Table25[[#This Row],[Irms BuSync]]^2+Table25[[#This Row],[Irms BoCtlr]]^2))</f>
        <v>4.7976494170592757E-2</v>
      </c>
      <c r="BD62" s="345">
        <f t="shared" si="6"/>
        <v>0.64</v>
      </c>
      <c r="BE62" s="345">
        <f>IF(Vout&gt;8, Iq*Vout, Iq*Table25[[#This Row],[Vin]])</f>
        <v>4.8000000000000001E-2</v>
      </c>
      <c r="BF62" s="345">
        <f>CHOOSE(Table25[[#This Row],[Mode Digit]], (Qg_Q1+Qg_Q2)*Fsw, (Qg_Q3+Qg_Q4)*Fsw, (Qg_Q1+Qg_Q2+Qg_Q3+Qg_Q4)*Fsw)*IF(Vout&gt;8,  MIN( Table25[[#This Row],[Vin]], Vout), Table25[[#This Row],[Vin]])</f>
        <v>0.63998400000000011</v>
      </c>
      <c r="BG62" s="345">
        <f t="shared" si="4"/>
        <v>0.50594479787234037</v>
      </c>
      <c r="BH62" s="345">
        <f>Table25[[#This Row],[IQ Loss]]+Table25[[#This Row],[Switching Current Loss]]</f>
        <v>0.68798400000000015</v>
      </c>
      <c r="BI62"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3.9143093178107393</v>
      </c>
      <c r="BJ62" s="253">
        <f>Vout*Table25[[#This Row],[Iout]]</f>
        <v>67.84</v>
      </c>
      <c r="BK62" s="684">
        <f>Table25[[#This Row],[Pout]]/(Table25[[#This Row],[Pout]]+Table25[[#This Row],[Total Loss]])</f>
        <v>0.94544844267856221</v>
      </c>
      <c r="BL62" s="685">
        <f>IF(Table25[[#This Row],[Vin]]&gt;Vout,ThetaJA_Q1*(Table25[[#This Row],[Total Control Bu MOSFET Loss]]+Table25[[#This Row],[Reverse Recovery Loss MOSFET D BUCK]]),ThetaJA_Q4*(Table25[[#This Row],[Total Control Bo MOSFET Loss]]+Table25[[#This Row],[Reverse Recovery Loss MOSFET D BOOST]]))</f>
        <v>55.66412094701797</v>
      </c>
      <c r="BM62" s="685">
        <f>IF(Table25[[#This Row],[Vin]]&gt;Vout, Table25[[#This Row],[Total Sync Bu MOSFET Loss]]*ThetaJA_Q2, ThetaJA_Q3*Table25[[#This Row],[Total Sync Bo MOSFET Loss]])</f>
        <v>20.635074940347675</v>
      </c>
      <c r="BN62" s="640"/>
      <c r="BO62" s="292">
        <f>Table25[[#This Row],[EFF, h]]*100</f>
        <v>94.54484426785622</v>
      </c>
      <c r="BP62" s="345">
        <f>Table25[[#This Row],[Total Inductor Loss]]</f>
        <v>0.72444930229463722</v>
      </c>
      <c r="BQ62" s="345">
        <f>Table25[[#This Row],[Total Control Bu MOSFET Loss]]+Table25[[#This Row],[Total Sync Bu MOSFET Loss]]+Table25[[#This Row],[Total Control Bo MOSFET Loss]]+Table25[[#This Row],[Total Sync Bo MOSFET Loss]]+Table25[[#This Row],[Reverse Recovery Loss MOSFET D BUCK]]+Table25[[#This Row],[Reverse Recovery Loss MOSFET D BOOST]]</f>
        <v>1.7977540451273537</v>
      </c>
      <c r="BR62" s="345">
        <f xml:space="preserve"> Table25[[#This Row],[Total Control Bu MOSFET Loss]]+Table25[[#This Row],[Reverse Recovery Loss MOSFET D BUCK]]*0.66</f>
        <v>0.36901741112240261</v>
      </c>
      <c r="BS62" s="345">
        <f>Table25[[#This Row],[Total Sync Bu MOSFET Loss]]+Table25[[#This Row],[Reverse Recovery Loss MOSFET D BUCK]]*0.33</f>
        <v>0.2513367711224026</v>
      </c>
      <c r="BT62" s="345">
        <f xml:space="preserve"> Table25[[#This Row],[Total Control Bo MOSFET Loss]]+Table25[[#This Row],[Reverse Recovery Loss MOSFET D BOOST]]*0.66</f>
        <v>0.73512437149258414</v>
      </c>
      <c r="BU62" s="345">
        <f xml:space="preserve"> Table25[[#This Row],[Total Sync Bo MOSFET Loss]]+Table25[[#This Row],[Reverse Recovery Loss MOSFET D BOOST]]*0.33</f>
        <v>0.43514333138996425</v>
      </c>
      <c r="BV62" s="345">
        <f>Table25[[#This Row],[Isense Shunt Loss]]</f>
        <v>4.7976494170592757E-2</v>
      </c>
      <c r="CB62" s="686"/>
      <c r="CC62" s="686"/>
    </row>
    <row r="63" spans="1:83" x14ac:dyDescent="0.2">
      <c r="A63" s="691" t="s">
        <v>120</v>
      </c>
      <c r="B63" s="708">
        <v>2</v>
      </c>
      <c r="C63" s="259" t="s">
        <v>236</v>
      </c>
      <c r="D63" s="255" t="s">
        <v>105</v>
      </c>
      <c r="G63" s="253">
        <v>54</v>
      </c>
      <c r="H63" s="286">
        <f t="shared" si="5"/>
        <v>12</v>
      </c>
      <c r="I63" s="292" t="str">
        <f>IF(Mode = 2,IF(Table25[[#This Row],[Vin]]&gt;Vout, "BUCK","BOOST"),IF(Table25[[#This Row],[Vin]]&gt;VIN_BB_to_buck, "BUCK", IF(Table25[[#This Row],[Vin]]&lt;=VIN_boost_to_BB,"BOOST","BUCK-BST")))</f>
        <v>BOOST</v>
      </c>
      <c r="J63" s="253">
        <f>IF(Table25[[#This Row],[Mode]]="BOOST",2, IF(Table25[[#This Row],[Mode]]="BUCK", 1,3))</f>
        <v>2</v>
      </c>
      <c r="K63" s="345">
        <f t="shared" si="7"/>
        <v>4.32</v>
      </c>
      <c r="L63" s="292">
        <f>Vout*Table25[[#This Row],[Iout]]/(Table25[[#This Row],[Vin]]*Efficiency)</f>
        <v>6.0631578947368432</v>
      </c>
      <c r="M63" s="682">
        <f>CHOOSE(Table25[[#This Row],[Mode Digit]],(Vout+(Rdson2+Rs+Rdcr)*Table25[[#This Row],[Iout]])/(Table25[[#This Row],[Vin]]+(Rs+Rdson2-Rdson1)*Table25[[#This Row],[Iout]])/Fsw,(Vout+(Rdson3+Rdcr)*Table25[[#This Row],[Iin]]-Table25[[#This Row],[Vin]])/(Vout+(Rdson3-Rdson4-Rs)*Table25[[#This Row],[Iin]])/Fsw,t1_Ph_II)</f>
        <v>6.3483270690113241E-7</v>
      </c>
      <c r="N63" s="518">
        <f>CHOOSE(Table25[[#This Row],[Mode Digit]],1/Fsw-Table25[[#This Row],[t1_Ph_II]],1/Fsw-Table25[[#This Row],[t1_Ph_II]],(Vout/Fsw-Table25[[#This Row],[Vin]]*t1_Ph_II)/(Table25[[#This Row],[Vin]]+Vout))</f>
        <v>1.8777301071692195E-6</v>
      </c>
      <c r="O63" s="518">
        <f>1/Fsw-(Table25[[#This Row],[t1_Ph_II]]+Table25[[#This Row],[t2_Ph_I]])</f>
        <v>0</v>
      </c>
      <c r="P63"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3.9470488717330685</v>
      </c>
      <c r="Q63" s="292">
        <f>CHOOSE(Table25[[#This Row],[Mode Digit]],Table25[[#This Row],[I_0]]+1/Lf*(Table25[[#This Row],[Vin]]-Vout)*Table25[[#This Row],[t1_Ph_II]],Table25[[#This Row],[I_0]]+1/Lf*Table25[[#This Row],[Vin]]*Table25[[#This Row],[t1_Ph_II]],Table25[[#This Row],[I_0]]+(Table25[[#This Row],[Vin]]-Vout)/L*Table25[[#This Row],[t1_Ph_II]])</f>
        <v>8.1792669177406179</v>
      </c>
      <c r="R63" s="292">
        <f>CHOOSE(Table25[[#This Row],[Mode Digit]],0,0,Table25[[#This Row],[I_1]]+Table25[[#This Row],[Vin]]/L*Table25[[#This Row],[t2_Ph_I]])</f>
        <v>0</v>
      </c>
      <c r="S63" s="292">
        <f>Fsw*(Table25[[#This Row],[I_0]]*Table25[[#This Row],[t1_Ph_II]]+Table25[[#This Row],[I_1]]*Table25[[#This Row],[t2_Ph_I]]+Table25[[#This Row],[I_2]]*Table25[[#This Row],[t3_Ph_III]])</f>
        <v>7.1099402432801861</v>
      </c>
      <c r="T63" s="345">
        <f>CHOOSE(Table25[[#This Row],[Mode Digit]],(Vout+(Rdson2+Rs+Rdcr)*Table25[[#This Row],[Iout]])/(Table25[[#This Row],[Vin]]+(Rs+Rdson2-Rdson1)*Table25[[#This Row],[Iout]]),1,Fsw*Table25[[#This Row],[t2_Ph_I]]+Table25[[#This Row],[t1_Ph_II]])</f>
        <v>1</v>
      </c>
      <c r="U63" s="345">
        <f>CHOOSE(Table25[[#This Row],[Mode Digit]],0,(Vout+(Rdson3+Rdcr)*Table25[[#This Row],[Iin]]-Table25[[#This Row],[Vin]])/(Vout+(Rdson3-Rdson4-Rs)*Table25[[#This Row],[Iin]]),Fsw*Table25[[#This Row],[t1_Ph_II]]+Table25[[#This Row],[t3_Ph_III]])</f>
        <v>0.25266341734665071</v>
      </c>
      <c r="V63" s="292">
        <f>MAX(Table25[[#This Row],[I_0]:[I_2]])-MIN(Table25[[#This Row],[I_0]:[I_1]])</f>
        <v>4.2322180460075494</v>
      </c>
      <c r="W63"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6.1850240734311113</v>
      </c>
      <c r="X63" s="345">
        <f>(Table25[[#This Row],[Irms Lf]]^2*Rdcr*(1+Ltc*Ta-Ltc*25))/(1-Table25[[#This Row],[Irms Lf]]^2*Rdcr*Ltc*ThetaCa)</f>
        <v>0.12362515356566828</v>
      </c>
      <c r="Y63" s="345">
        <f>ABS(7.759*10^-3*Fsw^0.9458*(0.00787*Table25[[#This Row],[Ripple Current pk-pk]])^2.304)</f>
        <v>0.60549937148943367</v>
      </c>
      <c r="Z63" s="345">
        <f>Table25[[#This Row],[DCR    Loss]]+Table25[[#This Row],[Core Loss]]</f>
        <v>0.72912452505510195</v>
      </c>
      <c r="AA63" s="292">
        <f>IF(Table25[[#This Row],[Vin]]&gt;Vout, Table25[[#This Row],[Ripple Current pk-pk]]/SQRT(12), SQRT(Table25[[#This Row],[Duty Cycle BOOST Leg]]/(1-Table25[[#This Row],[Duty Cycle BOOST Leg]]))*SQRT(Table25[[#This Row],[Iout]]^2+(Table25[[#This Row],[Ripple Current pk-pk]]^2)/12))</f>
        <v>2.6103869212661408</v>
      </c>
      <c r="AB63" s="345">
        <f>RCoutEsr*Table25[[#This Row],[Irms Cout]]^2</f>
        <v>1.3628239757434641E-2</v>
      </c>
      <c r="AC63" s="345">
        <f>Table25[[#This Row],[Cout ESR Loss]]</f>
        <v>1.3628239757434641E-2</v>
      </c>
      <c r="AD63" s="292">
        <f>IF(Table25[[#This Row],[Vin]]&gt;Vout, SQRT(Table25[[#This Row],[Duty Cycle BUCK Leg]]*(1-Table25[[#This Row],[Duty Cycle BUCK Leg]]))*SQRT(Table25[[#This Row],[Iout]]^2+(Table25[[#This Row],[Ripple Current pk-pk]]^2)/12), Table25[[#This Row],[Ripple Current pk-pk]]/SQRT(12))</f>
        <v>1.2217361140658254</v>
      </c>
      <c r="AE63" s="345">
        <f>RCinEsr*Table25[[#This Row],[Irms Cin]]^2</f>
        <v>2.9852782648253271E-3</v>
      </c>
      <c r="AF63" s="683">
        <f>Table25[[#This Row],[Cin ESR Loss]]</f>
        <v>2.9852782648253271E-3</v>
      </c>
      <c r="AG63" s="345">
        <f>Table25[[#This Row],[Irms Lf]]</f>
        <v>6.1850240734311113</v>
      </c>
      <c r="AH63" s="345">
        <f>Rdson1*Table25[[#This Row],[Irms BuCtrl]]^2</f>
        <v>0.13389082976122832</v>
      </c>
      <c r="AI63" s="345">
        <f>CHOOSE(Table25[[#This Row],[Mode Digit]], (Table25[[#This Row],[Vin]]*Table25[[#This Row],[Iout]]/2)*(Fsw)*(Tr_buck+Tf_buck), 0, (Table25[[#This Row],[Vin]]*Table25[[#This Row],[Avg IL]]/2)*(Fsw/1)*(Tr_buck+Tf_buck))</f>
        <v>0</v>
      </c>
      <c r="AJ63" s="253">
        <f>IF(Table25[[#This Row],[Vin]]&gt;Vout, IF(Table25[[#This Row],[Iout]]&gt;Table25[[#This Row],[Ripple Current pk-pk]]/2,0,ABS(Table25[[#This Row],[Iout]]-Table25[[#This Row],[Ripple Current pk-pk]]/2)*Vsd_Q1*Deadtime*Fsw),0)</f>
        <v>0</v>
      </c>
      <c r="AK63" s="345">
        <f>(Table25[[#This Row],[Dead Time Loss BuCtrl]]+Table25[[#This Row],[Transition Loss BuCtrl]]+Table25[[#This Row],[RDS(on) Loss BuCtrl]]*(1+RdsonTopTc*Ta-RdsonTopTc*25))/(1-Table25[[#This Row],[RDS(on) Loss BuCtrl]]*RdsonTopTc*ThetaJA_Q1)</f>
        <v>0.13871989338495036</v>
      </c>
      <c r="AL63" s="345">
        <f>Table25[[#This Row],[Irms Lf]]</f>
        <v>6.1850240734311113</v>
      </c>
      <c r="AM63" s="345">
        <f>Rdson2*Table25[[#This Row],[Irms BuSync]]^2</f>
        <v>0.13389082976122832</v>
      </c>
      <c r="AN63"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63" s="345">
        <f>(Table25[[#This Row],[Deadtime Loss BuSync]]+Table25[[#This Row],[RDS(on) Loss BuSync]]*(1+RdsonBotTc*Ta-RdsonBotTc*25))/(1-Table25[[#This Row],[RDS(on) Loss BuSync]]*RdsonBotTc*ThetaJA_Q2)</f>
        <v>0.13871989338495036</v>
      </c>
      <c r="AP63" s="345">
        <f>Table25[[#This Row],[Irms Lf]]</f>
        <v>6.1850240734311113</v>
      </c>
      <c r="AQ63" s="345">
        <f>Rdson4*Table25[[#This Row],[Irms BoCtlr]]^2</f>
        <v>0.13389082976122832</v>
      </c>
      <c r="AR63" s="345">
        <f>CHOOSE(Table25[[#This Row],[Mode Digit]], 0, (Vout*Table25[[#This Row],[Iin]]/2)*(Fsw)*(Tr_boost+Tf_boost), (Vout*Iout/2)*(Fsw/1)*(Tr_boost+Tf_boost))</f>
        <v>0.3604874846147037</v>
      </c>
      <c r="AS63" s="345">
        <f>IF(Table25[[#This Row],[Vin]]&gt;Vout, 0, IF(Table25[[#This Row],[Iin]]&gt;Table25[[#This Row],[Ripple Current pk-pk]]/2,0,ABS(Table25[[#This Row],[Iin]]-Table25[[#This Row],[Ripple Current pk-pk]]/2)*Vsd_Q4*Deadtime*Fsw))</f>
        <v>0</v>
      </c>
      <c r="AT63" s="345">
        <f>(Table25[[#This Row],[Dead Time Loss BoCtlr]]+Table25[[#This Row],[Transition Loss BoCtlr]]+Table25[[#This Row],[RDS(on) Loss BoCtlr]]*(1+RdsonTopTc*Ta-RdsonTopTc*25))/(1-Table25[[#This Row],[RDS(on) Loss BoCtlr]]*RdsonTopTc*ThetaJA_Q4)</f>
        <v>0.51220914221206781</v>
      </c>
      <c r="AU63" s="345">
        <f>Table25[[#This Row],[Irms Lf]]</f>
        <v>6.1850240734311113</v>
      </c>
      <c r="AV63" s="345">
        <f>Rdson3*Table25[[#This Row],[Irms BoSync]]^2</f>
        <v>0.13389082976122832</v>
      </c>
      <c r="AW63"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0.18098526315789473</v>
      </c>
      <c r="AX63" s="345">
        <f>(Table25[[#This Row],[Deadtime Loss BoSync]]+Table25[[#This Row],[RDS(on) Loss BoSync]]*(1+RdsonBotTc*Ta-RdsonBotTc*25))/(1-Table25[[#This Row],[RDS(on) Loss BoSync]]*RdsonBotTc*ThetaJA_Q3)</f>
        <v>0.32623278320931776</v>
      </c>
      <c r="AY63" s="345">
        <f>CHOOSE(Table25[[#This Row],[Mode Digit]], Rdson3*Table25[[#This Row],[Irms Lf]]^2, Rdson1*Table25[[#This Row],[Irms Lf]]^2, 0)</f>
        <v>0.13389082976122832</v>
      </c>
      <c r="AZ63" s="345">
        <f>CHOOSE(Table25[[#This Row],[Mode Digit]], 2*Deadtime*Fsw*IF(VfdSky_Q2&gt;0,VfdSky_Q2,0)*Table25[[#This Row],[Iout]], 2*Deadtime*Fsw*IF(VfdSky_Q3&gt;0,VfdSky_Q3,0)*Table25[[#This Row],[Iin]], 2*Deadtime*Fsw*IF(VfdSky_Q2&gt;0,VfdSky_Q2,0)*Table25[[#This Row],[Iout]]+2*Deadtime*Fsw*IF(VfdSky_Q3&gt;0,VfdSky_Q3,0)*Table25[[#This Row],[Iin]])</f>
        <v>0</v>
      </c>
      <c r="BA63"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63"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63" s="345">
        <f>CHOOSE(Table25[[#This Row],[Mode Digit]], Rs*Table25[[#This Row],[Irms BuSync]]^2, Rs*Table25[[#This Row],[Irms BoCtlr]]^2, Rs*(Table25[[#This Row],[Irms BuSync]]^2+Table25[[#This Row],[Irms BoCtlr]]^2))</f>
        <v>4.9730879625599092E-2</v>
      </c>
      <c r="BD63" s="345">
        <f t="shared" si="6"/>
        <v>0.64</v>
      </c>
      <c r="BE63" s="345">
        <f>IF(Vout&gt;8, Iq*Vout, Iq*Table25[[#This Row],[Vin]])</f>
        <v>4.8000000000000001E-2</v>
      </c>
      <c r="BF63" s="345">
        <f>CHOOSE(Table25[[#This Row],[Mode Digit]], (Qg_Q1+Qg_Q2)*Fsw, (Qg_Q3+Qg_Q4)*Fsw, (Qg_Q1+Qg_Q2+Qg_Q3+Qg_Q4)*Fsw)*IF(Vout&gt;8,  MIN( Table25[[#This Row],[Vin]], Vout), Table25[[#This Row],[Vin]])</f>
        <v>0.63998400000000011</v>
      </c>
      <c r="BG63" s="345">
        <f t="shared" si="4"/>
        <v>0.50594479787234037</v>
      </c>
      <c r="BH63" s="345">
        <f>Table25[[#This Row],[IQ Loss]]+Table25[[#This Row],[Switching Current Loss]]</f>
        <v>0.68798400000000015</v>
      </c>
      <c r="BI63"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3.9525506348942478</v>
      </c>
      <c r="BJ63" s="253">
        <f>Vout*Table25[[#This Row],[Iout]]</f>
        <v>69.12</v>
      </c>
      <c r="BK63" s="684">
        <f>Table25[[#This Row],[Pout]]/(Table25[[#This Row],[Pout]]+Table25[[#This Row],[Total Loss]])</f>
        <v>0.94590922856048776</v>
      </c>
      <c r="BL63" s="685">
        <f>IF(Table25[[#This Row],[Vin]]&gt;Vout,ThetaJA_Q1*(Table25[[#This Row],[Total Control Bu MOSFET Loss]]+Table25[[#This Row],[Reverse Recovery Loss MOSFET D BUCK]]),ThetaJA_Q4*(Table25[[#This Row],[Total Control Bo MOSFET Loss]]+Table25[[#This Row],[Reverse Recovery Loss MOSFET D BOOST]]))</f>
        <v>56.473114243784408</v>
      </c>
      <c r="BM63" s="685">
        <f>IF(Table25[[#This Row],[Vin]]&gt;Vout, Table25[[#This Row],[Total Sync Bu MOSFET Loss]]*ThetaJA_Q2, ThetaJA_Q3*Table25[[#This Row],[Total Sync Bo MOSFET Loss]])</f>
        <v>21.205130908605653</v>
      </c>
      <c r="BN63" s="640"/>
      <c r="BO63" s="292">
        <f>Table25[[#This Row],[EFF, h]]*100</f>
        <v>94.590922856048778</v>
      </c>
      <c r="BP63" s="345">
        <f>Table25[[#This Row],[Total Inductor Loss]]</f>
        <v>0.72912452505510195</v>
      </c>
      <c r="BQ63" s="345">
        <f>Table25[[#This Row],[Total Control Bu MOSFET Loss]]+Table25[[#This Row],[Total Sync Bu MOSFET Loss]]+Table25[[#This Row],[Total Control Bo MOSFET Loss]]+Table25[[#This Row],[Total Sync Bo MOSFET Loss]]+Table25[[#This Row],[Reverse Recovery Loss MOSFET D BUCK]]+Table25[[#This Row],[Reverse Recovery Loss MOSFET D BOOST]]</f>
        <v>1.8290977121912864</v>
      </c>
      <c r="BR63" s="345">
        <f xml:space="preserve"> Table25[[#This Row],[Total Control Bu MOSFET Loss]]+Table25[[#This Row],[Reverse Recovery Loss MOSFET D BUCK]]*0.66</f>
        <v>0.37408117338495039</v>
      </c>
      <c r="BS63" s="345">
        <f>Table25[[#This Row],[Total Sync Bu MOSFET Loss]]+Table25[[#This Row],[Reverse Recovery Loss MOSFET D BUCK]]*0.33</f>
        <v>0.25640053338495039</v>
      </c>
      <c r="BT63" s="345">
        <f xml:space="preserve"> Table25[[#This Row],[Total Control Bo MOSFET Loss]]+Table25[[#This Row],[Reverse Recovery Loss MOSFET D BOOST]]*0.66</f>
        <v>0.74757042221206782</v>
      </c>
      <c r="BU63" s="345">
        <f xml:space="preserve"> Table25[[#This Row],[Total Sync Bo MOSFET Loss]]+Table25[[#This Row],[Reverse Recovery Loss MOSFET D BOOST]]*0.33</f>
        <v>0.44391342320931776</v>
      </c>
      <c r="BV63" s="345">
        <f>Table25[[#This Row],[Isense Shunt Loss]]</f>
        <v>4.9730879625599092E-2</v>
      </c>
      <c r="CB63" s="686"/>
      <c r="CC63" s="686"/>
    </row>
    <row r="64" spans="1:83" x14ac:dyDescent="0.2">
      <c r="A64" s="709"/>
      <c r="B64" s="515"/>
      <c r="G64" s="253">
        <v>55</v>
      </c>
      <c r="H64" s="286">
        <f t="shared" si="5"/>
        <v>12</v>
      </c>
      <c r="I64" s="292" t="str">
        <f>IF(Mode = 2,IF(Table25[[#This Row],[Vin]]&gt;Vout, "BUCK","BOOST"),IF(Table25[[#This Row],[Vin]]&gt;VIN_BB_to_buck, "BUCK", IF(Table25[[#This Row],[Vin]]&lt;=VIN_boost_to_BB,"BOOST","BUCK-BST")))</f>
        <v>BOOST</v>
      </c>
      <c r="J64" s="253">
        <f>IF(Table25[[#This Row],[Mode]]="BOOST",2, IF(Table25[[#This Row],[Mode]]="BUCK", 1,3))</f>
        <v>2</v>
      </c>
      <c r="K64" s="345">
        <f t="shared" si="7"/>
        <v>4.4000000000000004</v>
      </c>
      <c r="L64" s="292">
        <f>Vout*Table25[[#This Row],[Iout]]/(Table25[[#This Row],[Vin]]*Efficiency)</f>
        <v>6.1754385964912295</v>
      </c>
      <c r="M64" s="682">
        <f>CHOOSE(Table25[[#This Row],[Mode Digit]],(Vout+(Rdson2+Rs+Rdcr)*Table25[[#This Row],[Iout]])/(Table25[[#This Row],[Vin]]+(Rs+Rdson2-Rdson1)*Table25[[#This Row],[Iout]])/Fsw,(Vout+(Rdson3+Rdcr)*Table25[[#This Row],[Iin]]-Table25[[#This Row],[Vin]])/(Vout+(Rdson3-Rdson4-Rs)*Table25[[#This Row],[Iin]])/Fsw,t1_Ph_II)</f>
        <v>6.3495669510134028E-7</v>
      </c>
      <c r="N64" s="518">
        <f>CHOOSE(Table25[[#This Row],[Mode Digit]],1/Fsw-Table25[[#This Row],[t1_Ph_II]],1/Fsw-Table25[[#This Row],[t1_Ph_II]],(Vout/Fsw-Table25[[#This Row],[Vin]]*t1_Ph_II)/(Table25[[#This Row],[Vin]]+Vout))</f>
        <v>1.8776061189690116E-6</v>
      </c>
      <c r="O64" s="518">
        <f>1/Fsw-(Table25[[#This Row],[t1_Ph_II]]+Table25[[#This Row],[t2_Ph_I]])</f>
        <v>0</v>
      </c>
      <c r="P64"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4.0589162794867626</v>
      </c>
      <c r="Q64" s="292">
        <f>CHOOSE(Table25[[#This Row],[Mode Digit]],Table25[[#This Row],[I_0]]+1/Lf*(Table25[[#This Row],[Vin]]-Vout)*Table25[[#This Row],[t1_Ph_II]],Table25[[#This Row],[I_0]]+1/Lf*Table25[[#This Row],[Vin]]*Table25[[#This Row],[t1_Ph_II]],Table25[[#This Row],[I_0]]+(Table25[[#This Row],[Vin]]-Vout)/L*Table25[[#This Row],[t1_Ph_II]])</f>
        <v>8.2919609134956964</v>
      </c>
      <c r="R64" s="292">
        <f>CHOOSE(Table25[[#This Row],[Mode Digit]],0,0,Table25[[#This Row],[I_1]]+Table25[[#This Row],[Vin]]/L*Table25[[#This Row],[t2_Ph_I]])</f>
        <v>0</v>
      </c>
      <c r="S64" s="292">
        <f>Fsw*(Table25[[#This Row],[I_0]]*Table25[[#This Row],[t1_Ph_II]]+Table25[[#This Row],[I_1]]*Table25[[#This Row],[t2_Ph_I]]+Table25[[#This Row],[I_2]]*Table25[[#This Row],[t3_Ph_III]])</f>
        <v>7.2222165011470407</v>
      </c>
      <c r="T64" s="345">
        <f>CHOOSE(Table25[[#This Row],[Mode Digit]],(Vout+(Rdson2+Rs+Rdcr)*Table25[[#This Row],[Iout]])/(Table25[[#This Row],[Vin]]+(Rs+Rdson2-Rdson1)*Table25[[#This Row],[Iout]]),1,Fsw*Table25[[#This Row],[t2_Ph_I]]+Table25[[#This Row],[t1_Ph_II]])</f>
        <v>1</v>
      </c>
      <c r="U64" s="345">
        <f>CHOOSE(Table25[[#This Row],[Mode Digit]],0,(Vout+(Rdson3+Rdcr)*Table25[[#This Row],[Iin]]-Table25[[#This Row],[Vin]])/(Vout+(Rdson3-Rdson4-Rs)*Table25[[#This Row],[Iin]]),Fsw*Table25[[#This Row],[t1_Ph_II]]+Table25[[#This Row],[t3_Ph_III]])</f>
        <v>0.25271276465033343</v>
      </c>
      <c r="V64" s="292">
        <f>MAX(Table25[[#This Row],[I_0]:[I_2]])-MIN(Table25[[#This Row],[I_0]:[I_1]])</f>
        <v>4.2330446340089338</v>
      </c>
      <c r="W64"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6.2951778448660916</v>
      </c>
      <c r="X64" s="345">
        <f>(Table25[[#This Row],[Irms Lf]]^2*Rdcr*(1+Ltc*Ta-Ltc*25))/(1-Table25[[#This Row],[Irms Lf]]^2*Rdcr*Ltc*ThetaCa)</f>
        <v>0.12811336695934469</v>
      </c>
      <c r="Y64" s="345">
        <f>ABS(7.759*10^-3*Fsw^0.9458*(0.00787*Table25[[#This Row],[Ripple Current pk-pk]])^2.304)</f>
        <v>0.60577187527182152</v>
      </c>
      <c r="Z64" s="345">
        <f>Table25[[#This Row],[DCR    Loss]]+Table25[[#This Row],[Core Loss]]</f>
        <v>0.73388524223116625</v>
      </c>
      <c r="AA64" s="292">
        <f>IF(Table25[[#This Row],[Vin]]&gt;Vout, Table25[[#This Row],[Ripple Current pk-pk]]/SQRT(12), SQRT(Table25[[#This Row],[Duty Cycle BOOST Leg]]/(1-Table25[[#This Row],[Duty Cycle BOOST Leg]]))*SQRT(Table25[[#This Row],[Iout]]^2+(Table25[[#This Row],[Ripple Current pk-pk]]^2)/12))</f>
        <v>2.6555616810986349</v>
      </c>
      <c r="AB64" s="345">
        <f>RCoutEsr*Table25[[#This Row],[Irms Cout]]^2</f>
        <v>1.4104015684238816E-2</v>
      </c>
      <c r="AC64" s="345">
        <f>Table25[[#This Row],[Cout ESR Loss]]</f>
        <v>1.4104015684238816E-2</v>
      </c>
      <c r="AD64" s="292">
        <f>IF(Table25[[#This Row],[Vin]]&gt;Vout, SQRT(Table25[[#This Row],[Duty Cycle BUCK Leg]]*(1-Table25[[#This Row],[Duty Cycle BUCK Leg]]))*SQRT(Table25[[#This Row],[Iout]]^2+(Table25[[#This Row],[Ripple Current pk-pk]]^2)/12), Table25[[#This Row],[Ripple Current pk-pk]]/SQRT(12))</f>
        <v>1.2219747294683794</v>
      </c>
      <c r="AE64" s="345">
        <f>RCinEsr*Table25[[#This Row],[Irms Cin]]^2</f>
        <v>2.9864444789186378E-3</v>
      </c>
      <c r="AF64" s="683">
        <f>Table25[[#This Row],[Cin ESR Loss]]</f>
        <v>2.9864444789186378E-3</v>
      </c>
      <c r="AG64" s="345">
        <f>Table25[[#This Row],[Irms Lf]]</f>
        <v>6.2951778448660916</v>
      </c>
      <c r="AH64" s="345">
        <f>Rdson1*Table25[[#This Row],[Irms BuCtrl]]^2</f>
        <v>0.13870242434472513</v>
      </c>
      <c r="AI64" s="345">
        <f>CHOOSE(Table25[[#This Row],[Mode Digit]], (Table25[[#This Row],[Vin]]*Table25[[#This Row],[Iout]]/2)*(Fsw)*(Tr_buck+Tf_buck), 0, (Table25[[#This Row],[Vin]]*Table25[[#This Row],[Avg IL]]/2)*(Fsw/1)*(Tr_buck+Tf_buck))</f>
        <v>0</v>
      </c>
      <c r="AJ64" s="253">
        <f>IF(Table25[[#This Row],[Vin]]&gt;Vout, IF(Table25[[#This Row],[Iout]]&gt;Table25[[#This Row],[Ripple Current pk-pk]]/2,0,ABS(Table25[[#This Row],[Iout]]-Table25[[#This Row],[Ripple Current pk-pk]]/2)*Vsd_Q1*Deadtime*Fsw),0)</f>
        <v>0</v>
      </c>
      <c r="AK64" s="345">
        <f>(Table25[[#This Row],[Dead Time Loss BuCtrl]]+Table25[[#This Row],[Transition Loss BuCtrl]]+Table25[[#This Row],[RDS(on) Loss BuCtrl]]*(1+RdsonTopTc*Ta-RdsonTopTc*25))/(1-Table25[[#This Row],[RDS(on) Loss BuCtrl]]*RdsonTopTc*ThetaJA_Q1)</f>
        <v>0.14389153145100692</v>
      </c>
      <c r="AL64" s="345">
        <f>Table25[[#This Row],[Irms Lf]]</f>
        <v>6.2951778448660916</v>
      </c>
      <c r="AM64" s="345">
        <f>Rdson2*Table25[[#This Row],[Irms BuSync]]^2</f>
        <v>0.13870242434472513</v>
      </c>
      <c r="AN64"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64" s="345">
        <f>(Table25[[#This Row],[Deadtime Loss BuSync]]+Table25[[#This Row],[RDS(on) Loss BuSync]]*(1+RdsonBotTc*Ta-RdsonBotTc*25))/(1-Table25[[#This Row],[RDS(on) Loss BuSync]]*RdsonBotTc*ThetaJA_Q2)</f>
        <v>0.14389153145100692</v>
      </c>
      <c r="AP64" s="345">
        <f>Table25[[#This Row],[Irms Lf]]</f>
        <v>6.2951778448660916</v>
      </c>
      <c r="AQ64" s="345">
        <f>Rdson4*Table25[[#This Row],[Irms BoCtlr]]^2</f>
        <v>0.13870242434472513</v>
      </c>
      <c r="AR64" s="345">
        <f>CHOOSE(Table25[[#This Row],[Mode Digit]], 0, (Vout*Table25[[#This Row],[Iin]]/2)*(Fsw)*(Tr_boost+Tf_boost), (Vout*Iout/2)*(Fsw/1)*(Tr_boost+Tf_boost))</f>
        <v>0.36716317877423527</v>
      </c>
      <c r="AS64" s="345">
        <f>IF(Table25[[#This Row],[Vin]]&gt;Vout, 0, IF(Table25[[#This Row],[Iin]]&gt;Table25[[#This Row],[Ripple Current pk-pk]]/2,0,ABS(Table25[[#This Row],[Iin]]-Table25[[#This Row],[Ripple Current pk-pk]]/2)*Vsd_Q4*Deadtime*Fsw))</f>
        <v>0</v>
      </c>
      <c r="AT64" s="345">
        <f>(Table25[[#This Row],[Dead Time Loss BoCtlr]]+Table25[[#This Row],[Transition Loss BoCtlr]]+Table25[[#This Row],[RDS(on) Loss BoCtlr]]*(1+RdsonTopTc*Ta-RdsonTopTc*25))/(1-Table25[[#This Row],[RDS(on) Loss BoCtlr]]*RdsonTopTc*ThetaJA_Q4)</f>
        <v>0.52479094496766565</v>
      </c>
      <c r="AU64" s="345">
        <f>Table25[[#This Row],[Irms Lf]]</f>
        <v>6.2951778448660916</v>
      </c>
      <c r="AV64" s="345">
        <f>Rdson3*Table25[[#This Row],[Irms BoSync]]^2</f>
        <v>0.13870242434472513</v>
      </c>
      <c r="AW64"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0.18433684210526316</v>
      </c>
      <c r="AX64" s="345">
        <f>(Table25[[#This Row],[Deadtime Loss BoSync]]+Table25[[#This Row],[RDS(on) Loss BoSync]]*(1+RdsonBotTc*Ta-RdsonBotTc*25))/(1-Table25[[#This Row],[RDS(on) Loss BoSync]]*RdsonBotTc*ThetaJA_Q3)</f>
        <v>0.33512474628974592</v>
      </c>
      <c r="AY64" s="345">
        <f>CHOOSE(Table25[[#This Row],[Mode Digit]], Rdson3*Table25[[#This Row],[Irms Lf]]^2, Rdson1*Table25[[#This Row],[Irms Lf]]^2, 0)</f>
        <v>0.13870242434472513</v>
      </c>
      <c r="AZ64" s="345">
        <f>CHOOSE(Table25[[#This Row],[Mode Digit]], 2*Deadtime*Fsw*IF(VfdSky_Q2&gt;0,VfdSky_Q2,0)*Table25[[#This Row],[Iout]], 2*Deadtime*Fsw*IF(VfdSky_Q3&gt;0,VfdSky_Q3,0)*Table25[[#This Row],[Iin]], 2*Deadtime*Fsw*IF(VfdSky_Q2&gt;0,VfdSky_Q2,0)*Table25[[#This Row],[Iout]]+2*Deadtime*Fsw*IF(VfdSky_Q3&gt;0,VfdSky_Q3,0)*Table25[[#This Row],[Iin]])</f>
        <v>0</v>
      </c>
      <c r="BA64"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64"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64" s="345">
        <f>CHOOSE(Table25[[#This Row],[Mode Digit]], Rs*Table25[[#This Row],[Irms BuSync]]^2, Rs*Table25[[#This Row],[Irms BoCtlr]]^2, Rs*(Table25[[#This Row],[Irms BuSync]]^2+Table25[[#This Row],[Irms BoCtlr]]^2))</f>
        <v>5.1518043328040754E-2</v>
      </c>
      <c r="BD64" s="345">
        <f t="shared" si="6"/>
        <v>0.64</v>
      </c>
      <c r="BE64" s="345">
        <f>IF(Vout&gt;8, Iq*Vout, Iq*Table25[[#This Row],[Vin]])</f>
        <v>4.8000000000000001E-2</v>
      </c>
      <c r="BF64" s="345">
        <f>CHOOSE(Table25[[#This Row],[Mode Digit]], (Qg_Q1+Qg_Q2)*Fsw, (Qg_Q3+Qg_Q4)*Fsw, (Qg_Q1+Qg_Q2+Qg_Q3+Qg_Q4)*Fsw)*IF(Vout&gt;8,  MIN( Table25[[#This Row],[Vin]], Vout), Table25[[#This Row],[Vin]])</f>
        <v>0.63998400000000011</v>
      </c>
      <c r="BG64" s="345">
        <f t="shared" si="4"/>
        <v>0.50594479787234037</v>
      </c>
      <c r="BH64" s="345">
        <f>Table25[[#This Row],[IQ Loss]]+Table25[[#This Row],[Switching Current Loss]]</f>
        <v>0.68798400000000015</v>
      </c>
      <c r="BI64"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3.9913924998817905</v>
      </c>
      <c r="BJ64" s="253">
        <f>Vout*Table25[[#This Row],[Iout]]</f>
        <v>70.400000000000006</v>
      </c>
      <c r="BK64" s="684">
        <f>Table25[[#This Row],[Pout]]/(Table25[[#This Row],[Pout]]+Table25[[#This Row],[Total Loss]])</f>
        <v>0.94634604400115074</v>
      </c>
      <c r="BL64" s="685">
        <f>IF(Table25[[#This Row],[Vin]]&gt;Vout,ThetaJA_Q1*(Table25[[#This Row],[Total Control Bu MOSFET Loss]]+Table25[[#This Row],[Reverse Recovery Loss MOSFET D BUCK]]),ThetaJA_Q4*(Table25[[#This Row],[Total Control Bo MOSFET Loss]]+Table25[[#This Row],[Reverse Recovery Loss MOSFET D BOOST]]))</f>
        <v>57.290931422898261</v>
      </c>
      <c r="BM64" s="685">
        <f>IF(Table25[[#This Row],[Vin]]&gt;Vout, Table25[[#This Row],[Total Sync Bu MOSFET Loss]]*ThetaJA_Q2, ThetaJA_Q3*Table25[[#This Row],[Total Sync Bo MOSFET Loss]])</f>
        <v>21.783108508833486</v>
      </c>
      <c r="BN64" s="640"/>
      <c r="BO64" s="292">
        <f>Table25[[#This Row],[EFF, h]]*100</f>
        <v>94.63460440011508</v>
      </c>
      <c r="BP64" s="345">
        <f>Table25[[#This Row],[Total Inductor Loss]]</f>
        <v>0.73388524223116625</v>
      </c>
      <c r="BQ64" s="345">
        <f>Table25[[#This Row],[Total Control Bu MOSFET Loss]]+Table25[[#This Row],[Total Sync Bu MOSFET Loss]]+Table25[[#This Row],[Total Control Bo MOSFET Loss]]+Table25[[#This Row],[Total Sync Bo MOSFET Loss]]+Table25[[#This Row],[Reverse Recovery Loss MOSFET D BUCK]]+Table25[[#This Row],[Reverse Recovery Loss MOSFET D BOOST]]</f>
        <v>1.8609147541594255</v>
      </c>
      <c r="BR64" s="345">
        <f xml:space="preserve"> Table25[[#This Row],[Total Control Bu MOSFET Loss]]+Table25[[#This Row],[Reverse Recovery Loss MOSFET D BUCK]]*0.66</f>
        <v>0.37925281145100692</v>
      </c>
      <c r="BS64" s="345">
        <f>Table25[[#This Row],[Total Sync Bu MOSFET Loss]]+Table25[[#This Row],[Reverse Recovery Loss MOSFET D BUCK]]*0.33</f>
        <v>0.26157217145100692</v>
      </c>
      <c r="BT64" s="345">
        <f xml:space="preserve"> Table25[[#This Row],[Total Control Bo MOSFET Loss]]+Table25[[#This Row],[Reverse Recovery Loss MOSFET D BOOST]]*0.66</f>
        <v>0.76015222496766566</v>
      </c>
      <c r="BU64" s="345">
        <f xml:space="preserve"> Table25[[#This Row],[Total Sync Bo MOSFET Loss]]+Table25[[#This Row],[Reverse Recovery Loss MOSFET D BOOST]]*0.33</f>
        <v>0.45280538628974593</v>
      </c>
      <c r="BV64" s="345">
        <f>Table25[[#This Row],[Isense Shunt Loss]]</f>
        <v>5.1518043328040754E-2</v>
      </c>
      <c r="CB64" s="686"/>
      <c r="CC64" s="686"/>
    </row>
    <row r="65" spans="1:81" x14ac:dyDescent="0.2">
      <c r="G65" s="253">
        <v>56</v>
      </c>
      <c r="H65" s="286">
        <f t="shared" si="5"/>
        <v>12</v>
      </c>
      <c r="I65" s="292" t="str">
        <f>IF(Mode = 2,IF(Table25[[#This Row],[Vin]]&gt;Vout, "BUCK","BOOST"),IF(Table25[[#This Row],[Vin]]&gt;VIN_BB_to_buck, "BUCK", IF(Table25[[#This Row],[Vin]]&lt;=VIN_boost_to_BB,"BOOST","BUCK-BST")))</f>
        <v>BOOST</v>
      </c>
      <c r="J65" s="253">
        <f>IF(Table25[[#This Row],[Mode]]="BOOST",2, IF(Table25[[#This Row],[Mode]]="BUCK", 1,3))</f>
        <v>2</v>
      </c>
      <c r="K65" s="345">
        <f t="shared" si="7"/>
        <v>4.4800000000000004</v>
      </c>
      <c r="L65" s="292">
        <f>Vout*Table25[[#This Row],[Iout]]/(Table25[[#This Row],[Vin]]*Efficiency)</f>
        <v>6.2877192982456158</v>
      </c>
      <c r="M65" s="682">
        <f>CHOOSE(Table25[[#This Row],[Mode Digit]],(Vout+(Rdson2+Rs+Rdcr)*Table25[[#This Row],[Iout]])/(Table25[[#This Row],[Vin]]+(Rs+Rdson2-Rdson1)*Table25[[#This Row],[Iout]])/Fsw,(Vout+(Rdson3+Rdcr)*Table25[[#This Row],[Iin]]-Table25[[#This Row],[Vin]])/(Vout+(Rdson3-Rdson4-Rs)*Table25[[#This Row],[Iin]])/Fsw,t1_Ph_II)</f>
        <v>6.3508068556494471E-7</v>
      </c>
      <c r="N65" s="518">
        <f>CHOOSE(Table25[[#This Row],[Mode Digit]],1/Fsw-Table25[[#This Row],[t1_Ph_II]],1/Fsw-Table25[[#This Row],[t1_Ph_II]],(Vout/Fsw-Table25[[#This Row],[Vin]]*t1_Ph_II)/(Table25[[#This Row],[Vin]]+Vout))</f>
        <v>1.8774821285054072E-6</v>
      </c>
      <c r="O65" s="518">
        <f>1/Fsw-(Table25[[#This Row],[t1_Ph_II]]+Table25[[#This Row],[t2_Ph_I]])</f>
        <v>0</v>
      </c>
      <c r="P65"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4.1707836796958002</v>
      </c>
      <c r="Q65" s="292">
        <f>CHOOSE(Table25[[#This Row],[Mode Digit]],Table25[[#This Row],[I_0]]+1/Lf*(Table25[[#This Row],[Vin]]-Vout)*Table25[[#This Row],[t1_Ph_II]],Table25[[#This Row],[I_0]]+1/Lf*Table25[[#This Row],[Vin]]*Table25[[#This Row],[t1_Ph_II]],Table25[[#This Row],[I_0]]+(Table25[[#This Row],[Vin]]-Vout)/L*Table25[[#This Row],[t1_Ph_II]])</f>
        <v>8.4046549167954314</v>
      </c>
      <c r="R65" s="292">
        <f>CHOOSE(Table25[[#This Row],[Mode Digit]],0,0,Table25[[#This Row],[I_1]]+Table25[[#This Row],[Vin]]/L*Table25[[#This Row],[t2_Ph_I]])</f>
        <v>0</v>
      </c>
      <c r="S65" s="292">
        <f>Fsw*(Table25[[#This Row],[I_0]]*Table25[[#This Row],[t1_Ph_II]]+Table25[[#This Row],[I_1]]*Table25[[#This Row],[t2_Ph_I]]+Table25[[#This Row],[I_2]]*Table25[[#This Row],[t3_Ph_III]])</f>
        <v>7.3344926773507604</v>
      </c>
      <c r="T65" s="345">
        <f>CHOOSE(Table25[[#This Row],[Mode Digit]],(Vout+(Rdson2+Rs+Rdcr)*Table25[[#This Row],[Iout]])/(Table25[[#This Row],[Vin]]+(Rs+Rdson2-Rdson1)*Table25[[#This Row],[Iout]]),1,Fsw*Table25[[#This Row],[t2_Ph_I]]+Table25[[#This Row],[t1_Ph_II]])</f>
        <v>1</v>
      </c>
      <c r="U65" s="345">
        <f>CHOOSE(Table25[[#This Row],[Mode Digit]],0,(Vout+(Rdson3+Rdcr)*Table25[[#This Row],[Iin]]-Table25[[#This Row],[Vin]])/(Vout+(Rdson3-Rdson4-Rs)*Table25[[#This Row],[Iin]]),Fsw*Table25[[#This Row],[t1_Ph_II]]+Table25[[#This Row],[t3_Ph_III]])</f>
        <v>0.25276211285484801</v>
      </c>
      <c r="V65" s="292">
        <f>MAX(Table25[[#This Row],[I_0]:[I_2]])-MIN(Table25[[#This Row],[I_0]:[I_1]])</f>
        <v>4.2338712370996312</v>
      </c>
      <c r="W65"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6.405405486349685</v>
      </c>
      <c r="X65" s="345">
        <f>(Table25[[#This Row],[Irms Lf]]^2*Rdcr*(1+Ltc*Ta-Ltc*25))/(1-Table25[[#This Row],[Irms Lf]]^2*Rdcr*Ltc*ThetaCa)</f>
        <v>0.13268717938106581</v>
      </c>
      <c r="Y65" s="345">
        <f>ABS(7.759*10^-3*Fsw^0.9458*(0.00787*Table25[[#This Row],[Ripple Current pk-pk]])^2.304)</f>
        <v>0.606044453427806</v>
      </c>
      <c r="Z65" s="345">
        <f>Table25[[#This Row],[DCR    Loss]]+Table25[[#This Row],[Core Loss]]</f>
        <v>0.73873163280887177</v>
      </c>
      <c r="AA65" s="292">
        <f>IF(Table25[[#This Row],[Vin]]&gt;Vout, Table25[[#This Row],[Ripple Current pk-pk]]/SQRT(12), SQRT(Table25[[#This Row],[Duty Cycle BOOST Leg]]/(1-Table25[[#This Row],[Duty Cycle BOOST Leg]]))*SQRT(Table25[[#This Row],[Iout]]^2+(Table25[[#This Row],[Ripple Current pk-pk]]^2)/12))</f>
        <v>2.7008053003454702</v>
      </c>
      <c r="AB65" s="345">
        <f>RCoutEsr*Table25[[#This Row],[Irms Cout]]^2</f>
        <v>1.4588698540748372E-2</v>
      </c>
      <c r="AC65" s="345">
        <f>Table25[[#This Row],[Cout ESR Loss]]</f>
        <v>1.4588698540748372E-2</v>
      </c>
      <c r="AD65" s="292">
        <f>IF(Table25[[#This Row],[Vin]]&gt;Vout, SQRT(Table25[[#This Row],[Duty Cycle BUCK Leg]]*(1-Table25[[#This Row],[Duty Cycle BUCK Leg]]))*SQRT(Table25[[#This Row],[Iout]]^2+(Table25[[#This Row],[Ripple Current pk-pk]]^2)/12), Table25[[#This Row],[Ripple Current pk-pk]]/SQRT(12))</f>
        <v>1.222213349226843</v>
      </c>
      <c r="AE65" s="345">
        <f>RCinEsr*Table25[[#This Row],[Irms Cin]]^2</f>
        <v>2.9876109420565937E-3</v>
      </c>
      <c r="AF65" s="683">
        <f>Table25[[#This Row],[Cin ESR Loss]]</f>
        <v>2.9876109420565937E-3</v>
      </c>
      <c r="AG65" s="345">
        <f>Table25[[#This Row],[Irms Lf]]</f>
        <v>6.405405486349685</v>
      </c>
      <c r="AH65" s="345">
        <f>Rdson1*Table25[[#This Row],[Irms BuCtrl]]^2</f>
        <v>0.14360226805595525</v>
      </c>
      <c r="AI65" s="345">
        <f>CHOOSE(Table25[[#This Row],[Mode Digit]], (Table25[[#This Row],[Vin]]*Table25[[#This Row],[Iout]]/2)*(Fsw)*(Tr_buck+Tf_buck), 0, (Table25[[#This Row],[Vin]]*Table25[[#This Row],[Avg IL]]/2)*(Fsw/1)*(Tr_buck+Tf_buck))</f>
        <v>0</v>
      </c>
      <c r="AJ65" s="253">
        <f>IF(Table25[[#This Row],[Vin]]&gt;Vout, IF(Table25[[#This Row],[Iout]]&gt;Table25[[#This Row],[Ripple Current pk-pk]]/2,0,ABS(Table25[[#This Row],[Iout]]-Table25[[#This Row],[Ripple Current pk-pk]]/2)*Vsd_Q1*Deadtime*Fsw),0)</f>
        <v>0</v>
      </c>
      <c r="AK65" s="345">
        <f>(Table25[[#This Row],[Dead Time Loss BuCtrl]]+Table25[[#This Row],[Transition Loss BuCtrl]]+Table25[[#This Row],[RDS(on) Loss BuCtrl]]*(1+RdsonTopTc*Ta-RdsonTopTc*25))/(1-Table25[[#This Row],[RDS(on) Loss BuCtrl]]*RdsonTopTc*ThetaJA_Q1)</f>
        <v>0.14917183567867243</v>
      </c>
      <c r="AL65" s="345">
        <f>Table25[[#This Row],[Irms Lf]]</f>
        <v>6.405405486349685</v>
      </c>
      <c r="AM65" s="345">
        <f>Rdson2*Table25[[#This Row],[Irms BuSync]]^2</f>
        <v>0.14360226805595525</v>
      </c>
      <c r="AN65"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65" s="345">
        <f>(Table25[[#This Row],[Deadtime Loss BuSync]]+Table25[[#This Row],[RDS(on) Loss BuSync]]*(1+RdsonBotTc*Ta-RdsonBotTc*25))/(1-Table25[[#This Row],[RDS(on) Loss BuSync]]*RdsonBotTc*ThetaJA_Q2)</f>
        <v>0.14917183567867243</v>
      </c>
      <c r="AP65" s="345">
        <f>Table25[[#This Row],[Irms Lf]]</f>
        <v>6.405405486349685</v>
      </c>
      <c r="AQ65" s="345">
        <f>Rdson4*Table25[[#This Row],[Irms BoCtlr]]^2</f>
        <v>0.14360226805595525</v>
      </c>
      <c r="AR65" s="345">
        <f>CHOOSE(Table25[[#This Row],[Mode Digit]], 0, (Vout*Table25[[#This Row],[Iin]]/2)*(Fsw)*(Tr_boost+Tf_boost), (Vout*Iout/2)*(Fsw/1)*(Tr_boost+Tf_boost))</f>
        <v>0.37383887293376689</v>
      </c>
      <c r="AS65" s="345">
        <f>IF(Table25[[#This Row],[Vin]]&gt;Vout, 0, IF(Table25[[#This Row],[Iin]]&gt;Table25[[#This Row],[Ripple Current pk-pk]]/2,0,ABS(Table25[[#This Row],[Iin]]-Table25[[#This Row],[Ripple Current pk-pk]]/2)*Vsd_Q4*Deadtime*Fsw))</f>
        <v>0</v>
      </c>
      <c r="AT65" s="345">
        <f>(Table25[[#This Row],[Dead Time Loss BoCtlr]]+Table25[[#This Row],[Transition Loss BoCtlr]]+Table25[[#This Row],[RDS(on) Loss BoCtlr]]*(1+RdsonTopTc*Ta-RdsonTopTc*25))/(1-Table25[[#This Row],[RDS(on) Loss BoCtlr]]*RdsonTopTc*ThetaJA_Q4)</f>
        <v>0.53750992865256908</v>
      </c>
      <c r="AU65" s="345">
        <f>Table25[[#This Row],[Irms Lf]]</f>
        <v>6.405405486349685</v>
      </c>
      <c r="AV65" s="345">
        <f>Rdson3*Table25[[#This Row],[Irms BoSync]]^2</f>
        <v>0.14360226805595525</v>
      </c>
      <c r="AW65"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0.18768842105263159</v>
      </c>
      <c r="AX65" s="345">
        <f>(Table25[[#This Row],[Deadtime Loss BoSync]]+Table25[[#This Row],[RDS(on) Loss BoSync]]*(1+RdsonBotTc*Ta-RdsonBotTc*25))/(1-Table25[[#This Row],[RDS(on) Loss BoSync]]*RdsonBotTc*ThetaJA_Q3)</f>
        <v>0.34413969157035768</v>
      </c>
      <c r="AY65" s="345">
        <f>CHOOSE(Table25[[#This Row],[Mode Digit]], Rdson3*Table25[[#This Row],[Irms Lf]]^2, Rdson1*Table25[[#This Row],[Irms Lf]]^2, 0)</f>
        <v>0.14360226805595525</v>
      </c>
      <c r="AZ65" s="345">
        <f>CHOOSE(Table25[[#This Row],[Mode Digit]], 2*Deadtime*Fsw*IF(VfdSky_Q2&gt;0,VfdSky_Q2,0)*Table25[[#This Row],[Iout]], 2*Deadtime*Fsw*IF(VfdSky_Q3&gt;0,VfdSky_Q3,0)*Table25[[#This Row],[Iin]], 2*Deadtime*Fsw*IF(VfdSky_Q2&gt;0,VfdSky_Q2,0)*Table25[[#This Row],[Iout]]+2*Deadtime*Fsw*IF(VfdSky_Q3&gt;0,VfdSky_Q3,0)*Table25[[#This Row],[Iin]])</f>
        <v>0</v>
      </c>
      <c r="BA65"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65"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65" s="345">
        <f>CHOOSE(Table25[[#This Row],[Mode Digit]], Rs*Table25[[#This Row],[Irms BuSync]]^2, Rs*Table25[[#This Row],[Irms BoCtlr]]^2, Rs*(Table25[[#This Row],[Irms BuSync]]^2+Table25[[#This Row],[Irms BoCtlr]]^2))</f>
        <v>5.3337985277926235E-2</v>
      </c>
      <c r="BD65" s="345">
        <f t="shared" si="6"/>
        <v>0.64</v>
      </c>
      <c r="BE65" s="345">
        <f>IF(Vout&gt;8, Iq*Vout, Iq*Table25[[#This Row],[Vin]])</f>
        <v>4.8000000000000001E-2</v>
      </c>
      <c r="BF65" s="345">
        <f>CHOOSE(Table25[[#This Row],[Mode Digit]], (Qg_Q1+Qg_Q2)*Fsw, (Qg_Q3+Qg_Q4)*Fsw, (Qg_Q1+Qg_Q2+Qg_Q3+Qg_Q4)*Fsw)*IF(Vout&gt;8,  MIN( Table25[[#This Row],[Vin]], Vout), Table25[[#This Row],[Vin]])</f>
        <v>0.63998400000000011</v>
      </c>
      <c r="BG65" s="345">
        <f t="shared" si="4"/>
        <v>0.50594479787234037</v>
      </c>
      <c r="BH65" s="345">
        <f>Table25[[#This Row],[IQ Loss]]+Table25[[#This Row],[Switching Current Loss]]</f>
        <v>0.68798400000000015</v>
      </c>
      <c r="BI65"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4.0308392191498745</v>
      </c>
      <c r="BJ65" s="253">
        <f>Vout*Table25[[#This Row],[Iout]]</f>
        <v>71.680000000000007</v>
      </c>
      <c r="BK65" s="684">
        <f>Table25[[#This Row],[Pout]]/(Table25[[#This Row],[Pout]]+Table25[[#This Row],[Total Loss]])</f>
        <v>0.94676007741134205</v>
      </c>
      <c r="BL65" s="685">
        <f>IF(Table25[[#This Row],[Vin]]&gt;Vout,ThetaJA_Q1*(Table25[[#This Row],[Total Control Bu MOSFET Loss]]+Table25[[#This Row],[Reverse Recovery Loss MOSFET D BUCK]]),ThetaJA_Q4*(Table25[[#This Row],[Total Control Bo MOSFET Loss]]+Table25[[#This Row],[Reverse Recovery Loss MOSFET D BOOST]]))</f>
        <v>58.117665362416993</v>
      </c>
      <c r="BM65" s="685">
        <f>IF(Table25[[#This Row],[Vin]]&gt;Vout, Table25[[#This Row],[Total Sync Bu MOSFET Loss]]*ThetaJA_Q2, ThetaJA_Q3*Table25[[#This Row],[Total Sync Bo MOSFET Loss]])</f>
        <v>22.36907995207325</v>
      </c>
      <c r="BN65" s="640"/>
      <c r="BO65" s="292">
        <f>Table25[[#This Row],[EFF, h]]*100</f>
        <v>94.6760077411342</v>
      </c>
      <c r="BP65" s="345">
        <f>Table25[[#This Row],[Total Inductor Loss]]</f>
        <v>0.73873163280887177</v>
      </c>
      <c r="BQ65" s="345">
        <f>Table25[[#This Row],[Total Control Bu MOSFET Loss]]+Table25[[#This Row],[Total Sync Bu MOSFET Loss]]+Table25[[#This Row],[Total Control Bo MOSFET Loss]]+Table25[[#This Row],[Total Sync Bo MOSFET Loss]]+Table25[[#This Row],[Reverse Recovery Loss MOSFET D BUCK]]+Table25[[#This Row],[Reverse Recovery Loss MOSFET D BOOST]]</f>
        <v>1.8932092915802716</v>
      </c>
      <c r="BR65" s="345">
        <f xml:space="preserve"> Table25[[#This Row],[Total Control Bu MOSFET Loss]]+Table25[[#This Row],[Reverse Recovery Loss MOSFET D BUCK]]*0.66</f>
        <v>0.38453311567867243</v>
      </c>
      <c r="BS65" s="345">
        <f>Table25[[#This Row],[Total Sync Bu MOSFET Loss]]+Table25[[#This Row],[Reverse Recovery Loss MOSFET D BUCK]]*0.33</f>
        <v>0.26685247567867243</v>
      </c>
      <c r="BT65" s="345">
        <f xml:space="preserve"> Table25[[#This Row],[Total Control Bo MOSFET Loss]]+Table25[[#This Row],[Reverse Recovery Loss MOSFET D BOOST]]*0.66</f>
        <v>0.77287120865256909</v>
      </c>
      <c r="BU65" s="345">
        <f xml:space="preserve"> Table25[[#This Row],[Total Sync Bo MOSFET Loss]]+Table25[[#This Row],[Reverse Recovery Loss MOSFET D BOOST]]*0.33</f>
        <v>0.46182033157035768</v>
      </c>
      <c r="BV65" s="345">
        <f>Table25[[#This Row],[Isense Shunt Loss]]</f>
        <v>5.3337985277926235E-2</v>
      </c>
      <c r="CB65" s="686"/>
      <c r="CC65" s="686"/>
    </row>
    <row r="66" spans="1:81" ht="13.6" x14ac:dyDescent="0.25">
      <c r="A66" s="644" t="s">
        <v>81</v>
      </c>
      <c r="B66" s="710"/>
      <c r="C66" s="710"/>
      <c r="G66" s="253">
        <v>57</v>
      </c>
      <c r="H66" s="286">
        <f t="shared" si="5"/>
        <v>12</v>
      </c>
      <c r="I66" s="292" t="str">
        <f>IF(Mode = 2,IF(Table25[[#This Row],[Vin]]&gt;Vout, "BUCK","BOOST"),IF(Table25[[#This Row],[Vin]]&gt;VIN_BB_to_buck, "BUCK", IF(Table25[[#This Row],[Vin]]&lt;=VIN_boost_to_BB,"BOOST","BUCK-BST")))</f>
        <v>BOOST</v>
      </c>
      <c r="J66" s="253">
        <f>IF(Table25[[#This Row],[Mode]]="BOOST",2, IF(Table25[[#This Row],[Mode]]="BUCK", 1,3))</f>
        <v>2</v>
      </c>
      <c r="K66" s="345">
        <f t="shared" si="7"/>
        <v>4.5599999999999996</v>
      </c>
      <c r="L66" s="292">
        <f>Vout*Table25[[#This Row],[Iout]]/(Table25[[#This Row],[Vin]]*Efficiency)</f>
        <v>6.4</v>
      </c>
      <c r="M66" s="682">
        <f>CHOOSE(Table25[[#This Row],[Mode Digit]],(Vout+(Rdson2+Rs+Rdcr)*Table25[[#This Row],[Iout]])/(Table25[[#This Row],[Vin]]+(Rs+Rdson2-Rdson1)*Table25[[#This Row],[Iout]])/Fsw,(Vout+(Rdson3+Rdcr)*Table25[[#This Row],[Iin]]-Table25[[#This Row],[Vin]])/(Vout+(Rdson3-Rdson4-Rs)*Table25[[#This Row],[Iin]])/Fsw,t1_Ph_II)</f>
        <v>6.3520467829200836E-7</v>
      </c>
      <c r="N66" s="518">
        <f>CHOOSE(Table25[[#This Row],[Mode Digit]],1/Fsw-Table25[[#This Row],[t1_Ph_II]],1/Fsw-Table25[[#This Row],[t1_Ph_II]],(Vout/Fsw-Table25[[#This Row],[Vin]]*t1_Ph_II)/(Table25[[#This Row],[Vin]]+Vout))</f>
        <v>1.8773581357783435E-6</v>
      </c>
      <c r="O66" s="518">
        <f>1/Fsw-(Table25[[#This Row],[t1_Ph_II]]+Table25[[#This Row],[t2_Ph_I]])</f>
        <v>0</v>
      </c>
      <c r="P66"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4.2826510723599727</v>
      </c>
      <c r="Q66" s="292">
        <f>CHOOSE(Table25[[#This Row],[Mode Digit]],Table25[[#This Row],[I_0]]+1/Lf*(Table25[[#This Row],[Vin]]-Vout)*Table25[[#This Row],[t1_Ph_II]],Table25[[#This Row],[I_0]]+1/Lf*Table25[[#This Row],[Vin]]*Table25[[#This Row],[t1_Ph_II]],Table25[[#This Row],[I_0]]+(Table25[[#This Row],[Vin]]-Vout)/L*Table25[[#This Row],[t1_Ph_II]])</f>
        <v>8.5173489276400289</v>
      </c>
      <c r="R66" s="292">
        <f>CHOOSE(Table25[[#This Row],[Mode Digit]],0,0,Table25[[#This Row],[I_1]]+Table25[[#This Row],[Vin]]/L*Table25[[#This Row],[t2_Ph_I]])</f>
        <v>0</v>
      </c>
      <c r="S66" s="292">
        <f>Fsw*(Table25[[#This Row],[I_0]]*Table25[[#This Row],[t1_Ph_II]]+Table25[[#This Row],[I_1]]*Table25[[#This Row],[t2_Ph_I]]+Table25[[#This Row],[I_2]]*Table25[[#This Row],[t3_Ph_III]])</f>
        <v>7.4467687718868731</v>
      </c>
      <c r="T66" s="345">
        <f>CHOOSE(Table25[[#This Row],[Mode Digit]],(Vout+(Rdson2+Rs+Rdcr)*Table25[[#This Row],[Iout]])/(Table25[[#This Row],[Vin]]+(Rs+Rdson2-Rdson1)*Table25[[#This Row],[Iout]]),1,Fsw*Table25[[#This Row],[t2_Ph_I]]+Table25[[#This Row],[t1_Ph_II]])</f>
        <v>1</v>
      </c>
      <c r="U66" s="345">
        <f>CHOOSE(Table25[[#This Row],[Mode Digit]],0,(Vout+(Rdson3+Rdcr)*Table25[[#This Row],[Iin]]-Table25[[#This Row],[Vin]])/(Vout+(Rdson3-Rdson4-Rs)*Table25[[#This Row],[Iin]]),Fsw*Table25[[#This Row],[t1_Ph_II]]+Table25[[#This Row],[t3_Ph_III]])</f>
        <v>0.25281146196021931</v>
      </c>
      <c r="V66" s="292">
        <f>MAX(Table25[[#This Row],[I_0]:[I_2]])-MIN(Table25[[#This Row],[I_0]:[I_1]])</f>
        <v>4.2346978552800563</v>
      </c>
      <c r="W66"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6.515703248853967</v>
      </c>
      <c r="X66" s="345">
        <f>(Table25[[#This Row],[Irms Lf]]^2*Rdcr*(1+Ltc*Ta-Ltc*25))/(1-Table25[[#This Row],[Irms Lf]]^2*Rdcr*Ltc*ThetaCa)</f>
        <v>0.13734677341744439</v>
      </c>
      <c r="Y66" s="345">
        <f>ABS(7.759*10^-3*Fsw^0.9458*(0.00787*Table25[[#This Row],[Ripple Current pk-pk]])^2.304)</f>
        <v>0.60631710596544242</v>
      </c>
      <c r="Z66" s="345">
        <f>Table25[[#This Row],[DCR    Loss]]+Table25[[#This Row],[Core Loss]]</f>
        <v>0.74366387938288681</v>
      </c>
      <c r="AA66" s="292">
        <f>IF(Table25[[#This Row],[Vin]]&gt;Vout, Table25[[#This Row],[Ripple Current pk-pk]]/SQRT(12), SQRT(Table25[[#This Row],[Duty Cycle BOOST Leg]]/(1-Table25[[#This Row],[Duty Cycle BOOST Leg]]))*SQRT(Table25[[#This Row],[Iout]]^2+(Table25[[#This Row],[Ripple Current pk-pk]]^2)/12))</f>
        <v>2.7461149985902567</v>
      </c>
      <c r="AB66" s="345">
        <f>RCoutEsr*Table25[[#This Row],[Irms Cout]]^2</f>
        <v>1.5082295170964731E-2</v>
      </c>
      <c r="AC66" s="345">
        <f>Table25[[#This Row],[Cout ESR Loss]]</f>
        <v>1.5082295170964731E-2</v>
      </c>
      <c r="AD66" s="292">
        <f>IF(Table25[[#This Row],[Vin]]&gt;Vout, SQRT(Table25[[#This Row],[Duty Cycle BUCK Leg]]*(1-Table25[[#This Row],[Duty Cycle BUCK Leg]]))*SQRT(Table25[[#This Row],[Iout]]^2+(Table25[[#This Row],[Ripple Current pk-pk]]^2)/12), Table25[[#This Row],[Ripple Current pk-pk]]/SQRT(12))</f>
        <v>1.2224519733413357</v>
      </c>
      <c r="AE66" s="345">
        <f>RCinEsr*Table25[[#This Row],[Irms Cin]]^2</f>
        <v>2.9887776542522515E-3</v>
      </c>
      <c r="AF66" s="683">
        <f>Table25[[#This Row],[Cin ESR Loss]]</f>
        <v>2.9887776542522515E-3</v>
      </c>
      <c r="AG66" s="345">
        <f>Table25[[#This Row],[Irms Lf]]</f>
        <v>6.515703248853967</v>
      </c>
      <c r="AH66" s="345">
        <f>Rdson1*Table25[[#This Row],[Irms BuCtrl]]^2</f>
        <v>0.14859036089494149</v>
      </c>
      <c r="AI66" s="345">
        <f>CHOOSE(Table25[[#This Row],[Mode Digit]], (Table25[[#This Row],[Vin]]*Table25[[#This Row],[Iout]]/2)*(Fsw)*(Tr_buck+Tf_buck), 0, (Table25[[#This Row],[Vin]]*Table25[[#This Row],[Avg IL]]/2)*(Fsw/1)*(Tr_buck+Tf_buck))</f>
        <v>0</v>
      </c>
      <c r="AJ66" s="253">
        <f>IF(Table25[[#This Row],[Vin]]&gt;Vout, IF(Table25[[#This Row],[Iout]]&gt;Table25[[#This Row],[Ripple Current pk-pk]]/2,0,ABS(Table25[[#This Row],[Iout]]-Table25[[#This Row],[Ripple Current pk-pk]]/2)*Vsd_Q1*Deadtime*Fsw),0)</f>
        <v>0</v>
      </c>
      <c r="AK66" s="345">
        <f>(Table25[[#This Row],[Dead Time Loss BuCtrl]]+Table25[[#This Row],[Transition Loss BuCtrl]]+Table25[[#This Row],[RDS(on) Loss BuCtrl]]*(1+RdsonTopTc*Ta-RdsonTopTc*25))/(1-Table25[[#This Row],[RDS(on) Loss BuCtrl]]*RdsonTopTc*ThetaJA_Q1)</f>
        <v>0.15456161613881</v>
      </c>
      <c r="AL66" s="345">
        <f>Table25[[#This Row],[Irms Lf]]</f>
        <v>6.515703248853967</v>
      </c>
      <c r="AM66" s="345">
        <f>Rdson2*Table25[[#This Row],[Irms BuSync]]^2</f>
        <v>0.14859036089494149</v>
      </c>
      <c r="AN66"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66" s="345">
        <f>(Table25[[#This Row],[Deadtime Loss BuSync]]+Table25[[#This Row],[RDS(on) Loss BuSync]]*(1+RdsonBotTc*Ta-RdsonBotTc*25))/(1-Table25[[#This Row],[RDS(on) Loss BuSync]]*RdsonBotTc*ThetaJA_Q2)</f>
        <v>0.15456161613881</v>
      </c>
      <c r="AP66" s="345">
        <f>Table25[[#This Row],[Irms Lf]]</f>
        <v>6.515703248853967</v>
      </c>
      <c r="AQ66" s="345">
        <f>Rdson4*Table25[[#This Row],[Irms BoCtlr]]^2</f>
        <v>0.14859036089494149</v>
      </c>
      <c r="AR66" s="345">
        <f>CHOOSE(Table25[[#This Row],[Mode Digit]], 0, (Vout*Table25[[#This Row],[Iin]]/2)*(Fsw)*(Tr_boost+Tf_boost), (Vout*Iout/2)*(Fsw/1)*(Tr_boost+Tf_boost))</f>
        <v>0.38051456709329834</v>
      </c>
      <c r="AS66" s="345">
        <f>IF(Table25[[#This Row],[Vin]]&gt;Vout, 0, IF(Table25[[#This Row],[Iin]]&gt;Table25[[#This Row],[Ripple Current pk-pk]]/2,0,ABS(Table25[[#This Row],[Iin]]-Table25[[#This Row],[Ripple Current pk-pk]]/2)*Vsd_Q4*Deadtime*Fsw))</f>
        <v>0</v>
      </c>
      <c r="AT66" s="345">
        <f>(Table25[[#This Row],[Dead Time Loss BoCtlr]]+Table25[[#This Row],[Transition Loss BoCtlr]]+Table25[[#This Row],[RDS(on) Loss BoCtlr]]*(1+RdsonTopTc*Ta-RdsonTopTc*25))/(1-Table25[[#This Row],[RDS(on) Loss BoCtlr]]*RdsonTopTc*ThetaJA_Q4)</f>
        <v>0.55036754931022625</v>
      </c>
      <c r="AU66" s="345">
        <f>Table25[[#This Row],[Irms Lf]]</f>
        <v>6.515703248853967</v>
      </c>
      <c r="AV66" s="345">
        <f>Rdson3*Table25[[#This Row],[Irms BoSync]]^2</f>
        <v>0.14859036089494149</v>
      </c>
      <c r="AW66"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0.19103999999999999</v>
      </c>
      <c r="AX66" s="345">
        <f>(Table25[[#This Row],[Deadtime Loss BoSync]]+Table25[[#This Row],[RDS(on) Loss BoSync]]*(1+RdsonBotTc*Ta-RdsonBotTc*25))/(1-Table25[[#This Row],[RDS(on) Loss BoSync]]*RdsonBotTc*ThetaJA_Q3)</f>
        <v>0.3532787534370711</v>
      </c>
      <c r="AY66" s="345">
        <f>CHOOSE(Table25[[#This Row],[Mode Digit]], Rdson3*Table25[[#This Row],[Irms Lf]]^2, Rdson1*Table25[[#This Row],[Irms Lf]]^2, 0)</f>
        <v>0.14859036089494149</v>
      </c>
      <c r="AZ66" s="345">
        <f>CHOOSE(Table25[[#This Row],[Mode Digit]], 2*Deadtime*Fsw*IF(VfdSky_Q2&gt;0,VfdSky_Q2,0)*Table25[[#This Row],[Iout]], 2*Deadtime*Fsw*IF(VfdSky_Q3&gt;0,VfdSky_Q3,0)*Table25[[#This Row],[Iin]], 2*Deadtime*Fsw*IF(VfdSky_Q2&gt;0,VfdSky_Q2,0)*Table25[[#This Row],[Iout]]+2*Deadtime*Fsw*IF(VfdSky_Q3&gt;0,VfdSky_Q3,0)*Table25[[#This Row],[Iin]])</f>
        <v>0</v>
      </c>
      <c r="BA66"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66"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66" s="345">
        <f>CHOOSE(Table25[[#This Row],[Mode Digit]], Rs*Table25[[#This Row],[Irms BuSync]]^2, Rs*Table25[[#This Row],[Irms BoCtlr]]^2, Rs*(Table25[[#This Row],[Irms BuSync]]^2+Table25[[#This Row],[Irms BoCtlr]]^2))</f>
        <v>5.5190705475263974E-2</v>
      </c>
      <c r="BD66" s="345">
        <f t="shared" si="6"/>
        <v>0.64</v>
      </c>
      <c r="BE66" s="345">
        <f>IF(Vout&gt;8, Iq*Vout, Iq*Table25[[#This Row],[Vin]])</f>
        <v>4.8000000000000001E-2</v>
      </c>
      <c r="BF66" s="345">
        <f>CHOOSE(Table25[[#This Row],[Mode Digit]], (Qg_Q1+Qg_Q2)*Fsw, (Qg_Q3+Qg_Q4)*Fsw, (Qg_Q1+Qg_Q2+Qg_Q3+Qg_Q4)*Fsw)*IF(Vout&gt;8,  MIN( Table25[[#This Row],[Vin]], Vout), Table25[[#This Row],[Vin]])</f>
        <v>0.63998400000000011</v>
      </c>
      <c r="BG66" s="345">
        <f t="shared" si="4"/>
        <v>0.50594479787234037</v>
      </c>
      <c r="BH66" s="345">
        <f>Table25[[#This Row],[IQ Loss]]+Table25[[#This Row],[Switching Current Loss]]</f>
        <v>0.68798400000000015</v>
      </c>
      <c r="BI66"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4.070895192708285</v>
      </c>
      <c r="BJ66" s="253">
        <f>Vout*Table25[[#This Row],[Iout]]</f>
        <v>72.959999999999994</v>
      </c>
      <c r="BK66" s="684">
        <f>Table25[[#This Row],[Pout]]/(Table25[[#This Row],[Pout]]+Table25[[#This Row],[Total Loss]])</f>
        <v>0.94715243562308193</v>
      </c>
      <c r="BL66" s="685">
        <f>IF(Table25[[#This Row],[Vin]]&gt;Vout,ThetaJA_Q1*(Table25[[#This Row],[Total Control Bu MOSFET Loss]]+Table25[[#This Row],[Reverse Recovery Loss MOSFET D BUCK]]),ThetaJA_Q4*(Table25[[#This Row],[Total Control Bo MOSFET Loss]]+Table25[[#This Row],[Reverse Recovery Loss MOSFET D BOOST]]))</f>
        <v>58.953410705164707</v>
      </c>
      <c r="BM66" s="685">
        <f>IF(Table25[[#This Row],[Vin]]&gt;Vout, Table25[[#This Row],[Total Sync Bu MOSFET Loss]]*ThetaJA_Q2, ThetaJA_Q3*Table25[[#This Row],[Total Sync Bo MOSFET Loss]])</f>
        <v>22.963118973409621</v>
      </c>
      <c r="BN66" s="640"/>
      <c r="BO66" s="292">
        <f>Table25[[#This Row],[EFF, h]]*100</f>
        <v>94.715243562308189</v>
      </c>
      <c r="BP66" s="345">
        <f>Table25[[#This Row],[Total Inductor Loss]]</f>
        <v>0.74366387938288681</v>
      </c>
      <c r="BQ66" s="345">
        <f>Table25[[#This Row],[Total Control Bu MOSFET Loss]]+Table25[[#This Row],[Total Sync Bu MOSFET Loss]]+Table25[[#This Row],[Total Control Bo MOSFET Loss]]+Table25[[#This Row],[Total Sync Bo MOSFET Loss]]+Table25[[#This Row],[Reverse Recovery Loss MOSFET D BUCK]]+Table25[[#This Row],[Reverse Recovery Loss MOSFET D BOOST]]</f>
        <v>1.9259855350249175</v>
      </c>
      <c r="BR66" s="345">
        <f xml:space="preserve"> Table25[[#This Row],[Total Control Bu MOSFET Loss]]+Table25[[#This Row],[Reverse Recovery Loss MOSFET D BUCK]]*0.66</f>
        <v>0.38992289613881004</v>
      </c>
      <c r="BS66" s="345">
        <f>Table25[[#This Row],[Total Sync Bu MOSFET Loss]]+Table25[[#This Row],[Reverse Recovery Loss MOSFET D BUCK]]*0.33</f>
        <v>0.27224225613881003</v>
      </c>
      <c r="BT66" s="345">
        <f xml:space="preserve"> Table25[[#This Row],[Total Control Bo MOSFET Loss]]+Table25[[#This Row],[Reverse Recovery Loss MOSFET D BOOST]]*0.66</f>
        <v>0.78572882931022625</v>
      </c>
      <c r="BU66" s="345">
        <f xml:space="preserve"> Table25[[#This Row],[Total Sync Bo MOSFET Loss]]+Table25[[#This Row],[Reverse Recovery Loss MOSFET D BOOST]]*0.33</f>
        <v>0.47095939343707111</v>
      </c>
      <c r="BV66" s="345">
        <f>Table25[[#This Row],[Isense Shunt Loss]]</f>
        <v>5.5190705475263974E-2</v>
      </c>
      <c r="CB66" s="686"/>
      <c r="CC66" s="686"/>
    </row>
    <row r="67" spans="1:81" ht="13.6" x14ac:dyDescent="0.25">
      <c r="A67" s="678" t="s">
        <v>59</v>
      </c>
      <c r="B67" s="679" t="s">
        <v>8</v>
      </c>
      <c r="C67" s="679" t="s">
        <v>80</v>
      </c>
      <c r="G67" s="253">
        <v>58</v>
      </c>
      <c r="H67" s="286">
        <f t="shared" si="5"/>
        <v>12</v>
      </c>
      <c r="I67" s="292" t="str">
        <f>IF(Mode = 2,IF(Table25[[#This Row],[Vin]]&gt;Vout, "BUCK","BOOST"),IF(Table25[[#This Row],[Vin]]&gt;VIN_BB_to_buck, "BUCK", IF(Table25[[#This Row],[Vin]]&lt;=VIN_boost_to_BB,"BOOST","BUCK-BST")))</f>
        <v>BOOST</v>
      </c>
      <c r="J67" s="253">
        <f>IF(Table25[[#This Row],[Mode]]="BOOST",2, IF(Table25[[#This Row],[Mode]]="BUCK", 1,3))</f>
        <v>2</v>
      </c>
      <c r="K67" s="345">
        <f t="shared" si="7"/>
        <v>4.6399999999999997</v>
      </c>
      <c r="L67" s="292">
        <f>Vout*Table25[[#This Row],[Iout]]/(Table25[[#This Row],[Vin]]*Efficiency)</f>
        <v>6.5122807017543867</v>
      </c>
      <c r="M67" s="682">
        <f>CHOOSE(Table25[[#This Row],[Mode Digit]],(Vout+(Rdson2+Rs+Rdcr)*Table25[[#This Row],[Iout]])/(Table25[[#This Row],[Vin]]+(Rs+Rdson2-Rdson1)*Table25[[#This Row],[Iout]])/Fsw,(Vout+(Rdson3+Rdcr)*Table25[[#This Row],[Iin]]-Table25[[#This Row],[Vin]])/(Vout+(Rdson3-Rdson4-Rs)*Table25[[#This Row],[Iin]])/Fsw,t1_Ph_II)</f>
        <v>6.3532867328259318E-7</v>
      </c>
      <c r="N67" s="518">
        <f>CHOOSE(Table25[[#This Row],[Mode Digit]],1/Fsw-Table25[[#This Row],[t1_Ph_II]],1/Fsw-Table25[[#This Row],[t1_Ph_II]],(Vout/Fsw-Table25[[#This Row],[Vin]]*t1_Ph_II)/(Table25[[#This Row],[Vin]]+Vout))</f>
        <v>1.8772341407877586E-6</v>
      </c>
      <c r="O67" s="518">
        <f>1/Fsw-(Table25[[#This Row],[t1_Ph_II]]+Table25[[#This Row],[t2_Ph_I]])</f>
        <v>0</v>
      </c>
      <c r="P67"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4.3945184574790765</v>
      </c>
      <c r="Q67" s="292">
        <f>CHOOSE(Table25[[#This Row],[Mode Digit]],Table25[[#This Row],[I_0]]+1/Lf*(Table25[[#This Row],[Vin]]-Vout)*Table25[[#This Row],[t1_Ph_II]],Table25[[#This Row],[I_0]]+1/Lf*Table25[[#This Row],[Vin]]*Table25[[#This Row],[t1_Ph_II]],Table25[[#This Row],[I_0]]+(Table25[[#This Row],[Vin]]-Vout)/L*Table25[[#This Row],[t1_Ph_II]])</f>
        <v>8.6300429460296968</v>
      </c>
      <c r="R67" s="292">
        <f>CHOOSE(Table25[[#This Row],[Mode Digit]],0,0,Table25[[#This Row],[I_1]]+Table25[[#This Row],[Vin]]/L*Table25[[#This Row],[t2_Ph_I]])</f>
        <v>0</v>
      </c>
      <c r="S67" s="292">
        <f>Fsw*(Table25[[#This Row],[I_0]]*Table25[[#This Row],[t1_Ph_II]]+Table25[[#This Row],[I_1]]*Table25[[#This Row],[t2_Ph_I]]+Table25[[#This Row],[I_2]]*Table25[[#This Row],[t3_Ph_III]])</f>
        <v>7.5590447847509097</v>
      </c>
      <c r="T67" s="345">
        <f>CHOOSE(Table25[[#This Row],[Mode Digit]],(Vout+(Rdson2+Rs+Rdcr)*Table25[[#This Row],[Iout]])/(Table25[[#This Row],[Vin]]+(Rs+Rdson2-Rdson1)*Table25[[#This Row],[Iout]]),1,Fsw*Table25[[#This Row],[t2_Ph_I]]+Table25[[#This Row],[t1_Ph_II]])</f>
        <v>1</v>
      </c>
      <c r="U67" s="345">
        <f>CHOOSE(Table25[[#This Row],[Mode Digit]],0,(Vout+(Rdson3+Rdcr)*Table25[[#This Row],[Iin]]-Table25[[#This Row],[Vin]])/(Vout+(Rdson3-Rdson4-Rs)*Table25[[#This Row],[Iin]]),Fsw*Table25[[#This Row],[t1_Ph_II]]+Table25[[#This Row],[t3_Ph_III]])</f>
        <v>0.25286081196647209</v>
      </c>
      <c r="V67" s="292">
        <f>MAX(Table25[[#This Row],[I_0]:[I_2]])-MIN(Table25[[#This Row],[I_0]:[I_1]])</f>
        <v>4.2355244885506202</v>
      </c>
      <c r="W67"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6.6260676306691844</v>
      </c>
      <c r="X67" s="345">
        <f>(Table25[[#This Row],[Irms Lf]]^2*Rdcr*(1+Ltc*Ta-Ltc*25))/(1-Table25[[#This Row],[Irms Lf]]^2*Rdcr*Ltc*ThetaCa)</f>
        <v>0.14209233528218096</v>
      </c>
      <c r="Y67" s="345">
        <f>ABS(7.759*10^-3*Fsw^0.9458*(0.00787*Table25[[#This Row],[Ripple Current pk-pk]])^2.304)</f>
        <v>0.60658983289278789</v>
      </c>
      <c r="Z67" s="345">
        <f>Table25[[#This Row],[DCR    Loss]]+Table25[[#This Row],[Core Loss]]</f>
        <v>0.74868216817496891</v>
      </c>
      <c r="AA67" s="292">
        <f>IF(Table25[[#This Row],[Vin]]&gt;Vout, Table25[[#This Row],[Ripple Current pk-pk]]/SQRT(12), SQRT(Table25[[#This Row],[Duty Cycle BOOST Leg]]/(1-Table25[[#This Row],[Duty Cycle BOOST Leg]]))*SQRT(Table25[[#This Row],[Iout]]^2+(Table25[[#This Row],[Ripple Current pk-pk]]^2)/12))</f>
        <v>2.791488171293897</v>
      </c>
      <c r="AB67" s="345">
        <f>RCoutEsr*Table25[[#This Row],[Irms Cout]]^2</f>
        <v>1.5584812420947492E-2</v>
      </c>
      <c r="AC67" s="345">
        <f>Table25[[#This Row],[Cout ESR Loss]]</f>
        <v>1.5584812420947492E-2</v>
      </c>
      <c r="AD67" s="292">
        <f>IF(Table25[[#This Row],[Vin]]&gt;Vout, SQRT(Table25[[#This Row],[Duty Cycle BUCK Leg]]*(1-Table25[[#This Row],[Duty Cycle BUCK Leg]]))*SQRT(Table25[[#This Row],[Iout]]^2+(Table25[[#This Row],[Ripple Current pk-pk]]^2)/12), Table25[[#This Row],[Ripple Current pk-pk]]/SQRT(12))</f>
        <v>1.2226906018119763</v>
      </c>
      <c r="AE67" s="345">
        <f>RCinEsr*Table25[[#This Row],[Irms Cin]]^2</f>
        <v>2.989944615518666E-3</v>
      </c>
      <c r="AF67" s="683">
        <f>Table25[[#This Row],[Cin ESR Loss]]</f>
        <v>2.989944615518666E-3</v>
      </c>
      <c r="AG67" s="345">
        <f>Table25[[#This Row],[Irms Lf]]</f>
        <v>6.6260676306691844</v>
      </c>
      <c r="AH67" s="345">
        <f>Rdson1*Table25[[#This Row],[Irms BuCtrl]]^2</f>
        <v>0.15366670286170678</v>
      </c>
      <c r="AI67" s="345">
        <f>CHOOSE(Table25[[#This Row],[Mode Digit]], (Table25[[#This Row],[Vin]]*Table25[[#This Row],[Iout]]/2)*(Fsw)*(Tr_buck+Tf_buck), 0, (Table25[[#This Row],[Vin]]*Table25[[#This Row],[Avg IL]]/2)*(Fsw/1)*(Tr_buck+Tf_buck))</f>
        <v>0</v>
      </c>
      <c r="AJ67" s="253">
        <f>IF(Table25[[#This Row],[Vin]]&gt;Vout, IF(Table25[[#This Row],[Iout]]&gt;Table25[[#This Row],[Ripple Current pk-pk]]/2,0,ABS(Table25[[#This Row],[Iout]]-Table25[[#This Row],[Ripple Current pk-pk]]/2)*Vsd_Q1*Deadtime*Fsw),0)</f>
        <v>0</v>
      </c>
      <c r="AK67" s="345">
        <f>(Table25[[#This Row],[Dead Time Loss BuCtrl]]+Table25[[#This Row],[Transition Loss BuCtrl]]+Table25[[#This Row],[RDS(on) Loss BuCtrl]]*(1+RdsonTopTc*Ta-RdsonTopTc*25))/(1-Table25[[#This Row],[RDS(on) Loss BuCtrl]]*RdsonTopTc*ThetaJA_Q1)</f>
        <v>0.16006170293944161</v>
      </c>
      <c r="AL67" s="345">
        <f>Table25[[#This Row],[Irms Lf]]</f>
        <v>6.6260676306691844</v>
      </c>
      <c r="AM67" s="345">
        <f>Rdson2*Table25[[#This Row],[Irms BuSync]]^2</f>
        <v>0.15366670286170678</v>
      </c>
      <c r="AN67"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67" s="345">
        <f>(Table25[[#This Row],[Deadtime Loss BuSync]]+Table25[[#This Row],[RDS(on) Loss BuSync]]*(1+RdsonBotTc*Ta-RdsonBotTc*25))/(1-Table25[[#This Row],[RDS(on) Loss BuSync]]*RdsonBotTc*ThetaJA_Q2)</f>
        <v>0.16006170293944161</v>
      </c>
      <c r="AP67" s="345">
        <f>Table25[[#This Row],[Irms Lf]]</f>
        <v>6.6260676306691844</v>
      </c>
      <c r="AQ67" s="345">
        <f>Rdson4*Table25[[#This Row],[Irms BoCtlr]]^2</f>
        <v>0.15366670286170678</v>
      </c>
      <c r="AR67" s="345">
        <f>CHOOSE(Table25[[#This Row],[Mode Digit]], 0, (Vout*Table25[[#This Row],[Iin]]/2)*(Fsw)*(Tr_boost+Tf_boost), (Vout*Iout/2)*(Fsw/1)*(Tr_boost+Tf_boost))</f>
        <v>0.3871902612528299</v>
      </c>
      <c r="AS67" s="345">
        <f>IF(Table25[[#This Row],[Vin]]&gt;Vout, 0, IF(Table25[[#This Row],[Iin]]&gt;Table25[[#This Row],[Ripple Current pk-pk]]/2,0,ABS(Table25[[#This Row],[Iin]]-Table25[[#This Row],[Ripple Current pk-pk]]/2)*Vsd_Q4*Deadtime*Fsw))</f>
        <v>0</v>
      </c>
      <c r="AT67" s="345">
        <f>(Table25[[#This Row],[Dead Time Loss BoCtlr]]+Table25[[#This Row],[Transition Loss BoCtlr]]+Table25[[#This Row],[RDS(on) Loss BoCtlr]]*(1+RdsonTopTc*Ta-RdsonTopTc*25))/(1-Table25[[#This Row],[RDS(on) Loss BoCtlr]]*RdsonTopTc*ThetaJA_Q4)</f>
        <v>0.56336529066247221</v>
      </c>
      <c r="AU67" s="345">
        <f>Table25[[#This Row],[Irms Lf]]</f>
        <v>6.6260676306691844</v>
      </c>
      <c r="AV67" s="345">
        <f>Rdson3*Table25[[#This Row],[Irms BoSync]]^2</f>
        <v>0.15366670286170678</v>
      </c>
      <c r="AW67"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0.19439157894736842</v>
      </c>
      <c r="AX67" s="345">
        <f>(Table25[[#This Row],[Deadtime Loss BoSync]]+Table25[[#This Row],[RDS(on) Loss BoSync]]*(1+RdsonBotTc*Ta-RdsonBotTc*25))/(1-Table25[[#This Row],[RDS(on) Loss BoSync]]*RdsonBotTc*ThetaJA_Q3)</f>
        <v>0.3625430901492947</v>
      </c>
      <c r="AY67" s="345">
        <f>CHOOSE(Table25[[#This Row],[Mode Digit]], Rdson3*Table25[[#This Row],[Irms Lf]]^2, Rdson1*Table25[[#This Row],[Irms Lf]]^2, 0)</f>
        <v>0.15366670286170678</v>
      </c>
      <c r="AZ67" s="345">
        <f>CHOOSE(Table25[[#This Row],[Mode Digit]], 2*Deadtime*Fsw*IF(VfdSky_Q2&gt;0,VfdSky_Q2,0)*Table25[[#This Row],[Iout]], 2*Deadtime*Fsw*IF(VfdSky_Q3&gt;0,VfdSky_Q3,0)*Table25[[#This Row],[Iin]], 2*Deadtime*Fsw*IF(VfdSky_Q2&gt;0,VfdSky_Q2,0)*Table25[[#This Row],[Iout]]+2*Deadtime*Fsw*IF(VfdSky_Q3&gt;0,VfdSky_Q3,0)*Table25[[#This Row],[Iin]])</f>
        <v>0</v>
      </c>
      <c r="BA67"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67"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67" s="345">
        <f>CHOOSE(Table25[[#This Row],[Mode Digit]], Rs*Table25[[#This Row],[Irms BuSync]]^2, Rs*Table25[[#This Row],[Irms BoCtlr]]^2, Rs*(Table25[[#This Row],[Irms BuSync]]^2+Table25[[#This Row],[Irms BoCtlr]]^2))</f>
        <v>5.7076203920062518E-2</v>
      </c>
      <c r="BD67" s="345">
        <f t="shared" si="6"/>
        <v>0.64</v>
      </c>
      <c r="BE67" s="345">
        <f>IF(Vout&gt;8, Iq*Vout, Iq*Table25[[#This Row],[Vin]])</f>
        <v>4.8000000000000001E-2</v>
      </c>
      <c r="BF67" s="345">
        <f>CHOOSE(Table25[[#This Row],[Mode Digit]], (Qg_Q1+Qg_Q2)*Fsw, (Qg_Q3+Qg_Q4)*Fsw, (Qg_Q1+Qg_Q2+Qg_Q3+Qg_Q4)*Fsw)*IF(Vout&gt;8,  MIN( Table25[[#This Row],[Vin]], Vout), Table25[[#This Row],[Vin]])</f>
        <v>0.63998400000000011</v>
      </c>
      <c r="BG67" s="345">
        <f t="shared" si="4"/>
        <v>0.50594479787234037</v>
      </c>
      <c r="BH67" s="345">
        <f>Table25[[#This Row],[IQ Loss]]+Table25[[#This Row],[Switching Current Loss]]</f>
        <v>0.68798400000000015</v>
      </c>
      <c r="BI67"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4.1115649158221474</v>
      </c>
      <c r="BJ67" s="253">
        <f>Vout*Table25[[#This Row],[Iout]]</f>
        <v>74.239999999999995</v>
      </c>
      <c r="BK67" s="684">
        <f>Table25[[#This Row],[Pout]]/(Table25[[#This Row],[Pout]]+Table25[[#This Row],[Total Loss]])</f>
        <v>0.94752415066323881</v>
      </c>
      <c r="BL67" s="685">
        <f>IF(Table25[[#This Row],[Vin]]&gt;Vout,ThetaJA_Q1*(Table25[[#This Row],[Total Control Bu MOSFET Loss]]+Table25[[#This Row],[Reverse Recovery Loss MOSFET D BUCK]]),ThetaJA_Q4*(Table25[[#This Row],[Total Control Bo MOSFET Loss]]+Table25[[#This Row],[Reverse Recovery Loss MOSFET D BOOST]]))</f>
        <v>59.798263893060692</v>
      </c>
      <c r="BM67" s="685">
        <f>IF(Table25[[#This Row],[Vin]]&gt;Vout, Table25[[#This Row],[Total Sync Bu MOSFET Loss]]*ThetaJA_Q2, ThetaJA_Q3*Table25[[#This Row],[Total Sync Bo MOSFET Loss]])</f>
        <v>23.565300859704156</v>
      </c>
      <c r="BN67" s="640"/>
      <c r="BO67" s="292">
        <f>Table25[[#This Row],[EFF, h]]*100</f>
        <v>94.752415066323877</v>
      </c>
      <c r="BP67" s="345">
        <f>Table25[[#This Row],[Total Inductor Loss]]</f>
        <v>0.74868216817496891</v>
      </c>
      <c r="BQ67" s="345">
        <f>Table25[[#This Row],[Total Control Bu MOSFET Loss]]+Table25[[#This Row],[Total Sync Bu MOSFET Loss]]+Table25[[#This Row],[Total Control Bo MOSFET Loss]]+Table25[[#This Row],[Total Sync Bo MOSFET Loss]]+Table25[[#This Row],[Reverse Recovery Loss MOSFET D BUCK]]+Table25[[#This Row],[Reverse Recovery Loss MOSFET D BOOST]]</f>
        <v>1.9592477866906501</v>
      </c>
      <c r="BR67" s="345">
        <f xml:space="preserve"> Table25[[#This Row],[Total Control Bu MOSFET Loss]]+Table25[[#This Row],[Reverse Recovery Loss MOSFET D BUCK]]*0.66</f>
        <v>0.39542298293944161</v>
      </c>
      <c r="BS67" s="345">
        <f>Table25[[#This Row],[Total Sync Bu MOSFET Loss]]+Table25[[#This Row],[Reverse Recovery Loss MOSFET D BUCK]]*0.33</f>
        <v>0.27774234293944161</v>
      </c>
      <c r="BT67" s="345">
        <f xml:space="preserve"> Table25[[#This Row],[Total Control Bo MOSFET Loss]]+Table25[[#This Row],[Reverse Recovery Loss MOSFET D BOOST]]*0.66</f>
        <v>0.79872657066247221</v>
      </c>
      <c r="BU67" s="345">
        <f xml:space="preserve"> Table25[[#This Row],[Total Sync Bo MOSFET Loss]]+Table25[[#This Row],[Reverse Recovery Loss MOSFET D BOOST]]*0.33</f>
        <v>0.4802237301492947</v>
      </c>
      <c r="BV67" s="345">
        <f>Table25[[#This Row],[Isense Shunt Loss]]</f>
        <v>5.7076203920062518E-2</v>
      </c>
      <c r="CB67" s="686"/>
      <c r="CC67" s="686"/>
    </row>
    <row r="68" spans="1:81" x14ac:dyDescent="0.2">
      <c r="A68" s="711" t="s">
        <v>239</v>
      </c>
      <c r="B68" s="712" t="e">
        <f>#REF!</f>
        <v>#REF!</v>
      </c>
      <c r="C68" s="255" t="s">
        <v>19</v>
      </c>
      <c r="G68" s="253">
        <v>59</v>
      </c>
      <c r="H68" s="286">
        <f t="shared" si="5"/>
        <v>12</v>
      </c>
      <c r="I68" s="292" t="str">
        <f>IF(Mode = 2,IF(Table25[[#This Row],[Vin]]&gt;Vout, "BUCK","BOOST"),IF(Table25[[#This Row],[Vin]]&gt;VIN_BB_to_buck, "BUCK", IF(Table25[[#This Row],[Vin]]&lt;=VIN_boost_to_BB,"BOOST","BUCK-BST")))</f>
        <v>BOOST</v>
      </c>
      <c r="J68" s="253">
        <f>IF(Table25[[#This Row],[Mode]]="BOOST",2, IF(Table25[[#This Row],[Mode]]="BUCK", 1,3))</f>
        <v>2</v>
      </c>
      <c r="K68" s="345">
        <f t="shared" si="7"/>
        <v>4.72</v>
      </c>
      <c r="L68" s="292">
        <f>Vout*Table25[[#This Row],[Iout]]/(Table25[[#This Row],[Vin]]*Efficiency)</f>
        <v>6.6245614035087721</v>
      </c>
      <c r="M68" s="682">
        <f>CHOOSE(Table25[[#This Row],[Mode Digit]],(Vout+(Rdson2+Rs+Rdcr)*Table25[[#This Row],[Iout]])/(Table25[[#This Row],[Vin]]+(Rs+Rdson2-Rdson1)*Table25[[#This Row],[Iout]])/Fsw,(Vout+(Rdson3+Rdcr)*Table25[[#This Row],[Iin]]-Table25[[#This Row],[Vin]])/(Vout+(Rdson3-Rdson4-Rs)*Table25[[#This Row],[Iin]])/Fsw,t1_Ph_II)</f>
        <v>6.354526705367609E-7</v>
      </c>
      <c r="N68" s="518">
        <f>CHOOSE(Table25[[#This Row],[Mode Digit]],1/Fsw-Table25[[#This Row],[t1_Ph_II]],1/Fsw-Table25[[#This Row],[t1_Ph_II]],(Vout/Fsw-Table25[[#This Row],[Vin]]*t1_Ph_II)/(Table25[[#This Row],[Vin]]+Vout))</f>
        <v>1.877110143533591E-6</v>
      </c>
      <c r="O68" s="518">
        <f>1/Fsw-(Table25[[#This Row],[t1_Ph_II]]+Table25[[#This Row],[t2_Ph_I]])</f>
        <v>0</v>
      </c>
      <c r="P68"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4.5063858350529031</v>
      </c>
      <c r="Q68" s="292">
        <f>CHOOSE(Table25[[#This Row],[Mode Digit]],Table25[[#This Row],[I_0]]+1/Lf*(Table25[[#This Row],[Vin]]-Vout)*Table25[[#This Row],[t1_Ph_II]],Table25[[#This Row],[I_0]]+1/Lf*Table25[[#This Row],[Vin]]*Table25[[#This Row],[t1_Ph_II]],Table25[[#This Row],[I_0]]+(Table25[[#This Row],[Vin]]-Vout)/L*Table25[[#This Row],[t1_Ph_II]])</f>
        <v>8.7427369719646428</v>
      </c>
      <c r="R68" s="292">
        <f>CHOOSE(Table25[[#This Row],[Mode Digit]],0,0,Table25[[#This Row],[I_1]]+Table25[[#This Row],[Vin]]/L*Table25[[#This Row],[t2_Ph_I]])</f>
        <v>0</v>
      </c>
      <c r="S68" s="292">
        <f>Fsw*(Table25[[#This Row],[I_0]]*Table25[[#This Row],[t1_Ph_II]]+Table25[[#This Row],[I_1]]*Table25[[#This Row],[t2_Ph_I]]+Table25[[#This Row],[I_2]]*Table25[[#This Row],[t3_Ph_III]])</f>
        <v>7.6713207159384034</v>
      </c>
      <c r="T68" s="345">
        <f>CHOOSE(Table25[[#This Row],[Mode Digit]],(Vout+(Rdson2+Rs+Rdcr)*Table25[[#This Row],[Iout]])/(Table25[[#This Row],[Vin]]+(Rs+Rdson2-Rdson1)*Table25[[#This Row],[Iout]]),1,Fsw*Table25[[#This Row],[t2_Ph_I]]+Table25[[#This Row],[t1_Ph_II]])</f>
        <v>1</v>
      </c>
      <c r="U68" s="345">
        <f>CHOOSE(Table25[[#This Row],[Mode Digit]],0,(Vout+(Rdson3+Rdcr)*Table25[[#This Row],[Iin]]-Table25[[#This Row],[Vin]])/(Vout+(Rdson3-Rdson4-Rs)*Table25[[#This Row],[Iin]]),Fsw*Table25[[#This Row],[t1_Ph_II]]+Table25[[#This Row],[t3_Ph_III]])</f>
        <v>0.25291016287363083</v>
      </c>
      <c r="V68" s="292">
        <f>MAX(Table25[[#This Row],[I_0]:[I_2]])-MIN(Table25[[#This Row],[I_0]:[I_1]])</f>
        <v>4.2363511369117397</v>
      </c>
      <c r="W68"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6.7364953575128794</v>
      </c>
      <c r="X68" s="345">
        <f>(Table25[[#This Row],[Irms Lf]]^2*Rdcr*(1+Ltc*Ta-Ltc*25))/(1-Table25[[#This Row],[Irms Lf]]^2*Rdcr*Ltc*ThetaCa)</f>
        <v>0.14692405483491899</v>
      </c>
      <c r="Y68" s="345">
        <f>ABS(7.759*10^-3*Fsw^0.9458*(0.00787*Table25[[#This Row],[Ripple Current pk-pk]])^2.304)</f>
        <v>0.60686263421789965</v>
      </c>
      <c r="Z68" s="345">
        <f>Table25[[#This Row],[DCR    Loss]]+Table25[[#This Row],[Core Loss]]</f>
        <v>0.75378668905281865</v>
      </c>
      <c r="AA68" s="292">
        <f>IF(Table25[[#This Row],[Vin]]&gt;Vout, Table25[[#This Row],[Ripple Current pk-pk]]/SQRT(12), SQRT(Table25[[#This Row],[Duty Cycle BOOST Leg]]/(1-Table25[[#This Row],[Duty Cycle BOOST Leg]]))*SQRT(Table25[[#This Row],[Iout]]^2+(Table25[[#This Row],[Ripple Current pk-pk]]^2)/12))</f>
        <v>2.8369223763451044</v>
      </c>
      <c r="AB68" s="345">
        <f>RCoutEsr*Table25[[#This Row],[Irms Cout]]^2</f>
        <v>1.6096257138815108E-2</v>
      </c>
      <c r="AC68" s="345">
        <f>Table25[[#This Row],[Cout ESR Loss]]</f>
        <v>1.6096257138815108E-2</v>
      </c>
      <c r="AD68" s="292">
        <f>IF(Table25[[#This Row],[Vin]]&gt;Vout, SQRT(Table25[[#This Row],[Duty Cycle BUCK Leg]]*(1-Table25[[#This Row],[Duty Cycle BUCK Leg]]))*SQRT(Table25[[#This Row],[Iout]]^2+(Table25[[#This Row],[Ripple Current pk-pk]]^2)/12), Table25[[#This Row],[Ripple Current pk-pk]]/SQRT(12))</f>
        <v>1.2229292346388851</v>
      </c>
      <c r="AE68" s="345">
        <f>RCinEsr*Table25[[#This Row],[Irms Cin]]^2</f>
        <v>2.9911118258688987E-3</v>
      </c>
      <c r="AF68" s="683">
        <f>Table25[[#This Row],[Cin ESR Loss]]</f>
        <v>2.9911118258688987E-3</v>
      </c>
      <c r="AG68" s="345">
        <f>Table25[[#This Row],[Irms Lf]]</f>
        <v>6.7364953575128794</v>
      </c>
      <c r="AH68" s="345">
        <f>Rdson1*Table25[[#This Row],[Irms BuCtrl]]^2</f>
        <v>0.15883129395627402</v>
      </c>
      <c r="AI68" s="345">
        <f>CHOOSE(Table25[[#This Row],[Mode Digit]], (Table25[[#This Row],[Vin]]*Table25[[#This Row],[Iout]]/2)*(Fsw)*(Tr_buck+Tf_buck), 0, (Table25[[#This Row],[Vin]]*Table25[[#This Row],[Avg IL]]/2)*(Fsw/1)*(Tr_buck+Tf_buck))</f>
        <v>0</v>
      </c>
      <c r="AJ68" s="253">
        <f>IF(Table25[[#This Row],[Vin]]&gt;Vout, IF(Table25[[#This Row],[Iout]]&gt;Table25[[#This Row],[Ripple Current pk-pk]]/2,0,ABS(Table25[[#This Row],[Iout]]-Table25[[#This Row],[Ripple Current pk-pk]]/2)*Vsd_Q1*Deadtime*Fsw),0)</f>
        <v>0</v>
      </c>
      <c r="AK68" s="345">
        <f>(Table25[[#This Row],[Dead Time Loss BuCtrl]]+Table25[[#This Row],[Transition Loss BuCtrl]]+Table25[[#This Row],[RDS(on) Loss BuCtrl]]*(1+RdsonTopTc*Ta-RdsonTopTc*25))/(1-Table25[[#This Row],[RDS(on) Loss BuCtrl]]*RdsonTopTc*ThetaJA_Q1)</f>
        <v>0.16567294655994694</v>
      </c>
      <c r="AL68" s="345">
        <f>Table25[[#This Row],[Irms Lf]]</f>
        <v>6.7364953575128794</v>
      </c>
      <c r="AM68" s="345">
        <f>Rdson2*Table25[[#This Row],[Irms BuSync]]^2</f>
        <v>0.15883129395627402</v>
      </c>
      <c r="AN68"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68" s="345">
        <f>(Table25[[#This Row],[Deadtime Loss BuSync]]+Table25[[#This Row],[RDS(on) Loss BuSync]]*(1+RdsonBotTc*Ta-RdsonBotTc*25))/(1-Table25[[#This Row],[RDS(on) Loss BuSync]]*RdsonBotTc*ThetaJA_Q2)</f>
        <v>0.16567294655994694</v>
      </c>
      <c r="AP68" s="345">
        <f>Table25[[#This Row],[Irms Lf]]</f>
        <v>6.7364953575128794</v>
      </c>
      <c r="AQ68" s="345">
        <f>Rdson4*Table25[[#This Row],[Irms BoCtlr]]^2</f>
        <v>0.15883129395627402</v>
      </c>
      <c r="AR68" s="345">
        <f>CHOOSE(Table25[[#This Row],[Mode Digit]], 0, (Vout*Table25[[#This Row],[Iin]]/2)*(Fsw)*(Tr_boost+Tf_boost), (Vout*Iout/2)*(Fsw/1)*(Tr_boost+Tf_boost))</f>
        <v>0.39386595541236141</v>
      </c>
      <c r="AS68" s="345">
        <f>IF(Table25[[#This Row],[Vin]]&gt;Vout, 0, IF(Table25[[#This Row],[Iin]]&gt;Table25[[#This Row],[Ripple Current pk-pk]]/2,0,ABS(Table25[[#This Row],[Iin]]-Table25[[#This Row],[Ripple Current pk-pk]]/2)*Vsd_Q4*Deadtime*Fsw))</f>
        <v>0</v>
      </c>
      <c r="AT68" s="345">
        <f>(Table25[[#This Row],[Dead Time Loss BoCtlr]]+Table25[[#This Row],[Transition Loss BoCtlr]]+Table25[[#This Row],[RDS(on) Loss BoCtlr]]*(1+RdsonTopTc*Ta-RdsonTopTc*25))/(1-Table25[[#This Row],[RDS(on) Loss BoCtlr]]*RdsonTopTc*ThetaJA_Q4)</f>
        <v>0.57650466465184014</v>
      </c>
      <c r="AU68" s="345">
        <f>Table25[[#This Row],[Irms Lf]]</f>
        <v>6.7364953575128794</v>
      </c>
      <c r="AV68" s="345">
        <f>Rdson3*Table25[[#This Row],[Irms BoSync]]^2</f>
        <v>0.15883129395627402</v>
      </c>
      <c r="AW68"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0.19774315789473682</v>
      </c>
      <c r="AX68" s="345">
        <f>(Table25[[#This Row],[Deadtime Loss BoSync]]+Table25[[#This Row],[RDS(on) Loss BoSync]]*(1+RdsonBotTc*Ta-RdsonBotTc*25))/(1-Table25[[#This Row],[RDS(on) Loss BoSync]]*RdsonBotTc*ThetaJA_Q3)</f>
        <v>0.37193388427861113</v>
      </c>
      <c r="AY68" s="345">
        <f>CHOOSE(Table25[[#This Row],[Mode Digit]], Rdson3*Table25[[#This Row],[Irms Lf]]^2, Rdson1*Table25[[#This Row],[Irms Lf]]^2, 0)</f>
        <v>0.15883129395627402</v>
      </c>
      <c r="AZ68" s="345">
        <f>CHOOSE(Table25[[#This Row],[Mode Digit]], 2*Deadtime*Fsw*IF(VfdSky_Q2&gt;0,VfdSky_Q2,0)*Table25[[#This Row],[Iout]], 2*Deadtime*Fsw*IF(VfdSky_Q3&gt;0,VfdSky_Q3,0)*Table25[[#This Row],[Iin]], 2*Deadtime*Fsw*IF(VfdSky_Q2&gt;0,VfdSky_Q2,0)*Table25[[#This Row],[Iout]]+2*Deadtime*Fsw*IF(VfdSky_Q3&gt;0,VfdSky_Q3,0)*Table25[[#This Row],[Iin]])</f>
        <v>0</v>
      </c>
      <c r="BA68"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68"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68" s="345">
        <f>CHOOSE(Table25[[#This Row],[Mode Digit]], Rs*Table25[[#This Row],[Irms BuSync]]^2, Rs*Table25[[#This Row],[Irms BoCtlr]]^2, Rs*(Table25[[#This Row],[Irms BuSync]]^2+Table25[[#This Row],[Irms BoCtlr]]^2))</f>
        <v>5.8994480612330341E-2</v>
      </c>
      <c r="BD68" s="345">
        <f t="shared" si="6"/>
        <v>0.64</v>
      </c>
      <c r="BE68" s="345">
        <f>IF(Vout&gt;8, Iq*Vout, Iq*Table25[[#This Row],[Vin]])</f>
        <v>4.8000000000000001E-2</v>
      </c>
      <c r="BF68" s="345">
        <f>CHOOSE(Table25[[#This Row],[Mode Digit]], (Qg_Q1+Qg_Q2)*Fsw, (Qg_Q3+Qg_Q4)*Fsw, (Qg_Q1+Qg_Q2+Qg_Q3+Qg_Q4)*Fsw)*IF(Vout&gt;8,  MIN( Table25[[#This Row],[Vin]], Vout), Table25[[#This Row],[Vin]])</f>
        <v>0.63998400000000011</v>
      </c>
      <c r="BG68" s="345">
        <f t="shared" si="4"/>
        <v>0.50594479787234037</v>
      </c>
      <c r="BH68" s="345">
        <f>Table25[[#This Row],[IQ Loss]]+Table25[[#This Row],[Switching Current Loss]]</f>
        <v>0.68798400000000015</v>
      </c>
      <c r="BI68"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4.1528529806801782</v>
      </c>
      <c r="BJ68" s="253">
        <f>Vout*Table25[[#This Row],[Iout]]</f>
        <v>75.52</v>
      </c>
      <c r="BK68" s="684">
        <f>Table25[[#This Row],[Pout]]/(Table25[[#This Row],[Pout]]+Table25[[#This Row],[Total Loss]])</f>
        <v>0.94787618586110878</v>
      </c>
      <c r="BL68" s="685">
        <f>IF(Table25[[#This Row],[Vin]]&gt;Vout,ThetaJA_Q1*(Table25[[#This Row],[Total Control Bu MOSFET Loss]]+Table25[[#This Row],[Reverse Recovery Loss MOSFET D BUCK]]),ThetaJA_Q4*(Table25[[#This Row],[Total Control Bo MOSFET Loss]]+Table25[[#This Row],[Reverse Recovery Loss MOSFET D BOOST]]))</f>
        <v>60.652323202369608</v>
      </c>
      <c r="BM68" s="685">
        <f>IF(Table25[[#This Row],[Vin]]&gt;Vout, Table25[[#This Row],[Total Sync Bu MOSFET Loss]]*ThetaJA_Q2, ThetaJA_Q3*Table25[[#This Row],[Total Sync Bo MOSFET Loss]])</f>
        <v>24.175702478109724</v>
      </c>
      <c r="BN68" s="640"/>
      <c r="BO68" s="292">
        <f>Table25[[#This Row],[EFF, h]]*100</f>
        <v>94.787618586110881</v>
      </c>
      <c r="BP68" s="345">
        <f>Table25[[#This Row],[Total Inductor Loss]]</f>
        <v>0.75378668905281865</v>
      </c>
      <c r="BQ68" s="345">
        <f>Table25[[#This Row],[Total Control Bu MOSFET Loss]]+Table25[[#This Row],[Total Sync Bu MOSFET Loss]]+Table25[[#This Row],[Total Control Bo MOSFET Loss]]+Table25[[#This Row],[Total Sync Bo MOSFET Loss]]+Table25[[#This Row],[Reverse Recovery Loss MOSFET D BUCK]]+Table25[[#This Row],[Reverse Recovery Loss MOSFET D BOOST]]</f>
        <v>1.9930004420503451</v>
      </c>
      <c r="BR68" s="345">
        <f xml:space="preserve"> Table25[[#This Row],[Total Control Bu MOSFET Loss]]+Table25[[#This Row],[Reverse Recovery Loss MOSFET D BUCK]]*0.66</f>
        <v>0.40103422655994692</v>
      </c>
      <c r="BS68" s="345">
        <f>Table25[[#This Row],[Total Sync Bu MOSFET Loss]]+Table25[[#This Row],[Reverse Recovery Loss MOSFET D BUCK]]*0.33</f>
        <v>0.28335358655994691</v>
      </c>
      <c r="BT68" s="345">
        <f xml:space="preserve"> Table25[[#This Row],[Total Control Bo MOSFET Loss]]+Table25[[#This Row],[Reverse Recovery Loss MOSFET D BOOST]]*0.66</f>
        <v>0.81186594465184014</v>
      </c>
      <c r="BU68" s="345">
        <f xml:space="preserve"> Table25[[#This Row],[Total Sync Bo MOSFET Loss]]+Table25[[#This Row],[Reverse Recovery Loss MOSFET D BOOST]]*0.33</f>
        <v>0.48961452427861113</v>
      </c>
      <c r="BV68" s="345">
        <f>Table25[[#This Row],[Isense Shunt Loss]]</f>
        <v>5.8994480612330341E-2</v>
      </c>
      <c r="CB68" s="686"/>
      <c r="CC68" s="686"/>
    </row>
    <row r="69" spans="1:81" x14ac:dyDescent="0.2">
      <c r="A69" s="691" t="s">
        <v>82</v>
      </c>
      <c r="B69" s="712" t="e">
        <f>1-B68</f>
        <v>#REF!</v>
      </c>
      <c r="C69" s="255" t="s">
        <v>19</v>
      </c>
      <c r="G69" s="253">
        <v>60</v>
      </c>
      <c r="H69" s="286">
        <f t="shared" si="5"/>
        <v>12</v>
      </c>
      <c r="I69" s="292" t="str">
        <f>IF(Mode = 2,IF(Table25[[#This Row],[Vin]]&gt;Vout, "BUCK","BOOST"),IF(Table25[[#This Row],[Vin]]&gt;VIN_BB_to_buck, "BUCK", IF(Table25[[#This Row],[Vin]]&lt;=VIN_boost_to_BB,"BOOST","BUCK-BST")))</f>
        <v>BOOST</v>
      </c>
      <c r="J69" s="253">
        <f>IF(Table25[[#This Row],[Mode]]="BOOST",2, IF(Table25[[#This Row],[Mode]]="BUCK", 1,3))</f>
        <v>2</v>
      </c>
      <c r="K69" s="345">
        <f t="shared" si="7"/>
        <v>4.8</v>
      </c>
      <c r="L69" s="292">
        <f>Vout*Table25[[#This Row],[Iout]]/(Table25[[#This Row],[Vin]]*Efficiency)</f>
        <v>6.7368421052631584</v>
      </c>
      <c r="M69" s="682">
        <f>CHOOSE(Table25[[#This Row],[Mode Digit]],(Vout+(Rdson2+Rs+Rdcr)*Table25[[#This Row],[Iout]])/(Table25[[#This Row],[Vin]]+(Rs+Rdson2-Rdson1)*Table25[[#This Row],[Iout]])/Fsw,(Vout+(Rdson3+Rdcr)*Table25[[#This Row],[Iin]]-Table25[[#This Row],[Vin]])/(Vout+(Rdson3-Rdson4-Rs)*Table25[[#This Row],[Iin]])/Fsw,t1_Ph_II)</f>
        <v>6.3557667005457441E-7</v>
      </c>
      <c r="N69" s="518">
        <f>CHOOSE(Table25[[#This Row],[Mode Digit]],1/Fsw-Table25[[#This Row],[t1_Ph_II]],1/Fsw-Table25[[#This Row],[t1_Ph_II]],(Vout/Fsw-Table25[[#This Row],[Vin]]*t1_Ph_II)/(Table25[[#This Row],[Vin]]+Vout))</f>
        <v>1.8769861440157774E-6</v>
      </c>
      <c r="O69" s="518">
        <f>1/Fsw-(Table25[[#This Row],[t1_Ph_II]]+Table25[[#This Row],[t2_Ph_I]])</f>
        <v>0</v>
      </c>
      <c r="P69"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4.6182532050812437</v>
      </c>
      <c r="Q69" s="292">
        <f>CHOOSE(Table25[[#This Row],[Mode Digit]],Table25[[#This Row],[I_0]]+1/Lf*(Table25[[#This Row],[Vin]]-Vout)*Table25[[#This Row],[t1_Ph_II]],Table25[[#This Row],[I_0]]+1/Lf*Table25[[#This Row],[Vin]]*Table25[[#This Row],[t1_Ph_II]],Table25[[#This Row],[I_0]]+(Table25[[#This Row],[Vin]]-Vout)/L*Table25[[#This Row],[t1_Ph_II]])</f>
        <v>8.8554310054450731</v>
      </c>
      <c r="R69" s="292">
        <f>CHOOSE(Table25[[#This Row],[Mode Digit]],0,0,Table25[[#This Row],[I_1]]+Table25[[#This Row],[Vin]]/L*Table25[[#This Row],[t2_Ph_I]])</f>
        <v>0</v>
      </c>
      <c r="S69" s="292">
        <f>Fsw*(Table25[[#This Row],[I_0]]*Table25[[#This Row],[t1_Ph_II]]+Table25[[#This Row],[I_1]]*Table25[[#This Row],[t2_Ph_I]]+Table25[[#This Row],[I_2]]*Table25[[#This Row],[t3_Ph_III]])</f>
        <v>7.7835965654448787</v>
      </c>
      <c r="T69" s="345">
        <f>CHOOSE(Table25[[#This Row],[Mode Digit]],(Vout+(Rdson2+Rs+Rdcr)*Table25[[#This Row],[Iout]])/(Table25[[#This Row],[Vin]]+(Rs+Rdson2-Rdson1)*Table25[[#This Row],[Iout]]),1,Fsw*Table25[[#This Row],[t2_Ph_I]]+Table25[[#This Row],[t1_Ph_II]])</f>
        <v>1</v>
      </c>
      <c r="U69" s="345">
        <f>CHOOSE(Table25[[#This Row],[Mode Digit]],0,(Vout+(Rdson3+Rdcr)*Table25[[#This Row],[Iin]]-Table25[[#This Row],[Vin]])/(Vout+(Rdson3-Rdson4-Rs)*Table25[[#This Row],[Iin]]),Fsw*Table25[[#This Row],[t1_Ph_II]]+Table25[[#This Row],[t3_Ph_III]])</f>
        <v>0.25295951468172062</v>
      </c>
      <c r="V69" s="292">
        <f>MAX(Table25[[#This Row],[I_0]:[I_2]])-MIN(Table25[[#This Row],[I_0]:[I_1]])</f>
        <v>4.2371778003638294</v>
      </c>
      <c r="W69"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6.8469833645120346</v>
      </c>
      <c r="X69" s="345">
        <f>(Table25[[#This Row],[Irms Lf]]^2*Rdcr*(1+Ltc*Ta-Ltc*25))/(1-Table25[[#This Row],[Irms Lf]]^2*Rdcr*Ltc*ThetaCa)</f>
        <v>0.15184212560049953</v>
      </c>
      <c r="Y69" s="345">
        <f>ABS(7.759*10^-3*Fsw^0.9458*(0.00787*Table25[[#This Row],[Ripple Current pk-pk]])^2.304)</f>
        <v>0.60713550994883536</v>
      </c>
      <c r="Z69" s="345">
        <f>Table25[[#This Row],[DCR    Loss]]+Table25[[#This Row],[Core Loss]]</f>
        <v>0.75897763554933495</v>
      </c>
      <c r="AA69" s="292">
        <f>IF(Table25[[#This Row],[Vin]]&gt;Vout, Table25[[#This Row],[Ripple Current pk-pk]]/SQRT(12), SQRT(Table25[[#This Row],[Duty Cycle BOOST Leg]]/(1-Table25[[#This Row],[Duty Cycle BOOST Leg]]))*SQRT(Table25[[#This Row],[Iout]]^2+(Table25[[#This Row],[Ripple Current pk-pk]]^2)/12))</f>
        <v>2.8824153218044248</v>
      </c>
      <c r="AB69" s="345">
        <f>RCoutEsr*Table25[[#This Row],[Irms Cout]]^2</f>
        <v>1.6616636174745812E-2</v>
      </c>
      <c r="AC69" s="345">
        <f>Table25[[#This Row],[Cout ESR Loss]]</f>
        <v>1.6616636174745812E-2</v>
      </c>
      <c r="AD69" s="292">
        <f>IF(Table25[[#This Row],[Vin]]&gt;Vout, SQRT(Table25[[#This Row],[Duty Cycle BUCK Leg]]*(1-Table25[[#This Row],[Duty Cycle BUCK Leg]]))*SQRT(Table25[[#This Row],[Iout]]^2+(Table25[[#This Row],[Ripple Current pk-pk]]^2)/12), Table25[[#This Row],[Ripple Current pk-pk]]/SQRT(12))</f>
        <v>1.2231678718221817</v>
      </c>
      <c r="AE69" s="345">
        <f>RCinEsr*Table25[[#This Row],[Irms Cin]]^2</f>
        <v>2.9922792853160104E-3</v>
      </c>
      <c r="AF69" s="683">
        <f>Table25[[#This Row],[Cin ESR Loss]]</f>
        <v>2.9922792853160104E-3</v>
      </c>
      <c r="AG69" s="345">
        <f>Table25[[#This Row],[Irms Lf]]</f>
        <v>6.8469833645120346</v>
      </c>
      <c r="AH69" s="345">
        <f>Rdson1*Table25[[#This Row],[Irms BuCtrl]]^2</f>
        <v>0.16408413417866588</v>
      </c>
      <c r="AI69" s="345">
        <f>CHOOSE(Table25[[#This Row],[Mode Digit]], (Table25[[#This Row],[Vin]]*Table25[[#This Row],[Iout]]/2)*(Fsw)*(Tr_buck+Tf_buck), 0, (Table25[[#This Row],[Vin]]*Table25[[#This Row],[Avg IL]]/2)*(Fsw/1)*(Tr_buck+Tf_buck))</f>
        <v>0</v>
      </c>
      <c r="AJ69" s="253">
        <f>IF(Table25[[#This Row],[Vin]]&gt;Vout, IF(Table25[[#This Row],[Iout]]&gt;Table25[[#This Row],[Ripple Current pk-pk]]/2,0,ABS(Table25[[#This Row],[Iout]]-Table25[[#This Row],[Ripple Current pk-pk]]/2)*Vsd_Q1*Deadtime*Fsw),0)</f>
        <v>0</v>
      </c>
      <c r="AK69" s="345">
        <f>(Table25[[#This Row],[Dead Time Loss BuCtrl]]+Table25[[#This Row],[Transition Loss BuCtrl]]+Table25[[#This Row],[RDS(on) Loss BuCtrl]]*(1+RdsonTopTc*Ta-RdsonTopTc*25))/(1-Table25[[#This Row],[RDS(on) Loss BuCtrl]]*RdsonTopTc*ThetaJA_Q1)</f>
        <v>0.17139621819532611</v>
      </c>
      <c r="AL69" s="345">
        <f>Table25[[#This Row],[Irms Lf]]</f>
        <v>6.8469833645120346</v>
      </c>
      <c r="AM69" s="345">
        <f>Rdson2*Table25[[#This Row],[Irms BuSync]]^2</f>
        <v>0.16408413417866588</v>
      </c>
      <c r="AN69"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69" s="345">
        <f>(Table25[[#This Row],[Deadtime Loss BuSync]]+Table25[[#This Row],[RDS(on) Loss BuSync]]*(1+RdsonBotTc*Ta-RdsonBotTc*25))/(1-Table25[[#This Row],[RDS(on) Loss BuSync]]*RdsonBotTc*ThetaJA_Q2)</f>
        <v>0.17139621819532611</v>
      </c>
      <c r="AP69" s="345">
        <f>Table25[[#This Row],[Irms Lf]]</f>
        <v>6.8469833645120346</v>
      </c>
      <c r="AQ69" s="345">
        <f>Rdson4*Table25[[#This Row],[Irms BoCtlr]]^2</f>
        <v>0.16408413417866588</v>
      </c>
      <c r="AR69" s="345">
        <f>CHOOSE(Table25[[#This Row],[Mode Digit]], 0, (Vout*Table25[[#This Row],[Iin]]/2)*(Fsw)*(Tr_boost+Tf_boost), (Vout*Iout/2)*(Fsw/1)*(Tr_boost+Tf_boost))</f>
        <v>0.40054164957189303</v>
      </c>
      <c r="AS69" s="345">
        <f>IF(Table25[[#This Row],[Vin]]&gt;Vout, 0, IF(Table25[[#This Row],[Iin]]&gt;Table25[[#This Row],[Ripple Current pk-pk]]/2,0,ABS(Table25[[#This Row],[Iin]]-Table25[[#This Row],[Ripple Current pk-pk]]/2)*Vsd_Q4*Deadtime*Fsw))</f>
        <v>0</v>
      </c>
      <c r="AT69" s="345">
        <f>(Table25[[#This Row],[Dead Time Loss BoCtlr]]+Table25[[#This Row],[Transition Loss BoCtlr]]+Table25[[#This Row],[RDS(on) Loss BoCtlr]]*(1+RdsonTopTc*Ta-RdsonTopTc*25))/(1-Table25[[#This Row],[RDS(on) Loss BoCtlr]]*RdsonTopTc*ThetaJA_Q4)</f>
        <v>0.58978721199846762</v>
      </c>
      <c r="AU69" s="345">
        <f>Table25[[#This Row],[Irms Lf]]</f>
        <v>6.8469833645120346</v>
      </c>
      <c r="AV69" s="345">
        <f>Rdson3*Table25[[#This Row],[Irms BoSync]]^2</f>
        <v>0.16408413417866588</v>
      </c>
      <c r="AW69"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0.20109473684210524</v>
      </c>
      <c r="AX69" s="345">
        <f>(Table25[[#This Row],[Deadtime Loss BoSync]]+Table25[[#This Row],[RDS(on) Loss BoSync]]*(1+RdsonBotTc*Ta-RdsonBotTc*25))/(1-Table25[[#This Row],[RDS(on) Loss BoSync]]*RdsonBotTc*ThetaJA_Q3)</f>
        <v>0.38145234315979887</v>
      </c>
      <c r="AY69" s="345">
        <f>CHOOSE(Table25[[#This Row],[Mode Digit]], Rdson3*Table25[[#This Row],[Irms Lf]]^2, Rdson1*Table25[[#This Row],[Irms Lf]]^2, 0)</f>
        <v>0.16408413417866588</v>
      </c>
      <c r="AZ69" s="345">
        <f>CHOOSE(Table25[[#This Row],[Mode Digit]], 2*Deadtime*Fsw*IF(VfdSky_Q2&gt;0,VfdSky_Q2,0)*Table25[[#This Row],[Iout]], 2*Deadtime*Fsw*IF(VfdSky_Q3&gt;0,VfdSky_Q3,0)*Table25[[#This Row],[Iin]], 2*Deadtime*Fsw*IF(VfdSky_Q2&gt;0,VfdSky_Q2,0)*Table25[[#This Row],[Iout]]+2*Deadtime*Fsw*IF(VfdSky_Q3&gt;0,VfdSky_Q3,0)*Table25[[#This Row],[Iin]])</f>
        <v>0</v>
      </c>
      <c r="BA69"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69"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69" s="345">
        <f>CHOOSE(Table25[[#This Row],[Mode Digit]], Rs*Table25[[#This Row],[Irms BuSync]]^2, Rs*Table25[[#This Row],[Irms BoCtlr]]^2, Rs*(Table25[[#This Row],[Irms BuSync]]^2+Table25[[#This Row],[Irms BoCtlr]]^2))</f>
        <v>6.0945535552075894E-2</v>
      </c>
      <c r="BD69" s="345">
        <f t="shared" si="6"/>
        <v>0.64</v>
      </c>
      <c r="BE69" s="345">
        <f>IF(Vout&gt;8, Iq*Vout, Iq*Table25[[#This Row],[Vin]])</f>
        <v>4.8000000000000001E-2</v>
      </c>
      <c r="BF69" s="345">
        <f>CHOOSE(Table25[[#This Row],[Mode Digit]], (Qg_Q1+Qg_Q2)*Fsw, (Qg_Q3+Qg_Q4)*Fsw, (Qg_Q1+Qg_Q2+Qg_Q3+Qg_Q4)*Fsw)*IF(Vout&gt;8,  MIN( Table25[[#This Row],[Vin]], Vout), Table25[[#This Row],[Vin]])</f>
        <v>0.63998400000000011</v>
      </c>
      <c r="BG69" s="345">
        <f t="shared" si="4"/>
        <v>0.50594479787234037</v>
      </c>
      <c r="BH69" s="345">
        <f>Table25[[#This Row],[IQ Loss]]+Table25[[#This Row],[Switching Current Loss]]</f>
        <v>0.68798400000000015</v>
      </c>
      <c r="BI69"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4.1947640781103912</v>
      </c>
      <c r="BJ69" s="253">
        <f>Vout*Table25[[#This Row],[Iout]]</f>
        <v>76.8</v>
      </c>
      <c r="BK69" s="684">
        <f>Table25[[#This Row],[Pout]]/(Table25[[#This Row],[Pout]]+Table25[[#This Row],[Total Loss]])</f>
        <v>0.94820944136506136</v>
      </c>
      <c r="BL69" s="685">
        <f>IF(Table25[[#This Row],[Vin]]&gt;Vout,ThetaJA_Q1*(Table25[[#This Row],[Total Control Bu MOSFET Loss]]+Table25[[#This Row],[Reverse Recovery Loss MOSFET D BUCK]]),ThetaJA_Q4*(Table25[[#This Row],[Total Control Bo MOSFET Loss]]+Table25[[#This Row],[Reverse Recovery Loss MOSFET D BOOST]]))</f>
        <v>61.515688779900387</v>
      </c>
      <c r="BM69" s="685">
        <f>IF(Table25[[#This Row],[Vin]]&gt;Vout, Table25[[#This Row],[Total Sync Bu MOSFET Loss]]*ThetaJA_Q2, ThetaJA_Q3*Table25[[#This Row],[Total Sync Bo MOSFET Loss]])</f>
        <v>24.794402305386928</v>
      </c>
      <c r="BN69" s="640"/>
      <c r="BO69" s="292">
        <f>Table25[[#This Row],[EFF, h]]*100</f>
        <v>94.820944136506142</v>
      </c>
      <c r="BP69" s="345">
        <f>Table25[[#This Row],[Total Inductor Loss]]</f>
        <v>0.75897763554933495</v>
      </c>
      <c r="BQ69" s="345">
        <f>Table25[[#This Row],[Total Control Bu MOSFET Loss]]+Table25[[#This Row],[Total Sync Bu MOSFET Loss]]+Table25[[#This Row],[Total Control Bo MOSFET Loss]]+Table25[[#This Row],[Total Sync Bo MOSFET Loss]]+Table25[[#This Row],[Reverse Recovery Loss MOSFET D BUCK]]+Table25[[#This Row],[Reverse Recovery Loss MOSFET D BOOST]]</f>
        <v>2.0272479915489185</v>
      </c>
      <c r="BR69" s="345">
        <f xml:space="preserve"> Table25[[#This Row],[Total Control Bu MOSFET Loss]]+Table25[[#This Row],[Reverse Recovery Loss MOSFET D BUCK]]*0.66</f>
        <v>0.40675749819532614</v>
      </c>
      <c r="BS69" s="345">
        <f>Table25[[#This Row],[Total Sync Bu MOSFET Loss]]+Table25[[#This Row],[Reverse Recovery Loss MOSFET D BUCK]]*0.33</f>
        <v>0.28907685819532614</v>
      </c>
      <c r="BT69" s="345">
        <f xml:space="preserve"> Table25[[#This Row],[Total Control Bo MOSFET Loss]]+Table25[[#This Row],[Reverse Recovery Loss MOSFET D BOOST]]*0.66</f>
        <v>0.82514849199846763</v>
      </c>
      <c r="BU69" s="345">
        <f xml:space="preserve"> Table25[[#This Row],[Total Sync Bo MOSFET Loss]]+Table25[[#This Row],[Reverse Recovery Loss MOSFET D BOOST]]*0.33</f>
        <v>0.49913298315979887</v>
      </c>
      <c r="BV69" s="345">
        <f>Table25[[#This Row],[Isense Shunt Loss]]</f>
        <v>6.0945535552075894E-2</v>
      </c>
      <c r="CB69" s="686"/>
      <c r="CC69" s="686"/>
    </row>
    <row r="70" spans="1:81" x14ac:dyDescent="0.2">
      <c r="A70" s="713" t="s">
        <v>240</v>
      </c>
      <c r="B70" s="712">
        <f>Iripple_Vinnom</f>
        <v>4.2290777716166232</v>
      </c>
      <c r="C70" s="255" t="s">
        <v>2</v>
      </c>
      <c r="G70" s="253">
        <v>61</v>
      </c>
      <c r="H70" s="286">
        <f t="shared" si="5"/>
        <v>12</v>
      </c>
      <c r="I70" s="292" t="str">
        <f>IF(Mode = 2,IF(Table25[[#This Row],[Vin]]&gt;Vout, "BUCK","BOOST"),IF(Table25[[#This Row],[Vin]]&gt;VIN_BB_to_buck, "BUCK", IF(Table25[[#This Row],[Vin]]&lt;=VIN_boost_to_BB,"BOOST","BUCK-BST")))</f>
        <v>BOOST</v>
      </c>
      <c r="J70" s="253">
        <f>IF(Table25[[#This Row],[Mode]]="BOOST",2, IF(Table25[[#This Row],[Mode]]="BUCK", 1,3))</f>
        <v>2</v>
      </c>
      <c r="K70" s="345">
        <f t="shared" si="7"/>
        <v>4.88</v>
      </c>
      <c r="L70" s="292">
        <f>Vout*Table25[[#This Row],[Iout]]/(Table25[[#This Row],[Vin]]*Efficiency)</f>
        <v>6.8491228070175447</v>
      </c>
      <c r="M70" s="682">
        <f>CHOOSE(Table25[[#This Row],[Mode Digit]],(Vout+(Rdson2+Rs+Rdcr)*Table25[[#This Row],[Iout]])/(Table25[[#This Row],[Vin]]+(Rs+Rdson2-Rdson1)*Table25[[#This Row],[Iout]])/Fsw,(Vout+(Rdson3+Rdcr)*Table25[[#This Row],[Iin]]-Table25[[#This Row],[Vin]])/(Vout+(Rdson3-Rdson4-Rs)*Table25[[#This Row],[Iin]])/Fsw,t1_Ph_II)</f>
        <v>6.3570067183609448E-7</v>
      </c>
      <c r="N70" s="518">
        <f>CHOOSE(Table25[[#This Row],[Mode Digit]],1/Fsw-Table25[[#This Row],[t1_Ph_II]],1/Fsw-Table25[[#This Row],[t1_Ph_II]],(Vout/Fsw-Table25[[#This Row],[Vin]]*t1_Ph_II)/(Table25[[#This Row],[Vin]]+Vout))</f>
        <v>1.8768621422342574E-6</v>
      </c>
      <c r="O70" s="518">
        <f>1/Fsw-(Table25[[#This Row],[t1_Ph_II]]+Table25[[#This Row],[t2_Ph_I]])</f>
        <v>0</v>
      </c>
      <c r="P70"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4.7301205675638966</v>
      </c>
      <c r="Q70" s="292">
        <f>CHOOSE(Table25[[#This Row],[Mode Digit]],Table25[[#This Row],[I_0]]+1/Lf*(Table25[[#This Row],[Vin]]-Vout)*Table25[[#This Row],[t1_Ph_II]],Table25[[#This Row],[I_0]]+1/Lf*Table25[[#This Row],[Vin]]*Table25[[#This Row],[t1_Ph_II]],Table25[[#This Row],[I_0]]+(Table25[[#This Row],[Vin]]-Vout)/L*Table25[[#This Row],[t1_Ph_II]])</f>
        <v>8.9681250464711937</v>
      </c>
      <c r="R70" s="292">
        <f>CHOOSE(Table25[[#This Row],[Mode Digit]],0,0,Table25[[#This Row],[I_1]]+Table25[[#This Row],[Vin]]/L*Table25[[#This Row],[t2_Ph_I]])</f>
        <v>0</v>
      </c>
      <c r="S70" s="292">
        <f>Fsw*(Table25[[#This Row],[I_0]]*Table25[[#This Row],[t1_Ph_II]]+Table25[[#This Row],[I_1]]*Table25[[#This Row],[t2_Ph_I]]+Table25[[#This Row],[I_2]]*Table25[[#This Row],[t3_Ph_III]])</f>
        <v>7.895872333265868</v>
      </c>
      <c r="T70" s="345">
        <f>CHOOSE(Table25[[#This Row],[Mode Digit]],(Vout+(Rdson2+Rs+Rdcr)*Table25[[#This Row],[Iout]])/(Table25[[#This Row],[Vin]]+(Rs+Rdson2-Rdson1)*Table25[[#This Row],[Iout]]),1,Fsw*Table25[[#This Row],[t2_Ph_I]]+Table25[[#This Row],[t1_Ph_II]])</f>
        <v>1</v>
      </c>
      <c r="U70" s="345">
        <f>CHOOSE(Table25[[#This Row],[Mode Digit]],0,(Vout+(Rdson3+Rdcr)*Table25[[#This Row],[Iin]]-Table25[[#This Row],[Vin]])/(Vout+(Rdson3-Rdson4-Rs)*Table25[[#This Row],[Iin]]),Fsw*Table25[[#This Row],[t1_Ph_II]]+Table25[[#This Row],[t3_Ph_III]])</f>
        <v>0.25300886739076561</v>
      </c>
      <c r="V70" s="292">
        <f>MAX(Table25[[#This Row],[I_0]:[I_2]])-MIN(Table25[[#This Row],[I_0]:[I_1]])</f>
        <v>4.238004478907297</v>
      </c>
      <c r="W70"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6.957528779857431</v>
      </c>
      <c r="X70" s="345">
        <f>(Table25[[#This Row],[Irms Lf]]^2*Rdcr*(1+Ltc*Ta-Ltc*25))/(1-Table25[[#This Row],[Irms Lf]]^2*Rdcr*Ltc*ThetaCa)</f>
        <v>0.15684674478861985</v>
      </c>
      <c r="Y70" s="345">
        <f>ABS(7.759*10^-3*Fsw^0.9458*(0.00787*Table25[[#This Row],[Ripple Current pk-pk]])^2.304)</f>
        <v>0.60740846009364957</v>
      </c>
      <c r="Z70" s="345">
        <f>Table25[[#This Row],[DCR    Loss]]+Table25[[#This Row],[Core Loss]]</f>
        <v>0.76425520488226939</v>
      </c>
      <c r="AA70" s="292">
        <f>IF(Table25[[#This Row],[Vin]]&gt;Vout, Table25[[#This Row],[Ripple Current pk-pk]]/SQRT(12), SQRT(Table25[[#This Row],[Duty Cycle BOOST Leg]]/(1-Table25[[#This Row],[Duty Cycle BOOST Leg]]))*SQRT(Table25[[#This Row],[Iout]]^2+(Table25[[#This Row],[Ripple Current pk-pk]]^2)/12))</f>
        <v>2.9279648547223172</v>
      </c>
      <c r="AB70" s="345">
        <f>RCoutEsr*Table25[[#This Row],[Irms Cout]]^2</f>
        <v>1.7145956380978159E-2</v>
      </c>
      <c r="AC70" s="345">
        <f>Table25[[#This Row],[Cout ESR Loss]]</f>
        <v>1.7145956380978159E-2</v>
      </c>
      <c r="AD70" s="292">
        <f>IF(Table25[[#This Row],[Vin]]&gt;Vout, SQRT(Table25[[#This Row],[Duty Cycle BUCK Leg]]*(1-Table25[[#This Row],[Duty Cycle BUCK Leg]]))*SQRT(Table25[[#This Row],[Iout]]^2+(Table25[[#This Row],[Ripple Current pk-pk]]^2)/12), Table25[[#This Row],[Ripple Current pk-pk]]/SQRT(12))</f>
        <v>1.2234065133619838</v>
      </c>
      <c r="AE70" s="345">
        <f>RCinEsr*Table25[[#This Row],[Irms Cin]]^2</f>
        <v>2.9934469938730519E-3</v>
      </c>
      <c r="AF70" s="683">
        <f>Table25[[#This Row],[Cin ESR Loss]]</f>
        <v>2.9934469938730519E-3</v>
      </c>
      <c r="AG70" s="345">
        <f>Table25[[#This Row],[Irms Lf]]</f>
        <v>6.957528779857431</v>
      </c>
      <c r="AH70" s="345">
        <f>Rdson1*Table25[[#This Row],[Irms BuCtrl]]^2</f>
        <v>0.16942522352890552</v>
      </c>
      <c r="AI70" s="345">
        <f>CHOOSE(Table25[[#This Row],[Mode Digit]], (Table25[[#This Row],[Vin]]*Table25[[#This Row],[Iout]]/2)*(Fsw)*(Tr_buck+Tf_buck), 0, (Table25[[#This Row],[Vin]]*Table25[[#This Row],[Avg IL]]/2)*(Fsw/1)*(Tr_buck+Tf_buck))</f>
        <v>0</v>
      </c>
      <c r="AJ70" s="253">
        <f>IF(Table25[[#This Row],[Vin]]&gt;Vout, IF(Table25[[#This Row],[Iout]]&gt;Table25[[#This Row],[Ripple Current pk-pk]]/2,0,ABS(Table25[[#This Row],[Iout]]-Table25[[#This Row],[Ripple Current pk-pk]]/2)*Vsd_Q1*Deadtime*Fsw),0)</f>
        <v>0</v>
      </c>
      <c r="AK70" s="345">
        <f>(Table25[[#This Row],[Dead Time Loss BuCtrl]]+Table25[[#This Row],[Transition Loss BuCtrl]]+Table25[[#This Row],[RDS(on) Loss BuCtrl]]*(1+RdsonTopTc*Ta-RdsonTopTc*25))/(1-Table25[[#This Row],[RDS(on) Loss BuCtrl]]*RdsonTopTc*ThetaJA_Q1)</f>
        <v>0.17723241011079857</v>
      </c>
      <c r="AL70" s="345">
        <f>Table25[[#This Row],[Irms Lf]]</f>
        <v>6.957528779857431</v>
      </c>
      <c r="AM70" s="345">
        <f>Rdson2*Table25[[#This Row],[Irms BuSync]]^2</f>
        <v>0.16942522352890552</v>
      </c>
      <c r="AN70"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70" s="345">
        <f>(Table25[[#This Row],[Deadtime Loss BuSync]]+Table25[[#This Row],[RDS(on) Loss BuSync]]*(1+RdsonBotTc*Ta-RdsonBotTc*25))/(1-Table25[[#This Row],[RDS(on) Loss BuSync]]*RdsonBotTc*ThetaJA_Q2)</f>
        <v>0.17723241011079857</v>
      </c>
      <c r="AP70" s="345">
        <f>Table25[[#This Row],[Irms Lf]]</f>
        <v>6.957528779857431</v>
      </c>
      <c r="AQ70" s="345">
        <f>Rdson4*Table25[[#This Row],[Irms BoCtlr]]^2</f>
        <v>0.16942522352890552</v>
      </c>
      <c r="AR70" s="345">
        <f>CHOOSE(Table25[[#This Row],[Mode Digit]], 0, (Vout*Table25[[#This Row],[Iin]]/2)*(Fsw)*(Tr_boost+Tf_boost), (Vout*Iout/2)*(Fsw/1)*(Tr_boost+Tf_boost))</f>
        <v>0.4072173437314246</v>
      </c>
      <c r="AS70" s="345">
        <f>IF(Table25[[#This Row],[Vin]]&gt;Vout, 0, IF(Table25[[#This Row],[Iin]]&gt;Table25[[#This Row],[Ripple Current pk-pk]]/2,0,ABS(Table25[[#This Row],[Iin]]-Table25[[#This Row],[Ripple Current pk-pk]]/2)*Vsd_Q4*Deadtime*Fsw))</f>
        <v>0</v>
      </c>
      <c r="AT70" s="345">
        <f>(Table25[[#This Row],[Dead Time Loss BoCtlr]]+Table25[[#This Row],[Transition Loss BoCtlr]]+Table25[[#This Row],[RDS(on) Loss BoCtlr]]*(1+RdsonTopTc*Ta-RdsonTopTc*25))/(1-Table25[[#This Row],[RDS(on) Loss BoCtlr]]*RdsonTopTc*ThetaJA_Q4)</f>
        <v>0.60321450277201705</v>
      </c>
      <c r="AU70" s="345">
        <f>Table25[[#This Row],[Irms Lf]]</f>
        <v>6.957528779857431</v>
      </c>
      <c r="AV70" s="345">
        <f>Rdson3*Table25[[#This Row],[Irms BoSync]]^2</f>
        <v>0.16942522352890552</v>
      </c>
      <c r="AW70"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0.20444631578947367</v>
      </c>
      <c r="AX70" s="345">
        <f>(Table25[[#This Row],[Deadtime Loss BoSync]]+Table25[[#This Row],[RDS(on) Loss BoSync]]*(1+RdsonBotTc*Ta-RdsonBotTc*25))/(1-Table25[[#This Row],[RDS(on) Loss BoSync]]*RdsonBotTc*ThetaJA_Q3)</f>
        <v>0.39109969935453914</v>
      </c>
      <c r="AY70" s="345">
        <f>CHOOSE(Table25[[#This Row],[Mode Digit]], Rdson3*Table25[[#This Row],[Irms Lf]]^2, Rdson1*Table25[[#This Row],[Irms Lf]]^2, 0)</f>
        <v>0.16942522352890552</v>
      </c>
      <c r="AZ70" s="345">
        <f>CHOOSE(Table25[[#This Row],[Mode Digit]], 2*Deadtime*Fsw*IF(VfdSky_Q2&gt;0,VfdSky_Q2,0)*Table25[[#This Row],[Iout]], 2*Deadtime*Fsw*IF(VfdSky_Q3&gt;0,VfdSky_Q3,0)*Table25[[#This Row],[Iin]], 2*Deadtime*Fsw*IF(VfdSky_Q2&gt;0,VfdSky_Q2,0)*Table25[[#This Row],[Iout]]+2*Deadtime*Fsw*IF(VfdSky_Q3&gt;0,VfdSky_Q3,0)*Table25[[#This Row],[Iin]])</f>
        <v>0</v>
      </c>
      <c r="BA70"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70"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70" s="345">
        <f>CHOOSE(Table25[[#This Row],[Mode Digit]], Rs*Table25[[#This Row],[Irms BuSync]]^2, Rs*Table25[[#This Row],[Irms BoCtlr]]^2, Rs*(Table25[[#This Row],[Irms BuSync]]^2+Table25[[#This Row],[Irms BoCtlr]]^2))</f>
        <v>6.2929368739307753E-2</v>
      </c>
      <c r="BD70" s="345">
        <f t="shared" si="6"/>
        <v>0.64</v>
      </c>
      <c r="BE70" s="345">
        <f>IF(Vout&gt;8, Iq*Vout, Iq*Table25[[#This Row],[Vin]])</f>
        <v>4.8000000000000001E-2</v>
      </c>
      <c r="BF70" s="345">
        <f>CHOOSE(Table25[[#This Row],[Mode Digit]], (Qg_Q1+Qg_Q2)*Fsw, (Qg_Q3+Qg_Q4)*Fsw, (Qg_Q1+Qg_Q2+Qg_Q3+Qg_Q4)*Fsw)*IF(Vout&gt;8,  MIN( Table25[[#This Row],[Vin]], Vout), Table25[[#This Row],[Vin]])</f>
        <v>0.63998400000000011</v>
      </c>
      <c r="BG70" s="345">
        <f t="shared" si="4"/>
        <v>0.50594479787234037</v>
      </c>
      <c r="BH70" s="345">
        <f>Table25[[#This Row],[IQ Loss]]+Table25[[#This Row],[Switching Current Loss]]</f>
        <v>0.68798400000000015</v>
      </c>
      <c r="BI70"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4.2373029993445819</v>
      </c>
      <c r="BJ70" s="253">
        <f>Vout*Table25[[#This Row],[Iout]]</f>
        <v>78.08</v>
      </c>
      <c r="BK70" s="684">
        <f>Table25[[#This Row],[Pout]]/(Table25[[#This Row],[Pout]]+Table25[[#This Row],[Total Loss]])</f>
        <v>0.94852475913383216</v>
      </c>
      <c r="BL70" s="685">
        <f>IF(Table25[[#This Row],[Vin]]&gt;Vout,ThetaJA_Q1*(Table25[[#This Row],[Total Control Bu MOSFET Loss]]+Table25[[#This Row],[Reverse Recovery Loss MOSFET D BUCK]]),ThetaJA_Q4*(Table25[[#This Row],[Total Control Bo MOSFET Loss]]+Table25[[#This Row],[Reverse Recovery Loss MOSFET D BOOST]]))</f>
        <v>62.388462680181114</v>
      </c>
      <c r="BM70" s="685">
        <f>IF(Table25[[#This Row],[Vin]]&gt;Vout, Table25[[#This Row],[Total Sync Bu MOSFET Loss]]*ThetaJA_Q2, ThetaJA_Q3*Table25[[#This Row],[Total Sync Bo MOSFET Loss]])</f>
        <v>25.421480458045043</v>
      </c>
      <c r="BN70" s="640"/>
      <c r="BO70" s="292">
        <f>Table25[[#This Row],[EFF, h]]*100</f>
        <v>94.852475913383216</v>
      </c>
      <c r="BP70" s="345">
        <f>Table25[[#This Row],[Total Inductor Loss]]</f>
        <v>0.76425520488226939</v>
      </c>
      <c r="BQ70" s="345">
        <f>Table25[[#This Row],[Total Control Bu MOSFET Loss]]+Table25[[#This Row],[Total Sync Bu MOSFET Loss]]+Table25[[#This Row],[Total Control Bo MOSFET Loss]]+Table25[[#This Row],[Total Sync Bo MOSFET Loss]]+Table25[[#This Row],[Reverse Recovery Loss MOSFET D BUCK]]+Table25[[#This Row],[Reverse Recovery Loss MOSFET D BOOST]]</f>
        <v>2.0619950223481536</v>
      </c>
      <c r="BR70" s="345">
        <f xml:space="preserve"> Table25[[#This Row],[Total Control Bu MOSFET Loss]]+Table25[[#This Row],[Reverse Recovery Loss MOSFET D BUCK]]*0.66</f>
        <v>0.41259369011079861</v>
      </c>
      <c r="BS70" s="345">
        <f>Table25[[#This Row],[Total Sync Bu MOSFET Loss]]+Table25[[#This Row],[Reverse Recovery Loss MOSFET D BUCK]]*0.33</f>
        <v>0.2949130501107986</v>
      </c>
      <c r="BT70" s="345">
        <f xml:space="preserve"> Table25[[#This Row],[Total Control Bo MOSFET Loss]]+Table25[[#This Row],[Reverse Recovery Loss MOSFET D BOOST]]*0.66</f>
        <v>0.83857578277201705</v>
      </c>
      <c r="BU70" s="345">
        <f xml:space="preserve"> Table25[[#This Row],[Total Sync Bo MOSFET Loss]]+Table25[[#This Row],[Reverse Recovery Loss MOSFET D BOOST]]*0.33</f>
        <v>0.50878033935453915</v>
      </c>
      <c r="BV70" s="345">
        <f>Table25[[#This Row],[Isense Shunt Loss]]</f>
        <v>6.2929368739307753E-2</v>
      </c>
      <c r="CB70" s="686"/>
      <c r="CC70" s="686"/>
    </row>
    <row r="71" spans="1:81" ht="13.6" x14ac:dyDescent="0.25">
      <c r="A71" s="678" t="s">
        <v>63</v>
      </c>
      <c r="B71" s="679" t="s">
        <v>8</v>
      </c>
      <c r="C71" s="681" t="s">
        <v>80</v>
      </c>
      <c r="G71" s="253">
        <v>62</v>
      </c>
      <c r="H71" s="286">
        <f t="shared" si="5"/>
        <v>12</v>
      </c>
      <c r="I71" s="292" t="str">
        <f>IF(Mode = 2,IF(Table25[[#This Row],[Vin]]&gt;Vout, "BUCK","BOOST"),IF(Table25[[#This Row],[Vin]]&gt;VIN_BB_to_buck, "BUCK", IF(Table25[[#This Row],[Vin]]&lt;=VIN_boost_to_BB,"BOOST","BUCK-BST")))</f>
        <v>BOOST</v>
      </c>
      <c r="J71" s="253">
        <f>IF(Table25[[#This Row],[Mode]]="BOOST",2, IF(Table25[[#This Row],[Mode]]="BUCK", 1,3))</f>
        <v>2</v>
      </c>
      <c r="K71" s="345">
        <f t="shared" si="7"/>
        <v>4.96</v>
      </c>
      <c r="L71" s="292">
        <f>Vout*Table25[[#This Row],[Iout]]/(Table25[[#This Row],[Vin]]*Efficiency)</f>
        <v>6.961403508771931</v>
      </c>
      <c r="M71" s="682">
        <f>CHOOSE(Table25[[#This Row],[Mode Digit]],(Vout+(Rdson2+Rs+Rdcr)*Table25[[#This Row],[Iout]])/(Table25[[#This Row],[Vin]]+(Rs+Rdson2-Rdson1)*Table25[[#This Row],[Iout]])/Fsw,(Vout+(Rdson3+Rdcr)*Table25[[#This Row],[Iin]]-Table25[[#This Row],[Vin]])/(Vout+(Rdson3-Rdson4-Rs)*Table25[[#This Row],[Iin]])/Fsw,t1_Ph_II)</f>
        <v>6.3582467588138347E-7</v>
      </c>
      <c r="N71" s="518">
        <f>CHOOSE(Table25[[#This Row],[Mode Digit]],1/Fsw-Table25[[#This Row],[t1_Ph_II]],1/Fsw-Table25[[#This Row],[t1_Ph_II]],(Vout/Fsw-Table25[[#This Row],[Vin]]*t1_Ph_II)/(Table25[[#This Row],[Vin]]+Vout))</f>
        <v>1.8767381381889684E-6</v>
      </c>
      <c r="O71" s="518">
        <f>1/Fsw-(Table25[[#This Row],[t1_Ph_II]]+Table25[[#This Row],[t2_Ph_I]])</f>
        <v>0</v>
      </c>
      <c r="P71"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4.8419879225006532</v>
      </c>
      <c r="Q71" s="292">
        <f>CHOOSE(Table25[[#This Row],[Mode Digit]],Table25[[#This Row],[I_0]]+1/Lf*(Table25[[#This Row],[Vin]]-Vout)*Table25[[#This Row],[t1_Ph_II]],Table25[[#This Row],[I_0]]+1/Lf*Table25[[#This Row],[Vin]]*Table25[[#This Row],[t1_Ph_II]],Table25[[#This Row],[I_0]]+(Table25[[#This Row],[Vin]]-Vout)/L*Table25[[#This Row],[t1_Ph_II]])</f>
        <v>9.0808190950432106</v>
      </c>
      <c r="R71" s="292">
        <f>CHOOSE(Table25[[#This Row],[Mode Digit]],0,0,Table25[[#This Row],[I_1]]+Table25[[#This Row],[Vin]]/L*Table25[[#This Row],[t2_Ph_I]])</f>
        <v>0</v>
      </c>
      <c r="S71" s="292">
        <f>Fsw*(Table25[[#This Row],[I_0]]*Table25[[#This Row],[t1_Ph_II]]+Table25[[#This Row],[I_1]]*Table25[[#This Row],[t2_Ph_I]]+Table25[[#This Row],[I_2]]*Table25[[#This Row],[t3_Ph_III]])</f>
        <v>8.0081480193968968</v>
      </c>
      <c r="T71" s="345">
        <f>CHOOSE(Table25[[#This Row],[Mode Digit]],(Vout+(Rdson2+Rs+Rdcr)*Table25[[#This Row],[Iout]])/(Table25[[#This Row],[Vin]]+(Rs+Rdson2-Rdson1)*Table25[[#This Row],[Iout]]),1,Fsw*Table25[[#This Row],[t2_Ph_I]]+Table25[[#This Row],[t1_Ph_II]])</f>
        <v>1</v>
      </c>
      <c r="U71" s="345">
        <f>CHOOSE(Table25[[#This Row],[Mode Digit]],0,(Vout+(Rdson3+Rdcr)*Table25[[#This Row],[Iin]]-Table25[[#This Row],[Vin]])/(Vout+(Rdson3-Rdson4-Rs)*Table25[[#This Row],[Iin]]),Fsw*Table25[[#This Row],[t1_Ph_II]]+Table25[[#This Row],[t3_Ph_III]])</f>
        <v>0.25305822100079062</v>
      </c>
      <c r="V71" s="292">
        <f>MAX(Table25[[#This Row],[I_0]:[I_2]])-MIN(Table25[[#This Row],[I_0]:[I_1]])</f>
        <v>4.2388311725425574</v>
      </c>
      <c r="W71"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7.0681289099533764</v>
      </c>
      <c r="X71" s="345">
        <f>(Table25[[#This Row],[Irms Lf]]^2*Rdcr*(1+Ltc*Ta-Ltc*25))/(1-Table25[[#This Row],[Irms Lf]]^2*Rdcr*Ltc*ThetaCa)</f>
        <v>0.16193811331389713</v>
      </c>
      <c r="Y71" s="345">
        <f>ABS(7.759*10^-3*Fsw^0.9458*(0.00787*Table25[[#This Row],[Ripple Current pk-pk]])^2.304)</f>
        <v>0.60768148466040095</v>
      </c>
      <c r="Z71" s="345">
        <f>Table25[[#This Row],[DCR    Loss]]+Table25[[#This Row],[Core Loss]]</f>
        <v>0.76961959797429813</v>
      </c>
      <c r="AA71" s="292">
        <f>IF(Table25[[#This Row],[Vin]]&gt;Vout, Table25[[#This Row],[Ripple Current pk-pk]]/SQRT(12), SQRT(Table25[[#This Row],[Duty Cycle BOOST Leg]]/(1-Table25[[#This Row],[Duty Cycle BOOST Leg]]))*SQRT(Table25[[#This Row],[Iout]]^2+(Table25[[#This Row],[Ripple Current pk-pk]]^2)/12))</f>
        <v>2.9735689509251371</v>
      </c>
      <c r="AB71" s="345">
        <f>RCoutEsr*Table25[[#This Row],[Irms Cout]]^2</f>
        <v>1.768422461181204E-2</v>
      </c>
      <c r="AC71" s="345">
        <f>Table25[[#This Row],[Cout ESR Loss]]</f>
        <v>1.768422461181204E-2</v>
      </c>
      <c r="AD71" s="292">
        <f>IF(Table25[[#This Row],[Vin]]&gt;Vout, SQRT(Table25[[#This Row],[Duty Cycle BUCK Leg]]*(1-Table25[[#This Row],[Duty Cycle BUCK Leg]]))*SQRT(Table25[[#This Row],[Iout]]^2+(Table25[[#This Row],[Ripple Current pk-pk]]^2)/12), Table25[[#This Row],[Ripple Current pk-pk]]/SQRT(12))</f>
        <v>1.2236451592584112</v>
      </c>
      <c r="AE71" s="345">
        <f>RCinEsr*Table25[[#This Row],[Irms Cin]]^2</f>
        <v>2.9946149515530851E-3</v>
      </c>
      <c r="AF71" s="683">
        <f>Table25[[#This Row],[Cin ESR Loss]]</f>
        <v>2.9946149515530851E-3</v>
      </c>
      <c r="AG71" s="345">
        <f>Table25[[#This Row],[Irms Lf]]</f>
        <v>7.0681289099533764</v>
      </c>
      <c r="AH71" s="345">
        <f>Rdson1*Table25[[#This Row],[Irms BuCtrl]]^2</f>
        <v>0.17485456200701549</v>
      </c>
      <c r="AI71" s="345">
        <f>CHOOSE(Table25[[#This Row],[Mode Digit]], (Table25[[#This Row],[Vin]]*Table25[[#This Row],[Iout]]/2)*(Fsw)*(Tr_buck+Tf_buck), 0, (Table25[[#This Row],[Vin]]*Table25[[#This Row],[Avg IL]]/2)*(Fsw/1)*(Tr_buck+Tf_buck))</f>
        <v>0</v>
      </c>
      <c r="AJ71" s="253">
        <f>IF(Table25[[#This Row],[Vin]]&gt;Vout, IF(Table25[[#This Row],[Iout]]&gt;Table25[[#This Row],[Ripple Current pk-pk]]/2,0,ABS(Table25[[#This Row],[Iout]]-Table25[[#This Row],[Ripple Current pk-pk]]/2)*Vsd_Q1*Deadtime*Fsw),0)</f>
        <v>0</v>
      </c>
      <c r="AK71" s="345">
        <f>(Table25[[#This Row],[Dead Time Loss BuCtrl]]+Table25[[#This Row],[Transition Loss BuCtrl]]+Table25[[#This Row],[RDS(on) Loss BuCtrl]]*(1+RdsonTopTc*Ta-RdsonTopTc*25))/(1-Table25[[#This Row],[RDS(on) Loss BuCtrl]]*RdsonTopTc*ThetaJA_Q1)</f>
        <v>0.18318243600701556</v>
      </c>
      <c r="AL71" s="345">
        <f>Table25[[#This Row],[Irms Lf]]</f>
        <v>7.0681289099533764</v>
      </c>
      <c r="AM71" s="345">
        <f>Rdson2*Table25[[#This Row],[Irms BuSync]]^2</f>
        <v>0.17485456200701549</v>
      </c>
      <c r="AN71"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71" s="345">
        <f>(Table25[[#This Row],[Deadtime Loss BuSync]]+Table25[[#This Row],[RDS(on) Loss BuSync]]*(1+RdsonBotTc*Ta-RdsonBotTc*25))/(1-Table25[[#This Row],[RDS(on) Loss BuSync]]*RdsonBotTc*ThetaJA_Q2)</f>
        <v>0.18318243600701556</v>
      </c>
      <c r="AP71" s="345">
        <f>Table25[[#This Row],[Irms Lf]]</f>
        <v>7.0681289099533764</v>
      </c>
      <c r="AQ71" s="345">
        <f>Rdson4*Table25[[#This Row],[Irms BoCtlr]]^2</f>
        <v>0.17485456200701549</v>
      </c>
      <c r="AR71" s="345">
        <f>CHOOSE(Table25[[#This Row],[Mode Digit]], 0, (Vout*Table25[[#This Row],[Iin]]/2)*(Fsw)*(Tr_boost+Tf_boost), (Vout*Iout/2)*(Fsw/1)*(Tr_boost+Tf_boost))</f>
        <v>0.41389303789095611</v>
      </c>
      <c r="AS71" s="345">
        <f>IF(Table25[[#This Row],[Vin]]&gt;Vout, 0, IF(Table25[[#This Row],[Iin]]&gt;Table25[[#This Row],[Ripple Current pk-pk]]/2,0,ABS(Table25[[#This Row],[Iin]]-Table25[[#This Row],[Ripple Current pk-pk]]/2)*Vsd_Q4*Deadtime*Fsw))</f>
        <v>0</v>
      </c>
      <c r="AT71" s="345">
        <f>(Table25[[#This Row],[Dead Time Loss BoCtlr]]+Table25[[#This Row],[Transition Loss BoCtlr]]+Table25[[#This Row],[RDS(on) Loss BoCtlr]]*(1+RdsonTopTc*Ta-RdsonTopTc*25))/(1-Table25[[#This Row],[RDS(on) Loss BoCtlr]]*RdsonTopTc*ThetaJA_Q4)</f>
        <v>0.61678813697904622</v>
      </c>
      <c r="AU71" s="345">
        <f>Table25[[#This Row],[Irms Lf]]</f>
        <v>7.0681289099533764</v>
      </c>
      <c r="AV71" s="345">
        <f>Rdson3*Table25[[#This Row],[Irms BoSync]]^2</f>
        <v>0.17485456200701549</v>
      </c>
      <c r="AW71"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0.2077978947368421</v>
      </c>
      <c r="AX71" s="345">
        <f>(Table25[[#This Row],[Deadtime Loss BoSync]]+Table25[[#This Row],[RDS(on) Loss BoSync]]*(1+RdsonBotTc*Ta-RdsonBotTc*25))/(1-Table25[[#This Row],[RDS(on) Loss BoSync]]*RdsonBotTc*ThetaJA_Q3)</f>
        <v>0.40087721112816399</v>
      </c>
      <c r="AY71" s="345">
        <f>CHOOSE(Table25[[#This Row],[Mode Digit]], Rdson3*Table25[[#This Row],[Irms Lf]]^2, Rdson1*Table25[[#This Row],[Irms Lf]]^2, 0)</f>
        <v>0.17485456200701549</v>
      </c>
      <c r="AZ71" s="345">
        <f>CHOOSE(Table25[[#This Row],[Mode Digit]], 2*Deadtime*Fsw*IF(VfdSky_Q2&gt;0,VfdSky_Q2,0)*Table25[[#This Row],[Iout]], 2*Deadtime*Fsw*IF(VfdSky_Q3&gt;0,VfdSky_Q3,0)*Table25[[#This Row],[Iin]], 2*Deadtime*Fsw*IF(VfdSky_Q2&gt;0,VfdSky_Q2,0)*Table25[[#This Row],[Iout]]+2*Deadtime*Fsw*IF(VfdSky_Q3&gt;0,VfdSky_Q3,0)*Table25[[#This Row],[Iin]])</f>
        <v>0</v>
      </c>
      <c r="BA71"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71"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71" s="345">
        <f>CHOOSE(Table25[[#This Row],[Mode Digit]], Rs*Table25[[#This Row],[Irms BuSync]]^2, Rs*Table25[[#This Row],[Irms BoCtlr]]^2, Rs*(Table25[[#This Row],[Irms BuSync]]^2+Table25[[#This Row],[Irms BoCtlr]]^2))</f>
        <v>6.4945980174034315E-2</v>
      </c>
      <c r="BD71" s="345">
        <f t="shared" si="6"/>
        <v>0.64</v>
      </c>
      <c r="BE71" s="345">
        <f>IF(Vout&gt;8, Iq*Vout, Iq*Table25[[#This Row],[Vin]])</f>
        <v>4.8000000000000001E-2</v>
      </c>
      <c r="BF71" s="345">
        <f>CHOOSE(Table25[[#This Row],[Mode Digit]], (Qg_Q1+Qg_Q2)*Fsw, (Qg_Q3+Qg_Q4)*Fsw, (Qg_Q1+Qg_Q2+Qg_Q3+Qg_Q4)*Fsw)*IF(Vout&gt;8,  MIN( Table25[[#This Row],[Vin]], Vout), Table25[[#This Row],[Vin]])</f>
        <v>0.63998400000000011</v>
      </c>
      <c r="BG71" s="345">
        <f t="shared" si="4"/>
        <v>0.50594479787234037</v>
      </c>
      <c r="BH71" s="345">
        <f>Table25[[#This Row],[IQ Loss]]+Table25[[#This Row],[Switching Current Loss]]</f>
        <v>0.68798400000000015</v>
      </c>
      <c r="BI71"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4.2804746378329392</v>
      </c>
      <c r="BJ71" s="253">
        <f>Vout*Table25[[#This Row],[Iout]]</f>
        <v>79.36</v>
      </c>
      <c r="BK71" s="684">
        <f>Table25[[#This Row],[Pout]]/(Table25[[#This Row],[Pout]]+Table25[[#This Row],[Total Loss]])</f>
        <v>0.9488229274598502</v>
      </c>
      <c r="BL71" s="685">
        <f>IF(Table25[[#This Row],[Vin]]&gt;Vout,ThetaJA_Q1*(Table25[[#This Row],[Total Control Bu MOSFET Loss]]+Table25[[#This Row],[Reverse Recovery Loss MOSFET D BUCK]]),ThetaJA_Q4*(Table25[[#This Row],[Total Control Bo MOSFET Loss]]+Table25[[#This Row],[Reverse Recovery Loss MOSFET D BOOST]]))</f>
        <v>63.270748903638008</v>
      </c>
      <c r="BM71" s="685">
        <f>IF(Table25[[#This Row],[Vin]]&gt;Vout, Table25[[#This Row],[Total Sync Bu MOSFET Loss]]*ThetaJA_Q2, ThetaJA_Q3*Table25[[#This Row],[Total Sync Bo MOSFET Loss]])</f>
        <v>26.05701872333066</v>
      </c>
      <c r="BN71" s="640"/>
      <c r="BO71" s="292">
        <f>Table25[[#This Row],[EFF, h]]*100</f>
        <v>94.882292745985026</v>
      </c>
      <c r="BP71" s="345">
        <f>Table25[[#This Row],[Total Inductor Loss]]</f>
        <v>0.76961959797429813</v>
      </c>
      <c r="BQ71" s="345">
        <f>Table25[[#This Row],[Total Control Bu MOSFET Loss]]+Table25[[#This Row],[Total Sync Bu MOSFET Loss]]+Table25[[#This Row],[Total Control Bo MOSFET Loss]]+Table25[[#This Row],[Total Sync Bo MOSFET Loss]]+Table25[[#This Row],[Reverse Recovery Loss MOSFET D BUCK]]+Table25[[#This Row],[Reverse Recovery Loss MOSFET D BOOST]]</f>
        <v>2.0972462201212414</v>
      </c>
      <c r="BR71" s="345">
        <f xml:space="preserve"> Table25[[#This Row],[Total Control Bu MOSFET Loss]]+Table25[[#This Row],[Reverse Recovery Loss MOSFET D BUCK]]*0.66</f>
        <v>0.41854371600701556</v>
      </c>
      <c r="BS71" s="345">
        <f>Table25[[#This Row],[Total Sync Bu MOSFET Loss]]+Table25[[#This Row],[Reverse Recovery Loss MOSFET D BUCK]]*0.33</f>
        <v>0.30086307600701556</v>
      </c>
      <c r="BT71" s="345">
        <f xml:space="preserve"> Table25[[#This Row],[Total Control Bo MOSFET Loss]]+Table25[[#This Row],[Reverse Recovery Loss MOSFET D BOOST]]*0.66</f>
        <v>0.85214941697904623</v>
      </c>
      <c r="BU71" s="345">
        <f xml:space="preserve"> Table25[[#This Row],[Total Sync Bo MOSFET Loss]]+Table25[[#This Row],[Reverse Recovery Loss MOSFET D BOOST]]*0.33</f>
        <v>0.51855785112816399</v>
      </c>
      <c r="BV71" s="345">
        <f>Table25[[#This Row],[Isense Shunt Loss]]</f>
        <v>6.4945980174034315E-2</v>
      </c>
      <c r="CB71" s="686"/>
      <c r="CC71" s="686"/>
    </row>
    <row r="72" spans="1:81" x14ac:dyDescent="0.2">
      <c r="A72" s="711" t="s">
        <v>91</v>
      </c>
      <c r="B72" s="714">
        <f>(Qgd_Q1+Qgs_Q1/2)*(RdsonDRT+Rgate1)/(Vdd-Vsp_Q1)*1000000000</f>
        <v>6.2488770259638073</v>
      </c>
      <c r="C72" s="255" t="s">
        <v>79</v>
      </c>
      <c r="D72" s="253" t="s">
        <v>644</v>
      </c>
      <c r="G72" s="253">
        <v>63</v>
      </c>
      <c r="H72" s="286">
        <f t="shared" si="5"/>
        <v>12</v>
      </c>
      <c r="I72" s="292" t="str">
        <f>IF(Mode = 2,IF(Table25[[#This Row],[Vin]]&gt;Vout, "BUCK","BOOST"),IF(Table25[[#This Row],[Vin]]&gt;VIN_BB_to_buck, "BUCK", IF(Table25[[#This Row],[Vin]]&lt;=VIN_boost_to_BB,"BOOST","BUCK-BST")))</f>
        <v>BOOST</v>
      </c>
      <c r="J72" s="253">
        <f>IF(Table25[[#This Row],[Mode]]="BOOST",2, IF(Table25[[#This Row],[Mode]]="BUCK", 1,3))</f>
        <v>2</v>
      </c>
      <c r="K72" s="345">
        <f t="shared" si="7"/>
        <v>5.04</v>
      </c>
      <c r="L72" s="292">
        <f>Vout*Table25[[#This Row],[Iout]]/(Table25[[#This Row],[Vin]]*Efficiency)</f>
        <v>7.0736842105263165</v>
      </c>
      <c r="M72" s="682">
        <f>CHOOSE(Table25[[#This Row],[Mode Digit]],(Vout+(Rdson2+Rs+Rdcr)*Table25[[#This Row],[Iout]])/(Table25[[#This Row],[Vin]]+(Rs+Rdson2-Rdson1)*Table25[[#This Row],[Iout]])/Fsw,(Vout+(Rdson3+Rdcr)*Table25[[#This Row],[Iin]]-Table25[[#This Row],[Vin]])/(Vout+(Rdson3-Rdson4-Rs)*Table25[[#This Row],[Iin]])/Fsw,t1_Ph_II)</f>
        <v>6.3594868219050365E-7</v>
      </c>
      <c r="N72" s="518">
        <f>CHOOSE(Table25[[#This Row],[Mode Digit]],1/Fsw-Table25[[#This Row],[t1_Ph_II]],1/Fsw-Table25[[#This Row],[t1_Ph_II]],(Vout/Fsw-Table25[[#This Row],[Vin]]*t1_Ph_II)/(Table25[[#This Row],[Vin]]+Vout))</f>
        <v>1.8766141318798484E-6</v>
      </c>
      <c r="O72" s="518">
        <f>1/Fsw-(Table25[[#This Row],[t1_Ph_II]]+Table25[[#This Row],[t2_Ph_I]])</f>
        <v>0</v>
      </c>
      <c r="P72"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4.9538552698913048</v>
      </c>
      <c r="Q72" s="292">
        <f>CHOOSE(Table25[[#This Row],[Mode Digit]],Table25[[#This Row],[I_0]]+1/Lf*(Table25[[#This Row],[Vin]]-Vout)*Table25[[#This Row],[t1_Ph_II]],Table25[[#This Row],[I_0]]+1/Lf*Table25[[#This Row],[Vin]]*Table25[[#This Row],[t1_Ph_II]],Table25[[#This Row],[I_0]]+(Table25[[#This Row],[Vin]]-Vout)/L*Table25[[#This Row],[t1_Ph_II]])</f>
        <v>9.1935131511613299</v>
      </c>
      <c r="R72" s="292">
        <f>CHOOSE(Table25[[#This Row],[Mode Digit]],0,0,Table25[[#This Row],[I_1]]+Table25[[#This Row],[Vin]]/L*Table25[[#This Row],[t2_Ph_I]])</f>
        <v>0</v>
      </c>
      <c r="S72" s="292">
        <f>Fsw*(Table25[[#This Row],[I_0]]*Table25[[#This Row],[t1_Ph_II]]+Table25[[#This Row],[I_1]]*Table25[[#This Row],[t2_Ph_I]]+Table25[[#This Row],[I_2]]*Table25[[#This Row],[t3_Ph_III]])</f>
        <v>8.1204236238334921</v>
      </c>
      <c r="T72" s="345">
        <f>CHOOSE(Table25[[#This Row],[Mode Digit]],(Vout+(Rdson2+Rs+Rdcr)*Table25[[#This Row],[Iout]])/(Table25[[#This Row],[Vin]]+(Rs+Rdson2-Rdson1)*Table25[[#This Row],[Iout]]),1,Fsw*Table25[[#This Row],[t2_Ph_I]]+Table25[[#This Row],[t1_Ph_II]])</f>
        <v>1</v>
      </c>
      <c r="U72" s="345">
        <f>CHOOSE(Table25[[#This Row],[Mode Digit]],0,(Vout+(Rdson3+Rdcr)*Table25[[#This Row],[Iin]]-Table25[[#This Row],[Vin]])/(Vout+(Rdson3-Rdson4-Rs)*Table25[[#This Row],[Iin]]),Fsw*Table25[[#This Row],[t1_Ph_II]]+Table25[[#This Row],[t3_Ph_III]])</f>
        <v>0.25310757551182045</v>
      </c>
      <c r="V72" s="292">
        <f>MAX(Table25[[#This Row],[I_0]:[I_2]])-MIN(Table25[[#This Row],[I_0]:[I_1]])</f>
        <v>4.2396578812700252</v>
      </c>
      <c r="W72"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7.1787812259069375</v>
      </c>
      <c r="X72" s="345">
        <f>(Table25[[#This Row],[Irms Lf]]^2*Rdcr*(1+Ltc*Ta-Ltc*25))/(1-Table25[[#This Row],[Irms Lf]]^2*Rdcr*Ltc*ThetaCa)</f>
        <v>0.16711643581634517</v>
      </c>
      <c r="Y72" s="345">
        <f>ABS(7.759*10^-3*Fsw^0.9458*(0.00787*Table25[[#This Row],[Ripple Current pk-pk]])^2.304)</f>
        <v>0.60795458365714561</v>
      </c>
      <c r="Z72" s="345">
        <f>Table25[[#This Row],[DCR    Loss]]+Table25[[#This Row],[Core Loss]]</f>
        <v>0.77507101947349077</v>
      </c>
      <c r="AA72" s="292">
        <f>IF(Table25[[#This Row],[Vin]]&gt;Vout, Table25[[#This Row],[Ripple Current pk-pk]]/SQRT(12), SQRT(Table25[[#This Row],[Duty Cycle BOOST Leg]]/(1-Table25[[#This Row],[Duty Cycle BOOST Leg]]))*SQRT(Table25[[#This Row],[Iout]]^2+(Table25[[#This Row],[Ripple Current pk-pk]]^2)/12))</f>
        <v>3.0192257056743323</v>
      </c>
      <c r="AB72" s="345">
        <f>RCoutEsr*Table25[[#This Row],[Irms Cout]]^2</f>
        <v>1.823144772360934E-2</v>
      </c>
      <c r="AC72" s="345">
        <f>Table25[[#This Row],[Cout ESR Loss]]</f>
        <v>1.823144772360934E-2</v>
      </c>
      <c r="AD72" s="292">
        <f>IF(Table25[[#This Row],[Vin]]&gt;Vout, SQRT(Table25[[#This Row],[Duty Cycle BUCK Leg]]*(1-Table25[[#This Row],[Duty Cycle BUCK Leg]]))*SQRT(Table25[[#This Row],[Iout]]^2+(Table25[[#This Row],[Ripple Current pk-pk]]^2)/12), Table25[[#This Row],[Ripple Current pk-pk]]/SQRT(12))</f>
        <v>1.2238838095115838</v>
      </c>
      <c r="AE72" s="345">
        <f>RCinEsr*Table25[[#This Row],[Irms Cin]]^2</f>
        <v>2.9957831583691738E-3</v>
      </c>
      <c r="AF72" s="683">
        <f>Table25[[#This Row],[Cin ESR Loss]]</f>
        <v>2.9957831583691738E-3</v>
      </c>
      <c r="AG72" s="345">
        <f>Table25[[#This Row],[Irms Lf]]</f>
        <v>7.1787812259069375</v>
      </c>
      <c r="AH72" s="345">
        <f>Rdson1*Table25[[#This Row],[Irms BuCtrl]]^2</f>
        <v>0.18037214961301867</v>
      </c>
      <c r="AI72" s="345">
        <f>CHOOSE(Table25[[#This Row],[Mode Digit]], (Table25[[#This Row],[Vin]]*Table25[[#This Row],[Iout]]/2)*(Fsw)*(Tr_buck+Tf_buck), 0, (Table25[[#This Row],[Vin]]*Table25[[#This Row],[Avg IL]]/2)*(Fsw/1)*(Tr_buck+Tf_buck))</f>
        <v>0</v>
      </c>
      <c r="AJ72" s="253">
        <f>IF(Table25[[#This Row],[Vin]]&gt;Vout, IF(Table25[[#This Row],[Iout]]&gt;Table25[[#This Row],[Ripple Current pk-pk]]/2,0,ABS(Table25[[#This Row],[Iout]]-Table25[[#This Row],[Ripple Current pk-pk]]/2)*Vsd_Q1*Deadtime*Fsw),0)</f>
        <v>0</v>
      </c>
      <c r="AK72" s="345">
        <f>(Table25[[#This Row],[Dead Time Loss BuCtrl]]+Table25[[#This Row],[Transition Loss BuCtrl]]+Table25[[#This Row],[RDS(on) Loss BuCtrl]]*(1+RdsonTopTc*Ta-RdsonTopTc*25))/(1-Table25[[#This Row],[RDS(on) Loss BuCtrl]]*RdsonTopTc*ThetaJA_Q1)</f>
        <v>0.18924723139618149</v>
      </c>
      <c r="AL72" s="345">
        <f>Table25[[#This Row],[Irms Lf]]</f>
        <v>7.1787812259069375</v>
      </c>
      <c r="AM72" s="345">
        <f>Rdson2*Table25[[#This Row],[Irms BuSync]]^2</f>
        <v>0.18037214961301867</v>
      </c>
      <c r="AN72"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72" s="345">
        <f>(Table25[[#This Row],[Deadtime Loss BuSync]]+Table25[[#This Row],[RDS(on) Loss BuSync]]*(1+RdsonBotTc*Ta-RdsonBotTc*25))/(1-Table25[[#This Row],[RDS(on) Loss BuSync]]*RdsonBotTc*ThetaJA_Q2)</f>
        <v>0.18924723139618149</v>
      </c>
      <c r="AP72" s="345">
        <f>Table25[[#This Row],[Irms Lf]]</f>
        <v>7.1787812259069375</v>
      </c>
      <c r="AQ72" s="345">
        <f>Rdson4*Table25[[#This Row],[Irms BoCtlr]]^2</f>
        <v>0.18037214961301867</v>
      </c>
      <c r="AR72" s="345">
        <f>CHOOSE(Table25[[#This Row],[Mode Digit]], 0, (Vout*Table25[[#This Row],[Iin]]/2)*(Fsw)*(Tr_boost+Tf_boost), (Vout*Iout/2)*(Fsw/1)*(Tr_boost+Tf_boost))</f>
        <v>0.42056873205048767</v>
      </c>
      <c r="AS72" s="345">
        <f>IF(Table25[[#This Row],[Vin]]&gt;Vout, 0, IF(Table25[[#This Row],[Iin]]&gt;Table25[[#This Row],[Ripple Current pk-pk]]/2,0,ABS(Table25[[#This Row],[Iin]]-Table25[[#This Row],[Ripple Current pk-pk]]/2)*Vsd_Q4*Deadtime*Fsw))</f>
        <v>0</v>
      </c>
      <c r="AT72" s="345">
        <f>(Table25[[#This Row],[Dead Time Loss BoCtlr]]+Table25[[#This Row],[Transition Loss BoCtlr]]+Table25[[#This Row],[RDS(on) Loss BoCtlr]]*(1+RdsonTopTc*Ta-RdsonTopTc*25))/(1-Table25[[#This Row],[RDS(on) Loss BoCtlr]]*RdsonTopTc*ThetaJA_Q4)</f>
        <v>0.630509745166282</v>
      </c>
      <c r="AU72" s="345">
        <f>Table25[[#This Row],[Irms Lf]]</f>
        <v>7.1787812259069375</v>
      </c>
      <c r="AV72" s="345">
        <f>Rdson3*Table25[[#This Row],[Irms BoSync]]^2</f>
        <v>0.18037214961301867</v>
      </c>
      <c r="AW72"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0.2111494736842105</v>
      </c>
      <c r="AX72" s="345">
        <f>(Table25[[#This Row],[Deadtime Loss BoSync]]+Table25[[#This Row],[RDS(on) Loss BoSync]]*(1+RdsonBotTc*Ta-RdsonBotTc*25))/(1-Table25[[#This Row],[RDS(on) Loss BoSync]]*RdsonBotTc*ThetaJA_Q3)</f>
        <v>0.4107861629398214</v>
      </c>
      <c r="AY72" s="345">
        <f>CHOOSE(Table25[[#This Row],[Mode Digit]], Rdson3*Table25[[#This Row],[Irms Lf]]^2, Rdson1*Table25[[#This Row],[Irms Lf]]^2, 0)</f>
        <v>0.18037214961301867</v>
      </c>
      <c r="AZ72" s="345">
        <f>CHOOSE(Table25[[#This Row],[Mode Digit]], 2*Deadtime*Fsw*IF(VfdSky_Q2&gt;0,VfdSky_Q2,0)*Table25[[#This Row],[Iout]], 2*Deadtime*Fsw*IF(VfdSky_Q3&gt;0,VfdSky_Q3,0)*Table25[[#This Row],[Iin]], 2*Deadtime*Fsw*IF(VfdSky_Q2&gt;0,VfdSky_Q2,0)*Table25[[#This Row],[Iout]]+2*Deadtime*Fsw*IF(VfdSky_Q3&gt;0,VfdSky_Q3,0)*Table25[[#This Row],[Iin]])</f>
        <v>0</v>
      </c>
      <c r="BA72"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72"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72" s="345">
        <f>CHOOSE(Table25[[#This Row],[Mode Digit]], Rs*Table25[[#This Row],[Irms BuSync]]^2, Rs*Table25[[#This Row],[Irms BoCtlr]]^2, Rs*(Table25[[#This Row],[Irms BuSync]]^2+Table25[[#This Row],[Irms BoCtlr]]^2))</f>
        <v>6.6995369856264073E-2</v>
      </c>
      <c r="BD72" s="345">
        <f t="shared" si="6"/>
        <v>0.64</v>
      </c>
      <c r="BE72" s="345">
        <f>IF(Vout&gt;8, Iq*Vout, Iq*Table25[[#This Row],[Vin]])</f>
        <v>4.8000000000000001E-2</v>
      </c>
      <c r="BF72" s="345">
        <f>CHOOSE(Table25[[#This Row],[Mode Digit]], (Qg_Q1+Qg_Q2)*Fsw, (Qg_Q3+Qg_Q4)*Fsw, (Qg_Q1+Qg_Q2+Qg_Q3+Qg_Q4)*Fsw)*IF(Vout&gt;8,  MIN( Table25[[#This Row],[Vin]], Vout), Table25[[#This Row],[Vin]])</f>
        <v>0.63998400000000011</v>
      </c>
      <c r="BG72" s="345">
        <f t="shared" si="4"/>
        <v>0.50594479787234037</v>
      </c>
      <c r="BH72" s="345">
        <f>Table25[[#This Row],[IQ Loss]]+Table25[[#This Row],[Switching Current Loss]]</f>
        <v>0.68798400000000015</v>
      </c>
      <c r="BI72"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4.3242839911101996</v>
      </c>
      <c r="BJ72" s="253">
        <f>Vout*Table25[[#This Row],[Iout]]</f>
        <v>80.64</v>
      </c>
      <c r="BK72" s="684">
        <f>Table25[[#This Row],[Pout]]/(Table25[[#This Row],[Pout]]+Table25[[#This Row],[Total Loss]])</f>
        <v>0.94910468507493528</v>
      </c>
      <c r="BL72" s="685">
        <f>IF(Table25[[#This Row],[Vin]]&gt;Vout,ThetaJA_Q1*(Table25[[#This Row],[Total Control Bu MOSFET Loss]]+Table25[[#This Row],[Reverse Recovery Loss MOSFET D BUCK]]),ThetaJA_Q4*(Table25[[#This Row],[Total Control Bo MOSFET Loss]]+Table25[[#This Row],[Reverse Recovery Loss MOSFET D BOOST]]))</f>
        <v>64.162653435808338</v>
      </c>
      <c r="BM72" s="685">
        <f>IF(Table25[[#This Row],[Vin]]&gt;Vout, Table25[[#This Row],[Total Sync Bu MOSFET Loss]]*ThetaJA_Q2, ThetaJA_Q3*Table25[[#This Row],[Total Sync Bo MOSFET Loss]])</f>
        <v>26.701100591088391</v>
      </c>
      <c r="BN72" s="640"/>
      <c r="BO72" s="292">
        <f>Table25[[#This Row],[EFF, h]]*100</f>
        <v>94.910468507493533</v>
      </c>
      <c r="BP72" s="345">
        <f>Table25[[#This Row],[Total Inductor Loss]]</f>
        <v>0.77507101947349077</v>
      </c>
      <c r="BQ72" s="345">
        <f>Table25[[#This Row],[Total Control Bu MOSFET Loss]]+Table25[[#This Row],[Total Sync Bu MOSFET Loss]]+Table25[[#This Row],[Total Control Bo MOSFET Loss]]+Table25[[#This Row],[Total Sync Bo MOSFET Loss]]+Table25[[#This Row],[Reverse Recovery Loss MOSFET D BUCK]]+Table25[[#This Row],[Reverse Recovery Loss MOSFET D BOOST]]</f>
        <v>2.1330063708984666</v>
      </c>
      <c r="BR72" s="345">
        <f xml:space="preserve"> Table25[[#This Row],[Total Control Bu MOSFET Loss]]+Table25[[#This Row],[Reverse Recovery Loss MOSFET D BUCK]]*0.66</f>
        <v>0.4246085113961815</v>
      </c>
      <c r="BS72" s="345">
        <f>Table25[[#This Row],[Total Sync Bu MOSFET Loss]]+Table25[[#This Row],[Reverse Recovery Loss MOSFET D BUCK]]*0.33</f>
        <v>0.3069278713961815</v>
      </c>
      <c r="BT72" s="345">
        <f xml:space="preserve"> Table25[[#This Row],[Total Control Bo MOSFET Loss]]+Table25[[#This Row],[Reverse Recovery Loss MOSFET D BOOST]]*0.66</f>
        <v>0.865871025166282</v>
      </c>
      <c r="BU72" s="345">
        <f xml:space="preserve"> Table25[[#This Row],[Total Sync Bo MOSFET Loss]]+Table25[[#This Row],[Reverse Recovery Loss MOSFET D BOOST]]*0.33</f>
        <v>0.5284668029398214</v>
      </c>
      <c r="BV72" s="345">
        <f>Table25[[#This Row],[Isense Shunt Loss]]</f>
        <v>6.6995369856264073E-2</v>
      </c>
      <c r="CB72" s="686"/>
      <c r="CC72" s="686"/>
    </row>
    <row r="73" spans="1:81" x14ac:dyDescent="0.2">
      <c r="A73" s="713" t="s">
        <v>92</v>
      </c>
      <c r="B73" s="714">
        <f>(Qgd_Q1+Qgs_Q1/2)*(RdsonDRT2+Rgate1)/(Vsp_Q1)*1000000000</f>
        <v>12.55770185950413</v>
      </c>
      <c r="C73" s="255" t="s">
        <v>79</v>
      </c>
      <c r="D73" s="253" t="s">
        <v>645</v>
      </c>
      <c r="G73" s="253">
        <v>64</v>
      </c>
      <c r="H73" s="286">
        <f t="shared" ref="H73:H109" si="8">Vin</f>
        <v>12</v>
      </c>
      <c r="I73" s="292" t="str">
        <f>IF(Mode = 2,IF(Table25[[#This Row],[Vin]]&gt;Vout, "BUCK","BOOST"),IF(Table25[[#This Row],[Vin]]&gt;VIN_BB_to_buck, "BUCK", IF(Table25[[#This Row],[Vin]]&lt;=VIN_boost_to_BB,"BOOST","BUCK-BST")))</f>
        <v>BOOST</v>
      </c>
      <c r="J73" s="253">
        <f>IF(Table25[[#This Row],[Mode]]="BOOST",2, IF(Table25[[#This Row],[Mode]]="BUCK", 1,3))</f>
        <v>2</v>
      </c>
      <c r="K73" s="345">
        <f t="shared" si="7"/>
        <v>5.12</v>
      </c>
      <c r="L73" s="292">
        <f>Vout*Table25[[#This Row],[Iout]]/(Table25[[#This Row],[Vin]]*Efficiency)</f>
        <v>7.1859649122807028</v>
      </c>
      <c r="M73" s="682">
        <f>CHOOSE(Table25[[#This Row],[Mode Digit]],(Vout+(Rdson2+Rs+Rdcr)*Table25[[#This Row],[Iout]])/(Table25[[#This Row],[Vin]]+(Rs+Rdson2-Rdson1)*Table25[[#This Row],[Iout]])/Fsw,(Vout+(Rdson3+Rdcr)*Table25[[#This Row],[Iin]]-Table25[[#This Row],[Vin]])/(Vout+(Rdson3-Rdson4-Rs)*Table25[[#This Row],[Iin]])/Fsw,t1_Ph_II)</f>
        <v>6.3607269076351684E-7</v>
      </c>
      <c r="N73" s="518">
        <f>CHOOSE(Table25[[#This Row],[Mode Digit]],1/Fsw-Table25[[#This Row],[t1_Ph_II]],1/Fsw-Table25[[#This Row],[t1_Ph_II]],(Vout/Fsw-Table25[[#This Row],[Vin]]*t1_Ph_II)/(Table25[[#This Row],[Vin]]+Vout))</f>
        <v>1.8764901233068352E-6</v>
      </c>
      <c r="O73" s="518">
        <f>1/Fsw-(Table25[[#This Row],[t1_Ph_II]]+Table25[[#This Row],[t2_Ph_I]])</f>
        <v>0</v>
      </c>
      <c r="P73"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5.0657226097356469</v>
      </c>
      <c r="Q73" s="292">
        <f>CHOOSE(Table25[[#This Row],[Mode Digit]],Table25[[#This Row],[I_0]]+1/Lf*(Table25[[#This Row],[Vin]]-Vout)*Table25[[#This Row],[t1_Ph_II]],Table25[[#This Row],[I_0]]+1/Lf*Table25[[#This Row],[Vin]]*Table25[[#This Row],[t1_Ph_II]],Table25[[#This Row],[I_0]]+(Table25[[#This Row],[Vin]]-Vout)/L*Table25[[#This Row],[t1_Ph_II]])</f>
        <v>9.3062072148257577</v>
      </c>
      <c r="R73" s="292">
        <f>CHOOSE(Table25[[#This Row],[Mode Digit]],0,0,Table25[[#This Row],[I_1]]+Table25[[#This Row],[Vin]]/L*Table25[[#This Row],[t2_Ph_I]])</f>
        <v>0</v>
      </c>
      <c r="S73" s="292">
        <f>Fsw*(Table25[[#This Row],[I_0]]*Table25[[#This Row],[t1_Ph_II]]+Table25[[#This Row],[I_1]]*Table25[[#This Row],[t2_Ph_I]]+Table25[[#This Row],[I_2]]*Table25[[#This Row],[t3_Ph_III]])</f>
        <v>8.2326991465711856</v>
      </c>
      <c r="T73" s="345">
        <f>CHOOSE(Table25[[#This Row],[Mode Digit]],(Vout+(Rdson2+Rs+Rdcr)*Table25[[#This Row],[Iout]])/(Table25[[#This Row],[Vin]]+(Rs+Rdson2-Rdson1)*Table25[[#This Row],[Iout]]),1,Fsw*Table25[[#This Row],[t2_Ph_I]]+Table25[[#This Row],[t1_Ph_II]])</f>
        <v>1</v>
      </c>
      <c r="U73" s="345">
        <f>CHOOSE(Table25[[#This Row],[Mode Digit]],0,(Vout+(Rdson3+Rdcr)*Table25[[#This Row],[Iin]]-Table25[[#This Row],[Vin]])/(Vout+(Rdson3-Rdson4-Rs)*Table25[[#This Row],[Iin]]),Fsw*Table25[[#This Row],[t1_Ph_II]]+Table25[[#This Row],[t3_Ph_III]])</f>
        <v>0.2531569309238797</v>
      </c>
      <c r="V73" s="292">
        <f>MAX(Table25[[#This Row],[I_0]:[I_2]])-MIN(Table25[[#This Row],[I_0]:[I_1]])</f>
        <v>4.2404846050901108</v>
      </c>
      <c r="W73"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7.2894833512188351</v>
      </c>
      <c r="X73" s="345">
        <f>(Table25[[#This Row],[Irms Lf]]^2*Rdcr*(1+Ltc*Ta-Ltc*25))/(1-Table25[[#This Row],[Irms Lf]]^2*Rdcr*Ltc*ThetaCa)</f>
        <v>0.17238192068226418</v>
      </c>
      <c r="Y73" s="345">
        <f>ABS(7.759*10^-3*Fsw^0.9458*(0.00787*Table25[[#This Row],[Ripple Current pk-pk]])^2.304)</f>
        <v>0.60822775709194077</v>
      </c>
      <c r="Z73" s="345">
        <f>Table25[[#This Row],[DCR    Loss]]+Table25[[#This Row],[Core Loss]]</f>
        <v>0.78060967777420498</v>
      </c>
      <c r="AA73" s="292">
        <f>IF(Table25[[#This Row],[Vin]]&gt;Vout, Table25[[#This Row],[Ripple Current pk-pk]]/SQRT(12), SQRT(Table25[[#This Row],[Duty Cycle BOOST Leg]]/(1-Table25[[#This Row],[Duty Cycle BOOST Leg]]))*SQRT(Table25[[#This Row],[Iout]]^2+(Table25[[#This Row],[Ripple Current pk-pk]]^2)/12))</f>
        <v>3.0649333251144868</v>
      </c>
      <c r="AB73" s="345">
        <f>RCoutEsr*Table25[[#This Row],[Irms Cout]]^2</f>
        <v>1.878763257479469E-2</v>
      </c>
      <c r="AC73" s="345">
        <f>Table25[[#This Row],[Cout ESR Loss]]</f>
        <v>1.878763257479469E-2</v>
      </c>
      <c r="AD73" s="292">
        <f>IF(Table25[[#This Row],[Vin]]&gt;Vout, SQRT(Table25[[#This Row],[Duty Cycle BUCK Leg]]*(1-Table25[[#This Row],[Duty Cycle BUCK Leg]]))*SQRT(Table25[[#This Row],[Iout]]^2+(Table25[[#This Row],[Ripple Current pk-pk]]^2)/12), Table25[[#This Row],[Ripple Current pk-pk]]/SQRT(12))</f>
        <v>1.2241224641216197</v>
      </c>
      <c r="AE73" s="345">
        <f>RCinEsr*Table25[[#This Row],[Irms Cin]]^2</f>
        <v>2.9969516143343723E-3</v>
      </c>
      <c r="AF73" s="683">
        <f>Table25[[#This Row],[Cin ESR Loss]]</f>
        <v>2.9969516143343723E-3</v>
      </c>
      <c r="AG73" s="345">
        <f>Table25[[#This Row],[Irms Lf]]</f>
        <v>7.2894833512188351</v>
      </c>
      <c r="AH73" s="345">
        <f>Rdson1*Table25[[#This Row],[Irms BuCtrl]]^2</f>
        <v>0.18597798634693802</v>
      </c>
      <c r="AI73" s="345">
        <f>CHOOSE(Table25[[#This Row],[Mode Digit]], (Table25[[#This Row],[Vin]]*Table25[[#This Row],[Iout]]/2)*(Fsw)*(Tr_buck+Tf_buck), 0, (Table25[[#This Row],[Vin]]*Table25[[#This Row],[Avg IL]]/2)*(Fsw/1)*(Tr_buck+Tf_buck))</f>
        <v>0</v>
      </c>
      <c r="AJ73" s="253">
        <f>IF(Table25[[#This Row],[Vin]]&gt;Vout, IF(Table25[[#This Row],[Iout]]&gt;Table25[[#This Row],[Ripple Current pk-pk]]/2,0,ABS(Table25[[#This Row],[Iout]]-Table25[[#This Row],[Ripple Current pk-pk]]/2)*Vsd_Q1*Deadtime*Fsw),0)</f>
        <v>0</v>
      </c>
      <c r="AK73" s="345">
        <f>(Table25[[#This Row],[Dead Time Loss BuCtrl]]+Table25[[#This Row],[Transition Loss BuCtrl]]+Table25[[#This Row],[RDS(on) Loss BuCtrl]]*(1+RdsonTopTc*Ta-RdsonTopTc*25))/(1-Table25[[#This Row],[RDS(on) Loss BuCtrl]]*RdsonTopTc*ThetaJA_Q1)</f>
        <v>0.19542775398938309</v>
      </c>
      <c r="AL73" s="345">
        <f>Table25[[#This Row],[Irms Lf]]</f>
        <v>7.2894833512188351</v>
      </c>
      <c r="AM73" s="345">
        <f>Rdson2*Table25[[#This Row],[Irms BuSync]]^2</f>
        <v>0.18597798634693802</v>
      </c>
      <c r="AN73"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73" s="345">
        <f>(Table25[[#This Row],[Deadtime Loss BuSync]]+Table25[[#This Row],[RDS(on) Loss BuSync]]*(1+RdsonBotTc*Ta-RdsonBotTc*25))/(1-Table25[[#This Row],[RDS(on) Loss BuSync]]*RdsonBotTc*ThetaJA_Q2)</f>
        <v>0.19542775398938309</v>
      </c>
      <c r="AP73" s="345">
        <f>Table25[[#This Row],[Irms Lf]]</f>
        <v>7.2894833512188351</v>
      </c>
      <c r="AQ73" s="345">
        <f>Rdson4*Table25[[#This Row],[Irms BoCtlr]]^2</f>
        <v>0.18597798634693802</v>
      </c>
      <c r="AR73" s="345">
        <f>CHOOSE(Table25[[#This Row],[Mode Digit]], 0, (Vout*Table25[[#This Row],[Iin]]/2)*(Fsw)*(Tr_boost+Tf_boost), (Vout*Iout/2)*(Fsw/1)*(Tr_boost+Tf_boost))</f>
        <v>0.42724442621001923</v>
      </c>
      <c r="AS73" s="345">
        <f>IF(Table25[[#This Row],[Vin]]&gt;Vout, 0, IF(Table25[[#This Row],[Iin]]&gt;Table25[[#This Row],[Ripple Current pk-pk]]/2,0,ABS(Table25[[#This Row],[Iin]]-Table25[[#This Row],[Ripple Current pk-pk]]/2)*Vsd_Q4*Deadtime*Fsw))</f>
        <v>0</v>
      </c>
      <c r="AT73" s="345">
        <f>(Table25[[#This Row],[Dead Time Loss BoCtlr]]+Table25[[#This Row],[Transition Loss BoCtlr]]+Table25[[#This Row],[RDS(on) Loss BoCtlr]]*(1+RdsonTopTc*Ta-RdsonTopTc*25))/(1-Table25[[#This Row],[RDS(on) Loss BoCtlr]]*RdsonTopTc*ThetaJA_Q4)</f>
        <v>0.64438098904026597</v>
      </c>
      <c r="AU73" s="345">
        <f>Table25[[#This Row],[Irms Lf]]</f>
        <v>7.2894833512188351</v>
      </c>
      <c r="AV73" s="345">
        <f>Rdson3*Table25[[#This Row],[Irms BoSync]]^2</f>
        <v>0.18597798634693802</v>
      </c>
      <c r="AW73"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0.21450105263157893</v>
      </c>
      <c r="AX73" s="345">
        <f>(Table25[[#This Row],[Deadtime Loss BoSync]]+Table25[[#This Row],[RDS(on) Loss BoSync]]*(1+RdsonBotTc*Ta-RdsonBotTc*25))/(1-Table25[[#This Row],[RDS(on) Loss BoSync]]*RdsonBotTc*ThetaJA_Q3)</f>
        <v>0.42082786594644045</v>
      </c>
      <c r="AY73" s="345">
        <f>CHOOSE(Table25[[#This Row],[Mode Digit]], Rdson3*Table25[[#This Row],[Irms Lf]]^2, Rdson1*Table25[[#This Row],[Irms Lf]]^2, 0)</f>
        <v>0.18597798634693802</v>
      </c>
      <c r="AZ73" s="345">
        <f>CHOOSE(Table25[[#This Row],[Mode Digit]], 2*Deadtime*Fsw*IF(VfdSky_Q2&gt;0,VfdSky_Q2,0)*Table25[[#This Row],[Iout]], 2*Deadtime*Fsw*IF(VfdSky_Q3&gt;0,VfdSky_Q3,0)*Table25[[#This Row],[Iin]], 2*Deadtime*Fsw*IF(VfdSky_Q2&gt;0,VfdSky_Q2,0)*Table25[[#This Row],[Iout]]+2*Deadtime*Fsw*IF(VfdSky_Q3&gt;0,VfdSky_Q3,0)*Table25[[#This Row],[Iin]])</f>
        <v>0</v>
      </c>
      <c r="BA73"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73"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73" s="345">
        <f>CHOOSE(Table25[[#This Row],[Mode Digit]], Rs*Table25[[#This Row],[Irms BuSync]]^2, Rs*Table25[[#This Row],[Irms BoCtlr]]^2, Rs*(Table25[[#This Row],[Irms BuSync]]^2+Table25[[#This Row],[Irms BoCtlr]]^2))</f>
        <v>6.9077537786005547E-2</v>
      </c>
      <c r="BD73" s="345">
        <f t="shared" ref="BD73:BD109" si="9">Rshunt/1000*Iout^2</f>
        <v>0.64</v>
      </c>
      <c r="BE73" s="345">
        <f>IF(Vout&gt;8, Iq*Vout, Iq*Table25[[#This Row],[Vin]])</f>
        <v>4.8000000000000001E-2</v>
      </c>
      <c r="BF73" s="345">
        <f>CHOOSE(Table25[[#This Row],[Mode Digit]], (Qg_Q1+Qg_Q2)*Fsw, (Qg_Q3+Qg_Q4)*Fsw, (Qg_Q1+Qg_Q2+Qg_Q3+Qg_Q4)*Fsw)*IF(Vout&gt;8,  MIN( Table25[[#This Row],[Vin]], Vout), Table25[[#This Row],[Vin]])</f>
        <v>0.63998400000000011</v>
      </c>
      <c r="BG73" s="345">
        <f t="shared" ref="BG73:BG109" si="10">(Vin-Vdd)*Fsw*(Qg_Q1+Qg_Q2)+(RdsonDRT+RdsonDRT2)*Fsw*Qg_Q1*Vdd/(RdsonDRT+2*Rgate1+RdsonDRT2)+(RdsonDRB+RdsonDRB2)*Fsw*Qg_Q2*Vdd/(RdsonDRB+2*Rgate2+RdsonDRB2)</f>
        <v>0.50594479787234037</v>
      </c>
      <c r="BH73" s="345">
        <f>Table25[[#This Row],[IQ Loss]]+Table25[[#This Row],[Switching Current Loss]]</f>
        <v>0.68798400000000015</v>
      </c>
      <c r="BI73"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4.3687361627148125</v>
      </c>
      <c r="BJ73" s="253">
        <f>Vout*Table25[[#This Row],[Iout]]</f>
        <v>81.92</v>
      </c>
      <c r="BK73" s="684">
        <f>Table25[[#This Row],[Pout]]/(Table25[[#This Row],[Pout]]+Table25[[#This Row],[Total Loss]])</f>
        <v>0.94937072488260021</v>
      </c>
      <c r="BL73" s="685">
        <f>IF(Table25[[#This Row],[Vin]]&gt;Vout,ThetaJA_Q1*(Table25[[#This Row],[Total Control Bu MOSFET Loss]]+Table25[[#This Row],[Reverse Recovery Loss MOSFET D BUCK]]),ThetaJA_Q4*(Table25[[#This Row],[Total Control Bo MOSFET Loss]]+Table25[[#This Row],[Reverse Recovery Loss MOSFET D BOOST]]))</f>
        <v>65.064284287617284</v>
      </c>
      <c r="BM73" s="685">
        <f>IF(Table25[[#This Row],[Vin]]&gt;Vout, Table25[[#This Row],[Total Sync Bu MOSFET Loss]]*ThetaJA_Q2, ThetaJA_Q3*Table25[[#This Row],[Total Sync Bo MOSFET Loss]])</f>
        <v>27.353811286518628</v>
      </c>
      <c r="BN73" s="640"/>
      <c r="BO73" s="292">
        <f>Table25[[#This Row],[EFF, h]]*100</f>
        <v>94.937072488260014</v>
      </c>
      <c r="BP73" s="345">
        <f>Table25[[#This Row],[Total Inductor Loss]]</f>
        <v>0.78060967777420498</v>
      </c>
      <c r="BQ73" s="345">
        <f>Table25[[#This Row],[Total Control Bu MOSFET Loss]]+Table25[[#This Row],[Total Sync Bu MOSFET Loss]]+Table25[[#This Row],[Total Control Bo MOSFET Loss]]+Table25[[#This Row],[Total Sync Bo MOSFET Loss]]+Table25[[#This Row],[Reverse Recovery Loss MOSFET D BUCK]]+Table25[[#This Row],[Reverse Recovery Loss MOSFET D BOOST]]</f>
        <v>2.1692803629654724</v>
      </c>
      <c r="BR73" s="345">
        <f xml:space="preserve"> Table25[[#This Row],[Total Control Bu MOSFET Loss]]+Table25[[#This Row],[Reverse Recovery Loss MOSFET D BUCK]]*0.66</f>
        <v>0.43078903398938306</v>
      </c>
      <c r="BS73" s="345">
        <f>Table25[[#This Row],[Total Sync Bu MOSFET Loss]]+Table25[[#This Row],[Reverse Recovery Loss MOSFET D BUCK]]*0.33</f>
        <v>0.31310839398938306</v>
      </c>
      <c r="BT73" s="345">
        <f xml:space="preserve"> Table25[[#This Row],[Total Control Bo MOSFET Loss]]+Table25[[#This Row],[Reverse Recovery Loss MOSFET D BOOST]]*0.66</f>
        <v>0.87974226904026598</v>
      </c>
      <c r="BU73" s="345">
        <f xml:space="preserve"> Table25[[#This Row],[Total Sync Bo MOSFET Loss]]+Table25[[#This Row],[Reverse Recovery Loss MOSFET D BOOST]]*0.33</f>
        <v>0.53850850594644051</v>
      </c>
      <c r="BV73" s="345">
        <f>Table25[[#This Row],[Isense Shunt Loss]]</f>
        <v>6.9077537786005547E-2</v>
      </c>
      <c r="CB73" s="686"/>
      <c r="CC73" s="686"/>
    </row>
    <row r="74" spans="1:81" ht="13.6" x14ac:dyDescent="0.25">
      <c r="A74" s="678" t="s">
        <v>116</v>
      </c>
      <c r="B74" s="679" t="s">
        <v>8</v>
      </c>
      <c r="C74" s="681" t="s">
        <v>80</v>
      </c>
      <c r="G74" s="253">
        <v>65</v>
      </c>
      <c r="H74" s="286">
        <f t="shared" si="8"/>
        <v>12</v>
      </c>
      <c r="I74" s="292" t="str">
        <f>IF(Mode = 2,IF(Table25[[#This Row],[Vin]]&gt;Vout, "BUCK","BOOST"),IF(Table25[[#This Row],[Vin]]&gt;VIN_BB_to_buck, "BUCK", IF(Table25[[#This Row],[Vin]]&lt;=VIN_boost_to_BB,"BOOST","BUCK-BST")))</f>
        <v>BOOST</v>
      </c>
      <c r="J74" s="253">
        <f>IF(Table25[[#This Row],[Mode]]="BOOST",2, IF(Table25[[#This Row],[Mode]]="BUCK", 1,3))</f>
        <v>2</v>
      </c>
      <c r="K74" s="345">
        <f t="shared" ref="K74:K109" si="11">Iout*G74/100</f>
        <v>5.2</v>
      </c>
      <c r="L74" s="292">
        <f>Vout*Table25[[#This Row],[Iout]]/(Table25[[#This Row],[Vin]]*Efficiency)</f>
        <v>7.2982456140350891</v>
      </c>
      <c r="M74" s="682">
        <f>CHOOSE(Table25[[#This Row],[Mode Digit]],(Vout+(Rdson2+Rs+Rdcr)*Table25[[#This Row],[Iout]])/(Table25[[#This Row],[Vin]]+(Rs+Rdson2-Rdson1)*Table25[[#This Row],[Iout]])/Fsw,(Vout+(Rdson3+Rdcr)*Table25[[#This Row],[Iin]]-Table25[[#This Row],[Vin]])/(Vout+(Rdson3-Rdson4-Rs)*Table25[[#This Row],[Iin]])/Fsw,t1_Ph_II)</f>
        <v>6.361967016004851E-7</v>
      </c>
      <c r="N74" s="518">
        <f>CHOOSE(Table25[[#This Row],[Mode Digit]],1/Fsw-Table25[[#This Row],[t1_Ph_II]],1/Fsw-Table25[[#This Row],[t1_Ph_II]],(Vout/Fsw-Table25[[#This Row],[Vin]]*t1_Ph_II)/(Table25[[#This Row],[Vin]]+Vout))</f>
        <v>1.8763661124698668E-6</v>
      </c>
      <c r="O74" s="518">
        <f>1/Fsw-(Table25[[#This Row],[t1_Ph_II]]+Table25[[#This Row],[t2_Ph_I]])</f>
        <v>0</v>
      </c>
      <c r="P74"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5.1775899420334728</v>
      </c>
      <c r="Q74" s="292">
        <f>CHOOSE(Table25[[#This Row],[Mode Digit]],Table25[[#This Row],[I_0]]+1/Lf*(Table25[[#This Row],[Vin]]-Vout)*Table25[[#This Row],[t1_Ph_II]],Table25[[#This Row],[I_0]]+1/Lf*Table25[[#This Row],[Vin]]*Table25[[#This Row],[t1_Ph_II]],Table25[[#This Row],[I_0]]+(Table25[[#This Row],[Vin]]-Vout)/L*Table25[[#This Row],[t1_Ph_II]])</f>
        <v>9.4189012860367072</v>
      </c>
      <c r="R74" s="292">
        <f>CHOOSE(Table25[[#This Row],[Mode Digit]],0,0,Table25[[#This Row],[I_1]]+Table25[[#This Row],[Vin]]/L*Table25[[#This Row],[t2_Ph_I]])</f>
        <v>0</v>
      </c>
      <c r="S74" s="292">
        <f>Fsw*(Table25[[#This Row],[I_0]]*Table25[[#This Row],[t1_Ph_II]]+Table25[[#This Row],[I_1]]*Table25[[#This Row],[t2_Ph_I]]+Table25[[#This Row],[I_2]]*Table25[[#This Row],[t3_Ph_III]])</f>
        <v>8.3449745876055079</v>
      </c>
      <c r="T74" s="345">
        <f>CHOOSE(Table25[[#This Row],[Mode Digit]],(Vout+(Rdson2+Rs+Rdcr)*Table25[[#This Row],[Iout]])/(Table25[[#This Row],[Vin]]+(Rs+Rdson2-Rdson1)*Table25[[#This Row],[Iout]]),1,Fsw*Table25[[#This Row],[t2_Ph_I]]+Table25[[#This Row],[t1_Ph_II]])</f>
        <v>1</v>
      </c>
      <c r="U74" s="345">
        <f>CHOOSE(Table25[[#This Row],[Mode Digit]],0,(Vout+(Rdson3+Rdcr)*Table25[[#This Row],[Iin]]-Table25[[#This Row],[Vin]])/(Vout+(Rdson3-Rdson4-Rs)*Table25[[#This Row],[Iin]]),Fsw*Table25[[#This Row],[t1_Ph_II]]+Table25[[#This Row],[t3_Ph_III]])</f>
        <v>0.25320628723699307</v>
      </c>
      <c r="V74" s="292">
        <f>MAX(Table25[[#This Row],[I_0]:[I_2]])-MIN(Table25[[#This Row],[I_0]:[I_1]])</f>
        <v>4.2413113440032344</v>
      </c>
      <c r="W74"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7.4002330505541041</v>
      </c>
      <c r="X74" s="345">
        <f>(Table25[[#This Row],[Irms Lf]]^2*Rdcr*(1+Ltc*Ta-Ltc*25))/(1-Table25[[#This Row],[Irms Lf]]^2*Rdcr*Ltc*ThetaCa)</f>
        <v>0.17773478006555032</v>
      </c>
      <c r="Y74" s="345">
        <f>ABS(7.759*10^-3*Fsw^0.9458*(0.00787*Table25[[#This Row],[Ripple Current pk-pk]])^2.304)</f>
        <v>0.60850100497284632</v>
      </c>
      <c r="Z74" s="345">
        <f>Table25[[#This Row],[DCR    Loss]]+Table25[[#This Row],[Core Loss]]</f>
        <v>0.78623578503839664</v>
      </c>
      <c r="AA74" s="292">
        <f>IF(Table25[[#This Row],[Vin]]&gt;Vout, Table25[[#This Row],[Ripple Current pk-pk]]/SQRT(12), SQRT(Table25[[#This Row],[Duty Cycle BOOST Leg]]/(1-Table25[[#This Row],[Duty Cycle BOOST Leg]]))*SQRT(Table25[[#This Row],[Iout]]^2+(Table25[[#This Row],[Ripple Current pk-pk]]^2)/12))</f>
        <v>3.110690118434841</v>
      </c>
      <c r="AB74" s="345">
        <f>RCoutEsr*Table25[[#This Row],[Irms Cout]]^2</f>
        <v>1.9352786025856328E-2</v>
      </c>
      <c r="AC74" s="345">
        <f>Table25[[#This Row],[Cout ESR Loss]]</f>
        <v>1.9352786025856328E-2</v>
      </c>
      <c r="AD74" s="292">
        <f>IF(Table25[[#This Row],[Vin]]&gt;Vout, SQRT(Table25[[#This Row],[Duty Cycle BUCK Leg]]*(1-Table25[[#This Row],[Duty Cycle BUCK Leg]]))*SQRT(Table25[[#This Row],[Iout]]^2+(Table25[[#This Row],[Ripple Current pk-pk]]^2)/12), Table25[[#This Row],[Ripple Current pk-pk]]/SQRT(12))</f>
        <v>1.2243611230886404</v>
      </c>
      <c r="AE74" s="345">
        <f>RCinEsr*Table25[[#This Row],[Irms Cin]]^2</f>
        <v>2.9981203194617539E-3</v>
      </c>
      <c r="AF74" s="683">
        <f>Table25[[#This Row],[Cin ESR Loss]]</f>
        <v>2.9981203194617539E-3</v>
      </c>
      <c r="AG74" s="345">
        <f>Table25[[#This Row],[Irms Lf]]</f>
        <v>7.4002330505541041</v>
      </c>
      <c r="AH74" s="345">
        <f>Rdson1*Table25[[#This Row],[Irms BuCtrl]]^2</f>
        <v>0.19167207220879656</v>
      </c>
      <c r="AI74" s="345">
        <f>CHOOSE(Table25[[#This Row],[Mode Digit]], (Table25[[#This Row],[Vin]]*Table25[[#This Row],[Iout]]/2)*(Fsw)*(Tr_buck+Tf_buck), 0, (Table25[[#This Row],[Vin]]*Table25[[#This Row],[Avg IL]]/2)*(Fsw/1)*(Tr_buck+Tf_buck))</f>
        <v>0</v>
      </c>
      <c r="AJ74" s="253">
        <f>IF(Table25[[#This Row],[Vin]]&gt;Vout, IF(Table25[[#This Row],[Iout]]&gt;Table25[[#This Row],[Ripple Current pk-pk]]/2,0,ABS(Table25[[#This Row],[Iout]]-Table25[[#This Row],[Ripple Current pk-pk]]/2)*Vsd_Q1*Deadtime*Fsw),0)</f>
        <v>0</v>
      </c>
      <c r="AK74" s="345">
        <f>(Table25[[#This Row],[Dead Time Loss BuCtrl]]+Table25[[#This Row],[Transition Loss BuCtrl]]+Table25[[#This Row],[RDS(on) Loss BuCtrl]]*(1+RdsonTopTc*Ta-RdsonTopTc*25))/(1-Table25[[#This Row],[RDS(on) Loss BuCtrl]]*RdsonTopTc*ThetaJA_Q1)</f>
        <v>0.20172498409544004</v>
      </c>
      <c r="AL74" s="345">
        <f>Table25[[#This Row],[Irms Lf]]</f>
        <v>7.4002330505541041</v>
      </c>
      <c r="AM74" s="345">
        <f>Rdson2*Table25[[#This Row],[Irms BuSync]]^2</f>
        <v>0.19167207220879656</v>
      </c>
      <c r="AN74"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74" s="345">
        <f>(Table25[[#This Row],[Deadtime Loss BuSync]]+Table25[[#This Row],[RDS(on) Loss BuSync]]*(1+RdsonBotTc*Ta-RdsonBotTc*25))/(1-Table25[[#This Row],[RDS(on) Loss BuSync]]*RdsonBotTc*ThetaJA_Q2)</f>
        <v>0.20172498409544004</v>
      </c>
      <c r="AP74" s="345">
        <f>Table25[[#This Row],[Irms Lf]]</f>
        <v>7.4002330505541041</v>
      </c>
      <c r="AQ74" s="345">
        <f>Rdson4*Table25[[#This Row],[Irms BoCtlr]]^2</f>
        <v>0.19167207220879656</v>
      </c>
      <c r="AR74" s="345">
        <f>CHOOSE(Table25[[#This Row],[Mode Digit]], 0, (Vout*Table25[[#This Row],[Iin]]/2)*(Fsw)*(Tr_boost+Tf_boost), (Vout*Iout/2)*(Fsw/1)*(Tr_boost+Tf_boost))</f>
        <v>0.4339201203695508</v>
      </c>
      <c r="AS74" s="345">
        <f>IF(Table25[[#This Row],[Vin]]&gt;Vout, 0, IF(Table25[[#This Row],[Iin]]&gt;Table25[[#This Row],[Ripple Current pk-pk]]/2,0,ABS(Table25[[#This Row],[Iin]]-Table25[[#This Row],[Ripple Current pk-pk]]/2)*Vsd_Q4*Deadtime*Fsw))</f>
        <v>0</v>
      </c>
      <c r="AT74" s="345">
        <f>(Table25[[#This Row],[Dead Time Loss BoCtlr]]+Table25[[#This Row],[Transition Loss BoCtlr]]+Table25[[#This Row],[RDS(on) Loss BoCtlr]]*(1+RdsonTopTc*Ta-RdsonTopTc*25))/(1-Table25[[#This Row],[RDS(on) Loss BoCtlr]]*RdsonTopTc*ThetaJA_Q4)</f>
        <v>0.65840356210385309</v>
      </c>
      <c r="AU74" s="345">
        <f>Table25[[#This Row],[Irms Lf]]</f>
        <v>7.4002330505541041</v>
      </c>
      <c r="AV74" s="345">
        <f>Rdson3*Table25[[#This Row],[Irms BoSync]]^2</f>
        <v>0.19167207220879656</v>
      </c>
      <c r="AW74"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0.21785263157894738</v>
      </c>
      <c r="AX74" s="345">
        <f>(Table25[[#This Row],[Deadtime Loss BoSync]]+Table25[[#This Row],[RDS(on) Loss BoSync]]*(1+RdsonBotTc*Ta-RdsonBotTc*25))/(1-Table25[[#This Row],[RDS(on) Loss BoSync]]*RdsonBotTc*ThetaJA_Q3)</f>
        <v>0.43100365852089484</v>
      </c>
      <c r="AY74" s="345">
        <f>CHOOSE(Table25[[#This Row],[Mode Digit]], Rdson3*Table25[[#This Row],[Irms Lf]]^2, Rdson1*Table25[[#This Row],[Irms Lf]]^2, 0)</f>
        <v>0.19167207220879656</v>
      </c>
      <c r="AZ74" s="345">
        <f>CHOOSE(Table25[[#This Row],[Mode Digit]], 2*Deadtime*Fsw*IF(VfdSky_Q2&gt;0,VfdSky_Q2,0)*Table25[[#This Row],[Iout]], 2*Deadtime*Fsw*IF(VfdSky_Q3&gt;0,VfdSky_Q3,0)*Table25[[#This Row],[Iin]], 2*Deadtime*Fsw*IF(VfdSky_Q2&gt;0,VfdSky_Q2,0)*Table25[[#This Row],[Iout]]+2*Deadtime*Fsw*IF(VfdSky_Q3&gt;0,VfdSky_Q3,0)*Table25[[#This Row],[Iin]])</f>
        <v>0</v>
      </c>
      <c r="BA74"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74"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74" s="345">
        <f>CHOOSE(Table25[[#This Row],[Mode Digit]], Rs*Table25[[#This Row],[Irms BuSync]]^2, Rs*Table25[[#This Row],[Irms BoCtlr]]^2, Rs*(Table25[[#This Row],[Irms BuSync]]^2+Table25[[#This Row],[Irms BoCtlr]]^2))</f>
        <v>7.1192483963267286E-2</v>
      </c>
      <c r="BD74" s="345">
        <f t="shared" si="9"/>
        <v>0.64</v>
      </c>
      <c r="BE74" s="345">
        <f>IF(Vout&gt;8, Iq*Vout, Iq*Table25[[#This Row],[Vin]])</f>
        <v>4.8000000000000001E-2</v>
      </c>
      <c r="BF74" s="345">
        <f>CHOOSE(Table25[[#This Row],[Mode Digit]], (Qg_Q1+Qg_Q2)*Fsw, (Qg_Q3+Qg_Q4)*Fsw, (Qg_Q1+Qg_Q2+Qg_Q3+Qg_Q4)*Fsw)*IF(Vout&gt;8,  MIN( Table25[[#This Row],[Vin]], Vout), Table25[[#This Row],[Vin]])</f>
        <v>0.63998400000000011</v>
      </c>
      <c r="BG74" s="345">
        <f t="shared" si="10"/>
        <v>0.50594479787234037</v>
      </c>
      <c r="BH74" s="345">
        <f>Table25[[#This Row],[IQ Loss]]+Table25[[#This Row],[Switching Current Loss]]</f>
        <v>0.68798400000000015</v>
      </c>
      <c r="BI74"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4.4138363641626102</v>
      </c>
      <c r="BJ74" s="253">
        <f>Vout*Table25[[#This Row],[Iout]]</f>
        <v>83.2</v>
      </c>
      <c r="BK74" s="684">
        <f>Table25[[#This Row],[Pout]]/(Table25[[#This Row],[Pout]]+Table25[[#This Row],[Total Loss]])</f>
        <v>0.94962169735592095</v>
      </c>
      <c r="BL74" s="685">
        <f>IF(Table25[[#This Row],[Vin]]&gt;Vout,ThetaJA_Q1*(Table25[[#This Row],[Total Control Bu MOSFET Loss]]+Table25[[#This Row],[Reverse Recovery Loss MOSFET D BUCK]]),ThetaJA_Q4*(Table25[[#This Row],[Total Control Bo MOSFET Loss]]+Table25[[#This Row],[Reverse Recovery Loss MOSFET D BOOST]]))</f>
        <v>65.975751536750451</v>
      </c>
      <c r="BM74" s="685">
        <f>IF(Table25[[#This Row],[Vin]]&gt;Vout, Table25[[#This Row],[Total Sync Bu MOSFET Loss]]*ThetaJA_Q2, ThetaJA_Q3*Table25[[#This Row],[Total Sync Bo MOSFET Loss]])</f>
        <v>28.015237803858163</v>
      </c>
      <c r="BN74" s="640"/>
      <c r="BO74" s="292">
        <f>Table25[[#This Row],[EFF, h]]*100</f>
        <v>94.962169735592099</v>
      </c>
      <c r="BP74" s="345">
        <f>Table25[[#This Row],[Total Inductor Loss]]</f>
        <v>0.78623578503839664</v>
      </c>
      <c r="BQ74" s="345">
        <f>Table25[[#This Row],[Total Control Bu MOSFET Loss]]+Table25[[#This Row],[Total Sync Bu MOSFET Loss]]+Table25[[#This Row],[Total Control Bo MOSFET Loss]]+Table25[[#This Row],[Total Sync Bo MOSFET Loss]]+Table25[[#This Row],[Reverse Recovery Loss MOSFET D BUCK]]+Table25[[#This Row],[Reverse Recovery Loss MOSFET D BOOST]]</f>
        <v>2.206073188815628</v>
      </c>
      <c r="BR74" s="345">
        <f xml:space="preserve"> Table25[[#This Row],[Total Control Bu MOSFET Loss]]+Table25[[#This Row],[Reverse Recovery Loss MOSFET D BUCK]]*0.66</f>
        <v>0.43708626409544005</v>
      </c>
      <c r="BS74" s="345">
        <f>Table25[[#This Row],[Total Sync Bu MOSFET Loss]]+Table25[[#This Row],[Reverse Recovery Loss MOSFET D BUCK]]*0.33</f>
        <v>0.31940562409544004</v>
      </c>
      <c r="BT74" s="345">
        <f xml:space="preserve"> Table25[[#This Row],[Total Control Bo MOSFET Loss]]+Table25[[#This Row],[Reverse Recovery Loss MOSFET D BOOST]]*0.66</f>
        <v>0.8937648421038531</v>
      </c>
      <c r="BU74" s="345">
        <f xml:space="preserve"> Table25[[#This Row],[Total Sync Bo MOSFET Loss]]+Table25[[#This Row],[Reverse Recovery Loss MOSFET D BOOST]]*0.33</f>
        <v>0.54868429852089484</v>
      </c>
      <c r="BV74" s="345">
        <f>Table25[[#This Row],[Isense Shunt Loss]]</f>
        <v>7.1192483963267286E-2</v>
      </c>
      <c r="CB74" s="686"/>
      <c r="CC74" s="686"/>
    </row>
    <row r="75" spans="1:81" ht="13.6" x14ac:dyDescent="0.25">
      <c r="A75" s="715" t="s">
        <v>117</v>
      </c>
      <c r="B75" s="716">
        <f>BH9</f>
        <v>0.68798400000000015</v>
      </c>
      <c r="C75" s="717" t="s">
        <v>118</v>
      </c>
      <c r="G75" s="253">
        <v>66</v>
      </c>
      <c r="H75" s="286">
        <f t="shared" si="8"/>
        <v>12</v>
      </c>
      <c r="I75" s="292" t="str">
        <f>IF(Mode = 2,IF(Table25[[#This Row],[Vin]]&gt;Vout, "BUCK","BOOST"),IF(Table25[[#This Row],[Vin]]&gt;VIN_BB_to_buck, "BUCK", IF(Table25[[#This Row],[Vin]]&lt;=VIN_boost_to_BB,"BOOST","BUCK-BST")))</f>
        <v>BOOST</v>
      </c>
      <c r="J75" s="253">
        <f>IF(Table25[[#This Row],[Mode]]="BOOST",2, IF(Table25[[#This Row],[Mode]]="BUCK", 1,3))</f>
        <v>2</v>
      </c>
      <c r="K75" s="345">
        <f t="shared" si="11"/>
        <v>5.28</v>
      </c>
      <c r="L75" s="292">
        <f>Vout*Table25[[#This Row],[Iout]]/(Table25[[#This Row],[Vin]]*Efficiency)</f>
        <v>7.4105263157894745</v>
      </c>
      <c r="M75" s="682">
        <f>CHOOSE(Table25[[#This Row],[Mode Digit]],(Vout+(Rdson2+Rs+Rdcr)*Table25[[#This Row],[Iout]])/(Table25[[#This Row],[Vin]]+(Rs+Rdson2-Rdson1)*Table25[[#This Row],[Iout]])/Fsw,(Vout+(Rdson3+Rdcr)*Table25[[#This Row],[Iin]]-Table25[[#This Row],[Vin]])/(Vout+(Rdson3-Rdson4-Rs)*Table25[[#This Row],[Iin]])/Fsw,t1_Ph_II)</f>
        <v>6.3632071470147088E-7</v>
      </c>
      <c r="N75" s="518">
        <f>CHOOSE(Table25[[#This Row],[Mode Digit]],1/Fsw-Table25[[#This Row],[t1_Ph_II]],1/Fsw-Table25[[#This Row],[t1_Ph_II]],(Vout/Fsw-Table25[[#This Row],[Vin]]*t1_Ph_II)/(Table25[[#This Row],[Vin]]+Vout))</f>
        <v>1.876242099368881E-6</v>
      </c>
      <c r="O75" s="518">
        <f>1/Fsw-(Table25[[#This Row],[t1_Ph_II]]+Table25[[#This Row],[t2_Ph_I]])</f>
        <v>0</v>
      </c>
      <c r="P75"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5.2894572667845718</v>
      </c>
      <c r="Q75" s="292">
        <f>CHOOSE(Table25[[#This Row],[Mode Digit]],Table25[[#This Row],[I_0]]+1/Lf*(Table25[[#This Row],[Vin]]-Vout)*Table25[[#This Row],[t1_Ph_II]],Table25[[#This Row],[I_0]]+1/Lf*Table25[[#This Row],[Vin]]*Table25[[#This Row],[t1_Ph_II]],Table25[[#This Row],[I_0]]+(Table25[[#This Row],[Vin]]-Vout)/L*Table25[[#This Row],[t1_Ph_II]])</f>
        <v>9.5315953647943772</v>
      </c>
      <c r="R75" s="292">
        <f>CHOOSE(Table25[[#This Row],[Mode Digit]],0,0,Table25[[#This Row],[I_1]]+Table25[[#This Row],[Vin]]/L*Table25[[#This Row],[t2_Ph_I]])</f>
        <v>0</v>
      </c>
      <c r="S75" s="292">
        <f>Fsw*(Table25[[#This Row],[I_0]]*Table25[[#This Row],[t1_Ph_II]]+Table25[[#This Row],[I_1]]*Table25[[#This Row],[t2_Ph_I]]+Table25[[#This Row],[I_2]]*Table25[[#This Row],[t3_Ph_III]])</f>
        <v>8.4572499469319791</v>
      </c>
      <c r="T75" s="345">
        <f>CHOOSE(Table25[[#This Row],[Mode Digit]],(Vout+(Rdson2+Rs+Rdcr)*Table25[[#This Row],[Iout]])/(Table25[[#This Row],[Vin]]+(Rs+Rdson2-Rdson1)*Table25[[#This Row],[Iout]]),1,Fsw*Table25[[#This Row],[t2_Ph_I]]+Table25[[#This Row],[t1_Ph_II]])</f>
        <v>1</v>
      </c>
      <c r="U75" s="345">
        <f>CHOOSE(Table25[[#This Row],[Mode Digit]],0,(Vout+(Rdson3+Rdcr)*Table25[[#This Row],[Iin]]-Table25[[#This Row],[Vin]])/(Vout+(Rdson3-Rdson4-Rs)*Table25[[#This Row],[Iin]]),Fsw*Table25[[#This Row],[t1_Ph_II]]+Table25[[#This Row],[t3_Ph_III]])</f>
        <v>0.25325564445118542</v>
      </c>
      <c r="V75" s="292">
        <f>MAX(Table25[[#This Row],[I_0]:[I_2]])-MIN(Table25[[#This Row],[I_0]:[I_1]])</f>
        <v>4.2421380980098053</v>
      </c>
      <c r="W75"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7.5110282194843681</v>
      </c>
      <c r="X75" s="345">
        <f>(Table25[[#This Row],[Irms Lf]]^2*Rdcr*(1+Ltc*Ta-Ltc*25))/(1-Table25[[#This Row],[Irms Lf]]^2*Rdcr*Ltc*ThetaCa)</f>
        <v>0.18317522990942695</v>
      </c>
      <c r="Y75" s="345">
        <f>ABS(7.759*10^-3*Fsw^0.9458*(0.00787*Table25[[#This Row],[Ripple Current pk-pk]])^2.304)</f>
        <v>0.60877432730791714</v>
      </c>
      <c r="Z75" s="345">
        <f>Table25[[#This Row],[DCR    Loss]]+Table25[[#This Row],[Core Loss]]</f>
        <v>0.79194955721734406</v>
      </c>
      <c r="AA75" s="292">
        <f>IF(Table25[[#This Row],[Vin]]&gt;Vout, Table25[[#This Row],[Ripple Current pk-pk]]/SQRT(12), SQRT(Table25[[#This Row],[Duty Cycle BOOST Leg]]/(1-Table25[[#This Row],[Duty Cycle BOOST Leg]]))*SQRT(Table25[[#This Row],[Iout]]^2+(Table25[[#This Row],[Ripple Current pk-pk]]^2)/12))</f>
        <v>3.1564944906768653</v>
      </c>
      <c r="AB75" s="345">
        <f>RCoutEsr*Table25[[#This Row],[Irms Cout]]^2</f>
        <v>1.9926914939346806E-2</v>
      </c>
      <c r="AC75" s="345">
        <f>Table25[[#This Row],[Cout ESR Loss]]</f>
        <v>1.9926914939346806E-2</v>
      </c>
      <c r="AD75" s="292">
        <f>IF(Table25[[#This Row],[Vin]]&gt;Vout, SQRT(Table25[[#This Row],[Duty Cycle BUCK Leg]]*(1-Table25[[#This Row],[Duty Cycle BUCK Leg]]))*SQRT(Table25[[#This Row],[Iout]]^2+(Table25[[#This Row],[Ripple Current pk-pk]]^2)/12), Table25[[#This Row],[Ripple Current pk-pk]]/SQRT(12))</f>
        <v>1.2245997864127642</v>
      </c>
      <c r="AE75" s="345">
        <f>RCinEsr*Table25[[#This Row],[Irms Cin]]^2</f>
        <v>2.9992892737643758E-3</v>
      </c>
      <c r="AF75" s="683">
        <f>Table25[[#This Row],[Cin ESR Loss]]</f>
        <v>2.9992892737643758E-3</v>
      </c>
      <c r="AG75" s="345">
        <f>Table25[[#This Row],[Irms Lf]]</f>
        <v>7.5110282194843681</v>
      </c>
      <c r="AH75" s="345">
        <f>Rdson1*Table25[[#This Row],[Irms BuCtrl]]^2</f>
        <v>0.19745440719861682</v>
      </c>
      <c r="AI75" s="345">
        <f>CHOOSE(Table25[[#This Row],[Mode Digit]], (Table25[[#This Row],[Vin]]*Table25[[#This Row],[Iout]]/2)*(Fsw)*(Tr_buck+Tf_buck), 0, (Table25[[#This Row],[Vin]]*Table25[[#This Row],[Avg IL]]/2)*(Fsw/1)*(Tr_buck+Tf_buck))</f>
        <v>0</v>
      </c>
      <c r="AJ75" s="253">
        <f>IF(Table25[[#This Row],[Vin]]&gt;Vout, IF(Table25[[#This Row],[Iout]]&gt;Table25[[#This Row],[Ripple Current pk-pk]]/2,0,ABS(Table25[[#This Row],[Iout]]-Table25[[#This Row],[Ripple Current pk-pk]]/2)*Vsd_Q1*Deadtime*Fsw),0)</f>
        <v>0</v>
      </c>
      <c r="AK75" s="345">
        <f>(Table25[[#This Row],[Dead Time Loss BuCtrl]]+Table25[[#This Row],[Transition Loss BuCtrl]]+Table25[[#This Row],[RDS(on) Loss BuCtrl]]*(1+RdsonTopTc*Ta-RdsonTopTc*25))/(1-Table25[[#This Row],[RDS(on) Loss BuCtrl]]*RdsonTopTc*ThetaJA_Q1)</f>
        <v>0.20813992503160147</v>
      </c>
      <c r="AL75" s="345">
        <f>Table25[[#This Row],[Irms Lf]]</f>
        <v>7.5110282194843681</v>
      </c>
      <c r="AM75" s="345">
        <f>Rdson2*Table25[[#This Row],[Irms BuSync]]^2</f>
        <v>0.19745440719861682</v>
      </c>
      <c r="AN75"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75" s="345">
        <f>(Table25[[#This Row],[Deadtime Loss BuSync]]+Table25[[#This Row],[RDS(on) Loss BuSync]]*(1+RdsonBotTc*Ta-RdsonBotTc*25))/(1-Table25[[#This Row],[RDS(on) Loss BuSync]]*RdsonBotTc*ThetaJA_Q2)</f>
        <v>0.20813992503160147</v>
      </c>
      <c r="AP75" s="345">
        <f>Table25[[#This Row],[Irms Lf]]</f>
        <v>7.5110282194843681</v>
      </c>
      <c r="AQ75" s="345">
        <f>Rdson4*Table25[[#This Row],[Irms BoCtlr]]^2</f>
        <v>0.19745440719861682</v>
      </c>
      <c r="AR75" s="345">
        <f>CHOOSE(Table25[[#This Row],[Mode Digit]], 0, (Vout*Table25[[#This Row],[Iin]]/2)*(Fsw)*(Tr_boost+Tf_boost), (Vout*Iout/2)*(Fsw/1)*(Tr_boost+Tf_boost))</f>
        <v>0.44059581452908231</v>
      </c>
      <c r="AS75" s="345">
        <f>IF(Table25[[#This Row],[Vin]]&gt;Vout, 0, IF(Table25[[#This Row],[Iin]]&gt;Table25[[#This Row],[Ripple Current pk-pk]]/2,0,ABS(Table25[[#This Row],[Iin]]-Table25[[#This Row],[Ripple Current pk-pk]]/2)*Vsd_Q4*Deadtime*Fsw))</f>
        <v>0</v>
      </c>
      <c r="AT75" s="345">
        <f>(Table25[[#This Row],[Dead Time Loss BoCtlr]]+Table25[[#This Row],[Transition Loss BoCtlr]]+Table25[[#This Row],[RDS(on) Loss BoCtlr]]*(1+RdsonTopTc*Ta-RdsonTopTc*25))/(1-Table25[[#This Row],[RDS(on) Loss BoCtlr]]*RdsonTopTc*ThetaJA_Q4)</f>
        <v>0.67257919031006708</v>
      </c>
      <c r="AU75" s="345">
        <f>Table25[[#This Row],[Irms Lf]]</f>
        <v>7.5110282194843681</v>
      </c>
      <c r="AV75" s="345">
        <f>Rdson3*Table25[[#This Row],[Irms BoSync]]^2</f>
        <v>0.19745440719861682</v>
      </c>
      <c r="AW75"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0.22120421052631578</v>
      </c>
      <c r="AX75" s="345">
        <f>(Table25[[#This Row],[Deadtime Loss BoSync]]+Table25[[#This Row],[RDS(on) Loss BoSync]]*(1+RdsonBotTc*Ta-RdsonBotTc*25))/(1-Table25[[#This Row],[RDS(on) Loss BoSync]]*RdsonBotTc*ThetaJA_Q3)</f>
        <v>0.44131490678477903</v>
      </c>
      <c r="AY75" s="345">
        <f>CHOOSE(Table25[[#This Row],[Mode Digit]], Rdson3*Table25[[#This Row],[Irms Lf]]^2, Rdson1*Table25[[#This Row],[Irms Lf]]^2, 0)</f>
        <v>0.19745440719861682</v>
      </c>
      <c r="AZ75" s="345">
        <f>CHOOSE(Table25[[#This Row],[Mode Digit]], 2*Deadtime*Fsw*IF(VfdSky_Q2&gt;0,VfdSky_Q2,0)*Table25[[#This Row],[Iout]], 2*Deadtime*Fsw*IF(VfdSky_Q3&gt;0,VfdSky_Q3,0)*Table25[[#This Row],[Iin]], 2*Deadtime*Fsw*IF(VfdSky_Q2&gt;0,VfdSky_Q2,0)*Table25[[#This Row],[Iout]]+2*Deadtime*Fsw*IF(VfdSky_Q3&gt;0,VfdSky_Q3,0)*Table25[[#This Row],[Iin]])</f>
        <v>0</v>
      </c>
      <c r="BA75"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75"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75" s="345">
        <f>CHOOSE(Table25[[#This Row],[Mode Digit]], Rs*Table25[[#This Row],[Irms BuSync]]^2, Rs*Table25[[#This Row],[Irms BoCtlr]]^2, Rs*(Table25[[#This Row],[Irms BuSync]]^2+Table25[[#This Row],[Irms BoCtlr]]^2))</f>
        <v>7.3340208388057659E-2</v>
      </c>
      <c r="BD75" s="345">
        <f t="shared" si="9"/>
        <v>0.64</v>
      </c>
      <c r="BE75" s="345">
        <f>IF(Vout&gt;8, Iq*Vout, Iq*Table25[[#This Row],[Vin]])</f>
        <v>4.8000000000000001E-2</v>
      </c>
      <c r="BF75" s="345">
        <f>CHOOSE(Table25[[#This Row],[Mode Digit]], (Qg_Q1+Qg_Q2)*Fsw, (Qg_Q3+Qg_Q4)*Fsw, (Qg_Q1+Qg_Q2+Qg_Q3+Qg_Q4)*Fsw)*IF(Vout&gt;8,  MIN( Table25[[#This Row],[Vin]], Vout), Table25[[#This Row],[Vin]])</f>
        <v>0.63998400000000011</v>
      </c>
      <c r="BG75" s="345">
        <f t="shared" si="10"/>
        <v>0.50594479787234037</v>
      </c>
      <c r="BH75" s="345">
        <f>Table25[[#This Row],[IQ Loss]]+Table25[[#This Row],[Switching Current Loss]]</f>
        <v>0.68798400000000015</v>
      </c>
      <c r="BI75"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4.4595899169765616</v>
      </c>
      <c r="BJ75" s="253">
        <f>Vout*Table25[[#This Row],[Iout]]</f>
        <v>84.48</v>
      </c>
      <c r="BK75" s="684">
        <f>Table25[[#This Row],[Pout]]/(Table25[[#This Row],[Pout]]+Table25[[#This Row],[Total Loss]])</f>
        <v>0.94985821363535072</v>
      </c>
      <c r="BL75" s="685">
        <f>IF(Table25[[#This Row],[Vin]]&gt;Vout,ThetaJA_Q1*(Table25[[#This Row],[Total Control Bu MOSFET Loss]]+Table25[[#This Row],[Reverse Recovery Loss MOSFET D BUCK]]),ThetaJA_Q4*(Table25[[#This Row],[Total Control Bo MOSFET Loss]]+Table25[[#This Row],[Reverse Recovery Loss MOSFET D BOOST]]))</f>
        <v>66.897167370154364</v>
      </c>
      <c r="BM75" s="685">
        <f>IF(Table25[[#This Row],[Vin]]&gt;Vout, Table25[[#This Row],[Total Sync Bu MOSFET Loss]]*ThetaJA_Q2, ThetaJA_Q3*Table25[[#This Row],[Total Sync Bo MOSFET Loss]])</f>
        <v>28.685468941010637</v>
      </c>
      <c r="BN75" s="640"/>
      <c r="BO75" s="292">
        <f>Table25[[#This Row],[EFF, h]]*100</f>
        <v>94.985821363535067</v>
      </c>
      <c r="BP75" s="345">
        <f>Table25[[#This Row],[Total Inductor Loss]]</f>
        <v>0.79194955721734406</v>
      </c>
      <c r="BQ75" s="345">
        <f>Table25[[#This Row],[Total Control Bu MOSFET Loss]]+Table25[[#This Row],[Total Sync Bu MOSFET Loss]]+Table25[[#This Row],[Total Control Bo MOSFET Loss]]+Table25[[#This Row],[Total Sync Bo MOSFET Loss]]+Table25[[#This Row],[Reverse Recovery Loss MOSFET D BUCK]]+Table25[[#This Row],[Reverse Recovery Loss MOSFET D BOOST]]</f>
        <v>2.243389947158049</v>
      </c>
      <c r="BR75" s="345">
        <f xml:space="preserve"> Table25[[#This Row],[Total Control Bu MOSFET Loss]]+Table25[[#This Row],[Reverse Recovery Loss MOSFET D BUCK]]*0.66</f>
        <v>0.44350120503160151</v>
      </c>
      <c r="BS75" s="345">
        <f>Table25[[#This Row],[Total Sync Bu MOSFET Loss]]+Table25[[#This Row],[Reverse Recovery Loss MOSFET D BUCK]]*0.33</f>
        <v>0.32582056503160151</v>
      </c>
      <c r="BT75" s="345">
        <f xml:space="preserve"> Table25[[#This Row],[Total Control Bo MOSFET Loss]]+Table25[[#This Row],[Reverse Recovery Loss MOSFET D BOOST]]*0.66</f>
        <v>0.90794047031006708</v>
      </c>
      <c r="BU75" s="345">
        <f xml:space="preserve"> Table25[[#This Row],[Total Sync Bo MOSFET Loss]]+Table25[[#This Row],[Reverse Recovery Loss MOSFET D BOOST]]*0.33</f>
        <v>0.55899554678477903</v>
      </c>
      <c r="BV75" s="345">
        <f>Table25[[#This Row],[Isense Shunt Loss]]</f>
        <v>7.3340208388057659E-2</v>
      </c>
      <c r="CB75" s="686"/>
      <c r="CC75" s="686"/>
    </row>
    <row r="76" spans="1:81" ht="13.6" x14ac:dyDescent="0.25">
      <c r="A76" s="715" t="s">
        <v>121</v>
      </c>
      <c r="B76" s="718">
        <f>B75*B62</f>
        <v>20.639520000000005</v>
      </c>
      <c r="C76" s="255" t="s">
        <v>600</v>
      </c>
      <c r="G76" s="253">
        <v>67</v>
      </c>
      <c r="H76" s="286">
        <f t="shared" si="8"/>
        <v>12</v>
      </c>
      <c r="I76" s="292" t="str">
        <f>IF(Mode = 2,IF(Table25[[#This Row],[Vin]]&gt;Vout, "BUCK","BOOST"),IF(Table25[[#This Row],[Vin]]&gt;VIN_BB_to_buck, "BUCK", IF(Table25[[#This Row],[Vin]]&lt;=VIN_boost_to_BB,"BOOST","BUCK-BST")))</f>
        <v>BOOST</v>
      </c>
      <c r="J76" s="253">
        <f>IF(Table25[[#This Row],[Mode]]="BOOST",2, IF(Table25[[#This Row],[Mode]]="BUCK", 1,3))</f>
        <v>2</v>
      </c>
      <c r="K76" s="345">
        <f t="shared" si="11"/>
        <v>5.36</v>
      </c>
      <c r="L76" s="292">
        <f>Vout*Table25[[#This Row],[Iout]]/(Table25[[#This Row],[Vin]]*Efficiency)</f>
        <v>7.5228070175438608</v>
      </c>
      <c r="M76" s="682">
        <f>CHOOSE(Table25[[#This Row],[Mode Digit]],(Vout+(Rdson2+Rs+Rdcr)*Table25[[#This Row],[Iout]])/(Table25[[#This Row],[Vin]]+(Rs+Rdson2-Rdson1)*Table25[[#This Row],[Iout]])/Fsw,(Vout+(Rdson3+Rdcr)*Table25[[#This Row],[Iin]]-Table25[[#This Row],[Vin]])/(Vout+(Rdson3-Rdson4-Rs)*Table25[[#This Row],[Iin]])/Fsw,t1_Ph_II)</f>
        <v>6.3644473006653529E-7</v>
      </c>
      <c r="N76" s="518">
        <f>CHOOSE(Table25[[#This Row],[Mode Digit]],1/Fsw-Table25[[#This Row],[t1_Ph_II]],1/Fsw-Table25[[#This Row],[t1_Ph_II]],(Vout/Fsw-Table25[[#This Row],[Vin]]*t1_Ph_II)/(Table25[[#This Row],[Vin]]+Vout))</f>
        <v>1.8761180840038166E-6</v>
      </c>
      <c r="O76" s="518">
        <f>1/Fsw-(Table25[[#This Row],[t1_Ph_II]]+Table25[[#This Row],[t2_Ph_I]])</f>
        <v>0</v>
      </c>
      <c r="P76"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5.4013245839887434</v>
      </c>
      <c r="Q76" s="292">
        <f>CHOOSE(Table25[[#This Row],[Mode Digit]],Table25[[#This Row],[I_0]]+1/Lf*(Table25[[#This Row],[Vin]]-Vout)*Table25[[#This Row],[t1_Ph_II]],Table25[[#This Row],[I_0]]+1/Lf*Table25[[#This Row],[Vin]]*Table25[[#This Row],[t1_Ph_II]],Table25[[#This Row],[I_0]]+(Table25[[#This Row],[Vin]]-Vout)/L*Table25[[#This Row],[t1_Ph_II]])</f>
        <v>9.6442894510989774</v>
      </c>
      <c r="R76" s="292">
        <f>CHOOSE(Table25[[#This Row],[Mode Digit]],0,0,Table25[[#This Row],[I_1]]+Table25[[#This Row],[Vin]]/L*Table25[[#This Row],[t2_Ph_I]])</f>
        <v>0</v>
      </c>
      <c r="S76" s="292">
        <f>Fsw*(Table25[[#This Row],[I_0]]*Table25[[#This Row],[t1_Ph_II]]+Table25[[#This Row],[I_1]]*Table25[[#This Row],[t2_Ph_I]]+Table25[[#This Row],[I_2]]*Table25[[#This Row],[t3_Ph_III]])</f>
        <v>8.5695252245461297</v>
      </c>
      <c r="T76" s="345">
        <f>CHOOSE(Table25[[#This Row],[Mode Digit]],(Vout+(Rdson2+Rs+Rdcr)*Table25[[#This Row],[Iout]])/(Table25[[#This Row],[Vin]]+(Rs+Rdson2-Rdson1)*Table25[[#This Row],[Iout]]),1,Fsw*Table25[[#This Row],[t2_Ph_I]]+Table25[[#This Row],[t1_Ph_II]])</f>
        <v>1</v>
      </c>
      <c r="U76" s="345">
        <f>CHOOSE(Table25[[#This Row],[Mode Digit]],0,(Vout+(Rdson3+Rdcr)*Table25[[#This Row],[Iin]]-Table25[[#This Row],[Vin]])/(Vout+(Rdson3-Rdson4-Rs)*Table25[[#This Row],[Iin]]),Fsw*Table25[[#This Row],[t1_Ph_II]]+Table25[[#This Row],[t3_Ph_III]])</f>
        <v>0.25330500256648103</v>
      </c>
      <c r="V76" s="292">
        <f>MAX(Table25[[#This Row],[I_0]:[I_2]])-MIN(Table25[[#This Row],[I_0]:[I_1]])</f>
        <v>4.242964867110234</v>
      </c>
      <c r="W76"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7.6218668751057832</v>
      </c>
      <c r="X76" s="345">
        <f>(Table25[[#This Row],[Irms Lf]]^2*Rdcr*(1+Ltc*Ta-Ltc*25))/(1-Table25[[#This Row],[Irms Lf]]^2*Rdcr*Ltc*ThetaCa)</f>
        <v>0.1887034899686047</v>
      </c>
      <c r="Y76" s="345">
        <f>ABS(7.759*10^-3*Fsw^0.9458*(0.00787*Table25[[#This Row],[Ripple Current pk-pk]])^2.304)</f>
        <v>0.60904772410521157</v>
      </c>
      <c r="Z76" s="345">
        <f>Table25[[#This Row],[DCR    Loss]]+Table25[[#This Row],[Core Loss]]</f>
        <v>0.79775121407381633</v>
      </c>
      <c r="AA76" s="292">
        <f>IF(Table25[[#This Row],[Vin]]&gt;Vout, Table25[[#This Row],[Ripple Current pk-pk]]/SQRT(12), SQRT(Table25[[#This Row],[Duty Cycle BOOST Leg]]/(1-Table25[[#This Row],[Duty Cycle BOOST Leg]]))*SQRT(Table25[[#This Row],[Iout]]^2+(Table25[[#This Row],[Ripple Current pk-pk]]^2)/12))</f>
        <v>3.2023449361275693</v>
      </c>
      <c r="AB76" s="345">
        <f>RCoutEsr*Table25[[#This Row],[Irms Cout]]^2</f>
        <v>2.0510026179883775E-2</v>
      </c>
      <c r="AC76" s="345">
        <f>Table25[[#This Row],[Cout ESR Loss]]</f>
        <v>2.0510026179883775E-2</v>
      </c>
      <c r="AD76" s="292">
        <f>IF(Table25[[#This Row],[Vin]]&gt;Vout, SQRT(Table25[[#This Row],[Duty Cycle BUCK Leg]]*(1-Table25[[#This Row],[Duty Cycle BUCK Leg]]))*SQRT(Table25[[#This Row],[Iout]]^2+(Table25[[#This Row],[Ripple Current pk-pk]]^2)/12), Table25[[#This Row],[Ripple Current pk-pk]]/SQRT(12))</f>
        <v>1.2248384540941093</v>
      </c>
      <c r="AE76" s="345">
        <f>RCinEsr*Table25[[#This Row],[Irms Cin]]^2</f>
        <v>3.0004584772552949E-3</v>
      </c>
      <c r="AF76" s="683">
        <f>Table25[[#This Row],[Cin ESR Loss]]</f>
        <v>3.0004584772552949E-3</v>
      </c>
      <c r="AG76" s="345">
        <f>Table25[[#This Row],[Irms Lf]]</f>
        <v>7.6218668751057832</v>
      </c>
      <c r="AH76" s="345">
        <f>Rdson1*Table25[[#This Row],[Irms BuCtrl]]^2</f>
        <v>0.20332499131642182</v>
      </c>
      <c r="AI76" s="345">
        <f>CHOOSE(Table25[[#This Row],[Mode Digit]], (Table25[[#This Row],[Vin]]*Table25[[#This Row],[Iout]]/2)*(Fsw)*(Tr_buck+Tf_buck), 0, (Table25[[#This Row],[Vin]]*Table25[[#This Row],[Avg IL]]/2)*(Fsw/1)*(Tr_buck+Tf_buck))</f>
        <v>0</v>
      </c>
      <c r="AJ76" s="253">
        <f>IF(Table25[[#This Row],[Vin]]&gt;Vout, IF(Table25[[#This Row],[Iout]]&gt;Table25[[#This Row],[Ripple Current pk-pk]]/2,0,ABS(Table25[[#This Row],[Iout]]-Table25[[#This Row],[Ripple Current pk-pk]]/2)*Vsd_Q1*Deadtime*Fsw),0)</f>
        <v>0</v>
      </c>
      <c r="AK76" s="345">
        <f>(Table25[[#This Row],[Dead Time Loss BuCtrl]]+Table25[[#This Row],[Transition Loss BuCtrl]]+Table25[[#This Row],[RDS(on) Loss BuCtrl]]*(1+RdsonTopTc*Ta-RdsonTopTc*25))/(1-Table25[[#This Row],[RDS(on) Loss BuCtrl]]*RdsonTopTc*ThetaJA_Q1)</f>
        <v>0.21467360354642678</v>
      </c>
      <c r="AL76" s="345">
        <f>Table25[[#This Row],[Irms Lf]]</f>
        <v>7.6218668751057832</v>
      </c>
      <c r="AM76" s="345">
        <f>Rdson2*Table25[[#This Row],[Irms BuSync]]^2</f>
        <v>0.20332499131642182</v>
      </c>
      <c r="AN76"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76" s="345">
        <f>(Table25[[#This Row],[Deadtime Loss BuSync]]+Table25[[#This Row],[RDS(on) Loss BuSync]]*(1+RdsonBotTc*Ta-RdsonBotTc*25))/(1-Table25[[#This Row],[RDS(on) Loss BuSync]]*RdsonBotTc*ThetaJA_Q2)</f>
        <v>0.21467360354642678</v>
      </c>
      <c r="AP76" s="345">
        <f>Table25[[#This Row],[Irms Lf]]</f>
        <v>7.6218668751057832</v>
      </c>
      <c r="AQ76" s="345">
        <f>Rdson4*Table25[[#This Row],[Irms BoCtlr]]^2</f>
        <v>0.20332499131642182</v>
      </c>
      <c r="AR76" s="345">
        <f>CHOOSE(Table25[[#This Row],[Mode Digit]], 0, (Vout*Table25[[#This Row],[Iin]]/2)*(Fsw)*(Tr_boost+Tf_boost), (Vout*Iout/2)*(Fsw/1)*(Tr_boost+Tf_boost))</f>
        <v>0.44727150868861387</v>
      </c>
      <c r="AS76" s="345">
        <f>IF(Table25[[#This Row],[Vin]]&gt;Vout, 0, IF(Table25[[#This Row],[Iin]]&gt;Table25[[#This Row],[Ripple Current pk-pk]]/2,0,ABS(Table25[[#This Row],[Iin]]-Table25[[#This Row],[Ripple Current pk-pk]]/2)*Vsd_Q4*Deadtime*Fsw))</f>
        <v>0</v>
      </c>
      <c r="AT76" s="345">
        <f>(Table25[[#This Row],[Dead Time Loss BoCtlr]]+Table25[[#This Row],[Transition Loss BoCtlr]]+Table25[[#This Row],[RDS(on) Loss BoCtlr]]*(1+RdsonTopTc*Ta-RdsonTopTc*25))/(1-Table25[[#This Row],[RDS(on) Loss BoCtlr]]*RdsonTopTc*ThetaJA_Q4)</f>
        <v>0.68690963273383687</v>
      </c>
      <c r="AU76" s="345">
        <f>Table25[[#This Row],[Irms Lf]]</f>
        <v>7.6218668751057832</v>
      </c>
      <c r="AV76" s="345">
        <f>Rdson3*Table25[[#This Row],[Irms BoSync]]^2</f>
        <v>0.20332499131642182</v>
      </c>
      <c r="AW76"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0.22455578947368421</v>
      </c>
      <c r="AX76" s="345">
        <f>(Table25[[#This Row],[Deadtime Loss BoSync]]+Table25[[#This Row],[RDS(on) Loss BoSync]]*(1+RdsonBotTc*Ta-RdsonBotTc*25))/(1-Table25[[#This Row],[RDS(on) Loss BoSync]]*RdsonBotTc*ThetaJA_Q3)</f>
        <v>0.45176300515622841</v>
      </c>
      <c r="AY76" s="345">
        <f>CHOOSE(Table25[[#This Row],[Mode Digit]], Rdson3*Table25[[#This Row],[Irms Lf]]^2, Rdson1*Table25[[#This Row],[Irms Lf]]^2, 0)</f>
        <v>0.20332499131642182</v>
      </c>
      <c r="AZ76" s="345">
        <f>CHOOSE(Table25[[#This Row],[Mode Digit]], 2*Deadtime*Fsw*IF(VfdSky_Q2&gt;0,VfdSky_Q2,0)*Table25[[#This Row],[Iout]], 2*Deadtime*Fsw*IF(VfdSky_Q3&gt;0,VfdSky_Q3,0)*Table25[[#This Row],[Iin]], 2*Deadtime*Fsw*IF(VfdSky_Q2&gt;0,VfdSky_Q2,0)*Table25[[#This Row],[Iout]]+2*Deadtime*Fsw*IF(VfdSky_Q3&gt;0,VfdSky_Q3,0)*Table25[[#This Row],[Iin]])</f>
        <v>0</v>
      </c>
      <c r="BA76"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76"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76" s="345">
        <f>CHOOSE(Table25[[#This Row],[Mode Digit]], Rs*Table25[[#This Row],[Irms BuSync]]^2, Rs*Table25[[#This Row],[Irms BoCtlr]]^2, Rs*(Table25[[#This Row],[Irms BuSync]]^2+Table25[[#This Row],[Irms BoCtlr]]^2))</f>
        <v>7.5520711060385229E-2</v>
      </c>
      <c r="BD76" s="345">
        <f t="shared" si="9"/>
        <v>0.64</v>
      </c>
      <c r="BE76" s="345">
        <f>IF(Vout&gt;8, Iq*Vout, Iq*Table25[[#This Row],[Vin]])</f>
        <v>4.8000000000000001E-2</v>
      </c>
      <c r="BF76" s="345">
        <f>CHOOSE(Table25[[#This Row],[Mode Digit]], (Qg_Q1+Qg_Q2)*Fsw, (Qg_Q3+Qg_Q4)*Fsw, (Qg_Q1+Qg_Q2+Qg_Q3+Qg_Q4)*Fsw)*IF(Vout&gt;8,  MIN( Table25[[#This Row],[Vin]], Vout), Table25[[#This Row],[Vin]])</f>
        <v>0.63998400000000011</v>
      </c>
      <c r="BG76" s="345">
        <f t="shared" si="10"/>
        <v>0.50594479787234037</v>
      </c>
      <c r="BH76" s="345">
        <f>Table25[[#This Row],[IQ Loss]]+Table25[[#This Row],[Switching Current Loss]]</f>
        <v>0.68798400000000015</v>
      </c>
      <c r="BI76"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4.5060022547742591</v>
      </c>
      <c r="BJ76" s="253">
        <f>Vout*Table25[[#This Row],[Iout]]</f>
        <v>85.76</v>
      </c>
      <c r="BK76" s="684">
        <f>Table25[[#This Row],[Pout]]/(Table25[[#This Row],[Pout]]+Table25[[#This Row],[Total Loss]])</f>
        <v>0.95008084835688034</v>
      </c>
      <c r="BL76" s="685">
        <f>IF(Table25[[#This Row],[Vin]]&gt;Vout,ThetaJA_Q1*(Table25[[#This Row],[Total Control Bu MOSFET Loss]]+Table25[[#This Row],[Reverse Recovery Loss MOSFET D BUCK]]),ThetaJA_Q4*(Table25[[#This Row],[Total Control Bo MOSFET Loss]]+Table25[[#This Row],[Reverse Recovery Loss MOSFET D BOOST]]))</f>
        <v>67.8286461276994</v>
      </c>
      <c r="BM76" s="685">
        <f>IF(Table25[[#This Row],[Vin]]&gt;Vout, Table25[[#This Row],[Total Sync Bu MOSFET Loss]]*ThetaJA_Q2, ThetaJA_Q3*Table25[[#This Row],[Total Sync Bo MOSFET Loss]])</f>
        <v>29.364595335154846</v>
      </c>
      <c r="BN76" s="640"/>
      <c r="BO76" s="292">
        <f>Table25[[#This Row],[EFF, h]]*100</f>
        <v>95.008084835688038</v>
      </c>
      <c r="BP76" s="345">
        <f>Table25[[#This Row],[Total Inductor Loss]]</f>
        <v>0.79775121407381633</v>
      </c>
      <c r="BQ76" s="345">
        <f>Table25[[#This Row],[Total Control Bu MOSFET Loss]]+Table25[[#This Row],[Total Sync Bu MOSFET Loss]]+Table25[[#This Row],[Total Control Bo MOSFET Loss]]+Table25[[#This Row],[Total Sync Bo MOSFET Loss]]+Table25[[#This Row],[Reverse Recovery Loss MOSFET D BUCK]]+Table25[[#This Row],[Reverse Recovery Loss MOSFET D BOOST]]</f>
        <v>2.2812358449829189</v>
      </c>
      <c r="BR76" s="345">
        <f xml:space="preserve"> Table25[[#This Row],[Total Control Bu MOSFET Loss]]+Table25[[#This Row],[Reverse Recovery Loss MOSFET D BUCK]]*0.66</f>
        <v>0.45003488354642679</v>
      </c>
      <c r="BS76" s="345">
        <f>Table25[[#This Row],[Total Sync Bu MOSFET Loss]]+Table25[[#This Row],[Reverse Recovery Loss MOSFET D BUCK]]*0.33</f>
        <v>0.33235424354642679</v>
      </c>
      <c r="BT76" s="345">
        <f xml:space="preserve"> Table25[[#This Row],[Total Control Bo MOSFET Loss]]+Table25[[#This Row],[Reverse Recovery Loss MOSFET D BOOST]]*0.66</f>
        <v>0.92227091273383688</v>
      </c>
      <c r="BU76" s="345">
        <f xml:space="preserve"> Table25[[#This Row],[Total Sync Bo MOSFET Loss]]+Table25[[#This Row],[Reverse Recovery Loss MOSFET D BOOST]]*0.33</f>
        <v>0.56944364515622836</v>
      </c>
      <c r="BV76" s="345">
        <f>Table25[[#This Row],[Isense Shunt Loss]]</f>
        <v>7.5520711060385229E-2</v>
      </c>
      <c r="CB76" s="686"/>
      <c r="CC76" s="686"/>
    </row>
    <row r="77" spans="1:81" ht="13.6" x14ac:dyDescent="0.25">
      <c r="A77" s="715" t="s">
        <v>241</v>
      </c>
      <c r="B77" s="718">
        <f>(Qg_Q1+Qg_Q2)*Fsw+Iq</f>
        <v>5.6332000000000007E-2</v>
      </c>
      <c r="C77" s="255" t="s">
        <v>2</v>
      </c>
      <c r="G77" s="253">
        <v>68</v>
      </c>
      <c r="H77" s="286">
        <f t="shared" si="8"/>
        <v>12</v>
      </c>
      <c r="I77" s="292" t="str">
        <f>IF(Mode = 2,IF(Table25[[#This Row],[Vin]]&gt;Vout, "BUCK","BOOST"),IF(Table25[[#This Row],[Vin]]&gt;VIN_BB_to_buck, "BUCK", IF(Table25[[#This Row],[Vin]]&lt;=VIN_boost_to_BB,"BOOST","BUCK-BST")))</f>
        <v>BOOST</v>
      </c>
      <c r="J77" s="253">
        <f>IF(Table25[[#This Row],[Mode]]="BOOST",2, IF(Table25[[#This Row],[Mode]]="BUCK", 1,3))</f>
        <v>2</v>
      </c>
      <c r="K77" s="345">
        <f t="shared" si="11"/>
        <v>5.44</v>
      </c>
      <c r="L77" s="292">
        <f>Vout*Table25[[#This Row],[Iout]]/(Table25[[#This Row],[Vin]]*Efficiency)</f>
        <v>7.6350877192982471</v>
      </c>
      <c r="M77" s="682">
        <f>CHOOSE(Table25[[#This Row],[Mode Digit]],(Vout+(Rdson2+Rs+Rdcr)*Table25[[#This Row],[Iout]])/(Table25[[#This Row],[Vin]]+(Rs+Rdson2-Rdson1)*Table25[[#This Row],[Iout]])/Fsw,(Vout+(Rdson3+Rdcr)*Table25[[#This Row],[Iin]]-Table25[[#This Row],[Vin]])/(Vout+(Rdson3-Rdson4-Rs)*Table25[[#This Row],[Iin]])/Fsw,t1_Ph_II)</f>
        <v>6.3656874769574058E-7</v>
      </c>
      <c r="N77" s="518">
        <f>CHOOSE(Table25[[#This Row],[Mode Digit]],1/Fsw-Table25[[#This Row],[t1_Ph_II]],1/Fsw-Table25[[#This Row],[t1_Ph_II]],(Vout/Fsw-Table25[[#This Row],[Vin]]*t1_Ph_II)/(Table25[[#This Row],[Vin]]+Vout))</f>
        <v>1.8759940663746113E-6</v>
      </c>
      <c r="O77" s="518">
        <f>1/Fsw-(Table25[[#This Row],[t1_Ph_II]]+Table25[[#This Row],[t2_Ph_I]])</f>
        <v>0</v>
      </c>
      <c r="P77"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5.5131918936457787</v>
      </c>
      <c r="Q77" s="292">
        <f>CHOOSE(Table25[[#This Row],[Mode Digit]],Table25[[#This Row],[I_0]]+1/Lf*(Table25[[#This Row],[Vin]]-Vout)*Table25[[#This Row],[t1_Ph_II]],Table25[[#This Row],[I_0]]+1/Lf*Table25[[#This Row],[Vin]]*Table25[[#This Row],[t1_Ph_II]],Table25[[#This Row],[I_0]]+(Table25[[#This Row],[Vin]]-Vout)/L*Table25[[#This Row],[t1_Ph_II]])</f>
        <v>9.7569835449507156</v>
      </c>
      <c r="R77" s="292">
        <f>CHOOSE(Table25[[#This Row],[Mode Digit]],0,0,Table25[[#This Row],[I_1]]+Table25[[#This Row],[Vin]]/L*Table25[[#This Row],[t2_Ph_I]])</f>
        <v>0</v>
      </c>
      <c r="S77" s="292">
        <f>Fsw*(Table25[[#This Row],[I_0]]*Table25[[#This Row],[t1_Ph_II]]+Table25[[#This Row],[I_1]]*Table25[[#This Row],[t2_Ph_I]]+Table25[[#This Row],[I_2]]*Table25[[#This Row],[t3_Ph_III]])</f>
        <v>8.6818004204434924</v>
      </c>
      <c r="T77" s="345">
        <f>CHOOSE(Table25[[#This Row],[Mode Digit]],(Vout+(Rdson2+Rs+Rdcr)*Table25[[#This Row],[Iout]])/(Table25[[#This Row],[Vin]]+(Rs+Rdson2-Rdson1)*Table25[[#This Row],[Iout]]),1,Fsw*Table25[[#This Row],[t2_Ph_I]]+Table25[[#This Row],[t1_Ph_II]])</f>
        <v>1</v>
      </c>
      <c r="U77" s="345">
        <f>CHOOSE(Table25[[#This Row],[Mode Digit]],0,(Vout+(Rdson3+Rdcr)*Table25[[#This Row],[Iin]]-Table25[[#This Row],[Vin]])/(Vout+(Rdson3-Rdson4-Rs)*Table25[[#This Row],[Iin]]),Fsw*Table25[[#This Row],[t1_Ph_II]]+Table25[[#This Row],[t3_Ph_III]])</f>
        <v>0.25335436158290475</v>
      </c>
      <c r="V77" s="292">
        <f>MAX(Table25[[#This Row],[I_0]:[I_2]])-MIN(Table25[[#This Row],[I_0]:[I_1]])</f>
        <v>4.243791651304937</v>
      </c>
      <c r="W77"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7.7327471474471929</v>
      </c>
      <c r="X77" s="345">
        <f>(Table25[[#This Row],[Irms Lf]]^2*Rdcr*(1+Ltc*Ta-Ltc*25))/(1-Table25[[#This Row],[Irms Lf]]^2*Rdcr*Ltc*ThetaCa)</f>
        <v>0.19431978383187176</v>
      </c>
      <c r="Y77" s="345">
        <f>ABS(7.759*10^-3*Fsw^0.9458*(0.00787*Table25[[#This Row],[Ripple Current pk-pk]])^2.304)</f>
        <v>0.60932119537278717</v>
      </c>
      <c r="Z77" s="345">
        <f>Table25[[#This Row],[DCR    Loss]]+Table25[[#This Row],[Core Loss]]</f>
        <v>0.80364097920465893</v>
      </c>
      <c r="AA77" s="292">
        <f>IF(Table25[[#This Row],[Vin]]&gt;Vout, Table25[[#This Row],[Ripple Current pk-pk]]/SQRT(12), SQRT(Table25[[#This Row],[Duty Cycle BOOST Leg]]/(1-Table25[[#This Row],[Duty Cycle BOOST Leg]]))*SQRT(Table25[[#This Row],[Iout]]^2+(Table25[[#This Row],[Ripple Current pk-pk]]^2)/12))</f>
        <v>3.2482400322444454</v>
      </c>
      <c r="AB77" s="345">
        <f>RCoutEsr*Table25[[#This Row],[Irms Cout]]^2</f>
        <v>2.1102126614150792E-2</v>
      </c>
      <c r="AC77" s="345">
        <f>Table25[[#This Row],[Cout ESR Loss]]</f>
        <v>2.1102126614150792E-2</v>
      </c>
      <c r="AD77" s="292">
        <f>IF(Table25[[#This Row],[Vin]]&gt;Vout, SQRT(Table25[[#This Row],[Duty Cycle BUCK Leg]]*(1-Table25[[#This Row],[Duty Cycle BUCK Leg]]))*SQRT(Table25[[#This Row],[Iout]]^2+(Table25[[#This Row],[Ripple Current pk-pk]]^2)/12), Table25[[#This Row],[Ripple Current pk-pk]]/SQRT(12))</f>
        <v>1.225077126132796</v>
      </c>
      <c r="AE77" s="345">
        <f>RCinEsr*Table25[[#This Row],[Irms Cin]]^2</f>
        <v>3.0016279299475809E-3</v>
      </c>
      <c r="AF77" s="683">
        <f>Table25[[#This Row],[Cin ESR Loss]]</f>
        <v>3.0016279299475809E-3</v>
      </c>
      <c r="AG77" s="345">
        <f>Table25[[#This Row],[Irms Lf]]</f>
        <v>7.7327471474471929</v>
      </c>
      <c r="AH77" s="345">
        <f>Rdson1*Table25[[#This Row],[Irms BuCtrl]]^2</f>
        <v>0.20928382456223446</v>
      </c>
      <c r="AI77" s="345">
        <f>CHOOSE(Table25[[#This Row],[Mode Digit]], (Table25[[#This Row],[Vin]]*Table25[[#This Row],[Iout]]/2)*(Fsw)*(Tr_buck+Tf_buck), 0, (Table25[[#This Row],[Vin]]*Table25[[#This Row],[Avg IL]]/2)*(Fsw/1)*(Tr_buck+Tf_buck))</f>
        <v>0</v>
      </c>
      <c r="AJ77" s="253">
        <f>IF(Table25[[#This Row],[Vin]]&gt;Vout, IF(Table25[[#This Row],[Iout]]&gt;Table25[[#This Row],[Ripple Current pk-pk]]/2,0,ABS(Table25[[#This Row],[Iout]]-Table25[[#This Row],[Ripple Current pk-pk]]/2)*Vsd_Q1*Deadtime*Fsw),0)</f>
        <v>0</v>
      </c>
      <c r="AK77" s="345">
        <f>(Table25[[#This Row],[Dead Time Loss BuCtrl]]+Table25[[#This Row],[Transition Loss BuCtrl]]+Table25[[#This Row],[RDS(on) Loss BuCtrl]]*(1+RdsonTopTc*Ta-RdsonTopTc*25))/(1-Table25[[#This Row],[RDS(on) Loss BuCtrl]]*RdsonTopTc*ThetaJA_Q1)</f>
        <v>0.22132707025519657</v>
      </c>
      <c r="AL77" s="345">
        <f>Table25[[#This Row],[Irms Lf]]</f>
        <v>7.7327471474471929</v>
      </c>
      <c r="AM77" s="345">
        <f>Rdson2*Table25[[#This Row],[Irms BuSync]]^2</f>
        <v>0.20928382456223446</v>
      </c>
      <c r="AN77"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77" s="345">
        <f>(Table25[[#This Row],[Deadtime Loss BuSync]]+Table25[[#This Row],[RDS(on) Loss BuSync]]*(1+RdsonBotTc*Ta-RdsonBotTc*25))/(1-Table25[[#This Row],[RDS(on) Loss BuSync]]*RdsonBotTc*ThetaJA_Q2)</f>
        <v>0.22132707025519657</v>
      </c>
      <c r="AP77" s="345">
        <f>Table25[[#This Row],[Irms Lf]]</f>
        <v>7.7327471474471929</v>
      </c>
      <c r="AQ77" s="345">
        <f>Rdson4*Table25[[#This Row],[Irms BoCtlr]]^2</f>
        <v>0.20928382456223446</v>
      </c>
      <c r="AR77" s="345">
        <f>CHOOSE(Table25[[#This Row],[Mode Digit]], 0, (Vout*Table25[[#This Row],[Iin]]/2)*(Fsw)*(Tr_boost+Tf_boost), (Vout*Iout/2)*(Fsw/1)*(Tr_boost+Tf_boost))</f>
        <v>0.45394720284814549</v>
      </c>
      <c r="AS77" s="345">
        <f>IF(Table25[[#This Row],[Vin]]&gt;Vout, 0, IF(Table25[[#This Row],[Iin]]&gt;Table25[[#This Row],[Ripple Current pk-pk]]/2,0,ABS(Table25[[#This Row],[Iin]]-Table25[[#This Row],[Ripple Current pk-pk]]/2)*Vsd_Q4*Deadtime*Fsw))</f>
        <v>0</v>
      </c>
      <c r="AT77" s="345">
        <f>(Table25[[#This Row],[Dead Time Loss BoCtlr]]+Table25[[#This Row],[Transition Loss BoCtlr]]+Table25[[#This Row],[RDS(on) Loss BoCtlr]]*(1+RdsonTopTc*Ta-RdsonTopTc*25))/(1-Table25[[#This Row],[RDS(on) Loss BoCtlr]]*RdsonTopTc*ThetaJA_Q4)</f>
        <v>0.70139668226214169</v>
      </c>
      <c r="AU77" s="345">
        <f>Table25[[#This Row],[Irms Lf]]</f>
        <v>7.7327471474471929</v>
      </c>
      <c r="AV77" s="345">
        <f>Rdson3*Table25[[#This Row],[Irms BoSync]]^2</f>
        <v>0.20928382456223446</v>
      </c>
      <c r="AW77"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0.22790736842105264</v>
      </c>
      <c r="AX77" s="345">
        <f>(Table25[[#This Row],[Deadtime Loss BoSync]]+Table25[[#This Row],[RDS(on) Loss BoSync]]*(1+RdsonBotTc*Ta-RdsonBotTc*25))/(1-Table25[[#This Row],[RDS(on) Loss BoSync]]*RdsonBotTc*ThetaJA_Q3)</f>
        <v>0.46234937691322209</v>
      </c>
      <c r="AY77" s="345">
        <f>CHOOSE(Table25[[#This Row],[Mode Digit]], Rdson3*Table25[[#This Row],[Irms Lf]]^2, Rdson1*Table25[[#This Row],[Irms Lf]]^2, 0)</f>
        <v>0.20928382456223446</v>
      </c>
      <c r="AZ77" s="345">
        <f>CHOOSE(Table25[[#This Row],[Mode Digit]], 2*Deadtime*Fsw*IF(VfdSky_Q2&gt;0,VfdSky_Q2,0)*Table25[[#This Row],[Iout]], 2*Deadtime*Fsw*IF(VfdSky_Q3&gt;0,VfdSky_Q3,0)*Table25[[#This Row],[Iin]], 2*Deadtime*Fsw*IF(VfdSky_Q2&gt;0,VfdSky_Q2,0)*Table25[[#This Row],[Iout]]+2*Deadtime*Fsw*IF(VfdSky_Q3&gt;0,VfdSky_Q3,0)*Table25[[#This Row],[Iin]])</f>
        <v>0</v>
      </c>
      <c r="BA77"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77"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77" s="345">
        <f>CHOOSE(Table25[[#This Row],[Mode Digit]], Rs*Table25[[#This Row],[Irms BuSync]]^2, Rs*Table25[[#This Row],[Irms BoCtlr]]^2, Rs*(Table25[[#This Row],[Irms BuSync]]^2+Table25[[#This Row],[Irms BoCtlr]]^2))</f>
        <v>7.7733991980258502E-2</v>
      </c>
      <c r="BD77" s="345">
        <f t="shared" si="9"/>
        <v>0.64</v>
      </c>
      <c r="BE77" s="345">
        <f>IF(Vout&gt;8, Iq*Vout, Iq*Table25[[#This Row],[Vin]])</f>
        <v>4.8000000000000001E-2</v>
      </c>
      <c r="BF77" s="345">
        <f>CHOOSE(Table25[[#This Row],[Mode Digit]], (Qg_Q1+Qg_Q2)*Fsw, (Qg_Q3+Qg_Q4)*Fsw, (Qg_Q1+Qg_Q2+Qg_Q3+Qg_Q4)*Fsw)*IF(Vout&gt;8,  MIN( Table25[[#This Row],[Vin]], Vout), Table25[[#This Row],[Vin]])</f>
        <v>0.63998400000000011</v>
      </c>
      <c r="BG77" s="345">
        <f t="shared" si="10"/>
        <v>0.50594479787234037</v>
      </c>
      <c r="BH77" s="345">
        <f>Table25[[#This Row],[IQ Loss]]+Table25[[#This Row],[Switching Current Loss]]</f>
        <v>0.68798400000000015</v>
      </c>
      <c r="BI77"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4.5530789254147734</v>
      </c>
      <c r="BJ77" s="253">
        <f>Vout*Table25[[#This Row],[Iout]]</f>
        <v>87.04</v>
      </c>
      <c r="BK77" s="684">
        <f>Table25[[#This Row],[Pout]]/(Table25[[#This Row],[Pout]]+Table25[[#This Row],[Total Loss]])</f>
        <v>0.95029014223746766</v>
      </c>
      <c r="BL77" s="685">
        <f>IF(Table25[[#This Row],[Vin]]&gt;Vout,ThetaJA_Q1*(Table25[[#This Row],[Total Control Bu MOSFET Loss]]+Table25[[#This Row],[Reverse Recovery Loss MOSFET D BUCK]]),ThetaJA_Q4*(Table25[[#This Row],[Total Control Bo MOSFET Loss]]+Table25[[#This Row],[Reverse Recovery Loss MOSFET D BOOST]]))</f>
        <v>68.7703043470392</v>
      </c>
      <c r="BM77" s="685">
        <f>IF(Table25[[#This Row],[Vin]]&gt;Vout, Table25[[#This Row],[Total Sync Bu MOSFET Loss]]*ThetaJA_Q2, ThetaJA_Q3*Table25[[#This Row],[Total Sync Bo MOSFET Loss]])</f>
        <v>30.052709499359437</v>
      </c>
      <c r="BN77" s="640"/>
      <c r="BO77" s="292">
        <f>Table25[[#This Row],[EFF, h]]*100</f>
        <v>95.029014223746771</v>
      </c>
      <c r="BP77" s="345">
        <f>Table25[[#This Row],[Total Inductor Loss]]</f>
        <v>0.80364097920465893</v>
      </c>
      <c r="BQ77" s="345">
        <f>Table25[[#This Row],[Total Control Bu MOSFET Loss]]+Table25[[#This Row],[Total Sync Bu MOSFET Loss]]+Table25[[#This Row],[Total Control Bo MOSFET Loss]]+Table25[[#This Row],[Total Sync Bo MOSFET Loss]]+Table25[[#This Row],[Reverse Recovery Loss MOSFET D BUCK]]+Table25[[#This Row],[Reverse Recovery Loss MOSFET D BOOST]]</f>
        <v>2.3196161996857567</v>
      </c>
      <c r="BR77" s="345">
        <f xml:space="preserve"> Table25[[#This Row],[Total Control Bu MOSFET Loss]]+Table25[[#This Row],[Reverse Recovery Loss MOSFET D BUCK]]*0.66</f>
        <v>0.45668835025519661</v>
      </c>
      <c r="BS77" s="345">
        <f>Table25[[#This Row],[Total Sync Bu MOSFET Loss]]+Table25[[#This Row],[Reverse Recovery Loss MOSFET D BUCK]]*0.33</f>
        <v>0.3390077102551966</v>
      </c>
      <c r="BT77" s="345">
        <f xml:space="preserve"> Table25[[#This Row],[Total Control Bo MOSFET Loss]]+Table25[[#This Row],[Reverse Recovery Loss MOSFET D BOOST]]*0.66</f>
        <v>0.9367579622621417</v>
      </c>
      <c r="BU77" s="345">
        <f xml:space="preserve"> Table25[[#This Row],[Total Sync Bo MOSFET Loss]]+Table25[[#This Row],[Reverse Recovery Loss MOSFET D BOOST]]*0.33</f>
        <v>0.58003001691322209</v>
      </c>
      <c r="BV77" s="345">
        <f>Table25[[#This Row],[Isense Shunt Loss]]</f>
        <v>7.7733991980258502E-2</v>
      </c>
      <c r="CB77" s="686"/>
      <c r="CC77" s="686"/>
    </row>
    <row r="78" spans="1:81" ht="13.6" x14ac:dyDescent="0.25">
      <c r="A78" s="715" t="s">
        <v>242</v>
      </c>
      <c r="B78" s="716">
        <f>Qrr_Q2*Fsw</f>
        <v>1.7909999999999999E-2</v>
      </c>
      <c r="C78" s="255" t="s">
        <v>2</v>
      </c>
      <c r="G78" s="253">
        <v>69</v>
      </c>
      <c r="H78" s="286">
        <f t="shared" si="8"/>
        <v>12</v>
      </c>
      <c r="I78" s="292" t="str">
        <f>IF(Mode = 2,IF(Table25[[#This Row],[Vin]]&gt;Vout, "BUCK","BOOST"),IF(Table25[[#This Row],[Vin]]&gt;VIN_BB_to_buck, "BUCK", IF(Table25[[#This Row],[Vin]]&lt;=VIN_boost_to_BB,"BOOST","BUCK-BST")))</f>
        <v>BOOST</v>
      </c>
      <c r="J78" s="253">
        <f>IF(Table25[[#This Row],[Mode]]="BOOST",2, IF(Table25[[#This Row],[Mode]]="BUCK", 1,3))</f>
        <v>2</v>
      </c>
      <c r="K78" s="345">
        <f t="shared" si="11"/>
        <v>5.52</v>
      </c>
      <c r="L78" s="292">
        <f>Vout*Table25[[#This Row],[Iout]]/(Table25[[#This Row],[Vin]]*Efficiency)</f>
        <v>7.7473684210526317</v>
      </c>
      <c r="M78" s="682">
        <f>CHOOSE(Table25[[#This Row],[Mode Digit]],(Vout+(Rdson2+Rs+Rdcr)*Table25[[#This Row],[Iout]])/(Table25[[#This Row],[Vin]]+(Rs+Rdson2-Rdson1)*Table25[[#This Row],[Iout]])/Fsw,(Vout+(Rdson3+Rdcr)*Table25[[#This Row],[Iin]]-Table25[[#This Row],[Vin]])/(Vout+(Rdson3-Rdson4-Rs)*Table25[[#This Row],[Iin]])/Fsw,t1_Ph_II)</f>
        <v>6.36692767589149E-7</v>
      </c>
      <c r="N78" s="518">
        <f>CHOOSE(Table25[[#This Row],[Mode Digit]],1/Fsw-Table25[[#This Row],[t1_Ph_II]],1/Fsw-Table25[[#This Row],[t1_Ph_II]],(Vout/Fsw-Table25[[#This Row],[Vin]]*t1_Ph_II)/(Table25[[#This Row],[Vin]]+Vout))</f>
        <v>1.8758700464812029E-6</v>
      </c>
      <c r="O78" s="518">
        <f>1/Fsw-(Table25[[#This Row],[t1_Ph_II]]+Table25[[#This Row],[t2_Ph_I]])</f>
        <v>0</v>
      </c>
      <c r="P78"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5.625059195755469</v>
      </c>
      <c r="Q78" s="292">
        <f>CHOOSE(Table25[[#This Row],[Mode Digit]],Table25[[#This Row],[I_0]]+1/Lf*(Table25[[#This Row],[Vin]]-Vout)*Table25[[#This Row],[t1_Ph_II]],Table25[[#This Row],[I_0]]+1/Lf*Table25[[#This Row],[Vin]]*Table25[[#This Row],[t1_Ph_II]],Table25[[#This Row],[I_0]]+(Table25[[#This Row],[Vin]]-Vout)/L*Table25[[#This Row],[t1_Ph_II]])</f>
        <v>9.8696776463497962</v>
      </c>
      <c r="R78" s="292">
        <f>CHOOSE(Table25[[#This Row],[Mode Digit]],0,0,Table25[[#This Row],[I_1]]+Table25[[#This Row],[Vin]]/L*Table25[[#This Row],[t2_Ph_I]])</f>
        <v>0</v>
      </c>
      <c r="S78" s="292">
        <f>Fsw*(Table25[[#This Row],[I_0]]*Table25[[#This Row],[t1_Ph_II]]+Table25[[#This Row],[I_1]]*Table25[[#This Row],[t2_Ph_I]]+Table25[[#This Row],[I_2]]*Table25[[#This Row],[t3_Ph_III]])</f>
        <v>8.7940755346195871</v>
      </c>
      <c r="T78" s="345">
        <f>CHOOSE(Table25[[#This Row],[Mode Digit]],(Vout+(Rdson2+Rs+Rdcr)*Table25[[#This Row],[Iout]])/(Table25[[#This Row],[Vin]]+(Rs+Rdson2-Rdson1)*Table25[[#This Row],[Iout]]),1,Fsw*Table25[[#This Row],[t2_Ph_I]]+Table25[[#This Row],[t1_Ph_II]])</f>
        <v>1</v>
      </c>
      <c r="U78" s="345">
        <f>CHOOSE(Table25[[#This Row],[Mode Digit]],0,(Vout+(Rdson3+Rdcr)*Table25[[#This Row],[Iin]]-Table25[[#This Row],[Vin]])/(Vout+(Rdson3-Rdson4-Rs)*Table25[[#This Row],[Iin]]),Fsw*Table25[[#This Row],[t1_Ph_II]]+Table25[[#This Row],[t3_Ph_III]])</f>
        <v>0.25340372150048129</v>
      </c>
      <c r="V78" s="292">
        <f>MAX(Table25[[#This Row],[I_0]:[I_2]])-MIN(Table25[[#This Row],[I_0]:[I_1]])</f>
        <v>4.2446184505943272</v>
      </c>
      <c r="W78"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7.8436672715924596</v>
      </c>
      <c r="X78" s="345">
        <f>(Table25[[#This Row],[Irms Lf]]^2*Rdcr*(1+Ltc*Ta-Ltc*25))/(1-Table25[[#This Row],[Irms Lf]]^2*Rdcr*Ltc*ThetaCa)</f>
        <v>0.20002433894511981</v>
      </c>
      <c r="Y78" s="345">
        <f>ABS(7.759*10^-3*Fsw^0.9458*(0.00787*Table25[[#This Row],[Ripple Current pk-pk]])^2.304)</f>
        <v>0.60959474111870193</v>
      </c>
      <c r="Z78" s="345">
        <f>Table25[[#This Row],[DCR    Loss]]+Table25[[#This Row],[Core Loss]]</f>
        <v>0.80961908006382177</v>
      </c>
      <c r="AA78" s="292">
        <f>IF(Table25[[#This Row],[Vin]]&gt;Vout, Table25[[#This Row],[Ripple Current pk-pk]]/SQRT(12), SQRT(Table25[[#This Row],[Duty Cycle BOOST Leg]]/(1-Table25[[#This Row],[Duty Cycle BOOST Leg]]))*SQRT(Table25[[#This Row],[Iout]]^2+(Table25[[#This Row],[Ripple Current pk-pk]]^2)/12))</f>
        <v>3.2941784340634972</v>
      </c>
      <c r="AB78" s="345">
        <f>RCoutEsr*Table25[[#This Row],[Irms Cout]]^2</f>
        <v>2.1703223110898069E-2</v>
      </c>
      <c r="AC78" s="345">
        <f>Table25[[#This Row],[Cout ESR Loss]]</f>
        <v>2.1703223110898069E-2</v>
      </c>
      <c r="AD78" s="292">
        <f>IF(Table25[[#This Row],[Vin]]&gt;Vout, SQRT(Table25[[#This Row],[Duty Cycle BUCK Leg]]*(1-Table25[[#This Row],[Duty Cycle BUCK Leg]]))*SQRT(Table25[[#This Row],[Iout]]^2+(Table25[[#This Row],[Ripple Current pk-pk]]^2)/12), Table25[[#This Row],[Ripple Current pk-pk]]/SQRT(12))</f>
        <v>1.2253158025289437</v>
      </c>
      <c r="AE78" s="345">
        <f>RCinEsr*Table25[[#This Row],[Irms Cin]]^2</f>
        <v>3.0027976318542982E-3</v>
      </c>
      <c r="AF78" s="683">
        <f>Table25[[#This Row],[Cin ESR Loss]]</f>
        <v>3.0027976318542982E-3</v>
      </c>
      <c r="AG78" s="345">
        <f>Table25[[#This Row],[Irms Lf]]</f>
        <v>7.8436672715924596</v>
      </c>
      <c r="AH78" s="345">
        <f>Rdson1*Table25[[#This Row],[Irms BuCtrl]]^2</f>
        <v>0.21533090693607745</v>
      </c>
      <c r="AI78" s="345">
        <f>CHOOSE(Table25[[#This Row],[Mode Digit]], (Table25[[#This Row],[Vin]]*Table25[[#This Row],[Iout]]/2)*(Fsw)*(Tr_buck+Tf_buck), 0, (Table25[[#This Row],[Vin]]*Table25[[#This Row],[Avg IL]]/2)*(Fsw/1)*(Tr_buck+Tf_buck))</f>
        <v>0</v>
      </c>
      <c r="AJ78" s="253">
        <f>IF(Table25[[#This Row],[Vin]]&gt;Vout, IF(Table25[[#This Row],[Iout]]&gt;Table25[[#This Row],[Ripple Current pk-pk]]/2,0,ABS(Table25[[#This Row],[Iout]]-Table25[[#This Row],[Ripple Current pk-pk]]/2)*Vsd_Q1*Deadtime*Fsw),0)</f>
        <v>0</v>
      </c>
      <c r="AK78" s="345">
        <f>(Table25[[#This Row],[Dead Time Loss BuCtrl]]+Table25[[#This Row],[Transition Loss BuCtrl]]+Table25[[#This Row],[RDS(on) Loss BuCtrl]]*(1+RdsonTopTc*Ta-RdsonTopTc*25))/(1-Table25[[#This Row],[RDS(on) Loss BuCtrl]]*RdsonTopTc*ThetaJA_Q1)</f>
        <v>0.22810140008821753</v>
      </c>
      <c r="AL78" s="345">
        <f>Table25[[#This Row],[Irms Lf]]</f>
        <v>7.8436672715924596</v>
      </c>
      <c r="AM78" s="345">
        <f>Rdson2*Table25[[#This Row],[Irms BuSync]]^2</f>
        <v>0.21533090693607745</v>
      </c>
      <c r="AN78"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78" s="345">
        <f>(Table25[[#This Row],[Deadtime Loss BuSync]]+Table25[[#This Row],[RDS(on) Loss BuSync]]*(1+RdsonBotTc*Ta-RdsonBotTc*25))/(1-Table25[[#This Row],[RDS(on) Loss BuSync]]*RdsonBotTc*ThetaJA_Q2)</f>
        <v>0.22810140008821753</v>
      </c>
      <c r="AP78" s="345">
        <f>Table25[[#This Row],[Irms Lf]]</f>
        <v>7.8436672715924596</v>
      </c>
      <c r="AQ78" s="345">
        <f>Rdson4*Table25[[#This Row],[Irms BoCtlr]]^2</f>
        <v>0.21533090693607745</v>
      </c>
      <c r="AR78" s="345">
        <f>CHOOSE(Table25[[#This Row],[Mode Digit]], 0, (Vout*Table25[[#This Row],[Iin]]/2)*(Fsw)*(Tr_boost+Tf_boost), (Vout*Iout/2)*(Fsw/1)*(Tr_boost+Tf_boost))</f>
        <v>0.46062289700767695</v>
      </c>
      <c r="AS78" s="345">
        <f>IF(Table25[[#This Row],[Vin]]&gt;Vout, 0, IF(Table25[[#This Row],[Iin]]&gt;Table25[[#This Row],[Ripple Current pk-pk]]/2,0,ABS(Table25[[#This Row],[Iin]]-Table25[[#This Row],[Ripple Current pk-pk]]/2)*Vsd_Q4*Deadtime*Fsw))</f>
        <v>0</v>
      </c>
      <c r="AT78" s="345">
        <f>(Table25[[#This Row],[Dead Time Loss BoCtlr]]+Table25[[#This Row],[Transition Loss BoCtlr]]+Table25[[#This Row],[RDS(on) Loss BoCtlr]]*(1+RdsonTopTc*Ta-RdsonTopTc*25))/(1-Table25[[#This Row],[RDS(on) Loss BoCtlr]]*RdsonTopTc*ThetaJA_Q4)</f>
        <v>0.71604216630313133</v>
      </c>
      <c r="AU78" s="345">
        <f>Table25[[#This Row],[Irms Lf]]</f>
        <v>7.8436672715924596</v>
      </c>
      <c r="AV78" s="345">
        <f>Rdson3*Table25[[#This Row],[Irms BoSync]]^2</f>
        <v>0.21533090693607745</v>
      </c>
      <c r="AW78"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0.23125894736842101</v>
      </c>
      <c r="AX78" s="345">
        <f>(Table25[[#This Row],[Deadtime Loss BoSync]]+Table25[[#This Row],[RDS(on) Loss BoSync]]*(1+RdsonBotTc*Ta-RdsonBotTc*25))/(1-Table25[[#This Row],[RDS(on) Loss BoSync]]*RdsonBotTc*ThetaJA_Q3)</f>
        <v>0.47307547477283129</v>
      </c>
      <c r="AY78" s="345">
        <f>CHOOSE(Table25[[#This Row],[Mode Digit]], Rdson3*Table25[[#This Row],[Irms Lf]]^2, Rdson1*Table25[[#This Row],[Irms Lf]]^2, 0)</f>
        <v>0.21533090693607745</v>
      </c>
      <c r="AZ78" s="345">
        <f>CHOOSE(Table25[[#This Row],[Mode Digit]], 2*Deadtime*Fsw*IF(VfdSky_Q2&gt;0,VfdSky_Q2,0)*Table25[[#This Row],[Iout]], 2*Deadtime*Fsw*IF(VfdSky_Q3&gt;0,VfdSky_Q3,0)*Table25[[#This Row],[Iin]], 2*Deadtime*Fsw*IF(VfdSky_Q2&gt;0,VfdSky_Q2,0)*Table25[[#This Row],[Iout]]+2*Deadtime*Fsw*IF(VfdSky_Q3&gt;0,VfdSky_Q3,0)*Table25[[#This Row],[Iin]])</f>
        <v>0</v>
      </c>
      <c r="BA78"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78"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78" s="345">
        <f>CHOOSE(Table25[[#This Row],[Mode Digit]], Rs*Table25[[#This Row],[Irms BuSync]]^2, Rs*Table25[[#This Row],[Irms BoCtlr]]^2, Rs*(Table25[[#This Row],[Irms BuSync]]^2+Table25[[#This Row],[Irms BoCtlr]]^2))</f>
        <v>7.9980051147685902E-2</v>
      </c>
      <c r="BD78" s="345">
        <f t="shared" si="9"/>
        <v>0.64</v>
      </c>
      <c r="BE78" s="345">
        <f>IF(Vout&gt;8, Iq*Vout, Iq*Table25[[#This Row],[Vin]])</f>
        <v>4.8000000000000001E-2</v>
      </c>
      <c r="BF78" s="345">
        <f>CHOOSE(Table25[[#This Row],[Mode Digit]], (Qg_Q1+Qg_Q2)*Fsw, (Qg_Q3+Qg_Q4)*Fsw, (Qg_Q1+Qg_Q2+Qg_Q3+Qg_Q4)*Fsw)*IF(Vout&gt;8,  MIN( Table25[[#This Row],[Vin]], Vout), Table25[[#This Row],[Vin]])</f>
        <v>0.63998400000000011</v>
      </c>
      <c r="BG78" s="345">
        <f t="shared" si="10"/>
        <v>0.50594479787234037</v>
      </c>
      <c r="BH78" s="345">
        <f>Table25[[#This Row],[IQ Loss]]+Table25[[#This Row],[Switching Current Loss]]</f>
        <v>0.68798400000000015</v>
      </c>
      <c r="BI78"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4.6008255932066584</v>
      </c>
      <c r="BJ78" s="253">
        <f>Vout*Table25[[#This Row],[Iout]]</f>
        <v>88.32</v>
      </c>
      <c r="BK78" s="684">
        <f>Table25[[#This Row],[Pout]]/(Table25[[#This Row],[Pout]]+Table25[[#This Row],[Total Loss]])</f>
        <v>0.95048660444163091</v>
      </c>
      <c r="BL78" s="685">
        <f>IF(Table25[[#This Row],[Vin]]&gt;Vout,ThetaJA_Q1*(Table25[[#This Row],[Total Control Bu MOSFET Loss]]+Table25[[#This Row],[Reverse Recovery Loss MOSFET D BUCK]]),ThetaJA_Q4*(Table25[[#This Row],[Total Control Bo MOSFET Loss]]+Table25[[#This Row],[Reverse Recovery Loss MOSFET D BOOST]]))</f>
        <v>69.722260809703542</v>
      </c>
      <c r="BM78" s="685">
        <f>IF(Table25[[#This Row],[Vin]]&gt;Vout, Table25[[#This Row],[Total Sync Bu MOSFET Loss]]*ThetaJA_Q2, ThetaJA_Q3*Table25[[#This Row],[Total Sync Bo MOSFET Loss]])</f>
        <v>30.749905860234033</v>
      </c>
      <c r="BN78" s="640"/>
      <c r="BO78" s="292">
        <f>Table25[[#This Row],[EFF, h]]*100</f>
        <v>95.04866044416309</v>
      </c>
      <c r="BP78" s="345">
        <f>Table25[[#This Row],[Total Inductor Loss]]</f>
        <v>0.80961908006382177</v>
      </c>
      <c r="BQ78" s="345">
        <f>Table25[[#This Row],[Total Control Bu MOSFET Loss]]+Table25[[#This Row],[Total Sync Bu MOSFET Loss]]+Table25[[#This Row],[Total Control Bo MOSFET Loss]]+Table25[[#This Row],[Total Sync Bo MOSFET Loss]]+Table25[[#This Row],[Reverse Recovery Loss MOSFET D BUCK]]+Table25[[#This Row],[Reverse Recovery Loss MOSFET D BOOST]]</f>
        <v>2.3585364412523977</v>
      </c>
      <c r="BR78" s="345">
        <f xml:space="preserve"> Table25[[#This Row],[Total Control Bu MOSFET Loss]]+Table25[[#This Row],[Reverse Recovery Loss MOSFET D BUCK]]*0.66</f>
        <v>0.46346268008821756</v>
      </c>
      <c r="BS78" s="345">
        <f>Table25[[#This Row],[Total Sync Bu MOSFET Loss]]+Table25[[#This Row],[Reverse Recovery Loss MOSFET D BUCK]]*0.33</f>
        <v>0.34578204008821756</v>
      </c>
      <c r="BT78" s="345">
        <f xml:space="preserve"> Table25[[#This Row],[Total Control Bo MOSFET Loss]]+Table25[[#This Row],[Reverse Recovery Loss MOSFET D BOOST]]*0.66</f>
        <v>0.95140344630313134</v>
      </c>
      <c r="BU78" s="345">
        <f xml:space="preserve"> Table25[[#This Row],[Total Sync Bo MOSFET Loss]]+Table25[[#This Row],[Reverse Recovery Loss MOSFET D BOOST]]*0.33</f>
        <v>0.5907561147728313</v>
      </c>
      <c r="BV78" s="345">
        <f>Table25[[#This Row],[Isense Shunt Loss]]</f>
        <v>7.9980051147685902E-2</v>
      </c>
      <c r="CB78" s="686"/>
      <c r="CC78" s="686"/>
    </row>
    <row r="79" spans="1:81" ht="13.6" x14ac:dyDescent="0.25">
      <c r="A79" s="715" t="s">
        <v>243</v>
      </c>
      <c r="B79" s="716" t="e">
        <f>C79/Vin</f>
        <v>#NAME?</v>
      </c>
      <c r="C79" s="255" t="e">
        <f>Deadtime*Fsw*(Iripple_Vinnom/2)*(VsdTop+VsdBot)</f>
        <v>#NAME?</v>
      </c>
      <c r="G79" s="253">
        <v>70</v>
      </c>
      <c r="H79" s="286">
        <f t="shared" si="8"/>
        <v>12</v>
      </c>
      <c r="I79" s="292" t="str">
        <f>IF(Mode = 2,IF(Table25[[#This Row],[Vin]]&gt;Vout, "BUCK","BOOST"),IF(Table25[[#This Row],[Vin]]&gt;VIN_BB_to_buck, "BUCK", IF(Table25[[#This Row],[Vin]]&lt;=VIN_boost_to_BB,"BOOST","BUCK-BST")))</f>
        <v>BOOST</v>
      </c>
      <c r="J79" s="253">
        <f>IF(Table25[[#This Row],[Mode]]="BOOST",2, IF(Table25[[#This Row],[Mode]]="BUCK", 1,3))</f>
        <v>2</v>
      </c>
      <c r="K79" s="345">
        <f t="shared" si="11"/>
        <v>5.6</v>
      </c>
      <c r="L79" s="292">
        <f>Vout*Table25[[#This Row],[Iout]]/(Table25[[#This Row],[Vin]]*Efficiency)</f>
        <v>7.859649122807018</v>
      </c>
      <c r="M79" s="682">
        <f>CHOOSE(Table25[[#This Row],[Mode Digit]],(Vout+(Rdson2+Rs+Rdcr)*Table25[[#This Row],[Iout]])/(Table25[[#This Row],[Vin]]+(Rs+Rdson2-Rdson1)*Table25[[#This Row],[Iout]])/Fsw,(Vout+(Rdson3+Rdcr)*Table25[[#This Row],[Iin]]-Table25[[#This Row],[Vin]])/(Vout+(Rdson3-Rdson4-Rs)*Table25[[#This Row],[Iin]])/Fsw,t1_Ph_II)</f>
        <v>6.368167897468225E-7</v>
      </c>
      <c r="N79" s="518">
        <f>CHOOSE(Table25[[#This Row],[Mode Digit]],1/Fsw-Table25[[#This Row],[t1_Ph_II]],1/Fsw-Table25[[#This Row],[t1_Ph_II]],(Vout/Fsw-Table25[[#This Row],[Vin]]*t1_Ph_II)/(Table25[[#This Row],[Vin]]+Vout))</f>
        <v>1.8757460243235295E-6</v>
      </c>
      <c r="O79" s="518">
        <f>1/Fsw-(Table25[[#This Row],[t1_Ph_II]]+Table25[[#This Row],[t2_Ph_I]])</f>
        <v>0</v>
      </c>
      <c r="P79"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5.73692649031761</v>
      </c>
      <c r="Q79" s="292">
        <f>CHOOSE(Table25[[#This Row],[Mode Digit]],Table25[[#This Row],[I_0]]+1/Lf*(Table25[[#This Row],[Vin]]-Vout)*Table25[[#This Row],[t1_Ph_II]],Table25[[#This Row],[I_0]]+1/Lf*Table25[[#This Row],[Vin]]*Table25[[#This Row],[t1_Ph_II]],Table25[[#This Row],[I_0]]+(Table25[[#This Row],[Vin]]-Vout)/L*Table25[[#This Row],[t1_Ph_II]])</f>
        <v>9.9823717552964268</v>
      </c>
      <c r="R79" s="292">
        <f>CHOOSE(Table25[[#This Row],[Mode Digit]],0,0,Table25[[#This Row],[I_1]]+Table25[[#This Row],[Vin]]/L*Table25[[#This Row],[t2_Ph_I]])</f>
        <v>0</v>
      </c>
      <c r="S79" s="292">
        <f>Fsw*(Table25[[#This Row],[I_0]]*Table25[[#This Row],[t1_Ph_II]]+Table25[[#This Row],[I_1]]*Table25[[#This Row],[t2_Ph_I]]+Table25[[#This Row],[I_2]]*Table25[[#This Row],[t3_Ph_III]])</f>
        <v>8.9063505670699428</v>
      </c>
      <c r="T79" s="345">
        <f>CHOOSE(Table25[[#This Row],[Mode Digit]],(Vout+(Rdson2+Rs+Rdcr)*Table25[[#This Row],[Iout]])/(Table25[[#This Row],[Vin]]+(Rs+Rdson2-Rdson1)*Table25[[#This Row],[Iout]]),1,Fsw*Table25[[#This Row],[t2_Ph_I]]+Table25[[#This Row],[t1_Ph_II]])</f>
        <v>1</v>
      </c>
      <c r="U79" s="345">
        <f>CHOOSE(Table25[[#This Row],[Mode Digit]],0,(Vout+(Rdson3+Rdcr)*Table25[[#This Row],[Iin]]-Table25[[#This Row],[Vin]])/(Vout+(Rdson3-Rdson4-Rs)*Table25[[#This Row],[Iin]]),Fsw*Table25[[#This Row],[t1_Ph_II]]+Table25[[#This Row],[t3_Ph_III]])</f>
        <v>0.25345308231923536</v>
      </c>
      <c r="V79" s="292">
        <f>MAX(Table25[[#This Row],[I_0]:[I_2]])-MIN(Table25[[#This Row],[I_0]:[I_1]])</f>
        <v>4.2454452649788168</v>
      </c>
      <c r="W79"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7.9546255804491128</v>
      </c>
      <c r="X79" s="345">
        <f>(Table25[[#This Row],[Irms Lf]]^2*Rdcr*(1+Ltc*Ta-Ltc*25))/(1-Table25[[#This Row],[Irms Lf]]^2*Rdcr*Ltc*ThetaCa)</f>
        <v>0.20581738663481194</v>
      </c>
      <c r="Y79" s="345">
        <f>ABS(7.759*10^-3*Fsw^0.9458*(0.00787*Table25[[#This Row],[Ripple Current pk-pk]])^2.304)</f>
        <v>0.6098683613510133</v>
      </c>
      <c r="Z79" s="345">
        <f>Table25[[#This Row],[DCR    Loss]]+Table25[[#This Row],[Core Loss]]</f>
        <v>0.81568574798582527</v>
      </c>
      <c r="AA79" s="292">
        <f>IF(Table25[[#This Row],[Vin]]&gt;Vout, Table25[[#This Row],[Ripple Current pk-pk]]/SQRT(12), SQRT(Table25[[#This Row],[Duty Cycle BOOST Leg]]/(1-Table25[[#This Row],[Duty Cycle BOOST Leg]]))*SQRT(Table25[[#This Row],[Iout]]^2+(Table25[[#This Row],[Ripple Current pk-pk]]^2)/12))</f>
        <v>3.3401588690467472</v>
      </c>
      <c r="AB79" s="345">
        <f>RCoutEsr*Table25[[#This Row],[Irms Cout]]^2</f>
        <v>2.231332254094329E-2</v>
      </c>
      <c r="AC79" s="345">
        <f>Table25[[#This Row],[Cout ESR Loss]]</f>
        <v>2.231332254094329E-2</v>
      </c>
      <c r="AD79" s="292">
        <f>IF(Table25[[#This Row],[Vin]]&gt;Vout, SQRT(Table25[[#This Row],[Duty Cycle BUCK Leg]]*(1-Table25[[#This Row],[Duty Cycle BUCK Leg]]))*SQRT(Table25[[#This Row],[Iout]]^2+(Table25[[#This Row],[Ripple Current pk-pk]]^2)/12), Table25[[#This Row],[Ripple Current pk-pk]]/SQRT(12))</f>
        <v>1.225554483282671</v>
      </c>
      <c r="AE79" s="345">
        <f>RCinEsr*Table25[[#This Row],[Irms Cin]]^2</f>
        <v>3.0039675829885096E-3</v>
      </c>
      <c r="AF79" s="683">
        <f>Table25[[#This Row],[Cin ESR Loss]]</f>
        <v>3.0039675829885096E-3</v>
      </c>
      <c r="AG79" s="345">
        <f>Table25[[#This Row],[Irms Lf]]</f>
        <v>7.9546255804491128</v>
      </c>
      <c r="AH79" s="345">
        <f>Rdson1*Table25[[#This Row],[Irms BuCtrl]]^2</f>
        <v>0.22146623843797386</v>
      </c>
      <c r="AI79" s="345">
        <f>CHOOSE(Table25[[#This Row],[Mode Digit]], (Table25[[#This Row],[Vin]]*Table25[[#This Row],[Iout]]/2)*(Fsw)*(Tr_buck+Tf_buck), 0, (Table25[[#This Row],[Vin]]*Table25[[#This Row],[Avg IL]]/2)*(Fsw/1)*(Tr_buck+Tf_buck))</f>
        <v>0</v>
      </c>
      <c r="AJ79" s="253">
        <f>IF(Table25[[#This Row],[Vin]]&gt;Vout, IF(Table25[[#This Row],[Iout]]&gt;Table25[[#This Row],[Ripple Current pk-pk]]/2,0,ABS(Table25[[#This Row],[Iout]]-Table25[[#This Row],[Ripple Current pk-pk]]/2)*Vsd_Q1*Deadtime*Fsw),0)</f>
        <v>0</v>
      </c>
      <c r="AK79" s="345">
        <f>(Table25[[#This Row],[Dead Time Loss BuCtrl]]+Table25[[#This Row],[Transition Loss BuCtrl]]+Table25[[#This Row],[RDS(on) Loss BuCtrl]]*(1+RdsonTopTc*Ta-RdsonTopTc*25))/(1-Table25[[#This Row],[RDS(on) Loss BuCtrl]]*RdsonTopTc*ThetaJA_Q1)</f>
        <v>0.23499769275239768</v>
      </c>
      <c r="AL79" s="345">
        <f>Table25[[#This Row],[Irms Lf]]</f>
        <v>7.9546255804491128</v>
      </c>
      <c r="AM79" s="345">
        <f>Rdson2*Table25[[#This Row],[Irms BuSync]]^2</f>
        <v>0.22146623843797386</v>
      </c>
      <c r="AN79"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79" s="345">
        <f>(Table25[[#This Row],[Deadtime Loss BuSync]]+Table25[[#This Row],[RDS(on) Loss BuSync]]*(1+RdsonBotTc*Ta-RdsonBotTc*25))/(1-Table25[[#This Row],[RDS(on) Loss BuSync]]*RdsonBotTc*ThetaJA_Q2)</f>
        <v>0.23499769275239768</v>
      </c>
      <c r="AP79" s="345">
        <f>Table25[[#This Row],[Irms Lf]]</f>
        <v>7.9546255804491128</v>
      </c>
      <c r="AQ79" s="345">
        <f>Rdson4*Table25[[#This Row],[Irms BoCtlr]]^2</f>
        <v>0.22146623843797386</v>
      </c>
      <c r="AR79" s="345">
        <f>CHOOSE(Table25[[#This Row],[Mode Digit]], 0, (Vout*Table25[[#This Row],[Iin]]/2)*(Fsw)*(Tr_boost+Tf_boost), (Vout*Iout/2)*(Fsw/1)*(Tr_boost+Tf_boost))</f>
        <v>0.46729859116720851</v>
      </c>
      <c r="AS79" s="345">
        <f>IF(Table25[[#This Row],[Vin]]&gt;Vout, 0, IF(Table25[[#This Row],[Iin]]&gt;Table25[[#This Row],[Ripple Current pk-pk]]/2,0,ABS(Table25[[#This Row],[Iin]]-Table25[[#This Row],[Ripple Current pk-pk]]/2)*Vsd_Q4*Deadtime*Fsw))</f>
        <v>0</v>
      </c>
      <c r="AT79" s="345">
        <f>(Table25[[#This Row],[Dead Time Loss BoCtlr]]+Table25[[#This Row],[Transition Loss BoCtlr]]+Table25[[#This Row],[RDS(on) Loss BoCtlr]]*(1+RdsonTopTc*Ta-RdsonTopTc*25))/(1-Table25[[#This Row],[RDS(on) Loss BoCtlr]]*RdsonTopTc*ThetaJA_Q4)</f>
        <v>0.73084794751479853</v>
      </c>
      <c r="AU79" s="345">
        <f>Table25[[#This Row],[Irms Lf]]</f>
        <v>7.9546255804491128</v>
      </c>
      <c r="AV79" s="345">
        <f>Rdson3*Table25[[#This Row],[Irms BoSync]]^2</f>
        <v>0.22146623843797386</v>
      </c>
      <c r="AW79"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0.23461052631578944</v>
      </c>
      <c r="AX79" s="345">
        <f>(Table25[[#This Row],[Deadtime Loss BoSync]]+Table25[[#This Row],[RDS(on) Loss BoSync]]*(1+RdsonBotTc*Ta-RdsonBotTc*25))/(1-Table25[[#This Row],[RDS(on) Loss BoSync]]*RdsonBotTc*ThetaJA_Q3)</f>
        <v>0.48394278148689251</v>
      </c>
      <c r="AY79" s="345">
        <f>CHOOSE(Table25[[#This Row],[Mode Digit]], Rdson3*Table25[[#This Row],[Irms Lf]]^2, Rdson1*Table25[[#This Row],[Irms Lf]]^2, 0)</f>
        <v>0.22146623843797386</v>
      </c>
      <c r="AZ79" s="345">
        <f>CHOOSE(Table25[[#This Row],[Mode Digit]], 2*Deadtime*Fsw*IF(VfdSky_Q2&gt;0,VfdSky_Q2,0)*Table25[[#This Row],[Iout]], 2*Deadtime*Fsw*IF(VfdSky_Q3&gt;0,VfdSky_Q3,0)*Table25[[#This Row],[Iin]], 2*Deadtime*Fsw*IF(VfdSky_Q2&gt;0,VfdSky_Q2,0)*Table25[[#This Row],[Iout]]+2*Deadtime*Fsw*IF(VfdSky_Q3&gt;0,VfdSky_Q3,0)*Table25[[#This Row],[Iin]])</f>
        <v>0</v>
      </c>
      <c r="BA79"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79"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79" s="345">
        <f>CHOOSE(Table25[[#This Row],[Mode Digit]], Rs*Table25[[#This Row],[Irms BuSync]]^2, Rs*Table25[[#This Row],[Irms BoCtlr]]^2, Rs*(Table25[[#This Row],[Irms BuSync]]^2+Table25[[#This Row],[Irms BoCtlr]]^2))</f>
        <v>8.2258888562676005E-2</v>
      </c>
      <c r="BD79" s="345">
        <f t="shared" si="9"/>
        <v>0.64</v>
      </c>
      <c r="BE79" s="345">
        <f>IF(Vout&gt;8, Iq*Vout, Iq*Table25[[#This Row],[Vin]])</f>
        <v>4.8000000000000001E-2</v>
      </c>
      <c r="BF79" s="345">
        <f>CHOOSE(Table25[[#This Row],[Mode Digit]], (Qg_Q1+Qg_Q2)*Fsw, (Qg_Q3+Qg_Q4)*Fsw, (Qg_Q1+Qg_Q2+Qg_Q3+Qg_Q4)*Fsw)*IF(Vout&gt;8,  MIN( Table25[[#This Row],[Vin]], Vout), Table25[[#This Row],[Vin]])</f>
        <v>0.63998400000000011</v>
      </c>
      <c r="BG79" s="345">
        <f t="shared" si="10"/>
        <v>0.50594479787234037</v>
      </c>
      <c r="BH79" s="345">
        <f>Table25[[#This Row],[IQ Loss]]+Table25[[#This Row],[Switching Current Loss]]</f>
        <v>0.68798400000000015</v>
      </c>
      <c r="BI79"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4.649248041178919</v>
      </c>
      <c r="BJ79" s="253">
        <f>Vout*Table25[[#This Row],[Iout]]</f>
        <v>89.6</v>
      </c>
      <c r="BK79" s="684">
        <f>Table25[[#This Row],[Pout]]/(Table25[[#This Row],[Pout]]+Table25[[#This Row],[Total Loss]])</f>
        <v>0.95067071475044984</v>
      </c>
      <c r="BL79" s="685">
        <f>IF(Table25[[#This Row],[Vin]]&gt;Vout,ThetaJA_Q1*(Table25[[#This Row],[Total Control Bu MOSFET Loss]]+Table25[[#This Row],[Reverse Recovery Loss MOSFET D BUCK]]),ThetaJA_Q4*(Table25[[#This Row],[Total Control Bo MOSFET Loss]]+Table25[[#This Row],[Reverse Recovery Loss MOSFET D BOOST]]))</f>
        <v>70.684636588461899</v>
      </c>
      <c r="BM79" s="685">
        <f>IF(Table25[[#This Row],[Vin]]&gt;Vout, Table25[[#This Row],[Total Sync Bu MOSFET Loss]]*ThetaJA_Q2, ThetaJA_Q3*Table25[[#This Row],[Total Sync Bo MOSFET Loss]])</f>
        <v>31.456280796648013</v>
      </c>
      <c r="BN79" s="640"/>
      <c r="BO79" s="292">
        <f>Table25[[#This Row],[EFF, h]]*100</f>
        <v>95.067071475044983</v>
      </c>
      <c r="BP79" s="345">
        <f>Table25[[#This Row],[Total Inductor Loss]]</f>
        <v>0.81568574798582527</v>
      </c>
      <c r="BQ79" s="345">
        <f>Table25[[#This Row],[Total Control Bu MOSFET Loss]]+Table25[[#This Row],[Total Sync Bu MOSFET Loss]]+Table25[[#This Row],[Total Control Bo MOSFET Loss]]+Table25[[#This Row],[Total Sync Bo MOSFET Loss]]+Table25[[#This Row],[Reverse Recovery Loss MOSFET D BUCK]]+Table25[[#This Row],[Reverse Recovery Loss MOSFET D BOOST]]</f>
        <v>2.3980021145064865</v>
      </c>
      <c r="BR79" s="345">
        <f xml:space="preserve"> Table25[[#This Row],[Total Control Bu MOSFET Loss]]+Table25[[#This Row],[Reverse Recovery Loss MOSFET D BUCK]]*0.66</f>
        <v>0.47035897275239769</v>
      </c>
      <c r="BS79" s="345">
        <f>Table25[[#This Row],[Total Sync Bu MOSFET Loss]]+Table25[[#This Row],[Reverse Recovery Loss MOSFET D BUCK]]*0.33</f>
        <v>0.35267833275239768</v>
      </c>
      <c r="BT79" s="345">
        <f xml:space="preserve"> Table25[[#This Row],[Total Control Bo MOSFET Loss]]+Table25[[#This Row],[Reverse Recovery Loss MOSFET D BOOST]]*0.66</f>
        <v>0.96620922751479854</v>
      </c>
      <c r="BU79" s="345">
        <f xml:space="preserve"> Table25[[#This Row],[Total Sync Bo MOSFET Loss]]+Table25[[#This Row],[Reverse Recovery Loss MOSFET D BOOST]]*0.33</f>
        <v>0.60162342148689252</v>
      </c>
      <c r="BV79" s="345">
        <f>Table25[[#This Row],[Isense Shunt Loss]]</f>
        <v>8.2258888562676005E-2</v>
      </c>
      <c r="CB79" s="686"/>
      <c r="CC79" s="686"/>
    </row>
    <row r="80" spans="1:81" ht="13.6" x14ac:dyDescent="0.25">
      <c r="A80" s="715" t="s">
        <v>49</v>
      </c>
      <c r="B80" s="716" t="e">
        <f>SUM(B77:B79)</f>
        <v>#NAME?</v>
      </c>
      <c r="C80" s="255" t="s">
        <v>2</v>
      </c>
      <c r="G80" s="253">
        <v>71</v>
      </c>
      <c r="H80" s="286">
        <f t="shared" si="8"/>
        <v>12</v>
      </c>
      <c r="I80" s="292" t="str">
        <f>IF(Mode = 2,IF(Table25[[#This Row],[Vin]]&gt;Vout, "BUCK","BOOST"),IF(Table25[[#This Row],[Vin]]&gt;VIN_BB_to_buck, "BUCK", IF(Table25[[#This Row],[Vin]]&lt;=VIN_boost_to_BB,"BOOST","BUCK-BST")))</f>
        <v>BOOST</v>
      </c>
      <c r="J80" s="253">
        <f>IF(Table25[[#This Row],[Mode]]="BOOST",2, IF(Table25[[#This Row],[Mode]]="BUCK", 1,3))</f>
        <v>2</v>
      </c>
      <c r="K80" s="345">
        <f t="shared" si="11"/>
        <v>5.68</v>
      </c>
      <c r="L80" s="292">
        <f>Vout*Table25[[#This Row],[Iout]]/(Table25[[#This Row],[Vin]]*Efficiency)</f>
        <v>7.9719298245614043</v>
      </c>
      <c r="M80" s="682">
        <f>CHOOSE(Table25[[#This Row],[Mode Digit]],(Vout+(Rdson2+Rs+Rdcr)*Table25[[#This Row],[Iout]])/(Table25[[#This Row],[Vin]]+(Rs+Rdson2-Rdson1)*Table25[[#This Row],[Iout]])/Fsw,(Vout+(Rdson3+Rdcr)*Table25[[#This Row],[Iin]]-Table25[[#This Row],[Vin]])/(Vout+(Rdson3-Rdson4-Rs)*Table25[[#This Row],[Iin]])/Fsw,t1_Ph_II)</f>
        <v>6.3694081416882354E-7</v>
      </c>
      <c r="N80" s="518">
        <f>CHOOSE(Table25[[#This Row],[Mode Digit]],1/Fsw-Table25[[#This Row],[t1_Ph_II]],1/Fsw-Table25[[#This Row],[t1_Ph_II]],(Vout/Fsw-Table25[[#This Row],[Vin]]*t1_Ph_II)/(Table25[[#This Row],[Vin]]+Vout))</f>
        <v>1.8756219999015282E-6</v>
      </c>
      <c r="O80" s="518">
        <f>1/Fsw-(Table25[[#This Row],[t1_Ph_II]]+Table25[[#This Row],[t2_Ph_I]])</f>
        <v>0</v>
      </c>
      <c r="P80"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5.8487937773319931</v>
      </c>
      <c r="Q80" s="292">
        <f>CHOOSE(Table25[[#This Row],[Mode Digit]],Table25[[#This Row],[I_0]]+1/Lf*(Table25[[#This Row],[Vin]]-Vout)*Table25[[#This Row],[t1_Ph_II]],Table25[[#This Row],[I_0]]+1/Lf*Table25[[#This Row],[Vin]]*Table25[[#This Row],[t1_Ph_II]],Table25[[#This Row],[I_0]]+(Table25[[#This Row],[Vin]]-Vout)/L*Table25[[#This Row],[t1_Ph_II]])</f>
        <v>10.095065871790815</v>
      </c>
      <c r="R80" s="292">
        <f>CHOOSE(Table25[[#This Row],[Mode Digit]],0,0,Table25[[#This Row],[I_1]]+Table25[[#This Row],[Vin]]/L*Table25[[#This Row],[t2_Ph_I]])</f>
        <v>0</v>
      </c>
      <c r="S80" s="292">
        <f>Fsw*(Table25[[#This Row],[I_0]]*Table25[[#This Row],[t1_Ph_II]]+Table25[[#This Row],[I_1]]*Table25[[#This Row],[t2_Ph_I]]+Table25[[#This Row],[I_2]]*Table25[[#This Row],[t3_Ph_III]])</f>
        <v>9.0186255177900847</v>
      </c>
      <c r="T80" s="345">
        <f>CHOOSE(Table25[[#This Row],[Mode Digit]],(Vout+(Rdson2+Rs+Rdcr)*Table25[[#This Row],[Iout]])/(Table25[[#This Row],[Vin]]+(Rs+Rdson2-Rdson1)*Table25[[#This Row],[Iout]]),1,Fsw*Table25[[#This Row],[t2_Ph_I]]+Table25[[#This Row],[t1_Ph_II]])</f>
        <v>1</v>
      </c>
      <c r="U80" s="345">
        <f>CHOOSE(Table25[[#This Row],[Mode Digit]],0,(Vout+(Rdson3+Rdcr)*Table25[[#This Row],[Iin]]-Table25[[#This Row],[Vin]])/(Vout+(Rdson3-Rdson4-Rs)*Table25[[#This Row],[Iin]]),Fsw*Table25[[#This Row],[t1_Ph_II]]+Table25[[#This Row],[t3_Ph_III]])</f>
        <v>0.25350244403919175</v>
      </c>
      <c r="V80" s="292">
        <f>MAX(Table25[[#This Row],[I_0]:[I_2]])-MIN(Table25[[#This Row],[I_0]:[I_1]])</f>
        <v>4.2462720944588224</v>
      </c>
      <c r="W80"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8.0656204981026267</v>
      </c>
      <c r="X80" s="345">
        <f>(Table25[[#This Row],[Irms Lf]]^2*Rdcr*(1+Ltc*Ta-Ltc*25))/(1-Table25[[#This Row],[Irms Lf]]^2*Rdcr*Ltc*ThetaCa)</f>
        <v>0.21169916213189316</v>
      </c>
      <c r="Y80" s="345">
        <f>ABS(7.759*10^-3*Fsw^0.9458*(0.00787*Table25[[#This Row],[Ripple Current pk-pk]])^2.304)</f>
        <v>0.61014205607777949</v>
      </c>
      <c r="Z80" s="345">
        <f>Table25[[#This Row],[DCR    Loss]]+Table25[[#This Row],[Core Loss]]</f>
        <v>0.8218412182096726</v>
      </c>
      <c r="AA80" s="292">
        <f>IF(Table25[[#This Row],[Vin]]&gt;Vout, Table25[[#This Row],[Ripple Current pk-pk]]/SQRT(12), SQRT(Table25[[#This Row],[Duty Cycle BOOST Leg]]/(1-Table25[[#This Row],[Duty Cycle BOOST Leg]]))*SQRT(Table25[[#This Row],[Iout]]^2+(Table25[[#This Row],[Ripple Current pk-pk]]^2)/12))</f>
        <v>3.3861801323299661</v>
      </c>
      <c r="AB80" s="345">
        <f>RCoutEsr*Table25[[#This Row],[Irms Cout]]^2</f>
        <v>2.2932431777172371E-2</v>
      </c>
      <c r="AC80" s="345">
        <f>Table25[[#This Row],[Cout ESR Loss]]</f>
        <v>2.2932431777172371E-2</v>
      </c>
      <c r="AD80" s="292">
        <f>IF(Table25[[#This Row],[Vin]]&gt;Vout, SQRT(Table25[[#This Row],[Duty Cycle BUCK Leg]]*(1-Table25[[#This Row],[Duty Cycle BUCK Leg]]))*SQRT(Table25[[#This Row],[Iout]]^2+(Table25[[#This Row],[Ripple Current pk-pk]]^2)/12), Table25[[#This Row],[Ripple Current pk-pk]]/SQRT(12))</f>
        <v>1.2257931683940986</v>
      </c>
      <c r="AE80" s="345">
        <f>RCinEsr*Table25[[#This Row],[Irms Cin]]^2</f>
        <v>3.0051377833632859E-3</v>
      </c>
      <c r="AF80" s="683">
        <f>Table25[[#This Row],[Cin ESR Loss]]</f>
        <v>3.0051377833632859E-3</v>
      </c>
      <c r="AG80" s="345">
        <f>Table25[[#This Row],[Irms Lf]]</f>
        <v>8.0656204981026267</v>
      </c>
      <c r="AH80" s="345">
        <f>Rdson1*Table25[[#This Row],[Irms BuCtrl]]^2</f>
        <v>0.22768981906794641</v>
      </c>
      <c r="AI80" s="345">
        <f>CHOOSE(Table25[[#This Row],[Mode Digit]], (Table25[[#This Row],[Vin]]*Table25[[#This Row],[Iout]]/2)*(Fsw)*(Tr_buck+Tf_buck), 0, (Table25[[#This Row],[Vin]]*Table25[[#This Row],[Avg IL]]/2)*(Fsw/1)*(Tr_buck+Tf_buck))</f>
        <v>0</v>
      </c>
      <c r="AJ80" s="253">
        <f>IF(Table25[[#This Row],[Vin]]&gt;Vout, IF(Table25[[#This Row],[Iout]]&gt;Table25[[#This Row],[Ripple Current pk-pk]]/2,0,ABS(Table25[[#This Row],[Iout]]-Table25[[#This Row],[Ripple Current pk-pk]]/2)*Vsd_Q1*Deadtime*Fsw),0)</f>
        <v>0</v>
      </c>
      <c r="AK80" s="345">
        <f>(Table25[[#This Row],[Dead Time Loss BuCtrl]]+Table25[[#This Row],[Transition Loss BuCtrl]]+Table25[[#This Row],[RDS(on) Loss BuCtrl]]*(1+RdsonTopTc*Ta-RdsonTopTc*25))/(1-Table25[[#This Row],[RDS(on) Loss BuCtrl]]*RdsonTopTc*ThetaJA_Q1)</f>
        <v>0.24201707320647803</v>
      </c>
      <c r="AL80" s="345">
        <f>Table25[[#This Row],[Irms Lf]]</f>
        <v>8.0656204981026267</v>
      </c>
      <c r="AM80" s="345">
        <f>Rdson2*Table25[[#This Row],[Irms BuSync]]^2</f>
        <v>0.22768981906794641</v>
      </c>
      <c r="AN80"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80" s="345">
        <f>(Table25[[#This Row],[Deadtime Loss BuSync]]+Table25[[#This Row],[RDS(on) Loss BuSync]]*(1+RdsonBotTc*Ta-RdsonBotTc*25))/(1-Table25[[#This Row],[RDS(on) Loss BuSync]]*RdsonBotTc*ThetaJA_Q2)</f>
        <v>0.24201707320647803</v>
      </c>
      <c r="AP80" s="345">
        <f>Table25[[#This Row],[Irms Lf]]</f>
        <v>8.0656204981026267</v>
      </c>
      <c r="AQ80" s="345">
        <f>Rdson4*Table25[[#This Row],[Irms BoCtlr]]^2</f>
        <v>0.22768981906794641</v>
      </c>
      <c r="AR80" s="345">
        <f>CHOOSE(Table25[[#This Row],[Mode Digit]], 0, (Vout*Table25[[#This Row],[Iin]]/2)*(Fsw)*(Tr_boost+Tf_boost), (Vout*Iout/2)*(Fsw/1)*(Tr_boost+Tf_boost))</f>
        <v>0.47397428532674007</v>
      </c>
      <c r="AS80" s="345">
        <f>IF(Table25[[#This Row],[Vin]]&gt;Vout, 0, IF(Table25[[#This Row],[Iin]]&gt;Table25[[#This Row],[Ripple Current pk-pk]]/2,0,ABS(Table25[[#This Row],[Iin]]-Table25[[#This Row],[Ripple Current pk-pk]]/2)*Vsd_Q4*Deadtime*Fsw))</f>
        <v>0</v>
      </c>
      <c r="AT80" s="345">
        <f>(Table25[[#This Row],[Dead Time Loss BoCtlr]]+Table25[[#This Row],[Transition Loss BoCtlr]]+Table25[[#This Row],[RDS(on) Loss BoCtlr]]*(1+RdsonTopTc*Ta-RdsonTopTc*25))/(1-Table25[[#This Row],[RDS(on) Loss BoCtlr]]*RdsonTopTc*ThetaJA_Q4)</f>
        <v>0.74581592455379464</v>
      </c>
      <c r="AU80" s="345">
        <f>Table25[[#This Row],[Irms Lf]]</f>
        <v>8.0656204981026267</v>
      </c>
      <c r="AV80" s="345">
        <f>Rdson3*Table25[[#This Row],[Irms BoSync]]^2</f>
        <v>0.22768981906794641</v>
      </c>
      <c r="AW80"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0.23796210526315786</v>
      </c>
      <c r="AX80" s="345">
        <f>(Table25[[#This Row],[Deadtime Loss BoSync]]+Table25[[#This Row],[RDS(on) Loss BoSync]]*(1+RdsonBotTc*Ta-RdsonBotTc*25))/(1-Table25[[#This Row],[RDS(on) Loss BoSync]]*RdsonBotTc*ThetaJA_Q3)</f>
        <v>0.49495281045459461</v>
      </c>
      <c r="AY80" s="345">
        <f>CHOOSE(Table25[[#This Row],[Mode Digit]], Rdson3*Table25[[#This Row],[Irms Lf]]^2, Rdson1*Table25[[#This Row],[Irms Lf]]^2, 0)</f>
        <v>0.22768981906794641</v>
      </c>
      <c r="AZ80" s="345">
        <f>CHOOSE(Table25[[#This Row],[Mode Digit]], 2*Deadtime*Fsw*IF(VfdSky_Q2&gt;0,VfdSky_Q2,0)*Table25[[#This Row],[Iout]], 2*Deadtime*Fsw*IF(VfdSky_Q3&gt;0,VfdSky_Q3,0)*Table25[[#This Row],[Iin]], 2*Deadtime*Fsw*IF(VfdSky_Q2&gt;0,VfdSky_Q2,0)*Table25[[#This Row],[Iout]]+2*Deadtime*Fsw*IF(VfdSky_Q3&gt;0,VfdSky_Q3,0)*Table25[[#This Row],[Iin]])</f>
        <v>0</v>
      </c>
      <c r="BA80"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80"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80" s="345">
        <f>CHOOSE(Table25[[#This Row],[Mode Digit]], Rs*Table25[[#This Row],[Irms BuSync]]^2, Rs*Table25[[#This Row],[Irms BoCtlr]]^2, Rs*(Table25[[#This Row],[Irms BuSync]]^2+Table25[[#This Row],[Irms BoCtlr]]^2))</f>
        <v>8.4570504225237236E-2</v>
      </c>
      <c r="BD80" s="345">
        <f t="shared" si="9"/>
        <v>0.64</v>
      </c>
      <c r="BE80" s="345">
        <f>IF(Vout&gt;8, Iq*Vout, Iq*Table25[[#This Row],[Vin]])</f>
        <v>4.8000000000000001E-2</v>
      </c>
      <c r="BF80" s="345">
        <f>CHOOSE(Table25[[#This Row],[Mode Digit]], (Qg_Q1+Qg_Q2)*Fsw, (Qg_Q3+Qg_Q4)*Fsw, (Qg_Q1+Qg_Q2+Qg_Q3+Qg_Q4)*Fsw)*IF(Vout&gt;8,  MIN( Table25[[#This Row],[Vin]], Vout), Table25[[#This Row],[Vin]])</f>
        <v>0.63998400000000011</v>
      </c>
      <c r="BG80" s="345">
        <f t="shared" si="10"/>
        <v>0.50594479787234037</v>
      </c>
      <c r="BH80" s="345">
        <f>Table25[[#This Row],[IQ Loss]]+Table25[[#This Row],[Switching Current Loss]]</f>
        <v>0.68798400000000015</v>
      </c>
      <c r="BI80"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4.698352173416791</v>
      </c>
      <c r="BJ80" s="253">
        <f>Vout*Table25[[#This Row],[Iout]]</f>
        <v>90.88</v>
      </c>
      <c r="BK80" s="684">
        <f>Table25[[#This Row],[Pout]]/(Table25[[#This Row],[Pout]]+Table25[[#This Row],[Total Loss]])</f>
        <v>0.9508429255518851</v>
      </c>
      <c r="BL80" s="685">
        <f>IF(Table25[[#This Row],[Vin]]&gt;Vout,ThetaJA_Q1*(Table25[[#This Row],[Total Control Bu MOSFET Loss]]+Table25[[#This Row],[Reverse Recovery Loss MOSFET D BUCK]]),ThetaJA_Q4*(Table25[[#This Row],[Total Control Bo MOSFET Loss]]+Table25[[#This Row],[Reverse Recovery Loss MOSFET D BOOST]]))</f>
        <v>71.657555095996642</v>
      </c>
      <c r="BM80" s="685">
        <f>IF(Table25[[#This Row],[Vin]]&gt;Vout, Table25[[#This Row],[Total Sync Bu MOSFET Loss]]*ThetaJA_Q2, ThetaJA_Q3*Table25[[#This Row],[Total Sync Bo MOSFET Loss]])</f>
        <v>32.171932679548647</v>
      </c>
      <c r="BN80" s="640"/>
      <c r="BO80" s="292">
        <f>Table25[[#This Row],[EFF, h]]*100</f>
        <v>95.084292555188512</v>
      </c>
      <c r="BP80" s="345">
        <f>Table25[[#This Row],[Total Inductor Loss]]</f>
        <v>0.8218412182096726</v>
      </c>
      <c r="BQ80" s="345">
        <f>Table25[[#This Row],[Total Control Bu MOSFET Loss]]+Table25[[#This Row],[Total Sync Bu MOSFET Loss]]+Table25[[#This Row],[Total Control Bo MOSFET Loss]]+Table25[[#This Row],[Total Sync Bo MOSFET Loss]]+Table25[[#This Row],[Reverse Recovery Loss MOSFET D BUCK]]+Table25[[#This Row],[Reverse Recovery Loss MOSFET D BOOST]]</f>
        <v>2.4380188814213453</v>
      </c>
      <c r="BR80" s="345">
        <f xml:space="preserve"> Table25[[#This Row],[Total Control Bu MOSFET Loss]]+Table25[[#This Row],[Reverse Recovery Loss MOSFET D BUCK]]*0.66</f>
        <v>0.47737835320647803</v>
      </c>
      <c r="BS80" s="345">
        <f>Table25[[#This Row],[Total Sync Bu MOSFET Loss]]+Table25[[#This Row],[Reverse Recovery Loss MOSFET D BUCK]]*0.33</f>
        <v>0.35969771320647803</v>
      </c>
      <c r="BT80" s="345">
        <f xml:space="preserve"> Table25[[#This Row],[Total Control Bo MOSFET Loss]]+Table25[[#This Row],[Reverse Recovery Loss MOSFET D BOOST]]*0.66</f>
        <v>0.98117720455379465</v>
      </c>
      <c r="BU80" s="345">
        <f xml:space="preserve"> Table25[[#This Row],[Total Sync Bo MOSFET Loss]]+Table25[[#This Row],[Reverse Recovery Loss MOSFET D BOOST]]*0.33</f>
        <v>0.61263345045459461</v>
      </c>
      <c r="BV80" s="345">
        <f>Table25[[#This Row],[Isense Shunt Loss]]</f>
        <v>8.4570504225237236E-2</v>
      </c>
      <c r="CB80" s="686"/>
      <c r="CC80" s="686"/>
    </row>
    <row r="81" spans="1:81" ht="13.6" x14ac:dyDescent="0.25">
      <c r="A81" s="706"/>
      <c r="G81" s="253">
        <v>72</v>
      </c>
      <c r="H81" s="286">
        <f t="shared" si="8"/>
        <v>12</v>
      </c>
      <c r="I81" s="292" t="str">
        <f>IF(Mode = 2,IF(Table25[[#This Row],[Vin]]&gt;Vout, "BUCK","BOOST"),IF(Table25[[#This Row],[Vin]]&gt;VIN_BB_to_buck, "BUCK", IF(Table25[[#This Row],[Vin]]&lt;=VIN_boost_to_BB,"BOOST","BUCK-BST")))</f>
        <v>BOOST</v>
      </c>
      <c r="J81" s="253">
        <f>IF(Table25[[#This Row],[Mode]]="BOOST",2, IF(Table25[[#This Row],[Mode]]="BUCK", 1,3))</f>
        <v>2</v>
      </c>
      <c r="K81" s="345">
        <f t="shared" si="11"/>
        <v>5.76</v>
      </c>
      <c r="L81" s="292">
        <f>Vout*Table25[[#This Row],[Iout]]/(Table25[[#This Row],[Vin]]*Efficiency)</f>
        <v>8.0842105263157897</v>
      </c>
      <c r="M81" s="682">
        <f>CHOOSE(Table25[[#This Row],[Mode Digit]],(Vout+(Rdson2+Rs+Rdcr)*Table25[[#This Row],[Iout]])/(Table25[[#This Row],[Vin]]+(Rs+Rdson2-Rdson1)*Table25[[#This Row],[Iout]])/Fsw,(Vout+(Rdson3+Rdcr)*Table25[[#This Row],[Iin]]-Table25[[#This Row],[Vin]])/(Vout+(Rdson3-Rdson4-Rs)*Table25[[#This Row],[Iin]])/Fsw,t1_Ph_II)</f>
        <v>6.3706484085521322E-7</v>
      </c>
      <c r="N81" s="518">
        <f>CHOOSE(Table25[[#This Row],[Mode Digit]],1/Fsw-Table25[[#This Row],[t1_Ph_II]],1/Fsw-Table25[[#This Row],[t1_Ph_II]],(Vout/Fsw-Table25[[#This Row],[Vin]]*t1_Ph_II)/(Table25[[#This Row],[Vin]]+Vout))</f>
        <v>1.8754979732151386E-6</v>
      </c>
      <c r="O81" s="518">
        <f>1/Fsw-(Table25[[#This Row],[t1_Ph_II]]+Table25[[#This Row],[t2_Ph_I]])</f>
        <v>0</v>
      </c>
      <c r="P81"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5.9606610567984131</v>
      </c>
      <c r="Q81" s="292">
        <f>CHOOSE(Table25[[#This Row],[Mode Digit]],Table25[[#This Row],[I_0]]+1/Lf*(Table25[[#This Row],[Vin]]-Vout)*Table25[[#This Row],[t1_Ph_II]],Table25[[#This Row],[I_0]]+1/Lf*Table25[[#This Row],[Vin]]*Table25[[#This Row],[t1_Ph_II]],Table25[[#This Row],[I_0]]+(Table25[[#This Row],[Vin]]-Vout)/L*Table25[[#This Row],[t1_Ph_II]])</f>
        <v>10.207759995833168</v>
      </c>
      <c r="R81" s="292">
        <f>CHOOSE(Table25[[#This Row],[Mode Digit]],0,0,Table25[[#This Row],[I_1]]+Table25[[#This Row],[Vin]]/L*Table25[[#This Row],[t2_Ph_I]])</f>
        <v>0</v>
      </c>
      <c r="S81" s="292">
        <f>Fsw*(Table25[[#This Row],[I_0]]*Table25[[#This Row],[t1_Ph_II]]+Table25[[#This Row],[I_1]]*Table25[[#This Row],[t2_Ph_I]]+Table25[[#This Row],[I_2]]*Table25[[#This Row],[t3_Ph_III]])</f>
        <v>9.1309003867755436</v>
      </c>
      <c r="T81" s="345">
        <f>CHOOSE(Table25[[#This Row],[Mode Digit]],(Vout+(Rdson2+Rs+Rdcr)*Table25[[#This Row],[Iout]])/(Table25[[#This Row],[Vin]]+(Rs+Rdson2-Rdson1)*Table25[[#This Row],[Iout]]),1,Fsw*Table25[[#This Row],[t2_Ph_I]]+Table25[[#This Row],[t1_Ph_II]])</f>
        <v>1</v>
      </c>
      <c r="U81" s="345">
        <f>CHOOSE(Table25[[#This Row],[Mode Digit]],0,(Vout+(Rdson3+Rdcr)*Table25[[#This Row],[Iin]]-Table25[[#This Row],[Vin]])/(Vout+(Rdson3-Rdson4-Rs)*Table25[[#This Row],[Iin]]),Fsw*Table25[[#This Row],[t1_Ph_II]]+Table25[[#This Row],[t3_Ph_III]])</f>
        <v>0.25355180666037486</v>
      </c>
      <c r="V81" s="292">
        <f>MAX(Table25[[#This Row],[I_0]:[I_2]])-MIN(Table25[[#This Row],[I_0]:[I_1]])</f>
        <v>4.2470989390347551</v>
      </c>
      <c r="W81"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8.1766505337021034</v>
      </c>
      <c r="X81" s="345">
        <f>(Table25[[#This Row],[Irms Lf]]^2*Rdcr*(1+Ltc*Ta-Ltc*25))/(1-Table25[[#This Row],[Irms Lf]]^2*Rdcr*Ltc*ThetaCa)</f>
        <v>0.21766990459615296</v>
      </c>
      <c r="Y81" s="345">
        <f>ABS(7.759*10^-3*Fsw^0.9458*(0.00787*Table25[[#This Row],[Ripple Current pk-pk]])^2.304)</f>
        <v>0.61041582530706007</v>
      </c>
      <c r="Z81" s="345">
        <f>Table25[[#This Row],[DCR    Loss]]+Table25[[#This Row],[Core Loss]]</f>
        <v>0.82808572990321305</v>
      </c>
      <c r="AA81" s="292">
        <f>IF(Table25[[#This Row],[Vin]]&gt;Vout, Table25[[#This Row],[Ripple Current pk-pk]]/SQRT(12), SQRT(Table25[[#This Row],[Duty Cycle BOOST Leg]]/(1-Table25[[#This Row],[Duty Cycle BOOST Leg]]))*SQRT(Table25[[#This Row],[Iout]]^2+(Table25[[#This Row],[Ripple Current pk-pk]]^2)/12))</f>
        <v>3.4322410823352838</v>
      </c>
      <c r="AB81" s="345">
        <f>RCoutEsr*Table25[[#This Row],[Irms Cout]]^2</f>
        <v>2.3560557694540161E-2</v>
      </c>
      <c r="AC81" s="345">
        <f>Table25[[#This Row],[Cout ESR Loss]]</f>
        <v>2.3560557694540161E-2</v>
      </c>
      <c r="AD81" s="292">
        <f>IF(Table25[[#This Row],[Vin]]&gt;Vout, SQRT(Table25[[#This Row],[Duty Cycle BUCK Leg]]*(1-Table25[[#This Row],[Duty Cycle BUCK Leg]]))*SQRT(Table25[[#This Row],[Iout]]^2+(Table25[[#This Row],[Ripple Current pk-pk]]^2)/12), Table25[[#This Row],[Ripple Current pk-pk]]/SQRT(12))</f>
        <v>1.2260318578633449</v>
      </c>
      <c r="AE81" s="345">
        <f>RCinEsr*Table25[[#This Row],[Irms Cin]]^2</f>
        <v>3.0063082329916902E-3</v>
      </c>
      <c r="AF81" s="683">
        <f>Table25[[#This Row],[Cin ESR Loss]]</f>
        <v>3.0063082329916902E-3</v>
      </c>
      <c r="AG81" s="345">
        <f>Table25[[#This Row],[Irms Lf]]</f>
        <v>8.1766505337021034</v>
      </c>
      <c r="AH81" s="345">
        <f>Rdson1*Table25[[#This Row],[Irms BuCtrl]]^2</f>
        <v>0.23400164882601815</v>
      </c>
      <c r="AI81" s="345">
        <f>CHOOSE(Table25[[#This Row],[Mode Digit]], (Table25[[#This Row],[Vin]]*Table25[[#This Row],[Iout]]/2)*(Fsw)*(Tr_buck+Tf_buck), 0, (Table25[[#This Row],[Vin]]*Table25[[#This Row],[Avg IL]]/2)*(Fsw/1)*(Tr_buck+Tf_buck))</f>
        <v>0</v>
      </c>
      <c r="AJ81" s="253">
        <f>IF(Table25[[#This Row],[Vin]]&gt;Vout, IF(Table25[[#This Row],[Iout]]&gt;Table25[[#This Row],[Ripple Current pk-pk]]/2,0,ABS(Table25[[#This Row],[Iout]]-Table25[[#This Row],[Ripple Current pk-pk]]/2)*Vsd_Q1*Deadtime*Fsw),0)</f>
        <v>0</v>
      </c>
      <c r="AK81" s="345">
        <f>(Table25[[#This Row],[Dead Time Loss BuCtrl]]+Table25[[#This Row],[Transition Loss BuCtrl]]+Table25[[#This Row],[RDS(on) Loss BuCtrl]]*(1+RdsonTopTc*Ta-RdsonTopTc*25))/(1-Table25[[#This Row],[RDS(on) Loss BuCtrl]]*RdsonTopTc*ThetaJA_Q1)</f>
        <v>0.24916069215032843</v>
      </c>
      <c r="AL81" s="345">
        <f>Table25[[#This Row],[Irms Lf]]</f>
        <v>8.1766505337021034</v>
      </c>
      <c r="AM81" s="345">
        <f>Rdson2*Table25[[#This Row],[Irms BuSync]]^2</f>
        <v>0.23400164882601815</v>
      </c>
      <c r="AN81"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81" s="345">
        <f>(Table25[[#This Row],[Deadtime Loss BuSync]]+Table25[[#This Row],[RDS(on) Loss BuSync]]*(1+RdsonBotTc*Ta-RdsonBotTc*25))/(1-Table25[[#This Row],[RDS(on) Loss BuSync]]*RdsonBotTc*ThetaJA_Q2)</f>
        <v>0.24916069215032843</v>
      </c>
      <c r="AP81" s="345">
        <f>Table25[[#This Row],[Irms Lf]]</f>
        <v>8.1766505337021034</v>
      </c>
      <c r="AQ81" s="345">
        <f>Rdson4*Table25[[#This Row],[Irms BoCtlr]]^2</f>
        <v>0.23400164882601815</v>
      </c>
      <c r="AR81" s="345">
        <f>CHOOSE(Table25[[#This Row],[Mode Digit]], 0, (Vout*Table25[[#This Row],[Iin]]/2)*(Fsw)*(Tr_boost+Tf_boost), (Vout*Iout/2)*(Fsw/1)*(Tr_boost+Tf_boost))</f>
        <v>0.48064997948627158</v>
      </c>
      <c r="AS81" s="345">
        <f>IF(Table25[[#This Row],[Vin]]&gt;Vout, 0, IF(Table25[[#This Row],[Iin]]&gt;Table25[[#This Row],[Ripple Current pk-pk]]/2,0,ABS(Table25[[#This Row],[Iin]]-Table25[[#This Row],[Ripple Current pk-pk]]/2)*Vsd_Q4*Deadtime*Fsw))</f>
        <v>0</v>
      </c>
      <c r="AT81" s="345">
        <f>(Table25[[#This Row],[Dead Time Loss BoCtlr]]+Table25[[#This Row],[Transition Loss BoCtlr]]+Table25[[#This Row],[RDS(on) Loss BoCtlr]]*(1+RdsonTopTc*Ta-RdsonTopTc*25))/(1-Table25[[#This Row],[RDS(on) Loss BoCtlr]]*RdsonTopTc*ThetaJA_Q4)</f>
        <v>0.76094803284501844</v>
      </c>
      <c r="AU81" s="345">
        <f>Table25[[#This Row],[Irms Lf]]</f>
        <v>8.1766505337021034</v>
      </c>
      <c r="AV81" s="345">
        <f>Rdson3*Table25[[#This Row],[Irms BoSync]]^2</f>
        <v>0.23400164882601815</v>
      </c>
      <c r="AW81"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0.24131368421052629</v>
      </c>
      <c r="AX81" s="345">
        <f>(Table25[[#This Row],[Deadtime Loss BoSync]]+Table25[[#This Row],[RDS(on) Loss BoSync]]*(1+RdsonBotTc*Ta-RdsonBotTc*25))/(1-Table25[[#This Row],[RDS(on) Loss BoSync]]*RdsonBotTc*ThetaJA_Q3)</f>
        <v>0.50610710635249723</v>
      </c>
      <c r="AY81" s="345">
        <f>CHOOSE(Table25[[#This Row],[Mode Digit]], Rdson3*Table25[[#This Row],[Irms Lf]]^2, Rdson1*Table25[[#This Row],[Irms Lf]]^2, 0)</f>
        <v>0.23400164882601815</v>
      </c>
      <c r="AZ81" s="345">
        <f>CHOOSE(Table25[[#This Row],[Mode Digit]], 2*Deadtime*Fsw*IF(VfdSky_Q2&gt;0,VfdSky_Q2,0)*Table25[[#This Row],[Iout]], 2*Deadtime*Fsw*IF(VfdSky_Q3&gt;0,VfdSky_Q3,0)*Table25[[#This Row],[Iin]], 2*Deadtime*Fsw*IF(VfdSky_Q2&gt;0,VfdSky_Q2,0)*Table25[[#This Row],[Iout]]+2*Deadtime*Fsw*IF(VfdSky_Q3&gt;0,VfdSky_Q3,0)*Table25[[#This Row],[Iin]])</f>
        <v>0</v>
      </c>
      <c r="BA81"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81"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81" s="345">
        <f>CHOOSE(Table25[[#This Row],[Mode Digit]], Rs*Table25[[#This Row],[Irms BuSync]]^2, Rs*Table25[[#This Row],[Irms BoCtlr]]^2, Rs*(Table25[[#This Row],[Irms BuSync]]^2+Table25[[#This Row],[Irms BoCtlr]]^2))</f>
        <v>8.6914898135378157E-2</v>
      </c>
      <c r="BD81" s="345">
        <f t="shared" si="9"/>
        <v>0.64</v>
      </c>
      <c r="BE81" s="345">
        <f>IF(Vout&gt;8, Iq*Vout, Iq*Table25[[#This Row],[Vin]])</f>
        <v>4.8000000000000001E-2</v>
      </c>
      <c r="BF81" s="345">
        <f>CHOOSE(Table25[[#This Row],[Mode Digit]], (Qg_Q1+Qg_Q2)*Fsw, (Qg_Q3+Qg_Q4)*Fsw, (Qg_Q1+Qg_Q2+Qg_Q3+Qg_Q4)*Fsw)*IF(Vout&gt;8,  MIN( Table25[[#This Row],[Vin]], Vout), Table25[[#This Row],[Vin]])</f>
        <v>0.63998400000000011</v>
      </c>
      <c r="BG81" s="345">
        <f t="shared" si="10"/>
        <v>0.50594479787234037</v>
      </c>
      <c r="BH81" s="345">
        <f>Table25[[#This Row],[IQ Loss]]+Table25[[#This Row],[Switching Current Loss]]</f>
        <v>0.68798400000000015</v>
      </c>
      <c r="BI81"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4.7481440174642957</v>
      </c>
      <c r="BJ81" s="253">
        <f>Vout*Table25[[#This Row],[Iout]]</f>
        <v>92.16</v>
      </c>
      <c r="BK81" s="684">
        <f>Table25[[#This Row],[Pout]]/(Table25[[#This Row],[Pout]]+Table25[[#This Row],[Total Loss]])</f>
        <v>0.95100366366929268</v>
      </c>
      <c r="BL81" s="685">
        <f>IF(Table25[[#This Row],[Vin]]&gt;Vout,ThetaJA_Q1*(Table25[[#This Row],[Total Control Bu MOSFET Loss]]+Table25[[#This Row],[Reverse Recovery Loss MOSFET D BUCK]]),ThetaJA_Q4*(Table25[[#This Row],[Total Control Bo MOSFET Loss]]+Table25[[#This Row],[Reverse Recovery Loss MOSFET D BOOST]]))</f>
        <v>72.641142134926199</v>
      </c>
      <c r="BM81" s="685">
        <f>IF(Table25[[#This Row],[Vin]]&gt;Vout, Table25[[#This Row],[Total Sync Bu MOSFET Loss]]*ThetaJA_Q2, ThetaJA_Q3*Table25[[#This Row],[Total Sync Bo MOSFET Loss]])</f>
        <v>32.896961912912317</v>
      </c>
      <c r="BN81" s="640"/>
      <c r="BO81" s="292">
        <f>Table25[[#This Row],[EFF, h]]*100</f>
        <v>95.100366366929265</v>
      </c>
      <c r="BP81" s="345">
        <f>Table25[[#This Row],[Total Inductor Loss]]</f>
        <v>0.82808572990321305</v>
      </c>
      <c r="BQ81" s="345">
        <f>Table25[[#This Row],[Total Control Bu MOSFET Loss]]+Table25[[#This Row],[Total Sync Bu MOSFET Loss]]+Table25[[#This Row],[Total Control Bo MOSFET Loss]]+Table25[[#This Row],[Total Sync Bo MOSFET Loss]]+Table25[[#This Row],[Reverse Recovery Loss MOSFET D BUCK]]+Table25[[#This Row],[Reverse Recovery Loss MOSFET D BOOST]]</f>
        <v>2.4785925234981727</v>
      </c>
      <c r="BR81" s="345">
        <f xml:space="preserve"> Table25[[#This Row],[Total Control Bu MOSFET Loss]]+Table25[[#This Row],[Reverse Recovery Loss MOSFET D BUCK]]*0.66</f>
        <v>0.48452197215032844</v>
      </c>
      <c r="BS81" s="345">
        <f>Table25[[#This Row],[Total Sync Bu MOSFET Loss]]+Table25[[#This Row],[Reverse Recovery Loss MOSFET D BUCK]]*0.33</f>
        <v>0.36684133215032844</v>
      </c>
      <c r="BT81" s="345">
        <f xml:space="preserve"> Table25[[#This Row],[Total Control Bo MOSFET Loss]]+Table25[[#This Row],[Reverse Recovery Loss MOSFET D BOOST]]*0.66</f>
        <v>0.99630931284501845</v>
      </c>
      <c r="BU81" s="345">
        <f xml:space="preserve"> Table25[[#This Row],[Total Sync Bo MOSFET Loss]]+Table25[[#This Row],[Reverse Recovery Loss MOSFET D BOOST]]*0.33</f>
        <v>0.62378774635249723</v>
      </c>
      <c r="BV81" s="345">
        <f>Table25[[#This Row],[Isense Shunt Loss]]</f>
        <v>8.6914898135378157E-2</v>
      </c>
      <c r="CB81" s="686"/>
      <c r="CC81" s="686"/>
    </row>
    <row r="82" spans="1:81" ht="13.6" x14ac:dyDescent="0.25">
      <c r="A82" s="706"/>
      <c r="G82" s="253">
        <v>73</v>
      </c>
      <c r="H82" s="286">
        <f t="shared" si="8"/>
        <v>12</v>
      </c>
      <c r="I82" s="292" t="str">
        <f>IF(Mode = 2,IF(Table25[[#This Row],[Vin]]&gt;Vout, "BUCK","BOOST"),IF(Table25[[#This Row],[Vin]]&gt;VIN_BB_to_buck, "BUCK", IF(Table25[[#This Row],[Vin]]&lt;=VIN_boost_to_BB,"BOOST","BUCK-BST")))</f>
        <v>BOOST</v>
      </c>
      <c r="J82" s="253">
        <f>IF(Table25[[#This Row],[Mode]]="BOOST",2, IF(Table25[[#This Row],[Mode]]="BUCK", 1,3))</f>
        <v>2</v>
      </c>
      <c r="K82" s="345">
        <f t="shared" si="11"/>
        <v>5.84</v>
      </c>
      <c r="L82" s="292">
        <f>Vout*Table25[[#This Row],[Iout]]/(Table25[[#This Row],[Vin]]*Efficiency)</f>
        <v>8.196491228070176</v>
      </c>
      <c r="M82" s="682">
        <f>CHOOSE(Table25[[#This Row],[Mode Digit]],(Vout+(Rdson2+Rs+Rdcr)*Table25[[#This Row],[Iout]])/(Table25[[#This Row],[Vin]]+(Rs+Rdson2-Rdson1)*Table25[[#This Row],[Iout]])/Fsw,(Vout+(Rdson3+Rdcr)*Table25[[#This Row],[Iin]]-Table25[[#This Row],[Vin]])/(Vout+(Rdson3-Rdson4-Rs)*Table25[[#This Row],[Iin]])/Fsw,t1_Ph_II)</f>
        <v>6.37188869806054E-7</v>
      </c>
      <c r="N82" s="518">
        <f>CHOOSE(Table25[[#This Row],[Mode Digit]],1/Fsw-Table25[[#This Row],[t1_Ph_II]],1/Fsw-Table25[[#This Row],[t1_Ph_II]],(Vout/Fsw-Table25[[#This Row],[Vin]]*t1_Ph_II)/(Table25[[#This Row],[Vin]]+Vout))</f>
        <v>1.8753739442642978E-6</v>
      </c>
      <c r="O82" s="518">
        <f>1/Fsw-(Table25[[#This Row],[t1_Ph_II]]+Table25[[#This Row],[t2_Ph_I]])</f>
        <v>0</v>
      </c>
      <c r="P82"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6.0725283287166629</v>
      </c>
      <c r="Q82" s="292">
        <f>CHOOSE(Table25[[#This Row],[Mode Digit]],Table25[[#This Row],[I_0]]+1/Lf*(Table25[[#This Row],[Vin]]-Vout)*Table25[[#This Row],[t1_Ph_II]],Table25[[#This Row],[I_0]]+1/Lf*Table25[[#This Row],[Vin]]*Table25[[#This Row],[t1_Ph_II]],Table25[[#This Row],[I_0]]+(Table25[[#This Row],[Vin]]-Vout)/L*Table25[[#This Row],[t1_Ph_II]])</f>
        <v>10.320454127423689</v>
      </c>
      <c r="R82" s="292">
        <f>CHOOSE(Table25[[#This Row],[Mode Digit]],0,0,Table25[[#This Row],[I_1]]+Table25[[#This Row],[Vin]]/L*Table25[[#This Row],[t2_Ph_I]])</f>
        <v>0</v>
      </c>
      <c r="S82" s="292">
        <f>Fsw*(Table25[[#This Row],[I_0]]*Table25[[#This Row],[t1_Ph_II]]+Table25[[#This Row],[I_1]]*Table25[[#This Row],[t2_Ph_I]]+Table25[[#This Row],[I_2]]*Table25[[#This Row],[t3_Ph_III]])</f>
        <v>9.2431751740218413</v>
      </c>
      <c r="T82" s="345">
        <f>CHOOSE(Table25[[#This Row],[Mode Digit]],(Vout+(Rdson2+Rs+Rdcr)*Table25[[#This Row],[Iout]])/(Table25[[#This Row],[Vin]]+(Rs+Rdson2-Rdson1)*Table25[[#This Row],[Iout]]),1,Fsw*Table25[[#This Row],[t2_Ph_I]]+Table25[[#This Row],[t1_Ph_II]])</f>
        <v>1</v>
      </c>
      <c r="U82" s="345">
        <f>CHOOSE(Table25[[#This Row],[Mode Digit]],0,(Vout+(Rdson3+Rdcr)*Table25[[#This Row],[Iin]]-Table25[[#This Row],[Vin]])/(Vout+(Rdson3-Rdson4-Rs)*Table25[[#This Row],[Iin]]),Fsw*Table25[[#This Row],[t1_Ph_II]]+Table25[[#This Row],[t3_Ph_III]])</f>
        <v>0.25360117018280948</v>
      </c>
      <c r="V82" s="292">
        <f>MAX(Table25[[#This Row],[I_0]:[I_2]])-MIN(Table25[[#This Row],[I_0]:[I_1]])</f>
        <v>4.2479257987070262</v>
      </c>
      <c r="W82"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8.2877142758286944</v>
      </c>
      <c r="X82" s="345">
        <f>(Table25[[#This Row],[Irms Lf]]^2*Rdcr*(1+Ltc*Ta-Ltc*25))/(1-Table25[[#This Row],[Irms Lf]]^2*Rdcr*Ltc*ThetaCa)</f>
        <v>0.22372985714104007</v>
      </c>
      <c r="Y82" s="345">
        <f>ABS(7.759*10^-3*Fsw^0.9458*(0.00787*Table25[[#This Row],[Ripple Current pk-pk]])^2.304)</f>
        <v>0.61068966904690991</v>
      </c>
      <c r="Z82" s="345">
        <f>Table25[[#This Row],[DCR    Loss]]+Table25[[#This Row],[Core Loss]]</f>
        <v>0.83441952618795001</v>
      </c>
      <c r="AA82" s="292">
        <f>IF(Table25[[#This Row],[Vin]]&gt;Vout, Table25[[#This Row],[Ripple Current pk-pk]]/SQRT(12), SQRT(Table25[[#This Row],[Duty Cycle BOOST Leg]]/(1-Table25[[#This Row],[Duty Cycle BOOST Leg]]))*SQRT(Table25[[#This Row],[Iout]]^2+(Table25[[#This Row],[Ripple Current pk-pk]]^2)/12))</f>
        <v>3.4783406367168341</v>
      </c>
      <c r="AB82" s="345">
        <f>RCoutEsr*Table25[[#This Row],[Irms Cout]]^2</f>
        <v>2.4197707170071345E-2</v>
      </c>
      <c r="AC82" s="345">
        <f>Table25[[#This Row],[Cout ESR Loss]]</f>
        <v>2.4197707170071345E-2</v>
      </c>
      <c r="AD82" s="292">
        <f>IF(Table25[[#This Row],[Vin]]&gt;Vout, SQRT(Table25[[#This Row],[Duty Cycle BUCK Leg]]*(1-Table25[[#This Row],[Duty Cycle BUCK Leg]]))*SQRT(Table25[[#This Row],[Iout]]^2+(Table25[[#This Row],[Ripple Current pk-pk]]^2)/12), Table25[[#This Row],[Ripple Current pk-pk]]/SQRT(12))</f>
        <v>1.2262705516905288</v>
      </c>
      <c r="AE82" s="345">
        <f>RCinEsr*Table25[[#This Row],[Irms Cin]]^2</f>
        <v>3.0074789318867878E-3</v>
      </c>
      <c r="AF82" s="683">
        <f>Table25[[#This Row],[Cin ESR Loss]]</f>
        <v>3.0074789318867878E-3</v>
      </c>
      <c r="AG82" s="345">
        <f>Table25[[#This Row],[Irms Lf]]</f>
        <v>8.2877142758286944</v>
      </c>
      <c r="AH82" s="345">
        <f>Rdson1*Table25[[#This Row],[Irms BuCtrl]]^2</f>
        <v>0.24040172771221158</v>
      </c>
      <c r="AI82" s="345">
        <f>CHOOSE(Table25[[#This Row],[Mode Digit]], (Table25[[#This Row],[Vin]]*Table25[[#This Row],[Iout]]/2)*(Fsw)*(Tr_buck+Tf_buck), 0, (Table25[[#This Row],[Vin]]*Table25[[#This Row],[Avg IL]]/2)*(Fsw/1)*(Tr_buck+Tf_buck))</f>
        <v>0</v>
      </c>
      <c r="AJ82" s="253">
        <f>IF(Table25[[#This Row],[Vin]]&gt;Vout, IF(Table25[[#This Row],[Iout]]&gt;Table25[[#This Row],[Ripple Current pk-pk]]/2,0,ABS(Table25[[#This Row],[Iout]]-Table25[[#This Row],[Ripple Current pk-pk]]/2)*Vsd_Q1*Deadtime*Fsw),0)</f>
        <v>0</v>
      </c>
      <c r="AK82" s="345">
        <f>(Table25[[#This Row],[Dead Time Loss BuCtrl]]+Table25[[#This Row],[Transition Loss BuCtrl]]+Table25[[#This Row],[RDS(on) Loss BuCtrl]]*(1+RdsonTopTc*Ta-RdsonTopTc*25))/(1-Table25[[#This Row],[RDS(on) Loss BuCtrl]]*RdsonTopTc*ThetaJA_Q1)</f>
        <v>0.25642972652872309</v>
      </c>
      <c r="AL82" s="345">
        <f>Table25[[#This Row],[Irms Lf]]</f>
        <v>8.2877142758286944</v>
      </c>
      <c r="AM82" s="345">
        <f>Rdson2*Table25[[#This Row],[Irms BuSync]]^2</f>
        <v>0.24040172771221158</v>
      </c>
      <c r="AN82"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82" s="345">
        <f>(Table25[[#This Row],[Deadtime Loss BuSync]]+Table25[[#This Row],[RDS(on) Loss BuSync]]*(1+RdsonBotTc*Ta-RdsonBotTc*25))/(1-Table25[[#This Row],[RDS(on) Loss BuSync]]*RdsonBotTc*ThetaJA_Q2)</f>
        <v>0.25642972652872309</v>
      </c>
      <c r="AP82" s="345">
        <f>Table25[[#This Row],[Irms Lf]]</f>
        <v>8.2877142758286944</v>
      </c>
      <c r="AQ82" s="345">
        <f>Rdson4*Table25[[#This Row],[Irms BoCtlr]]^2</f>
        <v>0.24040172771221158</v>
      </c>
      <c r="AR82" s="345">
        <f>CHOOSE(Table25[[#This Row],[Mode Digit]], 0, (Vout*Table25[[#This Row],[Iin]]/2)*(Fsw)*(Tr_boost+Tf_boost), (Vout*Iout/2)*(Fsw/1)*(Tr_boost+Tf_boost))</f>
        <v>0.48732567364580315</v>
      </c>
      <c r="AS82" s="345">
        <f>IF(Table25[[#This Row],[Vin]]&gt;Vout, 0, IF(Table25[[#This Row],[Iin]]&gt;Table25[[#This Row],[Ripple Current pk-pk]]/2,0,ABS(Table25[[#This Row],[Iin]]-Table25[[#This Row],[Ripple Current pk-pk]]/2)*Vsd_Q4*Deadtime*Fsw))</f>
        <v>0</v>
      </c>
      <c r="AT82" s="345">
        <f>(Table25[[#This Row],[Dead Time Loss BoCtlr]]+Table25[[#This Row],[Transition Loss BoCtlr]]+Table25[[#This Row],[RDS(on) Loss BoCtlr]]*(1+RdsonTopTc*Ta-RdsonTopTc*25))/(1-Table25[[#This Row],[RDS(on) Loss BoCtlr]]*RdsonTopTc*ThetaJA_Q4)</f>
        <v>0.77624624537261522</v>
      </c>
      <c r="AU82" s="345">
        <f>Table25[[#This Row],[Irms Lf]]</f>
        <v>8.2877142758286944</v>
      </c>
      <c r="AV82" s="345">
        <f>Rdson3*Table25[[#This Row],[Irms BoSync]]^2</f>
        <v>0.24040172771221158</v>
      </c>
      <c r="AW82"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0.24466526315789472</v>
      </c>
      <c r="AX82" s="345">
        <f>(Table25[[#This Row],[Deadtime Loss BoSync]]+Table25[[#This Row],[RDS(on) Loss BoSync]]*(1+RdsonBotTc*Ta-RdsonBotTc*25))/(1-Table25[[#This Row],[RDS(on) Loss BoSync]]*RdsonBotTc*ThetaJA_Q3)</f>
        <v>0.51740724578250863</v>
      </c>
      <c r="AY82" s="345">
        <f>CHOOSE(Table25[[#This Row],[Mode Digit]], Rdson3*Table25[[#This Row],[Irms Lf]]^2, Rdson1*Table25[[#This Row],[Irms Lf]]^2, 0)</f>
        <v>0.24040172771221158</v>
      </c>
      <c r="AZ82" s="345">
        <f>CHOOSE(Table25[[#This Row],[Mode Digit]], 2*Deadtime*Fsw*IF(VfdSky_Q2&gt;0,VfdSky_Q2,0)*Table25[[#This Row],[Iout]], 2*Deadtime*Fsw*IF(VfdSky_Q3&gt;0,VfdSky_Q3,0)*Table25[[#This Row],[Iin]], 2*Deadtime*Fsw*IF(VfdSky_Q2&gt;0,VfdSky_Q2,0)*Table25[[#This Row],[Iout]]+2*Deadtime*Fsw*IF(VfdSky_Q3&gt;0,VfdSky_Q3,0)*Table25[[#This Row],[Iin]])</f>
        <v>0</v>
      </c>
      <c r="BA82"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82"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82" s="345">
        <f>CHOOSE(Table25[[#This Row],[Mode Digit]], Rs*Table25[[#This Row],[Irms BuSync]]^2, Rs*Table25[[#This Row],[Irms BoCtlr]]^2, Rs*(Table25[[#This Row],[Irms BuSync]]^2+Table25[[#This Row],[Irms BoCtlr]]^2))</f>
        <v>8.9292070293107151E-2</v>
      </c>
      <c r="BD82" s="345">
        <f t="shared" si="9"/>
        <v>0.64</v>
      </c>
      <c r="BE82" s="345">
        <f>IF(Vout&gt;8, Iq*Vout, Iq*Table25[[#This Row],[Vin]])</f>
        <v>4.8000000000000001E-2</v>
      </c>
      <c r="BF82" s="345">
        <f>CHOOSE(Table25[[#This Row],[Mode Digit]], (Qg_Q1+Qg_Q2)*Fsw, (Qg_Q3+Qg_Q4)*Fsw, (Qg_Q1+Qg_Q2+Qg_Q3+Qg_Q4)*Fsw)*IF(Vout&gt;8,  MIN( Table25[[#This Row],[Vin]], Vout), Table25[[#This Row],[Vin]])</f>
        <v>0.63998400000000011</v>
      </c>
      <c r="BG82" s="345">
        <f t="shared" si="10"/>
        <v>0.50594479787234037</v>
      </c>
      <c r="BH82" s="345">
        <f>Table25[[#This Row],[IQ Loss]]+Table25[[#This Row],[Switching Current Loss]]</f>
        <v>0.68798400000000015</v>
      </c>
      <c r="BI82"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4.7986297267955846</v>
      </c>
      <c r="BJ82" s="253">
        <f>Vout*Table25[[#This Row],[Iout]]</f>
        <v>93.44</v>
      </c>
      <c r="BK82" s="684">
        <f>Table25[[#This Row],[Pout]]/(Table25[[#This Row],[Pout]]+Table25[[#This Row],[Total Loss]])</f>
        <v>0.95115333204320229</v>
      </c>
      <c r="BL82" s="685">
        <f>IF(Table25[[#This Row],[Vin]]&gt;Vout,ThetaJA_Q1*(Table25[[#This Row],[Total Control Bu MOSFET Loss]]+Table25[[#This Row],[Reverse Recovery Loss MOSFET D BUCK]]),ThetaJA_Q4*(Table25[[#This Row],[Total Control Bo MOSFET Loss]]+Table25[[#This Row],[Reverse Recovery Loss MOSFET D BOOST]]))</f>
        <v>73.635525949219982</v>
      </c>
      <c r="BM82" s="685">
        <f>IF(Table25[[#This Row],[Vin]]&gt;Vout, Table25[[#This Row],[Total Sync Bu MOSFET Loss]]*ThetaJA_Q2, ThetaJA_Q3*Table25[[#This Row],[Total Sync Bo MOSFET Loss]])</f>
        <v>33.63147097586306</v>
      </c>
      <c r="BN82" s="640"/>
      <c r="BO82" s="292">
        <f>Table25[[#This Row],[EFF, h]]*100</f>
        <v>95.115333204320223</v>
      </c>
      <c r="BP82" s="345">
        <f>Table25[[#This Row],[Total Inductor Loss]]</f>
        <v>0.83441952618795001</v>
      </c>
      <c r="BQ82" s="345">
        <f>Table25[[#This Row],[Total Control Bu MOSFET Loss]]+Table25[[#This Row],[Total Sync Bu MOSFET Loss]]+Table25[[#This Row],[Total Control Bo MOSFET Loss]]+Table25[[#This Row],[Total Sync Bo MOSFET Loss]]+Table25[[#This Row],[Reverse Recovery Loss MOSFET D BUCK]]+Table25[[#This Row],[Reverse Recovery Loss MOSFET D BOOST]]</f>
        <v>2.5197289442125701</v>
      </c>
      <c r="BR82" s="345">
        <f xml:space="preserve"> Table25[[#This Row],[Total Control Bu MOSFET Loss]]+Table25[[#This Row],[Reverse Recovery Loss MOSFET D BUCK]]*0.66</f>
        <v>0.4917910065287231</v>
      </c>
      <c r="BS82" s="345">
        <f>Table25[[#This Row],[Total Sync Bu MOSFET Loss]]+Table25[[#This Row],[Reverse Recovery Loss MOSFET D BUCK]]*0.33</f>
        <v>0.37411036652872309</v>
      </c>
      <c r="BT82" s="345">
        <f xml:space="preserve"> Table25[[#This Row],[Total Control Bo MOSFET Loss]]+Table25[[#This Row],[Reverse Recovery Loss MOSFET D BOOST]]*0.66</f>
        <v>1.0116075253726153</v>
      </c>
      <c r="BU82" s="345">
        <f xml:space="preserve"> Table25[[#This Row],[Total Sync Bo MOSFET Loss]]+Table25[[#This Row],[Reverse Recovery Loss MOSFET D BOOST]]*0.33</f>
        <v>0.63508788578250863</v>
      </c>
      <c r="BV82" s="345">
        <f>Table25[[#This Row],[Isense Shunt Loss]]</f>
        <v>8.9292070293107151E-2</v>
      </c>
      <c r="CB82" s="686"/>
      <c r="CC82" s="686"/>
    </row>
    <row r="83" spans="1:81" ht="13.6" x14ac:dyDescent="0.25">
      <c r="A83" s="706"/>
      <c r="G83" s="253">
        <v>74</v>
      </c>
      <c r="H83" s="286">
        <f t="shared" si="8"/>
        <v>12</v>
      </c>
      <c r="I83" s="292" t="str">
        <f>IF(Mode = 2,IF(Table25[[#This Row],[Vin]]&gt;Vout, "BUCK","BOOST"),IF(Table25[[#This Row],[Vin]]&gt;VIN_BB_to_buck, "BUCK", IF(Table25[[#This Row],[Vin]]&lt;=VIN_boost_to_BB,"BOOST","BUCK-BST")))</f>
        <v>BOOST</v>
      </c>
      <c r="J83" s="253">
        <f>IF(Table25[[#This Row],[Mode]]="BOOST",2, IF(Table25[[#This Row],[Mode]]="BUCK", 1,3))</f>
        <v>2</v>
      </c>
      <c r="K83" s="345">
        <f t="shared" si="11"/>
        <v>5.92</v>
      </c>
      <c r="L83" s="292">
        <f>Vout*Table25[[#This Row],[Iout]]/(Table25[[#This Row],[Vin]]*Efficiency)</f>
        <v>8.3087719298245624</v>
      </c>
      <c r="M83" s="682">
        <f>CHOOSE(Table25[[#This Row],[Mode Digit]],(Vout+(Rdson2+Rs+Rdcr)*Table25[[#This Row],[Iout]])/(Table25[[#This Row],[Vin]]+(Rs+Rdson2-Rdson1)*Table25[[#This Row],[Iout]])/Fsw,(Vout+(Rdson3+Rdcr)*Table25[[#This Row],[Iin]]-Table25[[#This Row],[Vin]])/(Vout+(Rdson3-Rdson4-Rs)*Table25[[#This Row],[Iin]])/Fsw,t1_Ph_II)</f>
        <v>6.3731290102140783E-7</v>
      </c>
      <c r="N83" s="518">
        <f>CHOOSE(Table25[[#This Row],[Mode Digit]],1/Fsw-Table25[[#This Row],[t1_Ph_II]],1/Fsw-Table25[[#This Row],[t1_Ph_II]],(Vout/Fsw-Table25[[#This Row],[Vin]]*t1_Ph_II)/(Table25[[#This Row],[Vin]]+Vout))</f>
        <v>1.8752499130489441E-6</v>
      </c>
      <c r="O83" s="518">
        <f>1/Fsw-(Table25[[#This Row],[t1_Ph_II]]+Table25[[#This Row],[t2_Ph_I]])</f>
        <v>0</v>
      </c>
      <c r="P83"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6.1843955930865366</v>
      </c>
      <c r="Q83" s="292">
        <f>CHOOSE(Table25[[#This Row],[Mode Digit]],Table25[[#This Row],[I_0]]+1/Lf*(Table25[[#This Row],[Vin]]-Vout)*Table25[[#This Row],[t1_Ph_II]],Table25[[#This Row],[I_0]]+1/Lf*Table25[[#This Row],[Vin]]*Table25[[#This Row],[t1_Ph_II]],Table25[[#This Row],[I_0]]+(Table25[[#This Row],[Vin]]-Vout)/L*Table25[[#This Row],[t1_Ph_II]])</f>
        <v>10.433148266562588</v>
      </c>
      <c r="R83" s="292">
        <f>CHOOSE(Table25[[#This Row],[Mode Digit]],0,0,Table25[[#This Row],[I_1]]+Table25[[#This Row],[Vin]]/L*Table25[[#This Row],[t2_Ph_I]])</f>
        <v>0</v>
      </c>
      <c r="S83" s="292">
        <f>Fsw*(Table25[[#This Row],[I_0]]*Table25[[#This Row],[t1_Ph_II]]+Table25[[#This Row],[I_1]]*Table25[[#This Row],[t2_Ph_I]]+Table25[[#This Row],[I_2]]*Table25[[#This Row],[t3_Ph_III]])</f>
        <v>9.3554498795245049</v>
      </c>
      <c r="T83" s="345">
        <f>CHOOSE(Table25[[#This Row],[Mode Digit]],(Vout+(Rdson2+Rs+Rdcr)*Table25[[#This Row],[Iout]])/(Table25[[#This Row],[Vin]]+(Rs+Rdson2-Rdson1)*Table25[[#This Row],[Iout]]),1,Fsw*Table25[[#This Row],[t2_Ph_I]]+Table25[[#This Row],[t1_Ph_II]])</f>
        <v>1</v>
      </c>
      <c r="U83" s="345">
        <f>CHOOSE(Table25[[#This Row],[Mode Digit]],0,(Vout+(Rdson3+Rdcr)*Table25[[#This Row],[Iin]]-Table25[[#This Row],[Vin]])/(Vout+(Rdson3-Rdson4-Rs)*Table25[[#This Row],[Iin]]),Fsw*Table25[[#This Row],[t1_Ph_II]]+Table25[[#This Row],[t3_Ph_III]])</f>
        <v>0.25365053460652032</v>
      </c>
      <c r="V83" s="292">
        <f>MAX(Table25[[#This Row],[I_0]:[I_2]])-MIN(Table25[[#This Row],[I_0]:[I_1]])</f>
        <v>4.2487526734760515</v>
      </c>
      <c r="W83"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8.3988103873031559</v>
      </c>
      <c r="X83" s="345">
        <f>(Table25[[#This Row],[Irms Lf]]^2*Rdcr*(1+Ltc*Ta-Ltc*25))/(1-Table25[[#This Row],[Irms Lf]]^2*Rdcr*Ltc*ThetaCa)</f>
        <v>0.22987926685893889</v>
      </c>
      <c r="Y83" s="345">
        <f>ABS(7.759*10^-3*Fsw^0.9458*(0.00787*Table25[[#This Row],[Ripple Current pk-pk]])^2.304)</f>
        <v>0.61096358730539024</v>
      </c>
      <c r="Z83" s="345">
        <f>Table25[[#This Row],[DCR    Loss]]+Table25[[#This Row],[Core Loss]]</f>
        <v>0.84084285416432913</v>
      </c>
      <c r="AA83" s="292">
        <f>IF(Table25[[#This Row],[Vin]]&gt;Vout, Table25[[#This Row],[Ripple Current pk-pk]]/SQRT(12), SQRT(Table25[[#This Row],[Duty Cycle BOOST Leg]]/(1-Table25[[#This Row],[Duty Cycle BOOST Leg]]))*SQRT(Table25[[#This Row],[Iout]]^2+(Table25[[#This Row],[Ripple Current pk-pk]]^2)/12))</f>
        <v>3.5244777686106308</v>
      </c>
      <c r="AB83" s="345">
        <f>RCoutEsr*Table25[[#This Row],[Irms Cout]]^2</f>
        <v>2.484388708286114E-2</v>
      </c>
      <c r="AC83" s="345">
        <f>Table25[[#This Row],[Cout ESR Loss]]</f>
        <v>2.484388708286114E-2</v>
      </c>
      <c r="AD83" s="292">
        <f>IF(Table25[[#This Row],[Vin]]&gt;Vout, SQRT(Table25[[#This Row],[Duty Cycle BUCK Leg]]*(1-Table25[[#This Row],[Duty Cycle BUCK Leg]]))*SQRT(Table25[[#This Row],[Iout]]^2+(Table25[[#This Row],[Ripple Current pk-pk]]^2)/12), Table25[[#This Row],[Ripple Current pk-pk]]/SQRT(12))</f>
        <v>1.2265092498757704</v>
      </c>
      <c r="AE83" s="345">
        <f>RCinEsr*Table25[[#This Row],[Irms Cin]]^2</f>
        <v>3.0086498800616498E-3</v>
      </c>
      <c r="AF83" s="683">
        <f>Table25[[#This Row],[Cin ESR Loss]]</f>
        <v>3.0086498800616498E-3</v>
      </c>
      <c r="AG83" s="345">
        <f>Table25[[#This Row],[Irms Lf]]</f>
        <v>8.3988103873031559</v>
      </c>
      <c r="AH83" s="345">
        <f>Rdson1*Table25[[#This Row],[Irms BuCtrl]]^2</f>
        <v>0.24689005572654985</v>
      </c>
      <c r="AI83" s="345">
        <f>CHOOSE(Table25[[#This Row],[Mode Digit]], (Table25[[#This Row],[Vin]]*Table25[[#This Row],[Iout]]/2)*(Fsw)*(Tr_buck+Tf_buck), 0, (Table25[[#This Row],[Vin]]*Table25[[#This Row],[Avg IL]]/2)*(Fsw/1)*(Tr_buck+Tf_buck))</f>
        <v>0</v>
      </c>
      <c r="AJ83" s="253">
        <f>IF(Table25[[#This Row],[Vin]]&gt;Vout, IF(Table25[[#This Row],[Iout]]&gt;Table25[[#This Row],[Ripple Current pk-pk]]/2,0,ABS(Table25[[#This Row],[Iout]]-Table25[[#This Row],[Ripple Current pk-pk]]/2)*Vsd_Q1*Deadtime*Fsw),0)</f>
        <v>0</v>
      </c>
      <c r="AK83" s="345">
        <f>(Table25[[#This Row],[Dead Time Loss BuCtrl]]+Table25[[#This Row],[Transition Loss BuCtrl]]+Table25[[#This Row],[RDS(on) Loss BuCtrl]]*(1+RdsonTopTc*Ta-RdsonTopTc*25))/(1-Table25[[#This Row],[RDS(on) Loss BuCtrl]]*RdsonTopTc*ThetaJA_Q1)</f>
        <v>0.26382538005003392</v>
      </c>
      <c r="AL83" s="345">
        <f>Table25[[#This Row],[Irms Lf]]</f>
        <v>8.3988103873031559</v>
      </c>
      <c r="AM83" s="345">
        <f>Rdson2*Table25[[#This Row],[Irms BuSync]]^2</f>
        <v>0.24689005572654985</v>
      </c>
      <c r="AN83"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83" s="345">
        <f>(Table25[[#This Row],[Deadtime Loss BuSync]]+Table25[[#This Row],[RDS(on) Loss BuSync]]*(1+RdsonBotTc*Ta-RdsonBotTc*25))/(1-Table25[[#This Row],[RDS(on) Loss BuSync]]*RdsonBotTc*ThetaJA_Q2)</f>
        <v>0.26382538005003392</v>
      </c>
      <c r="AP83" s="345">
        <f>Table25[[#This Row],[Irms Lf]]</f>
        <v>8.3988103873031559</v>
      </c>
      <c r="AQ83" s="345">
        <f>Rdson4*Table25[[#This Row],[Irms BoCtlr]]^2</f>
        <v>0.24689005572654985</v>
      </c>
      <c r="AR83" s="345">
        <f>CHOOSE(Table25[[#This Row],[Mode Digit]], 0, (Vout*Table25[[#This Row],[Iin]]/2)*(Fsw)*(Tr_boost+Tf_boost), (Vout*Iout/2)*(Fsw/1)*(Tr_boost+Tf_boost))</f>
        <v>0.49400136780533471</v>
      </c>
      <c r="AS83" s="345">
        <f>IF(Table25[[#This Row],[Vin]]&gt;Vout, 0, IF(Table25[[#This Row],[Iin]]&gt;Table25[[#This Row],[Ripple Current pk-pk]]/2,0,ABS(Table25[[#This Row],[Iin]]-Table25[[#This Row],[Ripple Current pk-pk]]/2)*Vsd_Q4*Deadtime*Fsw))</f>
        <v>0</v>
      </c>
      <c r="AT83" s="345">
        <f>(Table25[[#This Row],[Dead Time Loss BoCtlr]]+Table25[[#This Row],[Transition Loss BoCtlr]]+Table25[[#This Row],[RDS(on) Loss BoCtlr]]*(1+RdsonTopTc*Ta-RdsonTopTc*25))/(1-Table25[[#This Row],[RDS(on) Loss BoCtlr]]*RdsonTopTc*ThetaJA_Q4)</f>
        <v>0.79171257349305313</v>
      </c>
      <c r="AU83" s="345">
        <f>Table25[[#This Row],[Irms Lf]]</f>
        <v>8.3988103873031559</v>
      </c>
      <c r="AV83" s="345">
        <f>Rdson3*Table25[[#This Row],[Irms BoSync]]^2</f>
        <v>0.24689005572654985</v>
      </c>
      <c r="AW83"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0.24801684210526315</v>
      </c>
      <c r="AX83" s="345">
        <f>(Table25[[#This Row],[Deadtime Loss BoSync]]+Table25[[#This Row],[RDS(on) Loss BoSync]]*(1+RdsonBotTc*Ta-RdsonBotTc*25))/(1-Table25[[#This Row],[RDS(on) Loss BoSync]]*RdsonBotTc*ThetaJA_Q3)</f>
        <v>0.52885483793837695</v>
      </c>
      <c r="AY83" s="345">
        <f>CHOOSE(Table25[[#This Row],[Mode Digit]], Rdson3*Table25[[#This Row],[Irms Lf]]^2, Rdson1*Table25[[#This Row],[Irms Lf]]^2, 0)</f>
        <v>0.24689005572654985</v>
      </c>
      <c r="AZ83" s="345">
        <f>CHOOSE(Table25[[#This Row],[Mode Digit]], 2*Deadtime*Fsw*IF(VfdSky_Q2&gt;0,VfdSky_Q2,0)*Table25[[#This Row],[Iout]], 2*Deadtime*Fsw*IF(VfdSky_Q3&gt;0,VfdSky_Q3,0)*Table25[[#This Row],[Iin]], 2*Deadtime*Fsw*IF(VfdSky_Q2&gt;0,VfdSky_Q2,0)*Table25[[#This Row],[Iout]]+2*Deadtime*Fsw*IF(VfdSky_Q3&gt;0,VfdSky_Q3,0)*Table25[[#This Row],[Iin]])</f>
        <v>0</v>
      </c>
      <c r="BA83"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83"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83" s="345">
        <f>CHOOSE(Table25[[#This Row],[Mode Digit]], Rs*Table25[[#This Row],[Irms BuSync]]^2, Rs*Table25[[#This Row],[Irms BoCtlr]]^2, Rs*(Table25[[#This Row],[Irms BuSync]]^2+Table25[[#This Row],[Irms BoCtlr]]^2))</f>
        <v>9.1702020698432793E-2</v>
      </c>
      <c r="BD83" s="345">
        <f t="shared" si="9"/>
        <v>0.64</v>
      </c>
      <c r="BE83" s="345">
        <f>IF(Vout&gt;8, Iq*Vout, Iq*Table25[[#This Row],[Vin]])</f>
        <v>4.8000000000000001E-2</v>
      </c>
      <c r="BF83" s="345">
        <f>CHOOSE(Table25[[#This Row],[Mode Digit]], (Qg_Q1+Qg_Q2)*Fsw, (Qg_Q3+Qg_Q4)*Fsw, (Qg_Q1+Qg_Q2+Qg_Q3+Qg_Q4)*Fsw)*IF(Vout&gt;8,  MIN( Table25[[#This Row],[Vin]], Vout), Table25[[#This Row],[Vin]])</f>
        <v>0.63998400000000011</v>
      </c>
      <c r="BG83" s="345">
        <f t="shared" si="10"/>
        <v>0.50594479787234037</v>
      </c>
      <c r="BH83" s="345">
        <f>Table25[[#This Row],[IQ Loss]]+Table25[[#This Row],[Switching Current Loss]]</f>
        <v>0.68798400000000015</v>
      </c>
      <c r="BI83"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4.8498155833571825</v>
      </c>
      <c r="BJ83" s="253">
        <f>Vout*Table25[[#This Row],[Iout]]</f>
        <v>94.72</v>
      </c>
      <c r="BK83" s="684">
        <f>Table25[[#This Row],[Pout]]/(Table25[[#This Row],[Pout]]+Table25[[#This Row],[Total Loss]])</f>
        <v>0.95129231127984715</v>
      </c>
      <c r="BL83" s="685">
        <f>IF(Table25[[#This Row],[Vin]]&gt;Vout,ThetaJA_Q1*(Table25[[#This Row],[Total Control Bu MOSFET Loss]]+Table25[[#This Row],[Reverse Recovery Loss MOSFET D BUCK]]),ThetaJA_Q4*(Table25[[#This Row],[Total Control Bo MOSFET Loss]]+Table25[[#This Row],[Reverse Recovery Loss MOSFET D BOOST]]))</f>
        <v>74.640837277048448</v>
      </c>
      <c r="BM83" s="685">
        <f>IF(Table25[[#This Row],[Vin]]&gt;Vout, Table25[[#This Row],[Total Sync Bu MOSFET Loss]]*ThetaJA_Q2, ThetaJA_Q3*Table25[[#This Row],[Total Sync Bo MOSFET Loss]])</f>
        <v>34.375564465994501</v>
      </c>
      <c r="BN83" s="640"/>
      <c r="BO83" s="292">
        <f>Table25[[#This Row],[EFF, h]]*100</f>
        <v>95.12923112798471</v>
      </c>
      <c r="BP83" s="345">
        <f>Table25[[#This Row],[Total Inductor Loss]]</f>
        <v>0.84084285416432913</v>
      </c>
      <c r="BQ83" s="345">
        <f>Table25[[#This Row],[Total Control Bu MOSFET Loss]]+Table25[[#This Row],[Total Sync Bu MOSFET Loss]]+Table25[[#This Row],[Total Control Bo MOSFET Loss]]+Table25[[#This Row],[Total Sync Bo MOSFET Loss]]+Table25[[#This Row],[Reverse Recovery Loss MOSFET D BUCK]]+Table25[[#This Row],[Reverse Recovery Loss MOSFET D BOOST]]</f>
        <v>2.5614341715314981</v>
      </c>
      <c r="BR83" s="345">
        <f xml:space="preserve"> Table25[[#This Row],[Total Control Bu MOSFET Loss]]+Table25[[#This Row],[Reverse Recovery Loss MOSFET D BUCK]]*0.66</f>
        <v>0.49918666005003393</v>
      </c>
      <c r="BS83" s="345">
        <f>Table25[[#This Row],[Total Sync Bu MOSFET Loss]]+Table25[[#This Row],[Reverse Recovery Loss MOSFET D BUCK]]*0.33</f>
        <v>0.38150602005003392</v>
      </c>
      <c r="BT83" s="345">
        <f xml:space="preserve"> Table25[[#This Row],[Total Control Bo MOSFET Loss]]+Table25[[#This Row],[Reverse Recovery Loss MOSFET D BOOST]]*0.66</f>
        <v>1.0270738534930532</v>
      </c>
      <c r="BU83" s="345">
        <f xml:space="preserve"> Table25[[#This Row],[Total Sync Bo MOSFET Loss]]+Table25[[#This Row],[Reverse Recovery Loss MOSFET D BOOST]]*0.33</f>
        <v>0.64653547793837696</v>
      </c>
      <c r="BV83" s="345">
        <f>Table25[[#This Row],[Isense Shunt Loss]]</f>
        <v>9.1702020698432793E-2</v>
      </c>
      <c r="CB83" s="686"/>
      <c r="CC83" s="686"/>
    </row>
    <row r="84" spans="1:81" x14ac:dyDescent="0.2">
      <c r="G84" s="253">
        <v>75</v>
      </c>
      <c r="H84" s="286">
        <f t="shared" si="8"/>
        <v>12</v>
      </c>
      <c r="I84" s="292" t="str">
        <f>IF(Mode = 2,IF(Table25[[#This Row],[Vin]]&gt;Vout, "BUCK","BOOST"),IF(Table25[[#This Row],[Vin]]&gt;VIN_BB_to_buck, "BUCK", IF(Table25[[#This Row],[Vin]]&lt;=VIN_boost_to_BB,"BOOST","BUCK-BST")))</f>
        <v>BOOST</v>
      </c>
      <c r="J84" s="253">
        <f>IF(Table25[[#This Row],[Mode]]="BOOST",2, IF(Table25[[#This Row],[Mode]]="BUCK", 1,3))</f>
        <v>2</v>
      </c>
      <c r="K84" s="345">
        <f t="shared" si="11"/>
        <v>6</v>
      </c>
      <c r="L84" s="292">
        <f>Vout*Table25[[#This Row],[Iout]]/(Table25[[#This Row],[Vin]]*Efficiency)</f>
        <v>8.4210526315789487</v>
      </c>
      <c r="M84" s="682">
        <f>CHOOSE(Table25[[#This Row],[Mode Digit]],(Vout+(Rdson2+Rs+Rdcr)*Table25[[#This Row],[Iout]])/(Table25[[#This Row],[Vin]]+(Rs+Rdson2-Rdson1)*Table25[[#This Row],[Iout]])/Fsw,(Vout+(Rdson3+Rdcr)*Table25[[#This Row],[Iin]]-Table25[[#This Row],[Vin]])/(Vout+(Rdson3-Rdson4-Rs)*Table25[[#This Row],[Iin]])/Fsw,t1_Ph_II)</f>
        <v>6.3743693450133674E-7</v>
      </c>
      <c r="N84" s="518">
        <f>CHOOSE(Table25[[#This Row],[Mode Digit]],1/Fsw-Table25[[#This Row],[t1_Ph_II]],1/Fsw-Table25[[#This Row],[t1_Ph_II]],(Vout/Fsw-Table25[[#This Row],[Vin]]*t1_Ph_II)/(Table25[[#This Row],[Vin]]+Vout))</f>
        <v>1.8751258795690152E-6</v>
      </c>
      <c r="O84" s="518">
        <f>1/Fsw-(Table25[[#This Row],[t1_Ph_II]]+Table25[[#This Row],[t2_Ph_I]])</f>
        <v>0</v>
      </c>
      <c r="P84"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6.2962628499078264</v>
      </c>
      <c r="Q84" s="292">
        <f>CHOOSE(Table25[[#This Row],[Mode Digit]],Table25[[#This Row],[I_0]]+1/Lf*(Table25[[#This Row],[Vin]]-Vout)*Table25[[#This Row],[t1_Ph_II]],Table25[[#This Row],[I_0]]+1/Lf*Table25[[#This Row],[Vin]]*Table25[[#This Row],[t1_Ph_II]],Table25[[#This Row],[I_0]]+(Table25[[#This Row],[Vin]]-Vout)/L*Table25[[#This Row],[t1_Ph_II]])</f>
        <v>10.545842413250071</v>
      </c>
      <c r="R84" s="292">
        <f>CHOOSE(Table25[[#This Row],[Mode Digit]],0,0,Table25[[#This Row],[I_1]]+Table25[[#This Row],[Vin]]/L*Table25[[#This Row],[t2_Ph_I]])</f>
        <v>0</v>
      </c>
      <c r="S84" s="292">
        <f>Fsw*(Table25[[#This Row],[I_0]]*Table25[[#This Row],[t1_Ph_II]]+Table25[[#This Row],[I_1]]*Table25[[#This Row],[t2_Ph_I]]+Table25[[#This Row],[I_2]]*Table25[[#This Row],[t3_Ph_III]])</f>
        <v>9.4677245032790598</v>
      </c>
      <c r="T84" s="345">
        <f>CHOOSE(Table25[[#This Row],[Mode Digit]],(Vout+(Rdson2+Rs+Rdcr)*Table25[[#This Row],[Iout]])/(Table25[[#This Row],[Vin]]+(Rs+Rdson2-Rdson1)*Table25[[#This Row],[Iout]]),1,Fsw*Table25[[#This Row],[t2_Ph_I]]+Table25[[#This Row],[t1_Ph_II]])</f>
        <v>1</v>
      </c>
      <c r="U84" s="345">
        <f>CHOOSE(Table25[[#This Row],[Mode Digit]],0,(Vout+(Rdson3+Rdcr)*Table25[[#This Row],[Iin]]-Table25[[#This Row],[Vin]])/(Vout+(Rdson3-Rdson4-Rs)*Table25[[#This Row],[Iin]]),Fsw*Table25[[#This Row],[t1_Ph_II]]+Table25[[#This Row],[t3_Ph_III]])</f>
        <v>0.25369989993153202</v>
      </c>
      <c r="V84" s="292">
        <f>MAX(Table25[[#This Row],[I_0]:[I_2]])-MIN(Table25[[#This Row],[I_0]:[I_1]])</f>
        <v>4.2495795633422446</v>
      </c>
      <c r="W84"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8.5099376003932843</v>
      </c>
      <c r="X84" s="345">
        <f>(Table25[[#This Row],[Irms Lf]]^2*Rdcr*(1+Ltc*Ta-Ltc*25))/(1-Table25[[#This Row],[Irms Lf]]^2*Rdcr*Ltc*ThetaCa)</f>
        <v>0.23611838484690834</v>
      </c>
      <c r="Y84" s="345">
        <f>ABS(7.759*10^-3*Fsw^0.9458*(0.00787*Table25[[#This Row],[Ripple Current pk-pk]])^2.304)</f>
        <v>0.61123758009055851</v>
      </c>
      <c r="Z84" s="345">
        <f>Table25[[#This Row],[DCR    Loss]]+Table25[[#This Row],[Core Loss]]</f>
        <v>0.8473559649374669</v>
      </c>
      <c r="AA84" s="292">
        <f>IF(Table25[[#This Row],[Vin]]&gt;Vout, Table25[[#This Row],[Ripple Current pk-pk]]/SQRT(12), SQRT(Table25[[#This Row],[Duty Cycle BOOST Leg]]/(1-Table25[[#This Row],[Duty Cycle BOOST Leg]]))*SQRT(Table25[[#This Row],[Iout]]^2+(Table25[[#This Row],[Ripple Current pk-pk]]^2)/12))</f>
        <v>3.570651503162702</v>
      </c>
      <c r="AB84" s="345">
        <f>RCoutEsr*Table25[[#This Row],[Irms Cout]]^2</f>
        <v>2.5499104314076128E-2</v>
      </c>
      <c r="AC84" s="345">
        <f>Table25[[#This Row],[Cout ESR Loss]]</f>
        <v>2.5499104314076128E-2</v>
      </c>
      <c r="AD84" s="292">
        <f>IF(Table25[[#This Row],[Vin]]&gt;Vout, SQRT(Table25[[#This Row],[Duty Cycle BUCK Leg]]*(1-Table25[[#This Row],[Duty Cycle BUCK Leg]]))*SQRT(Table25[[#This Row],[Iout]]^2+(Table25[[#This Row],[Ripple Current pk-pk]]^2)/12), Table25[[#This Row],[Ripple Current pk-pk]]/SQRT(12))</f>
        <v>1.2267479524191887</v>
      </c>
      <c r="AE84" s="345">
        <f>RCinEsr*Table25[[#This Row],[Irms Cin]]^2</f>
        <v>3.0098210775293438E-3</v>
      </c>
      <c r="AF84" s="683">
        <f>Table25[[#This Row],[Cin ESR Loss]]</f>
        <v>3.0098210775293438E-3</v>
      </c>
      <c r="AG84" s="345">
        <f>Table25[[#This Row],[Irms Lf]]</f>
        <v>8.5099376003932843</v>
      </c>
      <c r="AH84" s="345">
        <f>Rdson1*Table25[[#This Row],[Irms BuCtrl]]^2</f>
        <v>0.25346663286905596</v>
      </c>
      <c r="AI84" s="345">
        <f>CHOOSE(Table25[[#This Row],[Mode Digit]], (Table25[[#This Row],[Vin]]*Table25[[#This Row],[Iout]]/2)*(Fsw)*(Tr_buck+Tf_buck), 0, (Table25[[#This Row],[Vin]]*Table25[[#This Row],[Avg IL]]/2)*(Fsw/1)*(Tr_buck+Tf_buck))</f>
        <v>0</v>
      </c>
      <c r="AJ84" s="253">
        <f>IF(Table25[[#This Row],[Vin]]&gt;Vout, IF(Table25[[#This Row],[Iout]]&gt;Table25[[#This Row],[Ripple Current pk-pk]]/2,0,ABS(Table25[[#This Row],[Iout]]-Table25[[#This Row],[Ripple Current pk-pk]]/2)*Vsd_Q1*Deadtime*Fsw),0)</f>
        <v>0</v>
      </c>
      <c r="AK84" s="345">
        <f>(Table25[[#This Row],[Dead Time Loss BuCtrl]]+Table25[[#This Row],[Transition Loss BuCtrl]]+Table25[[#This Row],[RDS(on) Loss BuCtrl]]*(1+RdsonTopTc*Ta-RdsonTopTc*25))/(1-Table25[[#This Row],[RDS(on) Loss BuCtrl]]*RdsonTopTc*ThetaJA_Q1)</f>
        <v>0.2713488837202892</v>
      </c>
      <c r="AL84" s="345">
        <f>Table25[[#This Row],[Irms Lf]]</f>
        <v>8.5099376003932843</v>
      </c>
      <c r="AM84" s="345">
        <f>Rdson2*Table25[[#This Row],[Irms BuSync]]^2</f>
        <v>0.25346663286905596</v>
      </c>
      <c r="AN84"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84" s="345">
        <f>(Table25[[#This Row],[Deadtime Loss BuSync]]+Table25[[#This Row],[RDS(on) Loss BuSync]]*(1+RdsonBotTc*Ta-RdsonBotTc*25))/(1-Table25[[#This Row],[RDS(on) Loss BuSync]]*RdsonBotTc*ThetaJA_Q2)</f>
        <v>0.2713488837202892</v>
      </c>
      <c r="AP84" s="345">
        <f>Table25[[#This Row],[Irms Lf]]</f>
        <v>8.5099376003932843</v>
      </c>
      <c r="AQ84" s="345">
        <f>Rdson4*Table25[[#This Row],[Irms BoCtlr]]^2</f>
        <v>0.25346663286905596</v>
      </c>
      <c r="AR84" s="345">
        <f>CHOOSE(Table25[[#This Row],[Mode Digit]], 0, (Vout*Table25[[#This Row],[Iin]]/2)*(Fsw)*(Tr_boost+Tf_boost), (Vout*Iout/2)*(Fsw/1)*(Tr_boost+Tf_boost))</f>
        <v>0.50067706196486628</v>
      </c>
      <c r="AS84" s="345">
        <f>IF(Table25[[#This Row],[Vin]]&gt;Vout, 0, IF(Table25[[#This Row],[Iin]]&gt;Table25[[#This Row],[Ripple Current pk-pk]]/2,0,ABS(Table25[[#This Row],[Iin]]-Table25[[#This Row],[Ripple Current pk-pk]]/2)*Vsd_Q4*Deadtime*Fsw))</f>
        <v>0</v>
      </c>
      <c r="AT84" s="345">
        <f>(Table25[[#This Row],[Dead Time Loss BoCtlr]]+Table25[[#This Row],[Transition Loss BoCtlr]]+Table25[[#This Row],[RDS(on) Loss BoCtlr]]*(1+RdsonTopTc*Ta-RdsonTopTc*25))/(1-Table25[[#This Row],[RDS(on) Loss BoCtlr]]*RdsonTopTc*ThetaJA_Q4)</f>
        <v>0.80734906777097082</v>
      </c>
      <c r="AU84" s="345">
        <f>Table25[[#This Row],[Irms Lf]]</f>
        <v>8.5099376003932843</v>
      </c>
      <c r="AV84" s="345">
        <f>Rdson3*Table25[[#This Row],[Irms BoSync]]^2</f>
        <v>0.25346663286905596</v>
      </c>
      <c r="AW84"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0.25136842105263157</v>
      </c>
      <c r="AX84" s="345">
        <f>(Table25[[#This Row],[Deadtime Loss BoSync]]+Table25[[#This Row],[RDS(on) Loss BoSync]]*(1+RdsonBotTc*Ta-RdsonBotTc*25))/(1-Table25[[#This Row],[RDS(on) Loss BoSync]]*RdsonBotTc*ThetaJA_Q3)</f>
        <v>0.54045152529126317</v>
      </c>
      <c r="AY84" s="345">
        <f>CHOOSE(Table25[[#This Row],[Mode Digit]], Rdson3*Table25[[#This Row],[Irms Lf]]^2, Rdson1*Table25[[#This Row],[Irms Lf]]^2, 0)</f>
        <v>0.25346663286905596</v>
      </c>
      <c r="AZ84" s="345">
        <f>CHOOSE(Table25[[#This Row],[Mode Digit]], 2*Deadtime*Fsw*IF(VfdSky_Q2&gt;0,VfdSky_Q2,0)*Table25[[#This Row],[Iout]], 2*Deadtime*Fsw*IF(VfdSky_Q3&gt;0,VfdSky_Q3,0)*Table25[[#This Row],[Iin]], 2*Deadtime*Fsw*IF(VfdSky_Q2&gt;0,VfdSky_Q2,0)*Table25[[#This Row],[Iout]]+2*Deadtime*Fsw*IF(VfdSky_Q3&gt;0,VfdSky_Q3,0)*Table25[[#This Row],[Iin]])</f>
        <v>0</v>
      </c>
      <c r="BA84"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84"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84" s="345">
        <f>CHOOSE(Table25[[#This Row],[Mode Digit]], Rs*Table25[[#This Row],[Irms BuSync]]^2, Rs*Table25[[#This Row],[Irms BoCtlr]]^2, Rs*(Table25[[#This Row],[Irms BuSync]]^2+Table25[[#This Row],[Irms BoCtlr]]^2))</f>
        <v>9.4144749351363632E-2</v>
      </c>
      <c r="BD84" s="345">
        <f t="shared" si="9"/>
        <v>0.64</v>
      </c>
      <c r="BE84" s="345">
        <f>IF(Vout&gt;8, Iq*Vout, Iq*Table25[[#This Row],[Vin]])</f>
        <v>4.8000000000000001E-2</v>
      </c>
      <c r="BF84" s="345">
        <f>CHOOSE(Table25[[#This Row],[Mode Digit]], (Qg_Q1+Qg_Q2)*Fsw, (Qg_Q3+Qg_Q4)*Fsw, (Qg_Q1+Qg_Q2+Qg_Q3+Qg_Q4)*Fsw)*IF(Vout&gt;8,  MIN( Table25[[#This Row],[Vin]], Vout), Table25[[#This Row],[Vin]])</f>
        <v>0.63998400000000011</v>
      </c>
      <c r="BG84" s="345">
        <f t="shared" si="10"/>
        <v>0.50594479787234037</v>
      </c>
      <c r="BH84" s="345">
        <f>Table25[[#This Row],[IQ Loss]]+Table25[[#This Row],[Switching Current Loss]]</f>
        <v>0.68798400000000015</v>
      </c>
      <c r="BI84"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4.9017080001832491</v>
      </c>
      <c r="BJ84" s="253">
        <f>Vout*Table25[[#This Row],[Iout]]</f>
        <v>96</v>
      </c>
      <c r="BK84" s="684">
        <f>Table25[[#This Row],[Pout]]/(Table25[[#This Row],[Pout]]+Table25[[#This Row],[Total Loss]])</f>
        <v>0.95142096107853447</v>
      </c>
      <c r="BL84" s="685">
        <f>IF(Table25[[#This Row],[Vin]]&gt;Vout,ThetaJA_Q1*(Table25[[#This Row],[Total Control Bu MOSFET Loss]]+Table25[[#This Row],[Reverse Recovery Loss MOSFET D BUCK]]),ThetaJA_Q4*(Table25[[#This Row],[Total Control Bo MOSFET Loss]]+Table25[[#This Row],[Reverse Recovery Loss MOSFET D BOOST]]))</f>
        <v>75.657209405113093</v>
      </c>
      <c r="BM84" s="685">
        <f>IF(Table25[[#This Row],[Vin]]&gt;Vout, Table25[[#This Row],[Total Sync Bu MOSFET Loss]]*ThetaJA_Q2, ThetaJA_Q3*Table25[[#This Row],[Total Sync Bo MOSFET Loss]])</f>
        <v>35.129349143932103</v>
      </c>
      <c r="BN84" s="640"/>
      <c r="BO84" s="292">
        <f>Table25[[#This Row],[EFF, h]]*100</f>
        <v>95.142096107853448</v>
      </c>
      <c r="BP84" s="345">
        <f>Table25[[#This Row],[Total Inductor Loss]]</f>
        <v>0.8473559649374669</v>
      </c>
      <c r="BQ84" s="345">
        <f>Table25[[#This Row],[Total Control Bu MOSFET Loss]]+Table25[[#This Row],[Total Sync Bu MOSFET Loss]]+Table25[[#This Row],[Total Control Bo MOSFET Loss]]+Table25[[#This Row],[Total Sync Bo MOSFET Loss]]+Table25[[#This Row],[Reverse Recovery Loss MOSFET D BUCK]]+Table25[[#This Row],[Reverse Recovery Loss MOSFET D BOOST]]</f>
        <v>2.6037143605028121</v>
      </c>
      <c r="BR84" s="345">
        <f xml:space="preserve"> Table25[[#This Row],[Total Control Bu MOSFET Loss]]+Table25[[#This Row],[Reverse Recovery Loss MOSFET D BUCK]]*0.66</f>
        <v>0.50671016372028921</v>
      </c>
      <c r="BS84" s="345">
        <f>Table25[[#This Row],[Total Sync Bu MOSFET Loss]]+Table25[[#This Row],[Reverse Recovery Loss MOSFET D BUCK]]*0.33</f>
        <v>0.38902952372028921</v>
      </c>
      <c r="BT84" s="345">
        <f xml:space="preserve"> Table25[[#This Row],[Total Control Bo MOSFET Loss]]+Table25[[#This Row],[Reverse Recovery Loss MOSFET D BOOST]]*0.66</f>
        <v>1.0427103477709707</v>
      </c>
      <c r="BU84" s="345">
        <f xml:space="preserve"> Table25[[#This Row],[Total Sync Bo MOSFET Loss]]+Table25[[#This Row],[Reverse Recovery Loss MOSFET D BOOST]]*0.33</f>
        <v>0.65813216529126317</v>
      </c>
      <c r="BV84" s="345">
        <f>Table25[[#This Row],[Isense Shunt Loss]]</f>
        <v>9.4144749351363632E-2</v>
      </c>
      <c r="CB84" s="686"/>
      <c r="CC84" s="686"/>
    </row>
    <row r="85" spans="1:81" x14ac:dyDescent="0.2">
      <c r="G85" s="253">
        <v>76</v>
      </c>
      <c r="H85" s="286">
        <f t="shared" si="8"/>
        <v>12</v>
      </c>
      <c r="I85" s="292" t="str">
        <f>IF(Mode = 2,IF(Table25[[#This Row],[Vin]]&gt;Vout, "BUCK","BOOST"),IF(Table25[[#This Row],[Vin]]&gt;VIN_BB_to_buck, "BUCK", IF(Table25[[#This Row],[Vin]]&lt;=VIN_boost_to_BB,"BOOST","BUCK-BST")))</f>
        <v>BOOST</v>
      </c>
      <c r="J85" s="253">
        <f>IF(Table25[[#This Row],[Mode]]="BOOST",2, IF(Table25[[#This Row],[Mode]]="BUCK", 1,3))</f>
        <v>2</v>
      </c>
      <c r="K85" s="345">
        <f t="shared" si="11"/>
        <v>6.08</v>
      </c>
      <c r="L85" s="292">
        <f>Vout*Table25[[#This Row],[Iout]]/(Table25[[#This Row],[Vin]]*Efficiency)</f>
        <v>8.533333333333335</v>
      </c>
      <c r="M85" s="682">
        <f>CHOOSE(Table25[[#This Row],[Mode Digit]],(Vout+(Rdson2+Rs+Rdcr)*Table25[[#This Row],[Iout]])/(Table25[[#This Row],[Vin]]+(Rs+Rdson2-Rdson1)*Table25[[#This Row],[Iout]])/Fsw,(Vout+(Rdson3+Rdcr)*Table25[[#This Row],[Iin]]-Table25[[#This Row],[Vin]])/(Vout+(Rdson3-Rdson4-Rs)*Table25[[#This Row],[Iin]])/Fsw,t1_Ph_II)</f>
        <v>6.3756097024590332E-7</v>
      </c>
      <c r="N85" s="518">
        <f>CHOOSE(Table25[[#This Row],[Mode Digit]],1/Fsw-Table25[[#This Row],[t1_Ph_II]],1/Fsw-Table25[[#This Row],[t1_Ph_II]],(Vout/Fsw-Table25[[#This Row],[Vin]]*t1_Ph_II)/(Table25[[#This Row],[Vin]]+Vout))</f>
        <v>1.8750018438244486E-6</v>
      </c>
      <c r="O85" s="518">
        <f>1/Fsw-(Table25[[#This Row],[t1_Ph_II]]+Table25[[#This Row],[t2_Ph_I]])</f>
        <v>0</v>
      </c>
      <c r="P85"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6.4081300991803243</v>
      </c>
      <c r="Q85" s="292">
        <f>CHOOSE(Table25[[#This Row],[Mode Digit]],Table25[[#This Row],[I_0]]+1/Lf*(Table25[[#This Row],[Vin]]-Vout)*Table25[[#This Row],[t1_Ph_II]],Table25[[#This Row],[I_0]]+1/Lf*Table25[[#This Row],[Vin]]*Table25[[#This Row],[t1_Ph_II]],Table25[[#This Row],[I_0]]+(Table25[[#This Row],[Vin]]-Vout)/L*Table25[[#This Row],[t1_Ph_II]])</f>
        <v>10.658536567486346</v>
      </c>
      <c r="R85" s="292">
        <f>CHOOSE(Table25[[#This Row],[Mode Digit]],0,0,Table25[[#This Row],[I_1]]+Table25[[#This Row],[Vin]]/L*Table25[[#This Row],[t2_Ph_I]])</f>
        <v>0</v>
      </c>
      <c r="S85" s="292">
        <f>Fsw*(Table25[[#This Row],[I_0]]*Table25[[#This Row],[t1_Ph_II]]+Table25[[#This Row],[I_1]]*Table25[[#This Row],[t2_Ph_I]]+Table25[[#This Row],[I_2]]*Table25[[#This Row],[t3_Ph_III]])</f>
        <v>9.5799990452810313</v>
      </c>
      <c r="T85" s="345">
        <f>CHOOSE(Table25[[#This Row],[Mode Digit]],(Vout+(Rdson2+Rs+Rdcr)*Table25[[#This Row],[Iout]])/(Table25[[#This Row],[Vin]]+(Rs+Rdson2-Rdson1)*Table25[[#This Row],[Iout]]),1,Fsw*Table25[[#This Row],[t2_Ph_I]]+Table25[[#This Row],[t1_Ph_II]])</f>
        <v>1</v>
      </c>
      <c r="U85" s="345">
        <f>CHOOSE(Table25[[#This Row],[Mode Digit]],0,(Vout+(Rdson3+Rdcr)*Table25[[#This Row],[Iin]]-Table25[[#This Row],[Vin]])/(Vout+(Rdson3-Rdson4-Rs)*Table25[[#This Row],[Iin]]),Fsw*Table25[[#This Row],[t1_Ph_II]]+Table25[[#This Row],[t3_Ph_III]])</f>
        <v>0.25374926615786952</v>
      </c>
      <c r="V85" s="292">
        <f>MAX(Table25[[#This Row],[I_0]:[I_2]])-MIN(Table25[[#This Row],[I_0]:[I_1]])</f>
        <v>4.2504064683060214</v>
      </c>
      <c r="W85"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8.6210947123859665</v>
      </c>
      <c r="X85" s="345">
        <f>(Table25[[#This Row],[Irms Lf]]^2*Rdcr*(1+Ltc*Ta-Ltc*25))/(1-Table25[[#This Row],[Irms Lf]]^2*Rdcr*Ltc*ThetaCa)</f>
        <v>0.24244746623289079</v>
      </c>
      <c r="Y85" s="345">
        <f>ABS(7.759*10^-3*Fsw^0.9458*(0.00787*Table25[[#This Row],[Ripple Current pk-pk]])^2.304)</f>
        <v>0.61151164741047381</v>
      </c>
      <c r="Z85" s="345">
        <f>Table25[[#This Row],[DCR    Loss]]+Table25[[#This Row],[Core Loss]]</f>
        <v>0.85395911364336463</v>
      </c>
      <c r="AA85" s="292">
        <f>IF(Table25[[#This Row],[Vin]]&gt;Vout, Table25[[#This Row],[Ripple Current pk-pk]]/SQRT(12), SQRT(Table25[[#This Row],[Duty Cycle BOOST Leg]]/(1-Table25[[#This Row],[Duty Cycle BOOST Leg]]))*SQRT(Table25[[#This Row],[Iout]]^2+(Table25[[#This Row],[Ripple Current pk-pk]]^2)/12))</f>
        <v>3.6168609143119546</v>
      </c>
      <c r="AB85" s="345">
        <f>RCoutEsr*Table25[[#This Row],[Irms Cout]]^2</f>
        <v>2.6163365746955016E-2</v>
      </c>
      <c r="AC85" s="345">
        <f>Table25[[#This Row],[Cout ESR Loss]]</f>
        <v>2.6163365746955016E-2</v>
      </c>
      <c r="AD85" s="292">
        <f>IF(Table25[[#This Row],[Vin]]&gt;Vout, SQRT(Table25[[#This Row],[Duty Cycle BUCK Leg]]*(1-Table25[[#This Row],[Duty Cycle BUCK Leg]]))*SQRT(Table25[[#This Row],[Iout]]^2+(Table25[[#This Row],[Ripple Current pk-pk]]^2)/12), Table25[[#This Row],[Ripple Current pk-pk]]/SQRT(12))</f>
        <v>1.226986659320904</v>
      </c>
      <c r="AE85" s="345">
        <f>RCinEsr*Table25[[#This Row],[Irms Cin]]^2</f>
        <v>3.0109925243029445E-3</v>
      </c>
      <c r="AF85" s="683">
        <f>Table25[[#This Row],[Cin ESR Loss]]</f>
        <v>3.0109925243029445E-3</v>
      </c>
      <c r="AG85" s="345">
        <f>Table25[[#This Row],[Irms Lf]]</f>
        <v>8.6210947123859665</v>
      </c>
      <c r="AH85" s="345">
        <f>Rdson1*Table25[[#This Row],[Irms BuCtrl]]^2</f>
        <v>0.26013145913975244</v>
      </c>
      <c r="AI85" s="345">
        <f>CHOOSE(Table25[[#This Row],[Mode Digit]], (Table25[[#This Row],[Vin]]*Table25[[#This Row],[Iout]]/2)*(Fsw)*(Tr_buck+Tf_buck), 0, (Table25[[#This Row],[Vin]]*Table25[[#This Row],[Avg IL]]/2)*(Fsw/1)*(Tr_buck+Tf_buck))</f>
        <v>0</v>
      </c>
      <c r="AJ85" s="253">
        <f>IF(Table25[[#This Row],[Vin]]&gt;Vout, IF(Table25[[#This Row],[Iout]]&gt;Table25[[#This Row],[Ripple Current pk-pk]]/2,0,ABS(Table25[[#This Row],[Iout]]-Table25[[#This Row],[Ripple Current pk-pk]]/2)*Vsd_Q1*Deadtime*Fsw),0)</f>
        <v>0</v>
      </c>
      <c r="AK85" s="345">
        <f>(Table25[[#This Row],[Dead Time Loss BuCtrl]]+Table25[[#This Row],[Transition Loss BuCtrl]]+Table25[[#This Row],[RDS(on) Loss BuCtrl]]*(1+RdsonTopTc*Ta-RdsonTopTc*25))/(1-Table25[[#This Row],[RDS(on) Loss BuCtrl]]*RdsonTopTc*ThetaJA_Q1)</f>
        <v>0.27900149639306721</v>
      </c>
      <c r="AL85" s="345">
        <f>Table25[[#This Row],[Irms Lf]]</f>
        <v>8.6210947123859665</v>
      </c>
      <c r="AM85" s="345">
        <f>Rdson2*Table25[[#This Row],[Irms BuSync]]^2</f>
        <v>0.26013145913975244</v>
      </c>
      <c r="AN85"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85" s="345">
        <f>(Table25[[#This Row],[Deadtime Loss BuSync]]+Table25[[#This Row],[RDS(on) Loss BuSync]]*(1+RdsonBotTc*Ta-RdsonBotTc*25))/(1-Table25[[#This Row],[RDS(on) Loss BuSync]]*RdsonBotTc*ThetaJA_Q2)</f>
        <v>0.27900149639306721</v>
      </c>
      <c r="AP85" s="345">
        <f>Table25[[#This Row],[Irms Lf]]</f>
        <v>8.6210947123859665</v>
      </c>
      <c r="AQ85" s="345">
        <f>Rdson4*Table25[[#This Row],[Irms BoCtlr]]^2</f>
        <v>0.26013145913975244</v>
      </c>
      <c r="AR85" s="345">
        <f>CHOOSE(Table25[[#This Row],[Mode Digit]], 0, (Vout*Table25[[#This Row],[Iin]]/2)*(Fsw)*(Tr_boost+Tf_boost), (Vout*Iout/2)*(Fsw/1)*(Tr_boost+Tf_boost))</f>
        <v>0.5073527561243979</v>
      </c>
      <c r="AS85" s="345">
        <f>IF(Table25[[#This Row],[Vin]]&gt;Vout, 0, IF(Table25[[#This Row],[Iin]]&gt;Table25[[#This Row],[Ripple Current pk-pk]]/2,0,ABS(Table25[[#This Row],[Iin]]-Table25[[#This Row],[Ripple Current pk-pk]]/2)*Vsd_Q4*Deadtime*Fsw))</f>
        <v>0</v>
      </c>
      <c r="AT85" s="345">
        <f>(Table25[[#This Row],[Dead Time Loss BoCtlr]]+Table25[[#This Row],[Transition Loss BoCtlr]]+Table25[[#This Row],[RDS(on) Loss BoCtlr]]*(1+RdsonTopTc*Ta-RdsonTopTc*25))/(1-Table25[[#This Row],[RDS(on) Loss BoCtlr]]*RdsonTopTc*ThetaJA_Q4)</f>
        <v>0.82315781883850714</v>
      </c>
      <c r="AU85" s="345">
        <f>Table25[[#This Row],[Irms Lf]]</f>
        <v>8.6210947123859665</v>
      </c>
      <c r="AV85" s="345">
        <f>Rdson3*Table25[[#This Row],[Irms BoSync]]^2</f>
        <v>0.26013145913975244</v>
      </c>
      <c r="AW85"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0.25472</v>
      </c>
      <c r="AX85" s="345">
        <f>(Table25[[#This Row],[Deadtime Loss BoSync]]+Table25[[#This Row],[RDS(on) Loss BoSync]]*(1+RdsonBotTc*Ta-RdsonBotTc*25))/(1-Table25[[#This Row],[RDS(on) Loss BoSync]]*RdsonBotTc*ThetaJA_Q3)</f>
        <v>0.55219898429499015</v>
      </c>
      <c r="AY85" s="345">
        <f>CHOOSE(Table25[[#This Row],[Mode Digit]], Rdson3*Table25[[#This Row],[Irms Lf]]^2, Rdson1*Table25[[#This Row],[Irms Lf]]^2, 0)</f>
        <v>0.26013145913975244</v>
      </c>
      <c r="AZ85" s="345">
        <f>CHOOSE(Table25[[#This Row],[Mode Digit]], 2*Deadtime*Fsw*IF(VfdSky_Q2&gt;0,VfdSky_Q2,0)*Table25[[#This Row],[Iout]], 2*Deadtime*Fsw*IF(VfdSky_Q3&gt;0,VfdSky_Q3,0)*Table25[[#This Row],[Iin]], 2*Deadtime*Fsw*IF(VfdSky_Q2&gt;0,VfdSky_Q2,0)*Table25[[#This Row],[Iout]]+2*Deadtime*Fsw*IF(VfdSky_Q3&gt;0,VfdSky_Q3,0)*Table25[[#This Row],[Iin]])</f>
        <v>0</v>
      </c>
      <c r="BA85"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85"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85" s="345">
        <f>CHOOSE(Table25[[#This Row],[Mode Digit]], Rs*Table25[[#This Row],[Irms BuSync]]^2, Rs*Table25[[#This Row],[Irms BoCtlr]]^2, Rs*(Table25[[#This Row],[Irms BuSync]]^2+Table25[[#This Row],[Irms BoCtlr]]^2))</f>
        <v>9.6620256251908052E-2</v>
      </c>
      <c r="BD85" s="345">
        <f t="shared" si="9"/>
        <v>0.64</v>
      </c>
      <c r="BE85" s="345">
        <f>IF(Vout&gt;8, Iq*Vout, Iq*Table25[[#This Row],[Vin]])</f>
        <v>4.8000000000000001E-2</v>
      </c>
      <c r="BF85" s="345">
        <f>CHOOSE(Table25[[#This Row],[Mode Digit]], (Qg_Q1+Qg_Q2)*Fsw, (Qg_Q3+Qg_Q4)*Fsw, (Qg_Q1+Qg_Q2+Qg_Q3+Qg_Q4)*Fsw)*IF(Vout&gt;8,  MIN( Table25[[#This Row],[Vin]], Vout), Table25[[#This Row],[Vin]])</f>
        <v>0.63998400000000011</v>
      </c>
      <c r="BG85" s="345">
        <f t="shared" si="10"/>
        <v>0.50594479787234037</v>
      </c>
      <c r="BH85" s="345">
        <f>Table25[[#This Row],[IQ Loss]]+Table25[[#This Row],[Switching Current Loss]]</f>
        <v>0.68798400000000015</v>
      </c>
      <c r="BI85"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4.9543135240861629</v>
      </c>
      <c r="BJ85" s="253">
        <f>Vout*Table25[[#This Row],[Iout]]</f>
        <v>97.28</v>
      </c>
      <c r="BK85" s="684">
        <f>Table25[[#This Row],[Pout]]/(Table25[[#This Row],[Pout]]+Table25[[#This Row],[Total Loss]])</f>
        <v>0.9515396215486992</v>
      </c>
      <c r="BL85" s="685">
        <f>IF(Table25[[#This Row],[Vin]]&gt;Vout,ThetaJA_Q1*(Table25[[#This Row],[Total Control Bu MOSFET Loss]]+Table25[[#This Row],[Reverse Recovery Loss MOSFET D BUCK]]),ThetaJA_Q4*(Table25[[#This Row],[Total Control Bo MOSFET Loss]]+Table25[[#This Row],[Reverse Recovery Loss MOSFET D BOOST]]))</f>
        <v>76.684778224502963</v>
      </c>
      <c r="BM85" s="685">
        <f>IF(Table25[[#This Row],[Vin]]&gt;Vout, Table25[[#This Row],[Total Sync Bu MOSFET Loss]]*ThetaJA_Q2, ThetaJA_Q3*Table25[[#This Row],[Total Sync Bo MOSFET Loss]])</f>
        <v>35.892933979174359</v>
      </c>
      <c r="BN85" s="640"/>
      <c r="BO85" s="292">
        <f>Table25[[#This Row],[EFF, h]]*100</f>
        <v>95.153962154869916</v>
      </c>
      <c r="BP85" s="345">
        <f>Table25[[#This Row],[Total Inductor Loss]]</f>
        <v>0.85395911364336463</v>
      </c>
      <c r="BQ85" s="345">
        <f>Table25[[#This Row],[Total Control Bu MOSFET Loss]]+Table25[[#This Row],[Total Sync Bu MOSFET Loss]]+Table25[[#This Row],[Total Control Bo MOSFET Loss]]+Table25[[#This Row],[Total Sync Bo MOSFET Loss]]+Table25[[#This Row],[Reverse Recovery Loss MOSFET D BUCK]]+Table25[[#This Row],[Reverse Recovery Loss MOSFET D BOOST]]</f>
        <v>2.6465757959196319</v>
      </c>
      <c r="BR85" s="345">
        <f xml:space="preserve"> Table25[[#This Row],[Total Control Bu MOSFET Loss]]+Table25[[#This Row],[Reverse Recovery Loss MOSFET D BUCK]]*0.66</f>
        <v>0.51436277639306716</v>
      </c>
      <c r="BS85" s="345">
        <f>Table25[[#This Row],[Total Sync Bu MOSFET Loss]]+Table25[[#This Row],[Reverse Recovery Loss MOSFET D BUCK]]*0.33</f>
        <v>0.39668213639306721</v>
      </c>
      <c r="BT85" s="345">
        <f xml:space="preserve"> Table25[[#This Row],[Total Control Bo MOSFET Loss]]+Table25[[#This Row],[Reverse Recovery Loss MOSFET D BOOST]]*0.66</f>
        <v>1.0585190988385071</v>
      </c>
      <c r="BU85" s="345">
        <f xml:space="preserve"> Table25[[#This Row],[Total Sync Bo MOSFET Loss]]+Table25[[#This Row],[Reverse Recovery Loss MOSFET D BOOST]]*0.33</f>
        <v>0.66987962429499015</v>
      </c>
      <c r="BV85" s="345">
        <f>Table25[[#This Row],[Isense Shunt Loss]]</f>
        <v>9.6620256251908052E-2</v>
      </c>
      <c r="CB85" s="686"/>
      <c r="CC85" s="686"/>
    </row>
    <row r="86" spans="1:81" x14ac:dyDescent="0.2">
      <c r="G86" s="253">
        <v>77</v>
      </c>
      <c r="H86" s="286">
        <f t="shared" si="8"/>
        <v>12</v>
      </c>
      <c r="I86" s="292" t="str">
        <f>IF(Mode = 2,IF(Table25[[#This Row],[Vin]]&gt;Vout, "BUCK","BOOST"),IF(Table25[[#This Row],[Vin]]&gt;VIN_BB_to_buck, "BUCK", IF(Table25[[#This Row],[Vin]]&lt;=VIN_boost_to_BB,"BOOST","BUCK-BST")))</f>
        <v>BOOST</v>
      </c>
      <c r="J86" s="253">
        <f>IF(Table25[[#This Row],[Mode]]="BOOST",2, IF(Table25[[#This Row],[Mode]]="BUCK", 1,3))</f>
        <v>2</v>
      </c>
      <c r="K86" s="345">
        <f t="shared" si="11"/>
        <v>6.16</v>
      </c>
      <c r="L86" s="292">
        <f>Vout*Table25[[#This Row],[Iout]]/(Table25[[#This Row],[Vin]]*Efficiency)</f>
        <v>8.6456140350877213</v>
      </c>
      <c r="M86" s="682">
        <f>CHOOSE(Table25[[#This Row],[Mode Digit]],(Vout+(Rdson2+Rs+Rdcr)*Table25[[#This Row],[Iout]])/(Table25[[#This Row],[Vin]]+(Rs+Rdson2-Rdson1)*Table25[[#This Row],[Iout]])/Fsw,(Vout+(Rdson3+Rdcr)*Table25[[#This Row],[Iin]]-Table25[[#This Row],[Vin]])/(Vout+(Rdson3-Rdson4-Rs)*Table25[[#This Row],[Iin]])/Fsw,t1_Ph_II)</f>
        <v>6.3768500825516866E-7</v>
      </c>
      <c r="N86" s="518">
        <f>CHOOSE(Table25[[#This Row],[Mode Digit]],1/Fsw-Table25[[#This Row],[t1_Ph_II]],1/Fsw-Table25[[#This Row],[t1_Ph_II]],(Vout/Fsw-Table25[[#This Row],[Vin]]*t1_Ph_II)/(Table25[[#This Row],[Vin]]+Vout))</f>
        <v>1.8748778058151831E-6</v>
      </c>
      <c r="O86" s="518">
        <f>1/Fsw-(Table25[[#This Row],[t1_Ph_II]]+Table25[[#This Row],[t2_Ph_I]])</f>
        <v>0</v>
      </c>
      <c r="P86"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6.5199973409038261</v>
      </c>
      <c r="Q86" s="292">
        <f>CHOOSE(Table25[[#This Row],[Mode Digit]],Table25[[#This Row],[I_0]]+1/Lf*(Table25[[#This Row],[Vin]]-Vout)*Table25[[#This Row],[t1_Ph_II]],Table25[[#This Row],[I_0]]+1/Lf*Table25[[#This Row],[Vin]]*Table25[[#This Row],[t1_Ph_II]],Table25[[#This Row],[I_0]]+(Table25[[#This Row],[Vin]]-Vout)/L*Table25[[#This Row],[t1_Ph_II]])</f>
        <v>10.771230729271617</v>
      </c>
      <c r="R86" s="292">
        <f>CHOOSE(Table25[[#This Row],[Mode Digit]],0,0,Table25[[#This Row],[I_1]]+Table25[[#This Row],[Vin]]/L*Table25[[#This Row],[t2_Ph_I]])</f>
        <v>0</v>
      </c>
      <c r="S86" s="292">
        <f>Fsw*(Table25[[#This Row],[I_0]]*Table25[[#This Row],[t1_Ph_II]]+Table25[[#This Row],[I_1]]*Table25[[#This Row],[t2_Ph_I]]+Table25[[#This Row],[I_2]]*Table25[[#This Row],[t3_Ph_III]])</f>
        <v>9.692273505525943</v>
      </c>
      <c r="T86" s="345">
        <f>CHOOSE(Table25[[#This Row],[Mode Digit]],(Vout+(Rdson2+Rs+Rdcr)*Table25[[#This Row],[Iout]])/(Table25[[#This Row],[Vin]]+(Rs+Rdson2-Rdson1)*Table25[[#This Row],[Iout]]),1,Fsw*Table25[[#This Row],[t2_Ph_I]]+Table25[[#This Row],[t1_Ph_II]])</f>
        <v>1</v>
      </c>
      <c r="U86" s="345">
        <f>CHOOSE(Table25[[#This Row],[Mode Digit]],0,(Vout+(Rdson3+Rdcr)*Table25[[#This Row],[Iin]]-Table25[[#This Row],[Vin]])/(Vout+(Rdson3-Rdson4-Rs)*Table25[[#This Row],[Iin]]),Fsw*Table25[[#This Row],[t1_Ph_II]]+Table25[[#This Row],[t3_Ph_III]])</f>
        <v>0.25379863328555713</v>
      </c>
      <c r="V86" s="292">
        <f>MAX(Table25[[#This Row],[I_0]:[I_2]])-MIN(Table25[[#This Row],[I_0]:[I_1]])</f>
        <v>4.2512333883677904</v>
      </c>
      <c r="W86"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8.7322805814920734</v>
      </c>
      <c r="X86" s="345">
        <f>(Table25[[#This Row],[Irms Lf]]^2*Rdcr*(1+Ltc*Ta-Ltc*25))/(1-Table25[[#This Row],[Irms Lf]]^2*Rdcr*Ltc*ThetaCa)</f>
        <v>0.24886677020239631</v>
      </c>
      <c r="Y86" s="345">
        <f>ABS(7.759*10^-3*Fsw^0.9458*(0.00787*Table25[[#This Row],[Ripple Current pk-pk]])^2.304)</f>
        <v>0.61178578927319327</v>
      </c>
      <c r="Z86" s="345">
        <f>Table25[[#This Row],[DCR    Loss]]+Table25[[#This Row],[Core Loss]]</f>
        <v>0.86065255947558961</v>
      </c>
      <c r="AA86" s="292">
        <f>IF(Table25[[#This Row],[Vin]]&gt;Vout, Table25[[#This Row],[Ripple Current pk-pk]]/SQRT(12), SQRT(Table25[[#This Row],[Duty Cycle BOOST Leg]]/(1-Table25[[#This Row],[Duty Cycle BOOST Leg]]))*SQRT(Table25[[#This Row],[Iout]]^2+(Table25[[#This Row],[Ripple Current pk-pk]]^2)/12))</f>
        <v>3.6631051218064523</v>
      </c>
      <c r="AB86" s="345">
        <f>RCoutEsr*Table25[[#This Row],[Irms Cout]]^2</f>
        <v>2.6836678266809331E-2</v>
      </c>
      <c r="AC86" s="345">
        <f>Table25[[#This Row],[Cout ESR Loss]]</f>
        <v>2.6836678266809331E-2</v>
      </c>
      <c r="AD86" s="292">
        <f>IF(Table25[[#This Row],[Vin]]&gt;Vout, SQRT(Table25[[#This Row],[Duty Cycle BUCK Leg]]*(1-Table25[[#This Row],[Duty Cycle BUCK Leg]]))*SQRT(Table25[[#This Row],[Iout]]^2+(Table25[[#This Row],[Ripple Current pk-pk]]^2)/12), Table25[[#This Row],[Ripple Current pk-pk]]/SQRT(12))</f>
        <v>1.2272253705810343</v>
      </c>
      <c r="AE86" s="345">
        <f>RCinEsr*Table25[[#This Row],[Irms Cin]]^2</f>
        <v>3.0121642203955142E-3</v>
      </c>
      <c r="AF86" s="683">
        <f>Table25[[#This Row],[Cin ESR Loss]]</f>
        <v>3.0121642203955142E-3</v>
      </c>
      <c r="AG86" s="345">
        <f>Table25[[#This Row],[Irms Lf]]</f>
        <v>8.7322805814920734</v>
      </c>
      <c r="AH86" s="345">
        <f>Rdson1*Table25[[#This Row],[Irms BuCtrl]]^2</f>
        <v>0.2668845345386624</v>
      </c>
      <c r="AI86" s="345">
        <f>CHOOSE(Table25[[#This Row],[Mode Digit]], (Table25[[#This Row],[Vin]]*Table25[[#This Row],[Iout]]/2)*(Fsw)*(Tr_buck+Tf_buck), 0, (Table25[[#This Row],[Vin]]*Table25[[#This Row],[Avg IL]]/2)*(Fsw/1)*(Tr_buck+Tf_buck))</f>
        <v>0</v>
      </c>
      <c r="AJ86" s="253">
        <f>IF(Table25[[#This Row],[Vin]]&gt;Vout, IF(Table25[[#This Row],[Iout]]&gt;Table25[[#This Row],[Ripple Current pk-pk]]/2,0,ABS(Table25[[#This Row],[Iout]]-Table25[[#This Row],[Ripple Current pk-pk]]/2)*Vsd_Q1*Deadtime*Fsw),0)</f>
        <v>0</v>
      </c>
      <c r="AK86" s="345">
        <f>(Table25[[#This Row],[Dead Time Loss BuCtrl]]+Table25[[#This Row],[Transition Loss BuCtrl]]+Table25[[#This Row],[RDS(on) Loss BuCtrl]]*(1+RdsonTopTc*Ta-RdsonTopTc*25))/(1-Table25[[#This Row],[RDS(on) Loss BuCtrl]]*RdsonTopTc*ThetaJA_Q1)</f>
        <v>0.28678450533571215</v>
      </c>
      <c r="AL86" s="345">
        <f>Table25[[#This Row],[Irms Lf]]</f>
        <v>8.7322805814920734</v>
      </c>
      <c r="AM86" s="345">
        <f>Rdson2*Table25[[#This Row],[Irms BuSync]]^2</f>
        <v>0.2668845345386624</v>
      </c>
      <c r="AN86"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86" s="345">
        <f>(Table25[[#This Row],[Deadtime Loss BuSync]]+Table25[[#This Row],[RDS(on) Loss BuSync]]*(1+RdsonBotTc*Ta-RdsonBotTc*25))/(1-Table25[[#This Row],[RDS(on) Loss BuSync]]*RdsonBotTc*ThetaJA_Q2)</f>
        <v>0.28678450533571215</v>
      </c>
      <c r="AP86" s="345">
        <f>Table25[[#This Row],[Irms Lf]]</f>
        <v>8.7322805814920734</v>
      </c>
      <c r="AQ86" s="345">
        <f>Rdson4*Table25[[#This Row],[Irms BoCtlr]]^2</f>
        <v>0.2668845345386624</v>
      </c>
      <c r="AR86" s="345">
        <f>CHOOSE(Table25[[#This Row],[Mode Digit]], 0, (Vout*Table25[[#This Row],[Iin]]/2)*(Fsw)*(Tr_boost+Tf_boost), (Vout*Iout/2)*(Fsw/1)*(Tr_boost+Tf_boost))</f>
        <v>0.51402845028392952</v>
      </c>
      <c r="AS86" s="345">
        <f>IF(Table25[[#This Row],[Vin]]&gt;Vout, 0, IF(Table25[[#This Row],[Iin]]&gt;Table25[[#This Row],[Ripple Current pk-pk]]/2,0,ABS(Table25[[#This Row],[Iin]]-Table25[[#This Row],[Ripple Current pk-pk]]/2)*Vsd_Q4*Deadtime*Fsw))</f>
        <v>0</v>
      </c>
      <c r="AT86" s="345">
        <f>(Table25[[#This Row],[Dead Time Loss BoCtlr]]+Table25[[#This Row],[Transition Loss BoCtlr]]+Table25[[#This Row],[RDS(on) Loss BoCtlr]]*(1+RdsonTopTc*Ta-RdsonTopTc*25))/(1-Table25[[#This Row],[RDS(on) Loss BoCtlr]]*RdsonTopTc*ThetaJA_Q4)</f>
        <v>0.83914095827886326</v>
      </c>
      <c r="AU86" s="345">
        <f>Table25[[#This Row],[Irms Lf]]</f>
        <v>8.7322805814920734</v>
      </c>
      <c r="AV86" s="345">
        <f>Rdson3*Table25[[#This Row],[Irms BoSync]]^2</f>
        <v>0.2668845345386624</v>
      </c>
      <c r="AW86"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0.25807157894736843</v>
      </c>
      <c r="AX86" s="345">
        <f>(Table25[[#This Row],[Deadtime Loss BoSync]]+Table25[[#This Row],[RDS(on) Loss BoSync]]*(1+RdsonBotTc*Ta-RdsonBotTc*25))/(1-Table25[[#This Row],[RDS(on) Loss BoSync]]*RdsonBotTc*ThetaJA_Q3)</f>
        <v>0.56409892611158363</v>
      </c>
      <c r="AY86" s="345">
        <f>CHOOSE(Table25[[#This Row],[Mode Digit]], Rdson3*Table25[[#This Row],[Irms Lf]]^2, Rdson1*Table25[[#This Row],[Irms Lf]]^2, 0)</f>
        <v>0.2668845345386624</v>
      </c>
      <c r="AZ86" s="345">
        <f>CHOOSE(Table25[[#This Row],[Mode Digit]], 2*Deadtime*Fsw*IF(VfdSky_Q2&gt;0,VfdSky_Q2,0)*Table25[[#This Row],[Iout]], 2*Deadtime*Fsw*IF(VfdSky_Q3&gt;0,VfdSky_Q3,0)*Table25[[#This Row],[Iin]], 2*Deadtime*Fsw*IF(VfdSky_Q2&gt;0,VfdSky_Q2,0)*Table25[[#This Row],[Iout]]+2*Deadtime*Fsw*IF(VfdSky_Q3&gt;0,VfdSky_Q3,0)*Table25[[#This Row],[Iin]])</f>
        <v>0</v>
      </c>
      <c r="BA86"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86"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86" s="345">
        <f>CHOOSE(Table25[[#This Row],[Mode Digit]], Rs*Table25[[#This Row],[Irms BuSync]]^2, Rs*Table25[[#This Row],[Irms BoCtlr]]^2, Rs*(Table25[[#This Row],[Irms BuSync]]^2+Table25[[#This Row],[Irms BoCtlr]]^2))</f>
        <v>9.9128541400074599E-2</v>
      </c>
      <c r="BD86" s="345">
        <f t="shared" si="9"/>
        <v>0.64</v>
      </c>
      <c r="BE86" s="345">
        <f>IF(Vout&gt;8, Iq*Vout, Iq*Table25[[#This Row],[Vin]])</f>
        <v>4.8000000000000001E-2</v>
      </c>
      <c r="BF86" s="345">
        <f>CHOOSE(Table25[[#This Row],[Mode Digit]], (Qg_Q1+Qg_Q2)*Fsw, (Qg_Q3+Qg_Q4)*Fsw, (Qg_Q1+Qg_Q2+Qg_Q3+Qg_Q4)*Fsw)*IF(Vout&gt;8,  MIN( Table25[[#This Row],[Vin]], Vout), Table25[[#This Row],[Vin]])</f>
        <v>0.63998400000000011</v>
      </c>
      <c r="BG86" s="345">
        <f t="shared" si="10"/>
        <v>0.50594479787234037</v>
      </c>
      <c r="BH86" s="345">
        <f>Table25[[#This Row],[IQ Loss]]+Table25[[#This Row],[Switching Current Loss]]</f>
        <v>0.68798400000000015</v>
      </c>
      <c r="BI86"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5.0076388384247403</v>
      </c>
      <c r="BJ86" s="253">
        <f>Vout*Table25[[#This Row],[Iout]]</f>
        <v>98.56</v>
      </c>
      <c r="BK86" s="684">
        <f>Table25[[#This Row],[Pout]]/(Table25[[#This Row],[Pout]]+Table25[[#This Row],[Total Loss]])</f>
        <v>0.95164861442639315</v>
      </c>
      <c r="BL86" s="685">
        <f>IF(Table25[[#This Row],[Vin]]&gt;Vout,ThetaJA_Q1*(Table25[[#This Row],[Total Control Bu MOSFET Loss]]+Table25[[#This Row],[Reverse Recovery Loss MOSFET D BUCK]]),ThetaJA_Q4*(Table25[[#This Row],[Total Control Bo MOSFET Loss]]+Table25[[#This Row],[Reverse Recovery Loss MOSFET D BOOST]]))</f>
        <v>77.723682288126113</v>
      </c>
      <c r="BM86" s="685">
        <f>IF(Table25[[#This Row],[Vin]]&gt;Vout, Table25[[#This Row],[Total Sync Bu MOSFET Loss]]*ThetaJA_Q2, ThetaJA_Q3*Table25[[#This Row],[Total Sync Bo MOSFET Loss]])</f>
        <v>36.666430197252936</v>
      </c>
      <c r="BN86" s="640"/>
      <c r="BO86" s="292">
        <f>Table25[[#This Row],[EFF, h]]*100</f>
        <v>95.164861442639321</v>
      </c>
      <c r="BP86" s="345">
        <f>Table25[[#This Row],[Total Inductor Loss]]</f>
        <v>0.86065255947558961</v>
      </c>
      <c r="BQ86" s="345">
        <f>Table25[[#This Row],[Total Control Bu MOSFET Loss]]+Table25[[#This Row],[Total Sync Bu MOSFET Loss]]+Table25[[#This Row],[Total Control Bo MOSFET Loss]]+Table25[[#This Row],[Total Sync Bo MOSFET Loss]]+Table25[[#This Row],[Reverse Recovery Loss MOSFET D BUCK]]+Table25[[#This Row],[Reverse Recovery Loss MOSFET D BOOST]]</f>
        <v>2.690024895061871</v>
      </c>
      <c r="BR86" s="345">
        <f xml:space="preserve"> Table25[[#This Row],[Total Control Bu MOSFET Loss]]+Table25[[#This Row],[Reverse Recovery Loss MOSFET D BUCK]]*0.66</f>
        <v>0.5221457853357121</v>
      </c>
      <c r="BS86" s="345">
        <f>Table25[[#This Row],[Total Sync Bu MOSFET Loss]]+Table25[[#This Row],[Reverse Recovery Loss MOSFET D BUCK]]*0.33</f>
        <v>0.40446514533571215</v>
      </c>
      <c r="BT86" s="345">
        <f xml:space="preserve"> Table25[[#This Row],[Total Control Bo MOSFET Loss]]+Table25[[#This Row],[Reverse Recovery Loss MOSFET D BOOST]]*0.66</f>
        <v>1.0745022382788632</v>
      </c>
      <c r="BU86" s="345">
        <f xml:space="preserve"> Table25[[#This Row],[Total Sync Bo MOSFET Loss]]+Table25[[#This Row],[Reverse Recovery Loss MOSFET D BOOST]]*0.33</f>
        <v>0.68177956611158363</v>
      </c>
      <c r="BV86" s="345">
        <f>Table25[[#This Row],[Isense Shunt Loss]]</f>
        <v>9.9128541400074599E-2</v>
      </c>
      <c r="CB86" s="686"/>
      <c r="CC86" s="686"/>
    </row>
    <row r="87" spans="1:81" x14ac:dyDescent="0.2">
      <c r="G87" s="253">
        <v>78</v>
      </c>
      <c r="H87" s="286">
        <f t="shared" si="8"/>
        <v>12</v>
      </c>
      <c r="I87" s="292" t="str">
        <f>IF(Mode = 2,IF(Table25[[#This Row],[Vin]]&gt;Vout, "BUCK","BOOST"),IF(Table25[[#This Row],[Vin]]&gt;VIN_BB_to_buck, "BUCK", IF(Table25[[#This Row],[Vin]]&lt;=VIN_boost_to_BB,"BOOST","BUCK-BST")))</f>
        <v>BOOST</v>
      </c>
      <c r="J87" s="253">
        <f>IF(Table25[[#This Row],[Mode]]="BOOST",2, IF(Table25[[#This Row],[Mode]]="BUCK", 1,3))</f>
        <v>2</v>
      </c>
      <c r="K87" s="345">
        <f t="shared" si="11"/>
        <v>6.24</v>
      </c>
      <c r="L87" s="292">
        <f>Vout*Table25[[#This Row],[Iout]]/(Table25[[#This Row],[Vin]]*Efficiency)</f>
        <v>8.7578947368421058</v>
      </c>
      <c r="M87" s="682">
        <f>CHOOSE(Table25[[#This Row],[Mode Digit]],(Vout+(Rdson2+Rs+Rdcr)*Table25[[#This Row],[Iout]])/(Table25[[#This Row],[Vin]]+(Rs+Rdson2-Rdson1)*Table25[[#This Row],[Iout]])/Fsw,(Vout+(Rdson3+Rdcr)*Table25[[#This Row],[Iin]]-Table25[[#This Row],[Vin]])/(Vout+(Rdson3-Rdson4-Rs)*Table25[[#This Row],[Iin]])/Fsw,t1_Ph_II)</f>
        <v>6.3780904852919512E-7</v>
      </c>
      <c r="N87" s="518">
        <f>CHOOSE(Table25[[#This Row],[Mode Digit]],1/Fsw-Table25[[#This Row],[t1_Ph_II]],1/Fsw-Table25[[#This Row],[t1_Ph_II]],(Vout/Fsw-Table25[[#This Row],[Vin]]*t1_Ph_II)/(Table25[[#This Row],[Vin]]+Vout))</f>
        <v>1.8747537655411568E-6</v>
      </c>
      <c r="O87" s="518">
        <f>1/Fsw-(Table25[[#This Row],[t1_Ph_II]]+Table25[[#This Row],[t2_Ph_I]])</f>
        <v>0</v>
      </c>
      <c r="P87"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6.6318645750781222</v>
      </c>
      <c r="Q87" s="292">
        <f>CHOOSE(Table25[[#This Row],[Mode Digit]],Table25[[#This Row],[I_0]]+1/Lf*(Table25[[#This Row],[Vin]]-Vout)*Table25[[#This Row],[t1_Ph_II]],Table25[[#This Row],[I_0]]+1/Lf*Table25[[#This Row],[Vin]]*Table25[[#This Row],[t1_Ph_II]],Table25[[#This Row],[I_0]]+(Table25[[#This Row],[Vin]]-Vout)/L*Table25[[#This Row],[t1_Ph_II]])</f>
        <v>10.883924898606089</v>
      </c>
      <c r="R87" s="292">
        <f>CHOOSE(Table25[[#This Row],[Mode Digit]],0,0,Table25[[#This Row],[I_1]]+Table25[[#This Row],[Vin]]/L*Table25[[#This Row],[t2_Ph_I]])</f>
        <v>0</v>
      </c>
      <c r="S87" s="292">
        <f>Fsw*(Table25[[#This Row],[I_0]]*Table25[[#This Row],[t1_Ph_II]]+Table25[[#This Row],[I_1]]*Table25[[#This Row],[t2_Ph_I]]+Table25[[#This Row],[I_2]]*Table25[[#This Row],[t3_Ph_III]])</f>
        <v>9.8045478840093203</v>
      </c>
      <c r="T87" s="345">
        <f>CHOOSE(Table25[[#This Row],[Mode Digit]],(Vout+(Rdson2+Rs+Rdcr)*Table25[[#This Row],[Iout]])/(Table25[[#This Row],[Vin]]+(Rs+Rdson2-Rdson1)*Table25[[#This Row],[Iout]]),1,Fsw*Table25[[#This Row],[t2_Ph_I]]+Table25[[#This Row],[t1_Ph_II]])</f>
        <v>1</v>
      </c>
      <c r="U87" s="345">
        <f>CHOOSE(Table25[[#This Row],[Mode Digit]],0,(Vout+(Rdson3+Rdcr)*Table25[[#This Row],[Iin]]-Table25[[#This Row],[Vin]])/(Vout+(Rdson3-Rdson4-Rs)*Table25[[#This Row],[Iin]]),Fsw*Table25[[#This Row],[t1_Ph_II]]+Table25[[#This Row],[t3_Ph_III]])</f>
        <v>0.25384800131461965</v>
      </c>
      <c r="V87" s="292">
        <f>MAX(Table25[[#This Row],[I_0]:[I_2]])-MIN(Table25[[#This Row],[I_0]:[I_1]])</f>
        <v>4.2520603235279673</v>
      </c>
      <c r="W87"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8.8434941230554749</v>
      </c>
      <c r="X87" s="345">
        <f>(Table25[[#This Row],[Irms Lf]]^2*Rdcr*(1+Ltc*Ta-Ltc*25))/(1-Table25[[#This Row],[Irms Lf]]^2*Rdcr*Ltc*ThetaCa)</f>
        <v>0.25537656002566611</v>
      </c>
      <c r="Y87" s="345">
        <f>ABS(7.759*10^-3*Fsw^0.9458*(0.00787*Table25[[#This Row],[Ripple Current pk-pk]])^2.304)</f>
        <v>0.61206000568677654</v>
      </c>
      <c r="Z87" s="345">
        <f>Table25[[#This Row],[DCR    Loss]]+Table25[[#This Row],[Core Loss]]</f>
        <v>0.86743656571244265</v>
      </c>
      <c r="AA87" s="292">
        <f>IF(Table25[[#This Row],[Vin]]&gt;Vout, Table25[[#This Row],[Ripple Current pk-pk]]/SQRT(12), SQRT(Table25[[#This Row],[Duty Cycle BOOST Leg]]/(1-Table25[[#This Row],[Duty Cycle BOOST Leg]]))*SQRT(Table25[[#This Row],[Iout]]^2+(Table25[[#This Row],[Ripple Current pk-pk]]^2)/12))</f>
        <v>3.7093832884338309</v>
      </c>
      <c r="AB87" s="345">
        <f>RCoutEsr*Table25[[#This Row],[Irms Cout]]^2</f>
        <v>2.7519048761024362E-2</v>
      </c>
      <c r="AC87" s="345">
        <f>Table25[[#This Row],[Cout ESR Loss]]</f>
        <v>2.7519048761024362E-2</v>
      </c>
      <c r="AD87" s="292">
        <f>IF(Table25[[#This Row],[Vin]]&gt;Vout, SQRT(Table25[[#This Row],[Duty Cycle BUCK Leg]]*(1-Table25[[#This Row],[Duty Cycle BUCK Leg]]))*SQRT(Table25[[#This Row],[Iout]]^2+(Table25[[#This Row],[Ripple Current pk-pk]]^2)/12), Table25[[#This Row],[Ripple Current pk-pk]]/SQRT(12))</f>
        <v>1.2274640861996997</v>
      </c>
      <c r="AE87" s="345">
        <f>RCinEsr*Table25[[#This Row],[Irms Cin]]^2</f>
        <v>3.0133361658201277E-3</v>
      </c>
      <c r="AF87" s="683">
        <f>Table25[[#This Row],[Cin ESR Loss]]</f>
        <v>3.0133361658201277E-3</v>
      </c>
      <c r="AG87" s="345">
        <f>Table25[[#This Row],[Irms Lf]]</f>
        <v>8.8434941230554749</v>
      </c>
      <c r="AH87" s="345">
        <f>Rdson1*Table25[[#This Row],[Irms BuCtrl]]^2</f>
        <v>0.27372585906580854</v>
      </c>
      <c r="AI87" s="345">
        <f>CHOOSE(Table25[[#This Row],[Mode Digit]], (Table25[[#This Row],[Vin]]*Table25[[#This Row],[Iout]]/2)*(Fsw)*(Tr_buck+Tf_buck), 0, (Table25[[#This Row],[Vin]]*Table25[[#This Row],[Avg IL]]/2)*(Fsw/1)*(Tr_buck+Tf_buck))</f>
        <v>0</v>
      </c>
      <c r="AJ87" s="253">
        <f>IF(Table25[[#This Row],[Vin]]&gt;Vout, IF(Table25[[#This Row],[Iout]]&gt;Table25[[#This Row],[Ripple Current pk-pk]]/2,0,ABS(Table25[[#This Row],[Iout]]-Table25[[#This Row],[Ripple Current pk-pk]]/2)*Vsd_Q1*Deadtime*Fsw),0)</f>
        <v>0</v>
      </c>
      <c r="AK87" s="345">
        <f>(Table25[[#This Row],[Dead Time Loss BuCtrl]]+Table25[[#This Row],[Transition Loss BuCtrl]]+Table25[[#This Row],[RDS(on) Loss BuCtrl]]*(1+RdsonTopTc*Ta-RdsonTopTc*25))/(1-Table25[[#This Row],[RDS(on) Loss BuCtrl]]*RdsonTopTc*ThetaJA_Q1)</f>
        <v>0.29469922681237254</v>
      </c>
      <c r="AL87" s="345">
        <f>Table25[[#This Row],[Irms Lf]]</f>
        <v>8.8434941230554749</v>
      </c>
      <c r="AM87" s="345">
        <f>Rdson2*Table25[[#This Row],[Irms BuSync]]^2</f>
        <v>0.27372585906580854</v>
      </c>
      <c r="AN87"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87" s="345">
        <f>(Table25[[#This Row],[Deadtime Loss BuSync]]+Table25[[#This Row],[RDS(on) Loss BuSync]]*(1+RdsonBotTc*Ta-RdsonBotTc*25))/(1-Table25[[#This Row],[RDS(on) Loss BuSync]]*RdsonBotTc*ThetaJA_Q2)</f>
        <v>0.29469922681237254</v>
      </c>
      <c r="AP87" s="345">
        <f>Table25[[#This Row],[Irms Lf]]</f>
        <v>8.8434941230554749</v>
      </c>
      <c r="AQ87" s="345">
        <f>Rdson4*Table25[[#This Row],[Irms BoCtlr]]^2</f>
        <v>0.27372585906580854</v>
      </c>
      <c r="AR87" s="345">
        <f>CHOOSE(Table25[[#This Row],[Mode Digit]], 0, (Vout*Table25[[#This Row],[Iin]]/2)*(Fsw)*(Tr_boost+Tf_boost), (Vout*Iout/2)*(Fsw/1)*(Tr_boost+Tf_boost))</f>
        <v>0.52070414444346091</v>
      </c>
      <c r="AS87" s="345">
        <f>IF(Table25[[#This Row],[Vin]]&gt;Vout, 0, IF(Table25[[#This Row],[Iin]]&gt;Table25[[#This Row],[Ripple Current pk-pk]]/2,0,ABS(Table25[[#This Row],[Iin]]-Table25[[#This Row],[Ripple Current pk-pk]]/2)*Vsd_Q4*Deadtime*Fsw))</f>
        <v>0</v>
      </c>
      <c r="AT87" s="345">
        <f>(Table25[[#This Row],[Dead Time Loss BoCtlr]]+Table25[[#This Row],[Transition Loss BoCtlr]]+Table25[[#This Row],[RDS(on) Loss BoCtlr]]*(1+RdsonTopTc*Ta-RdsonTopTc*25))/(1-Table25[[#This Row],[RDS(on) Loss BoCtlr]]*RdsonTopTc*ThetaJA_Q4)</f>
        <v>0.8553006595348599</v>
      </c>
      <c r="AU87" s="345">
        <f>Table25[[#This Row],[Irms Lf]]</f>
        <v>8.8434941230554749</v>
      </c>
      <c r="AV87" s="345">
        <f>Rdson3*Table25[[#This Row],[Irms BoSync]]^2</f>
        <v>0.27372585906580854</v>
      </c>
      <c r="AW87"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0.2614231578947368</v>
      </c>
      <c r="AX87" s="345">
        <f>(Table25[[#This Row],[Deadtime Loss BoSync]]+Table25[[#This Row],[RDS(on) Loss BoSync]]*(1+RdsonBotTc*Ta-RdsonBotTc*25))/(1-Table25[[#This Row],[RDS(on) Loss BoSync]]*RdsonBotTc*ThetaJA_Q3)</f>
        <v>0.57615309735774056</v>
      </c>
      <c r="AY87" s="345">
        <f>CHOOSE(Table25[[#This Row],[Mode Digit]], Rdson3*Table25[[#This Row],[Irms Lf]]^2, Rdson1*Table25[[#This Row],[Irms Lf]]^2, 0)</f>
        <v>0.27372585906580854</v>
      </c>
      <c r="AZ87" s="345">
        <f>CHOOSE(Table25[[#This Row],[Mode Digit]], 2*Deadtime*Fsw*IF(VfdSky_Q2&gt;0,VfdSky_Q2,0)*Table25[[#This Row],[Iout]], 2*Deadtime*Fsw*IF(VfdSky_Q3&gt;0,VfdSky_Q3,0)*Table25[[#This Row],[Iin]], 2*Deadtime*Fsw*IF(VfdSky_Q2&gt;0,VfdSky_Q2,0)*Table25[[#This Row],[Iout]]+2*Deadtime*Fsw*IF(VfdSky_Q3&gt;0,VfdSky_Q3,0)*Table25[[#This Row],[Iin]])</f>
        <v>0</v>
      </c>
      <c r="BA87"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87"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87" s="345">
        <f>CHOOSE(Table25[[#This Row],[Mode Digit]], Rs*Table25[[#This Row],[Irms BuSync]]^2, Rs*Table25[[#This Row],[Irms BoCtlr]]^2, Rs*(Table25[[#This Row],[Irms BuSync]]^2+Table25[[#This Row],[Irms BoCtlr]]^2))</f>
        <v>0.10166960479587174</v>
      </c>
      <c r="BD87" s="345">
        <f t="shared" si="9"/>
        <v>0.64</v>
      </c>
      <c r="BE87" s="345">
        <f>IF(Vout&gt;8, Iq*Vout, Iq*Table25[[#This Row],[Vin]])</f>
        <v>4.8000000000000001E-2</v>
      </c>
      <c r="BF87" s="345">
        <f>CHOOSE(Table25[[#This Row],[Mode Digit]], (Qg_Q1+Qg_Q2)*Fsw, (Qg_Q3+Qg_Q4)*Fsw, (Qg_Q1+Qg_Q2+Qg_Q3+Qg_Q4)*Fsw)*IF(Vout&gt;8,  MIN( Table25[[#This Row],[Vin]], Vout), Table25[[#This Row],[Vin]])</f>
        <v>0.63998400000000011</v>
      </c>
      <c r="BG87" s="345">
        <f t="shared" si="10"/>
        <v>0.50594479787234037</v>
      </c>
      <c r="BH87" s="345">
        <f>Table25[[#This Row],[IQ Loss]]+Table25[[#This Row],[Switching Current Loss]]</f>
        <v>0.68798400000000015</v>
      </c>
      <c r="BI87"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5.0616907659525046</v>
      </c>
      <c r="BJ87" s="253">
        <f>Vout*Table25[[#This Row],[Iout]]</f>
        <v>99.84</v>
      </c>
      <c r="BK87" s="684">
        <f>Table25[[#This Row],[Pout]]/(Table25[[#This Row],[Pout]]+Table25[[#This Row],[Total Loss]])</f>
        <v>0.9517482441989833</v>
      </c>
      <c r="BL87" s="685">
        <f>IF(Table25[[#This Row],[Vin]]&gt;Vout,ThetaJA_Q1*(Table25[[#This Row],[Total Control Bu MOSFET Loss]]+Table25[[#This Row],[Reverse Recovery Loss MOSFET D BUCK]]),ThetaJA_Q4*(Table25[[#This Row],[Total Control Bo MOSFET Loss]]+Table25[[#This Row],[Reverse Recovery Loss MOSFET D BOOST]]))</f>
        <v>78.774062869765885</v>
      </c>
      <c r="BM87" s="685">
        <f>IF(Table25[[#This Row],[Vin]]&gt;Vout, Table25[[#This Row],[Total Sync Bu MOSFET Loss]]*ThetaJA_Q2, ThetaJA_Q3*Table25[[#This Row],[Total Sync Bo MOSFET Loss]])</f>
        <v>37.449951328253135</v>
      </c>
      <c r="BN87" s="640"/>
      <c r="BO87" s="292">
        <f>Table25[[#This Row],[EFF, h]]*100</f>
        <v>95.174824419898329</v>
      </c>
      <c r="BP87" s="345">
        <f>Table25[[#This Row],[Total Inductor Loss]]</f>
        <v>0.86743656571244265</v>
      </c>
      <c r="BQ87" s="345">
        <f>Table25[[#This Row],[Total Control Bu MOSFET Loss]]+Table25[[#This Row],[Total Sync Bu MOSFET Loss]]+Table25[[#This Row],[Total Control Bo MOSFET Loss]]+Table25[[#This Row],[Total Sync Bo MOSFET Loss]]+Table25[[#This Row],[Reverse Recovery Loss MOSFET D BUCK]]+Table25[[#This Row],[Reverse Recovery Loss MOSFET D BOOST]]</f>
        <v>2.7340682105173455</v>
      </c>
      <c r="BR87" s="345">
        <f xml:space="preserve"> Table25[[#This Row],[Total Control Bu MOSFET Loss]]+Table25[[#This Row],[Reverse Recovery Loss MOSFET D BUCK]]*0.66</f>
        <v>0.53006050681237249</v>
      </c>
      <c r="BS87" s="345">
        <f>Table25[[#This Row],[Total Sync Bu MOSFET Loss]]+Table25[[#This Row],[Reverse Recovery Loss MOSFET D BUCK]]*0.33</f>
        <v>0.41237986681237254</v>
      </c>
      <c r="BT87" s="345">
        <f xml:space="preserve"> Table25[[#This Row],[Total Control Bo MOSFET Loss]]+Table25[[#This Row],[Reverse Recovery Loss MOSFET D BOOST]]*0.66</f>
        <v>1.09066193953486</v>
      </c>
      <c r="BU87" s="345">
        <f xml:space="preserve"> Table25[[#This Row],[Total Sync Bo MOSFET Loss]]+Table25[[#This Row],[Reverse Recovery Loss MOSFET D BOOST]]*0.33</f>
        <v>0.69383373735774057</v>
      </c>
      <c r="BV87" s="345">
        <f>Table25[[#This Row],[Isense Shunt Loss]]</f>
        <v>0.10166960479587174</v>
      </c>
      <c r="CB87" s="686"/>
      <c r="CC87" s="686"/>
    </row>
    <row r="88" spans="1:81" x14ac:dyDescent="0.2">
      <c r="G88" s="253">
        <v>79</v>
      </c>
      <c r="H88" s="286">
        <f t="shared" si="8"/>
        <v>12</v>
      </c>
      <c r="I88" s="292" t="str">
        <f>IF(Mode = 2,IF(Table25[[#This Row],[Vin]]&gt;Vout, "BUCK","BOOST"),IF(Table25[[#This Row],[Vin]]&gt;VIN_BB_to_buck, "BUCK", IF(Table25[[#This Row],[Vin]]&lt;=VIN_boost_to_BB,"BOOST","BUCK-BST")))</f>
        <v>BOOST</v>
      </c>
      <c r="J88" s="253">
        <f>IF(Table25[[#This Row],[Mode]]="BOOST",2, IF(Table25[[#This Row],[Mode]]="BUCK", 1,3))</f>
        <v>2</v>
      </c>
      <c r="K88" s="345">
        <f t="shared" si="11"/>
        <v>6.32</v>
      </c>
      <c r="L88" s="292">
        <f>Vout*Table25[[#This Row],[Iout]]/(Table25[[#This Row],[Vin]]*Efficiency)</f>
        <v>8.8701754385964922</v>
      </c>
      <c r="M88" s="682">
        <f>CHOOSE(Table25[[#This Row],[Mode Digit]],(Vout+(Rdson2+Rs+Rdcr)*Table25[[#This Row],[Iout]])/(Table25[[#This Row],[Vin]]+(Rs+Rdson2-Rdson1)*Table25[[#This Row],[Iout]])/Fsw,(Vout+(Rdson3+Rdcr)*Table25[[#This Row],[Iin]]-Table25[[#This Row],[Vin]])/(Vout+(Rdson3-Rdson4-Rs)*Table25[[#This Row],[Iin]])/Fsw,t1_Ph_II)</f>
        <v>6.3793309106804484E-7</v>
      </c>
      <c r="N88" s="518">
        <f>CHOOSE(Table25[[#This Row],[Mode Digit]],1/Fsw-Table25[[#This Row],[t1_Ph_II]],1/Fsw-Table25[[#This Row],[t1_Ph_II]],(Vout/Fsw-Table25[[#This Row],[Vin]]*t1_Ph_II)/(Table25[[#This Row],[Vin]]+Vout))</f>
        <v>1.8746297230023071E-6</v>
      </c>
      <c r="O88" s="518">
        <f>1/Fsw-(Table25[[#This Row],[t1_Ph_II]]+Table25[[#This Row],[t2_Ph_I]])</f>
        <v>0</v>
      </c>
      <c r="P88"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6.7437318017030101</v>
      </c>
      <c r="Q88" s="292">
        <f>CHOOSE(Table25[[#This Row],[Mode Digit]],Table25[[#This Row],[I_0]]+1/Lf*(Table25[[#This Row],[Vin]]-Vout)*Table25[[#This Row],[t1_Ph_II]],Table25[[#This Row],[I_0]]+1/Lf*Table25[[#This Row],[Vin]]*Table25[[#This Row],[t1_Ph_II]],Table25[[#This Row],[I_0]]+(Table25[[#This Row],[Vin]]-Vout)/L*Table25[[#This Row],[t1_Ph_II]])</f>
        <v>10.996619075489974</v>
      </c>
      <c r="R88" s="292">
        <f>CHOOSE(Table25[[#This Row],[Mode Digit]],0,0,Table25[[#This Row],[I_1]]+Table25[[#This Row],[Vin]]/L*Table25[[#This Row],[t2_Ph_I]])</f>
        <v>0</v>
      </c>
      <c r="S88" s="292">
        <f>Fsw*(Table25[[#This Row],[I_0]]*Table25[[#This Row],[t1_Ph_II]]+Table25[[#This Row],[I_1]]*Table25[[#This Row],[t2_Ph_I]]+Table25[[#This Row],[I_2]]*Table25[[#This Row],[t3_Ph_III]])</f>
        <v>9.9168221807266885</v>
      </c>
      <c r="T88" s="345">
        <f>CHOOSE(Table25[[#This Row],[Mode Digit]],(Vout+(Rdson2+Rs+Rdcr)*Table25[[#This Row],[Iout]])/(Table25[[#This Row],[Vin]]+(Rs+Rdson2-Rdson1)*Table25[[#This Row],[Iout]]),1,Fsw*Table25[[#This Row],[t2_Ph_I]]+Table25[[#This Row],[t1_Ph_II]])</f>
        <v>1</v>
      </c>
      <c r="U88" s="345">
        <f>CHOOSE(Table25[[#This Row],[Mode Digit]],0,(Vout+(Rdson3+Rdcr)*Table25[[#This Row],[Iin]]-Table25[[#This Row],[Vin]])/(Vout+(Rdson3-Rdson4-Rs)*Table25[[#This Row],[Iin]]),Fsw*Table25[[#This Row],[t1_Ph_II]]+Table25[[#This Row],[t3_Ph_III]])</f>
        <v>0.25389737024508185</v>
      </c>
      <c r="V88" s="292">
        <f>MAX(Table25[[#This Row],[I_0]:[I_2]])-MIN(Table25[[#This Row],[I_0]:[I_1]])</f>
        <v>4.2528872737869641</v>
      </c>
      <c r="W88"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8.9547343060403186</v>
      </c>
      <c r="X88" s="345">
        <f>(Table25[[#This Row],[Irms Lf]]^2*Rdcr*(1+Ltc*Ta-Ltc*25))/(1-Table25[[#This Row],[Irms Lf]]^2*Rdcr*Ltc*ThetaCa)</f>
        <v>0.26197710308532185</v>
      </c>
      <c r="Y88" s="345">
        <f>ABS(7.759*10^-3*Fsw^0.9458*(0.00787*Table25[[#This Row],[Ripple Current pk-pk]])^2.304)</f>
        <v>0.61233429665928296</v>
      </c>
      <c r="Z88" s="345">
        <f>Table25[[#This Row],[DCR    Loss]]+Table25[[#This Row],[Core Loss]]</f>
        <v>0.87431139974460481</v>
      </c>
      <c r="AA88" s="292">
        <f>IF(Table25[[#This Row],[Vin]]&gt;Vout, Table25[[#This Row],[Ripple Current pk-pk]]/SQRT(12), SQRT(Table25[[#This Row],[Duty Cycle BOOST Leg]]/(1-Table25[[#This Row],[Duty Cycle BOOST Leg]]))*SQRT(Table25[[#This Row],[Iout]]^2+(Table25[[#This Row],[Ripple Current pk-pk]]^2)/12))</f>
        <v>3.7556946174482713</v>
      </c>
      <c r="AB88" s="345">
        <f>RCoutEsr*Table25[[#This Row],[Irms Cout]]^2</f>
        <v>2.8210484119059836E-2</v>
      </c>
      <c r="AC88" s="345">
        <f>Table25[[#This Row],[Cout ESR Loss]]</f>
        <v>2.8210484119059836E-2</v>
      </c>
      <c r="AD88" s="292">
        <f>IF(Table25[[#This Row],[Vin]]&gt;Vout, SQRT(Table25[[#This Row],[Duty Cycle BUCK Leg]]*(1-Table25[[#This Row],[Duty Cycle BUCK Leg]]))*SQRT(Table25[[#This Row],[Iout]]^2+(Table25[[#This Row],[Ripple Current pk-pk]]^2)/12), Table25[[#This Row],[Ripple Current pk-pk]]/SQRT(12))</f>
        <v>1.2277028061770188</v>
      </c>
      <c r="AE88" s="345">
        <f>RCinEsr*Table25[[#This Row],[Irms Cin]]^2</f>
        <v>3.0145083605898531E-3</v>
      </c>
      <c r="AF88" s="683">
        <f>Table25[[#This Row],[Cin ESR Loss]]</f>
        <v>3.0145083605898531E-3</v>
      </c>
      <c r="AG88" s="345">
        <f>Table25[[#This Row],[Irms Lf]]</f>
        <v>8.9547343060403186</v>
      </c>
      <c r="AH88" s="345">
        <f>Rdson1*Table25[[#This Row],[Irms BuCtrl]]^2</f>
        <v>0.28065543272121385</v>
      </c>
      <c r="AI88" s="345">
        <f>CHOOSE(Table25[[#This Row],[Mode Digit]], (Table25[[#This Row],[Vin]]*Table25[[#This Row],[Iout]]/2)*(Fsw)*(Tr_buck+Tf_buck), 0, (Table25[[#This Row],[Vin]]*Table25[[#This Row],[Avg IL]]/2)*(Fsw/1)*(Tr_buck+Tf_buck))</f>
        <v>0</v>
      </c>
      <c r="AJ88" s="253">
        <f>IF(Table25[[#This Row],[Vin]]&gt;Vout, IF(Table25[[#This Row],[Iout]]&gt;Table25[[#This Row],[Ripple Current pk-pk]]/2,0,ABS(Table25[[#This Row],[Iout]]-Table25[[#This Row],[Ripple Current pk-pk]]/2)*Vsd_Q1*Deadtime*Fsw),0)</f>
        <v>0</v>
      </c>
      <c r="AK88" s="345">
        <f>(Table25[[#This Row],[Dead Time Loss BuCtrl]]+Table25[[#This Row],[Transition Loss BuCtrl]]+Table25[[#This Row],[RDS(on) Loss BuCtrl]]*(1+RdsonTopTc*Ta-RdsonTopTc*25))/(1-Table25[[#This Row],[RDS(on) Loss BuCtrl]]*RdsonTopTc*ThetaJA_Q1)</f>
        <v>0.30274700668438931</v>
      </c>
      <c r="AL88" s="345">
        <f>Table25[[#This Row],[Irms Lf]]</f>
        <v>8.9547343060403186</v>
      </c>
      <c r="AM88" s="345">
        <f>Rdson2*Table25[[#This Row],[Irms BuSync]]^2</f>
        <v>0.28065543272121385</v>
      </c>
      <c r="AN88"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88" s="345">
        <f>(Table25[[#This Row],[Deadtime Loss BuSync]]+Table25[[#This Row],[RDS(on) Loss BuSync]]*(1+RdsonBotTc*Ta-RdsonBotTc*25))/(1-Table25[[#This Row],[RDS(on) Loss BuSync]]*RdsonBotTc*ThetaJA_Q2)</f>
        <v>0.30274700668438931</v>
      </c>
      <c r="AP88" s="345">
        <f>Table25[[#This Row],[Irms Lf]]</f>
        <v>8.9547343060403186</v>
      </c>
      <c r="AQ88" s="345">
        <f>Rdson4*Table25[[#This Row],[Irms BoCtlr]]^2</f>
        <v>0.28065543272121385</v>
      </c>
      <c r="AR88" s="345">
        <f>CHOOSE(Table25[[#This Row],[Mode Digit]], 0, (Vout*Table25[[#This Row],[Iin]]/2)*(Fsw)*(Tr_boost+Tf_boost), (Vout*Iout/2)*(Fsw/1)*(Tr_boost+Tf_boost))</f>
        <v>0.52737983860299253</v>
      </c>
      <c r="AS88" s="345">
        <f>IF(Table25[[#This Row],[Vin]]&gt;Vout, 0, IF(Table25[[#This Row],[Iin]]&gt;Table25[[#This Row],[Ripple Current pk-pk]]/2,0,ABS(Table25[[#This Row],[Iin]]-Table25[[#This Row],[Ripple Current pk-pk]]/2)*Vsd_Q4*Deadtime*Fsw))</f>
        <v>0</v>
      </c>
      <c r="AT88" s="345">
        <f>(Table25[[#This Row],[Dead Time Loss BoCtlr]]+Table25[[#This Row],[Transition Loss BoCtlr]]+Table25[[#This Row],[RDS(on) Loss BoCtlr]]*(1+RdsonTopTc*Ta-RdsonTopTc*25))/(1-Table25[[#This Row],[RDS(on) Loss BoCtlr]]*RdsonTopTc*ThetaJA_Q4)</f>
        <v>0.87163913884329747</v>
      </c>
      <c r="AU88" s="345">
        <f>Table25[[#This Row],[Irms Lf]]</f>
        <v>8.9547343060403186</v>
      </c>
      <c r="AV88" s="345">
        <f>Rdson3*Table25[[#This Row],[Irms BoSync]]^2</f>
        <v>0.28065543272121385</v>
      </c>
      <c r="AW88"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0.26477473684210523</v>
      </c>
      <c r="AX88" s="345">
        <f>(Table25[[#This Row],[Deadtime Loss BoSync]]+Table25[[#This Row],[RDS(on) Loss BoSync]]*(1+RdsonBotTc*Ta-RdsonBotTc*25))/(1-Table25[[#This Row],[RDS(on) Loss BoSync]]*RdsonBotTc*ThetaJA_Q3)</f>
        <v>0.58836328087288903</v>
      </c>
      <c r="AY88" s="345">
        <f>CHOOSE(Table25[[#This Row],[Mode Digit]], Rdson3*Table25[[#This Row],[Irms Lf]]^2, Rdson1*Table25[[#This Row],[Irms Lf]]^2, 0)</f>
        <v>0.28065543272121385</v>
      </c>
      <c r="AZ88" s="345">
        <f>CHOOSE(Table25[[#This Row],[Mode Digit]], 2*Deadtime*Fsw*IF(VfdSky_Q2&gt;0,VfdSky_Q2,0)*Table25[[#This Row],[Iout]], 2*Deadtime*Fsw*IF(VfdSky_Q3&gt;0,VfdSky_Q3,0)*Table25[[#This Row],[Iin]], 2*Deadtime*Fsw*IF(VfdSky_Q2&gt;0,VfdSky_Q2,0)*Table25[[#This Row],[Iout]]+2*Deadtime*Fsw*IF(VfdSky_Q3&gt;0,VfdSky_Q3,0)*Table25[[#This Row],[Iin]])</f>
        <v>0</v>
      </c>
      <c r="BA88"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88"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88" s="345">
        <f>CHOOSE(Table25[[#This Row],[Mode Digit]], Rs*Table25[[#This Row],[Irms BuSync]]^2, Rs*Table25[[#This Row],[Irms BoCtlr]]^2, Rs*(Table25[[#This Row],[Irms BuSync]]^2+Table25[[#This Row],[Irms BoCtlr]]^2))</f>
        <v>0.104243446439308</v>
      </c>
      <c r="BD88" s="345">
        <f t="shared" si="9"/>
        <v>0.64</v>
      </c>
      <c r="BE88" s="345">
        <f>IF(Vout&gt;8, Iq*Vout, Iq*Table25[[#This Row],[Vin]])</f>
        <v>4.8000000000000001E-2</v>
      </c>
      <c r="BF88" s="345">
        <f>CHOOSE(Table25[[#This Row],[Mode Digit]], (Qg_Q1+Qg_Q2)*Fsw, (Qg_Q3+Qg_Q4)*Fsw, (Qg_Q1+Qg_Q2+Qg_Q3+Qg_Q4)*Fsw)*IF(Vout&gt;8,  MIN( Table25[[#This Row],[Vin]], Vout), Table25[[#This Row],[Vin]])</f>
        <v>0.63998400000000011</v>
      </c>
      <c r="BG88" s="345">
        <f t="shared" si="10"/>
        <v>0.50594479787234037</v>
      </c>
      <c r="BH88" s="345">
        <f>Table25[[#This Row],[IQ Loss]]+Table25[[#This Row],[Switching Current Loss]]</f>
        <v>0.68798400000000015</v>
      </c>
      <c r="BI88"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5.1164762717485281</v>
      </c>
      <c r="BJ88" s="253">
        <f>Vout*Table25[[#This Row],[Iout]]</f>
        <v>101.12</v>
      </c>
      <c r="BK88" s="684">
        <f>Table25[[#This Row],[Pout]]/(Table25[[#This Row],[Pout]]+Table25[[#This Row],[Total Loss]])</f>
        <v>0.9518387991459657</v>
      </c>
      <c r="BL88" s="685">
        <f>IF(Table25[[#This Row],[Vin]]&gt;Vout,ThetaJA_Q1*(Table25[[#This Row],[Total Control Bu MOSFET Loss]]+Table25[[#This Row],[Reverse Recovery Loss MOSFET D BUCK]]),ThetaJA_Q4*(Table25[[#This Row],[Total Control Bo MOSFET Loss]]+Table25[[#This Row],[Reverse Recovery Loss MOSFET D BOOST]]))</f>
        <v>79.836064024814334</v>
      </c>
      <c r="BM88" s="685">
        <f>IF(Table25[[#This Row],[Vin]]&gt;Vout, Table25[[#This Row],[Total Sync Bu MOSFET Loss]]*ThetaJA_Q2, ThetaJA_Q3*Table25[[#This Row],[Total Sync Bo MOSFET Loss]])</f>
        <v>38.243613256737788</v>
      </c>
      <c r="BN88" s="640"/>
      <c r="BO88" s="292">
        <f>Table25[[#This Row],[EFF, h]]*100</f>
        <v>95.183879914596574</v>
      </c>
      <c r="BP88" s="345">
        <f>Table25[[#This Row],[Total Inductor Loss]]</f>
        <v>0.87431139974460481</v>
      </c>
      <c r="BQ88" s="345">
        <f>Table25[[#This Row],[Total Control Bu MOSFET Loss]]+Table25[[#This Row],[Total Sync Bu MOSFET Loss]]+Table25[[#This Row],[Total Control Bo MOSFET Loss]]+Table25[[#This Row],[Total Sync Bo MOSFET Loss]]+Table25[[#This Row],[Reverse Recovery Loss MOSFET D BUCK]]+Table25[[#This Row],[Reverse Recovery Loss MOSFET D BOOST]]</f>
        <v>2.7787124330849653</v>
      </c>
      <c r="BR88" s="345">
        <f xml:space="preserve"> Table25[[#This Row],[Total Control Bu MOSFET Loss]]+Table25[[#This Row],[Reverse Recovery Loss MOSFET D BUCK]]*0.66</f>
        <v>0.53810828668438937</v>
      </c>
      <c r="BS88" s="345">
        <f>Table25[[#This Row],[Total Sync Bu MOSFET Loss]]+Table25[[#This Row],[Reverse Recovery Loss MOSFET D BUCK]]*0.33</f>
        <v>0.42042764668438931</v>
      </c>
      <c r="BT88" s="345">
        <f xml:space="preserve"> Table25[[#This Row],[Total Control Bo MOSFET Loss]]+Table25[[#This Row],[Reverse Recovery Loss MOSFET D BOOST]]*0.66</f>
        <v>1.1070004188432976</v>
      </c>
      <c r="BU88" s="345">
        <f xml:space="preserve"> Table25[[#This Row],[Total Sync Bo MOSFET Loss]]+Table25[[#This Row],[Reverse Recovery Loss MOSFET D BOOST]]*0.33</f>
        <v>0.70604392087288903</v>
      </c>
      <c r="BV88" s="345">
        <f>Table25[[#This Row],[Isense Shunt Loss]]</f>
        <v>0.104243446439308</v>
      </c>
      <c r="CB88" s="686"/>
      <c r="CC88" s="686"/>
    </row>
    <row r="89" spans="1:81" x14ac:dyDescent="0.2">
      <c r="G89" s="253">
        <v>80</v>
      </c>
      <c r="H89" s="286">
        <f t="shared" si="8"/>
        <v>12</v>
      </c>
      <c r="I89" s="292" t="str">
        <f>IF(Mode = 2,IF(Table25[[#This Row],[Vin]]&gt;Vout, "BUCK","BOOST"),IF(Table25[[#This Row],[Vin]]&gt;VIN_BB_to_buck, "BUCK", IF(Table25[[#This Row],[Vin]]&lt;=VIN_boost_to_BB,"BOOST","BUCK-BST")))</f>
        <v>BOOST</v>
      </c>
      <c r="J89" s="253">
        <f>IF(Table25[[#This Row],[Mode]]="BOOST",2, IF(Table25[[#This Row],[Mode]]="BUCK", 1,3))</f>
        <v>2</v>
      </c>
      <c r="K89" s="345">
        <f t="shared" si="11"/>
        <v>6.4</v>
      </c>
      <c r="L89" s="292">
        <f>Vout*Table25[[#This Row],[Iout]]/(Table25[[#This Row],[Vin]]*Efficiency)</f>
        <v>8.9824561403508785</v>
      </c>
      <c r="M89" s="682">
        <f>CHOOSE(Table25[[#This Row],[Mode Digit]],(Vout+(Rdson2+Rs+Rdcr)*Table25[[#This Row],[Iout]])/(Table25[[#This Row],[Vin]]+(Rs+Rdson2-Rdson1)*Table25[[#This Row],[Iout]])/Fsw,(Vout+(Rdson3+Rdcr)*Table25[[#This Row],[Iin]]-Table25[[#This Row],[Vin]])/(Vout+(Rdson3-Rdson4-Rs)*Table25[[#This Row],[Iin]])/Fsw,t1_Ph_II)</f>
        <v>6.3805713587177988E-7</v>
      </c>
      <c r="N89" s="518">
        <f>CHOOSE(Table25[[#This Row],[Mode Digit]],1/Fsw-Table25[[#This Row],[t1_Ph_II]],1/Fsw-Table25[[#This Row],[t1_Ph_II]],(Vout/Fsw-Table25[[#This Row],[Vin]]*t1_Ph_II)/(Table25[[#This Row],[Vin]]+Vout))</f>
        <v>1.8745056781985721E-6</v>
      </c>
      <c r="O89" s="518">
        <f>1/Fsw-(Table25[[#This Row],[t1_Ph_II]]+Table25[[#This Row],[t2_Ph_I]])</f>
        <v>0</v>
      </c>
      <c r="P89"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6.8555990207782784</v>
      </c>
      <c r="Q89" s="292">
        <f>CHOOSE(Table25[[#This Row],[Mode Digit]],Table25[[#This Row],[I_0]]+1/Lf*(Table25[[#This Row],[Vin]]-Vout)*Table25[[#This Row],[t1_Ph_II]],Table25[[#This Row],[I_0]]+1/Lf*Table25[[#This Row],[Vin]]*Table25[[#This Row],[t1_Ph_II]],Table25[[#This Row],[I_0]]+(Table25[[#This Row],[Vin]]-Vout)/L*Table25[[#This Row],[t1_Ph_II]])</f>
        <v>11.109313259923479</v>
      </c>
      <c r="R89" s="292">
        <f>CHOOSE(Table25[[#This Row],[Mode Digit]],0,0,Table25[[#This Row],[I_1]]+Table25[[#This Row],[Vin]]/L*Table25[[#This Row],[t2_Ph_I]])</f>
        <v>0</v>
      </c>
      <c r="S89" s="292">
        <f>Fsw*(Table25[[#This Row],[I_0]]*Table25[[#This Row],[t1_Ph_II]]+Table25[[#This Row],[I_1]]*Table25[[#This Row],[t2_Ph_I]]+Table25[[#This Row],[I_2]]*Table25[[#This Row],[t3_Ph_III]])</f>
        <v>10.029096395673575</v>
      </c>
      <c r="T89" s="345">
        <f>CHOOSE(Table25[[#This Row],[Mode Digit]],(Vout+(Rdson2+Rs+Rdcr)*Table25[[#This Row],[Iout]])/(Table25[[#This Row],[Vin]]+(Rs+Rdson2-Rdson1)*Table25[[#This Row],[Iout]]),1,Fsw*Table25[[#This Row],[t2_Ph_I]]+Table25[[#This Row],[t1_Ph_II]])</f>
        <v>1</v>
      </c>
      <c r="U89" s="345">
        <f>CHOOSE(Table25[[#This Row],[Mode Digit]],0,(Vout+(Rdson3+Rdcr)*Table25[[#This Row],[Iin]]-Table25[[#This Row],[Vin]])/(Vout+(Rdson3-Rdson4-Rs)*Table25[[#This Row],[Iin]]),Fsw*Table25[[#This Row],[t1_Ph_II]]+Table25[[#This Row],[t3_Ph_III]])</f>
        <v>0.25394674007696838</v>
      </c>
      <c r="V89" s="292">
        <f>MAX(Table25[[#This Row],[I_0]:[I_2]])-MIN(Table25[[#This Row],[I_0]:[I_1]])</f>
        <v>4.2537142391452001</v>
      </c>
      <c r="W89"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9.066000149773112</v>
      </c>
      <c r="X89" s="345">
        <f>(Table25[[#This Row],[Irms Lf]]^2*Rdcr*(1+Ltc*Ta-Ltc*25))/(1-Table25[[#This Row],[Irms Lf]]^2*Rdcr*Ltc*ThetaCa)</f>
        <v>0.2686686709045058</v>
      </c>
      <c r="Y89" s="345">
        <f>ABS(7.759*10^-3*Fsw^0.9458*(0.00787*Table25[[#This Row],[Ripple Current pk-pk]])^2.304)</f>
        <v>0.61260866219877119</v>
      </c>
      <c r="Z89" s="345">
        <f>Table25[[#This Row],[DCR    Loss]]+Table25[[#This Row],[Core Loss]]</f>
        <v>0.88127733310327705</v>
      </c>
      <c r="AA89" s="292">
        <f>IF(Table25[[#This Row],[Vin]]&gt;Vout, Table25[[#This Row],[Ripple Current pk-pk]]/SQRT(12), SQRT(Table25[[#This Row],[Duty Cycle BOOST Leg]]/(1-Table25[[#This Row],[Duty Cycle BOOST Leg]]))*SQRT(Table25[[#This Row],[Iout]]^2+(Table25[[#This Row],[Ripple Current pk-pk]]^2)/12))</f>
        <v>3.8020383501781443</v>
      </c>
      <c r="AB89" s="345">
        <f>RCoutEsr*Table25[[#This Row],[Irms Cout]]^2</f>
        <v>2.8910991232450691E-2</v>
      </c>
      <c r="AC89" s="345">
        <f>Table25[[#This Row],[Cout ESR Loss]]</f>
        <v>2.8910991232450691E-2</v>
      </c>
      <c r="AD89" s="292">
        <f>IF(Table25[[#This Row],[Vin]]&gt;Vout, SQRT(Table25[[#This Row],[Duty Cycle BUCK Leg]]*(1-Table25[[#This Row],[Duty Cycle BUCK Leg]]))*SQRT(Table25[[#This Row],[Iout]]^2+(Table25[[#This Row],[Ripple Current pk-pk]]^2)/12), Table25[[#This Row],[Ripple Current pk-pk]]/SQRT(12))</f>
        <v>1.2279415305131127</v>
      </c>
      <c r="AE89" s="345">
        <f>RCinEsr*Table25[[#This Row],[Irms Cin]]^2</f>
        <v>3.0156808047177718E-3</v>
      </c>
      <c r="AF89" s="683">
        <f>Table25[[#This Row],[Cin ESR Loss]]</f>
        <v>3.0156808047177718E-3</v>
      </c>
      <c r="AG89" s="345">
        <f>Table25[[#This Row],[Irms Lf]]</f>
        <v>9.066000149773112</v>
      </c>
      <c r="AH89" s="345">
        <f>Rdson1*Table25[[#This Row],[Irms BuCtrl]]^2</f>
        <v>0.2876732555049013</v>
      </c>
      <c r="AI89" s="345">
        <f>CHOOSE(Table25[[#This Row],[Mode Digit]], (Table25[[#This Row],[Vin]]*Table25[[#This Row],[Iout]]/2)*(Fsw)*(Tr_buck+Tf_buck), 0, (Table25[[#This Row],[Vin]]*Table25[[#This Row],[Avg IL]]/2)*(Fsw/1)*(Tr_buck+Tf_buck))</f>
        <v>0</v>
      </c>
      <c r="AJ89" s="253">
        <f>IF(Table25[[#This Row],[Vin]]&gt;Vout, IF(Table25[[#This Row],[Iout]]&gt;Table25[[#This Row],[Ripple Current pk-pk]]/2,0,ABS(Table25[[#This Row],[Iout]]-Table25[[#This Row],[Ripple Current pk-pk]]/2)*Vsd_Q1*Deadtime*Fsw),0)</f>
        <v>0</v>
      </c>
      <c r="AK89" s="345">
        <f>(Table25[[#This Row],[Dead Time Loss BuCtrl]]+Table25[[#This Row],[Transition Loss BuCtrl]]+Table25[[#This Row],[RDS(on) Loss BuCtrl]]*(1+RdsonTopTc*Ta-RdsonTopTc*25))/(1-Table25[[#This Row],[RDS(on) Loss BuCtrl]]*RdsonTopTc*ThetaJA_Q1)</f>
        <v>0.3109292210285734</v>
      </c>
      <c r="AL89" s="345">
        <f>Table25[[#This Row],[Irms Lf]]</f>
        <v>9.066000149773112</v>
      </c>
      <c r="AM89" s="345">
        <f>Rdson2*Table25[[#This Row],[Irms BuSync]]^2</f>
        <v>0.2876732555049013</v>
      </c>
      <c r="AN89"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89" s="345">
        <f>(Table25[[#This Row],[Deadtime Loss BuSync]]+Table25[[#This Row],[RDS(on) Loss BuSync]]*(1+RdsonBotTc*Ta-RdsonBotTc*25))/(1-Table25[[#This Row],[RDS(on) Loss BuSync]]*RdsonBotTc*ThetaJA_Q2)</f>
        <v>0.3109292210285734</v>
      </c>
      <c r="AP89" s="345">
        <f>Table25[[#This Row],[Irms Lf]]</f>
        <v>9.066000149773112</v>
      </c>
      <c r="AQ89" s="345">
        <f>Rdson4*Table25[[#This Row],[Irms BoCtlr]]^2</f>
        <v>0.2876732555049013</v>
      </c>
      <c r="AR89" s="345">
        <f>CHOOSE(Table25[[#This Row],[Mode Digit]], 0, (Vout*Table25[[#This Row],[Iin]]/2)*(Fsw)*(Tr_boost+Tf_boost), (Vout*Iout/2)*(Fsw/1)*(Tr_boost+Tf_boost))</f>
        <v>0.53405553276252404</v>
      </c>
      <c r="AS89" s="345">
        <f>IF(Table25[[#This Row],[Vin]]&gt;Vout, 0, IF(Table25[[#This Row],[Iin]]&gt;Table25[[#This Row],[Ripple Current pk-pk]]/2,0,ABS(Table25[[#This Row],[Iin]]-Table25[[#This Row],[Ripple Current pk-pk]]/2)*Vsd_Q4*Deadtime*Fsw))</f>
        <v>0</v>
      </c>
      <c r="AT89" s="345">
        <f>(Table25[[#This Row],[Dead Time Loss BoCtlr]]+Table25[[#This Row],[Transition Loss BoCtlr]]+Table25[[#This Row],[RDS(on) Loss BoCtlr]]*(1+RdsonTopTc*Ta-RdsonTopTc*25))/(1-Table25[[#This Row],[RDS(on) Loss BoCtlr]]*RdsonTopTc*ThetaJA_Q4)</f>
        <v>0.88815865619593881</v>
      </c>
      <c r="AU89" s="345">
        <f>Table25[[#This Row],[Irms Lf]]</f>
        <v>9.066000149773112</v>
      </c>
      <c r="AV89" s="345">
        <f>Rdson3*Table25[[#This Row],[Irms BoSync]]^2</f>
        <v>0.2876732555049013</v>
      </c>
      <c r="AW89"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0.26812631578947366</v>
      </c>
      <c r="AX89" s="345">
        <f>(Table25[[#This Row],[Deadtime Loss BoSync]]+Table25[[#This Row],[RDS(on) Loss BoSync]]*(1+RdsonBotTc*Ta-RdsonBotTc*25))/(1-Table25[[#This Row],[RDS(on) Loss BoSync]]*RdsonBotTc*ThetaJA_Q3)</f>
        <v>0.6007312965095245</v>
      </c>
      <c r="AY89" s="345">
        <f>CHOOSE(Table25[[#This Row],[Mode Digit]], Rdson3*Table25[[#This Row],[Irms Lf]]^2, Rdson1*Table25[[#This Row],[Irms Lf]]^2, 0)</f>
        <v>0.2876732555049013</v>
      </c>
      <c r="AZ89" s="345">
        <f>CHOOSE(Table25[[#This Row],[Mode Digit]], 2*Deadtime*Fsw*IF(VfdSky_Q2&gt;0,VfdSky_Q2,0)*Table25[[#This Row],[Iout]], 2*Deadtime*Fsw*IF(VfdSky_Q3&gt;0,VfdSky_Q3,0)*Table25[[#This Row],[Iin]], 2*Deadtime*Fsw*IF(VfdSky_Q2&gt;0,VfdSky_Q2,0)*Table25[[#This Row],[Iout]]+2*Deadtime*Fsw*IF(VfdSky_Q3&gt;0,VfdSky_Q3,0)*Table25[[#This Row],[Iin]])</f>
        <v>0</v>
      </c>
      <c r="BA89"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89"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89" s="345">
        <f>CHOOSE(Table25[[#This Row],[Mode Digit]], Rs*Table25[[#This Row],[Irms BuSync]]^2, Rs*Table25[[#This Row],[Irms BoCtlr]]^2, Rs*(Table25[[#This Row],[Irms BuSync]]^2+Table25[[#This Row],[Irms BoCtlr]]^2))</f>
        <v>0.1068500663303919</v>
      </c>
      <c r="BD89" s="345">
        <f t="shared" si="9"/>
        <v>0.64</v>
      </c>
      <c r="BE89" s="345">
        <f>IF(Vout&gt;8, Iq*Vout, Iq*Table25[[#This Row],[Vin]])</f>
        <v>4.8000000000000001E-2</v>
      </c>
      <c r="BF89" s="345">
        <f>CHOOSE(Table25[[#This Row],[Mode Digit]], (Qg_Q1+Qg_Q2)*Fsw, (Qg_Q3+Qg_Q4)*Fsw, (Qg_Q1+Qg_Q2+Qg_Q3+Qg_Q4)*Fsw)*IF(Vout&gt;8,  MIN( Table25[[#This Row],[Vin]], Vout), Table25[[#This Row],[Vin]])</f>
        <v>0.63998400000000011</v>
      </c>
      <c r="BG89" s="345">
        <f t="shared" si="10"/>
        <v>0.50594479787234037</v>
      </c>
      <c r="BH89" s="345">
        <f>Table25[[#This Row],[IQ Loss]]+Table25[[#This Row],[Switching Current Loss]]</f>
        <v>0.68798400000000015</v>
      </c>
      <c r="BI89"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5.1720024662334474</v>
      </c>
      <c r="BJ89" s="253">
        <f>Vout*Table25[[#This Row],[Iout]]</f>
        <v>102.4</v>
      </c>
      <c r="BK89" s="684">
        <f>Table25[[#This Row],[Pout]]/(Table25[[#This Row],[Pout]]+Table25[[#This Row],[Total Loss]])</f>
        <v>0.95192055230303141</v>
      </c>
      <c r="BL89" s="685">
        <f>IF(Table25[[#This Row],[Vin]]&gt;Vout,ThetaJA_Q1*(Table25[[#This Row],[Total Control Bu MOSFET Loss]]+Table25[[#This Row],[Reverse Recovery Loss MOSFET D BUCK]]),ThetaJA_Q4*(Table25[[#This Row],[Total Control Bo MOSFET Loss]]+Table25[[#This Row],[Reverse Recovery Loss MOSFET D BOOST]]))</f>
        <v>80.909832652736014</v>
      </c>
      <c r="BM89" s="685">
        <f>IF(Table25[[#This Row],[Vin]]&gt;Vout, Table25[[#This Row],[Total Sync Bu MOSFET Loss]]*ThetaJA_Q2, ThetaJA_Q3*Table25[[#This Row],[Total Sync Bo MOSFET Loss]])</f>
        <v>39.047534273119091</v>
      </c>
      <c r="BN89" s="640"/>
      <c r="BO89" s="292">
        <f>Table25[[#This Row],[EFF, h]]*100</f>
        <v>95.19205523030314</v>
      </c>
      <c r="BP89" s="345">
        <f>Table25[[#This Row],[Total Inductor Loss]]</f>
        <v>0.88127733310327705</v>
      </c>
      <c r="BQ89" s="345">
        <f>Table25[[#This Row],[Total Control Bu MOSFET Loss]]+Table25[[#This Row],[Total Sync Bu MOSFET Loss]]+Table25[[#This Row],[Total Control Bo MOSFET Loss]]+Table25[[#This Row],[Total Sync Bo MOSFET Loss]]+Table25[[#This Row],[Reverse Recovery Loss MOSFET D BUCK]]+Table25[[#This Row],[Reverse Recovery Loss MOSFET D BOOST]]</f>
        <v>2.8239643947626103</v>
      </c>
      <c r="BR89" s="345">
        <f xml:space="preserve"> Table25[[#This Row],[Total Control Bu MOSFET Loss]]+Table25[[#This Row],[Reverse Recovery Loss MOSFET D BUCK]]*0.66</f>
        <v>0.54629050102857346</v>
      </c>
      <c r="BS89" s="345">
        <f>Table25[[#This Row],[Total Sync Bu MOSFET Loss]]+Table25[[#This Row],[Reverse Recovery Loss MOSFET D BUCK]]*0.33</f>
        <v>0.4286098610285734</v>
      </c>
      <c r="BT89" s="345">
        <f xml:space="preserve"> Table25[[#This Row],[Total Control Bo MOSFET Loss]]+Table25[[#This Row],[Reverse Recovery Loss MOSFET D BOOST]]*0.66</f>
        <v>1.1235199361959389</v>
      </c>
      <c r="BU89" s="345">
        <f xml:space="preserve"> Table25[[#This Row],[Total Sync Bo MOSFET Loss]]+Table25[[#This Row],[Reverse Recovery Loss MOSFET D BOOST]]*0.33</f>
        <v>0.71841193650952451</v>
      </c>
      <c r="BV89" s="345">
        <f>Table25[[#This Row],[Isense Shunt Loss]]</f>
        <v>0.1068500663303919</v>
      </c>
      <c r="CB89" s="686"/>
      <c r="CC89" s="686"/>
    </row>
    <row r="90" spans="1:81" x14ac:dyDescent="0.2">
      <c r="G90" s="253">
        <v>81</v>
      </c>
      <c r="H90" s="286">
        <f t="shared" si="8"/>
        <v>12</v>
      </c>
      <c r="I90" s="292" t="str">
        <f>IF(Mode = 2,IF(Table25[[#This Row],[Vin]]&gt;Vout, "BUCK","BOOST"),IF(Table25[[#This Row],[Vin]]&gt;VIN_BB_to_buck, "BUCK", IF(Table25[[#This Row],[Vin]]&lt;=VIN_boost_to_BB,"BOOST","BUCK-BST")))</f>
        <v>BOOST</v>
      </c>
      <c r="J90" s="253">
        <f>IF(Table25[[#This Row],[Mode]]="BOOST",2, IF(Table25[[#This Row],[Mode]]="BUCK", 1,3))</f>
        <v>2</v>
      </c>
      <c r="K90" s="345">
        <f t="shared" si="11"/>
        <v>6.48</v>
      </c>
      <c r="L90" s="292">
        <f>Vout*Table25[[#This Row],[Iout]]/(Table25[[#This Row],[Vin]]*Efficiency)</f>
        <v>9.0947368421052648</v>
      </c>
      <c r="M90" s="682">
        <f>CHOOSE(Table25[[#This Row],[Mode Digit]],(Vout+(Rdson2+Rs+Rdcr)*Table25[[#This Row],[Iout]])/(Table25[[#This Row],[Vin]]+(Rs+Rdson2-Rdson1)*Table25[[#This Row],[Iout]])/Fsw,(Vout+(Rdson3+Rdcr)*Table25[[#This Row],[Iin]]-Table25[[#This Row],[Vin]])/(Vout+(Rdson3-Rdson4-Rs)*Table25[[#This Row],[Iin]])/Fsw,t1_Ph_II)</f>
        <v>6.3818118294046271E-7</v>
      </c>
      <c r="N90" s="518">
        <f>CHOOSE(Table25[[#This Row],[Mode Digit]],1/Fsw-Table25[[#This Row],[t1_Ph_II]],1/Fsw-Table25[[#This Row],[t1_Ph_II]],(Vout/Fsw-Table25[[#This Row],[Vin]]*t1_Ph_II)/(Table25[[#This Row],[Vin]]+Vout))</f>
        <v>1.8743816311298893E-6</v>
      </c>
      <c r="O90" s="518">
        <f>1/Fsw-(Table25[[#This Row],[t1_Ph_II]]+Table25[[#This Row],[t2_Ph_I]])</f>
        <v>0</v>
      </c>
      <c r="P90"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6.9674662323037229</v>
      </c>
      <c r="Q90" s="292">
        <f>CHOOSE(Table25[[#This Row],[Mode Digit]],Table25[[#This Row],[I_0]]+1/Lf*(Table25[[#This Row],[Vin]]-Vout)*Table25[[#This Row],[t1_Ph_II]],Table25[[#This Row],[I_0]]+1/Lf*Table25[[#This Row],[Vin]]*Table25[[#This Row],[t1_Ph_II]],Table25[[#This Row],[I_0]]+(Table25[[#This Row],[Vin]]-Vout)/L*Table25[[#This Row],[t1_Ph_II]])</f>
        <v>11.222007451906808</v>
      </c>
      <c r="R90" s="292">
        <f>CHOOSE(Table25[[#This Row],[Mode Digit]],0,0,Table25[[#This Row],[I_1]]+Table25[[#This Row],[Vin]]/L*Table25[[#This Row],[t2_Ph_I]])</f>
        <v>0</v>
      </c>
      <c r="S90" s="292">
        <f>Fsw*(Table25[[#This Row],[I_0]]*Table25[[#This Row],[t1_Ph_II]]+Table25[[#This Row],[I_1]]*Table25[[#This Row],[t2_Ph_I]]+Table25[[#This Row],[I_2]]*Table25[[#This Row],[t3_Ph_III]])</f>
        <v>10.141370528845497</v>
      </c>
      <c r="T90" s="345">
        <f>CHOOSE(Table25[[#This Row],[Mode Digit]],(Vout+(Rdson2+Rs+Rdcr)*Table25[[#This Row],[Iout]])/(Table25[[#This Row],[Vin]]+(Rs+Rdson2-Rdson1)*Table25[[#This Row],[Iout]]),1,Fsw*Table25[[#This Row],[t2_Ph_I]]+Table25[[#This Row],[t1_Ph_II]])</f>
        <v>1</v>
      </c>
      <c r="U90" s="345">
        <f>CHOOSE(Table25[[#This Row],[Mode Digit]],0,(Vout+(Rdson3+Rdcr)*Table25[[#This Row],[Iin]]-Table25[[#This Row],[Vin]])/(Vout+(Rdson3-Rdson4-Rs)*Table25[[#This Row],[Iin]]),Fsw*Table25[[#This Row],[t1_Ph_II]]+Table25[[#This Row],[t3_Ph_III]])</f>
        <v>0.25399611081030415</v>
      </c>
      <c r="V90" s="292">
        <f>MAX(Table25[[#This Row],[I_0]:[I_2]])-MIN(Table25[[#This Row],[I_0]:[I_1]])</f>
        <v>4.2545412196030856</v>
      </c>
      <c r="W90"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9.1772907209184211</v>
      </c>
      <c r="X90" s="345">
        <f>(Table25[[#This Row],[Irms Lf]]^2*Rdcr*(1+Ltc*Ta-Ltc*25))/(1-Table25[[#This Row],[Irms Lf]]^2*Rdcr*Ltc*ThetaCa)</f>
        <v>0.27545153917551757</v>
      </c>
      <c r="Y90" s="345">
        <f>ABS(7.759*10^-3*Fsw^0.9458*(0.00787*Table25[[#This Row],[Ripple Current pk-pk]])^2.304)</f>
        <v>0.61288310231330201</v>
      </c>
      <c r="Z90" s="345">
        <f>Table25[[#This Row],[DCR    Loss]]+Table25[[#This Row],[Core Loss]]</f>
        <v>0.88833464148881958</v>
      </c>
      <c r="AA90" s="292">
        <f>IF(Table25[[#This Row],[Vin]]&gt;Vout, Table25[[#This Row],[Ripple Current pk-pk]]/SQRT(12), SQRT(Table25[[#This Row],[Duty Cycle BOOST Leg]]/(1-Table25[[#This Row],[Duty Cycle BOOST Leg]]))*SQRT(Table25[[#This Row],[Iout]]^2+(Table25[[#This Row],[Ripple Current pk-pk]]^2)/12))</f>
        <v>3.8484137637998295</v>
      </c>
      <c r="AB90" s="345">
        <f>RCoutEsr*Table25[[#This Row],[Irms Cout]]^2</f>
        <v>2.962057699480794E-2</v>
      </c>
      <c r="AC90" s="345">
        <f>Table25[[#This Row],[Cout ESR Loss]]</f>
        <v>2.962057699480794E-2</v>
      </c>
      <c r="AD90" s="292">
        <f>IF(Table25[[#This Row],[Vin]]&gt;Vout, SQRT(Table25[[#This Row],[Duty Cycle BUCK Leg]]*(1-Table25[[#This Row],[Duty Cycle BUCK Leg]]))*SQRT(Table25[[#This Row],[Iout]]^2+(Table25[[#This Row],[Ripple Current pk-pk]]^2)/12), Table25[[#This Row],[Ripple Current pk-pk]]/SQRT(12))</f>
        <v>1.2281802592081001</v>
      </c>
      <c r="AE90" s="345">
        <f>RCinEsr*Table25[[#This Row],[Irms Cin]]^2</f>
        <v>3.016853498216952E-3</v>
      </c>
      <c r="AF90" s="683">
        <f>Table25[[#This Row],[Cin ESR Loss]]</f>
        <v>3.016853498216952E-3</v>
      </c>
      <c r="AG90" s="345">
        <f>Table25[[#This Row],[Irms Lf]]</f>
        <v>9.1772907209184211</v>
      </c>
      <c r="AH90" s="345">
        <f>Rdson1*Table25[[#This Row],[Irms BuCtrl]]^2</f>
        <v>0.29477932741689378</v>
      </c>
      <c r="AI90" s="345">
        <f>CHOOSE(Table25[[#This Row],[Mode Digit]], (Table25[[#This Row],[Vin]]*Table25[[#This Row],[Iout]]/2)*(Fsw)*(Tr_buck+Tf_buck), 0, (Table25[[#This Row],[Vin]]*Table25[[#This Row],[Avg IL]]/2)*(Fsw/1)*(Tr_buck+Tf_buck))</f>
        <v>0</v>
      </c>
      <c r="AJ90" s="253">
        <f>IF(Table25[[#This Row],[Vin]]&gt;Vout, IF(Table25[[#This Row],[Iout]]&gt;Table25[[#This Row],[Ripple Current pk-pk]]/2,0,ABS(Table25[[#This Row],[Iout]]-Table25[[#This Row],[Ripple Current pk-pk]]/2)*Vsd_Q1*Deadtime*Fsw),0)</f>
        <v>0</v>
      </c>
      <c r="AK90" s="345">
        <f>(Table25[[#This Row],[Dead Time Loss BuCtrl]]+Table25[[#This Row],[Transition Loss BuCtrl]]+Table25[[#This Row],[RDS(on) Loss BuCtrl]]*(1+RdsonTopTc*Ta-RdsonTopTc*25))/(1-Table25[[#This Row],[RDS(on) Loss BuCtrl]]*RdsonTopTc*ThetaJA_Q1)</f>
        <v>0.31924727677393888</v>
      </c>
      <c r="AL90" s="345">
        <f>Table25[[#This Row],[Irms Lf]]</f>
        <v>9.1772907209184211</v>
      </c>
      <c r="AM90" s="345">
        <f>Rdson2*Table25[[#This Row],[Irms BuSync]]^2</f>
        <v>0.29477932741689378</v>
      </c>
      <c r="AN90"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90" s="345">
        <f>(Table25[[#This Row],[Deadtime Loss BuSync]]+Table25[[#This Row],[RDS(on) Loss BuSync]]*(1+RdsonBotTc*Ta-RdsonBotTc*25))/(1-Table25[[#This Row],[RDS(on) Loss BuSync]]*RdsonBotTc*ThetaJA_Q2)</f>
        <v>0.31924727677393888</v>
      </c>
      <c r="AP90" s="345">
        <f>Table25[[#This Row],[Irms Lf]]</f>
        <v>9.1772907209184211</v>
      </c>
      <c r="AQ90" s="345">
        <f>Rdson4*Table25[[#This Row],[Irms BoCtlr]]^2</f>
        <v>0.29477932741689378</v>
      </c>
      <c r="AR90" s="345">
        <f>CHOOSE(Table25[[#This Row],[Mode Digit]], 0, (Vout*Table25[[#This Row],[Iin]]/2)*(Fsw)*(Tr_boost+Tf_boost), (Vout*Iout/2)*(Fsw/1)*(Tr_boost+Tf_boost))</f>
        <v>0.54073122692205555</v>
      </c>
      <c r="AS90" s="345">
        <f>IF(Table25[[#This Row],[Vin]]&gt;Vout, 0, IF(Table25[[#This Row],[Iin]]&gt;Table25[[#This Row],[Ripple Current pk-pk]]/2,0,ABS(Table25[[#This Row],[Iin]]-Table25[[#This Row],[Ripple Current pk-pk]]/2)*Vsd_Q4*Deadtime*Fsw))</f>
        <v>0</v>
      </c>
      <c r="AT90" s="345">
        <f>(Table25[[#This Row],[Dead Time Loss BoCtlr]]+Table25[[#This Row],[Transition Loss BoCtlr]]+Table25[[#This Row],[RDS(on) Loss BoCtlr]]*(1+RdsonTopTc*Ta-RdsonTopTc*25))/(1-Table25[[#This Row],[RDS(on) Loss BoCtlr]]*RdsonTopTc*ThetaJA_Q4)</f>
        <v>0.90486151632798373</v>
      </c>
      <c r="AU90" s="345">
        <f>Table25[[#This Row],[Irms Lf]]</f>
        <v>9.1772907209184211</v>
      </c>
      <c r="AV90" s="345">
        <f>Rdson3*Table25[[#This Row],[Irms BoSync]]^2</f>
        <v>0.29477932741689378</v>
      </c>
      <c r="AW90"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0.27147789473684208</v>
      </c>
      <c r="AX90" s="345">
        <f>(Table25[[#This Row],[Deadtime Loss BoSync]]+Table25[[#This Row],[RDS(on) Loss BoSync]]*(1+RdsonBotTc*Ta-RdsonBotTc*25))/(1-Table25[[#This Row],[RDS(on) Loss BoSync]]*RdsonBotTc*ThetaJA_Q3)</f>
        <v>0.61325900194653626</v>
      </c>
      <c r="AY90" s="345">
        <f>CHOOSE(Table25[[#This Row],[Mode Digit]], Rdson3*Table25[[#This Row],[Irms Lf]]^2, Rdson1*Table25[[#This Row],[Irms Lf]]^2, 0)</f>
        <v>0.29477932741689378</v>
      </c>
      <c r="AZ90" s="345">
        <f>CHOOSE(Table25[[#This Row],[Mode Digit]], 2*Deadtime*Fsw*IF(VfdSky_Q2&gt;0,VfdSky_Q2,0)*Table25[[#This Row],[Iout]], 2*Deadtime*Fsw*IF(VfdSky_Q3&gt;0,VfdSky_Q3,0)*Table25[[#This Row],[Iin]], 2*Deadtime*Fsw*IF(VfdSky_Q2&gt;0,VfdSky_Q2,0)*Table25[[#This Row],[Iout]]+2*Deadtime*Fsw*IF(VfdSky_Q3&gt;0,VfdSky_Q3,0)*Table25[[#This Row],[Iin]])</f>
        <v>0</v>
      </c>
      <c r="BA90"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90"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90" s="345">
        <f>CHOOSE(Table25[[#This Row],[Mode Digit]], Rs*Table25[[#This Row],[Irms BuSync]]^2, Rs*Table25[[#This Row],[Irms BoCtlr]]^2, Rs*(Table25[[#This Row],[Irms BuSync]]^2+Table25[[#This Row],[Irms BoCtlr]]^2))</f>
        <v>0.10948946446913196</v>
      </c>
      <c r="BD90" s="345">
        <f t="shared" si="9"/>
        <v>0.64</v>
      </c>
      <c r="BE90" s="345">
        <f>IF(Vout&gt;8, Iq*Vout, Iq*Table25[[#This Row],[Vin]])</f>
        <v>4.8000000000000001E-2</v>
      </c>
      <c r="BF90" s="345">
        <f>CHOOSE(Table25[[#This Row],[Mode Digit]], (Qg_Q1+Qg_Q2)*Fsw, (Qg_Q3+Qg_Q4)*Fsw, (Qg_Q1+Qg_Q2+Qg_Q3+Qg_Q4)*Fsw)*IF(Vout&gt;8,  MIN( Table25[[#This Row],[Vin]], Vout), Table25[[#This Row],[Vin]])</f>
        <v>0.63998400000000011</v>
      </c>
      <c r="BG90" s="345">
        <f t="shared" si="10"/>
        <v>0.50594479787234037</v>
      </c>
      <c r="BH90" s="345">
        <f>Table25[[#This Row],[IQ Loss]]+Table25[[#This Row],[Switching Current Loss]]</f>
        <v>0.68798400000000015</v>
      </c>
      <c r="BI90"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5.228276608273374</v>
      </c>
      <c r="BJ90" s="253">
        <f>Vout*Table25[[#This Row],[Iout]]</f>
        <v>103.68</v>
      </c>
      <c r="BK90" s="684">
        <f>Table25[[#This Row],[Pout]]/(Table25[[#This Row],[Pout]]+Table25[[#This Row],[Total Loss]])</f>
        <v>0.95199376235583366</v>
      </c>
      <c r="BL90" s="685">
        <f>IF(Table25[[#This Row],[Vin]]&gt;Vout,ThetaJA_Q1*(Table25[[#This Row],[Total Control Bu MOSFET Loss]]+Table25[[#This Row],[Reverse Recovery Loss MOSFET D BUCK]]),ThetaJA_Q4*(Table25[[#This Row],[Total Control Bo MOSFET Loss]]+Table25[[#This Row],[Reverse Recovery Loss MOSFET D BOOST]]))</f>
        <v>81.995518561318931</v>
      </c>
      <c r="BM90" s="685">
        <f>IF(Table25[[#This Row],[Vin]]&gt;Vout, Table25[[#This Row],[Total Sync Bu MOSFET Loss]]*ThetaJA_Q2, ThetaJA_Q3*Table25[[#This Row],[Total Sync Bo MOSFET Loss]])</f>
        <v>39.861835126524859</v>
      </c>
      <c r="BN90" s="640"/>
      <c r="BO90" s="292">
        <f>Table25[[#This Row],[EFF, h]]*100</f>
        <v>95.199376235583372</v>
      </c>
      <c r="BP90" s="345">
        <f>Table25[[#This Row],[Total Inductor Loss]]</f>
        <v>0.88833464148881958</v>
      </c>
      <c r="BQ90" s="345">
        <f>Table25[[#This Row],[Total Control Bu MOSFET Loss]]+Table25[[#This Row],[Total Sync Bu MOSFET Loss]]+Table25[[#This Row],[Total Control Bo MOSFET Loss]]+Table25[[#This Row],[Total Sync Bo MOSFET Loss]]+Table25[[#This Row],[Reverse Recovery Loss MOSFET D BUCK]]+Table25[[#This Row],[Reverse Recovery Loss MOSFET D BOOST]]</f>
        <v>2.8698310718223978</v>
      </c>
      <c r="BR90" s="345">
        <f xml:space="preserve"> Table25[[#This Row],[Total Control Bu MOSFET Loss]]+Table25[[#This Row],[Reverse Recovery Loss MOSFET D BUCK]]*0.66</f>
        <v>0.55460855677393894</v>
      </c>
      <c r="BS90" s="345">
        <f>Table25[[#This Row],[Total Sync Bu MOSFET Loss]]+Table25[[#This Row],[Reverse Recovery Loss MOSFET D BUCK]]*0.33</f>
        <v>0.43692791677393888</v>
      </c>
      <c r="BT90" s="345">
        <f xml:space="preserve"> Table25[[#This Row],[Total Control Bo MOSFET Loss]]+Table25[[#This Row],[Reverse Recovery Loss MOSFET D BOOST]]*0.66</f>
        <v>1.1402227963279836</v>
      </c>
      <c r="BU90" s="345">
        <f xml:space="preserve"> Table25[[#This Row],[Total Sync Bo MOSFET Loss]]+Table25[[#This Row],[Reverse Recovery Loss MOSFET D BOOST]]*0.33</f>
        <v>0.73093964194653627</v>
      </c>
      <c r="BV90" s="345">
        <f>Table25[[#This Row],[Isense Shunt Loss]]</f>
        <v>0.10948946446913196</v>
      </c>
      <c r="CB90" s="686"/>
      <c r="CC90" s="686"/>
    </row>
    <row r="91" spans="1:81" x14ac:dyDescent="0.2">
      <c r="G91" s="253">
        <v>82</v>
      </c>
      <c r="H91" s="286">
        <f t="shared" si="8"/>
        <v>12</v>
      </c>
      <c r="I91" s="292" t="str">
        <f>IF(Mode = 2,IF(Table25[[#This Row],[Vin]]&gt;Vout, "BUCK","BOOST"),IF(Table25[[#This Row],[Vin]]&gt;VIN_BB_to_buck, "BUCK", IF(Table25[[#This Row],[Vin]]&lt;=VIN_boost_to_BB,"BOOST","BUCK-BST")))</f>
        <v>BOOST</v>
      </c>
      <c r="J91" s="253">
        <f>IF(Table25[[#This Row],[Mode]]="BOOST",2, IF(Table25[[#This Row],[Mode]]="BUCK", 1,3))</f>
        <v>2</v>
      </c>
      <c r="K91" s="345">
        <f t="shared" si="11"/>
        <v>6.56</v>
      </c>
      <c r="L91" s="292">
        <f>Vout*Table25[[#This Row],[Iout]]/(Table25[[#This Row],[Vin]]*Efficiency)</f>
        <v>9.2070175438596493</v>
      </c>
      <c r="M91" s="682">
        <f>CHOOSE(Table25[[#This Row],[Mode Digit]],(Vout+(Rdson2+Rs+Rdcr)*Table25[[#This Row],[Iout]])/(Table25[[#This Row],[Vin]]+(Rs+Rdson2-Rdson1)*Table25[[#This Row],[Iout]])/Fsw,(Vout+(Rdson3+Rdcr)*Table25[[#This Row],[Iin]]-Table25[[#This Row],[Vin]])/(Vout+(Rdson3-Rdson4-Rs)*Table25[[#This Row],[Iin]])/Fsw,t1_Ph_II)</f>
        <v>6.383052322741542E-7</v>
      </c>
      <c r="N91" s="518">
        <f>CHOOSE(Table25[[#This Row],[Mode Digit]],1/Fsw-Table25[[#This Row],[t1_Ph_II]],1/Fsw-Table25[[#This Row],[t1_Ph_II]],(Vout/Fsw-Table25[[#This Row],[Vin]]*t1_Ph_II)/(Table25[[#This Row],[Vin]]+Vout))</f>
        <v>1.8742575817961976E-6</v>
      </c>
      <c r="O91" s="518">
        <f>1/Fsw-(Table25[[#This Row],[t1_Ph_II]]+Table25[[#This Row],[t2_Ph_I]])</f>
        <v>0</v>
      </c>
      <c r="P91"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7.0793334362791356</v>
      </c>
      <c r="Q91" s="292">
        <f>CHOOSE(Table25[[#This Row],[Mode Digit]],Table25[[#This Row],[I_0]]+1/Lf*(Table25[[#This Row],[Vin]]-Vout)*Table25[[#This Row],[t1_Ph_II]],Table25[[#This Row],[I_0]]+1/Lf*Table25[[#This Row],[Vin]]*Table25[[#This Row],[t1_Ph_II]],Table25[[#This Row],[I_0]]+(Table25[[#This Row],[Vin]]-Vout)/L*Table25[[#This Row],[t1_Ph_II]])</f>
        <v>11.334701651440163</v>
      </c>
      <c r="R91" s="292">
        <f>CHOOSE(Table25[[#This Row],[Mode Digit]],0,0,Table25[[#This Row],[I_1]]+Table25[[#This Row],[Vin]]/L*Table25[[#This Row],[t2_Ph_I]])</f>
        <v>0</v>
      </c>
      <c r="S91" s="292">
        <f>Fsw*(Table25[[#This Row],[I_0]]*Table25[[#This Row],[t1_Ph_II]]+Table25[[#This Row],[I_1]]*Table25[[#This Row],[t2_Ph_I]]+Table25[[#This Row],[I_2]]*Table25[[#This Row],[t3_Ph_III]])</f>
        <v>10.25364458023798</v>
      </c>
      <c r="T91" s="345">
        <f>CHOOSE(Table25[[#This Row],[Mode Digit]],(Vout+(Rdson2+Rs+Rdcr)*Table25[[#This Row],[Iout]])/(Table25[[#This Row],[Vin]]+(Rs+Rdson2-Rdson1)*Table25[[#This Row],[Iout]]),1,Fsw*Table25[[#This Row],[t2_Ph_I]]+Table25[[#This Row],[t1_Ph_II]])</f>
        <v>1</v>
      </c>
      <c r="U91" s="345">
        <f>CHOOSE(Table25[[#This Row],[Mode Digit]],0,(Vout+(Rdson3+Rdcr)*Table25[[#This Row],[Iin]]-Table25[[#This Row],[Vin]])/(Vout+(Rdson3-Rdson4-Rs)*Table25[[#This Row],[Iin]]),Fsw*Table25[[#This Row],[t1_Ph_II]]+Table25[[#This Row],[t3_Ph_III]])</f>
        <v>0.25404548244511338</v>
      </c>
      <c r="V91" s="292">
        <f>MAX(Table25[[#This Row],[I_0]:[I_2]])-MIN(Table25[[#This Row],[I_0]:[I_1]])</f>
        <v>4.2553682151610275</v>
      </c>
      <c r="W91"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9.2886051306689534</v>
      </c>
      <c r="X91" s="345">
        <f>(Table25[[#This Row],[Irms Lf]]^2*Rdcr*(1+Ltc*Ta-Ltc*25))/(1-Table25[[#This Row],[Irms Lf]]^2*Rdcr*Ltc*ThetaCa)</f>
        <v>0.28232598778895268</v>
      </c>
      <c r="Y91" s="345">
        <f>ABS(7.759*10^-3*Fsw^0.9458*(0.00787*Table25[[#This Row],[Ripple Current pk-pk]])^2.304)</f>
        <v>0.61315761701092997</v>
      </c>
      <c r="Z91" s="345">
        <f>Table25[[#This Row],[DCR    Loss]]+Table25[[#This Row],[Core Loss]]</f>
        <v>0.89548360479988265</v>
      </c>
      <c r="AA91" s="292">
        <f>IF(Table25[[#This Row],[Vin]]&gt;Vout, Table25[[#This Row],[Ripple Current pk-pk]]/SQRT(12), SQRT(Table25[[#This Row],[Duty Cycle BOOST Leg]]/(1-Table25[[#This Row],[Duty Cycle BOOST Leg]]))*SQRT(Table25[[#This Row],[Iout]]^2+(Table25[[#This Row],[Ripple Current pk-pk]]^2)/12))</f>
        <v>3.8948201692645132</v>
      </c>
      <c r="AB91" s="345">
        <f>RCoutEsr*Table25[[#This Row],[Irms Cout]]^2</f>
        <v>3.0339248301819305E-2</v>
      </c>
      <c r="AC91" s="345">
        <f>Table25[[#This Row],[Cout ESR Loss]]</f>
        <v>3.0339248301819305E-2</v>
      </c>
      <c r="AD91" s="292">
        <f>IF(Table25[[#This Row],[Vin]]&gt;Vout, SQRT(Table25[[#This Row],[Duty Cycle BUCK Leg]]*(1-Table25[[#This Row],[Duty Cycle BUCK Leg]]))*SQRT(Table25[[#This Row],[Iout]]^2+(Table25[[#This Row],[Ripple Current pk-pk]]^2)/12), Table25[[#This Row],[Ripple Current pk-pk]]/SQRT(12))</f>
        <v>1.2284189922620983</v>
      </c>
      <c r="AE91" s="345">
        <f>RCinEsr*Table25[[#This Row],[Irms Cin]]^2</f>
        <v>3.0180264411004583E-3</v>
      </c>
      <c r="AF91" s="683">
        <f>Table25[[#This Row],[Cin ESR Loss]]</f>
        <v>3.0180264411004583E-3</v>
      </c>
      <c r="AG91" s="345">
        <f>Table25[[#This Row],[Irms Lf]]</f>
        <v>9.2886051306689534</v>
      </c>
      <c r="AH91" s="345">
        <f>Rdson1*Table25[[#This Row],[Irms BuCtrl]]^2</f>
        <v>0.30197364845721364</v>
      </c>
      <c r="AI91" s="345">
        <f>CHOOSE(Table25[[#This Row],[Mode Digit]], (Table25[[#This Row],[Vin]]*Table25[[#This Row],[Iout]]/2)*(Fsw)*(Tr_buck+Tf_buck), 0, (Table25[[#This Row],[Vin]]*Table25[[#This Row],[Avg IL]]/2)*(Fsw/1)*(Tr_buck+Tf_buck))</f>
        <v>0</v>
      </c>
      <c r="AJ91" s="253">
        <f>IF(Table25[[#This Row],[Vin]]&gt;Vout, IF(Table25[[#This Row],[Iout]]&gt;Table25[[#This Row],[Ripple Current pk-pk]]/2,0,ABS(Table25[[#This Row],[Iout]]-Table25[[#This Row],[Ripple Current pk-pk]]/2)*Vsd_Q1*Deadtime*Fsw),0)</f>
        <v>0</v>
      </c>
      <c r="AK91" s="345">
        <f>(Table25[[#This Row],[Dead Time Loss BuCtrl]]+Table25[[#This Row],[Transition Loss BuCtrl]]+Table25[[#This Row],[RDS(on) Loss BuCtrl]]*(1+RdsonTopTc*Ta-RdsonTopTc*25))/(1-Table25[[#This Row],[RDS(on) Loss BuCtrl]]*RdsonTopTc*ThetaJA_Q1)</f>
        <v>0.32770261235747583</v>
      </c>
      <c r="AL91" s="345">
        <f>Table25[[#This Row],[Irms Lf]]</f>
        <v>9.2886051306689534</v>
      </c>
      <c r="AM91" s="345">
        <f>Rdson2*Table25[[#This Row],[Irms BuSync]]^2</f>
        <v>0.30197364845721364</v>
      </c>
      <c r="AN91"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91" s="345">
        <f>(Table25[[#This Row],[Deadtime Loss BuSync]]+Table25[[#This Row],[RDS(on) Loss BuSync]]*(1+RdsonBotTc*Ta-RdsonBotTc*25))/(1-Table25[[#This Row],[RDS(on) Loss BuSync]]*RdsonBotTc*ThetaJA_Q2)</f>
        <v>0.32770261235747583</v>
      </c>
      <c r="AP91" s="345">
        <f>Table25[[#This Row],[Irms Lf]]</f>
        <v>9.2886051306689534</v>
      </c>
      <c r="AQ91" s="345">
        <f>Rdson4*Table25[[#This Row],[Irms BoCtlr]]^2</f>
        <v>0.30197364845721364</v>
      </c>
      <c r="AR91" s="345">
        <f>CHOOSE(Table25[[#This Row],[Mode Digit]], 0, (Vout*Table25[[#This Row],[Iin]]/2)*(Fsw)*(Tr_boost+Tf_boost), (Vout*Iout/2)*(Fsw/1)*(Tr_boost+Tf_boost))</f>
        <v>0.54740692108158706</v>
      </c>
      <c r="AS91" s="345">
        <f>IF(Table25[[#This Row],[Vin]]&gt;Vout, 0, IF(Table25[[#This Row],[Iin]]&gt;Table25[[#This Row],[Ripple Current pk-pk]]/2,0,ABS(Table25[[#This Row],[Iin]]-Table25[[#This Row],[Ripple Current pk-pk]]/2)*Vsd_Q4*Deadtime*Fsw))</f>
        <v>0</v>
      </c>
      <c r="AT91" s="345">
        <f>(Table25[[#This Row],[Dead Time Loss BoCtlr]]+Table25[[#This Row],[Transition Loss BoCtlr]]+Table25[[#This Row],[RDS(on) Loss BoCtlr]]*(1+RdsonTopTc*Ta-RdsonTopTc*25))/(1-Table25[[#This Row],[RDS(on) Loss BoCtlr]]*RdsonTopTc*ThetaJA_Q4)</f>
        <v>0.92175006973492246</v>
      </c>
      <c r="AU91" s="345">
        <f>Table25[[#This Row],[Irms Lf]]</f>
        <v>9.2886051306689534</v>
      </c>
      <c r="AV91" s="345">
        <f>Rdson3*Table25[[#This Row],[Irms BoSync]]^2</f>
        <v>0.30197364845721364</v>
      </c>
      <c r="AW91"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0.27482947368421046</v>
      </c>
      <c r="AX91" s="345">
        <f>(Table25[[#This Row],[Deadtime Loss BoSync]]+Table25[[#This Row],[RDS(on) Loss BoSync]]*(1+RdsonBotTc*Ta-RdsonBotTc*25))/(1-Table25[[#This Row],[RDS(on) Loss BoSync]]*RdsonBotTc*ThetaJA_Q3)</f>
        <v>0.62594829352626413</v>
      </c>
      <c r="AY91" s="345">
        <f>CHOOSE(Table25[[#This Row],[Mode Digit]], Rdson3*Table25[[#This Row],[Irms Lf]]^2, Rdson1*Table25[[#This Row],[Irms Lf]]^2, 0)</f>
        <v>0.30197364845721364</v>
      </c>
      <c r="AZ91" s="345">
        <f>CHOOSE(Table25[[#This Row],[Mode Digit]], 2*Deadtime*Fsw*IF(VfdSky_Q2&gt;0,VfdSky_Q2,0)*Table25[[#This Row],[Iout]], 2*Deadtime*Fsw*IF(VfdSky_Q3&gt;0,VfdSky_Q3,0)*Table25[[#This Row],[Iin]], 2*Deadtime*Fsw*IF(VfdSky_Q2&gt;0,VfdSky_Q2,0)*Table25[[#This Row],[Iout]]+2*Deadtime*Fsw*IF(VfdSky_Q3&gt;0,VfdSky_Q3,0)*Table25[[#This Row],[Iin]])</f>
        <v>0</v>
      </c>
      <c r="BA91"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91"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91" s="345">
        <f>CHOOSE(Table25[[#This Row],[Mode Digit]], Rs*Table25[[#This Row],[Irms BuSync]]^2, Rs*Table25[[#This Row],[Irms BoCtlr]]^2, Rs*(Table25[[#This Row],[Irms BuSync]]^2+Table25[[#This Row],[Irms BoCtlr]]^2))</f>
        <v>0.1121616408555365</v>
      </c>
      <c r="BD91" s="345">
        <f t="shared" si="9"/>
        <v>0.64</v>
      </c>
      <c r="BE91" s="345">
        <f>IF(Vout&gt;8, Iq*Vout, Iq*Table25[[#This Row],[Vin]])</f>
        <v>4.8000000000000001E-2</v>
      </c>
      <c r="BF91" s="345">
        <f>CHOOSE(Table25[[#This Row],[Mode Digit]], (Qg_Q1+Qg_Q2)*Fsw, (Qg_Q3+Qg_Q4)*Fsw, (Qg_Q1+Qg_Q2+Qg_Q3+Qg_Q4)*Fsw)*IF(Vout&gt;8,  MIN( Table25[[#This Row],[Vin]], Vout), Table25[[#This Row],[Vin]])</f>
        <v>0.63998400000000011</v>
      </c>
      <c r="BG91" s="345">
        <f t="shared" si="10"/>
        <v>0.50594479787234037</v>
      </c>
      <c r="BH91" s="345">
        <f>Table25[[#This Row],[IQ Loss]]+Table25[[#This Row],[Switching Current Loss]]</f>
        <v>0.68798400000000015</v>
      </c>
      <c r="BI91"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5.2853061083744768</v>
      </c>
      <c r="BJ91" s="253">
        <f>Vout*Table25[[#This Row],[Iout]]</f>
        <v>104.96</v>
      </c>
      <c r="BK91" s="684">
        <f>Table25[[#This Row],[Pout]]/(Table25[[#This Row],[Pout]]+Table25[[#This Row],[Total Loss]])</f>
        <v>0.95205867446928893</v>
      </c>
      <c r="BL91" s="685">
        <f>IF(Table25[[#This Row],[Vin]]&gt;Vout,ThetaJA_Q1*(Table25[[#This Row],[Total Control Bu MOSFET Loss]]+Table25[[#This Row],[Reverse Recovery Loss MOSFET D BUCK]]),ThetaJA_Q4*(Table25[[#This Row],[Total Control Bo MOSFET Loss]]+Table25[[#This Row],[Reverse Recovery Loss MOSFET D BOOST]]))</f>
        <v>83.093274532769954</v>
      </c>
      <c r="BM91" s="685">
        <f>IF(Table25[[#This Row],[Vin]]&gt;Vout, Table25[[#This Row],[Total Sync Bu MOSFET Loss]]*ThetaJA_Q2, ThetaJA_Q3*Table25[[#This Row],[Total Sync Bo MOSFET Loss]])</f>
        <v>40.686639079207168</v>
      </c>
      <c r="BN91" s="640"/>
      <c r="BO91" s="292">
        <f>Table25[[#This Row],[EFF, h]]*100</f>
        <v>95.205867446928892</v>
      </c>
      <c r="BP91" s="345">
        <f>Table25[[#This Row],[Total Inductor Loss]]</f>
        <v>0.89548360479988265</v>
      </c>
      <c r="BQ91" s="345">
        <f>Table25[[#This Row],[Total Control Bu MOSFET Loss]]+Table25[[#This Row],[Total Sync Bu MOSFET Loss]]+Table25[[#This Row],[Total Control Bo MOSFET Loss]]+Table25[[#This Row],[Total Sync Bo MOSFET Loss]]+Table25[[#This Row],[Reverse Recovery Loss MOSFET D BUCK]]+Table25[[#This Row],[Reverse Recovery Loss MOSFET D BOOST]]</f>
        <v>2.9163195879761385</v>
      </c>
      <c r="BR91" s="345">
        <f xml:space="preserve"> Table25[[#This Row],[Total Control Bu MOSFET Loss]]+Table25[[#This Row],[Reverse Recovery Loss MOSFET D BUCK]]*0.66</f>
        <v>0.56306389235747578</v>
      </c>
      <c r="BS91" s="345">
        <f>Table25[[#This Row],[Total Sync Bu MOSFET Loss]]+Table25[[#This Row],[Reverse Recovery Loss MOSFET D BUCK]]*0.33</f>
        <v>0.44538325235747583</v>
      </c>
      <c r="BT91" s="345">
        <f xml:space="preserve"> Table25[[#This Row],[Total Control Bo MOSFET Loss]]+Table25[[#This Row],[Reverse Recovery Loss MOSFET D BOOST]]*0.66</f>
        <v>1.1571113497349224</v>
      </c>
      <c r="BU91" s="345">
        <f xml:space="preserve"> Table25[[#This Row],[Total Sync Bo MOSFET Loss]]+Table25[[#This Row],[Reverse Recovery Loss MOSFET D BOOST]]*0.33</f>
        <v>0.74362893352626414</v>
      </c>
      <c r="BV91" s="345">
        <f>Table25[[#This Row],[Isense Shunt Loss]]</f>
        <v>0.1121616408555365</v>
      </c>
      <c r="CB91" s="686"/>
      <c r="CC91" s="686"/>
    </row>
    <row r="92" spans="1:81" x14ac:dyDescent="0.2">
      <c r="G92" s="253">
        <v>83</v>
      </c>
      <c r="H92" s="286">
        <f t="shared" si="8"/>
        <v>12</v>
      </c>
      <c r="I92" s="292" t="str">
        <f>IF(Mode = 2,IF(Table25[[#This Row],[Vin]]&gt;Vout, "BUCK","BOOST"),IF(Table25[[#This Row],[Vin]]&gt;VIN_BB_to_buck, "BUCK", IF(Table25[[#This Row],[Vin]]&lt;=VIN_boost_to_BB,"BOOST","BUCK-BST")))</f>
        <v>BOOST</v>
      </c>
      <c r="J92" s="253">
        <f>IF(Table25[[#This Row],[Mode]]="BOOST",2, IF(Table25[[#This Row],[Mode]]="BUCK", 1,3))</f>
        <v>2</v>
      </c>
      <c r="K92" s="345">
        <f t="shared" si="11"/>
        <v>6.64</v>
      </c>
      <c r="L92" s="292">
        <f>Vout*Table25[[#This Row],[Iout]]/(Table25[[#This Row],[Vin]]*Efficiency)</f>
        <v>9.3192982456140356</v>
      </c>
      <c r="M92" s="682">
        <f>CHOOSE(Table25[[#This Row],[Mode Digit]],(Vout+(Rdson2+Rs+Rdcr)*Table25[[#This Row],[Iout]])/(Table25[[#This Row],[Vin]]+(Rs+Rdson2-Rdson1)*Table25[[#This Row],[Iout]])/Fsw,(Vout+(Rdson3+Rdcr)*Table25[[#This Row],[Iin]]-Table25[[#This Row],[Vin]])/(Vout+(Rdson3-Rdson4-Rs)*Table25[[#This Row],[Iin]])/Fsw,t1_Ph_II)</f>
        <v>6.3842928387291714E-7</v>
      </c>
      <c r="N92" s="518">
        <f>CHOOSE(Table25[[#This Row],[Mode Digit]],1/Fsw-Table25[[#This Row],[t1_Ph_II]],1/Fsw-Table25[[#This Row],[t1_Ph_II]],(Vout/Fsw-Table25[[#This Row],[Vin]]*t1_Ph_II)/(Table25[[#This Row],[Vin]]+Vout))</f>
        <v>1.8741335301974348E-6</v>
      </c>
      <c r="O92" s="518">
        <f>1/Fsw-(Table25[[#This Row],[t1_Ph_II]]+Table25[[#This Row],[t2_Ph_I]])</f>
        <v>0</v>
      </c>
      <c r="P92"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7.1912006327043123</v>
      </c>
      <c r="Q92" s="292">
        <f>CHOOSE(Table25[[#This Row],[Mode Digit]],Table25[[#This Row],[I_0]]+1/Lf*(Table25[[#This Row],[Vin]]-Vout)*Table25[[#This Row],[t1_Ph_II]],Table25[[#This Row],[I_0]]+1/Lf*Table25[[#This Row],[Vin]]*Table25[[#This Row],[t1_Ph_II]],Table25[[#This Row],[I_0]]+(Table25[[#This Row],[Vin]]-Vout)/L*Table25[[#This Row],[t1_Ph_II]])</f>
        <v>11.447395858523759</v>
      </c>
      <c r="R92" s="292">
        <f>CHOOSE(Table25[[#This Row],[Mode Digit]],0,0,Table25[[#This Row],[I_1]]+Table25[[#This Row],[Vin]]/L*Table25[[#This Row],[t2_Ph_I]])</f>
        <v>0</v>
      </c>
      <c r="S92" s="292">
        <f>Fsw*(Table25[[#This Row],[I_0]]*Table25[[#This Row],[t1_Ph_II]]+Table25[[#This Row],[I_1]]*Table25[[#This Row],[t2_Ph_I]]+Table25[[#This Row],[I_2]]*Table25[[#This Row],[t3_Ph_III]])</f>
        <v>10.365918549846551</v>
      </c>
      <c r="T92" s="345">
        <f>CHOOSE(Table25[[#This Row],[Mode Digit]],(Vout+(Rdson2+Rs+Rdcr)*Table25[[#This Row],[Iout]])/(Table25[[#This Row],[Vin]]+(Rs+Rdson2-Rdson1)*Table25[[#This Row],[Iout]]),1,Fsw*Table25[[#This Row],[t2_Ph_I]]+Table25[[#This Row],[t1_Ph_II]])</f>
        <v>1</v>
      </c>
      <c r="U92" s="345">
        <f>CHOOSE(Table25[[#This Row],[Mode Digit]],0,(Vout+(Rdson3+Rdcr)*Table25[[#This Row],[Iin]]-Table25[[#This Row],[Vin]])/(Vout+(Rdson3-Rdson4-Rs)*Table25[[#This Row],[Iin]]),Fsw*Table25[[#This Row],[t1_Ph_II]]+Table25[[#This Row],[t3_Ph_III]])</f>
        <v>0.25409485498142104</v>
      </c>
      <c r="V92" s="292">
        <f>MAX(Table25[[#This Row],[I_0]:[I_2]])-MIN(Table25[[#This Row],[I_0]:[I_1]])</f>
        <v>4.2561952258194466</v>
      </c>
      <c r="W92"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9.3999425321326058</v>
      </c>
      <c r="X92" s="345">
        <f>(Table25[[#This Row],[Irms Lf]]^2*Rdcr*(1+Ltc*Ta-Ltc*25))/(1-Table25[[#This Row],[Irms Lf]]^2*Rdcr*Ltc*ThetaCa)</f>
        <v>0.28929230086335178</v>
      </c>
      <c r="Y92" s="345">
        <f>ABS(7.759*10^-3*Fsw^0.9458*(0.00787*Table25[[#This Row],[Ripple Current pk-pk]])^2.304)</f>
        <v>0.61343220629971751</v>
      </c>
      <c r="Z92" s="345">
        <f>Table25[[#This Row],[DCR    Loss]]+Table25[[#This Row],[Core Loss]]</f>
        <v>0.90272450716306929</v>
      </c>
      <c r="AA92" s="292">
        <f>IF(Table25[[#This Row],[Vin]]&gt;Vout, Table25[[#This Row],[Ripple Current pk-pk]]/SQRT(12), SQRT(Table25[[#This Row],[Duty Cycle BOOST Leg]]/(1-Table25[[#This Row],[Duty Cycle BOOST Leg]]))*SQRT(Table25[[#This Row],[Iout]]^2+(Table25[[#This Row],[Ripple Current pk-pk]]^2)/12))</f>
        <v>3.9412569093659826</v>
      </c>
      <c r="AB92" s="345">
        <f>RCoutEsr*Table25[[#This Row],[Irms Cout]]^2</f>
        <v>3.1067012051250197E-2</v>
      </c>
      <c r="AC92" s="345">
        <f>Table25[[#This Row],[Cout ESR Loss]]</f>
        <v>3.1067012051250197E-2</v>
      </c>
      <c r="AD92" s="292">
        <f>IF(Table25[[#This Row],[Vin]]&gt;Vout, SQRT(Table25[[#This Row],[Duty Cycle BUCK Leg]]*(1-Table25[[#This Row],[Duty Cycle BUCK Leg]]))*SQRT(Table25[[#This Row],[Iout]]^2+(Table25[[#This Row],[Ripple Current pk-pk]]^2)/12), Table25[[#This Row],[Ripple Current pk-pk]]/SQRT(12))</f>
        <v>1.2286577296752288</v>
      </c>
      <c r="AE92" s="345">
        <f>RCinEsr*Table25[[#This Row],[Irms Cin]]^2</f>
        <v>3.0191996333813753E-3</v>
      </c>
      <c r="AF92" s="683">
        <f>Table25[[#This Row],[Cin ESR Loss]]</f>
        <v>3.0191996333813753E-3</v>
      </c>
      <c r="AG92" s="345">
        <f>Table25[[#This Row],[Irms Lf]]</f>
        <v>9.3999425321326058</v>
      </c>
      <c r="AH92" s="345">
        <f>Rdson1*Table25[[#This Row],[Irms BuCtrl]]^2</f>
        <v>0.30925621862588443</v>
      </c>
      <c r="AI92" s="345">
        <f>CHOOSE(Table25[[#This Row],[Mode Digit]], (Table25[[#This Row],[Vin]]*Table25[[#This Row],[Iout]]/2)*(Fsw)*(Tr_buck+Tf_buck), 0, (Table25[[#This Row],[Vin]]*Table25[[#This Row],[Avg IL]]/2)*(Fsw/1)*(Tr_buck+Tf_buck))</f>
        <v>0</v>
      </c>
      <c r="AJ92" s="253">
        <f>IF(Table25[[#This Row],[Vin]]&gt;Vout, IF(Table25[[#This Row],[Iout]]&gt;Table25[[#This Row],[Ripple Current pk-pk]]/2,0,ABS(Table25[[#This Row],[Iout]]-Table25[[#This Row],[Ripple Current pk-pk]]/2)*Vsd_Q1*Deadtime*Fsw),0)</f>
        <v>0</v>
      </c>
      <c r="AK92" s="345">
        <f>(Table25[[#This Row],[Dead Time Loss BuCtrl]]+Table25[[#This Row],[Transition Loss BuCtrl]]+Table25[[#This Row],[RDS(on) Loss BuCtrl]]*(1+RdsonTopTc*Ta-RdsonTopTc*25))/(1-Table25[[#This Row],[RDS(on) Loss BuCtrl]]*RdsonTopTc*ThetaJA_Q1)</f>
        <v>0.3362966983995741</v>
      </c>
      <c r="AL92" s="345">
        <f>Table25[[#This Row],[Irms Lf]]</f>
        <v>9.3999425321326058</v>
      </c>
      <c r="AM92" s="345">
        <f>Rdson2*Table25[[#This Row],[Irms BuSync]]^2</f>
        <v>0.30925621862588443</v>
      </c>
      <c r="AN92"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92" s="345">
        <f>(Table25[[#This Row],[Deadtime Loss BuSync]]+Table25[[#This Row],[RDS(on) Loss BuSync]]*(1+RdsonBotTc*Ta-RdsonBotTc*25))/(1-Table25[[#This Row],[RDS(on) Loss BuSync]]*RdsonBotTc*ThetaJA_Q2)</f>
        <v>0.3362966983995741</v>
      </c>
      <c r="AP92" s="345">
        <f>Table25[[#This Row],[Irms Lf]]</f>
        <v>9.3999425321326058</v>
      </c>
      <c r="AQ92" s="345">
        <f>Rdson4*Table25[[#This Row],[Irms BoCtlr]]^2</f>
        <v>0.30925621862588443</v>
      </c>
      <c r="AR92" s="345">
        <f>CHOOSE(Table25[[#This Row],[Mode Digit]], 0, (Vout*Table25[[#This Row],[Iin]]/2)*(Fsw)*(Tr_boost+Tf_boost), (Vout*Iout/2)*(Fsw/1)*(Tr_boost+Tf_boost))</f>
        <v>0.55408261524111868</v>
      </c>
      <c r="AS92" s="345">
        <f>IF(Table25[[#This Row],[Vin]]&gt;Vout, 0, IF(Table25[[#This Row],[Iin]]&gt;Table25[[#This Row],[Ripple Current pk-pk]]/2,0,ABS(Table25[[#This Row],[Iin]]-Table25[[#This Row],[Ripple Current pk-pk]]/2)*Vsd_Q4*Deadtime*Fsw))</f>
        <v>0</v>
      </c>
      <c r="AT92" s="345">
        <f>(Table25[[#This Row],[Dead Time Loss BoCtlr]]+Table25[[#This Row],[Transition Loss BoCtlr]]+Table25[[#This Row],[RDS(on) Loss BoCtlr]]*(1+RdsonTopTc*Ta-RdsonTopTc*25))/(1-Table25[[#This Row],[RDS(on) Loss BoCtlr]]*RdsonTopTc*ThetaJA_Q4)</f>
        <v>0.93882671371870219</v>
      </c>
      <c r="AU92" s="345">
        <f>Table25[[#This Row],[Irms Lf]]</f>
        <v>9.3999425321326058</v>
      </c>
      <c r="AV92" s="345">
        <f>Rdson3*Table25[[#This Row],[Irms BoSync]]^2</f>
        <v>0.30925621862588443</v>
      </c>
      <c r="AW92"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0.27818105263157894</v>
      </c>
      <c r="AX92" s="345">
        <f>(Table25[[#This Row],[Deadtime Loss BoSync]]+Table25[[#This Row],[RDS(on) Loss BoSync]]*(1+RdsonBotTc*Ta-RdsonBotTc*25))/(1-Table25[[#This Row],[RDS(on) Loss BoSync]]*RdsonBotTc*ThetaJA_Q3)</f>
        <v>0.63880110711605576</v>
      </c>
      <c r="AY92" s="345">
        <f>CHOOSE(Table25[[#This Row],[Mode Digit]], Rdson3*Table25[[#This Row],[Irms Lf]]^2, Rdson1*Table25[[#This Row],[Irms Lf]]^2, 0)</f>
        <v>0.30925621862588443</v>
      </c>
      <c r="AZ92" s="345">
        <f>CHOOSE(Table25[[#This Row],[Mode Digit]], 2*Deadtime*Fsw*IF(VfdSky_Q2&gt;0,VfdSky_Q2,0)*Table25[[#This Row],[Iout]], 2*Deadtime*Fsw*IF(VfdSky_Q3&gt;0,VfdSky_Q3,0)*Table25[[#This Row],[Iin]], 2*Deadtime*Fsw*IF(VfdSky_Q2&gt;0,VfdSky_Q2,0)*Table25[[#This Row],[Iout]]+2*Deadtime*Fsw*IF(VfdSky_Q3&gt;0,VfdSky_Q3,0)*Table25[[#This Row],[Iin]])</f>
        <v>0</v>
      </c>
      <c r="BA92"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92"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92" s="345">
        <f>CHOOSE(Table25[[#This Row],[Mode Digit]], Rs*Table25[[#This Row],[Irms BuSync]]^2, Rs*Table25[[#This Row],[Irms BoCtlr]]^2, Rs*(Table25[[#This Row],[Irms BuSync]]^2+Table25[[#This Row],[Irms BoCtlr]]^2))</f>
        <v>0.11486659548961421</v>
      </c>
      <c r="BD92" s="345">
        <f t="shared" si="9"/>
        <v>0.64</v>
      </c>
      <c r="BE92" s="345">
        <f>IF(Vout&gt;8, Iq*Vout, Iq*Table25[[#This Row],[Vin]])</f>
        <v>4.8000000000000001E-2</v>
      </c>
      <c r="BF92" s="345">
        <f>CHOOSE(Table25[[#This Row],[Mode Digit]], (Qg_Q1+Qg_Q2)*Fsw, (Qg_Q3+Qg_Q4)*Fsw, (Qg_Q1+Qg_Q2+Qg_Q3+Qg_Q4)*Fsw)*IF(Vout&gt;8,  MIN( Table25[[#This Row],[Vin]], Vout), Table25[[#This Row],[Vin]])</f>
        <v>0.63998400000000011</v>
      </c>
      <c r="BG92" s="345">
        <f t="shared" si="10"/>
        <v>0.50594479787234037</v>
      </c>
      <c r="BH92" s="345">
        <f>Table25[[#This Row],[IQ Loss]]+Table25[[#This Row],[Switching Current Loss]]</f>
        <v>0.68798400000000015</v>
      </c>
      <c r="BI92"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5.3430985319712212</v>
      </c>
      <c r="BJ92" s="253">
        <f>Vout*Table25[[#This Row],[Iout]]</f>
        <v>106.24</v>
      </c>
      <c r="BK92" s="684">
        <f>Table25[[#This Row],[Pout]]/(Table25[[#This Row],[Pout]]+Table25[[#This Row],[Total Loss]])</f>
        <v>0.95211552105769592</v>
      </c>
      <c r="BL92" s="685">
        <f>IF(Table25[[#This Row],[Vin]]&gt;Vout,ThetaJA_Q1*(Table25[[#This Row],[Total Control Bu MOSFET Loss]]+Table25[[#This Row],[Reverse Recovery Loss MOSFET D BUCK]]),ThetaJA_Q4*(Table25[[#This Row],[Total Control Bo MOSFET Loss]]+Table25[[#This Row],[Reverse Recovery Loss MOSFET D BOOST]]))</f>
        <v>84.203256391715641</v>
      </c>
      <c r="BM92" s="685">
        <f>IF(Table25[[#This Row],[Vin]]&gt;Vout, Table25[[#This Row],[Total Sync Bu MOSFET Loss]]*ThetaJA_Q2, ThetaJA_Q3*Table25[[#This Row],[Total Sync Bo MOSFET Loss]])</f>
        <v>41.522071962543627</v>
      </c>
      <c r="BN92" s="640"/>
      <c r="BO92" s="292">
        <f>Table25[[#This Row],[EFF, h]]*100</f>
        <v>95.211552105769599</v>
      </c>
      <c r="BP92" s="345">
        <f>Table25[[#This Row],[Total Inductor Loss]]</f>
        <v>0.90272450716306929</v>
      </c>
      <c r="BQ92" s="345">
        <f>Table25[[#This Row],[Total Control Bu MOSFET Loss]]+Table25[[#This Row],[Total Sync Bu MOSFET Loss]]+Table25[[#This Row],[Total Control Bo MOSFET Loss]]+Table25[[#This Row],[Total Sync Bo MOSFET Loss]]+Table25[[#This Row],[Reverse Recovery Loss MOSFET D BUCK]]+Table25[[#This Row],[Reverse Recovery Loss MOSFET D BOOST]]</f>
        <v>2.9634372176339063</v>
      </c>
      <c r="BR92" s="345">
        <f xml:space="preserve"> Table25[[#This Row],[Total Control Bu MOSFET Loss]]+Table25[[#This Row],[Reverse Recovery Loss MOSFET D BUCK]]*0.66</f>
        <v>0.57165797839957411</v>
      </c>
      <c r="BS92" s="345">
        <f>Table25[[#This Row],[Total Sync Bu MOSFET Loss]]+Table25[[#This Row],[Reverse Recovery Loss MOSFET D BUCK]]*0.33</f>
        <v>0.4539773383995741</v>
      </c>
      <c r="BT92" s="345">
        <f xml:space="preserve"> Table25[[#This Row],[Total Control Bo MOSFET Loss]]+Table25[[#This Row],[Reverse Recovery Loss MOSFET D BOOST]]*0.66</f>
        <v>1.1741879937187023</v>
      </c>
      <c r="BU92" s="345">
        <f xml:space="preserve"> Table25[[#This Row],[Total Sync Bo MOSFET Loss]]+Table25[[#This Row],[Reverse Recovery Loss MOSFET D BOOST]]*0.33</f>
        <v>0.75648174711605576</v>
      </c>
      <c r="BV92" s="345">
        <f>Table25[[#This Row],[Isense Shunt Loss]]</f>
        <v>0.11486659548961421</v>
      </c>
      <c r="CB92" s="686"/>
      <c r="CC92" s="686"/>
    </row>
    <row r="93" spans="1:81" x14ac:dyDescent="0.2">
      <c r="G93" s="253">
        <v>84</v>
      </c>
      <c r="H93" s="286">
        <f t="shared" si="8"/>
        <v>12</v>
      </c>
      <c r="I93" s="292" t="str">
        <f>IF(Mode = 2,IF(Table25[[#This Row],[Vin]]&gt;Vout, "BUCK","BOOST"),IF(Table25[[#This Row],[Vin]]&gt;VIN_BB_to_buck, "BUCK", IF(Table25[[#This Row],[Vin]]&lt;=VIN_boost_to_BB,"BOOST","BUCK-BST")))</f>
        <v>BOOST</v>
      </c>
      <c r="J93" s="253">
        <f>IF(Table25[[#This Row],[Mode]]="BOOST",2, IF(Table25[[#This Row],[Mode]]="BUCK", 1,3))</f>
        <v>2</v>
      </c>
      <c r="K93" s="345">
        <f t="shared" si="11"/>
        <v>6.72</v>
      </c>
      <c r="L93" s="292">
        <f>Vout*Table25[[#This Row],[Iout]]/(Table25[[#This Row],[Vin]]*Efficiency)</f>
        <v>9.431578947368422</v>
      </c>
      <c r="M93" s="682">
        <f>CHOOSE(Table25[[#This Row],[Mode Digit]],(Vout+(Rdson2+Rs+Rdcr)*Table25[[#This Row],[Iout]])/(Table25[[#This Row],[Vin]]+(Rs+Rdson2-Rdson1)*Table25[[#This Row],[Iout]])/Fsw,(Vout+(Rdson3+Rdcr)*Table25[[#This Row],[Iin]]-Table25[[#This Row],[Vin]])/(Vout+(Rdson3-Rdson4-Rs)*Table25[[#This Row],[Iin]])/Fsw,t1_Ph_II)</f>
        <v>6.3855333773681347E-7</v>
      </c>
      <c r="N93" s="518">
        <f>CHOOSE(Table25[[#This Row],[Mode Digit]],1/Fsw-Table25[[#This Row],[t1_Ph_II]],1/Fsw-Table25[[#This Row],[t1_Ph_II]],(Vout/Fsw-Table25[[#This Row],[Vin]]*t1_Ph_II)/(Table25[[#This Row],[Vin]]+Vout))</f>
        <v>1.8740094763335385E-6</v>
      </c>
      <c r="O93" s="518">
        <f>1/Fsw-(Table25[[#This Row],[t1_Ph_II]]+Table25[[#This Row],[t2_Ph_I]])</f>
        <v>0</v>
      </c>
      <c r="P93"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7.3030678215790434</v>
      </c>
      <c r="Q93" s="292">
        <f>CHOOSE(Table25[[#This Row],[Mode Digit]],Table25[[#This Row],[I_0]]+1/Lf*(Table25[[#This Row],[Vin]]-Vout)*Table25[[#This Row],[t1_Ph_II]],Table25[[#This Row],[I_0]]+1/Lf*Table25[[#This Row],[Vin]]*Table25[[#This Row],[t1_Ph_II]],Table25[[#This Row],[I_0]]+(Table25[[#This Row],[Vin]]-Vout)/L*Table25[[#This Row],[t1_Ph_II]])</f>
        <v>11.560090073157799</v>
      </c>
      <c r="R93" s="292">
        <f>CHOOSE(Table25[[#This Row],[Mode Digit]],0,0,Table25[[#This Row],[I_1]]+Table25[[#This Row],[Vin]]/L*Table25[[#This Row],[t2_Ph_I]])</f>
        <v>0</v>
      </c>
      <c r="S93" s="292">
        <f>Fsw*(Table25[[#This Row],[I_0]]*Table25[[#This Row],[t1_Ph_II]]+Table25[[#This Row],[I_1]]*Table25[[#This Row],[t2_Ph_I]]+Table25[[#This Row],[I_2]]*Table25[[#This Row],[t3_Ph_III]])</f>
        <v>10.478192437666731</v>
      </c>
      <c r="T93" s="345">
        <f>CHOOSE(Table25[[#This Row],[Mode Digit]],(Vout+(Rdson2+Rs+Rdcr)*Table25[[#This Row],[Iout]])/(Table25[[#This Row],[Vin]]+(Rs+Rdson2-Rdson1)*Table25[[#This Row],[Iout]]),1,Fsw*Table25[[#This Row],[t2_Ph_I]]+Table25[[#This Row],[t1_Ph_II]])</f>
        <v>1</v>
      </c>
      <c r="U93" s="345">
        <f>CHOOSE(Table25[[#This Row],[Mode Digit]],0,(Vout+(Rdson3+Rdcr)*Table25[[#This Row],[Iin]]-Table25[[#This Row],[Vin]])/(Vout+(Rdson3-Rdson4-Rs)*Table25[[#This Row],[Iin]]),Fsw*Table25[[#This Row],[t1_Ph_II]]+Table25[[#This Row],[t3_Ph_III]])</f>
        <v>0.25414422841925177</v>
      </c>
      <c r="V93" s="292">
        <f>MAX(Table25[[#This Row],[I_0]:[I_2]])-MIN(Table25[[#This Row],[I_0]:[I_1]])</f>
        <v>4.2570222515787552</v>
      </c>
      <c r="W93"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9.5113021179005557</v>
      </c>
      <c r="X93" s="345">
        <f>(Table25[[#This Row],[Irms Lf]]^2*Rdcr*(1+Ltc*Ta-Ltc*25))/(1-Table25[[#This Row],[Irms Lf]]^2*Rdcr*Ltc*ThetaCa)</f>
        <v>0.29635076677536021</v>
      </c>
      <c r="Y93" s="345">
        <f>ABS(7.759*10^-3*Fsw^0.9458*(0.00787*Table25[[#This Row],[Ripple Current pk-pk]])^2.304)</f>
        <v>0.61370687018772396</v>
      </c>
      <c r="Z93" s="345">
        <f>Table25[[#This Row],[DCR    Loss]]+Table25[[#This Row],[Core Loss]]</f>
        <v>0.91005763696308417</v>
      </c>
      <c r="AA93" s="292">
        <f>IF(Table25[[#This Row],[Vin]]&gt;Vout, Table25[[#This Row],[Ripple Current pk-pk]]/SQRT(12), SQRT(Table25[[#This Row],[Duty Cycle BOOST Leg]]/(1-Table25[[#This Row],[Duty Cycle BOOST Leg]]))*SQRT(Table25[[#This Row],[Iout]]^2+(Table25[[#This Row],[Ripple Current pk-pk]]^2)/12))</f>
        <v>3.9877233569384138</v>
      </c>
      <c r="AB93" s="345">
        <f>RCoutEsr*Table25[[#This Row],[Irms Cout]]^2</f>
        <v>3.1803875142944346E-2</v>
      </c>
      <c r="AC93" s="345">
        <f>Table25[[#This Row],[Cout ESR Loss]]</f>
        <v>3.1803875142944346E-2</v>
      </c>
      <c r="AD93" s="292">
        <f>IF(Table25[[#This Row],[Vin]]&gt;Vout, SQRT(Table25[[#This Row],[Duty Cycle BUCK Leg]]*(1-Table25[[#This Row],[Duty Cycle BUCK Leg]]))*SQRT(Table25[[#This Row],[Iout]]^2+(Table25[[#This Row],[Ripple Current pk-pk]]^2)/12), Table25[[#This Row],[Ripple Current pk-pk]]/SQRT(12))</f>
        <v>1.2288964714476107</v>
      </c>
      <c r="AE93" s="345">
        <f>RCinEsr*Table25[[#This Row],[Irms Cin]]^2</f>
        <v>3.0203730750727768E-3</v>
      </c>
      <c r="AF93" s="683">
        <f>Table25[[#This Row],[Cin ESR Loss]]</f>
        <v>3.0203730750727768E-3</v>
      </c>
      <c r="AG93" s="345">
        <f>Table25[[#This Row],[Irms Lf]]</f>
        <v>9.5113021179005557</v>
      </c>
      <c r="AH93" s="345">
        <f>Rdson1*Table25[[#This Row],[Irms BuCtrl]]^2</f>
        <v>0.31662703792292857</v>
      </c>
      <c r="AI93" s="345">
        <f>CHOOSE(Table25[[#This Row],[Mode Digit]], (Table25[[#This Row],[Vin]]*Table25[[#This Row],[Iout]]/2)*(Fsw)*(Tr_buck+Tf_buck), 0, (Table25[[#This Row],[Vin]]*Table25[[#This Row],[Avg IL]]/2)*(Fsw/1)*(Tr_buck+Tf_buck))</f>
        <v>0</v>
      </c>
      <c r="AJ93" s="253">
        <f>IF(Table25[[#This Row],[Vin]]&gt;Vout, IF(Table25[[#This Row],[Iout]]&gt;Table25[[#This Row],[Ripple Current pk-pk]]/2,0,ABS(Table25[[#This Row],[Iout]]-Table25[[#This Row],[Ripple Current pk-pk]]/2)*Vsd_Q1*Deadtime*Fsw),0)</f>
        <v>0</v>
      </c>
      <c r="AK93" s="345">
        <f>(Table25[[#This Row],[Dead Time Loss BuCtrl]]+Table25[[#This Row],[Transition Loss BuCtrl]]+Table25[[#This Row],[RDS(on) Loss BuCtrl]]*(1+RdsonTopTc*Ta-RdsonTopTc*25))/(1-Table25[[#This Row],[RDS(on) Loss BuCtrl]]*RdsonTopTc*ThetaJA_Q1)</f>
        <v>0.34503103839972243</v>
      </c>
      <c r="AL93" s="345">
        <f>Table25[[#This Row],[Irms Lf]]</f>
        <v>9.5113021179005557</v>
      </c>
      <c r="AM93" s="345">
        <f>Rdson2*Table25[[#This Row],[Irms BuSync]]^2</f>
        <v>0.31662703792292857</v>
      </c>
      <c r="AN93"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93" s="345">
        <f>(Table25[[#This Row],[Deadtime Loss BuSync]]+Table25[[#This Row],[RDS(on) Loss BuSync]]*(1+RdsonBotTc*Ta-RdsonBotTc*25))/(1-Table25[[#This Row],[RDS(on) Loss BuSync]]*RdsonBotTc*ThetaJA_Q2)</f>
        <v>0.34503103839972243</v>
      </c>
      <c r="AP93" s="345">
        <f>Table25[[#This Row],[Irms Lf]]</f>
        <v>9.5113021179005557</v>
      </c>
      <c r="AQ93" s="345">
        <f>Rdson4*Table25[[#This Row],[Irms BoCtlr]]^2</f>
        <v>0.31662703792292857</v>
      </c>
      <c r="AR93" s="345">
        <f>CHOOSE(Table25[[#This Row],[Mode Digit]], 0, (Vout*Table25[[#This Row],[Iin]]/2)*(Fsw)*(Tr_boost+Tf_boost), (Vout*Iout/2)*(Fsw/1)*(Tr_boost+Tf_boost))</f>
        <v>0.56075830940065019</v>
      </c>
      <c r="AS93" s="345">
        <f>IF(Table25[[#This Row],[Vin]]&gt;Vout, 0, IF(Table25[[#This Row],[Iin]]&gt;Table25[[#This Row],[Ripple Current pk-pk]]/2,0,ABS(Table25[[#This Row],[Iin]]-Table25[[#This Row],[Ripple Current pk-pk]]/2)*Vsd_Q4*Deadtime*Fsw))</f>
        <v>0</v>
      </c>
      <c r="AT93" s="345">
        <f>(Table25[[#This Row],[Dead Time Loss BoCtlr]]+Table25[[#This Row],[Transition Loss BoCtlr]]+Table25[[#This Row],[RDS(on) Loss BoCtlr]]*(1+RdsonTopTc*Ta-RdsonTopTc*25))/(1-Table25[[#This Row],[RDS(on) Loss BoCtlr]]*RdsonTopTc*ThetaJA_Q4)</f>
        <v>0.95609389346415519</v>
      </c>
      <c r="AU93" s="345">
        <f>Table25[[#This Row],[Irms Lf]]</f>
        <v>9.5113021179005557</v>
      </c>
      <c r="AV93" s="345">
        <f>Rdson3*Table25[[#This Row],[Irms BoSync]]^2</f>
        <v>0.31662703792292857</v>
      </c>
      <c r="AW93"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0.28153263157894737</v>
      </c>
      <c r="AX93" s="345">
        <f>(Table25[[#This Row],[Deadtime Loss BoSync]]+Table25[[#This Row],[RDS(on) Loss BoSync]]*(1+RdsonBotTc*Ta-RdsonBotTc*25))/(1-Table25[[#This Row],[RDS(on) Loss BoSync]]*RdsonBotTc*ThetaJA_Q3)</f>
        <v>0.65181941899511331</v>
      </c>
      <c r="AY93" s="345">
        <f>CHOOSE(Table25[[#This Row],[Mode Digit]], Rdson3*Table25[[#This Row],[Irms Lf]]^2, Rdson1*Table25[[#This Row],[Irms Lf]]^2, 0)</f>
        <v>0.31662703792292857</v>
      </c>
      <c r="AZ93" s="345">
        <f>CHOOSE(Table25[[#This Row],[Mode Digit]], 2*Deadtime*Fsw*IF(VfdSky_Q2&gt;0,VfdSky_Q2,0)*Table25[[#This Row],[Iout]], 2*Deadtime*Fsw*IF(VfdSky_Q3&gt;0,VfdSky_Q3,0)*Table25[[#This Row],[Iin]], 2*Deadtime*Fsw*IF(VfdSky_Q2&gt;0,VfdSky_Q2,0)*Table25[[#This Row],[Iout]]+2*Deadtime*Fsw*IF(VfdSky_Q3&gt;0,VfdSky_Q3,0)*Table25[[#This Row],[Iin]])</f>
        <v>0</v>
      </c>
      <c r="BA93"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93"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93" s="345">
        <f>CHOOSE(Table25[[#This Row],[Mode Digit]], Rs*Table25[[#This Row],[Irms BuSync]]^2, Rs*Table25[[#This Row],[Irms BoCtlr]]^2, Rs*(Table25[[#This Row],[Irms BuSync]]^2+Table25[[#This Row],[Irms BoCtlr]]^2))</f>
        <v>0.11760432837137347</v>
      </c>
      <c r="BD93" s="345">
        <f t="shared" si="9"/>
        <v>0.64</v>
      </c>
      <c r="BE93" s="345">
        <f>IF(Vout&gt;8, Iq*Vout, Iq*Table25[[#This Row],[Vin]])</f>
        <v>4.8000000000000001E-2</v>
      </c>
      <c r="BF93" s="345">
        <f>CHOOSE(Table25[[#This Row],[Mode Digit]], (Qg_Q1+Qg_Q2)*Fsw, (Qg_Q3+Qg_Q4)*Fsw, (Qg_Q1+Qg_Q2+Qg_Q3+Qg_Q4)*Fsw)*IF(Vout&gt;8,  MIN( Table25[[#This Row],[Vin]], Vout), Table25[[#This Row],[Vin]])</f>
        <v>0.63998400000000011</v>
      </c>
      <c r="BG93" s="345">
        <f t="shared" si="10"/>
        <v>0.50594479787234037</v>
      </c>
      <c r="BH93" s="345">
        <f>Table25[[#This Row],[IQ Loss]]+Table25[[#This Row],[Switching Current Loss]]</f>
        <v>0.68798400000000015</v>
      </c>
      <c r="BI93"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5.4016616028111883</v>
      </c>
      <c r="BJ93" s="253">
        <f>Vout*Table25[[#This Row],[Iout]]</f>
        <v>107.52</v>
      </c>
      <c r="BK93" s="684">
        <f>Table25[[#This Row],[Pout]]/(Table25[[#This Row],[Pout]]+Table25[[#This Row],[Total Loss]])</f>
        <v>0.95216452250046668</v>
      </c>
      <c r="BL93" s="685">
        <f>IF(Table25[[#This Row],[Vin]]&gt;Vout,ThetaJA_Q1*(Table25[[#This Row],[Total Control Bu MOSFET Loss]]+Table25[[#This Row],[Reverse Recovery Loss MOSFET D BUCK]]),ThetaJA_Q4*(Table25[[#This Row],[Total Control Bo MOSFET Loss]]+Table25[[#This Row],[Reverse Recovery Loss MOSFET D BOOST]]))</f>
        <v>85.325623075170085</v>
      </c>
      <c r="BM93" s="685">
        <f>IF(Table25[[#This Row],[Vin]]&gt;Vout, Table25[[#This Row],[Total Sync Bu MOSFET Loss]]*ThetaJA_Q2, ThetaJA_Q3*Table25[[#This Row],[Total Sync Bo MOSFET Loss]])</f>
        <v>42.368262234682362</v>
      </c>
      <c r="BN93" s="640"/>
      <c r="BO93" s="292">
        <f>Table25[[#This Row],[EFF, h]]*100</f>
        <v>95.216452250046672</v>
      </c>
      <c r="BP93" s="345">
        <f>Table25[[#This Row],[Total Inductor Loss]]</f>
        <v>0.91005763696308417</v>
      </c>
      <c r="BQ93" s="345">
        <f>Table25[[#This Row],[Total Control Bu MOSFET Loss]]+Table25[[#This Row],[Total Sync Bu MOSFET Loss]]+Table25[[#This Row],[Total Control Bo MOSFET Loss]]+Table25[[#This Row],[Total Sync Bo MOSFET Loss]]+Table25[[#This Row],[Reverse Recovery Loss MOSFET D BUCK]]+Table25[[#This Row],[Reverse Recovery Loss MOSFET D BOOST]]</f>
        <v>3.0111913892587134</v>
      </c>
      <c r="BR93" s="345">
        <f xml:space="preserve"> Table25[[#This Row],[Total Control Bu MOSFET Loss]]+Table25[[#This Row],[Reverse Recovery Loss MOSFET D BUCK]]*0.66</f>
        <v>0.58039231839972238</v>
      </c>
      <c r="BS93" s="345">
        <f>Table25[[#This Row],[Total Sync Bu MOSFET Loss]]+Table25[[#This Row],[Reverse Recovery Loss MOSFET D BUCK]]*0.33</f>
        <v>0.46271167839972244</v>
      </c>
      <c r="BT93" s="345">
        <f xml:space="preserve"> Table25[[#This Row],[Total Control Bo MOSFET Loss]]+Table25[[#This Row],[Reverse Recovery Loss MOSFET D BOOST]]*0.66</f>
        <v>1.1914551734641552</v>
      </c>
      <c r="BU93" s="345">
        <f xml:space="preserve"> Table25[[#This Row],[Total Sync Bo MOSFET Loss]]+Table25[[#This Row],[Reverse Recovery Loss MOSFET D BOOST]]*0.33</f>
        <v>0.76950005899511331</v>
      </c>
      <c r="BV93" s="345">
        <f>Table25[[#This Row],[Isense Shunt Loss]]</f>
        <v>0.11760432837137347</v>
      </c>
      <c r="CB93" s="686"/>
      <c r="CC93" s="686"/>
    </row>
    <row r="94" spans="1:81" x14ac:dyDescent="0.2">
      <c r="G94" s="253">
        <v>85</v>
      </c>
      <c r="H94" s="286">
        <f t="shared" si="8"/>
        <v>12</v>
      </c>
      <c r="I94" s="292" t="str">
        <f>IF(Mode = 2,IF(Table25[[#This Row],[Vin]]&gt;Vout, "BUCK","BOOST"),IF(Table25[[#This Row],[Vin]]&gt;VIN_BB_to_buck, "BUCK", IF(Table25[[#This Row],[Vin]]&lt;=VIN_boost_to_BB,"BOOST","BUCK-BST")))</f>
        <v>BOOST</v>
      </c>
      <c r="J94" s="253">
        <f>IF(Table25[[#This Row],[Mode]]="BOOST",2, IF(Table25[[#This Row],[Mode]]="BUCK", 1,3))</f>
        <v>2</v>
      </c>
      <c r="K94" s="345">
        <f t="shared" si="11"/>
        <v>6.8</v>
      </c>
      <c r="L94" s="292">
        <f>Vout*Table25[[#This Row],[Iout]]/(Table25[[#This Row],[Vin]]*Efficiency)</f>
        <v>9.5438596491228083</v>
      </c>
      <c r="M94" s="682">
        <f>CHOOSE(Table25[[#This Row],[Mode Digit]],(Vout+(Rdson2+Rs+Rdcr)*Table25[[#This Row],[Iout]])/(Table25[[#This Row],[Vin]]+(Rs+Rdson2-Rdson1)*Table25[[#This Row],[Iout]])/Fsw,(Vout+(Rdson3+Rdcr)*Table25[[#This Row],[Iin]]-Table25[[#This Row],[Vin]])/(Vout+(Rdson3-Rdson4-Rs)*Table25[[#This Row],[Iin]])/Fsw,t1_Ph_II)</f>
        <v>6.3867739386590523E-7</v>
      </c>
      <c r="N94" s="518">
        <f>CHOOSE(Table25[[#This Row],[Mode Digit]],1/Fsw-Table25[[#This Row],[t1_Ph_II]],1/Fsw-Table25[[#This Row],[t1_Ph_II]],(Vout/Fsw-Table25[[#This Row],[Vin]]*t1_Ph_II)/(Table25[[#This Row],[Vin]]+Vout))</f>
        <v>1.8738854202044467E-6</v>
      </c>
      <c r="O94" s="518">
        <f>1/Fsw-(Table25[[#This Row],[t1_Ph_II]]+Table25[[#This Row],[t2_Ph_I]])</f>
        <v>0</v>
      </c>
      <c r="P94"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7.4149350029031247</v>
      </c>
      <c r="Q94" s="292">
        <f>CHOOSE(Table25[[#This Row],[Mode Digit]],Table25[[#This Row],[I_0]]+1/Lf*(Table25[[#This Row],[Vin]]-Vout)*Table25[[#This Row],[t1_Ph_II]],Table25[[#This Row],[I_0]]+1/Lf*Table25[[#This Row],[Vin]]*Table25[[#This Row],[t1_Ph_II]],Table25[[#This Row],[I_0]]+(Table25[[#This Row],[Vin]]-Vout)/L*Table25[[#This Row],[t1_Ph_II]])</f>
        <v>11.672784295342492</v>
      </c>
      <c r="R94" s="292">
        <f>CHOOSE(Table25[[#This Row],[Mode Digit]],0,0,Table25[[#This Row],[I_1]]+Table25[[#This Row],[Vin]]/L*Table25[[#This Row],[t2_Ph_I]])</f>
        <v>0</v>
      </c>
      <c r="S94" s="292">
        <f>Fsw*(Table25[[#This Row],[I_0]]*Table25[[#This Row],[t1_Ph_II]]+Table25[[#This Row],[I_1]]*Table25[[#This Row],[t2_Ph_I]]+Table25[[#This Row],[I_2]]*Table25[[#This Row],[t3_Ph_III]])</f>
        <v>10.590466243694046</v>
      </c>
      <c r="T94" s="345">
        <f>CHOOSE(Table25[[#This Row],[Mode Digit]],(Vout+(Rdson2+Rs+Rdcr)*Table25[[#This Row],[Iout]])/(Table25[[#This Row],[Vin]]+(Rs+Rdson2-Rdson1)*Table25[[#This Row],[Iout]]),1,Fsw*Table25[[#This Row],[t2_Ph_I]]+Table25[[#This Row],[t1_Ph_II]])</f>
        <v>1</v>
      </c>
      <c r="U94" s="345">
        <f>CHOOSE(Table25[[#This Row],[Mode Digit]],0,(Vout+(Rdson3+Rdcr)*Table25[[#This Row],[Iin]]-Table25[[#This Row],[Vin]])/(Vout+(Rdson3-Rdson4-Rs)*Table25[[#This Row],[Iin]]),Fsw*Table25[[#This Row],[t1_Ph_II]]+Table25[[#This Row],[t3_Ph_III]])</f>
        <v>0.25419360275863029</v>
      </c>
      <c r="V94" s="292">
        <f>MAX(Table25[[#This Row],[I_0]:[I_2]])-MIN(Table25[[#This Row],[I_0]:[I_1]])</f>
        <v>4.2578492924393672</v>
      </c>
      <c r="W94"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9.6226831177820884</v>
      </c>
      <c r="X94" s="345">
        <f>(Table25[[#This Row],[Irms Lf]]^2*Rdcr*(1+Ltc*Ta-Ltc*25))/(1-Table25[[#This Row],[Irms Lf]]^2*Rdcr*Ltc*ThetaCa)</f>
        <v>0.30350167819041241</v>
      </c>
      <c r="Y94" s="345">
        <f>ABS(7.759*10^-3*Fsw^0.9458*(0.00787*Table25[[#This Row],[Ripple Current pk-pk]])^2.304)</f>
        <v>0.61398160868300855</v>
      </c>
      <c r="Z94" s="345">
        <f>Table25[[#This Row],[DCR    Loss]]+Table25[[#This Row],[Core Loss]]</f>
        <v>0.91748328687342096</v>
      </c>
      <c r="AA94" s="292">
        <f>IF(Table25[[#This Row],[Vin]]&gt;Vout, Table25[[#This Row],[Ripple Current pk-pk]]/SQRT(12), SQRT(Table25[[#This Row],[Duty Cycle BOOST Leg]]/(1-Table25[[#This Row],[Duty Cycle BOOST Leg]]))*SQRT(Table25[[#This Row],[Iout]]^2+(Table25[[#This Row],[Ripple Current pk-pk]]^2)/12))</f>
        <v>4.0342189131741852</v>
      </c>
      <c r="AB94" s="345">
        <f>RCoutEsr*Table25[[#This Row],[Irms Cout]]^2</f>
        <v>3.2549844478824613E-2</v>
      </c>
      <c r="AC94" s="345">
        <f>Table25[[#This Row],[Cout ESR Loss]]</f>
        <v>3.2549844478824613E-2</v>
      </c>
      <c r="AD94" s="292">
        <f>IF(Table25[[#This Row],[Vin]]&gt;Vout, SQRT(Table25[[#This Row],[Duty Cycle BUCK Leg]]*(1-Table25[[#This Row],[Duty Cycle BUCK Leg]]))*SQRT(Table25[[#This Row],[Iout]]^2+(Table25[[#This Row],[Ripple Current pk-pk]]^2)/12), Table25[[#This Row],[Ripple Current pk-pk]]/SQRT(12))</f>
        <v>1.2291352175793633</v>
      </c>
      <c r="AE94" s="345">
        <f>RCinEsr*Table25[[#This Row],[Irms Cin]]^2</f>
        <v>3.0215467661877378E-3</v>
      </c>
      <c r="AF94" s="683">
        <f>Table25[[#This Row],[Cin ESR Loss]]</f>
        <v>3.0215467661877378E-3</v>
      </c>
      <c r="AG94" s="345">
        <f>Table25[[#This Row],[Irms Lf]]</f>
        <v>9.6226831177820884</v>
      </c>
      <c r="AH94" s="345">
        <f>Rdson1*Table25[[#This Row],[Irms BuCtrl]]^2</f>
        <v>0.32408610634836943</v>
      </c>
      <c r="AI94" s="345">
        <f>CHOOSE(Table25[[#This Row],[Mode Digit]], (Table25[[#This Row],[Vin]]*Table25[[#This Row],[Iout]]/2)*(Fsw)*(Tr_buck+Tf_buck), 0, (Table25[[#This Row],[Vin]]*Table25[[#This Row],[Avg IL]]/2)*(Fsw/1)*(Tr_buck+Tf_buck))</f>
        <v>0</v>
      </c>
      <c r="AJ94" s="253">
        <f>IF(Table25[[#This Row],[Vin]]&gt;Vout, IF(Table25[[#This Row],[Iout]]&gt;Table25[[#This Row],[Ripple Current pk-pk]]/2,0,ABS(Table25[[#This Row],[Iout]]-Table25[[#This Row],[Ripple Current pk-pk]]/2)*Vsd_Q1*Deadtime*Fsw),0)</f>
        <v>0</v>
      </c>
      <c r="AK94" s="345">
        <f>(Table25[[#This Row],[Dead Time Loss BuCtrl]]+Table25[[#This Row],[Transition Loss BuCtrl]]+Table25[[#This Row],[RDS(on) Loss BuCtrl]]*(1+RdsonTopTc*Ta-RdsonTopTc*25))/(1-Table25[[#This Row],[RDS(on) Loss BuCtrl]]*RdsonTopTc*ThetaJA_Q1)</f>
        <v>0.35390716945314876</v>
      </c>
      <c r="AL94" s="345">
        <f>Table25[[#This Row],[Irms Lf]]</f>
        <v>9.6226831177820884</v>
      </c>
      <c r="AM94" s="345">
        <f>Rdson2*Table25[[#This Row],[Irms BuSync]]^2</f>
        <v>0.32408610634836943</v>
      </c>
      <c r="AN94"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94" s="345">
        <f>(Table25[[#This Row],[Deadtime Loss BuSync]]+Table25[[#This Row],[RDS(on) Loss BuSync]]*(1+RdsonBotTc*Ta-RdsonBotTc*25))/(1-Table25[[#This Row],[RDS(on) Loss BuSync]]*RdsonBotTc*ThetaJA_Q2)</f>
        <v>0.35390716945314876</v>
      </c>
      <c r="AP94" s="345">
        <f>Table25[[#This Row],[Irms Lf]]</f>
        <v>9.6226831177820884</v>
      </c>
      <c r="AQ94" s="345">
        <f>Rdson4*Table25[[#This Row],[Irms BoCtlr]]^2</f>
        <v>0.32408610634836943</v>
      </c>
      <c r="AR94" s="345">
        <f>CHOOSE(Table25[[#This Row],[Mode Digit]], 0, (Vout*Table25[[#This Row],[Iin]]/2)*(Fsw)*(Tr_boost+Tf_boost), (Vout*Iout/2)*(Fsw/1)*(Tr_boost+Tf_boost))</f>
        <v>0.56743400356018181</v>
      </c>
      <c r="AS94" s="345">
        <f>IF(Table25[[#This Row],[Vin]]&gt;Vout, 0, IF(Table25[[#This Row],[Iin]]&gt;Table25[[#This Row],[Ripple Current pk-pk]]/2,0,ABS(Table25[[#This Row],[Iin]]-Table25[[#This Row],[Ripple Current pk-pk]]/2)*Vsd_Q4*Deadtime*Fsw))</f>
        <v>0</v>
      </c>
      <c r="AT94" s="345">
        <f>(Table25[[#This Row],[Dead Time Loss BoCtlr]]+Table25[[#This Row],[Transition Loss BoCtlr]]+Table25[[#This Row],[RDS(on) Loss BoCtlr]]*(1+RdsonTopTc*Ta-RdsonTopTc*25))/(1-Table25[[#This Row],[RDS(on) Loss BoCtlr]]*RdsonTopTc*ThetaJA_Q4)</f>
        <v>0.97355410314670798</v>
      </c>
      <c r="AU94" s="345">
        <f>Table25[[#This Row],[Irms Lf]]</f>
        <v>9.6226831177820884</v>
      </c>
      <c r="AV94" s="345">
        <f>Rdson3*Table25[[#This Row],[Irms BoSync]]^2</f>
        <v>0.32408610634836943</v>
      </c>
      <c r="AW94"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0.2848842105263158</v>
      </c>
      <c r="AX94" s="345">
        <f>(Table25[[#This Row],[Deadtime Loss BoSync]]+Table25[[#This Row],[RDS(on) Loss BoSync]]*(1+RdsonBotTc*Ta-RdsonBotTc*25))/(1-Table25[[#This Row],[RDS(on) Loss BoSync]]*RdsonBotTc*ThetaJA_Q3)</f>
        <v>0.66500524676747297</v>
      </c>
      <c r="AY94" s="345">
        <f>CHOOSE(Table25[[#This Row],[Mode Digit]], Rdson3*Table25[[#This Row],[Irms Lf]]^2, Rdson1*Table25[[#This Row],[Irms Lf]]^2, 0)</f>
        <v>0.32408610634836943</v>
      </c>
      <c r="AZ94" s="345">
        <f>CHOOSE(Table25[[#This Row],[Mode Digit]], 2*Deadtime*Fsw*IF(VfdSky_Q2&gt;0,VfdSky_Q2,0)*Table25[[#This Row],[Iout]], 2*Deadtime*Fsw*IF(VfdSky_Q3&gt;0,VfdSky_Q3,0)*Table25[[#This Row],[Iin]], 2*Deadtime*Fsw*IF(VfdSky_Q2&gt;0,VfdSky_Q2,0)*Table25[[#This Row],[Iout]]+2*Deadtime*Fsw*IF(VfdSky_Q3&gt;0,VfdSky_Q3,0)*Table25[[#This Row],[Iin]])</f>
        <v>0</v>
      </c>
      <c r="BA94"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94"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94" s="345">
        <f>CHOOSE(Table25[[#This Row],[Mode Digit]], Rs*Table25[[#This Row],[Irms BuSync]]^2, Rs*Table25[[#This Row],[Irms BoCtlr]]^2, Rs*(Table25[[#This Row],[Irms BuSync]]^2+Table25[[#This Row],[Irms BoCtlr]]^2))</f>
        <v>0.12037483950082294</v>
      </c>
      <c r="BD94" s="345">
        <f t="shared" si="9"/>
        <v>0.64</v>
      </c>
      <c r="BE94" s="345">
        <f>IF(Vout&gt;8, Iq*Vout, Iq*Table25[[#This Row],[Vin]])</f>
        <v>4.8000000000000001E-2</v>
      </c>
      <c r="BF94" s="345">
        <f>CHOOSE(Table25[[#This Row],[Mode Digit]], (Qg_Q1+Qg_Q2)*Fsw, (Qg_Q3+Qg_Q4)*Fsw, (Qg_Q1+Qg_Q2+Qg_Q3+Qg_Q4)*Fsw)*IF(Vout&gt;8,  MIN( Table25[[#This Row],[Vin]], Vout), Table25[[#This Row],[Vin]])</f>
        <v>0.63998400000000011</v>
      </c>
      <c r="BG94" s="345">
        <f t="shared" si="10"/>
        <v>0.50594479787234037</v>
      </c>
      <c r="BH94" s="345">
        <f>Table25[[#This Row],[IQ Loss]]+Table25[[#This Row],[Switching Current Loss]]</f>
        <v>0.68798400000000015</v>
      </c>
      <c r="BI94"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5.4610032064397345</v>
      </c>
      <c r="BJ94" s="253">
        <f>Vout*Table25[[#This Row],[Iout]]</f>
        <v>108.8</v>
      </c>
      <c r="BK94" s="684">
        <f>Table25[[#This Row],[Pout]]/(Table25[[#This Row],[Pout]]+Table25[[#This Row],[Total Loss]])</f>
        <v>0.9522058878078189</v>
      </c>
      <c r="BL94" s="685">
        <f>IF(Table25[[#This Row],[Vin]]&gt;Vout,ThetaJA_Q1*(Table25[[#This Row],[Total Control Bu MOSFET Loss]]+Table25[[#This Row],[Reverse Recovery Loss MOSFET D BUCK]]),ThetaJA_Q4*(Table25[[#This Row],[Total Control Bo MOSFET Loss]]+Table25[[#This Row],[Reverse Recovery Loss MOSFET D BOOST]]))</f>
        <v>86.460536704536011</v>
      </c>
      <c r="BM94" s="685">
        <f>IF(Table25[[#This Row],[Vin]]&gt;Vout, Table25[[#This Row],[Total Sync Bu MOSFET Loss]]*ThetaJA_Q2, ThetaJA_Q3*Table25[[#This Row],[Total Sync Bo MOSFET Loss]])</f>
        <v>43.225341039885741</v>
      </c>
      <c r="BN94" s="640"/>
      <c r="BO94" s="292">
        <f>Table25[[#This Row],[EFF, h]]*100</f>
        <v>95.220588780781895</v>
      </c>
      <c r="BP94" s="345">
        <f>Table25[[#This Row],[Total Inductor Loss]]</f>
        <v>0.91748328687342096</v>
      </c>
      <c r="BQ94" s="345">
        <f>Table25[[#This Row],[Total Control Bu MOSFET Loss]]+Table25[[#This Row],[Total Sync Bu MOSFET Loss]]+Table25[[#This Row],[Total Control Bo MOSFET Loss]]+Table25[[#This Row],[Total Sync Bo MOSFET Loss]]+Table25[[#This Row],[Reverse Recovery Loss MOSFET D BUCK]]+Table25[[#This Row],[Reverse Recovery Loss MOSFET D BOOST]]</f>
        <v>3.0595896888204788</v>
      </c>
      <c r="BR94" s="345">
        <f xml:space="preserve"> Table25[[#This Row],[Total Control Bu MOSFET Loss]]+Table25[[#This Row],[Reverse Recovery Loss MOSFET D BUCK]]*0.66</f>
        <v>0.58926844945314882</v>
      </c>
      <c r="BS94" s="345">
        <f>Table25[[#This Row],[Total Sync Bu MOSFET Loss]]+Table25[[#This Row],[Reverse Recovery Loss MOSFET D BUCK]]*0.33</f>
        <v>0.47158780945314877</v>
      </c>
      <c r="BT94" s="345">
        <f xml:space="preserve"> Table25[[#This Row],[Total Control Bo MOSFET Loss]]+Table25[[#This Row],[Reverse Recovery Loss MOSFET D BOOST]]*0.66</f>
        <v>1.2089153831467079</v>
      </c>
      <c r="BU94" s="345">
        <f xml:space="preserve"> Table25[[#This Row],[Total Sync Bo MOSFET Loss]]+Table25[[#This Row],[Reverse Recovery Loss MOSFET D BOOST]]*0.33</f>
        <v>0.78268588676747297</v>
      </c>
      <c r="BV94" s="345">
        <f>Table25[[#This Row],[Isense Shunt Loss]]</f>
        <v>0.12037483950082294</v>
      </c>
      <c r="CB94" s="686"/>
      <c r="CC94" s="686"/>
    </row>
    <row r="95" spans="1:81" x14ac:dyDescent="0.2">
      <c r="G95" s="253">
        <v>86</v>
      </c>
      <c r="H95" s="286">
        <f t="shared" si="8"/>
        <v>12</v>
      </c>
      <c r="I95" s="292" t="str">
        <f>IF(Mode = 2,IF(Table25[[#This Row],[Vin]]&gt;Vout, "BUCK","BOOST"),IF(Table25[[#This Row],[Vin]]&gt;VIN_BB_to_buck, "BUCK", IF(Table25[[#This Row],[Vin]]&lt;=VIN_boost_to_BB,"BOOST","BUCK-BST")))</f>
        <v>BOOST</v>
      </c>
      <c r="J95" s="253">
        <f>IF(Table25[[#This Row],[Mode]]="BOOST",2, IF(Table25[[#This Row],[Mode]]="BUCK", 1,3))</f>
        <v>2</v>
      </c>
      <c r="K95" s="345">
        <f t="shared" si="11"/>
        <v>6.88</v>
      </c>
      <c r="L95" s="292">
        <f>Vout*Table25[[#This Row],[Iout]]/(Table25[[#This Row],[Vin]]*Efficiency)</f>
        <v>9.6561403508771946</v>
      </c>
      <c r="M95" s="682">
        <f>CHOOSE(Table25[[#This Row],[Mode Digit]],(Vout+(Rdson2+Rs+Rdcr)*Table25[[#This Row],[Iout]])/(Table25[[#This Row],[Vin]]+(Rs+Rdson2-Rdson1)*Table25[[#This Row],[Iout]])/Fsw,(Vout+(Rdson3+Rdcr)*Table25[[#This Row],[Iin]]-Table25[[#This Row],[Vin]])/(Vout+(Rdson3-Rdson4-Rs)*Table25[[#This Row],[Iin]])/Fsw,t1_Ph_II)</f>
        <v>6.3880145226025458E-7</v>
      </c>
      <c r="N95" s="518">
        <f>CHOOSE(Table25[[#This Row],[Mode Digit]],1/Fsw-Table25[[#This Row],[t1_Ph_II]],1/Fsw-Table25[[#This Row],[t1_Ph_II]],(Vout/Fsw-Table25[[#This Row],[Vin]]*t1_Ph_II)/(Table25[[#This Row],[Vin]]+Vout))</f>
        <v>1.8737613618100973E-6</v>
      </c>
      <c r="O95" s="518">
        <f>1/Fsw-(Table25[[#This Row],[t1_Ph_II]]+Table25[[#This Row],[t2_Ph_I]])</f>
        <v>0</v>
      </c>
      <c r="P95"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7.5268021766763464</v>
      </c>
      <c r="Q95" s="292">
        <f>CHOOSE(Table25[[#This Row],[Mode Digit]],Table25[[#This Row],[I_0]]+1/Lf*(Table25[[#This Row],[Vin]]-Vout)*Table25[[#This Row],[t1_Ph_II]],Table25[[#This Row],[I_0]]+1/Lf*Table25[[#This Row],[Vin]]*Table25[[#This Row],[t1_Ph_II]],Table25[[#This Row],[I_0]]+(Table25[[#This Row],[Vin]]-Vout)/L*Table25[[#This Row],[t1_Ph_II]])</f>
        <v>11.785478525078044</v>
      </c>
      <c r="R95" s="292">
        <f>CHOOSE(Table25[[#This Row],[Mode Digit]],0,0,Table25[[#This Row],[I_1]]+Table25[[#This Row],[Vin]]/L*Table25[[#This Row],[t2_Ph_I]])</f>
        <v>0</v>
      </c>
      <c r="S95" s="292">
        <f>Fsw*(Table25[[#This Row],[I_0]]*Table25[[#This Row],[t1_Ph_II]]+Table25[[#This Row],[I_1]]*Table25[[#This Row],[t2_Ph_I]]+Table25[[#This Row],[I_2]]*Table25[[#This Row],[t3_Ph_III]])</f>
        <v>10.702739967924014</v>
      </c>
      <c r="T95" s="345">
        <f>CHOOSE(Table25[[#This Row],[Mode Digit]],(Vout+(Rdson2+Rs+Rdcr)*Table25[[#This Row],[Iout]])/(Table25[[#This Row],[Vin]]+(Rs+Rdson2-Rdson1)*Table25[[#This Row],[Iout]]),1,Fsw*Table25[[#This Row],[t2_Ph_I]]+Table25[[#This Row],[t1_Ph_II]])</f>
        <v>1</v>
      </c>
      <c r="U95" s="345">
        <f>CHOOSE(Table25[[#This Row],[Mode Digit]],0,(Vout+(Rdson3+Rdcr)*Table25[[#This Row],[Iin]]-Table25[[#This Row],[Vin]])/(Vout+(Rdson3-Rdson4-Rs)*Table25[[#This Row],[Iin]]),Fsw*Table25[[#This Row],[t1_Ph_II]]+Table25[[#This Row],[t3_Ph_III]])</f>
        <v>0.25424297799958134</v>
      </c>
      <c r="V95" s="292">
        <f>MAX(Table25[[#This Row],[I_0]:[I_2]])-MIN(Table25[[#This Row],[I_0]:[I_1]])</f>
        <v>4.2586763484016981</v>
      </c>
      <c r="W95"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9.7340847966929296</v>
      </c>
      <c r="X95" s="345">
        <f>(Table25[[#This Row],[Irms Lf]]^2*Rdcr*(1+Ltc*Ta-Ltc*25))/(1-Table25[[#This Row],[Irms Lf]]^2*Rdcr*Ltc*ThetaCa)</f>
        <v>0.31074533209393868</v>
      </c>
      <c r="Y95" s="345">
        <f>ABS(7.759*10^-3*Fsw^0.9458*(0.00787*Table25[[#This Row],[Ripple Current pk-pk]])^2.304)</f>
        <v>0.61425642179363149</v>
      </c>
      <c r="Z95" s="345">
        <f>Table25[[#This Row],[DCR    Loss]]+Table25[[#This Row],[Core Loss]]</f>
        <v>0.92500175388757011</v>
      </c>
      <c r="AA95" s="292">
        <f>IF(Table25[[#This Row],[Vin]]&gt;Vout, Table25[[#This Row],[Ripple Current pk-pk]]/SQRT(12), SQRT(Table25[[#This Row],[Duty Cycle BOOST Leg]]/(1-Table25[[#This Row],[Duty Cycle BOOST Leg]]))*SQRT(Table25[[#This Row],[Iout]]^2+(Table25[[#This Row],[Ripple Current pk-pk]]^2)/12))</f>
        <v>4.0807430060525656</v>
      </c>
      <c r="AB95" s="345">
        <f>RCoutEsr*Table25[[#This Row],[Irms Cout]]^2</f>
        <v>3.330492696289386E-2</v>
      </c>
      <c r="AC95" s="345">
        <f>Table25[[#This Row],[Cout ESR Loss]]</f>
        <v>3.330492696289386E-2</v>
      </c>
      <c r="AD95" s="292">
        <f>IF(Table25[[#This Row],[Vin]]&gt;Vout, SQRT(Table25[[#This Row],[Duty Cycle BUCK Leg]]*(1-Table25[[#This Row],[Duty Cycle BUCK Leg]]))*SQRT(Table25[[#This Row],[Iout]]^2+(Table25[[#This Row],[Ripple Current pk-pk]]^2)/12), Table25[[#This Row],[Ripple Current pk-pk]]/SQRT(12))</f>
        <v>1.2293739680706064</v>
      </c>
      <c r="AE95" s="345">
        <f>RCinEsr*Table25[[#This Row],[Irms Cin]]^2</f>
        <v>3.0227207067393368E-3</v>
      </c>
      <c r="AF95" s="683">
        <f>Table25[[#This Row],[Cin ESR Loss]]</f>
        <v>3.0227207067393368E-3</v>
      </c>
      <c r="AG95" s="345">
        <f>Table25[[#This Row],[Irms Lf]]</f>
        <v>9.7340847966929296</v>
      </c>
      <c r="AH95" s="345">
        <f>Rdson1*Table25[[#This Row],[Irms BuCtrl]]^2</f>
        <v>0.33163342390222955</v>
      </c>
      <c r="AI95" s="345">
        <f>CHOOSE(Table25[[#This Row],[Mode Digit]], (Table25[[#This Row],[Vin]]*Table25[[#This Row],[Iout]]/2)*(Fsw)*(Tr_buck+Tf_buck), 0, (Table25[[#This Row],[Vin]]*Table25[[#This Row],[Avg IL]]/2)*(Fsw/1)*(Tr_buck+Tf_buck))</f>
        <v>0</v>
      </c>
      <c r="AJ95" s="253">
        <f>IF(Table25[[#This Row],[Vin]]&gt;Vout, IF(Table25[[#This Row],[Iout]]&gt;Table25[[#This Row],[Ripple Current pk-pk]]/2,0,ABS(Table25[[#This Row],[Iout]]-Table25[[#This Row],[Ripple Current pk-pk]]/2)*Vsd_Q1*Deadtime*Fsw),0)</f>
        <v>0</v>
      </c>
      <c r="AK95" s="345">
        <f>(Table25[[#This Row],[Dead Time Loss BuCtrl]]+Table25[[#This Row],[Transition Loss BuCtrl]]+Table25[[#This Row],[RDS(on) Loss BuCtrl]]*(1+RdsonTopTc*Ta-RdsonTopTc*25))/(1-Table25[[#This Row],[RDS(on) Loss BuCtrl]]*RdsonTopTc*ThetaJA_Q1)</f>
        <v>0.36292666298907356</v>
      </c>
      <c r="AL95" s="345">
        <f>Table25[[#This Row],[Irms Lf]]</f>
        <v>9.7340847966929296</v>
      </c>
      <c r="AM95" s="345">
        <f>Rdson2*Table25[[#This Row],[Irms BuSync]]^2</f>
        <v>0.33163342390222955</v>
      </c>
      <c r="AN95"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95" s="345">
        <f>(Table25[[#This Row],[Deadtime Loss BuSync]]+Table25[[#This Row],[RDS(on) Loss BuSync]]*(1+RdsonBotTc*Ta-RdsonBotTc*25))/(1-Table25[[#This Row],[RDS(on) Loss BuSync]]*RdsonBotTc*ThetaJA_Q2)</f>
        <v>0.36292666298907356</v>
      </c>
      <c r="AP95" s="345">
        <f>Table25[[#This Row],[Irms Lf]]</f>
        <v>9.7340847966929296</v>
      </c>
      <c r="AQ95" s="345">
        <f>Rdson4*Table25[[#This Row],[Irms BoCtlr]]^2</f>
        <v>0.33163342390222955</v>
      </c>
      <c r="AR95" s="345">
        <f>CHOOSE(Table25[[#This Row],[Mode Digit]], 0, (Vout*Table25[[#This Row],[Iin]]/2)*(Fsw)*(Tr_boost+Tf_boost), (Vout*Iout/2)*(Fsw/1)*(Tr_boost+Tf_boost))</f>
        <v>0.57410969771971343</v>
      </c>
      <c r="AS95" s="345">
        <f>IF(Table25[[#This Row],[Vin]]&gt;Vout, 0, IF(Table25[[#This Row],[Iin]]&gt;Table25[[#This Row],[Ripple Current pk-pk]]/2,0,ABS(Table25[[#This Row],[Iin]]-Table25[[#This Row],[Ripple Current pk-pk]]/2)*Vsd_Q4*Deadtime*Fsw))</f>
        <v>0</v>
      </c>
      <c r="AT95" s="345">
        <f>(Table25[[#This Row],[Dead Time Loss BoCtlr]]+Table25[[#This Row],[Transition Loss BoCtlr]]+Table25[[#This Row],[RDS(on) Loss BoCtlr]]*(1+RdsonTopTc*Ta-RdsonTopTc*25))/(1-Table25[[#This Row],[RDS(on) Loss BoCtlr]]*RdsonTopTc*ThetaJA_Q4)</f>
        <v>0.99120988707238811</v>
      </c>
      <c r="AU95" s="345">
        <f>Table25[[#This Row],[Irms Lf]]</f>
        <v>9.7340847966929296</v>
      </c>
      <c r="AV95" s="345">
        <f>Rdson3*Table25[[#This Row],[Irms BoSync]]^2</f>
        <v>0.33163342390222955</v>
      </c>
      <c r="AW95"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0.28823578947368422</v>
      </c>
      <c r="AX95" s="345">
        <f>(Table25[[#This Row],[Deadtime Loss BoSync]]+Table25[[#This Row],[RDS(on) Loss BoSync]]*(1+RdsonBotTc*Ta-RdsonBotTc*25))/(1-Table25[[#This Row],[RDS(on) Loss BoSync]]*RdsonBotTc*ThetaJA_Q3)</f>
        <v>0.67836065030196124</v>
      </c>
      <c r="AY95" s="345">
        <f>CHOOSE(Table25[[#This Row],[Mode Digit]], Rdson3*Table25[[#This Row],[Irms Lf]]^2, Rdson1*Table25[[#This Row],[Irms Lf]]^2, 0)</f>
        <v>0.33163342390222955</v>
      </c>
      <c r="AZ95" s="345">
        <f>CHOOSE(Table25[[#This Row],[Mode Digit]], 2*Deadtime*Fsw*IF(VfdSky_Q2&gt;0,VfdSky_Q2,0)*Table25[[#This Row],[Iout]], 2*Deadtime*Fsw*IF(VfdSky_Q3&gt;0,VfdSky_Q3,0)*Table25[[#This Row],[Iin]], 2*Deadtime*Fsw*IF(VfdSky_Q2&gt;0,VfdSky_Q2,0)*Table25[[#This Row],[Iout]]+2*Deadtime*Fsw*IF(VfdSky_Q3&gt;0,VfdSky_Q3,0)*Table25[[#This Row],[Iin]])</f>
        <v>0</v>
      </c>
      <c r="BA95"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95"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95" s="345">
        <f>CHOOSE(Table25[[#This Row],[Mode Digit]], Rs*Table25[[#This Row],[Irms BuSync]]^2, Rs*Table25[[#This Row],[Irms BoCtlr]]^2, Rs*(Table25[[#This Row],[Irms BuSync]]^2+Table25[[#This Row],[Irms BoCtlr]]^2))</f>
        <v>0.12317812887797097</v>
      </c>
      <c r="BD95" s="345">
        <f t="shared" si="9"/>
        <v>0.64</v>
      </c>
      <c r="BE95" s="345">
        <f>IF(Vout&gt;8, Iq*Vout, Iq*Table25[[#This Row],[Vin]])</f>
        <v>4.8000000000000001E-2</v>
      </c>
      <c r="BF95" s="345">
        <f>CHOOSE(Table25[[#This Row],[Mode Digit]], (Qg_Q1+Qg_Q2)*Fsw, (Qg_Q3+Qg_Q4)*Fsw, (Qg_Q1+Qg_Q2+Qg_Q3+Qg_Q4)*Fsw)*IF(Vout&gt;8,  MIN( Table25[[#This Row],[Vin]], Vout), Table25[[#This Row],[Vin]])</f>
        <v>0.63998400000000011</v>
      </c>
      <c r="BG95" s="345">
        <f t="shared" si="10"/>
        <v>0.50594479787234037</v>
      </c>
      <c r="BH95" s="345">
        <f>Table25[[#This Row],[IQ Loss]]+Table25[[#This Row],[Switching Current Loss]]</f>
        <v>0.68798400000000015</v>
      </c>
      <c r="BI95"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5.5211313937876705</v>
      </c>
      <c r="BJ95" s="253">
        <f>Vout*Table25[[#This Row],[Iout]]</f>
        <v>110.08</v>
      </c>
      <c r="BK95" s="684">
        <f>Table25[[#This Row],[Pout]]/(Table25[[#This Row],[Pout]]+Table25[[#This Row],[Total Loss]])</f>
        <v>0.95223981524038637</v>
      </c>
      <c r="BL95" s="685">
        <f>IF(Table25[[#This Row],[Vin]]&gt;Vout,ThetaJA_Q1*(Table25[[#This Row],[Total Control Bu MOSFET Loss]]+Table25[[#This Row],[Reverse Recovery Loss MOSFET D BUCK]]),ThetaJA_Q4*(Table25[[#This Row],[Total Control Bo MOSFET Loss]]+Table25[[#This Row],[Reverse Recovery Loss MOSFET D BOOST]]))</f>
        <v>87.608162659705215</v>
      </c>
      <c r="BM95" s="685">
        <f>IF(Table25[[#This Row],[Vin]]&gt;Vout, Table25[[#This Row],[Total Sync Bu MOSFET Loss]]*ThetaJA_Q2, ThetaJA_Q3*Table25[[#This Row],[Total Sync Bo MOSFET Loss]])</f>
        <v>44.093442269627481</v>
      </c>
      <c r="BN95" s="640"/>
      <c r="BO95" s="292">
        <f>Table25[[#This Row],[EFF, h]]*100</f>
        <v>95.223981524038635</v>
      </c>
      <c r="BP95" s="345">
        <f>Table25[[#This Row],[Total Inductor Loss]]</f>
        <v>0.92500175388757011</v>
      </c>
      <c r="BQ95" s="345">
        <f>Table25[[#This Row],[Total Control Bu MOSFET Loss]]+Table25[[#This Row],[Total Sync Bu MOSFET Loss]]+Table25[[#This Row],[Total Control Bo MOSFET Loss]]+Table25[[#This Row],[Total Sync Bo MOSFET Loss]]+Table25[[#This Row],[Reverse Recovery Loss MOSFET D BUCK]]+Table25[[#This Row],[Reverse Recovery Loss MOSFET D BOOST]]</f>
        <v>3.1086398633524963</v>
      </c>
      <c r="BR95" s="345">
        <f xml:space="preserve"> Table25[[#This Row],[Total Control Bu MOSFET Loss]]+Table25[[#This Row],[Reverse Recovery Loss MOSFET D BUCK]]*0.66</f>
        <v>0.59828794298907351</v>
      </c>
      <c r="BS95" s="345">
        <f>Table25[[#This Row],[Total Sync Bu MOSFET Loss]]+Table25[[#This Row],[Reverse Recovery Loss MOSFET D BUCK]]*0.33</f>
        <v>0.48060730298907356</v>
      </c>
      <c r="BT95" s="345">
        <f xml:space="preserve"> Table25[[#This Row],[Total Control Bo MOSFET Loss]]+Table25[[#This Row],[Reverse Recovery Loss MOSFET D BOOST]]*0.66</f>
        <v>1.2265711670723882</v>
      </c>
      <c r="BU95" s="345">
        <f xml:space="preserve"> Table25[[#This Row],[Total Sync Bo MOSFET Loss]]+Table25[[#This Row],[Reverse Recovery Loss MOSFET D BOOST]]*0.33</f>
        <v>0.79604129030196125</v>
      </c>
      <c r="BV95" s="345">
        <f>Table25[[#This Row],[Isense Shunt Loss]]</f>
        <v>0.12317812887797097</v>
      </c>
      <c r="CB95" s="686"/>
      <c r="CC95" s="686"/>
    </row>
    <row r="96" spans="1:81" x14ac:dyDescent="0.2">
      <c r="G96" s="253">
        <v>87</v>
      </c>
      <c r="H96" s="286">
        <f t="shared" si="8"/>
        <v>12</v>
      </c>
      <c r="I96" s="292" t="str">
        <f>IF(Mode = 2,IF(Table25[[#This Row],[Vin]]&gt;Vout, "BUCK","BOOST"),IF(Table25[[#This Row],[Vin]]&gt;VIN_BB_to_buck, "BUCK", IF(Table25[[#This Row],[Vin]]&lt;=VIN_boost_to_BB,"BOOST","BUCK-BST")))</f>
        <v>BOOST</v>
      </c>
      <c r="J96" s="253">
        <f>IF(Table25[[#This Row],[Mode]]="BOOST",2, IF(Table25[[#This Row],[Mode]]="BUCK", 1,3))</f>
        <v>2</v>
      </c>
      <c r="K96" s="345">
        <f t="shared" si="11"/>
        <v>6.96</v>
      </c>
      <c r="L96" s="292">
        <f>Vout*Table25[[#This Row],[Iout]]/(Table25[[#This Row],[Vin]]*Efficiency)</f>
        <v>9.7684210526315809</v>
      </c>
      <c r="M96" s="682">
        <f>CHOOSE(Table25[[#This Row],[Mode Digit]],(Vout+(Rdson2+Rs+Rdcr)*Table25[[#This Row],[Iout]])/(Table25[[#This Row],[Vin]]+(Rs+Rdson2-Rdson1)*Table25[[#This Row],[Iout]])/Fsw,(Vout+(Rdson3+Rdcr)*Table25[[#This Row],[Iin]]-Table25[[#This Row],[Vin]])/(Vout+(Rdson3-Rdson4-Rs)*Table25[[#This Row],[Iin]])/Fsw,t1_Ph_II)</f>
        <v>6.3892551291992388E-7</v>
      </c>
      <c r="N96" s="518">
        <f>CHOOSE(Table25[[#This Row],[Mode Digit]],1/Fsw-Table25[[#This Row],[t1_Ph_II]],1/Fsw-Table25[[#This Row],[t1_Ph_II]],(Vout/Fsw-Table25[[#This Row],[Vin]]*t1_Ph_II)/(Table25[[#This Row],[Vin]]+Vout))</f>
        <v>1.873637301150428E-6</v>
      </c>
      <c r="O96" s="518">
        <f>1/Fsw-(Table25[[#This Row],[t1_Ph_II]]+Table25[[#This Row],[t2_Ph_I]])</f>
        <v>0</v>
      </c>
      <c r="P96"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7.6386693428985009</v>
      </c>
      <c r="Q96" s="292">
        <f>CHOOSE(Table25[[#This Row],[Mode Digit]],Table25[[#This Row],[I_0]]+1/Lf*(Table25[[#This Row],[Vin]]-Vout)*Table25[[#This Row],[t1_Ph_II]],Table25[[#This Row],[I_0]]+1/Lf*Table25[[#This Row],[Vin]]*Table25[[#This Row],[t1_Ph_II]],Table25[[#This Row],[I_0]]+(Table25[[#This Row],[Vin]]-Vout)/L*Table25[[#This Row],[t1_Ph_II]])</f>
        <v>11.898172762364659</v>
      </c>
      <c r="R96" s="292">
        <f>CHOOSE(Table25[[#This Row],[Mode Digit]],0,0,Table25[[#This Row],[I_1]]+Table25[[#This Row],[Vin]]/L*Table25[[#This Row],[t2_Ph_I]])</f>
        <v>0</v>
      </c>
      <c r="S96" s="292">
        <f>Fsw*(Table25[[#This Row],[I_0]]*Table25[[#This Row],[t1_Ph_II]]+Table25[[#This Row],[I_1]]*Table25[[#This Row],[t2_Ph_I]]+Table25[[#This Row],[I_2]]*Table25[[#This Row],[t3_Ph_III]])</f>
        <v>10.815013610352159</v>
      </c>
      <c r="T96" s="345">
        <f>CHOOSE(Table25[[#This Row],[Mode Digit]],(Vout+(Rdson2+Rs+Rdcr)*Table25[[#This Row],[Iout]])/(Table25[[#This Row],[Vin]]+(Rs+Rdson2-Rdson1)*Table25[[#This Row],[Iout]]),1,Fsw*Table25[[#This Row],[t2_Ph_I]]+Table25[[#This Row],[t1_Ph_II]])</f>
        <v>1</v>
      </c>
      <c r="U96" s="345">
        <f>CHOOSE(Table25[[#This Row],[Mode Digit]],0,(Vout+(Rdson3+Rdcr)*Table25[[#This Row],[Iin]]-Table25[[#This Row],[Vin]])/(Vout+(Rdson3-Rdson4-Rs)*Table25[[#This Row],[Iin]]),Fsw*Table25[[#This Row],[t1_Ph_II]]+Table25[[#This Row],[t3_Ph_III]])</f>
        <v>0.2542923541421297</v>
      </c>
      <c r="V96" s="292">
        <f>MAX(Table25[[#This Row],[I_0]:[I_2]])-MIN(Table25[[#This Row],[I_0]:[I_1]])</f>
        <v>4.2595034194661583</v>
      </c>
      <c r="W96"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9.8455064526852141</v>
      </c>
      <c r="X96" s="345">
        <f>(Table25[[#This Row],[Irms Lf]]^2*Rdcr*(1+Ltc*Ta-Ltc*25))/(1-Table25[[#This Row],[Irms Lf]]^2*Rdcr*Ltc*ThetaCa)</f>
        <v>0.3180820298231084</v>
      </c>
      <c r="Y96" s="345">
        <f>ABS(7.759*10^-3*Fsw^0.9458*(0.00787*Table25[[#This Row],[Ripple Current pk-pk]])^2.304)</f>
        <v>0.614531309527652</v>
      </c>
      <c r="Z96" s="345">
        <f>Table25[[#This Row],[DCR    Loss]]+Table25[[#This Row],[Core Loss]]</f>
        <v>0.93261333935076041</v>
      </c>
      <c r="AA96" s="292">
        <f>IF(Table25[[#This Row],[Vin]]&gt;Vout, Table25[[#This Row],[Ripple Current pk-pk]]/SQRT(12), SQRT(Table25[[#This Row],[Duty Cycle BOOST Leg]]/(1-Table25[[#This Row],[Duty Cycle BOOST Leg]]))*SQRT(Table25[[#This Row],[Iout]]^2+(Table25[[#This Row],[Ripple Current pk-pk]]^2)/12))</f>
        <v>4.1272950888708948</v>
      </c>
      <c r="AB96" s="345">
        <f>RCoutEsr*Table25[[#This Row],[Irms Cout]]^2</f>
        <v>3.4069129501235619E-2</v>
      </c>
      <c r="AC96" s="345">
        <f>Table25[[#This Row],[Cout ESR Loss]]</f>
        <v>3.4069129501235619E-2</v>
      </c>
      <c r="AD96" s="292">
        <f>IF(Table25[[#This Row],[Vin]]&gt;Vout, SQRT(Table25[[#This Row],[Duty Cycle BUCK Leg]]*(1-Table25[[#This Row],[Duty Cycle BUCK Leg]]))*SQRT(Table25[[#This Row],[Iout]]^2+(Table25[[#This Row],[Ripple Current pk-pk]]^2)/12), Table25[[#This Row],[Ripple Current pk-pk]]/SQRT(12))</f>
        <v>1.2296127229214591</v>
      </c>
      <c r="AE96" s="345">
        <f>RCinEsr*Table25[[#This Row],[Irms Cin]]^2</f>
        <v>3.0238948967406497E-3</v>
      </c>
      <c r="AF96" s="683">
        <f>Table25[[#This Row],[Cin ESR Loss]]</f>
        <v>3.0238948967406497E-3</v>
      </c>
      <c r="AG96" s="345">
        <f>Table25[[#This Row],[Irms Lf]]</f>
        <v>9.8455064526852141</v>
      </c>
      <c r="AH96" s="345">
        <f>Rdson1*Table25[[#This Row],[Irms BuCtrl]]^2</f>
        <v>0.33926899058453164</v>
      </c>
      <c r="AI96" s="345">
        <f>CHOOSE(Table25[[#This Row],[Mode Digit]], (Table25[[#This Row],[Vin]]*Table25[[#This Row],[Iout]]/2)*(Fsw)*(Tr_buck+Tf_buck), 0, (Table25[[#This Row],[Vin]]*Table25[[#This Row],[Avg IL]]/2)*(Fsw/1)*(Tr_buck+Tf_buck))</f>
        <v>0</v>
      </c>
      <c r="AJ96" s="253">
        <f>IF(Table25[[#This Row],[Vin]]&gt;Vout, IF(Table25[[#This Row],[Iout]]&gt;Table25[[#This Row],[Ripple Current pk-pk]]/2,0,ABS(Table25[[#This Row],[Iout]]-Table25[[#This Row],[Ripple Current pk-pk]]/2)*Vsd_Q1*Deadtime*Fsw),0)</f>
        <v>0</v>
      </c>
      <c r="AK96" s="345">
        <f>(Table25[[#This Row],[Dead Time Loss BuCtrl]]+Table25[[#This Row],[Transition Loss BuCtrl]]+Table25[[#This Row],[RDS(on) Loss BuCtrl]]*(1+RdsonTopTc*Ta-RdsonTopTc*25))/(1-Table25[[#This Row],[RDS(on) Loss BuCtrl]]*RdsonTopTc*ThetaJA_Q1)</f>
        <v>0.37209112553129225</v>
      </c>
      <c r="AL96" s="345">
        <f>Table25[[#This Row],[Irms Lf]]</f>
        <v>9.8455064526852141</v>
      </c>
      <c r="AM96" s="345">
        <f>Rdson2*Table25[[#This Row],[Irms BuSync]]^2</f>
        <v>0.33926899058453164</v>
      </c>
      <c r="AN96"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96" s="345">
        <f>(Table25[[#This Row],[Deadtime Loss BuSync]]+Table25[[#This Row],[RDS(on) Loss BuSync]]*(1+RdsonBotTc*Ta-RdsonBotTc*25))/(1-Table25[[#This Row],[RDS(on) Loss BuSync]]*RdsonBotTc*ThetaJA_Q2)</f>
        <v>0.37209112553129225</v>
      </c>
      <c r="AP96" s="345">
        <f>Table25[[#This Row],[Irms Lf]]</f>
        <v>9.8455064526852141</v>
      </c>
      <c r="AQ96" s="345">
        <f>Rdson4*Table25[[#This Row],[Irms BoCtlr]]^2</f>
        <v>0.33926899058453164</v>
      </c>
      <c r="AR96" s="345">
        <f>CHOOSE(Table25[[#This Row],[Mode Digit]], 0, (Vout*Table25[[#This Row],[Iin]]/2)*(Fsw)*(Tr_boost+Tf_boost), (Vout*Iout/2)*(Fsw/1)*(Tr_boost+Tf_boost))</f>
        <v>0.58078539187924494</v>
      </c>
      <c r="AS96" s="345">
        <f>IF(Table25[[#This Row],[Vin]]&gt;Vout, 0, IF(Table25[[#This Row],[Iin]]&gt;Table25[[#This Row],[Ripple Current pk-pk]]/2,0,ABS(Table25[[#This Row],[Iin]]-Table25[[#This Row],[Ripple Current pk-pk]]/2)*Vsd_Q4*Deadtime*Fsw))</f>
        <v>0</v>
      </c>
      <c r="AT96" s="345">
        <f>(Table25[[#This Row],[Dead Time Loss BoCtlr]]+Table25[[#This Row],[Transition Loss BoCtlr]]+Table25[[#This Row],[RDS(on) Loss BoCtlr]]*(1+RdsonTopTc*Ta-RdsonTopTc*25))/(1-Table25[[#This Row],[RDS(on) Loss BoCtlr]]*RdsonTopTc*ThetaJA_Q4)</f>
        <v>1.0090638408512222</v>
      </c>
      <c r="AU96" s="345">
        <f>Table25[[#This Row],[Irms Lf]]</f>
        <v>9.8455064526852141</v>
      </c>
      <c r="AV96" s="345">
        <f>Rdson3*Table25[[#This Row],[Irms BoSync]]^2</f>
        <v>0.33926899058453164</v>
      </c>
      <c r="AW96"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0.29158736842105265</v>
      </c>
      <c r="AX96" s="345">
        <f>(Table25[[#This Row],[Deadtime Loss BoSync]]+Table25[[#This Row],[RDS(on) Loss BoSync]]*(1+RdsonBotTc*Ta-RdsonBotTc*25))/(1-Table25[[#This Row],[RDS(on) Loss BoSync]]*RdsonBotTc*ThetaJA_Q3)</f>
        <v>0.69188773270003401</v>
      </c>
      <c r="AY96" s="345">
        <f>CHOOSE(Table25[[#This Row],[Mode Digit]], Rdson3*Table25[[#This Row],[Irms Lf]]^2, Rdson1*Table25[[#This Row],[Irms Lf]]^2, 0)</f>
        <v>0.33926899058453164</v>
      </c>
      <c r="AZ96" s="345">
        <f>CHOOSE(Table25[[#This Row],[Mode Digit]], 2*Deadtime*Fsw*IF(VfdSky_Q2&gt;0,VfdSky_Q2,0)*Table25[[#This Row],[Iout]], 2*Deadtime*Fsw*IF(VfdSky_Q3&gt;0,VfdSky_Q3,0)*Table25[[#This Row],[Iin]], 2*Deadtime*Fsw*IF(VfdSky_Q2&gt;0,VfdSky_Q2,0)*Table25[[#This Row],[Iout]]+2*Deadtime*Fsw*IF(VfdSky_Q3&gt;0,VfdSky_Q3,0)*Table25[[#This Row],[Iin]])</f>
        <v>0</v>
      </c>
      <c r="BA96"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96"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96" s="345">
        <f>CHOOSE(Table25[[#This Row],[Mode Digit]], Rs*Table25[[#This Row],[Irms BuSync]]^2, Rs*Table25[[#This Row],[Irms BoCtlr]]^2, Rs*(Table25[[#This Row],[Irms BuSync]]^2+Table25[[#This Row],[Irms BoCtlr]]^2))</f>
        <v>0.12601419650282603</v>
      </c>
      <c r="BD96" s="345">
        <f t="shared" si="9"/>
        <v>0.64</v>
      </c>
      <c r="BE96" s="345">
        <f>IF(Vout&gt;8, Iq*Vout, Iq*Table25[[#This Row],[Vin]])</f>
        <v>4.8000000000000001E-2</v>
      </c>
      <c r="BF96" s="345">
        <f>CHOOSE(Table25[[#This Row],[Mode Digit]], (Qg_Q1+Qg_Q2)*Fsw, (Qg_Q3+Qg_Q4)*Fsw, (Qg_Q1+Qg_Q2+Qg_Q3+Qg_Q4)*Fsw)*IF(Vout&gt;8,  MIN( Table25[[#This Row],[Vin]], Vout), Table25[[#This Row],[Vin]])</f>
        <v>0.63998400000000011</v>
      </c>
      <c r="BG96" s="345">
        <f t="shared" si="10"/>
        <v>0.50594479787234037</v>
      </c>
      <c r="BH96" s="345">
        <f>Table25[[#This Row],[IQ Loss]]+Table25[[#This Row],[Switching Current Loss]]</f>
        <v>0.68798400000000015</v>
      </c>
      <c r="BI96"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5.582054384865403</v>
      </c>
      <c r="BJ96" s="253">
        <f>Vout*Table25[[#This Row],[Iout]]</f>
        <v>111.36</v>
      </c>
      <c r="BK96" s="684">
        <f>Table25[[#This Row],[Pout]]/(Table25[[#This Row],[Pout]]+Table25[[#This Row],[Total Loss]])</f>
        <v>0.95226649288634502</v>
      </c>
      <c r="BL96" s="685">
        <f>IF(Table25[[#This Row],[Vin]]&gt;Vout,ThetaJA_Q1*(Table25[[#This Row],[Total Control Bu MOSFET Loss]]+Table25[[#This Row],[Reverse Recovery Loss MOSFET D BUCK]]),ThetaJA_Q4*(Table25[[#This Row],[Total Control Bo MOSFET Loss]]+Table25[[#This Row],[Reverse Recovery Loss MOSFET D BOOST]]))</f>
        <v>88.768669655329447</v>
      </c>
      <c r="BM96" s="685">
        <f>IF(Table25[[#This Row],[Vin]]&gt;Vout, Table25[[#This Row],[Total Sync Bu MOSFET Loss]]*ThetaJA_Q2, ThetaJA_Q3*Table25[[#This Row],[Total Sync Bo MOSFET Loss]])</f>
        <v>44.972702625502208</v>
      </c>
      <c r="BN96" s="640"/>
      <c r="BO96" s="292">
        <f>Table25[[#This Row],[EFF, h]]*100</f>
        <v>95.226649288634505</v>
      </c>
      <c r="BP96" s="345">
        <f>Table25[[#This Row],[Total Inductor Loss]]</f>
        <v>0.93261333935076041</v>
      </c>
      <c r="BQ96" s="345">
        <f>Table25[[#This Row],[Total Control Bu MOSFET Loss]]+Table25[[#This Row],[Total Sync Bu MOSFET Loss]]+Table25[[#This Row],[Total Control Bo MOSFET Loss]]+Table25[[#This Row],[Total Sync Bo MOSFET Loss]]+Table25[[#This Row],[Reverse Recovery Loss MOSFET D BUCK]]+Table25[[#This Row],[Reverse Recovery Loss MOSFET D BOOST]]</f>
        <v>3.1583498246138406</v>
      </c>
      <c r="BR96" s="345">
        <f xml:space="preserve"> Table25[[#This Row],[Total Control Bu MOSFET Loss]]+Table25[[#This Row],[Reverse Recovery Loss MOSFET D BUCK]]*0.66</f>
        <v>0.60745240553129221</v>
      </c>
      <c r="BS96" s="345">
        <f>Table25[[#This Row],[Total Sync Bu MOSFET Loss]]+Table25[[#This Row],[Reverse Recovery Loss MOSFET D BUCK]]*0.33</f>
        <v>0.48977176553129226</v>
      </c>
      <c r="BT96" s="345">
        <f xml:space="preserve"> Table25[[#This Row],[Total Control Bo MOSFET Loss]]+Table25[[#This Row],[Reverse Recovery Loss MOSFET D BOOST]]*0.66</f>
        <v>1.2444251208512223</v>
      </c>
      <c r="BU96" s="345">
        <f xml:space="preserve"> Table25[[#This Row],[Total Sync Bo MOSFET Loss]]+Table25[[#This Row],[Reverse Recovery Loss MOSFET D BOOST]]*0.33</f>
        <v>0.80956837270003401</v>
      </c>
      <c r="BV96" s="345">
        <f>Table25[[#This Row],[Isense Shunt Loss]]</f>
        <v>0.12601419650282603</v>
      </c>
      <c r="CB96" s="686"/>
      <c r="CC96" s="686"/>
    </row>
    <row r="97" spans="7:81" x14ac:dyDescent="0.2">
      <c r="G97" s="253">
        <v>88</v>
      </c>
      <c r="H97" s="286">
        <f t="shared" si="8"/>
        <v>12</v>
      </c>
      <c r="I97" s="292" t="str">
        <f>IF(Mode = 2,IF(Table25[[#This Row],[Vin]]&gt;Vout, "BUCK","BOOST"),IF(Table25[[#This Row],[Vin]]&gt;VIN_BB_to_buck, "BUCK", IF(Table25[[#This Row],[Vin]]&lt;=VIN_boost_to_BB,"BOOST","BUCK-BST")))</f>
        <v>BOOST</v>
      </c>
      <c r="J97" s="253">
        <f>IF(Table25[[#This Row],[Mode]]="BOOST",2, IF(Table25[[#This Row],[Mode]]="BUCK", 1,3))</f>
        <v>2</v>
      </c>
      <c r="K97" s="345">
        <f t="shared" si="11"/>
        <v>7.04</v>
      </c>
      <c r="L97" s="292">
        <f>Vout*Table25[[#This Row],[Iout]]/(Table25[[#This Row],[Vin]]*Efficiency)</f>
        <v>9.8807017543859654</v>
      </c>
      <c r="M97" s="682">
        <f>CHOOSE(Table25[[#This Row],[Mode Digit]],(Vout+(Rdson2+Rs+Rdcr)*Table25[[#This Row],[Iout]])/(Table25[[#This Row],[Vin]]+(Rs+Rdson2-Rdson1)*Table25[[#This Row],[Iout]])/Fsw,(Vout+(Rdson3+Rdcr)*Table25[[#This Row],[Iin]]-Table25[[#This Row],[Vin]])/(Vout+(Rdson3-Rdson4-Rs)*Table25[[#This Row],[Iin]])/Fsw,t1_Ph_II)</f>
        <v>6.3904957584497433E-7</v>
      </c>
      <c r="N97" s="518">
        <f>CHOOSE(Table25[[#This Row],[Mode Digit]],1/Fsw-Table25[[#This Row],[t1_Ph_II]],1/Fsw-Table25[[#This Row],[t1_Ph_II]],(Vout/Fsw-Table25[[#This Row],[Vin]]*t1_Ph_II)/(Table25[[#This Row],[Vin]]+Vout))</f>
        <v>1.8735132382253776E-6</v>
      </c>
      <c r="O97" s="518">
        <f>1/Fsw-(Table25[[#This Row],[t1_Ph_II]]+Table25[[#This Row],[t2_Ph_I]])</f>
        <v>0</v>
      </c>
      <c r="P97"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7.7505365015693846</v>
      </c>
      <c r="Q97" s="292">
        <f>CHOOSE(Table25[[#This Row],[Mode Digit]],Table25[[#This Row],[I_0]]+1/Lf*(Table25[[#This Row],[Vin]]-Vout)*Table25[[#This Row],[t1_Ph_II]],Table25[[#This Row],[I_0]]+1/Lf*Table25[[#This Row],[Vin]]*Table25[[#This Row],[t1_Ph_II]],Table25[[#This Row],[I_0]]+(Table25[[#This Row],[Vin]]-Vout)/L*Table25[[#This Row],[t1_Ph_II]])</f>
        <v>12.010867007202545</v>
      </c>
      <c r="R97" s="292">
        <f>CHOOSE(Table25[[#This Row],[Mode Digit]],0,0,Table25[[#This Row],[I_1]]+Table25[[#This Row],[Vin]]/L*Table25[[#This Row],[t2_Ph_I]])</f>
        <v>0</v>
      </c>
      <c r="S97" s="292">
        <f>Fsw*(Table25[[#This Row],[I_0]]*Table25[[#This Row],[t1_Ph_II]]+Table25[[#This Row],[I_1]]*Table25[[#This Row],[t2_Ph_I]]+Table25[[#This Row],[I_2]]*Table25[[#This Row],[t3_Ph_III]])</f>
        <v>10.927287170974004</v>
      </c>
      <c r="T97" s="345">
        <f>CHOOSE(Table25[[#This Row],[Mode Digit]],(Vout+(Rdson2+Rs+Rdcr)*Table25[[#This Row],[Iout]])/(Table25[[#This Row],[Vin]]+(Rs+Rdson2-Rdson1)*Table25[[#This Row],[Iout]]),1,Fsw*Table25[[#This Row],[t2_Ph_I]]+Table25[[#This Row],[t1_Ph_II]])</f>
        <v>1</v>
      </c>
      <c r="U97" s="345">
        <f>CHOOSE(Table25[[#This Row],[Mode Digit]],0,(Vout+(Rdson3+Rdcr)*Table25[[#This Row],[Iin]]-Table25[[#This Row],[Vin]])/(Vout+(Rdson3-Rdson4-Rs)*Table25[[#This Row],[Iin]]),Fsw*Table25[[#This Row],[t1_Ph_II]]+Table25[[#This Row],[t3_Ph_III]])</f>
        <v>0.25434173118629977</v>
      </c>
      <c r="V97" s="292">
        <f>MAX(Table25[[#This Row],[I_0]:[I_2]])-MIN(Table25[[#This Row],[I_0]:[I_1]])</f>
        <v>4.2603305056331608</v>
      </c>
      <c r="W97"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9.9569474151081199</v>
      </c>
      <c r="X97" s="345">
        <f>(Table25[[#This Row],[Irms Lf]]^2*Rdcr*(1+Ltc*Ta-Ltc*25))/(1-Table25[[#This Row],[Irms Lf]]^2*Rdcr*Ltc*ThetaCa)</f>
        <v>0.32551207709911195</v>
      </c>
      <c r="Y97" s="345">
        <f>ABS(7.759*10^-3*Fsw^0.9458*(0.00787*Table25[[#This Row],[Ripple Current pk-pk]])^2.304)</f>
        <v>0.61480627189312886</v>
      </c>
      <c r="Z97" s="345">
        <f>Table25[[#This Row],[DCR    Loss]]+Table25[[#This Row],[Core Loss]]</f>
        <v>0.94031834899224087</v>
      </c>
      <c r="AA97" s="292">
        <f>IF(Table25[[#This Row],[Vin]]&gt;Vout, Table25[[#This Row],[Ripple Current pk-pk]]/SQRT(12), SQRT(Table25[[#This Row],[Duty Cycle BOOST Leg]]/(1-Table25[[#This Row],[Duty Cycle BOOST Leg]]))*SQRT(Table25[[#This Row],[Iout]]^2+(Table25[[#This Row],[Ripple Current pk-pk]]^2)/12))</f>
        <v>4.1738746388706298</v>
      </c>
      <c r="AB97" s="345">
        <f>RCoutEsr*Table25[[#This Row],[Irms Cout]]^2</f>
        <v>3.4842459002014867E-2</v>
      </c>
      <c r="AC97" s="345">
        <f>Table25[[#This Row],[Cout ESR Loss]]</f>
        <v>3.4842459002014867E-2</v>
      </c>
      <c r="AD97" s="292">
        <f>IF(Table25[[#This Row],[Vin]]&gt;Vout, SQRT(Table25[[#This Row],[Duty Cycle BUCK Leg]]*(1-Table25[[#This Row],[Duty Cycle BUCK Leg]]))*SQRT(Table25[[#This Row],[Iout]]^2+(Table25[[#This Row],[Ripple Current pk-pk]]^2)/12), Table25[[#This Row],[Ripple Current pk-pk]]/SQRT(12))</f>
        <v>1.2298514821320401</v>
      </c>
      <c r="AE97" s="345">
        <f>RCinEsr*Table25[[#This Row],[Irms Cin]]^2</f>
        <v>3.0250693362047516E-3</v>
      </c>
      <c r="AF97" s="683">
        <f>Table25[[#This Row],[Cin ESR Loss]]</f>
        <v>3.0250693362047516E-3</v>
      </c>
      <c r="AG97" s="345">
        <f>Table25[[#This Row],[Irms Lf]]</f>
        <v>9.9569474151081199</v>
      </c>
      <c r="AH97" s="345">
        <f>Rdson1*Table25[[#This Row],[Irms BuCtrl]]^2</f>
        <v>0.34699280639529895</v>
      </c>
      <c r="AI97" s="345">
        <f>CHOOSE(Table25[[#This Row],[Mode Digit]], (Table25[[#This Row],[Vin]]*Table25[[#This Row],[Iout]]/2)*(Fsw)*(Tr_buck+Tf_buck), 0, (Table25[[#This Row],[Vin]]*Table25[[#This Row],[Avg IL]]/2)*(Fsw/1)*(Tr_buck+Tf_buck))</f>
        <v>0</v>
      </c>
      <c r="AJ97" s="253">
        <f>IF(Table25[[#This Row],[Vin]]&gt;Vout, IF(Table25[[#This Row],[Iout]]&gt;Table25[[#This Row],[Ripple Current pk-pk]]/2,0,ABS(Table25[[#This Row],[Iout]]-Table25[[#This Row],[Ripple Current pk-pk]]/2)*Vsd_Q1*Deadtime*Fsw),0)</f>
        <v>0</v>
      </c>
      <c r="AK97" s="345">
        <f>(Table25[[#This Row],[Dead Time Loss BuCtrl]]+Table25[[#This Row],[Transition Loss BuCtrl]]+Table25[[#This Row],[RDS(on) Loss BuCtrl]]*(1+RdsonTopTc*Ta-RdsonTopTc*25))/(1-Table25[[#This Row],[RDS(on) Loss BuCtrl]]*RdsonTopTc*ThetaJA_Q1)</f>
        <v>0.38140219948181825</v>
      </c>
      <c r="AL97" s="345">
        <f>Table25[[#This Row],[Irms Lf]]</f>
        <v>9.9569474151081199</v>
      </c>
      <c r="AM97" s="345">
        <f>Rdson2*Table25[[#This Row],[Irms BuSync]]^2</f>
        <v>0.34699280639529895</v>
      </c>
      <c r="AN97"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97" s="345">
        <f>(Table25[[#This Row],[Deadtime Loss BuSync]]+Table25[[#This Row],[RDS(on) Loss BuSync]]*(1+RdsonBotTc*Ta-RdsonBotTc*25))/(1-Table25[[#This Row],[RDS(on) Loss BuSync]]*RdsonBotTc*ThetaJA_Q2)</f>
        <v>0.38140219948181825</v>
      </c>
      <c r="AP97" s="345">
        <f>Table25[[#This Row],[Irms Lf]]</f>
        <v>9.9569474151081199</v>
      </c>
      <c r="AQ97" s="345">
        <f>Rdson4*Table25[[#This Row],[Irms BoCtlr]]^2</f>
        <v>0.34699280639529895</v>
      </c>
      <c r="AR97" s="345">
        <f>CHOOSE(Table25[[#This Row],[Mode Digit]], 0, (Vout*Table25[[#This Row],[Iin]]/2)*(Fsw)*(Tr_boost+Tf_boost), (Vout*Iout/2)*(Fsw/1)*(Tr_boost+Tf_boost))</f>
        <v>0.58746108603877645</v>
      </c>
      <c r="AS97" s="345">
        <f>IF(Table25[[#This Row],[Vin]]&gt;Vout, 0, IF(Table25[[#This Row],[Iin]]&gt;Table25[[#This Row],[Ripple Current pk-pk]]/2,0,ABS(Table25[[#This Row],[Iin]]-Table25[[#This Row],[Ripple Current pk-pk]]/2)*Vsd_Q4*Deadtime*Fsw))</f>
        <v>0</v>
      </c>
      <c r="AT97" s="345">
        <f>(Table25[[#This Row],[Dead Time Loss BoCtlr]]+Table25[[#This Row],[Transition Loss BoCtlr]]+Table25[[#This Row],[RDS(on) Loss BoCtlr]]*(1+RdsonTopTc*Ta-RdsonTopTc*25))/(1-Table25[[#This Row],[RDS(on) Loss BoCtlr]]*RdsonTopTc*ThetaJA_Q4)</f>
        <v>1.0271186126051381</v>
      </c>
      <c r="AU97" s="345">
        <f>Table25[[#This Row],[Irms Lf]]</f>
        <v>9.9569474151081199</v>
      </c>
      <c r="AV97" s="345">
        <f>Rdson3*Table25[[#This Row],[Irms BoSync]]^2</f>
        <v>0.34699280639529895</v>
      </c>
      <c r="AW97"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0.29493894736842102</v>
      </c>
      <c r="AX97" s="345">
        <f>(Table25[[#This Row],[Deadtime Loss BoSync]]+Table25[[#This Row],[RDS(on) Loss BoSync]]*(1+RdsonBotTc*Ta-RdsonBotTc*25))/(1-Table25[[#This Row],[RDS(on) Loss BoSync]]*RdsonBotTc*ThetaJA_Q3)</f>
        <v>0.70558864129242294</v>
      </c>
      <c r="AY97" s="345">
        <f>CHOOSE(Table25[[#This Row],[Mode Digit]], Rdson3*Table25[[#This Row],[Irms Lf]]^2, Rdson1*Table25[[#This Row],[Irms Lf]]^2, 0)</f>
        <v>0.34699280639529895</v>
      </c>
      <c r="AZ97" s="345">
        <f>CHOOSE(Table25[[#This Row],[Mode Digit]], 2*Deadtime*Fsw*IF(VfdSky_Q2&gt;0,VfdSky_Q2,0)*Table25[[#This Row],[Iout]], 2*Deadtime*Fsw*IF(VfdSky_Q3&gt;0,VfdSky_Q3,0)*Table25[[#This Row],[Iin]], 2*Deadtime*Fsw*IF(VfdSky_Q2&gt;0,VfdSky_Q2,0)*Table25[[#This Row],[Iout]]+2*Deadtime*Fsw*IF(VfdSky_Q3&gt;0,VfdSky_Q3,0)*Table25[[#This Row],[Iin]])</f>
        <v>0</v>
      </c>
      <c r="BA97"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97"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97" s="345">
        <f>CHOOSE(Table25[[#This Row],[Mode Digit]], Rs*Table25[[#This Row],[Irms BuSync]]^2, Rs*Table25[[#This Row],[Irms BoCtlr]]^2, Rs*(Table25[[#This Row],[Irms BuSync]]^2+Table25[[#This Row],[Irms BoCtlr]]^2))</f>
        <v>0.12888304237539674</v>
      </c>
      <c r="BD97" s="345">
        <f t="shared" si="9"/>
        <v>0.64</v>
      </c>
      <c r="BE97" s="345">
        <f>IF(Vout&gt;8, Iq*Vout, Iq*Table25[[#This Row],[Vin]])</f>
        <v>4.8000000000000001E-2</v>
      </c>
      <c r="BF97" s="345">
        <f>CHOOSE(Table25[[#This Row],[Mode Digit]], (Qg_Q1+Qg_Q2)*Fsw, (Qg_Q3+Qg_Q4)*Fsw, (Qg_Q1+Qg_Q2+Qg_Q3+Qg_Q4)*Fsw)*IF(Vout&gt;8,  MIN( Table25[[#This Row],[Vin]], Vout), Table25[[#This Row],[Vin]])</f>
        <v>0.63998400000000011</v>
      </c>
      <c r="BG97" s="345">
        <f t="shared" si="10"/>
        <v>0.50594479787234037</v>
      </c>
      <c r="BH97" s="345">
        <f>Table25[[#This Row],[IQ Loss]]+Table25[[#This Row],[Switching Current Loss]]</f>
        <v>0.68798400000000015</v>
      </c>
      <c r="BI97"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5.6437805725670538</v>
      </c>
      <c r="BJ97" s="253">
        <f>Vout*Table25[[#This Row],[Iout]]</f>
        <v>112.64</v>
      </c>
      <c r="BK97" s="684">
        <f>Table25[[#This Row],[Pout]]/(Table25[[#This Row],[Pout]]+Table25[[#This Row],[Total Loss]])</f>
        <v>0.95228609919933527</v>
      </c>
      <c r="BL97" s="685">
        <f>IF(Table25[[#This Row],[Vin]]&gt;Vout,ThetaJA_Q1*(Table25[[#This Row],[Total Control Bu MOSFET Loss]]+Table25[[#This Row],[Reverse Recovery Loss MOSFET D BUCK]]),ThetaJA_Q4*(Table25[[#This Row],[Total Control Bo MOSFET Loss]]+Table25[[#This Row],[Reverse Recovery Loss MOSFET D BOOST]]))</f>
        <v>89.942229819333988</v>
      </c>
      <c r="BM97" s="685">
        <f>IF(Table25[[#This Row],[Vin]]&gt;Vout, Table25[[#This Row],[Total Sync Bu MOSFET Loss]]*ThetaJA_Q2, ThetaJA_Q3*Table25[[#This Row],[Total Sync Bo MOSFET Loss]])</f>
        <v>45.86326168400749</v>
      </c>
      <c r="BN97" s="640"/>
      <c r="BO97" s="292">
        <f>Table25[[#This Row],[EFF, h]]*100</f>
        <v>95.228609919933533</v>
      </c>
      <c r="BP97" s="345">
        <f>Table25[[#This Row],[Total Inductor Loss]]</f>
        <v>0.94031834899224087</v>
      </c>
      <c r="BQ97" s="345">
        <f>Table25[[#This Row],[Total Control Bu MOSFET Loss]]+Table25[[#This Row],[Total Sync Bu MOSFET Loss]]+Table25[[#This Row],[Total Control Bo MOSFET Loss]]+Table25[[#This Row],[Total Sync Bo MOSFET Loss]]+Table25[[#This Row],[Reverse Recovery Loss MOSFET D BUCK]]+Table25[[#This Row],[Reverse Recovery Loss MOSFET D BOOST]]</f>
        <v>3.2087276528611977</v>
      </c>
      <c r="BR97" s="345">
        <f xml:space="preserve"> Table25[[#This Row],[Total Control Bu MOSFET Loss]]+Table25[[#This Row],[Reverse Recovery Loss MOSFET D BUCK]]*0.66</f>
        <v>0.6167634794818182</v>
      </c>
      <c r="BS97" s="345">
        <f>Table25[[#This Row],[Total Sync Bu MOSFET Loss]]+Table25[[#This Row],[Reverse Recovery Loss MOSFET D BUCK]]*0.33</f>
        <v>0.49908283948181825</v>
      </c>
      <c r="BT97" s="345">
        <f xml:space="preserve"> Table25[[#This Row],[Total Control Bo MOSFET Loss]]+Table25[[#This Row],[Reverse Recovery Loss MOSFET D BOOST]]*0.66</f>
        <v>1.2624798926051382</v>
      </c>
      <c r="BU97" s="345">
        <f xml:space="preserve"> Table25[[#This Row],[Total Sync Bo MOSFET Loss]]+Table25[[#This Row],[Reverse Recovery Loss MOSFET D BOOST]]*0.33</f>
        <v>0.82326928129242294</v>
      </c>
      <c r="BV97" s="345">
        <f>Table25[[#This Row],[Isense Shunt Loss]]</f>
        <v>0.12888304237539674</v>
      </c>
      <c r="CB97" s="686"/>
      <c r="CC97" s="686"/>
    </row>
    <row r="98" spans="7:81" x14ac:dyDescent="0.2">
      <c r="G98" s="253">
        <v>89</v>
      </c>
      <c r="H98" s="286">
        <f t="shared" si="8"/>
        <v>12</v>
      </c>
      <c r="I98" s="292" t="str">
        <f>IF(Mode = 2,IF(Table25[[#This Row],[Vin]]&gt;Vout, "BUCK","BOOST"),IF(Table25[[#This Row],[Vin]]&gt;VIN_BB_to_buck, "BUCK", IF(Table25[[#This Row],[Vin]]&lt;=VIN_boost_to_BB,"BOOST","BUCK-BST")))</f>
        <v>BOOST</v>
      </c>
      <c r="J98" s="253">
        <f>IF(Table25[[#This Row],[Mode]]="BOOST",2, IF(Table25[[#This Row],[Mode]]="BUCK", 1,3))</f>
        <v>2</v>
      </c>
      <c r="K98" s="345">
        <f t="shared" si="11"/>
        <v>7.12</v>
      </c>
      <c r="L98" s="292">
        <f>Vout*Table25[[#This Row],[Iout]]/(Table25[[#This Row],[Vin]]*Efficiency)</f>
        <v>9.9929824561403517</v>
      </c>
      <c r="M98" s="682">
        <f>CHOOSE(Table25[[#This Row],[Mode Digit]],(Vout+(Rdson2+Rs+Rdcr)*Table25[[#This Row],[Iout]])/(Table25[[#This Row],[Vin]]+(Rs+Rdson2-Rdson1)*Table25[[#This Row],[Iout]])/Fsw,(Vout+(Rdson3+Rdcr)*Table25[[#This Row],[Iin]]-Table25[[#This Row],[Vin]])/(Vout+(Rdson3-Rdson4-Rs)*Table25[[#This Row],[Iin]])/Fsw,t1_Ph_II)</f>
        <v>6.3917364103546829E-7</v>
      </c>
      <c r="N98" s="518">
        <f>CHOOSE(Table25[[#This Row],[Mode Digit]],1/Fsw-Table25[[#This Row],[t1_Ph_II]],1/Fsw-Table25[[#This Row],[t1_Ph_II]],(Vout/Fsw-Table25[[#This Row],[Vin]]*t1_Ph_II)/(Table25[[#This Row],[Vin]]+Vout))</f>
        <v>1.8733891730348835E-6</v>
      </c>
      <c r="O98" s="518">
        <f>1/Fsw-(Table25[[#This Row],[t1_Ph_II]]+Table25[[#This Row],[t2_Ph_I]])</f>
        <v>0</v>
      </c>
      <c r="P98"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7.8624036526887906</v>
      </c>
      <c r="Q98" s="292">
        <f>CHOOSE(Table25[[#This Row],[Mode Digit]],Table25[[#This Row],[I_0]]+1/Lf*(Table25[[#This Row],[Vin]]-Vout)*Table25[[#This Row],[t1_Ph_II]],Table25[[#This Row],[I_0]]+1/Lf*Table25[[#This Row],[Vin]]*Table25[[#This Row],[t1_Ph_II]],Table25[[#This Row],[I_0]]+(Table25[[#This Row],[Vin]]-Vout)/L*Table25[[#This Row],[t1_Ph_II]])</f>
        <v>12.123561259591913</v>
      </c>
      <c r="R98" s="292">
        <f>CHOOSE(Table25[[#This Row],[Mode Digit]],0,0,Table25[[#This Row],[I_1]]+Table25[[#This Row],[Vin]]/L*Table25[[#This Row],[t2_Ph_I]])</f>
        <v>0</v>
      </c>
      <c r="S98" s="292">
        <f>Fsw*(Table25[[#This Row],[I_0]]*Table25[[#This Row],[t1_Ph_II]]+Table25[[#This Row],[I_1]]*Table25[[#This Row],[t2_Ph_I]]+Table25[[#This Row],[I_2]]*Table25[[#This Row],[t3_Ph_III]])</f>
        <v>11.039560649785074</v>
      </c>
      <c r="T98" s="345">
        <f>CHOOSE(Table25[[#This Row],[Mode Digit]],(Vout+(Rdson2+Rs+Rdcr)*Table25[[#This Row],[Iout]])/(Table25[[#This Row],[Vin]]+(Rs+Rdson2-Rdson1)*Table25[[#This Row],[Iout]]),1,Fsw*Table25[[#This Row],[t2_Ph_I]]+Table25[[#This Row],[t1_Ph_II]])</f>
        <v>1</v>
      </c>
      <c r="U98" s="345">
        <f>CHOOSE(Table25[[#This Row],[Mode Digit]],0,(Vout+(Rdson3+Rdcr)*Table25[[#This Row],[Iin]]-Table25[[#This Row],[Vin]])/(Vout+(Rdson3-Rdson4-Rs)*Table25[[#This Row],[Iin]]),Fsw*Table25[[#This Row],[t1_Ph_II]]+Table25[[#This Row],[t3_Ph_III]])</f>
        <v>0.25439110913211638</v>
      </c>
      <c r="V98" s="292">
        <f>MAX(Table25[[#This Row],[I_0]:[I_2]])-MIN(Table25[[#This Row],[I_0]:[I_1]])</f>
        <v>4.2611576069031223</v>
      </c>
      <c r="W98"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10.068407042889218</v>
      </c>
      <c r="X98" s="345">
        <f>(Table25[[#This Row],[Irms Lf]]^2*Rdcr*(1+Ltc*Ta-Ltc*25))/(1-Table25[[#This Row],[Irms Lf]]^2*Rdcr*Ltc*ThetaCa)</f>
        <v>0.33303578405998696</v>
      </c>
      <c r="Y98" s="345">
        <f>ABS(7.759*10^-3*Fsw^0.9458*(0.00787*Table25[[#This Row],[Ripple Current pk-pk]])^2.304)</f>
        <v>0.61508130889812351</v>
      </c>
      <c r="Z98" s="345">
        <f>Table25[[#This Row],[DCR    Loss]]+Table25[[#This Row],[Core Loss]]</f>
        <v>0.94811709295811042</v>
      </c>
      <c r="AA98" s="292">
        <f>IF(Table25[[#This Row],[Vin]]&gt;Vout, Table25[[#This Row],[Ripple Current pk-pk]]/SQRT(12), SQRT(Table25[[#This Row],[Duty Cycle BOOST Leg]]/(1-Table25[[#This Row],[Duty Cycle BOOST Leg]]))*SQRT(Table25[[#This Row],[Iout]]^2+(Table25[[#This Row],[Ripple Current pk-pk]]^2)/12))</f>
        <v>4.2204811559512372</v>
      </c>
      <c r="AB98" s="345">
        <f>RCoutEsr*Table25[[#This Row],[Irms Cout]]^2</f>
        <v>3.5624922375478985E-2</v>
      </c>
      <c r="AC98" s="345">
        <f>Table25[[#This Row],[Cout ESR Loss]]</f>
        <v>3.5624922375478985E-2</v>
      </c>
      <c r="AD98" s="292">
        <f>IF(Table25[[#This Row],[Vin]]&gt;Vout, SQRT(Table25[[#This Row],[Duty Cycle BUCK Leg]]*(1-Table25[[#This Row],[Duty Cycle BUCK Leg]]))*SQRT(Table25[[#This Row],[Iout]]^2+(Table25[[#This Row],[Ripple Current pk-pk]]^2)/12), Table25[[#This Row],[Ripple Current pk-pk]]/SQRT(12))</f>
        <v>1.2300902457024696</v>
      </c>
      <c r="AE98" s="345">
        <f>RCinEsr*Table25[[#This Row],[Irms Cin]]^2</f>
        <v>3.0262440251447244E-3</v>
      </c>
      <c r="AF98" s="683">
        <f>Table25[[#This Row],[Cin ESR Loss]]</f>
        <v>3.0262440251447244E-3</v>
      </c>
      <c r="AG98" s="345">
        <f>Table25[[#This Row],[Irms Lf]]</f>
        <v>10.068407042889218</v>
      </c>
      <c r="AH98" s="345">
        <f>Rdson1*Table25[[#This Row],[Irms BuCtrl]]^2</f>
        <v>0.35480487133455424</v>
      </c>
      <c r="AI98" s="345">
        <f>CHOOSE(Table25[[#This Row],[Mode Digit]], (Table25[[#This Row],[Vin]]*Table25[[#This Row],[Iout]]/2)*(Fsw)*(Tr_buck+Tf_buck), 0, (Table25[[#This Row],[Vin]]*Table25[[#This Row],[Avg IL]]/2)*(Fsw/1)*(Tr_buck+Tf_buck))</f>
        <v>0</v>
      </c>
      <c r="AJ98" s="253">
        <f>IF(Table25[[#This Row],[Vin]]&gt;Vout, IF(Table25[[#This Row],[Iout]]&gt;Table25[[#This Row],[Ripple Current pk-pk]]/2,0,ABS(Table25[[#This Row],[Iout]]-Table25[[#This Row],[Ripple Current pk-pk]]/2)*Vsd_Q1*Deadtime*Fsw),0)</f>
        <v>0</v>
      </c>
      <c r="AK98" s="345">
        <f>(Table25[[#This Row],[Dead Time Loss BuCtrl]]+Table25[[#This Row],[Transition Loss BuCtrl]]+Table25[[#This Row],[RDS(on) Loss BuCtrl]]*(1+RdsonTopTc*Ta-RdsonTopTc*25))/(1-Table25[[#This Row],[RDS(on) Loss BuCtrl]]*RdsonTopTc*ThetaJA_Q1)</f>
        <v>0.39086156392835181</v>
      </c>
      <c r="AL98" s="345">
        <f>Table25[[#This Row],[Irms Lf]]</f>
        <v>10.068407042889218</v>
      </c>
      <c r="AM98" s="345">
        <f>Rdson2*Table25[[#This Row],[Irms BuSync]]^2</f>
        <v>0.35480487133455424</v>
      </c>
      <c r="AN98"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98" s="345">
        <f>(Table25[[#This Row],[Deadtime Loss BuSync]]+Table25[[#This Row],[RDS(on) Loss BuSync]]*(1+RdsonBotTc*Ta-RdsonBotTc*25))/(1-Table25[[#This Row],[RDS(on) Loss BuSync]]*RdsonBotTc*ThetaJA_Q2)</f>
        <v>0.39086156392835181</v>
      </c>
      <c r="AP98" s="345">
        <f>Table25[[#This Row],[Irms Lf]]</f>
        <v>10.068407042889218</v>
      </c>
      <c r="AQ98" s="345">
        <f>Rdson4*Table25[[#This Row],[Irms BoCtlr]]^2</f>
        <v>0.35480487133455424</v>
      </c>
      <c r="AR98" s="345">
        <f>CHOOSE(Table25[[#This Row],[Mode Digit]], 0, (Vout*Table25[[#This Row],[Iin]]/2)*(Fsw)*(Tr_boost+Tf_boost), (Vout*Iout/2)*(Fsw/1)*(Tr_boost+Tf_boost))</f>
        <v>0.59413678019830796</v>
      </c>
      <c r="AS98" s="345">
        <f>IF(Table25[[#This Row],[Vin]]&gt;Vout, 0, IF(Table25[[#This Row],[Iin]]&gt;Table25[[#This Row],[Ripple Current pk-pk]]/2,0,ABS(Table25[[#This Row],[Iin]]-Table25[[#This Row],[Ripple Current pk-pk]]/2)*Vsd_Q4*Deadtime*Fsw))</f>
        <v>0</v>
      </c>
      <c r="AT98" s="345">
        <f>(Table25[[#This Row],[Dead Time Loss BoCtlr]]+Table25[[#This Row],[Transition Loss BoCtlr]]+Table25[[#This Row],[RDS(on) Loss BoCtlr]]*(1+RdsonTopTc*Ta-RdsonTopTc*25))/(1-Table25[[#This Row],[RDS(on) Loss BoCtlr]]*RdsonTopTc*ThetaJA_Q4)</f>
        <v>1.0453769042115328</v>
      </c>
      <c r="AU98" s="345">
        <f>Table25[[#This Row],[Irms Lf]]</f>
        <v>10.068407042889218</v>
      </c>
      <c r="AV98" s="345">
        <f>Rdson3*Table25[[#This Row],[Irms BoSync]]^2</f>
        <v>0.35480487133455424</v>
      </c>
      <c r="AW98"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0.29829052631578945</v>
      </c>
      <c r="AX98" s="345">
        <f>(Table25[[#This Row],[Deadtime Loss BoSync]]+Table25[[#This Row],[RDS(on) Loss BoSync]]*(1+RdsonBotTc*Ta-RdsonBotTc*25))/(1-Table25[[#This Row],[RDS(on) Loss BoSync]]*RdsonBotTc*ThetaJA_Q3)</f>
        <v>0.71946556866554945</v>
      </c>
      <c r="AY98" s="345">
        <f>CHOOSE(Table25[[#This Row],[Mode Digit]], Rdson3*Table25[[#This Row],[Irms Lf]]^2, Rdson1*Table25[[#This Row],[Irms Lf]]^2, 0)</f>
        <v>0.35480487133455424</v>
      </c>
      <c r="AZ98" s="345">
        <f>CHOOSE(Table25[[#This Row],[Mode Digit]], 2*Deadtime*Fsw*IF(VfdSky_Q2&gt;0,VfdSky_Q2,0)*Table25[[#This Row],[Iout]], 2*Deadtime*Fsw*IF(VfdSky_Q3&gt;0,VfdSky_Q3,0)*Table25[[#This Row],[Iin]], 2*Deadtime*Fsw*IF(VfdSky_Q2&gt;0,VfdSky_Q2,0)*Table25[[#This Row],[Iout]]+2*Deadtime*Fsw*IF(VfdSky_Q3&gt;0,VfdSky_Q3,0)*Table25[[#This Row],[Iin]])</f>
        <v>0</v>
      </c>
      <c r="BA98"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98"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98" s="345">
        <f>CHOOSE(Table25[[#This Row],[Mode Digit]], Rs*Table25[[#This Row],[Irms BuSync]]^2, Rs*Table25[[#This Row],[Irms BoCtlr]]^2, Rs*(Table25[[#This Row],[Irms BuSync]]^2+Table25[[#This Row],[Irms BoCtlr]]^2))</f>
        <v>0.13178466649569157</v>
      </c>
      <c r="BD98" s="345">
        <f t="shared" si="9"/>
        <v>0.64</v>
      </c>
      <c r="BE98" s="345">
        <f>IF(Vout&gt;8, Iq*Vout, Iq*Table25[[#This Row],[Vin]])</f>
        <v>4.8000000000000001E-2</v>
      </c>
      <c r="BF98" s="345">
        <f>CHOOSE(Table25[[#This Row],[Mode Digit]], (Qg_Q1+Qg_Q2)*Fsw, (Qg_Q3+Qg_Q4)*Fsw, (Qg_Q1+Qg_Q2+Qg_Q3+Qg_Q4)*Fsw)*IF(Vout&gt;8,  MIN( Table25[[#This Row],[Vin]], Vout), Table25[[#This Row],[Vin]])</f>
        <v>0.63998400000000011</v>
      </c>
      <c r="BG98" s="345">
        <f t="shared" si="10"/>
        <v>0.50594479787234037</v>
      </c>
      <c r="BH98" s="345">
        <f>Table25[[#This Row],[IQ Loss]]+Table25[[#This Row],[Switching Current Loss]]</f>
        <v>0.68798400000000015</v>
      </c>
      <c r="BI98"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5.7063185265882108</v>
      </c>
      <c r="BJ98" s="253">
        <f>Vout*Table25[[#This Row],[Iout]]</f>
        <v>113.92</v>
      </c>
      <c r="BK98" s="684">
        <f>Table25[[#This Row],[Pout]]/(Table25[[#This Row],[Pout]]+Table25[[#This Row],[Total Loss]])</f>
        <v>0.9522988035001686</v>
      </c>
      <c r="BL98" s="685">
        <f>IF(Table25[[#This Row],[Vin]]&gt;Vout,ThetaJA_Q1*(Table25[[#This Row],[Total Control Bu MOSFET Loss]]+Table25[[#This Row],[Reverse Recovery Loss MOSFET D BUCK]]),ThetaJA_Q4*(Table25[[#This Row],[Total Control Bo MOSFET Loss]]+Table25[[#This Row],[Reverse Recovery Loss MOSFET D BOOST]]))</f>
        <v>91.129018773749635</v>
      </c>
      <c r="BM98" s="685">
        <f>IF(Table25[[#This Row],[Vin]]&gt;Vout, Table25[[#This Row],[Total Sync Bu MOSFET Loss]]*ThetaJA_Q2, ThetaJA_Q3*Table25[[#This Row],[Total Sync Bo MOSFET Loss]])</f>
        <v>46.765261963260713</v>
      </c>
      <c r="BN98" s="640"/>
      <c r="BO98" s="292">
        <f>Table25[[#This Row],[EFF, h]]*100</f>
        <v>95.229880350016856</v>
      </c>
      <c r="BP98" s="345">
        <f>Table25[[#This Row],[Total Inductor Loss]]</f>
        <v>0.94811709295811042</v>
      </c>
      <c r="BQ98" s="345">
        <f>Table25[[#This Row],[Total Control Bu MOSFET Loss]]+Table25[[#This Row],[Total Sync Bu MOSFET Loss]]+Table25[[#This Row],[Total Control Bo MOSFET Loss]]+Table25[[#This Row],[Total Sync Bo MOSFET Loss]]+Table25[[#This Row],[Reverse Recovery Loss MOSFET D BUCK]]+Table25[[#This Row],[Reverse Recovery Loss MOSFET D BOOST]]</f>
        <v>3.2597816007337861</v>
      </c>
      <c r="BR98" s="345">
        <f xml:space="preserve"> Table25[[#This Row],[Total Control Bu MOSFET Loss]]+Table25[[#This Row],[Reverse Recovery Loss MOSFET D BUCK]]*0.66</f>
        <v>0.62622284392835181</v>
      </c>
      <c r="BS98" s="345">
        <f>Table25[[#This Row],[Total Sync Bu MOSFET Loss]]+Table25[[#This Row],[Reverse Recovery Loss MOSFET D BUCK]]*0.33</f>
        <v>0.50854220392835181</v>
      </c>
      <c r="BT98" s="345">
        <f xml:space="preserve"> Table25[[#This Row],[Total Control Bo MOSFET Loss]]+Table25[[#This Row],[Reverse Recovery Loss MOSFET D BOOST]]*0.66</f>
        <v>1.2807381842115328</v>
      </c>
      <c r="BU98" s="345">
        <f xml:space="preserve"> Table25[[#This Row],[Total Sync Bo MOSFET Loss]]+Table25[[#This Row],[Reverse Recovery Loss MOSFET D BOOST]]*0.33</f>
        <v>0.83714620866554945</v>
      </c>
      <c r="BV98" s="345">
        <f>Table25[[#This Row],[Isense Shunt Loss]]</f>
        <v>0.13178466649569157</v>
      </c>
      <c r="CB98" s="686"/>
      <c r="CC98" s="686"/>
    </row>
    <row r="99" spans="7:81" x14ac:dyDescent="0.2">
      <c r="G99" s="253">
        <v>90</v>
      </c>
      <c r="H99" s="286">
        <f t="shared" si="8"/>
        <v>12</v>
      </c>
      <c r="I99" s="292" t="str">
        <f>IF(Mode = 2,IF(Table25[[#This Row],[Vin]]&gt;Vout, "BUCK","BOOST"),IF(Table25[[#This Row],[Vin]]&gt;VIN_BB_to_buck, "BUCK", IF(Table25[[#This Row],[Vin]]&lt;=VIN_boost_to_BB,"BOOST","BUCK-BST")))</f>
        <v>BOOST</v>
      </c>
      <c r="J99" s="253">
        <f>IF(Table25[[#This Row],[Mode]]="BOOST",2, IF(Table25[[#This Row],[Mode]]="BUCK", 1,3))</f>
        <v>2</v>
      </c>
      <c r="K99" s="345">
        <f t="shared" si="11"/>
        <v>7.2</v>
      </c>
      <c r="L99" s="292">
        <f>Vout*Table25[[#This Row],[Iout]]/(Table25[[#This Row],[Vin]]*Efficiency)</f>
        <v>10.105263157894738</v>
      </c>
      <c r="M99" s="682">
        <f>CHOOSE(Table25[[#This Row],[Mode Digit]],(Vout+(Rdson2+Rs+Rdcr)*Table25[[#This Row],[Iout]])/(Table25[[#This Row],[Vin]]+(Rs+Rdson2-Rdson1)*Table25[[#This Row],[Iout]])/Fsw,(Vout+(Rdson3+Rdcr)*Table25[[#This Row],[Iin]]-Table25[[#This Row],[Vin]])/(Vout+(Rdson3-Rdson4-Rs)*Table25[[#This Row],[Iin]])/Fsw,t1_Ph_II)</f>
        <v>6.392977084914679E-7</v>
      </c>
      <c r="N99" s="518">
        <f>CHOOSE(Table25[[#This Row],[Mode Digit]],1/Fsw-Table25[[#This Row],[t1_Ph_II]],1/Fsw-Table25[[#This Row],[t1_Ph_II]],(Vout/Fsw-Table25[[#This Row],[Vin]]*t1_Ph_II)/(Table25[[#This Row],[Vin]]+Vout))</f>
        <v>1.873265105578884E-6</v>
      </c>
      <c r="O99" s="518">
        <f>1/Fsw-(Table25[[#This Row],[t1_Ph_II]]+Table25[[#This Row],[t2_Ph_I]])</f>
        <v>0</v>
      </c>
      <c r="P99"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7.974270796256512</v>
      </c>
      <c r="Q99" s="292">
        <f>CHOOSE(Table25[[#This Row],[Mode Digit]],Table25[[#This Row],[I_0]]+1/Lf*(Table25[[#This Row],[Vin]]-Vout)*Table25[[#This Row],[t1_Ph_II]],Table25[[#This Row],[I_0]]+1/Lf*Table25[[#This Row],[Vin]]*Table25[[#This Row],[t1_Ph_II]],Table25[[#This Row],[I_0]]+(Table25[[#This Row],[Vin]]-Vout)/L*Table25[[#This Row],[t1_Ph_II]])</f>
        <v>12.236255519532964</v>
      </c>
      <c r="R99" s="292">
        <f>CHOOSE(Table25[[#This Row],[Mode Digit]],0,0,Table25[[#This Row],[I_1]]+Table25[[#This Row],[Vin]]/L*Table25[[#This Row],[t2_Ph_I]])</f>
        <v>0</v>
      </c>
      <c r="S99" s="292">
        <f>Fsw*(Table25[[#This Row],[I_0]]*Table25[[#This Row],[t1_Ph_II]]+Table25[[#This Row],[I_1]]*Table25[[#This Row],[t2_Ph_I]]+Table25[[#This Row],[I_2]]*Table25[[#This Row],[t3_Ph_III]])</f>
        <v>11.151834046780886</v>
      </c>
      <c r="T99" s="345">
        <f>CHOOSE(Table25[[#This Row],[Mode Digit]],(Vout+(Rdson2+Rs+Rdcr)*Table25[[#This Row],[Iout]])/(Table25[[#This Row],[Vin]]+(Rs+Rdson2-Rdson1)*Table25[[#This Row],[Iout]]),1,Fsw*Table25[[#This Row],[t2_Ph_I]]+Table25[[#This Row],[t1_Ph_II]])</f>
        <v>1</v>
      </c>
      <c r="U99" s="345">
        <f>CHOOSE(Table25[[#This Row],[Mode Digit]],0,(Vout+(Rdson3+Rdcr)*Table25[[#This Row],[Iin]]-Table25[[#This Row],[Vin]])/(Vout+(Rdson3-Rdson4-Rs)*Table25[[#This Row],[Iin]]),Fsw*Table25[[#This Row],[t1_Ph_II]]+Table25[[#This Row],[t3_Ph_III]])</f>
        <v>0.25444048797960422</v>
      </c>
      <c r="V99" s="292">
        <f>MAX(Table25[[#This Row],[I_0]:[I_2]])-MIN(Table25[[#This Row],[I_0]:[I_1]])</f>
        <v>4.2619847232764521</v>
      </c>
      <c r="W99"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10.179884722927444</v>
      </c>
      <c r="X99" s="345">
        <f>(Table25[[#This Row],[Irms Lf]]^2*Rdcr*(1+Ltc*Ta-Ltc*25))/(1-Table25[[#This Row],[Irms Lf]]^2*Rdcr*Ltc*ThetaCa)</f>
        <v>0.3406534652940002</v>
      </c>
      <c r="Y99" s="345">
        <f>ABS(7.759*10^-3*Fsw^0.9458*(0.00787*Table25[[#This Row],[Ripple Current pk-pk]])^2.304)</f>
        <v>0.61535642055069428</v>
      </c>
      <c r="Z99" s="345">
        <f>Table25[[#This Row],[DCR    Loss]]+Table25[[#This Row],[Core Loss]]</f>
        <v>0.95600988584469448</v>
      </c>
      <c r="AA99" s="292">
        <f>IF(Table25[[#This Row],[Vin]]&gt;Vout, Table25[[#This Row],[Ripple Current pk-pk]]/SQRT(12), SQRT(Table25[[#This Row],[Duty Cycle BOOST Leg]]/(1-Table25[[#This Row],[Duty Cycle BOOST Leg]]))*SQRT(Table25[[#This Row],[Iout]]^2+(Table25[[#This Row],[Ripple Current pk-pk]]^2)/12))</f>
        <v>4.2671141614654688</v>
      </c>
      <c r="AB99" s="345">
        <f>RCoutEsr*Table25[[#This Row],[Irms Cout]]^2</f>
        <v>3.6416526533958306E-2</v>
      </c>
      <c r="AC99" s="345">
        <f>Table25[[#This Row],[Cout ESR Loss]]</f>
        <v>3.6416526533958306E-2</v>
      </c>
      <c r="AD99" s="292">
        <f>IF(Table25[[#This Row],[Vin]]&gt;Vout, SQRT(Table25[[#This Row],[Duty Cycle BUCK Leg]]*(1-Table25[[#This Row],[Duty Cycle BUCK Leg]]))*SQRT(Table25[[#This Row],[Iout]]^2+(Table25[[#This Row],[Ripple Current pk-pk]]^2)/12), Table25[[#This Row],[Ripple Current pk-pk]]/SQRT(12))</f>
        <v>1.2303290136328662</v>
      </c>
      <c r="AE99" s="345">
        <f>RCinEsr*Table25[[#This Row],[Irms Cin]]^2</f>
        <v>3.0274189635736428E-3</v>
      </c>
      <c r="AF99" s="683">
        <f>Table25[[#This Row],[Cin ESR Loss]]</f>
        <v>3.0274189635736428E-3</v>
      </c>
      <c r="AG99" s="345">
        <f>Table25[[#This Row],[Irms Lf]]</f>
        <v>10.179884722927444</v>
      </c>
      <c r="AH99" s="345">
        <f>Rdson1*Table25[[#This Row],[Irms BuCtrl]]^2</f>
        <v>0.3627051854023205</v>
      </c>
      <c r="AI99" s="345">
        <f>CHOOSE(Table25[[#This Row],[Mode Digit]], (Table25[[#This Row],[Vin]]*Table25[[#This Row],[Iout]]/2)*(Fsw)*(Tr_buck+Tf_buck), 0, (Table25[[#This Row],[Vin]]*Table25[[#This Row],[Avg IL]]/2)*(Fsw/1)*(Tr_buck+Tf_buck))</f>
        <v>0</v>
      </c>
      <c r="AJ99" s="253">
        <f>IF(Table25[[#This Row],[Vin]]&gt;Vout, IF(Table25[[#This Row],[Iout]]&gt;Table25[[#This Row],[Ripple Current pk-pk]]/2,0,ABS(Table25[[#This Row],[Iout]]-Table25[[#This Row],[Ripple Current pk-pk]]/2)*Vsd_Q1*Deadtime*Fsw),0)</f>
        <v>0</v>
      </c>
      <c r="AK99" s="345">
        <f>(Table25[[#This Row],[Dead Time Loss BuCtrl]]+Table25[[#This Row],[Transition Loss BuCtrl]]+Table25[[#This Row],[RDS(on) Loss BuCtrl]]*(1+RdsonTopTc*Ta-RdsonTopTc*25))/(1-Table25[[#This Row],[RDS(on) Loss BuCtrl]]*RdsonTopTc*ThetaJA_Q1)</f>
        <v>0.40047093547637203</v>
      </c>
      <c r="AL99" s="345">
        <f>Table25[[#This Row],[Irms Lf]]</f>
        <v>10.179884722927444</v>
      </c>
      <c r="AM99" s="345">
        <f>Rdson2*Table25[[#This Row],[Irms BuSync]]^2</f>
        <v>0.3627051854023205</v>
      </c>
      <c r="AN99"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99" s="345">
        <f>(Table25[[#This Row],[Deadtime Loss BuSync]]+Table25[[#This Row],[RDS(on) Loss BuSync]]*(1+RdsonBotTc*Ta-RdsonBotTc*25))/(1-Table25[[#This Row],[RDS(on) Loss BuSync]]*RdsonBotTc*ThetaJA_Q2)</f>
        <v>0.40047093547637203</v>
      </c>
      <c r="AP99" s="345">
        <f>Table25[[#This Row],[Irms Lf]]</f>
        <v>10.179884722927444</v>
      </c>
      <c r="AQ99" s="345">
        <f>Rdson4*Table25[[#This Row],[Irms BoCtlr]]^2</f>
        <v>0.3627051854023205</v>
      </c>
      <c r="AR99" s="345">
        <f>CHOOSE(Table25[[#This Row],[Mode Digit]], 0, (Vout*Table25[[#This Row],[Iin]]/2)*(Fsw)*(Tr_boost+Tf_boost), (Vout*Iout/2)*(Fsw/1)*(Tr_boost+Tf_boost))</f>
        <v>0.60081247435783947</v>
      </c>
      <c r="AS99" s="345">
        <f>IF(Table25[[#This Row],[Vin]]&gt;Vout, 0, IF(Table25[[#This Row],[Iin]]&gt;Table25[[#This Row],[Ripple Current pk-pk]]/2,0,ABS(Table25[[#This Row],[Iin]]-Table25[[#This Row],[Ripple Current pk-pk]]/2)*Vsd_Q4*Deadtime*Fsw))</f>
        <v>0</v>
      </c>
      <c r="AT99" s="345">
        <f>(Table25[[#This Row],[Dead Time Loss BoCtlr]]+Table25[[#This Row],[Transition Loss BoCtlr]]+Table25[[#This Row],[RDS(on) Loss BoCtlr]]*(1+RdsonTopTc*Ta-RdsonTopTc*25))/(1-Table25[[#This Row],[RDS(on) Loss BoCtlr]]*RdsonTopTc*ThetaJA_Q4)</f>
        <v>1.0638414725837206</v>
      </c>
      <c r="AU99" s="345">
        <f>Table25[[#This Row],[Irms Lf]]</f>
        <v>10.179884722927444</v>
      </c>
      <c r="AV99" s="345">
        <f>Rdson3*Table25[[#This Row],[Irms BoSync]]^2</f>
        <v>0.3627051854023205</v>
      </c>
      <c r="AW99"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0.30164210526315788</v>
      </c>
      <c r="AX99" s="345">
        <f>(Table25[[#This Row],[Deadtime Loss BoSync]]+Table25[[#This Row],[RDS(on) Loss BoSync]]*(1+RdsonBotTc*Ta-RdsonBotTc*25))/(1-Table25[[#This Row],[RDS(on) Loss BoSync]]*RdsonBotTc*ThetaJA_Q3)</f>
        <v>0.73352075371871761</v>
      </c>
      <c r="AY99" s="345">
        <f>CHOOSE(Table25[[#This Row],[Mode Digit]], Rdson3*Table25[[#This Row],[Irms Lf]]^2, Rdson1*Table25[[#This Row],[Irms Lf]]^2, 0)</f>
        <v>0.3627051854023205</v>
      </c>
      <c r="AZ99" s="345">
        <f>CHOOSE(Table25[[#This Row],[Mode Digit]], 2*Deadtime*Fsw*IF(VfdSky_Q2&gt;0,VfdSky_Q2,0)*Table25[[#This Row],[Iout]], 2*Deadtime*Fsw*IF(VfdSky_Q3&gt;0,VfdSky_Q3,0)*Table25[[#This Row],[Iin]], 2*Deadtime*Fsw*IF(VfdSky_Q2&gt;0,VfdSky_Q2,0)*Table25[[#This Row],[Iout]]+2*Deadtime*Fsw*IF(VfdSky_Q3&gt;0,VfdSky_Q3,0)*Table25[[#This Row],[Iin]])</f>
        <v>0</v>
      </c>
      <c r="BA99"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99"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99" s="345">
        <f>CHOOSE(Table25[[#This Row],[Mode Digit]], Rs*Table25[[#This Row],[Irms BuSync]]^2, Rs*Table25[[#This Row],[Irms BoCtlr]]^2, Rs*(Table25[[#This Row],[Irms BuSync]]^2+Table25[[#This Row],[Irms BoCtlr]]^2))</f>
        <v>0.13471906886371904</v>
      </c>
      <c r="BD99" s="345">
        <f t="shared" si="9"/>
        <v>0.64</v>
      </c>
      <c r="BE99" s="345">
        <f>IF(Vout&gt;8, Iq*Vout, Iq*Table25[[#This Row],[Vin]])</f>
        <v>4.8000000000000001E-2</v>
      </c>
      <c r="BF99" s="345">
        <f>CHOOSE(Table25[[#This Row],[Mode Digit]], (Qg_Q1+Qg_Q2)*Fsw, (Qg_Q3+Qg_Q4)*Fsw, (Qg_Q1+Qg_Q2+Qg_Q3+Qg_Q4)*Fsw)*IF(Vout&gt;8,  MIN( Table25[[#This Row],[Vin]], Vout), Table25[[#This Row],[Vin]])</f>
        <v>0.63998400000000011</v>
      </c>
      <c r="BG99" s="345">
        <f t="shared" si="10"/>
        <v>0.50594479787234037</v>
      </c>
      <c r="BH99" s="345">
        <f>Table25[[#This Row],[IQ Loss]]+Table25[[#This Row],[Switching Current Loss]]</f>
        <v>0.68798400000000015</v>
      </c>
      <c r="BI99"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5.7696769974611266</v>
      </c>
      <c r="BJ99" s="253">
        <f>Vout*Table25[[#This Row],[Iout]]</f>
        <v>115.2</v>
      </c>
      <c r="BK99" s="684">
        <f>Table25[[#This Row],[Pout]]/(Table25[[#This Row],[Pout]]+Table25[[#This Row],[Total Loss]])</f>
        <v>0.95230476644504702</v>
      </c>
      <c r="BL99" s="685">
        <f>IF(Table25[[#This Row],[Vin]]&gt;Vout,ThetaJA_Q1*(Table25[[#This Row],[Total Control Bu MOSFET Loss]]+Table25[[#This Row],[Reverse Recovery Loss MOSFET D BUCK]]),ThetaJA_Q4*(Table25[[#This Row],[Total Control Bo MOSFET Loss]]+Table25[[#This Row],[Reverse Recovery Loss MOSFET D BOOST]]))</f>
        <v>92.32921571794185</v>
      </c>
      <c r="BM99" s="685">
        <f>IF(Table25[[#This Row],[Vin]]&gt;Vout, Table25[[#This Row],[Total Sync Bu MOSFET Loss]]*ThetaJA_Q2, ThetaJA_Q3*Table25[[#This Row],[Total Sync Bo MOSFET Loss]])</f>
        <v>47.678848991716642</v>
      </c>
      <c r="BN99" s="640"/>
      <c r="BO99" s="292">
        <f>Table25[[#This Row],[EFF, h]]*100</f>
        <v>95.230476644504705</v>
      </c>
      <c r="BP99" s="345">
        <f>Table25[[#This Row],[Total Inductor Loss]]</f>
        <v>0.95600988584469448</v>
      </c>
      <c r="BQ99" s="345">
        <f>Table25[[#This Row],[Total Control Bu MOSFET Loss]]+Table25[[#This Row],[Total Sync Bu MOSFET Loss]]+Table25[[#This Row],[Total Control Bo MOSFET Loss]]+Table25[[#This Row],[Total Sync Bo MOSFET Loss]]+Table25[[#This Row],[Reverse Recovery Loss MOSFET D BUCK]]+Table25[[#This Row],[Reverse Recovery Loss MOSFET D BOOST]]</f>
        <v>3.3115200972551824</v>
      </c>
      <c r="BR99" s="345">
        <f xml:space="preserve"> Table25[[#This Row],[Total Control Bu MOSFET Loss]]+Table25[[#This Row],[Reverse Recovery Loss MOSFET D BUCK]]*0.66</f>
        <v>0.63583221547637203</v>
      </c>
      <c r="BS99" s="345">
        <f>Table25[[#This Row],[Total Sync Bu MOSFET Loss]]+Table25[[#This Row],[Reverse Recovery Loss MOSFET D BUCK]]*0.33</f>
        <v>0.51815157547637203</v>
      </c>
      <c r="BT99" s="345">
        <f xml:space="preserve"> Table25[[#This Row],[Total Control Bo MOSFET Loss]]+Table25[[#This Row],[Reverse Recovery Loss MOSFET D BOOST]]*0.66</f>
        <v>1.2992027525837206</v>
      </c>
      <c r="BU99" s="345">
        <f xml:space="preserve"> Table25[[#This Row],[Total Sync Bo MOSFET Loss]]+Table25[[#This Row],[Reverse Recovery Loss MOSFET D BOOST]]*0.33</f>
        <v>0.85120139371871761</v>
      </c>
      <c r="BV99" s="345">
        <f>Table25[[#This Row],[Isense Shunt Loss]]</f>
        <v>0.13471906886371904</v>
      </c>
      <c r="CB99" s="686"/>
      <c r="CC99" s="686"/>
    </row>
    <row r="100" spans="7:81" x14ac:dyDescent="0.2">
      <c r="G100" s="253">
        <v>91</v>
      </c>
      <c r="H100" s="286">
        <f t="shared" si="8"/>
        <v>12</v>
      </c>
      <c r="I100" s="292" t="str">
        <f>IF(Mode = 2,IF(Table25[[#This Row],[Vin]]&gt;Vout, "BUCK","BOOST"),IF(Table25[[#This Row],[Vin]]&gt;VIN_BB_to_buck, "BUCK", IF(Table25[[#This Row],[Vin]]&lt;=VIN_boost_to_BB,"BOOST","BUCK-BST")))</f>
        <v>BOOST</v>
      </c>
      <c r="J100" s="253">
        <f>IF(Table25[[#This Row],[Mode]]="BOOST",2, IF(Table25[[#This Row],[Mode]]="BUCK", 1,3))</f>
        <v>2</v>
      </c>
      <c r="K100" s="345">
        <f t="shared" si="11"/>
        <v>7.28</v>
      </c>
      <c r="L100" s="292">
        <f>Vout*Table25[[#This Row],[Iout]]/(Table25[[#This Row],[Vin]]*Efficiency)</f>
        <v>10.217543859649124</v>
      </c>
      <c r="M100" s="682">
        <f>CHOOSE(Table25[[#This Row],[Mode Digit]],(Vout+(Rdson2+Rs+Rdcr)*Table25[[#This Row],[Iout]])/(Table25[[#This Row],[Vin]]+(Rs+Rdson2-Rdson1)*Table25[[#This Row],[Iout]])/Fsw,(Vout+(Rdson3+Rdcr)*Table25[[#This Row],[Iin]]-Table25[[#This Row],[Vin]])/(Vout+(Rdson3-Rdson4-Rs)*Table25[[#This Row],[Iin]])/Fsw,t1_Ph_II)</f>
        <v>6.3942177821303533E-7</v>
      </c>
      <c r="N100" s="518">
        <f>CHOOSE(Table25[[#This Row],[Mode Digit]],1/Fsw-Table25[[#This Row],[t1_Ph_II]],1/Fsw-Table25[[#This Row],[t1_Ph_II]],(Vout/Fsw-Table25[[#This Row],[Vin]]*t1_Ph_II)/(Table25[[#This Row],[Vin]]+Vout))</f>
        <v>1.8731410358573166E-6</v>
      </c>
      <c r="O100" s="518">
        <f>1/Fsw-(Table25[[#This Row],[t1_Ph_II]]+Table25[[#This Row],[t2_Ph_I]])</f>
        <v>0</v>
      </c>
      <c r="P100"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8.0861379322723401</v>
      </c>
      <c r="Q100" s="292">
        <f>CHOOSE(Table25[[#This Row],[Mode Digit]],Table25[[#This Row],[I_0]]+1/Lf*(Table25[[#This Row],[Vin]]-Vout)*Table25[[#This Row],[t1_Ph_II]],Table25[[#This Row],[I_0]]+1/Lf*Table25[[#This Row],[Vin]]*Table25[[#This Row],[t1_Ph_II]],Table25[[#This Row],[I_0]]+(Table25[[#This Row],[Vin]]-Vout)/L*Table25[[#This Row],[t1_Ph_II]])</f>
        <v>12.348949787025909</v>
      </c>
      <c r="R100" s="292">
        <f>CHOOSE(Table25[[#This Row],[Mode Digit]],0,0,Table25[[#This Row],[I_1]]+Table25[[#This Row],[Vin]]/L*Table25[[#This Row],[t2_Ph_I]])</f>
        <v>0</v>
      </c>
      <c r="S100" s="292">
        <f>Fsw*(Table25[[#This Row],[I_0]]*Table25[[#This Row],[t1_Ph_II]]+Table25[[#This Row],[I_1]]*Table25[[#This Row],[t2_Ph_I]]+Table25[[#This Row],[I_2]]*Table25[[#This Row],[t3_Ph_III]])</f>
        <v>11.264107361956963</v>
      </c>
      <c r="T100" s="345">
        <f>CHOOSE(Table25[[#This Row],[Mode Digit]],(Vout+(Rdson2+Rs+Rdcr)*Table25[[#This Row],[Iout]])/(Table25[[#This Row],[Vin]]+(Rs+Rdson2-Rdson1)*Table25[[#This Row],[Iout]]),1,Fsw*Table25[[#This Row],[t2_Ph_I]]+Table25[[#This Row],[t1_Ph_II]])</f>
        <v>1</v>
      </c>
      <c r="U100" s="345">
        <f>CHOOSE(Table25[[#This Row],[Mode Digit]],0,(Vout+(Rdson3+Rdcr)*Table25[[#This Row],[Iin]]-Table25[[#This Row],[Vin]])/(Vout+(Rdson3-Rdson4-Rs)*Table25[[#This Row],[Iin]]),Fsw*Table25[[#This Row],[t1_Ph_II]]+Table25[[#This Row],[t3_Ph_III]])</f>
        <v>0.25448986772878807</v>
      </c>
      <c r="V100" s="292">
        <f>MAX(Table25[[#This Row],[I_0]:[I_2]])-MIN(Table25[[#This Row],[I_0]:[I_1]])</f>
        <v>4.2628118547535685</v>
      </c>
      <c r="W100"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10.291379868589335</v>
      </c>
      <c r="X100" s="345">
        <f>(Table25[[#This Row],[Irms Lf]]^2*Rdcr*(1+Ltc*Ta-Ltc*25))/(1-Table25[[#This Row],[Irms Lf]]^2*Rdcr*Ltc*ThetaCa)</f>
        <v>0.34836543987358737</v>
      </c>
      <c r="Y100" s="345">
        <f>ABS(7.759*10^-3*Fsw^0.9458*(0.00787*Table25[[#This Row],[Ripple Current pk-pk]])^2.304)</f>
        <v>0.61563160685890317</v>
      </c>
      <c r="Z100" s="345">
        <f>Table25[[#This Row],[DCR    Loss]]+Table25[[#This Row],[Core Loss]]</f>
        <v>0.96399704673249054</v>
      </c>
      <c r="AA100" s="292">
        <f>IF(Table25[[#This Row],[Vin]]&gt;Vout, Table25[[#This Row],[Ripple Current pk-pk]]/SQRT(12), SQRT(Table25[[#This Row],[Duty Cycle BOOST Leg]]/(1-Table25[[#This Row],[Duty Cycle BOOST Leg]]))*SQRT(Table25[[#This Row],[Iout]]^2+(Table25[[#This Row],[Ripple Current pk-pk]]^2)/12))</f>
        <v>4.3137731970901729</v>
      </c>
      <c r="AB100" s="345">
        <f>RCoutEsr*Table25[[#This Row],[Irms Cout]]^2</f>
        <v>3.7217278391867149E-2</v>
      </c>
      <c r="AC100" s="345">
        <f>Table25[[#This Row],[Cout ESR Loss]]</f>
        <v>3.7217278391867149E-2</v>
      </c>
      <c r="AD100" s="292">
        <f>IF(Table25[[#This Row],[Vin]]&gt;Vout, SQRT(Table25[[#This Row],[Duty Cycle BUCK Leg]]*(1-Table25[[#This Row],[Duty Cycle BUCK Leg]]))*SQRT(Table25[[#This Row],[Iout]]^2+(Table25[[#This Row],[Ripple Current pk-pk]]^2)/12), Table25[[#This Row],[Ripple Current pk-pk]]/SQRT(12))</f>
        <v>1.2305677859233504</v>
      </c>
      <c r="AE100" s="345">
        <f>RCinEsr*Table25[[#This Row],[Irms Cin]]^2</f>
        <v>3.0285941515045935E-3</v>
      </c>
      <c r="AF100" s="683">
        <f>Table25[[#This Row],[Cin ESR Loss]]</f>
        <v>3.0285941515045935E-3</v>
      </c>
      <c r="AG100" s="345">
        <f>Table25[[#This Row],[Irms Lf]]</f>
        <v>10.291379868589335</v>
      </c>
      <c r="AH100" s="345">
        <f>Rdson1*Table25[[#This Row],[Irms BuCtrl]]^2</f>
        <v>0.37069374859862042</v>
      </c>
      <c r="AI100" s="345">
        <f>CHOOSE(Table25[[#This Row],[Mode Digit]], (Table25[[#This Row],[Vin]]*Table25[[#This Row],[Iout]]/2)*(Fsw)*(Tr_buck+Tf_buck), 0, (Table25[[#This Row],[Vin]]*Table25[[#This Row],[Avg IL]]/2)*(Fsw/1)*(Tr_buck+Tf_buck))</f>
        <v>0</v>
      </c>
      <c r="AJ100" s="253">
        <f>IF(Table25[[#This Row],[Vin]]&gt;Vout, IF(Table25[[#This Row],[Iout]]&gt;Table25[[#This Row],[Ripple Current pk-pk]]/2,0,ABS(Table25[[#This Row],[Iout]]-Table25[[#This Row],[Ripple Current pk-pk]]/2)*Vsd_Q1*Deadtime*Fsw),0)</f>
        <v>0</v>
      </c>
      <c r="AK100" s="345">
        <f>(Table25[[#This Row],[Dead Time Loss BuCtrl]]+Table25[[#This Row],[Transition Loss BuCtrl]]+Table25[[#This Row],[RDS(on) Loss BuCtrl]]*(1+RdsonTopTc*Ta-RdsonTopTc*25))/(1-Table25[[#This Row],[RDS(on) Loss BuCtrl]]*RdsonTopTc*ThetaJA_Q1)</f>
        <v>0.41023206910667614</v>
      </c>
      <c r="AL100" s="345">
        <f>Table25[[#This Row],[Irms Lf]]</f>
        <v>10.291379868589335</v>
      </c>
      <c r="AM100" s="345">
        <f>Rdson2*Table25[[#This Row],[Irms BuSync]]^2</f>
        <v>0.37069374859862042</v>
      </c>
      <c r="AN100"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100" s="345">
        <f>(Table25[[#This Row],[Deadtime Loss BuSync]]+Table25[[#This Row],[RDS(on) Loss BuSync]]*(1+RdsonBotTc*Ta-RdsonBotTc*25))/(1-Table25[[#This Row],[RDS(on) Loss BuSync]]*RdsonBotTc*ThetaJA_Q2)</f>
        <v>0.41023206910667614</v>
      </c>
      <c r="AP100" s="345">
        <f>Table25[[#This Row],[Irms Lf]]</f>
        <v>10.291379868589335</v>
      </c>
      <c r="AQ100" s="345">
        <f>Rdson4*Table25[[#This Row],[Irms BoCtlr]]^2</f>
        <v>0.37069374859862042</v>
      </c>
      <c r="AR100" s="345">
        <f>CHOOSE(Table25[[#This Row],[Mode Digit]], 0, (Vout*Table25[[#This Row],[Iin]]/2)*(Fsw)*(Tr_boost+Tf_boost), (Vout*Iout/2)*(Fsw/1)*(Tr_boost+Tf_boost))</f>
        <v>0.60748816851737109</v>
      </c>
      <c r="AS100" s="345">
        <f>IF(Table25[[#This Row],[Vin]]&gt;Vout, 0, IF(Table25[[#This Row],[Iin]]&gt;Table25[[#This Row],[Ripple Current pk-pk]]/2,0,ABS(Table25[[#This Row],[Iin]]-Table25[[#This Row],[Ripple Current pk-pk]]/2)*Vsd_Q4*Deadtime*Fsw))</f>
        <v>0</v>
      </c>
      <c r="AT100" s="345">
        <f>(Table25[[#This Row],[Dead Time Loss BoCtlr]]+Table25[[#This Row],[Transition Loss BoCtlr]]+Table25[[#This Row],[RDS(on) Loss BoCtlr]]*(1+RdsonTopTc*Ta-RdsonTopTc*25))/(1-Table25[[#This Row],[RDS(on) Loss BoCtlr]]*RdsonTopTc*ThetaJA_Q4)</f>
        <v>1.0825151309895109</v>
      </c>
      <c r="AU100" s="345">
        <f>Table25[[#This Row],[Irms Lf]]</f>
        <v>10.291379868589335</v>
      </c>
      <c r="AV100" s="345">
        <f>Rdson3*Table25[[#This Row],[Irms BoSync]]^2</f>
        <v>0.37069374859862042</v>
      </c>
      <c r="AW100"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0.30499368421052631</v>
      </c>
      <c r="AX100" s="345">
        <f>(Table25[[#This Row],[Deadtime Loss BoSync]]+Table25[[#This Row],[RDS(on) Loss BoSync]]*(1+RdsonBotTc*Ta-RdsonBotTc*25))/(1-Table25[[#This Row],[RDS(on) Loss BoSync]]*RdsonBotTc*ThetaJA_Q3)</f>
        <v>0.74775648275312201</v>
      </c>
      <c r="AY100" s="345">
        <f>CHOOSE(Table25[[#This Row],[Mode Digit]], Rdson3*Table25[[#This Row],[Irms Lf]]^2, Rdson1*Table25[[#This Row],[Irms Lf]]^2, 0)</f>
        <v>0.37069374859862042</v>
      </c>
      <c r="AZ100" s="345">
        <f>CHOOSE(Table25[[#This Row],[Mode Digit]], 2*Deadtime*Fsw*IF(VfdSky_Q2&gt;0,VfdSky_Q2,0)*Table25[[#This Row],[Iout]], 2*Deadtime*Fsw*IF(VfdSky_Q3&gt;0,VfdSky_Q3,0)*Table25[[#This Row],[Iin]], 2*Deadtime*Fsw*IF(VfdSky_Q2&gt;0,VfdSky_Q2,0)*Table25[[#This Row],[Iout]]+2*Deadtime*Fsw*IF(VfdSky_Q3&gt;0,VfdSky_Q3,0)*Table25[[#This Row],[Iin]])</f>
        <v>0</v>
      </c>
      <c r="BA100"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100"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100" s="345">
        <f>CHOOSE(Table25[[#This Row],[Mode Digit]], Rs*Table25[[#This Row],[Irms BuSync]]^2, Rs*Table25[[#This Row],[Irms BoCtlr]]^2, Rs*(Table25[[#This Row],[Irms BuSync]]^2+Table25[[#This Row],[Irms BoCtlr]]^2))</f>
        <v>0.13768624947948757</v>
      </c>
      <c r="BD100" s="345">
        <f t="shared" si="9"/>
        <v>0.64</v>
      </c>
      <c r="BE100" s="345">
        <f>IF(Vout&gt;8, Iq*Vout, Iq*Table25[[#This Row],[Vin]])</f>
        <v>4.8000000000000001E-2</v>
      </c>
      <c r="BF100" s="345">
        <f>CHOOSE(Table25[[#This Row],[Mode Digit]], (Qg_Q1+Qg_Q2)*Fsw, (Qg_Q3+Qg_Q4)*Fsw, (Qg_Q1+Qg_Q2+Qg_Q3+Qg_Q4)*Fsw)*IF(Vout&gt;8,  MIN( Table25[[#This Row],[Vin]], Vout), Table25[[#This Row],[Vin]])</f>
        <v>0.63998400000000011</v>
      </c>
      <c r="BG100" s="345">
        <f t="shared" si="10"/>
        <v>0.50594479787234037</v>
      </c>
      <c r="BH100" s="345">
        <f>Table25[[#This Row],[IQ Loss]]+Table25[[#This Row],[Switching Current Loss]]</f>
        <v>0.68798400000000015</v>
      </c>
      <c r="BI100"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5.833864920711334</v>
      </c>
      <c r="BJ100" s="253">
        <f>Vout*Table25[[#This Row],[Iout]]</f>
        <v>116.48</v>
      </c>
      <c r="BK100" s="684">
        <f>Table25[[#This Row],[Pout]]/(Table25[[#This Row],[Pout]]+Table25[[#This Row],[Total Loss]])</f>
        <v>0.95230414046279155</v>
      </c>
      <c r="BL100" s="685">
        <f>IF(Table25[[#This Row],[Vin]]&gt;Vout,ThetaJA_Q1*(Table25[[#This Row],[Total Control Bu MOSFET Loss]]+Table25[[#This Row],[Reverse Recovery Loss MOSFET D BUCK]]),ThetaJA_Q4*(Table25[[#This Row],[Total Control Bo MOSFET Loss]]+Table25[[#This Row],[Reverse Recovery Loss MOSFET D BOOST]]))</f>
        <v>93.543003514318215</v>
      </c>
      <c r="BM100" s="685">
        <f>IF(Table25[[#This Row],[Vin]]&gt;Vout, Table25[[#This Row],[Total Sync Bu MOSFET Loss]]*ThetaJA_Q2, ThetaJA_Q3*Table25[[#This Row],[Total Sync Bo MOSFET Loss]])</f>
        <v>48.604171378952934</v>
      </c>
      <c r="BN100" s="640"/>
      <c r="BO100" s="292">
        <f>Table25[[#This Row],[EFF, h]]*100</f>
        <v>95.230414046279151</v>
      </c>
      <c r="BP100" s="345">
        <f>Table25[[#This Row],[Total Inductor Loss]]</f>
        <v>0.96399704673249054</v>
      </c>
      <c r="BQ100" s="345">
        <f>Table25[[#This Row],[Total Control Bu MOSFET Loss]]+Table25[[#This Row],[Total Sync Bu MOSFET Loss]]+Table25[[#This Row],[Total Control Bo MOSFET Loss]]+Table25[[#This Row],[Total Sync Bo MOSFET Loss]]+Table25[[#This Row],[Reverse Recovery Loss MOSFET D BUCK]]+Table25[[#This Row],[Reverse Recovery Loss MOSFET D BOOST]]</f>
        <v>3.3639517519559856</v>
      </c>
      <c r="BR100" s="345">
        <f xml:space="preserve"> Table25[[#This Row],[Total Control Bu MOSFET Loss]]+Table25[[#This Row],[Reverse Recovery Loss MOSFET D BUCK]]*0.66</f>
        <v>0.6455933491066761</v>
      </c>
      <c r="BS100" s="345">
        <f>Table25[[#This Row],[Total Sync Bu MOSFET Loss]]+Table25[[#This Row],[Reverse Recovery Loss MOSFET D BUCK]]*0.33</f>
        <v>0.5279127091066762</v>
      </c>
      <c r="BT100" s="345">
        <f xml:space="preserve"> Table25[[#This Row],[Total Control Bo MOSFET Loss]]+Table25[[#This Row],[Reverse Recovery Loss MOSFET D BOOST]]*0.66</f>
        <v>1.3178764109895109</v>
      </c>
      <c r="BU100" s="345">
        <f xml:space="preserve"> Table25[[#This Row],[Total Sync Bo MOSFET Loss]]+Table25[[#This Row],[Reverse Recovery Loss MOSFET D BOOST]]*0.33</f>
        <v>0.86543712275312201</v>
      </c>
      <c r="BV100" s="345">
        <f>Table25[[#This Row],[Isense Shunt Loss]]</f>
        <v>0.13768624947948757</v>
      </c>
      <c r="CB100" s="686"/>
      <c r="CC100" s="686"/>
    </row>
    <row r="101" spans="7:81" x14ac:dyDescent="0.2">
      <c r="G101" s="253">
        <v>92</v>
      </c>
      <c r="H101" s="286">
        <f t="shared" si="8"/>
        <v>12</v>
      </c>
      <c r="I101" s="292" t="str">
        <f>IF(Mode = 2,IF(Table25[[#This Row],[Vin]]&gt;Vout, "BUCK","BOOST"),IF(Table25[[#This Row],[Vin]]&gt;VIN_BB_to_buck, "BUCK", IF(Table25[[#This Row],[Vin]]&lt;=VIN_boost_to_BB,"BOOST","BUCK-BST")))</f>
        <v>BOOST</v>
      </c>
      <c r="J101" s="253">
        <f>IF(Table25[[#This Row],[Mode]]="BOOST",2, IF(Table25[[#This Row],[Mode]]="BUCK", 1,3))</f>
        <v>2</v>
      </c>
      <c r="K101" s="345">
        <f t="shared" si="11"/>
        <v>7.36</v>
      </c>
      <c r="L101" s="292">
        <f>Vout*Table25[[#This Row],[Iout]]/(Table25[[#This Row],[Vin]]*Efficiency)</f>
        <v>10.329824561403511</v>
      </c>
      <c r="M101" s="682">
        <f>CHOOSE(Table25[[#This Row],[Mode Digit]],(Vout+(Rdson2+Rs+Rdcr)*Table25[[#This Row],[Iout]])/(Table25[[#This Row],[Vin]]+(Rs+Rdson2-Rdson1)*Table25[[#This Row],[Iout]])/Fsw,(Vout+(Rdson3+Rdcr)*Table25[[#This Row],[Iin]]-Table25[[#This Row],[Vin]])/(Vout+(Rdson3-Rdson4-Rs)*Table25[[#This Row],[Iin]])/Fsw,t1_Ph_II)</f>
        <v>6.3954585020023315E-7</v>
      </c>
      <c r="N101" s="518">
        <f>CHOOSE(Table25[[#This Row],[Mode Digit]],1/Fsw-Table25[[#This Row],[t1_Ph_II]],1/Fsw-Table25[[#This Row],[t1_Ph_II]],(Vout/Fsw-Table25[[#This Row],[Vin]]*t1_Ph_II)/(Table25[[#This Row],[Vin]]+Vout))</f>
        <v>1.8730169638701187E-6</v>
      </c>
      <c r="O101" s="518">
        <f>1/Fsw-(Table25[[#This Row],[t1_Ph_II]]+Table25[[#This Row],[t2_Ph_I]])</f>
        <v>0</v>
      </c>
      <c r="P101"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8.1980050607360671</v>
      </c>
      <c r="Q101" s="292">
        <f>CHOOSE(Table25[[#This Row],[Mode Digit]],Table25[[#This Row],[I_0]]+1/Lf*(Table25[[#This Row],[Vin]]-Vout)*Table25[[#This Row],[t1_Ph_II]],Table25[[#This Row],[I_0]]+1/Lf*Table25[[#This Row],[Vin]]*Table25[[#This Row],[t1_Ph_II]],Table25[[#This Row],[I_0]]+(Table25[[#This Row],[Vin]]-Vout)/L*Table25[[#This Row],[t1_Ph_II]])</f>
        <v>12.461644062070954</v>
      </c>
      <c r="R101" s="292">
        <f>CHOOSE(Table25[[#This Row],[Mode Digit]],0,0,Table25[[#This Row],[I_1]]+Table25[[#This Row],[Vin]]/L*Table25[[#This Row],[t2_Ph_I]])</f>
        <v>0</v>
      </c>
      <c r="S101" s="292">
        <f>Fsw*(Table25[[#This Row],[I_0]]*Table25[[#This Row],[t1_Ph_II]]+Table25[[#This Row],[I_1]]*Table25[[#This Row],[t2_Ph_I]]+Table25[[#This Row],[I_2]]*Table25[[#This Row],[t3_Ph_III]])</f>
        <v>11.376380595308827</v>
      </c>
      <c r="T101" s="345">
        <f>CHOOSE(Table25[[#This Row],[Mode Digit]],(Vout+(Rdson2+Rs+Rdcr)*Table25[[#This Row],[Iout]])/(Table25[[#This Row],[Vin]]+(Rs+Rdson2-Rdson1)*Table25[[#This Row],[Iout]]),1,Fsw*Table25[[#This Row],[t2_Ph_I]]+Table25[[#This Row],[t1_Ph_II]])</f>
        <v>1</v>
      </c>
      <c r="U101" s="345">
        <f>CHOOSE(Table25[[#This Row],[Mode Digit]],0,(Vout+(Rdson3+Rdcr)*Table25[[#This Row],[Iin]]-Table25[[#This Row],[Vin]])/(Vout+(Rdson3-Rdson4-Rs)*Table25[[#This Row],[Iin]]),Fsw*Table25[[#This Row],[t1_Ph_II]]+Table25[[#This Row],[t3_Ph_III]])</f>
        <v>0.25453924837969277</v>
      </c>
      <c r="V101" s="292">
        <f>MAX(Table25[[#This Row],[I_0]:[I_2]])-MIN(Table25[[#This Row],[I_0]:[I_1]])</f>
        <v>4.2636390013348873</v>
      </c>
      <c r="W101"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10.402891918300918</v>
      </c>
      <c r="X101" s="345">
        <f>(Table25[[#This Row],[Irms Lf]]^2*Rdcr*(1+Ltc*Ta-Ltc*25))/(1-Table25[[#This Row],[Irms Lf]]^2*Rdcr*Ltc*ThetaCa)</f>
        <v>0.35617203138986081</v>
      </c>
      <c r="Y101" s="345">
        <f>ABS(7.759*10^-3*Fsw^0.9458*(0.00787*Table25[[#This Row],[Ripple Current pk-pk]])^2.304)</f>
        <v>0.61590686783081106</v>
      </c>
      <c r="Z101" s="345">
        <f>Table25[[#This Row],[DCR    Loss]]+Table25[[#This Row],[Core Loss]]</f>
        <v>0.97207889922067192</v>
      </c>
      <c r="AA101" s="292">
        <f>IF(Table25[[#This Row],[Vin]]&gt;Vout, Table25[[#This Row],[Ripple Current pk-pk]]/SQRT(12), SQRT(Table25[[#This Row],[Duty Cycle BOOST Leg]]/(1-Table25[[#This Row],[Duty Cycle BOOST Leg]]))*SQRT(Table25[[#This Row],[Iout]]^2+(Table25[[#This Row],[Ripple Current pk-pk]]^2)/12))</f>
        <v>4.3604578237671543</v>
      </c>
      <c r="AB101" s="345">
        <f>RCoutEsr*Table25[[#This Row],[Irms Cout]]^2</f>
        <v>3.8027184865704382E-2</v>
      </c>
      <c r="AC101" s="345">
        <f>Table25[[#This Row],[Cout ESR Loss]]</f>
        <v>3.8027184865704382E-2</v>
      </c>
      <c r="AD101" s="292">
        <f>IF(Table25[[#This Row],[Vin]]&gt;Vout, SQRT(Table25[[#This Row],[Duty Cycle BUCK Leg]]*(1-Table25[[#This Row],[Duty Cycle BUCK Leg]]))*SQRT(Table25[[#This Row],[Iout]]^2+(Table25[[#This Row],[Ripple Current pk-pk]]^2)/12), Table25[[#This Row],[Ripple Current pk-pk]]/SQRT(12))</f>
        <v>1.2308065625740423</v>
      </c>
      <c r="AE101" s="345">
        <f>RCinEsr*Table25[[#This Row],[Irms Cin]]^2</f>
        <v>3.0297695889506598E-3</v>
      </c>
      <c r="AF101" s="683">
        <f>Table25[[#This Row],[Cin ESR Loss]]</f>
        <v>3.0297695889506598E-3</v>
      </c>
      <c r="AG101" s="345">
        <f>Table25[[#This Row],[Irms Lf]]</f>
        <v>10.402891918300918</v>
      </c>
      <c r="AH101" s="345">
        <f>Rdson1*Table25[[#This Row],[Irms BuCtrl]]^2</f>
        <v>0.37877056092347694</v>
      </c>
      <c r="AI101" s="345">
        <f>CHOOSE(Table25[[#This Row],[Mode Digit]], (Table25[[#This Row],[Vin]]*Table25[[#This Row],[Iout]]/2)*(Fsw)*(Tr_buck+Tf_buck), 0, (Table25[[#This Row],[Vin]]*Table25[[#This Row],[Avg IL]]/2)*(Fsw/1)*(Tr_buck+Tf_buck))</f>
        <v>0</v>
      </c>
      <c r="AJ101" s="253">
        <f>IF(Table25[[#This Row],[Vin]]&gt;Vout, IF(Table25[[#This Row],[Iout]]&gt;Table25[[#This Row],[Ripple Current pk-pk]]/2,0,ABS(Table25[[#This Row],[Iout]]-Table25[[#This Row],[Ripple Current pk-pk]]/2)*Vsd_Q1*Deadtime*Fsw),0)</f>
        <v>0</v>
      </c>
      <c r="AK101" s="345">
        <f>(Table25[[#This Row],[Dead Time Loss BuCtrl]]+Table25[[#This Row],[Transition Loss BuCtrl]]+Table25[[#This Row],[RDS(on) Loss BuCtrl]]*(1+RdsonTopTc*Ta-RdsonTopTc*25))/(1-Table25[[#This Row],[RDS(on) Loss BuCtrl]]*RdsonTopTc*ThetaJA_Q1)</f>
        <v>0.4201467590592286</v>
      </c>
      <c r="AL101" s="345">
        <f>Table25[[#This Row],[Irms Lf]]</f>
        <v>10.402891918300918</v>
      </c>
      <c r="AM101" s="345">
        <f>Rdson2*Table25[[#This Row],[Irms BuSync]]^2</f>
        <v>0.37877056092347694</v>
      </c>
      <c r="AN101"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101" s="345">
        <f>(Table25[[#This Row],[Deadtime Loss BuSync]]+Table25[[#This Row],[RDS(on) Loss BuSync]]*(1+RdsonBotTc*Ta-RdsonBotTc*25))/(1-Table25[[#This Row],[RDS(on) Loss BuSync]]*RdsonBotTc*ThetaJA_Q2)</f>
        <v>0.4201467590592286</v>
      </c>
      <c r="AP101" s="345">
        <f>Table25[[#This Row],[Irms Lf]]</f>
        <v>10.402891918300918</v>
      </c>
      <c r="AQ101" s="345">
        <f>Rdson4*Table25[[#This Row],[Irms BoCtlr]]^2</f>
        <v>0.37877056092347694</v>
      </c>
      <c r="AR101" s="345">
        <f>CHOOSE(Table25[[#This Row],[Mode Digit]], 0, (Vout*Table25[[#This Row],[Iin]]/2)*(Fsw)*(Tr_boost+Tf_boost), (Vout*Iout/2)*(Fsw/1)*(Tr_boost+Tf_boost))</f>
        <v>0.61416386267690271</v>
      </c>
      <c r="AS101" s="345">
        <f>IF(Table25[[#This Row],[Vin]]&gt;Vout, 0, IF(Table25[[#This Row],[Iin]]&gt;Table25[[#This Row],[Ripple Current pk-pk]]/2,0,ABS(Table25[[#This Row],[Iin]]-Table25[[#This Row],[Ripple Current pk-pk]]/2)*Vsd_Q4*Deadtime*Fsw))</f>
        <v>0</v>
      </c>
      <c r="AT101" s="345">
        <f>(Table25[[#This Row],[Dead Time Loss BoCtlr]]+Table25[[#This Row],[Transition Loss BoCtlr]]+Table25[[#This Row],[RDS(on) Loss BoCtlr]]*(1+RdsonTopTc*Ta-RdsonTopTc*25))/(1-Table25[[#This Row],[RDS(on) Loss BoCtlr]]*RdsonTopTc*ThetaJA_Q4)</f>
        <v>1.1014007504092307</v>
      </c>
      <c r="AU101" s="345">
        <f>Table25[[#This Row],[Irms Lf]]</f>
        <v>10.402891918300918</v>
      </c>
      <c r="AV101" s="345">
        <f>Rdson3*Table25[[#This Row],[Irms BoSync]]^2</f>
        <v>0.37877056092347694</v>
      </c>
      <c r="AW101"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0.30834526315789473</v>
      </c>
      <c r="AX101" s="345">
        <f>(Table25[[#This Row],[Deadtime Loss BoSync]]+Table25[[#This Row],[RDS(on) Loss BoSync]]*(1+RdsonBotTc*Ta-RdsonBotTc*25))/(1-Table25[[#This Row],[RDS(on) Loss BoSync]]*RdsonBotTc*ThetaJA_Q3)</f>
        <v>0.76217509059375754</v>
      </c>
      <c r="AY101" s="345">
        <f>CHOOSE(Table25[[#This Row],[Mode Digit]], Rdson3*Table25[[#This Row],[Irms Lf]]^2, Rdson1*Table25[[#This Row],[Irms Lf]]^2, 0)</f>
        <v>0.37877056092347694</v>
      </c>
      <c r="AZ101" s="345">
        <f>CHOOSE(Table25[[#This Row],[Mode Digit]], 2*Deadtime*Fsw*IF(VfdSky_Q2&gt;0,VfdSky_Q2,0)*Table25[[#This Row],[Iout]], 2*Deadtime*Fsw*IF(VfdSky_Q3&gt;0,VfdSky_Q3,0)*Table25[[#This Row],[Iin]], 2*Deadtime*Fsw*IF(VfdSky_Q2&gt;0,VfdSky_Q2,0)*Table25[[#This Row],[Iout]]+2*Deadtime*Fsw*IF(VfdSky_Q3&gt;0,VfdSky_Q3,0)*Table25[[#This Row],[Iin]])</f>
        <v>0</v>
      </c>
      <c r="BA101"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101"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101" s="345">
        <f>CHOOSE(Table25[[#This Row],[Mode Digit]], Rs*Table25[[#This Row],[Irms BuSync]]^2, Rs*Table25[[#This Row],[Irms BoCtlr]]^2, Rs*(Table25[[#This Row],[Irms BuSync]]^2+Table25[[#This Row],[Irms BoCtlr]]^2))</f>
        <v>0.14068620834300571</v>
      </c>
      <c r="BD101" s="345">
        <f t="shared" si="9"/>
        <v>0.64</v>
      </c>
      <c r="BE101" s="345">
        <f>IF(Vout&gt;8, Iq*Vout, Iq*Table25[[#This Row],[Vin]])</f>
        <v>4.8000000000000001E-2</v>
      </c>
      <c r="BF101" s="345">
        <f>CHOOSE(Table25[[#This Row],[Mode Digit]], (Qg_Q1+Qg_Q2)*Fsw, (Qg_Q3+Qg_Q4)*Fsw, (Qg_Q1+Qg_Q2+Qg_Q3+Qg_Q4)*Fsw)*IF(Vout&gt;8,  MIN( Table25[[#This Row],[Vin]], Vout), Table25[[#This Row],[Vin]])</f>
        <v>0.63998400000000011</v>
      </c>
      <c r="BG101" s="345">
        <f t="shared" si="10"/>
        <v>0.50594479787234037</v>
      </c>
      <c r="BH101" s="345">
        <f>Table25[[#This Row],[IQ Loss]]+Table25[[#This Row],[Switching Current Loss]]</f>
        <v>0.68798400000000015</v>
      </c>
      <c r="BI101"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5.8988914211397772</v>
      </c>
      <c r="BJ101" s="253">
        <f>Vout*Table25[[#This Row],[Iout]]</f>
        <v>117.76</v>
      </c>
      <c r="BK101" s="684">
        <f>Table25[[#This Row],[Pout]]/(Table25[[#This Row],[Pout]]+Table25[[#This Row],[Total Loss]])</f>
        <v>0.9522970701633563</v>
      </c>
      <c r="BL101" s="685">
        <f>IF(Table25[[#This Row],[Vin]]&gt;Vout,ThetaJA_Q1*(Table25[[#This Row],[Total Control Bu MOSFET Loss]]+Table25[[#This Row],[Reverse Recovery Loss MOSFET D BUCK]]),ThetaJA_Q4*(Table25[[#This Row],[Total Control Bo MOSFET Loss]]+Table25[[#This Row],[Reverse Recovery Loss MOSFET D BOOST]]))</f>
        <v>94.770568776600001</v>
      </c>
      <c r="BM101" s="685">
        <f>IF(Table25[[#This Row],[Vin]]&gt;Vout, Table25[[#This Row],[Total Sync Bu MOSFET Loss]]*ThetaJA_Q2, ThetaJA_Q3*Table25[[#This Row],[Total Sync Bo MOSFET Loss]])</f>
        <v>49.54138088859424</v>
      </c>
      <c r="BN101" s="640"/>
      <c r="BO101" s="292">
        <f>Table25[[#This Row],[EFF, h]]*100</f>
        <v>95.229707016335624</v>
      </c>
      <c r="BP101" s="345">
        <f>Table25[[#This Row],[Total Inductor Loss]]</f>
        <v>0.97207889922067192</v>
      </c>
      <c r="BQ101" s="345">
        <f>Table25[[#This Row],[Total Control Bu MOSFET Loss]]+Table25[[#This Row],[Total Sync Bu MOSFET Loss]]+Table25[[#This Row],[Total Control Bo MOSFET Loss]]+Table25[[#This Row],[Total Sync Bo MOSFET Loss]]+Table25[[#This Row],[Reverse Recovery Loss MOSFET D BUCK]]+Table25[[#This Row],[Reverse Recovery Loss MOSFET D BOOST]]</f>
        <v>3.4170853591214456</v>
      </c>
      <c r="BR101" s="345">
        <f xml:space="preserve"> Table25[[#This Row],[Total Control Bu MOSFET Loss]]+Table25[[#This Row],[Reverse Recovery Loss MOSFET D BUCK]]*0.66</f>
        <v>0.65550803905922861</v>
      </c>
      <c r="BS101" s="345">
        <f>Table25[[#This Row],[Total Sync Bu MOSFET Loss]]+Table25[[#This Row],[Reverse Recovery Loss MOSFET D BUCK]]*0.33</f>
        <v>0.53782739905922861</v>
      </c>
      <c r="BT101" s="345">
        <f xml:space="preserve"> Table25[[#This Row],[Total Control Bo MOSFET Loss]]+Table25[[#This Row],[Reverse Recovery Loss MOSFET D BOOST]]*0.66</f>
        <v>1.3367620304092307</v>
      </c>
      <c r="BU101" s="345">
        <f xml:space="preserve"> Table25[[#This Row],[Total Sync Bo MOSFET Loss]]+Table25[[#This Row],[Reverse Recovery Loss MOSFET D BOOST]]*0.33</f>
        <v>0.87985573059375755</v>
      </c>
      <c r="BV101" s="345">
        <f>Table25[[#This Row],[Isense Shunt Loss]]</f>
        <v>0.14068620834300571</v>
      </c>
      <c r="CB101" s="686"/>
      <c r="CC101" s="686"/>
    </row>
    <row r="102" spans="7:81" x14ac:dyDescent="0.2">
      <c r="G102" s="253">
        <v>93</v>
      </c>
      <c r="H102" s="286">
        <f t="shared" si="8"/>
        <v>12</v>
      </c>
      <c r="I102" s="292" t="str">
        <f>IF(Mode = 2,IF(Table25[[#This Row],[Vin]]&gt;Vout, "BUCK","BOOST"),IF(Table25[[#This Row],[Vin]]&gt;VIN_BB_to_buck, "BUCK", IF(Table25[[#This Row],[Vin]]&lt;=VIN_boost_to_BB,"BOOST","BUCK-BST")))</f>
        <v>BOOST</v>
      </c>
      <c r="J102" s="253">
        <f>IF(Table25[[#This Row],[Mode]]="BOOST",2, IF(Table25[[#This Row],[Mode]]="BUCK", 1,3))</f>
        <v>2</v>
      </c>
      <c r="K102" s="345">
        <f t="shared" si="11"/>
        <v>7.44</v>
      </c>
      <c r="L102" s="292">
        <f>Vout*Table25[[#This Row],[Iout]]/(Table25[[#This Row],[Vin]]*Efficiency)</f>
        <v>10.442105263157897</v>
      </c>
      <c r="M102" s="682">
        <f>CHOOSE(Table25[[#This Row],[Mode Digit]],(Vout+(Rdson2+Rs+Rdcr)*Table25[[#This Row],[Iout]])/(Table25[[#This Row],[Vin]]+(Rs+Rdson2-Rdson1)*Table25[[#This Row],[Iout]])/Fsw,(Vout+(Rdson3+Rdcr)*Table25[[#This Row],[Iin]]-Table25[[#This Row],[Vin]])/(Vout+(Rdson3-Rdson4-Rs)*Table25[[#This Row],[Iin]])/Fsw,t1_Ph_II)</f>
        <v>6.3966992445312223E-7</v>
      </c>
      <c r="N102" s="518">
        <f>CHOOSE(Table25[[#This Row],[Mode Digit]],1/Fsw-Table25[[#This Row],[t1_Ph_II]],1/Fsw-Table25[[#This Row],[t1_Ph_II]],(Vout/Fsw-Table25[[#This Row],[Vin]]*t1_Ph_II)/(Table25[[#This Row],[Vin]]+Vout))</f>
        <v>1.8728928896172298E-6</v>
      </c>
      <c r="O102" s="518">
        <f>1/Fsw-(Table25[[#This Row],[t1_Ph_II]]+Table25[[#This Row],[t2_Ph_I]])</f>
        <v>0</v>
      </c>
      <c r="P102"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8.3098721816474903</v>
      </c>
      <c r="Q102" s="292">
        <f>CHOOSE(Table25[[#This Row],[Mode Digit]],Table25[[#This Row],[I_0]]+1/Lf*(Table25[[#This Row],[Vin]]-Vout)*Table25[[#This Row],[t1_Ph_II]],Table25[[#This Row],[I_0]]+1/Lf*Table25[[#This Row],[Vin]]*Table25[[#This Row],[t1_Ph_II]],Table25[[#This Row],[I_0]]+(Table25[[#This Row],[Vin]]-Vout)/L*Table25[[#This Row],[t1_Ph_II]])</f>
        <v>12.574338344668305</v>
      </c>
      <c r="R102" s="292">
        <f>CHOOSE(Table25[[#This Row],[Mode Digit]],0,0,Table25[[#This Row],[I_1]]+Table25[[#This Row],[Vin]]/L*Table25[[#This Row],[t2_Ph_I]])</f>
        <v>0</v>
      </c>
      <c r="S102" s="292">
        <f>Fsw*(Table25[[#This Row],[I_0]]*Table25[[#This Row],[t1_Ph_II]]+Table25[[#This Row],[I_1]]*Table25[[#This Row],[t2_Ph_I]]+Table25[[#This Row],[I_2]]*Table25[[#This Row],[t3_Ph_III]])</f>
        <v>11.488653746832002</v>
      </c>
      <c r="T102" s="345">
        <f>CHOOSE(Table25[[#This Row],[Mode Digit]],(Vout+(Rdson2+Rs+Rdcr)*Table25[[#This Row],[Iout]])/(Table25[[#This Row],[Vin]]+(Rs+Rdson2-Rdson1)*Table25[[#This Row],[Iout]]),1,Fsw*Table25[[#This Row],[t2_Ph_I]]+Table25[[#This Row],[t1_Ph_II]])</f>
        <v>1</v>
      </c>
      <c r="U102" s="345">
        <f>CHOOSE(Table25[[#This Row],[Mode Digit]],0,(Vout+(Rdson3+Rdcr)*Table25[[#This Row],[Iin]]-Table25[[#This Row],[Vin]])/(Vout+(Rdson3-Rdson4-Rs)*Table25[[#This Row],[Iin]]),Fsw*Table25[[#This Row],[t1_Ph_II]]+Table25[[#This Row],[t3_Ph_III]])</f>
        <v>0.25458862993234266</v>
      </c>
      <c r="V102" s="292">
        <f>MAX(Table25[[#This Row],[I_0]:[I_2]])-MIN(Table25[[#This Row],[I_0]:[I_1]])</f>
        <v>4.2644661630208152</v>
      </c>
      <c r="W102"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10.514420334228243</v>
      </c>
      <c r="X102" s="345">
        <f>(Table25[[#This Row],[Irms Lf]]^2*Rdcr*(1+Ltc*Ta-Ltc*25))/(1-Table25[[#This Row],[Irms Lf]]^2*Rdcr*Ltc*ThetaCa)</f>
        <v>0.36407356798769125</v>
      </c>
      <c r="Y102" s="345">
        <f>ABS(7.759*10^-3*Fsw^0.9458*(0.00787*Table25[[#This Row],[Ripple Current pk-pk]])^2.304)</f>
        <v>0.61618220347447572</v>
      </c>
      <c r="Z102" s="345">
        <f>Table25[[#This Row],[DCR    Loss]]+Table25[[#This Row],[Core Loss]]</f>
        <v>0.98025577146216691</v>
      </c>
      <c r="AA102" s="292">
        <f>IF(Table25[[#This Row],[Vin]]&gt;Vout, Table25[[#This Row],[Ripple Current pk-pk]]/SQRT(12), SQRT(Table25[[#This Row],[Duty Cycle BOOST Leg]]/(1-Table25[[#This Row],[Duty Cycle BOOST Leg]]))*SQRT(Table25[[#This Row],[Iout]]^2+(Table25[[#This Row],[Ripple Current pk-pk]]^2)/12))</f>
        <v>4.4071676207091492</v>
      </c>
      <c r="AB102" s="345">
        <f>RCoutEsr*Table25[[#This Row],[Irms Cout]]^2</f>
        <v>3.8846252874054285E-2</v>
      </c>
      <c r="AC102" s="345">
        <f>Table25[[#This Row],[Cout ESR Loss]]</f>
        <v>3.8846252874054285E-2</v>
      </c>
      <c r="AD102" s="292">
        <f>IF(Table25[[#This Row],[Vin]]&gt;Vout, SQRT(Table25[[#This Row],[Duty Cycle BUCK Leg]]*(1-Table25[[#This Row],[Duty Cycle BUCK Leg]]))*SQRT(Table25[[#This Row],[Iout]]^2+(Table25[[#This Row],[Ripple Current pk-pk]]^2)/12), Table25[[#This Row],[Ripple Current pk-pk]]/SQRT(12))</f>
        <v>1.2310453435850592</v>
      </c>
      <c r="AE102" s="345">
        <f>RCinEsr*Table25[[#This Row],[Irms Cin]]^2</f>
        <v>3.0309452759249133E-3</v>
      </c>
      <c r="AF102" s="683">
        <f>Table25[[#This Row],[Cin ESR Loss]]</f>
        <v>3.0309452759249133E-3</v>
      </c>
      <c r="AG102" s="345">
        <f>Table25[[#This Row],[Irms Lf]]</f>
        <v>10.514420334228243</v>
      </c>
      <c r="AH102" s="345">
        <f>Rdson1*Table25[[#This Row],[Irms BuCtrl]]^2</f>
        <v>0.38693562237691326</v>
      </c>
      <c r="AI102" s="345">
        <f>CHOOSE(Table25[[#This Row],[Mode Digit]], (Table25[[#This Row],[Vin]]*Table25[[#This Row],[Iout]]/2)*(Fsw)*(Tr_buck+Tf_buck), 0, (Table25[[#This Row],[Vin]]*Table25[[#This Row],[Avg IL]]/2)*(Fsw/1)*(Tr_buck+Tf_buck))</f>
        <v>0</v>
      </c>
      <c r="AJ102" s="253">
        <f>IF(Table25[[#This Row],[Vin]]&gt;Vout, IF(Table25[[#This Row],[Iout]]&gt;Table25[[#This Row],[Ripple Current pk-pk]]/2,0,ABS(Table25[[#This Row],[Iout]]-Table25[[#This Row],[Ripple Current pk-pk]]/2)*Vsd_Q1*Deadtime*Fsw),0)</f>
        <v>0</v>
      </c>
      <c r="AK102" s="345">
        <f>(Table25[[#This Row],[Dead Time Loss BuCtrl]]+Table25[[#This Row],[Transition Loss BuCtrl]]+Table25[[#This Row],[RDS(on) Loss BuCtrl]]*(1+RdsonTopTc*Ta-RdsonTopTc*25))/(1-Table25[[#This Row],[RDS(on) Loss BuCtrl]]*RdsonTopTc*ThetaJA_Q1)</f>
        <v>0.43021683974421165</v>
      </c>
      <c r="AL102" s="345">
        <f>Table25[[#This Row],[Irms Lf]]</f>
        <v>10.514420334228243</v>
      </c>
      <c r="AM102" s="345">
        <f>Rdson2*Table25[[#This Row],[Irms BuSync]]^2</f>
        <v>0.38693562237691326</v>
      </c>
      <c r="AN102"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102" s="345">
        <f>(Table25[[#This Row],[Deadtime Loss BuSync]]+Table25[[#This Row],[RDS(on) Loss BuSync]]*(1+RdsonBotTc*Ta-RdsonBotTc*25))/(1-Table25[[#This Row],[RDS(on) Loss BuSync]]*RdsonBotTc*ThetaJA_Q2)</f>
        <v>0.43021683974421165</v>
      </c>
      <c r="AP102" s="345">
        <f>Table25[[#This Row],[Irms Lf]]</f>
        <v>10.514420334228243</v>
      </c>
      <c r="AQ102" s="345">
        <f>Rdson4*Table25[[#This Row],[Irms BoCtlr]]^2</f>
        <v>0.38693562237691326</v>
      </c>
      <c r="AR102" s="345">
        <f>CHOOSE(Table25[[#This Row],[Mode Digit]], 0, (Vout*Table25[[#This Row],[Iin]]/2)*(Fsw)*(Tr_boost+Tf_boost), (Vout*Iout/2)*(Fsw/1)*(Tr_boost+Tf_boost))</f>
        <v>0.62083955683643421</v>
      </c>
      <c r="AS102" s="345">
        <f>IF(Table25[[#This Row],[Vin]]&gt;Vout, 0, IF(Table25[[#This Row],[Iin]]&gt;Table25[[#This Row],[Ripple Current pk-pk]]/2,0,ABS(Table25[[#This Row],[Iin]]-Table25[[#This Row],[Ripple Current pk-pk]]/2)*Vsd_Q4*Deadtime*Fsw))</f>
        <v>0</v>
      </c>
      <c r="AT102" s="345">
        <f>(Table25[[#This Row],[Dead Time Loss BoCtlr]]+Table25[[#This Row],[Transition Loss BoCtlr]]+Table25[[#This Row],[RDS(on) Loss BoCtlr]]*(1+RdsonTopTc*Ta-RdsonTopTc*25))/(1-Table25[[#This Row],[RDS(on) Loss BoCtlr]]*RdsonTopTc*ThetaJA_Q4)</f>
        <v>1.1205012609345413</v>
      </c>
      <c r="AU102" s="345">
        <f>Table25[[#This Row],[Irms Lf]]</f>
        <v>10.514420334228243</v>
      </c>
      <c r="AV102" s="345">
        <f>Rdson3*Table25[[#This Row],[Irms BoSync]]^2</f>
        <v>0.38693562237691326</v>
      </c>
      <c r="AW102"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0.31169684210526316</v>
      </c>
      <c r="AX102" s="345">
        <f>(Table25[[#This Row],[Deadtime Loss BoSync]]+Table25[[#This Row],[RDS(on) Loss BoSync]]*(1+RdsonBotTc*Ta-RdsonBotTc*25))/(1-Table25[[#This Row],[RDS(on) Loss BoSync]]*RdsonBotTc*ThetaJA_Q3)</f>
        <v>0.77677896174535677</v>
      </c>
      <c r="AY102" s="345">
        <f>CHOOSE(Table25[[#This Row],[Mode Digit]], Rdson3*Table25[[#This Row],[Irms Lf]]^2, Rdson1*Table25[[#This Row],[Irms Lf]]^2, 0)</f>
        <v>0.38693562237691326</v>
      </c>
      <c r="AZ102" s="345">
        <f>CHOOSE(Table25[[#This Row],[Mode Digit]], 2*Deadtime*Fsw*IF(VfdSky_Q2&gt;0,VfdSky_Q2,0)*Table25[[#This Row],[Iout]], 2*Deadtime*Fsw*IF(VfdSky_Q3&gt;0,VfdSky_Q3,0)*Table25[[#This Row],[Iin]], 2*Deadtime*Fsw*IF(VfdSky_Q2&gt;0,VfdSky_Q2,0)*Table25[[#This Row],[Iout]]+2*Deadtime*Fsw*IF(VfdSky_Q3&gt;0,VfdSky_Q3,0)*Table25[[#This Row],[Iin]])</f>
        <v>0</v>
      </c>
      <c r="BA102"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102"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102" s="345">
        <f>CHOOSE(Table25[[#This Row],[Mode Digit]], Rs*Table25[[#This Row],[Irms BuSync]]^2, Rs*Table25[[#This Row],[Irms BoCtlr]]^2, Rs*(Table25[[#This Row],[Irms BuSync]]^2+Table25[[#This Row],[Irms BoCtlr]]^2))</f>
        <v>0.14371894545428204</v>
      </c>
      <c r="BD102" s="345">
        <f t="shared" si="9"/>
        <v>0.64</v>
      </c>
      <c r="BE102" s="345">
        <f>IF(Vout&gt;8, Iq*Vout, Iq*Table25[[#This Row],[Vin]])</f>
        <v>4.8000000000000001E-2</v>
      </c>
      <c r="BF102" s="345">
        <f>CHOOSE(Table25[[#This Row],[Mode Digit]], (Qg_Q1+Qg_Q2)*Fsw, (Qg_Q3+Qg_Q4)*Fsw, (Qg_Q1+Qg_Q2+Qg_Q3+Qg_Q4)*Fsw)*IF(Vout&gt;8,  MIN( Table25[[#This Row],[Vin]], Vout), Table25[[#This Row],[Vin]])</f>
        <v>0.63998400000000011</v>
      </c>
      <c r="BG102" s="345">
        <f t="shared" si="10"/>
        <v>0.50594479787234037</v>
      </c>
      <c r="BH102" s="345">
        <f>Table25[[#This Row],[IQ Loss]]+Table25[[#This Row],[Switching Current Loss]]</f>
        <v>0.68798400000000015</v>
      </c>
      <c r="BI102"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5.9647658172347491</v>
      </c>
      <c r="BJ102" s="253">
        <f>Vout*Table25[[#This Row],[Iout]]</f>
        <v>119.04</v>
      </c>
      <c r="BK102" s="684">
        <f>Table25[[#This Row],[Pout]]/(Table25[[#This Row],[Pout]]+Table25[[#This Row],[Total Loss]])</f>
        <v>0.95228369271971891</v>
      </c>
      <c r="BL102" s="685">
        <f>IF(Table25[[#This Row],[Vin]]&gt;Vout,ThetaJA_Q1*(Table25[[#This Row],[Total Control Bu MOSFET Loss]]+Table25[[#This Row],[Reverse Recovery Loss MOSFET D BUCK]]),ThetaJA_Q4*(Table25[[#This Row],[Total Control Bo MOSFET Loss]]+Table25[[#This Row],[Reverse Recovery Loss MOSFET D BOOST]]))</f>
        <v>96.012101960745184</v>
      </c>
      <c r="BM102" s="685">
        <f>IF(Table25[[#This Row],[Vin]]&gt;Vout, Table25[[#This Row],[Total Sync Bu MOSFET Loss]]*ThetaJA_Q2, ThetaJA_Q3*Table25[[#This Row],[Total Sync Bo MOSFET Loss]])</f>
        <v>50.49063251344819</v>
      </c>
      <c r="BN102" s="640"/>
      <c r="BO102" s="292">
        <f>Table25[[#This Row],[EFF, h]]*100</f>
        <v>95.228369271971886</v>
      </c>
      <c r="BP102" s="345">
        <f>Table25[[#This Row],[Total Inductor Loss]]</f>
        <v>0.98025577146216691</v>
      </c>
      <c r="BQ102" s="345">
        <f>Table25[[#This Row],[Total Control Bu MOSFET Loss]]+Table25[[#This Row],[Total Sync Bu MOSFET Loss]]+Table25[[#This Row],[Total Control Bo MOSFET Loss]]+Table25[[#This Row],[Total Sync Bo MOSFET Loss]]+Table25[[#This Row],[Reverse Recovery Loss MOSFET D BUCK]]+Table25[[#This Row],[Reverse Recovery Loss MOSFET D BOOST]]</f>
        <v>3.4709299021683213</v>
      </c>
      <c r="BR102" s="345">
        <f xml:space="preserve"> Table25[[#This Row],[Total Control Bu MOSFET Loss]]+Table25[[#This Row],[Reverse Recovery Loss MOSFET D BUCK]]*0.66</f>
        <v>0.66557811974421166</v>
      </c>
      <c r="BS102" s="345">
        <f>Table25[[#This Row],[Total Sync Bu MOSFET Loss]]+Table25[[#This Row],[Reverse Recovery Loss MOSFET D BUCK]]*0.33</f>
        <v>0.54789747974421166</v>
      </c>
      <c r="BT102" s="345">
        <f xml:space="preserve"> Table25[[#This Row],[Total Control Bo MOSFET Loss]]+Table25[[#This Row],[Reverse Recovery Loss MOSFET D BOOST]]*0.66</f>
        <v>1.3558625409345413</v>
      </c>
      <c r="BU102" s="345">
        <f xml:space="preserve"> Table25[[#This Row],[Total Sync Bo MOSFET Loss]]+Table25[[#This Row],[Reverse Recovery Loss MOSFET D BOOST]]*0.33</f>
        <v>0.89445960174535677</v>
      </c>
      <c r="BV102" s="345">
        <f>Table25[[#This Row],[Isense Shunt Loss]]</f>
        <v>0.14371894545428204</v>
      </c>
      <c r="CB102" s="686"/>
      <c r="CC102" s="686"/>
    </row>
    <row r="103" spans="7:81" x14ac:dyDescent="0.2">
      <c r="G103" s="253">
        <v>94</v>
      </c>
      <c r="H103" s="286">
        <f t="shared" si="8"/>
        <v>12</v>
      </c>
      <c r="I103" s="292" t="str">
        <f>IF(Mode = 2,IF(Table25[[#This Row],[Vin]]&gt;Vout, "BUCK","BOOST"),IF(Table25[[#This Row],[Vin]]&gt;VIN_BB_to_buck, "BUCK", IF(Table25[[#This Row],[Vin]]&lt;=VIN_boost_to_BB,"BOOST","BUCK-BST")))</f>
        <v>BOOST</v>
      </c>
      <c r="J103" s="253">
        <f>IF(Table25[[#This Row],[Mode]]="BOOST",2, IF(Table25[[#This Row],[Mode]]="BUCK", 1,3))</f>
        <v>2</v>
      </c>
      <c r="K103" s="345">
        <f t="shared" si="11"/>
        <v>7.52</v>
      </c>
      <c r="L103" s="292">
        <f>Vout*Table25[[#This Row],[Iout]]/(Table25[[#This Row],[Vin]]*Efficiency)</f>
        <v>10.554385964912282</v>
      </c>
      <c r="M103" s="682">
        <f>CHOOSE(Table25[[#This Row],[Mode Digit]],(Vout+(Rdson2+Rs+Rdcr)*Table25[[#This Row],[Iout]])/(Table25[[#This Row],[Vin]]+(Rs+Rdson2-Rdson1)*Table25[[#This Row],[Iout]])/Fsw,(Vout+(Rdson3+Rdcr)*Table25[[#This Row],[Iin]]-Table25[[#This Row],[Vin]])/(Vout+(Rdson3-Rdson4-Rs)*Table25[[#This Row],[Iin]])/Fsw,t1_Ph_II)</f>
        <v>6.3979400097176516E-7</v>
      </c>
      <c r="N103" s="518">
        <f>CHOOSE(Table25[[#This Row],[Mode Digit]],1/Fsw-Table25[[#This Row],[t1_Ph_II]],1/Fsw-Table25[[#This Row],[t1_Ph_II]],(Vout/Fsw-Table25[[#This Row],[Vin]]*t1_Ph_II)/(Table25[[#This Row],[Vin]]+Vout))</f>
        <v>1.8727688130985867E-6</v>
      </c>
      <c r="O103" s="518">
        <f>1/Fsw-(Table25[[#This Row],[t1_Ph_II]]+Table25[[#This Row],[t2_Ph_I]])</f>
        <v>0</v>
      </c>
      <c r="P103"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8.4217392950063985</v>
      </c>
      <c r="Q103" s="292">
        <f>CHOOSE(Table25[[#This Row],[Mode Digit]],Table25[[#This Row],[I_0]]+1/Lf*(Table25[[#This Row],[Vin]]-Vout)*Table25[[#This Row],[t1_Ph_II]],Table25[[#This Row],[I_0]]+1/Lf*Table25[[#This Row],[Vin]]*Table25[[#This Row],[t1_Ph_II]],Table25[[#This Row],[I_0]]+(Table25[[#This Row],[Vin]]-Vout)/L*Table25[[#This Row],[t1_Ph_II]])</f>
        <v>12.687032634818166</v>
      </c>
      <c r="R103" s="292">
        <f>CHOOSE(Table25[[#This Row],[Mode Digit]],0,0,Table25[[#This Row],[I_1]]+Table25[[#This Row],[Vin]]/L*Table25[[#This Row],[t2_Ph_I]])</f>
        <v>0</v>
      </c>
      <c r="S103" s="292">
        <f>Fsw*(Table25[[#This Row],[I_0]]*Table25[[#This Row],[t1_Ph_II]]+Table25[[#This Row],[I_1]]*Table25[[#This Row],[t2_Ph_I]]+Table25[[#This Row],[I_2]]*Table25[[#This Row],[t3_Ph_III]])</f>
        <v>11.600926816522003</v>
      </c>
      <c r="T103" s="345">
        <f>CHOOSE(Table25[[#This Row],[Mode Digit]],(Vout+(Rdson2+Rs+Rdcr)*Table25[[#This Row],[Iout]])/(Table25[[#This Row],[Vin]]+(Rs+Rdson2-Rdson1)*Table25[[#This Row],[Iout]]),1,Fsw*Table25[[#This Row],[t2_Ph_I]]+Table25[[#This Row],[t1_Ph_II]])</f>
        <v>1</v>
      </c>
      <c r="U103" s="345">
        <f>CHOOSE(Table25[[#This Row],[Mode Digit]],0,(Vout+(Rdson3+Rdcr)*Table25[[#This Row],[Iin]]-Table25[[#This Row],[Vin]])/(Vout+(Rdson3-Rdson4-Rs)*Table25[[#This Row],[Iin]]),Fsw*Table25[[#This Row],[t1_Ph_II]]+Table25[[#This Row],[t3_Ph_III]])</f>
        <v>0.25463801238676254</v>
      </c>
      <c r="V103" s="292">
        <f>MAX(Table25[[#This Row],[I_0]:[I_2]])-MIN(Table25[[#This Row],[I_0]:[I_1]])</f>
        <v>4.2652933398117678</v>
      </c>
      <c r="W103"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10.625964601040113</v>
      </c>
      <c r="X103" s="345">
        <f>(Table25[[#This Row],[Irms Lf]]^2*Rdcr*(1+Ltc*Ta-Ltc*25))/(1-Table25[[#This Row],[Irms Lf]]^2*Rdcr*Ltc*ThetaCa)</f>
        <v>0.37207038240136925</v>
      </c>
      <c r="Y103" s="345">
        <f>ABS(7.759*10^-3*Fsw^0.9458*(0.00787*Table25[[#This Row],[Ripple Current pk-pk]])^2.304)</f>
        <v>0.61645761379795871</v>
      </c>
      <c r="Z103" s="345">
        <f>Table25[[#This Row],[DCR    Loss]]+Table25[[#This Row],[Core Loss]]</f>
        <v>0.98852799619932796</v>
      </c>
      <c r="AA103" s="292">
        <f>IF(Table25[[#This Row],[Vin]]&gt;Vout, Table25[[#This Row],[Ripple Current pk-pk]]/SQRT(12), SQRT(Table25[[#This Row],[Duty Cycle BOOST Leg]]/(1-Table25[[#This Row],[Duty Cycle BOOST Leg]]))*SQRT(Table25[[#This Row],[Iout]]^2+(Table25[[#This Row],[Ripple Current pk-pk]]^2)/12))</f>
        <v>4.4539021844663012</v>
      </c>
      <c r="AB103" s="345">
        <f>RCoutEsr*Table25[[#This Row],[Irms Cout]]^2</f>
        <v>3.9674489337587382E-2</v>
      </c>
      <c r="AC103" s="345">
        <f>Table25[[#This Row],[Cout ESR Loss]]</f>
        <v>3.9674489337587382E-2</v>
      </c>
      <c r="AD103" s="292">
        <f>IF(Table25[[#This Row],[Vin]]&gt;Vout, SQRT(Table25[[#This Row],[Duty Cycle BUCK Leg]]*(1-Table25[[#This Row],[Duty Cycle BUCK Leg]]))*SQRT(Table25[[#This Row],[Iout]]^2+(Table25[[#This Row],[Ripple Current pk-pk]]^2)/12), Table25[[#This Row],[Ripple Current pk-pk]]/SQRT(12))</f>
        <v>1.2312841289565211</v>
      </c>
      <c r="AE103" s="345">
        <f>RCinEsr*Table25[[#This Row],[Irms Cin]]^2</f>
        <v>3.0321212124404377E-3</v>
      </c>
      <c r="AF103" s="683">
        <f>Table25[[#This Row],[Cin ESR Loss]]</f>
        <v>3.0321212124404377E-3</v>
      </c>
      <c r="AG103" s="345">
        <f>Table25[[#This Row],[Irms Lf]]</f>
        <v>10.625964601040113</v>
      </c>
      <c r="AH103" s="345">
        <f>Rdson1*Table25[[#This Row],[Irms BuCtrl]]^2</f>
        <v>0.39518893295895152</v>
      </c>
      <c r="AI103" s="345">
        <f>CHOOSE(Table25[[#This Row],[Mode Digit]], (Table25[[#This Row],[Vin]]*Table25[[#This Row],[Iout]]/2)*(Fsw)*(Tr_buck+Tf_buck), 0, (Table25[[#This Row],[Vin]]*Table25[[#This Row],[Avg IL]]/2)*(Fsw/1)*(Tr_buck+Tf_buck))</f>
        <v>0</v>
      </c>
      <c r="AJ103" s="253">
        <f>IF(Table25[[#This Row],[Vin]]&gt;Vout, IF(Table25[[#This Row],[Iout]]&gt;Table25[[#This Row],[Ripple Current pk-pk]]/2,0,ABS(Table25[[#This Row],[Iout]]-Table25[[#This Row],[Ripple Current pk-pk]]/2)*Vsd_Q1*Deadtime*Fsw),0)</f>
        <v>0</v>
      </c>
      <c r="AK103" s="345">
        <f>(Table25[[#This Row],[Dead Time Loss BuCtrl]]+Table25[[#This Row],[Transition Loss BuCtrl]]+Table25[[#This Row],[RDS(on) Loss BuCtrl]]*(1+RdsonTopTc*Ta-RdsonTopTc*25))/(1-Table25[[#This Row],[RDS(on) Loss BuCtrl]]*RdsonTopTc*ThetaJA_Q1)</f>
        <v>0.4404441866812065</v>
      </c>
      <c r="AL103" s="345">
        <f>Table25[[#This Row],[Irms Lf]]</f>
        <v>10.625964601040113</v>
      </c>
      <c r="AM103" s="345">
        <f>Rdson2*Table25[[#This Row],[Irms BuSync]]^2</f>
        <v>0.39518893295895152</v>
      </c>
      <c r="AN103"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103" s="345">
        <f>(Table25[[#This Row],[Deadtime Loss BuSync]]+Table25[[#This Row],[RDS(on) Loss BuSync]]*(1+RdsonBotTc*Ta-RdsonBotTc*25))/(1-Table25[[#This Row],[RDS(on) Loss BuSync]]*RdsonBotTc*ThetaJA_Q2)</f>
        <v>0.4404441866812065</v>
      </c>
      <c r="AP103" s="345">
        <f>Table25[[#This Row],[Irms Lf]]</f>
        <v>10.625964601040113</v>
      </c>
      <c r="AQ103" s="345">
        <f>Rdson4*Table25[[#This Row],[Irms BoCtlr]]^2</f>
        <v>0.39518893295895152</v>
      </c>
      <c r="AR103" s="345">
        <f>CHOOSE(Table25[[#This Row],[Mode Digit]], 0, (Vout*Table25[[#This Row],[Iin]]/2)*(Fsw)*(Tr_boost+Tf_boost), (Vout*Iout/2)*(Fsw/1)*(Tr_boost+Tf_boost))</f>
        <v>0.62751525099596561</v>
      </c>
      <c r="AS103" s="345">
        <f>IF(Table25[[#This Row],[Vin]]&gt;Vout, 0, IF(Table25[[#This Row],[Iin]]&gt;Table25[[#This Row],[Ripple Current pk-pk]]/2,0,ABS(Table25[[#This Row],[Iin]]-Table25[[#This Row],[Ripple Current pk-pk]]/2)*Vsd_Q4*Deadtime*Fsw))</f>
        <v>0</v>
      </c>
      <c r="AT103" s="345">
        <f>(Table25[[#This Row],[Dead Time Loss BoCtlr]]+Table25[[#This Row],[Transition Loss BoCtlr]]+Table25[[#This Row],[RDS(on) Loss BoCtlr]]*(1+RdsonTopTc*Ta-RdsonTopTc*25))/(1-Table25[[#This Row],[RDS(on) Loss BoCtlr]]*RdsonTopTc*ThetaJA_Q4)</f>
        <v>1.1398196532094647</v>
      </c>
      <c r="AU103" s="345">
        <f>Table25[[#This Row],[Irms Lf]]</f>
        <v>10.625964601040113</v>
      </c>
      <c r="AV103" s="345">
        <f>Rdson3*Table25[[#This Row],[Irms BoSync]]^2</f>
        <v>0.39518893295895152</v>
      </c>
      <c r="AW103"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0.31504842105263153</v>
      </c>
      <c r="AX103" s="345">
        <f>(Table25[[#This Row],[Deadtime Loss BoSync]]+Table25[[#This Row],[RDS(on) Loss BoSync]]*(1+RdsonBotTc*Ta-RdsonBotTc*25))/(1-Table25[[#This Row],[RDS(on) Loss BoSync]]*RdsonBotTc*ThetaJA_Q3)</f>
        <v>0.79157053158352642</v>
      </c>
      <c r="AY103" s="345">
        <f>CHOOSE(Table25[[#This Row],[Mode Digit]], Rdson3*Table25[[#This Row],[Irms Lf]]^2, Rdson1*Table25[[#This Row],[Irms Lf]]^2, 0)</f>
        <v>0.39518893295895152</v>
      </c>
      <c r="AZ103" s="345">
        <f>CHOOSE(Table25[[#This Row],[Mode Digit]], 2*Deadtime*Fsw*IF(VfdSky_Q2&gt;0,VfdSky_Q2,0)*Table25[[#This Row],[Iout]], 2*Deadtime*Fsw*IF(VfdSky_Q3&gt;0,VfdSky_Q3,0)*Table25[[#This Row],[Iin]], 2*Deadtime*Fsw*IF(VfdSky_Q2&gt;0,VfdSky_Q2,0)*Table25[[#This Row],[Iout]]+2*Deadtime*Fsw*IF(VfdSky_Q3&gt;0,VfdSky_Q3,0)*Table25[[#This Row],[Iin]])</f>
        <v>0</v>
      </c>
      <c r="BA103"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103"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103" s="345">
        <f>CHOOSE(Table25[[#This Row],[Mode Digit]], Rs*Table25[[#This Row],[Irms BuSync]]^2, Rs*Table25[[#This Row],[Irms BoCtlr]]^2, Rs*(Table25[[#This Row],[Irms BuSync]]^2+Table25[[#This Row],[Irms BoCtlr]]^2))</f>
        <v>0.14678446081332483</v>
      </c>
      <c r="BD103" s="345">
        <f t="shared" si="9"/>
        <v>0.64</v>
      </c>
      <c r="BE103" s="345">
        <f>IF(Vout&gt;8, Iq*Vout, Iq*Table25[[#This Row],[Vin]])</f>
        <v>4.8000000000000001E-2</v>
      </c>
      <c r="BF103" s="345">
        <f>CHOOSE(Table25[[#This Row],[Mode Digit]], (Qg_Q1+Qg_Q2)*Fsw, (Qg_Q3+Qg_Q4)*Fsw, (Qg_Q1+Qg_Q2+Qg_Q3+Qg_Q4)*Fsw)*IF(Vout&gt;8,  MIN( Table25[[#This Row],[Vin]], Vout), Table25[[#This Row],[Vin]])</f>
        <v>0.63998400000000011</v>
      </c>
      <c r="BG103" s="345">
        <f t="shared" si="10"/>
        <v>0.50594479787234037</v>
      </c>
      <c r="BH103" s="345">
        <f>Table25[[#This Row],[IQ Loss]]+Table25[[#This Row],[Switching Current Loss]]</f>
        <v>0.68798400000000015</v>
      </c>
      <c r="BI103"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6.0314976257180835</v>
      </c>
      <c r="BJ103" s="253">
        <f>Vout*Table25[[#This Row],[Iout]]</f>
        <v>120.32</v>
      </c>
      <c r="BK103" s="684">
        <f>Table25[[#This Row],[Pout]]/(Table25[[#This Row],[Pout]]+Table25[[#This Row],[Total Loss]])</f>
        <v>0.95226413822505884</v>
      </c>
      <c r="BL103" s="685">
        <f>IF(Table25[[#This Row],[Vin]]&gt;Vout,ThetaJA_Q1*(Table25[[#This Row],[Total Control Bu MOSFET Loss]]+Table25[[#This Row],[Reverse Recovery Loss MOSFET D BUCK]]),ThetaJA_Q4*(Table25[[#This Row],[Total Control Bo MOSFET Loss]]+Table25[[#This Row],[Reverse Recovery Loss MOSFET D BOOST]]))</f>
        <v>97.267797458615206</v>
      </c>
      <c r="BM103" s="685">
        <f>IF(Table25[[#This Row],[Vin]]&gt;Vout, Table25[[#This Row],[Total Sync Bu MOSFET Loss]]*ThetaJA_Q2, ThetaJA_Q3*Table25[[#This Row],[Total Sync Bo MOSFET Loss]])</f>
        <v>51.452084552929215</v>
      </c>
      <c r="BN103" s="640"/>
      <c r="BO103" s="292">
        <f>Table25[[#This Row],[EFF, h]]*100</f>
        <v>95.22641382250589</v>
      </c>
      <c r="BP103" s="345">
        <f>Table25[[#This Row],[Total Inductor Loss]]</f>
        <v>0.98852799619932796</v>
      </c>
      <c r="BQ103" s="345">
        <f>Table25[[#This Row],[Total Control Bu MOSFET Loss]]+Table25[[#This Row],[Total Sync Bu MOSFET Loss]]+Table25[[#This Row],[Total Control Bo MOSFET Loss]]+Table25[[#This Row],[Total Sync Bo MOSFET Loss]]+Table25[[#This Row],[Reverse Recovery Loss MOSFET D BUCK]]+Table25[[#This Row],[Reverse Recovery Loss MOSFET D BOOST]]</f>
        <v>3.5254945581554038</v>
      </c>
      <c r="BR103" s="345">
        <f xml:space="preserve"> Table25[[#This Row],[Total Control Bu MOSFET Loss]]+Table25[[#This Row],[Reverse Recovery Loss MOSFET D BUCK]]*0.66</f>
        <v>0.67580546668120656</v>
      </c>
      <c r="BS103" s="345">
        <f>Table25[[#This Row],[Total Sync Bu MOSFET Loss]]+Table25[[#This Row],[Reverse Recovery Loss MOSFET D BUCK]]*0.33</f>
        <v>0.55812482668120644</v>
      </c>
      <c r="BT103" s="345">
        <f xml:space="preserve"> Table25[[#This Row],[Total Control Bo MOSFET Loss]]+Table25[[#This Row],[Reverse Recovery Loss MOSFET D BOOST]]*0.66</f>
        <v>1.3751809332094647</v>
      </c>
      <c r="BU103" s="345">
        <f xml:space="preserve"> Table25[[#This Row],[Total Sync Bo MOSFET Loss]]+Table25[[#This Row],[Reverse Recovery Loss MOSFET D BOOST]]*0.33</f>
        <v>0.90925117158352642</v>
      </c>
      <c r="BV103" s="345">
        <f>Table25[[#This Row],[Isense Shunt Loss]]</f>
        <v>0.14678446081332483</v>
      </c>
      <c r="CB103" s="686"/>
      <c r="CC103" s="686"/>
    </row>
    <row r="104" spans="7:81" x14ac:dyDescent="0.2">
      <c r="G104" s="253">
        <v>95</v>
      </c>
      <c r="H104" s="286">
        <f t="shared" si="8"/>
        <v>12</v>
      </c>
      <c r="I104" s="292" t="str">
        <f>IF(Mode = 2,IF(Table25[[#This Row],[Vin]]&gt;Vout, "BUCK","BOOST"),IF(Table25[[#This Row],[Vin]]&gt;VIN_BB_to_buck, "BUCK", IF(Table25[[#This Row],[Vin]]&lt;=VIN_boost_to_BB,"BOOST","BUCK-BST")))</f>
        <v>BOOST</v>
      </c>
      <c r="J104" s="253">
        <f>IF(Table25[[#This Row],[Mode]]="BOOST",2, IF(Table25[[#This Row],[Mode]]="BUCK", 1,3))</f>
        <v>2</v>
      </c>
      <c r="K104" s="345">
        <f t="shared" si="11"/>
        <v>7.6</v>
      </c>
      <c r="L104" s="292">
        <f>Vout*Table25[[#This Row],[Iout]]/(Table25[[#This Row],[Vin]]*Efficiency)</f>
        <v>10.666666666666668</v>
      </c>
      <c r="M104" s="682">
        <f>CHOOSE(Table25[[#This Row],[Mode Digit]],(Vout+(Rdson2+Rs+Rdcr)*Table25[[#This Row],[Iout]])/(Table25[[#This Row],[Vin]]+(Rs+Rdson2-Rdson1)*Table25[[#This Row],[Iout]])/Fsw,(Vout+(Rdson3+Rdcr)*Table25[[#This Row],[Iin]]-Table25[[#This Row],[Vin]])/(Vout+(Rdson3-Rdson4-Rs)*Table25[[#This Row],[Iin]])/Fsw,t1_Ph_II)</f>
        <v>6.3991807975622418E-7</v>
      </c>
      <c r="N104" s="518">
        <f>CHOOSE(Table25[[#This Row],[Mode Digit]],1/Fsw-Table25[[#This Row],[t1_Ph_II]],1/Fsw-Table25[[#This Row],[t1_Ph_II]],(Vout/Fsw-Table25[[#This Row],[Vin]]*t1_Ph_II)/(Table25[[#This Row],[Vin]]+Vout))</f>
        <v>1.8726447343141276E-6</v>
      </c>
      <c r="O104" s="518">
        <f>1/Fsw-(Table25[[#This Row],[t1_Ph_II]]+Table25[[#This Row],[t2_Ph_I]])</f>
        <v>0</v>
      </c>
      <c r="P104"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8.5336064008125874</v>
      </c>
      <c r="Q104" s="292">
        <f>CHOOSE(Table25[[#This Row],[Mode Digit]],Table25[[#This Row],[I_0]]+1/Lf*(Table25[[#This Row],[Vin]]-Vout)*Table25[[#This Row],[t1_Ph_II]],Table25[[#This Row],[I_0]]+1/Lf*Table25[[#This Row],[Vin]]*Table25[[#This Row],[t1_Ph_II]],Table25[[#This Row],[I_0]]+(Table25[[#This Row],[Vin]]-Vout)/L*Table25[[#This Row],[t1_Ph_II]])</f>
        <v>12.799726932520748</v>
      </c>
      <c r="R104" s="292">
        <f>CHOOSE(Table25[[#This Row],[Mode Digit]],0,0,Table25[[#This Row],[I_1]]+Table25[[#This Row],[Vin]]/L*Table25[[#This Row],[t2_Ph_I]])</f>
        <v>0</v>
      </c>
      <c r="S104" s="292">
        <f>Fsw*(Table25[[#This Row],[I_0]]*Table25[[#This Row],[t1_Ph_II]]+Table25[[#This Row],[I_1]]*Table25[[#This Row],[t2_Ph_I]]+Table25[[#This Row],[I_2]]*Table25[[#This Row],[t3_Ph_III]])</f>
        <v>11.713199804374353</v>
      </c>
      <c r="T104" s="345">
        <f>CHOOSE(Table25[[#This Row],[Mode Digit]],(Vout+(Rdson2+Rs+Rdcr)*Table25[[#This Row],[Iout]])/(Table25[[#This Row],[Vin]]+(Rs+Rdson2-Rdson1)*Table25[[#This Row],[Iout]]),1,Fsw*Table25[[#This Row],[t2_Ph_I]]+Table25[[#This Row],[t1_Ph_II]])</f>
        <v>1</v>
      </c>
      <c r="U104" s="345">
        <f>CHOOSE(Table25[[#This Row],[Mode Digit]],0,(Vout+(Rdson3+Rdcr)*Table25[[#This Row],[Iin]]-Table25[[#This Row],[Vin]])/(Vout+(Rdson3-Rdson4-Rs)*Table25[[#This Row],[Iin]]),Fsw*Table25[[#This Row],[t1_Ph_II]]+Table25[[#This Row],[t3_Ph_III]])</f>
        <v>0.25468739574297722</v>
      </c>
      <c r="V104" s="292">
        <f>MAX(Table25[[#This Row],[I_0]:[I_2]])-MIN(Table25[[#This Row],[I_0]:[I_1]])</f>
        <v>4.266120531708161</v>
      </c>
      <c r="W104"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10.737524224747201</v>
      </c>
      <c r="X104" s="345">
        <f>(Table25[[#This Row],[Irms Lf]]^2*Rdcr*(1+Ltc*Ta-Ltc*25))/(1-Table25[[#This Row],[Irms Lf]]^2*Rdcr*Ltc*ThetaCa)</f>
        <v>0.38016281199085944</v>
      </c>
      <c r="Y104" s="345">
        <f>ABS(7.759*10^-3*Fsw^0.9458*(0.00787*Table25[[#This Row],[Ripple Current pk-pk]])^2.304)</f>
        <v>0.61673309880932103</v>
      </c>
      <c r="Z104" s="345">
        <f>Table25[[#This Row],[DCR    Loss]]+Table25[[#This Row],[Core Loss]]</f>
        <v>0.99689591080018047</v>
      </c>
      <c r="AA104" s="292">
        <f>IF(Table25[[#This Row],[Vin]]&gt;Vout, Table25[[#This Row],[Ripple Current pk-pk]]/SQRT(12), SQRT(Table25[[#This Row],[Duty Cycle BOOST Leg]]/(1-Table25[[#This Row],[Duty Cycle BOOST Leg]]))*SQRT(Table25[[#This Row],[Iout]]^2+(Table25[[#This Row],[Ripple Current pk-pk]]^2)/12))</f>
        <v>4.5006611280489235</v>
      </c>
      <c r="AB104" s="345">
        <f>RCoutEsr*Table25[[#This Row],[Irms Cout]]^2</f>
        <v>4.051190117906122E-2</v>
      </c>
      <c r="AC104" s="345">
        <f>Table25[[#This Row],[Cout ESR Loss]]</f>
        <v>4.051190117906122E-2</v>
      </c>
      <c r="AD104" s="292">
        <f>IF(Table25[[#This Row],[Vin]]&gt;Vout, SQRT(Table25[[#This Row],[Duty Cycle BUCK Leg]]*(1-Table25[[#This Row],[Duty Cycle BUCK Leg]]))*SQRT(Table25[[#This Row],[Iout]]^2+(Table25[[#This Row],[Ripple Current pk-pk]]^2)/12), Table25[[#This Row],[Ripple Current pk-pk]]/SQRT(12))</f>
        <v>1.2315229186885481</v>
      </c>
      <c r="AE104" s="345">
        <f>RCinEsr*Table25[[#This Row],[Irms Cin]]^2</f>
        <v>3.033297398510321E-3</v>
      </c>
      <c r="AF104" s="683">
        <f>Table25[[#This Row],[Cin ESR Loss]]</f>
        <v>3.033297398510321E-3</v>
      </c>
      <c r="AG104" s="345">
        <f>Table25[[#This Row],[Irms Lf]]</f>
        <v>10.737524224747201</v>
      </c>
      <c r="AH104" s="345">
        <f>Rdson1*Table25[[#This Row],[Irms BuCtrl]]^2</f>
        <v>0.40353049266961544</v>
      </c>
      <c r="AI104" s="345">
        <f>CHOOSE(Table25[[#This Row],[Mode Digit]], (Table25[[#This Row],[Vin]]*Table25[[#This Row],[Iout]]/2)*(Fsw)*(Tr_buck+Tf_buck), 0, (Table25[[#This Row],[Vin]]*Table25[[#This Row],[Avg IL]]/2)*(Fsw/1)*(Tr_buck+Tf_buck))</f>
        <v>0</v>
      </c>
      <c r="AJ104" s="253">
        <f>IF(Table25[[#This Row],[Vin]]&gt;Vout, IF(Table25[[#This Row],[Iout]]&gt;Table25[[#This Row],[Ripple Current pk-pk]]/2,0,ABS(Table25[[#This Row],[Iout]]-Table25[[#This Row],[Ripple Current pk-pk]]/2)*Vsd_Q1*Deadtime*Fsw),0)</f>
        <v>0</v>
      </c>
      <c r="AK104" s="345">
        <f>(Table25[[#This Row],[Dead Time Loss BuCtrl]]+Table25[[#This Row],[Transition Loss BuCtrl]]+Table25[[#This Row],[RDS(on) Loss BuCtrl]]*(1+RdsonTopTc*Ta-RdsonTopTc*25))/(1-Table25[[#This Row],[RDS(on) Loss BuCtrl]]*RdsonTopTc*ThetaJA_Q1)</f>
        <v>0.45083071746748005</v>
      </c>
      <c r="AL104" s="345">
        <f>Table25[[#This Row],[Irms Lf]]</f>
        <v>10.737524224747201</v>
      </c>
      <c r="AM104" s="345">
        <f>Rdson2*Table25[[#This Row],[Irms BuSync]]^2</f>
        <v>0.40353049266961544</v>
      </c>
      <c r="AN104"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104" s="345">
        <f>(Table25[[#This Row],[Deadtime Loss BuSync]]+Table25[[#This Row],[RDS(on) Loss BuSync]]*(1+RdsonBotTc*Ta-RdsonBotTc*25))/(1-Table25[[#This Row],[RDS(on) Loss BuSync]]*RdsonBotTc*ThetaJA_Q2)</f>
        <v>0.45083071746748005</v>
      </c>
      <c r="AP104" s="345">
        <f>Table25[[#This Row],[Irms Lf]]</f>
        <v>10.737524224747201</v>
      </c>
      <c r="AQ104" s="345">
        <f>Rdson4*Table25[[#This Row],[Irms BoCtlr]]^2</f>
        <v>0.40353049266961544</v>
      </c>
      <c r="AR104" s="345">
        <f>CHOOSE(Table25[[#This Row],[Mode Digit]], 0, (Vout*Table25[[#This Row],[Iin]]/2)*(Fsw)*(Tr_boost+Tf_boost), (Vout*Iout/2)*(Fsw/1)*(Tr_boost+Tf_boost))</f>
        <v>0.63419094515549734</v>
      </c>
      <c r="AS104" s="345">
        <f>IF(Table25[[#This Row],[Vin]]&gt;Vout, 0, IF(Table25[[#This Row],[Iin]]&gt;Table25[[#This Row],[Ripple Current pk-pk]]/2,0,ABS(Table25[[#This Row],[Iin]]-Table25[[#This Row],[Ripple Current pk-pk]]/2)*Vsd_Q4*Deadtime*Fsw))</f>
        <v>0</v>
      </c>
      <c r="AT104" s="345">
        <f>(Table25[[#This Row],[Dead Time Loss BoCtlr]]+Table25[[#This Row],[Transition Loss BoCtlr]]+Table25[[#This Row],[RDS(on) Loss BoCtlr]]*(1+RdsonTopTc*Ta-RdsonTopTc*25))/(1-Table25[[#This Row],[RDS(on) Loss BoCtlr]]*RdsonTopTc*ThetaJA_Q4)</f>
        <v>1.1593589799150936</v>
      </c>
      <c r="AU104" s="345">
        <f>Table25[[#This Row],[Irms Lf]]</f>
        <v>10.737524224747201</v>
      </c>
      <c r="AV104" s="345">
        <f>Rdson3*Table25[[#This Row],[Irms BoSync]]^2</f>
        <v>0.40353049266961544</v>
      </c>
      <c r="AW104"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0.31839999999999996</v>
      </c>
      <c r="AX104" s="345">
        <f>(Table25[[#This Row],[Deadtime Loss BoSync]]+Table25[[#This Row],[RDS(on) Loss BoSync]]*(1+RdsonBotTc*Ta-RdsonBotTc*25))/(1-Table25[[#This Row],[RDS(on) Loss BoSync]]*RdsonBotTc*ThetaJA_Q3)</f>
        <v>0.8065522875823079</v>
      </c>
      <c r="AY104" s="345">
        <f>CHOOSE(Table25[[#This Row],[Mode Digit]], Rdson3*Table25[[#This Row],[Irms Lf]]^2, Rdson1*Table25[[#This Row],[Irms Lf]]^2, 0)</f>
        <v>0.40353049266961544</v>
      </c>
      <c r="AZ104" s="345">
        <f>CHOOSE(Table25[[#This Row],[Mode Digit]], 2*Deadtime*Fsw*IF(VfdSky_Q2&gt;0,VfdSky_Q2,0)*Table25[[#This Row],[Iout]], 2*Deadtime*Fsw*IF(VfdSky_Q3&gt;0,VfdSky_Q3,0)*Table25[[#This Row],[Iin]], 2*Deadtime*Fsw*IF(VfdSky_Q2&gt;0,VfdSky_Q2,0)*Table25[[#This Row],[Iout]]+2*Deadtime*Fsw*IF(VfdSky_Q3&gt;0,VfdSky_Q3,0)*Table25[[#This Row],[Iin]])</f>
        <v>0</v>
      </c>
      <c r="BA104"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104"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104" s="345">
        <f>CHOOSE(Table25[[#This Row],[Mode Digit]], Rs*Table25[[#This Row],[Irms BuSync]]^2, Rs*Table25[[#This Row],[Irms BoCtlr]]^2, Rs*(Table25[[#This Row],[Irms BuSync]]^2+Table25[[#This Row],[Irms BoCtlr]]^2))</f>
        <v>0.14988275442014287</v>
      </c>
      <c r="BD104" s="345">
        <f t="shared" si="9"/>
        <v>0.64</v>
      </c>
      <c r="BE104" s="345">
        <f>IF(Vout&gt;8, Iq*Vout, Iq*Table25[[#This Row],[Vin]])</f>
        <v>4.8000000000000001E-2</v>
      </c>
      <c r="BF104" s="345">
        <f>CHOOSE(Table25[[#This Row],[Mode Digit]], (Qg_Q1+Qg_Q2)*Fsw, (Qg_Q3+Qg_Q4)*Fsw, (Qg_Q1+Qg_Q2+Qg_Q3+Qg_Q4)*Fsw)*IF(Vout&gt;8,  MIN( Table25[[#This Row],[Vin]], Vout), Table25[[#This Row],[Vin]])</f>
        <v>0.63998400000000011</v>
      </c>
      <c r="BG104" s="345">
        <f t="shared" si="10"/>
        <v>0.50594479787234037</v>
      </c>
      <c r="BH104" s="345">
        <f>Table25[[#This Row],[IQ Loss]]+Table25[[#This Row],[Switching Current Loss]]</f>
        <v>0.68798400000000015</v>
      </c>
      <c r="BI104"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6.0990965662302559</v>
      </c>
      <c r="BJ104" s="253">
        <f>Vout*Table25[[#This Row],[Iout]]</f>
        <v>121.6</v>
      </c>
      <c r="BK104" s="684">
        <f>Table25[[#This Row],[Pout]]/(Table25[[#This Row],[Pout]]+Table25[[#This Row],[Total Loss]])</f>
        <v>0.95223853002697634</v>
      </c>
      <c r="BL104" s="685">
        <f>IF(Table25[[#This Row],[Vin]]&gt;Vout,ThetaJA_Q1*(Table25[[#This Row],[Total Control Bu MOSFET Loss]]+Table25[[#This Row],[Reverse Recovery Loss MOSFET D BUCK]]),ThetaJA_Q4*(Table25[[#This Row],[Total Control Bo MOSFET Loss]]+Table25[[#This Row],[Reverse Recovery Loss MOSFET D BOOST]]))</f>
        <v>98.537853694481086</v>
      </c>
      <c r="BM104" s="685">
        <f>IF(Table25[[#This Row],[Vin]]&gt;Vout, Table25[[#This Row],[Total Sync Bu MOSFET Loss]]*ThetaJA_Q2, ThetaJA_Q3*Table25[[#This Row],[Total Sync Bo MOSFET Loss]])</f>
        <v>52.425898692850012</v>
      </c>
      <c r="BN104" s="640"/>
      <c r="BO104" s="292">
        <f>Table25[[#This Row],[EFF, h]]*100</f>
        <v>95.223853002697638</v>
      </c>
      <c r="BP104" s="345">
        <f>Table25[[#This Row],[Total Inductor Loss]]</f>
        <v>0.99689591080018047</v>
      </c>
      <c r="BQ104" s="345">
        <f>Table25[[#This Row],[Total Control Bu MOSFET Loss]]+Table25[[#This Row],[Total Sync Bu MOSFET Loss]]+Table25[[#This Row],[Total Control Bo MOSFET Loss]]+Table25[[#This Row],[Total Sync Bo MOSFET Loss]]+Table25[[#This Row],[Reverse Recovery Loss MOSFET D BUCK]]+Table25[[#This Row],[Reverse Recovery Loss MOSFET D BOOST]]</f>
        <v>3.5807887024323621</v>
      </c>
      <c r="BR104" s="345">
        <f xml:space="preserve"> Table25[[#This Row],[Total Control Bu MOSFET Loss]]+Table25[[#This Row],[Reverse Recovery Loss MOSFET D BUCK]]*0.66</f>
        <v>0.68619199746748005</v>
      </c>
      <c r="BS104" s="345">
        <f>Table25[[#This Row],[Total Sync Bu MOSFET Loss]]+Table25[[#This Row],[Reverse Recovery Loss MOSFET D BUCK]]*0.33</f>
        <v>0.56851135746748005</v>
      </c>
      <c r="BT104" s="345">
        <f xml:space="preserve"> Table25[[#This Row],[Total Control Bo MOSFET Loss]]+Table25[[#This Row],[Reverse Recovery Loss MOSFET D BOOST]]*0.66</f>
        <v>1.3947202599150936</v>
      </c>
      <c r="BU104" s="345">
        <f xml:space="preserve"> Table25[[#This Row],[Total Sync Bo MOSFET Loss]]+Table25[[#This Row],[Reverse Recovery Loss MOSFET D BOOST]]*0.33</f>
        <v>0.92423292758230791</v>
      </c>
      <c r="BV104" s="345">
        <f>Table25[[#This Row],[Isense Shunt Loss]]</f>
        <v>0.14988275442014287</v>
      </c>
      <c r="CB104" s="686"/>
      <c r="CC104" s="686"/>
    </row>
    <row r="105" spans="7:81" x14ac:dyDescent="0.2">
      <c r="G105" s="253">
        <v>96</v>
      </c>
      <c r="H105" s="286">
        <f t="shared" si="8"/>
        <v>12</v>
      </c>
      <c r="I105" s="292" t="str">
        <f>IF(Mode = 2,IF(Table25[[#This Row],[Vin]]&gt;Vout, "BUCK","BOOST"),IF(Table25[[#This Row],[Vin]]&gt;VIN_BB_to_buck, "BUCK", IF(Table25[[#This Row],[Vin]]&lt;=VIN_boost_to_BB,"BOOST","BUCK-BST")))</f>
        <v>BOOST</v>
      </c>
      <c r="J105" s="253">
        <f>IF(Table25[[#This Row],[Mode]]="BOOST",2, IF(Table25[[#This Row],[Mode]]="BUCK", 1,3))</f>
        <v>2</v>
      </c>
      <c r="K105" s="345">
        <f t="shared" si="11"/>
        <v>7.68</v>
      </c>
      <c r="L105" s="292">
        <f>Vout*Table25[[#This Row],[Iout]]/(Table25[[#This Row],[Vin]]*Efficiency)</f>
        <v>10.778947368421054</v>
      </c>
      <c r="M105" s="682">
        <f>CHOOSE(Table25[[#This Row],[Mode Digit]],(Vout+(Rdson2+Rs+Rdcr)*Table25[[#This Row],[Iout]])/(Table25[[#This Row],[Vin]]+(Rs+Rdson2-Rdson1)*Table25[[#This Row],[Iout]])/Fsw,(Vout+(Rdson3+Rdcr)*Table25[[#This Row],[Iin]]-Table25[[#This Row],[Vin]])/(Vout+(Rdson3-Rdson4-Rs)*Table25[[#This Row],[Iin]])/Fsw,t1_Ph_II)</f>
        <v>6.4004216080656103E-7</v>
      </c>
      <c r="N105" s="518">
        <f>CHOOSE(Table25[[#This Row],[Mode Digit]],1/Fsw-Table25[[#This Row],[t1_Ph_II]],1/Fsw-Table25[[#This Row],[t1_Ph_II]],(Vout/Fsw-Table25[[#This Row],[Vin]]*t1_Ph_II)/(Table25[[#This Row],[Vin]]+Vout))</f>
        <v>1.8725206532637908E-6</v>
      </c>
      <c r="O105" s="518">
        <f>1/Fsw-(Table25[[#This Row],[t1_Ph_II]]+Table25[[#This Row],[t2_Ph_I]])</f>
        <v>0</v>
      </c>
      <c r="P105"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8.6454734990658508</v>
      </c>
      <c r="Q105" s="292">
        <f>CHOOSE(Table25[[#This Row],[Mode Digit]],Table25[[#This Row],[I_0]]+1/Lf*(Table25[[#This Row],[Vin]]-Vout)*Table25[[#This Row],[t1_Ph_II]],Table25[[#This Row],[I_0]]+1/Lf*Table25[[#This Row],[Vin]]*Table25[[#This Row],[t1_Ph_II]],Table25[[#This Row],[I_0]]+(Table25[[#This Row],[Vin]]-Vout)/L*Table25[[#This Row],[t1_Ph_II]])</f>
        <v>12.912421237776257</v>
      </c>
      <c r="R105" s="292">
        <f>CHOOSE(Table25[[#This Row],[Mode Digit]],0,0,Table25[[#This Row],[I_1]]+Table25[[#This Row],[Vin]]/L*Table25[[#This Row],[t2_Ph_I]])</f>
        <v>0</v>
      </c>
      <c r="S105" s="292">
        <f>Fsw*(Table25[[#This Row],[I_0]]*Table25[[#This Row],[t1_Ph_II]]+Table25[[#This Row],[I_1]]*Table25[[#This Row],[t2_Ph_I]]+Table25[[#This Row],[I_2]]*Table25[[#This Row],[t3_Ph_III]])</f>
        <v>11.825472710384574</v>
      </c>
      <c r="T105" s="345">
        <f>CHOOSE(Table25[[#This Row],[Mode Digit]],(Vout+(Rdson2+Rs+Rdcr)*Table25[[#This Row],[Iout]])/(Table25[[#This Row],[Vin]]+(Rs+Rdson2-Rdson1)*Table25[[#This Row],[Iout]]),1,Fsw*Table25[[#This Row],[t2_Ph_I]]+Table25[[#This Row],[t1_Ph_II]])</f>
        <v>1</v>
      </c>
      <c r="U105" s="345">
        <f>CHOOSE(Table25[[#This Row],[Mode Digit]],0,(Vout+(Rdson3+Rdcr)*Table25[[#This Row],[Iin]]-Table25[[#This Row],[Vin]])/(Vout+(Rdson3-Rdson4-Rs)*Table25[[#This Row],[Iin]]),Fsw*Table25[[#This Row],[t1_Ph_II]]+Table25[[#This Row],[t3_Ph_III]])</f>
        <v>0.2547367800010113</v>
      </c>
      <c r="V105" s="292">
        <f>MAX(Table25[[#This Row],[I_0]:[I_2]])-MIN(Table25[[#This Row],[I_0]:[I_1]])</f>
        <v>4.2669477387104067</v>
      </c>
      <c r="W105"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10.849098731611994</v>
      </c>
      <c r="X105" s="345">
        <f>(Table25[[#This Row],[Irms Lf]]^2*Rdcr*(1+Ltc*Ta-Ltc*25))/(1-Table25[[#This Row],[Irms Lf]]^2*Rdcr*Ltc*ThetaCa)</f>
        <v>0.38835119877864577</v>
      </c>
      <c r="Y105" s="345">
        <f>ABS(7.759*10^-3*Fsw^0.9458*(0.00787*Table25[[#This Row],[Ripple Current pk-pk]])^2.304)</f>
        <v>0.61700865851662268</v>
      </c>
      <c r="Z105" s="345">
        <f>Table25[[#This Row],[DCR    Loss]]+Table25[[#This Row],[Core Loss]]</f>
        <v>1.0053598572952684</v>
      </c>
      <c r="AA105" s="292">
        <f>IF(Table25[[#This Row],[Vin]]&gt;Vout, Table25[[#This Row],[Ripple Current pk-pk]]/SQRT(12), SQRT(Table25[[#This Row],[Duty Cycle BOOST Leg]]/(1-Table25[[#This Row],[Duty Cycle BOOST Leg]]))*SQRT(Table25[[#This Row],[Iout]]^2+(Table25[[#This Row],[Ripple Current pk-pk]]^2)/12))</f>
        <v>4.5474440801026406</v>
      </c>
      <c r="AB105" s="345">
        <f>RCoutEsr*Table25[[#This Row],[Irms Cout]]^2</f>
        <v>4.1358495323321101E-2</v>
      </c>
      <c r="AC105" s="345">
        <f>Table25[[#This Row],[Cout ESR Loss]]</f>
        <v>4.1358495323321101E-2</v>
      </c>
      <c r="AD105" s="292">
        <f>IF(Table25[[#This Row],[Vin]]&gt;Vout, SQRT(Table25[[#This Row],[Duty Cycle BUCK Leg]]*(1-Table25[[#This Row],[Duty Cycle BUCK Leg]]))*SQRT(Table25[[#This Row],[Iout]]^2+(Table25[[#This Row],[Ripple Current pk-pk]]^2)/12), Table25[[#This Row],[Ripple Current pk-pk]]/SQRT(12))</f>
        <v>1.2317617127812592</v>
      </c>
      <c r="AE105" s="345">
        <f>RCinEsr*Table25[[#This Row],[Irms Cin]]^2</f>
        <v>3.0344738341476427E-3</v>
      </c>
      <c r="AF105" s="683">
        <f>Table25[[#This Row],[Cin ESR Loss]]</f>
        <v>3.0344738341476427E-3</v>
      </c>
      <c r="AG105" s="345">
        <f>Table25[[#This Row],[Irms Lf]]</f>
        <v>10.849098731611994</v>
      </c>
      <c r="AH105" s="345">
        <f>Rdson1*Table25[[#This Row],[Irms BuCtrl]]^2</f>
        <v>0.41196030150892743</v>
      </c>
      <c r="AI105" s="345">
        <f>CHOOSE(Table25[[#This Row],[Mode Digit]], (Table25[[#This Row],[Vin]]*Table25[[#This Row],[Iout]]/2)*(Fsw)*(Tr_buck+Tf_buck), 0, (Table25[[#This Row],[Vin]]*Table25[[#This Row],[Avg IL]]/2)*(Fsw/1)*(Tr_buck+Tf_buck))</f>
        <v>0</v>
      </c>
      <c r="AJ105" s="253">
        <f>IF(Table25[[#This Row],[Vin]]&gt;Vout, IF(Table25[[#This Row],[Iout]]&gt;Table25[[#This Row],[Ripple Current pk-pk]]/2,0,ABS(Table25[[#This Row],[Iout]]-Table25[[#This Row],[Ripple Current pk-pk]]/2)*Vsd_Q1*Deadtime*Fsw),0)</f>
        <v>0</v>
      </c>
      <c r="AK105" s="345">
        <f>(Table25[[#This Row],[Dead Time Loss BuCtrl]]+Table25[[#This Row],[Transition Loss BuCtrl]]+Table25[[#This Row],[RDS(on) Loss BuCtrl]]*(1+RdsonTopTc*Ta-RdsonTopTc*25))/(1-Table25[[#This Row],[RDS(on) Loss BuCtrl]]*RdsonTopTc*ThetaJA_Q1)</f>
        <v>0.46137839277637049</v>
      </c>
      <c r="AL105" s="345">
        <f>Table25[[#This Row],[Irms Lf]]</f>
        <v>10.849098731611994</v>
      </c>
      <c r="AM105" s="345">
        <f>Rdson2*Table25[[#This Row],[Irms BuSync]]^2</f>
        <v>0.41196030150892743</v>
      </c>
      <c r="AN105"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105" s="345">
        <f>(Table25[[#This Row],[Deadtime Loss BuSync]]+Table25[[#This Row],[RDS(on) Loss BuSync]]*(1+RdsonBotTc*Ta-RdsonBotTc*25))/(1-Table25[[#This Row],[RDS(on) Loss BuSync]]*RdsonBotTc*ThetaJA_Q2)</f>
        <v>0.46137839277637049</v>
      </c>
      <c r="AP105" s="345">
        <f>Table25[[#This Row],[Irms Lf]]</f>
        <v>10.849098731611994</v>
      </c>
      <c r="AQ105" s="345">
        <f>Rdson4*Table25[[#This Row],[Irms BoCtlr]]^2</f>
        <v>0.41196030150892743</v>
      </c>
      <c r="AR105" s="345">
        <f>CHOOSE(Table25[[#This Row],[Mode Digit]], 0, (Vout*Table25[[#This Row],[Iin]]/2)*(Fsw)*(Tr_boost+Tf_boost), (Vout*Iout/2)*(Fsw/1)*(Tr_boost+Tf_boost))</f>
        <v>0.64086663931502885</v>
      </c>
      <c r="AS105" s="345">
        <f>IF(Table25[[#This Row],[Vin]]&gt;Vout, 0, IF(Table25[[#This Row],[Iin]]&gt;Table25[[#This Row],[Ripple Current pk-pk]]/2,0,ABS(Table25[[#This Row],[Iin]]-Table25[[#This Row],[Ripple Current pk-pk]]/2)*Vsd_Q4*Deadtime*Fsw))</f>
        <v>0</v>
      </c>
      <c r="AT105" s="345">
        <f>(Table25[[#This Row],[Dead Time Loss BoCtlr]]+Table25[[#This Row],[Transition Loss BoCtlr]]+Table25[[#This Row],[RDS(on) Loss BoCtlr]]*(1+RdsonTopTc*Ta-RdsonTopTc*25))/(1-Table25[[#This Row],[RDS(on) Loss BoCtlr]]*RdsonTopTc*ThetaJA_Q4)</f>
        <v>1.1791223572995015</v>
      </c>
      <c r="AU105" s="345">
        <f>Table25[[#This Row],[Irms Lf]]</f>
        <v>10.849098731611994</v>
      </c>
      <c r="AV105" s="345">
        <f>Rdson3*Table25[[#This Row],[Irms BoSync]]^2</f>
        <v>0.41196030150892743</v>
      </c>
      <c r="AW105"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0.32175157894736839</v>
      </c>
      <c r="AX105" s="345">
        <f>(Table25[[#This Row],[Deadtime Loss BoSync]]+Table25[[#This Row],[RDS(on) Loss BoSync]]*(1+RdsonBotTc*Ta-RdsonBotTc*25))/(1-Table25[[#This Row],[RDS(on) Loss BoSync]]*RdsonBotTc*ThetaJA_Q3)</f>
        <v>0.82172677057941801</v>
      </c>
      <c r="AY105" s="345">
        <f>CHOOSE(Table25[[#This Row],[Mode Digit]], Rdson3*Table25[[#This Row],[Irms Lf]]^2, Rdson1*Table25[[#This Row],[Irms Lf]]^2, 0)</f>
        <v>0.41196030150892743</v>
      </c>
      <c r="AZ105" s="345">
        <f>CHOOSE(Table25[[#This Row],[Mode Digit]], 2*Deadtime*Fsw*IF(VfdSky_Q2&gt;0,VfdSky_Q2,0)*Table25[[#This Row],[Iout]], 2*Deadtime*Fsw*IF(VfdSky_Q3&gt;0,VfdSky_Q3,0)*Table25[[#This Row],[Iin]], 2*Deadtime*Fsw*IF(VfdSky_Q2&gt;0,VfdSky_Q2,0)*Table25[[#This Row],[Iout]]+2*Deadtime*Fsw*IF(VfdSky_Q3&gt;0,VfdSky_Q3,0)*Table25[[#This Row],[Iin]])</f>
        <v>0</v>
      </c>
      <c r="BA105"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105"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105" s="345">
        <f>CHOOSE(Table25[[#This Row],[Mode Digit]], Rs*Table25[[#This Row],[Irms BuSync]]^2, Rs*Table25[[#This Row],[Irms BoCtlr]]^2, Rs*(Table25[[#This Row],[Irms BuSync]]^2+Table25[[#This Row],[Irms BoCtlr]]^2))</f>
        <v>0.15301382627474447</v>
      </c>
      <c r="BD105" s="345">
        <f t="shared" si="9"/>
        <v>0.64</v>
      </c>
      <c r="BE105" s="345">
        <f>IF(Vout&gt;8, Iq*Vout, Iq*Table25[[#This Row],[Vin]])</f>
        <v>4.8000000000000001E-2</v>
      </c>
      <c r="BF105" s="345">
        <f>CHOOSE(Table25[[#This Row],[Mode Digit]], (Qg_Q1+Qg_Q2)*Fsw, (Qg_Q3+Qg_Q4)*Fsw, (Qg_Q1+Qg_Q2+Qg_Q3+Qg_Q4)*Fsw)*IF(Vout&gt;8,  MIN( Table25[[#This Row],[Vin]], Vout), Table25[[#This Row],[Vin]])</f>
        <v>0.63998400000000011</v>
      </c>
      <c r="BG105" s="345">
        <f t="shared" si="10"/>
        <v>0.50594479787234037</v>
      </c>
      <c r="BH105" s="345">
        <f>Table25[[#This Row],[IQ Loss]]+Table25[[#This Row],[Switching Current Loss]]</f>
        <v>0.68798400000000015</v>
      </c>
      <c r="BI105"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6.1675725661591407</v>
      </c>
      <c r="BJ105" s="253">
        <f>Vout*Table25[[#This Row],[Iout]]</f>
        <v>122.88</v>
      </c>
      <c r="BK105" s="684">
        <f>Table25[[#This Row],[Pout]]/(Table25[[#This Row],[Pout]]+Table25[[#This Row],[Total Loss]])</f>
        <v>0.95220698504036405</v>
      </c>
      <c r="BL105" s="685">
        <f>IF(Table25[[#This Row],[Vin]]&gt;Vout,ThetaJA_Q1*(Table25[[#This Row],[Total Control Bu MOSFET Loss]]+Table25[[#This Row],[Reverse Recovery Loss MOSFET D BUCK]]),ThetaJA_Q4*(Table25[[#This Row],[Total Control Bo MOSFET Loss]]+Table25[[#This Row],[Reverse Recovery Loss MOSFET D BOOST]]))</f>
        <v>99.822473224467601</v>
      </c>
      <c r="BM105" s="685">
        <f>IF(Table25[[#This Row],[Vin]]&gt;Vout, Table25[[#This Row],[Total Sync Bu MOSFET Loss]]*ThetaJA_Q2, ThetaJA_Q3*Table25[[#This Row],[Total Sync Bo MOSFET Loss]])</f>
        <v>53.41224008766217</v>
      </c>
      <c r="BN105" s="640"/>
      <c r="BO105" s="292">
        <f>Table25[[#This Row],[EFF, h]]*100</f>
        <v>95.220698504036406</v>
      </c>
      <c r="BP105" s="345">
        <f>Table25[[#This Row],[Total Inductor Loss]]</f>
        <v>1.0053598572952684</v>
      </c>
      <c r="BQ105" s="345">
        <f>Table25[[#This Row],[Total Control Bu MOSFET Loss]]+Table25[[#This Row],[Total Sync Bu MOSFET Loss]]+Table25[[#This Row],[Total Control Bo MOSFET Loss]]+Table25[[#This Row],[Total Sync Bo MOSFET Loss]]+Table25[[#This Row],[Reverse Recovery Loss MOSFET D BUCK]]+Table25[[#This Row],[Reverse Recovery Loss MOSFET D BOOST]]</f>
        <v>3.6368219134316604</v>
      </c>
      <c r="BR105" s="345">
        <f xml:space="preserve"> Table25[[#This Row],[Total Control Bu MOSFET Loss]]+Table25[[#This Row],[Reverse Recovery Loss MOSFET D BUCK]]*0.66</f>
        <v>0.6967396727763705</v>
      </c>
      <c r="BS105" s="345">
        <f>Table25[[#This Row],[Total Sync Bu MOSFET Loss]]+Table25[[#This Row],[Reverse Recovery Loss MOSFET D BUCK]]*0.33</f>
        <v>0.5790590327763705</v>
      </c>
      <c r="BT105" s="345">
        <f xml:space="preserve"> Table25[[#This Row],[Total Control Bo MOSFET Loss]]+Table25[[#This Row],[Reverse Recovery Loss MOSFET D BOOST]]*0.66</f>
        <v>1.4144836372995016</v>
      </c>
      <c r="BU105" s="345">
        <f xml:space="preserve"> Table25[[#This Row],[Total Sync Bo MOSFET Loss]]+Table25[[#This Row],[Reverse Recovery Loss MOSFET D BOOST]]*0.33</f>
        <v>0.93940741057941801</v>
      </c>
      <c r="BV105" s="345">
        <f>Table25[[#This Row],[Isense Shunt Loss]]</f>
        <v>0.15301382627474447</v>
      </c>
      <c r="CB105" s="686"/>
      <c r="CC105" s="686"/>
    </row>
    <row r="106" spans="7:81" x14ac:dyDescent="0.2">
      <c r="G106" s="253">
        <v>97</v>
      </c>
      <c r="H106" s="286">
        <f t="shared" si="8"/>
        <v>12</v>
      </c>
      <c r="I106" s="292" t="str">
        <f>IF(Mode = 2,IF(Table25[[#This Row],[Vin]]&gt;Vout, "BUCK","BOOST"),IF(Table25[[#This Row],[Vin]]&gt;VIN_BB_to_buck, "BUCK", IF(Table25[[#This Row],[Vin]]&lt;=VIN_boost_to_BB,"BOOST","BUCK-BST")))</f>
        <v>BOOST</v>
      </c>
      <c r="J106" s="253">
        <f>IF(Table25[[#This Row],[Mode]]="BOOST",2, IF(Table25[[#This Row],[Mode]]="BUCK", 1,3))</f>
        <v>2</v>
      </c>
      <c r="K106" s="345">
        <f t="shared" si="11"/>
        <v>7.76</v>
      </c>
      <c r="L106" s="292">
        <f>Vout*Table25[[#This Row],[Iout]]/(Table25[[#This Row],[Vin]]*Efficiency)</f>
        <v>10.89122807017544</v>
      </c>
      <c r="M106" s="682">
        <f>CHOOSE(Table25[[#This Row],[Mode Digit]],(Vout+(Rdson2+Rs+Rdcr)*Table25[[#This Row],[Iout]])/(Table25[[#This Row],[Vin]]+(Rs+Rdson2-Rdson1)*Table25[[#This Row],[Iout]])/Fsw,(Vout+(Rdson3+Rdcr)*Table25[[#This Row],[Iin]]-Table25[[#This Row],[Vin]])/(Vout+(Rdson3-Rdson4-Rs)*Table25[[#This Row],[Iin]])/Fsw,t1_Ph_II)</f>
        <v>6.401662441228387E-7</v>
      </c>
      <c r="N106" s="518">
        <f>CHOOSE(Table25[[#This Row],[Mode Digit]],1/Fsw-Table25[[#This Row],[t1_Ph_II]],1/Fsw-Table25[[#This Row],[t1_Ph_II]],(Vout/Fsw-Table25[[#This Row],[Vin]]*t1_Ph_II)/(Table25[[#This Row],[Vin]]+Vout))</f>
        <v>1.8723965699475133E-6</v>
      </c>
      <c r="O106" s="518">
        <f>1/Fsw-(Table25[[#This Row],[t1_Ph_II]]+Table25[[#This Row],[t2_Ph_I]])</f>
        <v>0</v>
      </c>
      <c r="P106"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8.7573405897659775</v>
      </c>
      <c r="Q106" s="292">
        <f>CHOOSE(Table25[[#This Row],[Mode Digit]],Table25[[#This Row],[I_0]]+1/Lf*(Table25[[#This Row],[Vin]]-Vout)*Table25[[#This Row],[t1_Ph_II]],Table25[[#This Row],[I_0]]+1/Lf*Table25[[#This Row],[Vin]]*Table25[[#This Row],[t1_Ph_II]],Table25[[#This Row],[I_0]]+(Table25[[#This Row],[Vin]]-Vout)/L*Table25[[#This Row],[t1_Ph_II]])</f>
        <v>13.025115550584902</v>
      </c>
      <c r="R106" s="292">
        <f>CHOOSE(Table25[[#This Row],[Mode Digit]],0,0,Table25[[#This Row],[I_1]]+Table25[[#This Row],[Vin]]/L*Table25[[#This Row],[t2_Ph_I]])</f>
        <v>0</v>
      </c>
      <c r="S106" s="292">
        <f>Fsw*(Table25[[#This Row],[I_0]]*Table25[[#This Row],[t1_Ph_II]]+Table25[[#This Row],[I_1]]*Table25[[#This Row],[t2_Ph_I]]+Table25[[#This Row],[I_2]]*Table25[[#This Row],[t3_Ph_III]])</f>
        <v>11.937745534548181</v>
      </c>
      <c r="T106" s="345">
        <f>CHOOSE(Table25[[#This Row],[Mode Digit]],(Vout+(Rdson2+Rs+Rdcr)*Table25[[#This Row],[Iout]])/(Table25[[#This Row],[Vin]]+(Rs+Rdson2-Rdson1)*Table25[[#This Row],[Iout]]),1,Fsw*Table25[[#This Row],[t2_Ph_I]]+Table25[[#This Row],[t1_Ph_II]])</f>
        <v>1</v>
      </c>
      <c r="U106" s="345">
        <f>CHOOSE(Table25[[#This Row],[Mode Digit]],0,(Vout+(Rdson3+Rdcr)*Table25[[#This Row],[Iin]]-Table25[[#This Row],[Vin]])/(Vout+(Rdson3-Rdson4-Rs)*Table25[[#This Row],[Iin]]),Fsw*Table25[[#This Row],[t1_Ph_II]]+Table25[[#This Row],[t3_Ph_III]])</f>
        <v>0.25478616516088981</v>
      </c>
      <c r="V106" s="292">
        <f>MAX(Table25[[#This Row],[I_0]:[I_2]])-MIN(Table25[[#This Row],[I_0]:[I_1]])</f>
        <v>4.2677749608189242</v>
      </c>
      <c r="W106"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10.960687667124731</v>
      </c>
      <c r="X106" s="345">
        <f>(Table25[[#This Row],[Irms Lf]]^2*Rdcr*(1+Ltc*Ta-Ltc*25))/(1-Table25[[#This Row],[Irms Lf]]^2*Rdcr*Ltc*ThetaCa)</f>
        <v>0.39663588948718592</v>
      </c>
      <c r="Y106" s="345">
        <f>ABS(7.759*10^-3*Fsw^0.9458*(0.00787*Table25[[#This Row],[Ripple Current pk-pk]])^2.304)</f>
        <v>0.61728429292792586</v>
      </c>
      <c r="Z106" s="345">
        <f>Table25[[#This Row],[DCR    Loss]]+Table25[[#This Row],[Core Loss]]</f>
        <v>1.0139201824151118</v>
      </c>
      <c r="AA106" s="292">
        <f>IF(Table25[[#This Row],[Vin]]&gt;Vout, Table25[[#This Row],[Ripple Current pk-pk]]/SQRT(12), SQRT(Table25[[#This Row],[Duty Cycle BOOST Leg]]/(1-Table25[[#This Row],[Duty Cycle BOOST Leg]]))*SQRT(Table25[[#This Row],[Iout]]^2+(Table25[[#This Row],[Ripple Current pk-pk]]^2)/12))</f>
        <v>4.5942506841323398</v>
      </c>
      <c r="AB106" s="345">
        <f>RCoutEsr*Table25[[#This Row],[Irms Cout]]^2</f>
        <v>4.2214278697300947E-2</v>
      </c>
      <c r="AC106" s="345">
        <f>Table25[[#This Row],[Cout ESR Loss]]</f>
        <v>4.2214278697300947E-2</v>
      </c>
      <c r="AD106" s="292">
        <f>IF(Table25[[#This Row],[Vin]]&gt;Vout, SQRT(Table25[[#This Row],[Duty Cycle BUCK Leg]]*(1-Table25[[#This Row],[Duty Cycle BUCK Leg]]))*SQRT(Table25[[#This Row],[Iout]]^2+(Table25[[#This Row],[Ripple Current pk-pk]]^2)/12), Table25[[#This Row],[Ripple Current pk-pk]]/SQRT(12))</f>
        <v>1.2320005112347754</v>
      </c>
      <c r="AE106" s="345">
        <f>RCinEsr*Table25[[#This Row],[Irms Cin]]^2</f>
        <v>3.0356505193654959E-3</v>
      </c>
      <c r="AF106" s="683">
        <f>Table25[[#This Row],[Cin ESR Loss]]</f>
        <v>3.0356505193654959E-3</v>
      </c>
      <c r="AG106" s="345">
        <f>Table25[[#This Row],[Irms Lf]]</f>
        <v>10.960687667124731</v>
      </c>
      <c r="AH106" s="345">
        <f>Rdson1*Table25[[#This Row],[Irms BuCtrl]]^2</f>
        <v>0.42047835947691059</v>
      </c>
      <c r="AI106" s="345">
        <f>CHOOSE(Table25[[#This Row],[Mode Digit]], (Table25[[#This Row],[Vin]]*Table25[[#This Row],[Iout]]/2)*(Fsw)*(Tr_buck+Tf_buck), 0, (Table25[[#This Row],[Vin]]*Table25[[#This Row],[Avg IL]]/2)*(Fsw/1)*(Tr_buck+Tf_buck))</f>
        <v>0</v>
      </c>
      <c r="AJ106" s="253">
        <f>IF(Table25[[#This Row],[Vin]]&gt;Vout, IF(Table25[[#This Row],[Iout]]&gt;Table25[[#This Row],[Ripple Current pk-pk]]/2,0,ABS(Table25[[#This Row],[Iout]]-Table25[[#This Row],[Ripple Current pk-pk]]/2)*Vsd_Q1*Deadtime*Fsw),0)</f>
        <v>0</v>
      </c>
      <c r="AK106" s="345">
        <f>(Table25[[#This Row],[Dead Time Loss BuCtrl]]+Table25[[#This Row],[Transition Loss BuCtrl]]+Table25[[#This Row],[RDS(on) Loss BuCtrl]]*(1+RdsonTopTc*Ta-RdsonTopTc*25))/(1-Table25[[#This Row],[RDS(on) Loss BuCtrl]]*RdsonTopTc*ThetaJA_Q1)</f>
        <v>0.4720892173868349</v>
      </c>
      <c r="AL106" s="345">
        <f>Table25[[#This Row],[Irms Lf]]</f>
        <v>10.960687667124731</v>
      </c>
      <c r="AM106" s="345">
        <f>Rdson2*Table25[[#This Row],[Irms BuSync]]^2</f>
        <v>0.42047835947691059</v>
      </c>
      <c r="AN106"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106" s="345">
        <f>(Table25[[#This Row],[Deadtime Loss BuSync]]+Table25[[#This Row],[RDS(on) Loss BuSync]]*(1+RdsonBotTc*Ta-RdsonBotTc*25))/(1-Table25[[#This Row],[RDS(on) Loss BuSync]]*RdsonBotTc*ThetaJA_Q2)</f>
        <v>0.4720892173868349</v>
      </c>
      <c r="AP106" s="345">
        <f>Table25[[#This Row],[Irms Lf]]</f>
        <v>10.960687667124731</v>
      </c>
      <c r="AQ106" s="345">
        <f>Rdson4*Table25[[#This Row],[Irms BoCtlr]]^2</f>
        <v>0.42047835947691059</v>
      </c>
      <c r="AR106" s="345">
        <f>CHOOSE(Table25[[#This Row],[Mode Digit]], 0, (Vout*Table25[[#This Row],[Iin]]/2)*(Fsw)*(Tr_boost+Tf_boost), (Vout*Iout/2)*(Fsw/1)*(Tr_boost+Tf_boost))</f>
        <v>0.64754233347456047</v>
      </c>
      <c r="AS106" s="345">
        <f>IF(Table25[[#This Row],[Vin]]&gt;Vout, 0, IF(Table25[[#This Row],[Iin]]&gt;Table25[[#This Row],[Ripple Current pk-pk]]/2,0,ABS(Table25[[#This Row],[Iin]]-Table25[[#This Row],[Ripple Current pk-pk]]/2)*Vsd_Q4*Deadtime*Fsw))</f>
        <v>0</v>
      </c>
      <c r="AT106" s="345">
        <f>(Table25[[#This Row],[Dead Time Loss BoCtlr]]+Table25[[#This Row],[Transition Loss BoCtlr]]+Table25[[#This Row],[RDS(on) Loss BoCtlr]]*(1+RdsonTopTc*Ta-RdsonTopTc*25))/(1-Table25[[#This Row],[RDS(on) Loss BoCtlr]]*RdsonTopTc*ThetaJA_Q4)</f>
        <v>1.1991129667544564</v>
      </c>
      <c r="AU106" s="345">
        <f>Table25[[#This Row],[Irms Lf]]</f>
        <v>10.960687667124731</v>
      </c>
      <c r="AV106" s="345">
        <f>Rdson3*Table25[[#This Row],[Irms BoSync]]^2</f>
        <v>0.42047835947691059</v>
      </c>
      <c r="AW106"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0.32510315789473682</v>
      </c>
      <c r="AX106" s="345">
        <f>(Table25[[#This Row],[Deadtime Loss BoSync]]+Table25[[#This Row],[RDS(on) Loss BoSync]]*(1+RdsonBotTc*Ta-RdsonBotTc*25))/(1-Table25[[#This Row],[RDS(on) Loss BoSync]]*RdsonBotTc*ThetaJA_Q3)</f>
        <v>0.83709657608050558</v>
      </c>
      <c r="AY106" s="345">
        <f>CHOOSE(Table25[[#This Row],[Mode Digit]], Rdson3*Table25[[#This Row],[Irms Lf]]^2, Rdson1*Table25[[#This Row],[Irms Lf]]^2, 0)</f>
        <v>0.42047835947691059</v>
      </c>
      <c r="AZ106" s="345">
        <f>CHOOSE(Table25[[#This Row],[Mode Digit]], 2*Deadtime*Fsw*IF(VfdSky_Q2&gt;0,VfdSky_Q2,0)*Table25[[#This Row],[Iout]], 2*Deadtime*Fsw*IF(VfdSky_Q3&gt;0,VfdSky_Q3,0)*Table25[[#This Row],[Iin]], 2*Deadtime*Fsw*IF(VfdSky_Q2&gt;0,VfdSky_Q2,0)*Table25[[#This Row],[Iout]]+2*Deadtime*Fsw*IF(VfdSky_Q3&gt;0,VfdSky_Q3,0)*Table25[[#This Row],[Iin]])</f>
        <v>0</v>
      </c>
      <c r="BA106"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106"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106" s="345">
        <f>CHOOSE(Table25[[#This Row],[Mode Digit]], Rs*Table25[[#This Row],[Irms BuSync]]^2, Rs*Table25[[#This Row],[Irms BoCtlr]]^2, Rs*(Table25[[#This Row],[Irms BuSync]]^2+Table25[[#This Row],[Irms BoCtlr]]^2))</f>
        <v>0.15617767637713822</v>
      </c>
      <c r="BD106" s="345">
        <f t="shared" si="9"/>
        <v>0.64</v>
      </c>
      <c r="BE106" s="345">
        <f>IF(Vout&gt;8, Iq*Vout, Iq*Table25[[#This Row],[Vin]])</f>
        <v>4.8000000000000001E-2</v>
      </c>
      <c r="BF106" s="345">
        <f>CHOOSE(Table25[[#This Row],[Mode Digit]], (Qg_Q1+Qg_Q2)*Fsw, (Qg_Q3+Qg_Q4)*Fsw, (Qg_Q1+Qg_Q2+Qg_Q3+Qg_Q4)*Fsw)*IF(Vout&gt;8,  MIN( Table25[[#This Row],[Vin]], Vout), Table25[[#This Row],[Vin]])</f>
        <v>0.63998400000000011</v>
      </c>
      <c r="BG106" s="345">
        <f t="shared" si="10"/>
        <v>0.50594479787234037</v>
      </c>
      <c r="BH106" s="345">
        <f>Table25[[#This Row],[IQ Loss]]+Table25[[#This Row],[Switching Current Loss]]</f>
        <v>0.68798400000000015</v>
      </c>
      <c r="BI106"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6.236935765617547</v>
      </c>
      <c r="BJ106" s="253">
        <f>Vout*Table25[[#This Row],[Iout]]</f>
        <v>124.16</v>
      </c>
      <c r="BK106" s="684">
        <f>Table25[[#This Row],[Pout]]/(Table25[[#This Row],[Pout]]+Table25[[#This Row],[Total Loss]])</f>
        <v>0.95216961404040856</v>
      </c>
      <c r="BL106" s="685">
        <f>IF(Table25[[#This Row],[Vin]]&gt;Vout,ThetaJA_Q1*(Table25[[#This Row],[Total Control Bu MOSFET Loss]]+Table25[[#This Row],[Reverse Recovery Loss MOSFET D BUCK]]),ThetaJA_Q4*(Table25[[#This Row],[Total Control Bo MOSFET Loss]]+Table25[[#This Row],[Reverse Recovery Loss MOSFET D BOOST]]))</f>
        <v>101.12186283903966</v>
      </c>
      <c r="BM106" s="685">
        <f>IF(Table25[[#This Row],[Vin]]&gt;Vout, Table25[[#This Row],[Total Sync Bu MOSFET Loss]]*ThetaJA_Q2, ThetaJA_Q3*Table25[[#This Row],[Total Sync Bo MOSFET Loss]])</f>
        <v>54.411277445232862</v>
      </c>
      <c r="BN106" s="640"/>
      <c r="BO106" s="292">
        <f>Table25[[#This Row],[EFF, h]]*100</f>
        <v>95.216961404040859</v>
      </c>
      <c r="BP106" s="345">
        <f>Table25[[#This Row],[Total Inductor Loss]]</f>
        <v>1.0139201824151118</v>
      </c>
      <c r="BQ106" s="345">
        <f>Table25[[#This Row],[Total Control Bu MOSFET Loss]]+Table25[[#This Row],[Total Sync Bu MOSFET Loss]]+Table25[[#This Row],[Total Control Bo MOSFET Loss]]+Table25[[#This Row],[Total Sync Bo MOSFET Loss]]+Table25[[#This Row],[Reverse Recovery Loss MOSFET D BUCK]]+Table25[[#This Row],[Reverse Recovery Loss MOSFET D BOOST]]</f>
        <v>3.6936039776086318</v>
      </c>
      <c r="BR106" s="345">
        <f xml:space="preserve"> Table25[[#This Row],[Total Control Bu MOSFET Loss]]+Table25[[#This Row],[Reverse Recovery Loss MOSFET D BUCK]]*0.66</f>
        <v>0.70745049738683496</v>
      </c>
      <c r="BS106" s="345">
        <f>Table25[[#This Row],[Total Sync Bu MOSFET Loss]]+Table25[[#This Row],[Reverse Recovery Loss MOSFET D BUCK]]*0.33</f>
        <v>0.58976985738683485</v>
      </c>
      <c r="BT106" s="345">
        <f xml:space="preserve"> Table25[[#This Row],[Total Control Bo MOSFET Loss]]+Table25[[#This Row],[Reverse Recovery Loss MOSFET D BOOST]]*0.66</f>
        <v>1.4344742467544565</v>
      </c>
      <c r="BU106" s="345">
        <f xml:space="preserve"> Table25[[#This Row],[Total Sync Bo MOSFET Loss]]+Table25[[#This Row],[Reverse Recovery Loss MOSFET D BOOST]]*0.33</f>
        <v>0.95477721608050559</v>
      </c>
      <c r="BV106" s="345">
        <f>Table25[[#This Row],[Isense Shunt Loss]]</f>
        <v>0.15617767637713822</v>
      </c>
      <c r="CB106" s="686"/>
      <c r="CC106" s="686"/>
    </row>
    <row r="107" spans="7:81" x14ac:dyDescent="0.2">
      <c r="G107" s="253">
        <v>98</v>
      </c>
      <c r="H107" s="286">
        <f t="shared" si="8"/>
        <v>12</v>
      </c>
      <c r="I107" s="292" t="str">
        <f>IF(Mode = 2,IF(Table25[[#This Row],[Vin]]&gt;Vout, "BUCK","BOOST"),IF(Table25[[#This Row],[Vin]]&gt;VIN_BB_to_buck, "BUCK", IF(Table25[[#This Row],[Vin]]&lt;=VIN_boost_to_BB,"BOOST","BUCK-BST")))</f>
        <v>BOOST</v>
      </c>
      <c r="J107" s="253">
        <f>IF(Table25[[#This Row],[Mode]]="BOOST",2, IF(Table25[[#This Row],[Mode]]="BUCK", 1,3))</f>
        <v>2</v>
      </c>
      <c r="K107" s="345">
        <f t="shared" si="11"/>
        <v>7.84</v>
      </c>
      <c r="L107" s="292">
        <f>Vout*Table25[[#This Row],[Iout]]/(Table25[[#This Row],[Vin]]*Efficiency)</f>
        <v>11.003508771929825</v>
      </c>
      <c r="M107" s="682">
        <f>CHOOSE(Table25[[#This Row],[Mode Digit]],(Vout+(Rdson2+Rs+Rdcr)*Table25[[#This Row],[Iout]])/(Table25[[#This Row],[Vin]]+(Rs+Rdson2-Rdson1)*Table25[[#This Row],[Iout]])/Fsw,(Vout+(Rdson3+Rdcr)*Table25[[#This Row],[Iin]]-Table25[[#This Row],[Vin]])/(Vout+(Rdson3-Rdson4-Rs)*Table25[[#This Row],[Iin]])/Fsw,t1_Ph_II)</f>
        <v>6.4029032970511808E-7</v>
      </c>
      <c r="N107" s="518">
        <f>CHOOSE(Table25[[#This Row],[Mode Digit]],1/Fsw-Table25[[#This Row],[t1_Ph_II]],1/Fsw-Table25[[#This Row],[t1_Ph_II]],(Vout/Fsw-Table25[[#This Row],[Vin]]*t1_Ph_II)/(Table25[[#This Row],[Vin]]+Vout))</f>
        <v>1.8722724843652338E-6</v>
      </c>
      <c r="O107" s="518">
        <f>1/Fsw-(Table25[[#This Row],[t1_Ph_II]]+Table25[[#This Row],[t2_Ph_I]])</f>
        <v>0</v>
      </c>
      <c r="P107"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8.8692076729127649</v>
      </c>
      <c r="Q107" s="292">
        <f>CHOOSE(Table25[[#This Row],[Mode Digit]],Table25[[#This Row],[I_0]]+1/Lf*(Table25[[#This Row],[Vin]]-Vout)*Table25[[#This Row],[t1_Ph_II]],Table25[[#This Row],[I_0]]+1/Lf*Table25[[#This Row],[Vin]]*Table25[[#This Row],[t1_Ph_II]],Table25[[#This Row],[I_0]]+(Table25[[#This Row],[Vin]]-Vout)/L*Table25[[#This Row],[t1_Ph_II]])</f>
        <v>13.137809870946885</v>
      </c>
      <c r="R107" s="292">
        <f>CHOOSE(Table25[[#This Row],[Mode Digit]],0,0,Table25[[#This Row],[I_1]]+Table25[[#This Row],[Vin]]/L*Table25[[#This Row],[t2_Ph_I]])</f>
        <v>0</v>
      </c>
      <c r="S107" s="292">
        <f>Fsw*(Table25[[#This Row],[I_0]]*Table25[[#This Row],[t1_Ph_II]]+Table25[[#This Row],[I_1]]*Table25[[#This Row],[t2_Ph_I]]+Table25[[#This Row],[I_2]]*Table25[[#This Row],[t3_Ph_III]])</f>
        <v>12.050018276860701</v>
      </c>
      <c r="T107" s="345">
        <f>CHOOSE(Table25[[#This Row],[Mode Digit]],(Vout+(Rdson2+Rs+Rdcr)*Table25[[#This Row],[Iout]])/(Table25[[#This Row],[Vin]]+(Rs+Rdson2-Rdson1)*Table25[[#This Row],[Iout]]),1,Fsw*Table25[[#This Row],[t2_Ph_I]]+Table25[[#This Row],[t1_Ph_II]])</f>
        <v>1</v>
      </c>
      <c r="U107" s="345">
        <f>CHOOSE(Table25[[#This Row],[Mode Digit]],0,(Vout+(Rdson3+Rdcr)*Table25[[#This Row],[Iin]]-Table25[[#This Row],[Vin]])/(Vout+(Rdson3-Rdson4-Rs)*Table25[[#This Row],[Iin]]),Fsw*Table25[[#This Row],[t1_Ph_II]]+Table25[[#This Row],[t3_Ph_III]])</f>
        <v>0.25483555122263701</v>
      </c>
      <c r="V107" s="292">
        <f>MAX(Table25[[#This Row],[I_0]:[I_2]])-MIN(Table25[[#This Row],[I_0]:[I_1]])</f>
        <v>4.2686021980341202</v>
      </c>
      <c r="W107"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11.072290595040625</v>
      </c>
      <c r="X107" s="345">
        <f>(Table25[[#This Row],[Irms Lf]]^2*Rdcr*(1+Ltc*Ta-Ltc*25))/(1-Table25[[#This Row],[Irms Lf]]^2*Rdcr*Ltc*ThetaCa)</f>
        <v>0.40501723557697467</v>
      </c>
      <c r="Y107" s="345">
        <f>ABS(7.759*10^-3*Fsw^0.9458*(0.00787*Table25[[#This Row],[Ripple Current pk-pk]])^2.304)</f>
        <v>0.6175600020512898</v>
      </c>
      <c r="Z107" s="345">
        <f>Table25[[#This Row],[DCR    Loss]]+Table25[[#This Row],[Core Loss]]</f>
        <v>1.0225772376282645</v>
      </c>
      <c r="AA107" s="292">
        <f>IF(Table25[[#This Row],[Vin]]&gt;Vout, Table25[[#This Row],[Ripple Current pk-pk]]/SQRT(12), SQRT(Table25[[#This Row],[Duty Cycle BOOST Leg]]/(1-Table25[[#This Row],[Duty Cycle BOOST Leg]]))*SQRT(Table25[[#This Row],[Iout]]^2+(Table25[[#This Row],[Ripple Current pk-pk]]^2)/12))</f>
        <v>4.6410805977715972</v>
      </c>
      <c r="AB107" s="345">
        <f>RCoutEsr*Table25[[#This Row],[Irms Cout]]^2</f>
        <v>4.3079258230023933E-2</v>
      </c>
      <c r="AC107" s="345">
        <f>Table25[[#This Row],[Cout ESR Loss]]</f>
        <v>4.3079258230023933E-2</v>
      </c>
      <c r="AD107" s="292">
        <f>IF(Table25[[#This Row],[Vin]]&gt;Vout, SQRT(Table25[[#This Row],[Duty Cycle BUCK Leg]]*(1-Table25[[#This Row],[Duty Cycle BUCK Leg]]))*SQRT(Table25[[#This Row],[Iout]]^2+(Table25[[#This Row],[Ripple Current pk-pk]]^2)/12), Table25[[#This Row],[Ripple Current pk-pk]]/SQRT(12))</f>
        <v>1.2322393140492138</v>
      </c>
      <c r="AE107" s="345">
        <f>RCinEsr*Table25[[#This Row],[Irms Cin]]^2</f>
        <v>3.036827454176954E-3</v>
      </c>
      <c r="AF107" s="683">
        <f>Table25[[#This Row],[Cin ESR Loss]]</f>
        <v>3.036827454176954E-3</v>
      </c>
      <c r="AG107" s="345">
        <f>Table25[[#This Row],[Irms Lf]]</f>
        <v>11.072290595040625</v>
      </c>
      <c r="AH107" s="345">
        <f>Rdson1*Table25[[#This Row],[Irms BuCtrl]]^2</f>
        <v>0.42908466657358779</v>
      </c>
      <c r="AI107" s="345">
        <f>CHOOSE(Table25[[#This Row],[Mode Digit]], (Table25[[#This Row],[Vin]]*Table25[[#This Row],[Iout]]/2)*(Fsw)*(Tr_buck+Tf_buck), 0, (Table25[[#This Row],[Vin]]*Table25[[#This Row],[Avg IL]]/2)*(Fsw/1)*(Tr_buck+Tf_buck))</f>
        <v>0</v>
      </c>
      <c r="AJ107" s="253">
        <f>IF(Table25[[#This Row],[Vin]]&gt;Vout, IF(Table25[[#This Row],[Iout]]&gt;Table25[[#This Row],[Ripple Current pk-pk]]/2,0,ABS(Table25[[#This Row],[Iout]]-Table25[[#This Row],[Ripple Current pk-pk]]/2)*Vsd_Q1*Deadtime*Fsw),0)</f>
        <v>0</v>
      </c>
      <c r="AK107" s="345">
        <f>(Table25[[#This Row],[Dead Time Loss BuCtrl]]+Table25[[#This Row],[Transition Loss BuCtrl]]+Table25[[#This Row],[RDS(on) Loss BuCtrl]]*(1+RdsonTopTc*Ta-RdsonTopTc*25))/(1-Table25[[#This Row],[RDS(on) Loss BuCtrl]]*RdsonTopTc*ThetaJA_Q1)</f>
        <v>0.48296524124523754</v>
      </c>
      <c r="AL107" s="345">
        <f>Table25[[#This Row],[Irms Lf]]</f>
        <v>11.072290595040625</v>
      </c>
      <c r="AM107" s="345">
        <f>Rdson2*Table25[[#This Row],[Irms BuSync]]^2</f>
        <v>0.42908466657358779</v>
      </c>
      <c r="AN107"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107" s="345">
        <f>(Table25[[#This Row],[Deadtime Loss BuSync]]+Table25[[#This Row],[RDS(on) Loss BuSync]]*(1+RdsonBotTc*Ta-RdsonBotTc*25))/(1-Table25[[#This Row],[RDS(on) Loss BuSync]]*RdsonBotTc*ThetaJA_Q2)</f>
        <v>0.48296524124523754</v>
      </c>
      <c r="AP107" s="345">
        <f>Table25[[#This Row],[Irms Lf]]</f>
        <v>11.072290595040625</v>
      </c>
      <c r="AQ107" s="345">
        <f>Rdson4*Table25[[#This Row],[Irms BoCtlr]]^2</f>
        <v>0.42908466657358779</v>
      </c>
      <c r="AR107" s="345">
        <f>CHOOSE(Table25[[#This Row],[Mode Digit]], 0, (Vout*Table25[[#This Row],[Iin]]/2)*(Fsw)*(Tr_boost+Tf_boost), (Vout*Iout/2)*(Fsw/1)*(Tr_boost+Tf_boost))</f>
        <v>0.65421802763409187</v>
      </c>
      <c r="AS107" s="345">
        <f>IF(Table25[[#This Row],[Vin]]&gt;Vout, 0, IF(Table25[[#This Row],[Iin]]&gt;Table25[[#This Row],[Ripple Current pk-pk]]/2,0,ABS(Table25[[#This Row],[Iin]]-Table25[[#This Row],[Ripple Current pk-pk]]/2)*Vsd_Q4*Deadtime*Fsw))</f>
        <v>0</v>
      </c>
      <c r="AT107" s="345">
        <f>(Table25[[#This Row],[Dead Time Loss BoCtlr]]+Table25[[#This Row],[Transition Loss BoCtlr]]+Table25[[#This Row],[RDS(on) Loss BoCtlr]]*(1+RdsonTopTc*Ta-RdsonTopTc*25))/(1-Table25[[#This Row],[RDS(on) Loss BoCtlr]]*RdsonTopTc*ThetaJA_Q4)</f>
        <v>1.2193340564405828</v>
      </c>
      <c r="AU107" s="345">
        <f>Table25[[#This Row],[Irms Lf]]</f>
        <v>11.072290595040625</v>
      </c>
      <c r="AV107" s="345">
        <f>Rdson3*Table25[[#This Row],[Irms BoSync]]^2</f>
        <v>0.42908466657358779</v>
      </c>
      <c r="AW107"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0.32845473684210524</v>
      </c>
      <c r="AX107" s="345">
        <f>(Table25[[#This Row],[Deadtime Loss BoSync]]+Table25[[#This Row],[RDS(on) Loss BoSync]]*(1+RdsonBotTc*Ta-RdsonBotTc*25))/(1-Table25[[#This Row],[RDS(on) Loss BoSync]]*RdsonBotTc*ThetaJA_Q3)</f>
        <v>0.85266435560378573</v>
      </c>
      <c r="AY107" s="345">
        <f>CHOOSE(Table25[[#This Row],[Mode Digit]], Rdson3*Table25[[#This Row],[Irms Lf]]^2, Rdson1*Table25[[#This Row],[Irms Lf]]^2, 0)</f>
        <v>0.42908466657358779</v>
      </c>
      <c r="AZ107" s="345">
        <f>CHOOSE(Table25[[#This Row],[Mode Digit]], 2*Deadtime*Fsw*IF(VfdSky_Q2&gt;0,VfdSky_Q2,0)*Table25[[#This Row],[Iout]], 2*Deadtime*Fsw*IF(VfdSky_Q3&gt;0,VfdSky_Q3,0)*Table25[[#This Row],[Iin]], 2*Deadtime*Fsw*IF(VfdSky_Q2&gt;0,VfdSky_Q2,0)*Table25[[#This Row],[Iout]]+2*Deadtime*Fsw*IF(VfdSky_Q3&gt;0,VfdSky_Q3,0)*Table25[[#This Row],[Iin]])</f>
        <v>0</v>
      </c>
      <c r="BA107"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107"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107" s="345">
        <f>CHOOSE(Table25[[#This Row],[Mode Digit]], Rs*Table25[[#This Row],[Irms BuSync]]^2, Rs*Table25[[#This Row],[Irms BoCtlr]]^2, Rs*(Table25[[#This Row],[Irms BuSync]]^2+Table25[[#This Row],[Irms BoCtlr]]^2))</f>
        <v>0.15937430472733261</v>
      </c>
      <c r="BD107" s="345">
        <f t="shared" si="9"/>
        <v>0.64</v>
      </c>
      <c r="BE107" s="345">
        <f>IF(Vout&gt;8, Iq*Vout, Iq*Table25[[#This Row],[Vin]])</f>
        <v>4.8000000000000001E-2</v>
      </c>
      <c r="BF107" s="345">
        <f>CHOOSE(Table25[[#This Row],[Mode Digit]], (Qg_Q1+Qg_Q2)*Fsw, (Qg_Q3+Qg_Q4)*Fsw, (Qg_Q1+Qg_Q2+Qg_Q3+Qg_Q4)*Fsw)*IF(Vout&gt;8,  MIN( Table25[[#This Row],[Vin]], Vout), Table25[[#This Row],[Vin]])</f>
        <v>0.63998400000000011</v>
      </c>
      <c r="BG107" s="345">
        <f t="shared" si="10"/>
        <v>0.50594479787234037</v>
      </c>
      <c r="BH107" s="345">
        <f>Table25[[#This Row],[IQ Loss]]+Table25[[#This Row],[Switching Current Loss]]</f>
        <v>0.68798400000000015</v>
      </c>
      <c r="BI107"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6.3071965225746407</v>
      </c>
      <c r="BJ107" s="253">
        <f>Vout*Table25[[#This Row],[Iout]]</f>
        <v>125.44</v>
      </c>
      <c r="BK107" s="684">
        <f>Table25[[#This Row],[Pout]]/(Table25[[#This Row],[Pout]]+Table25[[#This Row],[Total Loss]])</f>
        <v>0.95212652193708047</v>
      </c>
      <c r="BL107" s="685">
        <f>IF(Table25[[#This Row],[Vin]]&gt;Vout,ThetaJA_Q1*(Table25[[#This Row],[Total Control Bu MOSFET Loss]]+Table25[[#This Row],[Reverse Recovery Loss MOSFET D BUCK]]),ThetaJA_Q4*(Table25[[#This Row],[Total Control Bo MOSFET Loss]]+Table25[[#This Row],[Reverse Recovery Loss MOSFET D BOOST]]))</f>
        <v>102.43623366863788</v>
      </c>
      <c r="BM107" s="685">
        <f>IF(Table25[[#This Row],[Vin]]&gt;Vout, Table25[[#This Row],[Total Sync Bu MOSFET Loss]]*ThetaJA_Q2, ThetaJA_Q3*Table25[[#This Row],[Total Sync Bo MOSFET Loss]])</f>
        <v>55.423183114246072</v>
      </c>
      <c r="BN107" s="640"/>
      <c r="BO107" s="292">
        <f>Table25[[#This Row],[EFF, h]]*100</f>
        <v>95.212652193708053</v>
      </c>
      <c r="BP107" s="345">
        <f>Table25[[#This Row],[Total Inductor Loss]]</f>
        <v>1.0225772376282645</v>
      </c>
      <c r="BQ107" s="345">
        <f>Table25[[#This Row],[Total Control Bu MOSFET Loss]]+Table25[[#This Row],[Total Sync Bu MOSFET Loss]]+Table25[[#This Row],[Total Control Bo MOSFET Loss]]+Table25[[#This Row],[Total Sync Bo MOSFET Loss]]+Table25[[#This Row],[Reverse Recovery Loss MOSFET D BUCK]]+Table25[[#This Row],[Reverse Recovery Loss MOSFET D BOOST]]</f>
        <v>3.751144894534844</v>
      </c>
      <c r="BR107" s="345">
        <f xml:space="preserve"> Table25[[#This Row],[Total Control Bu MOSFET Loss]]+Table25[[#This Row],[Reverse Recovery Loss MOSFET D BUCK]]*0.66</f>
        <v>0.71832652124523755</v>
      </c>
      <c r="BS107" s="345">
        <f>Table25[[#This Row],[Total Sync Bu MOSFET Loss]]+Table25[[#This Row],[Reverse Recovery Loss MOSFET D BUCK]]*0.33</f>
        <v>0.60064588124523755</v>
      </c>
      <c r="BT107" s="345">
        <f xml:space="preserve"> Table25[[#This Row],[Total Control Bo MOSFET Loss]]+Table25[[#This Row],[Reverse Recovery Loss MOSFET D BOOST]]*0.66</f>
        <v>1.4546953364405828</v>
      </c>
      <c r="BU107" s="345">
        <f xml:space="preserve"> Table25[[#This Row],[Total Sync Bo MOSFET Loss]]+Table25[[#This Row],[Reverse Recovery Loss MOSFET D BOOST]]*0.33</f>
        <v>0.97034499560378573</v>
      </c>
      <c r="BV107" s="345">
        <f>Table25[[#This Row],[Isense Shunt Loss]]</f>
        <v>0.15937430472733261</v>
      </c>
      <c r="CB107" s="686"/>
      <c r="CC107" s="686"/>
    </row>
    <row r="108" spans="7:81" x14ac:dyDescent="0.2">
      <c r="G108" s="253">
        <v>99</v>
      </c>
      <c r="H108" s="286">
        <f t="shared" si="8"/>
        <v>12</v>
      </c>
      <c r="I108" s="292" t="str">
        <f>IF(Mode = 2,IF(Table25[[#This Row],[Vin]]&gt;Vout, "BUCK","BOOST"),IF(Table25[[#This Row],[Vin]]&gt;VIN_BB_to_buck, "BUCK", IF(Table25[[#This Row],[Vin]]&lt;=VIN_boost_to_BB,"BOOST","BUCK-BST")))</f>
        <v>BOOST</v>
      </c>
      <c r="J108" s="253">
        <f>IF(Table25[[#This Row],[Mode]]="BOOST",2, IF(Table25[[#This Row],[Mode]]="BUCK", 1,3))</f>
        <v>2</v>
      </c>
      <c r="K108" s="345">
        <f t="shared" si="11"/>
        <v>7.92</v>
      </c>
      <c r="L108" s="292">
        <f>Vout*Table25[[#This Row],[Iout]]/(Table25[[#This Row],[Vin]]*Efficiency)</f>
        <v>11.115789473684211</v>
      </c>
      <c r="M108" s="682">
        <f>CHOOSE(Table25[[#This Row],[Mode Digit]],(Vout+(Rdson2+Rs+Rdcr)*Table25[[#This Row],[Iout]])/(Table25[[#This Row],[Vin]]+(Rs+Rdson2-Rdson1)*Table25[[#This Row],[Iout]])/Fsw,(Vout+(Rdson3+Rdcr)*Table25[[#This Row],[Iin]]-Table25[[#This Row],[Vin]])/(Vout+(Rdson3-Rdson4-Rs)*Table25[[#This Row],[Iin]])/Fsw,t1_Ph_II)</f>
        <v>6.4041441755346163E-7</v>
      </c>
      <c r="N108" s="518">
        <f>CHOOSE(Table25[[#This Row],[Mode Digit]],1/Fsw-Table25[[#This Row],[t1_Ph_II]],1/Fsw-Table25[[#This Row],[t1_Ph_II]],(Vout/Fsw-Table25[[#This Row],[Vin]]*t1_Ph_II)/(Table25[[#This Row],[Vin]]+Vout))</f>
        <v>1.8721483965168903E-6</v>
      </c>
      <c r="O108" s="518">
        <f>1/Fsw-(Table25[[#This Row],[t1_Ph_II]]+Table25[[#This Row],[t2_Ph_I]])</f>
        <v>0</v>
      </c>
      <c r="P108"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8.981074748506007</v>
      </c>
      <c r="Q108" s="292">
        <f>CHOOSE(Table25[[#This Row],[Mode Digit]],Table25[[#This Row],[I_0]]+1/Lf*(Table25[[#This Row],[Vin]]-Vout)*Table25[[#This Row],[t1_Ph_II]],Table25[[#This Row],[I_0]]+1/Lf*Table25[[#This Row],[Vin]]*Table25[[#This Row],[t1_Ph_II]],Table25[[#This Row],[I_0]]+(Table25[[#This Row],[Vin]]-Vout)/L*Table25[[#This Row],[t1_Ph_II]])</f>
        <v>13.250504198862417</v>
      </c>
      <c r="R108" s="292">
        <f>CHOOSE(Table25[[#This Row],[Mode Digit]],0,0,Table25[[#This Row],[I_1]]+Table25[[#This Row],[Vin]]/L*Table25[[#This Row],[t2_Ph_I]])</f>
        <v>0</v>
      </c>
      <c r="S108" s="292">
        <f>Fsw*(Table25[[#This Row],[I_0]]*Table25[[#This Row],[t1_Ph_II]]+Table25[[#This Row],[I_1]]*Table25[[#This Row],[t2_Ph_I]]+Table25[[#This Row],[I_2]]*Table25[[#This Row],[t3_Ph_III]])</f>
        <v>12.162290937317652</v>
      </c>
      <c r="T108" s="345">
        <f>CHOOSE(Table25[[#This Row],[Mode Digit]],(Vout+(Rdson2+Rs+Rdcr)*Table25[[#This Row],[Iout]])/(Table25[[#This Row],[Vin]]+(Rs+Rdson2-Rdson1)*Table25[[#This Row],[Iout]]),1,Fsw*Table25[[#This Row],[t2_Ph_I]]+Table25[[#This Row],[t1_Ph_II]])</f>
        <v>1</v>
      </c>
      <c r="U108" s="345">
        <f>CHOOSE(Table25[[#This Row],[Mode Digit]],0,(Vout+(Rdson3+Rdcr)*Table25[[#This Row],[Iin]]-Table25[[#This Row],[Vin]])/(Vout+(Rdson3-Rdson4-Rs)*Table25[[#This Row],[Iin]]),Fsw*Table25[[#This Row],[t1_Ph_II]]+Table25[[#This Row],[t3_Ph_III]])</f>
        <v>0.25488493818627772</v>
      </c>
      <c r="V108" s="292">
        <f>MAX(Table25[[#This Row],[I_0]:[I_2]])-MIN(Table25[[#This Row],[I_0]:[I_1]])</f>
        <v>4.2694294503564105</v>
      </c>
      <c r="W108"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11.183907096474213</v>
      </c>
      <c r="X108" s="345">
        <f>(Table25[[#This Row],[Irms Lf]]^2*Rdcr*(1+Ltc*Ta-Ltc*25))/(1-Table25[[#This Row],[Irms Lf]]^2*Rdcr*Ltc*ThetaCa)</f>
        <v>0.41349559328522872</v>
      </c>
      <c r="Y108" s="345">
        <f>ABS(7.759*10^-3*Fsw^0.9458*(0.00787*Table25[[#This Row],[Ripple Current pk-pk]])^2.304)</f>
        <v>0.61783578589477595</v>
      </c>
      <c r="Z108" s="345">
        <f>Table25[[#This Row],[DCR    Loss]]+Table25[[#This Row],[Core Loss]]</f>
        <v>1.0313313791800047</v>
      </c>
      <c r="AA108" s="292">
        <f>IF(Table25[[#This Row],[Vin]]&gt;Vout, Table25[[#This Row],[Ripple Current pk-pk]]/SQRT(12), SQRT(Table25[[#This Row],[Duty Cycle BOOST Leg]]/(1-Table25[[#This Row],[Duty Cycle BOOST Leg]]))*SQRT(Table25[[#This Row],[Iout]]^2+(Table25[[#This Row],[Ripple Current pk-pk]]^2)/12))</f>
        <v>4.6879334920945412</v>
      </c>
      <c r="AB108" s="345">
        <f>RCoutEsr*Table25[[#This Row],[Irms Cout]]^2</f>
        <v>4.3953440852603443E-2</v>
      </c>
      <c r="AC108" s="345">
        <f>Table25[[#This Row],[Cout ESR Loss]]</f>
        <v>4.3953440852603443E-2</v>
      </c>
      <c r="AD108" s="292">
        <f>IF(Table25[[#This Row],[Vin]]&gt;Vout, SQRT(Table25[[#This Row],[Duty Cycle BUCK Leg]]*(1-Table25[[#This Row],[Duty Cycle BUCK Leg]]))*SQRT(Table25[[#This Row],[Iout]]^2+(Table25[[#This Row],[Ripple Current pk-pk]]^2)/12), Table25[[#This Row],[Ripple Current pk-pk]]/SQRT(12))</f>
        <v>1.2324781212246949</v>
      </c>
      <c r="AE108" s="345">
        <f>RCinEsr*Table25[[#This Row],[Irms Cin]]^2</f>
        <v>3.0380046385951073E-3</v>
      </c>
      <c r="AF108" s="683">
        <f>Table25[[#This Row],[Cin ESR Loss]]</f>
        <v>3.0380046385951073E-3</v>
      </c>
      <c r="AG108" s="345">
        <f>Table25[[#This Row],[Irms Lf]]</f>
        <v>11.183907096474213</v>
      </c>
      <c r="AH108" s="345">
        <f>Rdson1*Table25[[#This Row],[Irms BuCtrl]]^2</f>
        <v>0.43777922279898196</v>
      </c>
      <c r="AI108" s="345">
        <f>CHOOSE(Table25[[#This Row],[Mode Digit]], (Table25[[#This Row],[Vin]]*Table25[[#This Row],[Iout]]/2)*(Fsw)*(Tr_buck+Tf_buck), 0, (Table25[[#This Row],[Vin]]*Table25[[#This Row],[Avg IL]]/2)*(Fsw/1)*(Tr_buck+Tf_buck))</f>
        <v>0</v>
      </c>
      <c r="AJ108" s="253">
        <f>IF(Table25[[#This Row],[Vin]]&gt;Vout, IF(Table25[[#This Row],[Iout]]&gt;Table25[[#This Row],[Ripple Current pk-pk]]/2,0,ABS(Table25[[#This Row],[Iout]]-Table25[[#This Row],[Ripple Current pk-pk]]/2)*Vsd_Q1*Deadtime*Fsw),0)</f>
        <v>0</v>
      </c>
      <c r="AK108" s="345">
        <f>(Table25[[#This Row],[Dead Time Loss BuCtrl]]+Table25[[#This Row],[Transition Loss BuCtrl]]+Table25[[#This Row],[RDS(on) Loss BuCtrl]]*(1+RdsonTopTc*Ta-RdsonTopTc*25))/(1-Table25[[#This Row],[RDS(on) Loss BuCtrl]]*RdsonTopTc*ThetaJA_Q1)</f>
        <v>0.49400856056052145</v>
      </c>
      <c r="AL108" s="345">
        <f>Table25[[#This Row],[Irms Lf]]</f>
        <v>11.183907096474213</v>
      </c>
      <c r="AM108" s="345">
        <f>Rdson2*Table25[[#This Row],[Irms BuSync]]^2</f>
        <v>0.43777922279898196</v>
      </c>
      <c r="AN108"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108" s="345">
        <f>(Table25[[#This Row],[Deadtime Loss BuSync]]+Table25[[#This Row],[RDS(on) Loss BuSync]]*(1+RdsonBotTc*Ta-RdsonBotTc*25))/(1-Table25[[#This Row],[RDS(on) Loss BuSync]]*RdsonBotTc*ThetaJA_Q2)</f>
        <v>0.49400856056052145</v>
      </c>
      <c r="AP108" s="345">
        <f>Table25[[#This Row],[Irms Lf]]</f>
        <v>11.183907096474213</v>
      </c>
      <c r="AQ108" s="345">
        <f>Rdson4*Table25[[#This Row],[Irms BoCtlr]]^2</f>
        <v>0.43777922279898196</v>
      </c>
      <c r="AR108" s="345">
        <f>CHOOSE(Table25[[#This Row],[Mode Digit]], 0, (Vout*Table25[[#This Row],[Iin]]/2)*(Fsw)*(Tr_boost+Tf_boost), (Vout*Iout/2)*(Fsw/1)*(Tr_boost+Tf_boost))</f>
        <v>0.66089372179362349</v>
      </c>
      <c r="AS108" s="345">
        <f>IF(Table25[[#This Row],[Vin]]&gt;Vout, 0, IF(Table25[[#This Row],[Iin]]&gt;Table25[[#This Row],[Ripple Current pk-pk]]/2,0,ABS(Table25[[#This Row],[Iin]]-Table25[[#This Row],[Ripple Current pk-pk]]/2)*Vsd_Q4*Deadtime*Fsw))</f>
        <v>0</v>
      </c>
      <c r="AT108" s="345">
        <f>(Table25[[#This Row],[Dead Time Loss BoCtlr]]+Table25[[#This Row],[Transition Loss BoCtlr]]+Table25[[#This Row],[RDS(on) Loss BoCtlr]]*(1+RdsonTopTc*Ta-RdsonTopTc*25))/(1-Table25[[#This Row],[RDS(on) Loss BoCtlr]]*RdsonTopTc*ThetaJA_Q4)</f>
        <v>1.2397889429627011</v>
      </c>
      <c r="AU108" s="345">
        <f>Table25[[#This Row],[Irms Lf]]</f>
        <v>11.183907096474213</v>
      </c>
      <c r="AV108" s="345">
        <f>Rdson3*Table25[[#This Row],[Irms BoSync]]^2</f>
        <v>0.43777922279898196</v>
      </c>
      <c r="AW108"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0.33180631578947367</v>
      </c>
      <c r="AX108" s="345">
        <f>(Table25[[#This Row],[Deadtime Loss BoSync]]+Table25[[#This Row],[RDS(on) Loss BoSync]]*(1+RdsonBotTc*Ta-RdsonBotTc*25))/(1-Table25[[#This Row],[RDS(on) Loss BoSync]]*RdsonBotTc*ThetaJA_Q3)</f>
        <v>0.86843281806648753</v>
      </c>
      <c r="AY108" s="345">
        <f>CHOOSE(Table25[[#This Row],[Mode Digit]], Rdson3*Table25[[#This Row],[Irms Lf]]^2, Rdson1*Table25[[#This Row],[Irms Lf]]^2, 0)</f>
        <v>0.43777922279898196</v>
      </c>
      <c r="AZ108" s="345">
        <f>CHOOSE(Table25[[#This Row],[Mode Digit]], 2*Deadtime*Fsw*IF(VfdSky_Q2&gt;0,VfdSky_Q2,0)*Table25[[#This Row],[Iout]], 2*Deadtime*Fsw*IF(VfdSky_Q3&gt;0,VfdSky_Q3,0)*Table25[[#This Row],[Iin]], 2*Deadtime*Fsw*IF(VfdSky_Q2&gt;0,VfdSky_Q2,0)*Table25[[#This Row],[Iout]]+2*Deadtime*Fsw*IF(VfdSky_Q3&gt;0,VfdSky_Q3,0)*Table25[[#This Row],[Iin]])</f>
        <v>0</v>
      </c>
      <c r="BA108"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108"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108" s="345">
        <f>CHOOSE(Table25[[#This Row],[Mode Digit]], Rs*Table25[[#This Row],[Irms BuSync]]^2, Rs*Table25[[#This Row],[Irms BoCtlr]]^2, Rs*(Table25[[#This Row],[Irms BuSync]]^2+Table25[[#This Row],[Irms BoCtlr]]^2))</f>
        <v>0.16260371132533613</v>
      </c>
      <c r="BD108" s="345">
        <f t="shared" si="9"/>
        <v>0.64</v>
      </c>
      <c r="BE108" s="345">
        <f>IF(Vout&gt;8, Iq*Vout, Iq*Table25[[#This Row],[Vin]])</f>
        <v>4.8000000000000001E-2</v>
      </c>
      <c r="BF108" s="345">
        <f>CHOOSE(Table25[[#This Row],[Mode Digit]], (Qg_Q1+Qg_Q2)*Fsw, (Qg_Q3+Qg_Q4)*Fsw, (Qg_Q1+Qg_Q2+Qg_Q3+Qg_Q4)*Fsw)*IF(Vout&gt;8,  MIN( Table25[[#This Row],[Vin]], Vout), Table25[[#This Row],[Vin]])</f>
        <v>0.63998400000000011</v>
      </c>
      <c r="BG108" s="345">
        <f t="shared" si="10"/>
        <v>0.50594479787234037</v>
      </c>
      <c r="BH108" s="345">
        <f>Table25[[#This Row],[IQ Loss]]+Table25[[#This Row],[Switching Current Loss]]</f>
        <v>0.68798400000000015</v>
      </c>
      <c r="BI108"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6.3783654181467702</v>
      </c>
      <c r="BJ108" s="253">
        <f>Vout*Table25[[#This Row],[Iout]]</f>
        <v>126.72</v>
      </c>
      <c r="BK108" s="684">
        <f>Table25[[#This Row],[Pout]]/(Table25[[#This Row],[Pout]]+Table25[[#This Row],[Total Loss]])</f>
        <v>0.95207780803236575</v>
      </c>
      <c r="BL108" s="685">
        <f>IF(Table25[[#This Row],[Vin]]&gt;Vout,ThetaJA_Q1*(Table25[[#This Row],[Total Control Bu MOSFET Loss]]+Table25[[#This Row],[Reverse Recovery Loss MOSFET D BUCK]]),ThetaJA_Q4*(Table25[[#This Row],[Total Control Bo MOSFET Loss]]+Table25[[#This Row],[Reverse Recovery Loss MOSFET D BOOST]]))</f>
        <v>103.76580129257557</v>
      </c>
      <c r="BM108" s="685">
        <f>IF(Table25[[#This Row],[Vin]]&gt;Vout, Table25[[#This Row],[Total Sync Bu MOSFET Loss]]*ThetaJA_Q2, ThetaJA_Q3*Table25[[#This Row],[Total Sync Bo MOSFET Loss]])</f>
        <v>56.44813317432169</v>
      </c>
      <c r="BN108" s="640"/>
      <c r="BO108" s="292">
        <f>Table25[[#This Row],[EFF, h]]*100</f>
        <v>95.207780803236574</v>
      </c>
      <c r="BP108" s="345">
        <f>Table25[[#This Row],[Total Inductor Loss]]</f>
        <v>1.0313313791800047</v>
      </c>
      <c r="BQ108" s="345">
        <f>Table25[[#This Row],[Total Control Bu MOSFET Loss]]+Table25[[#This Row],[Total Sync Bu MOSFET Loss]]+Table25[[#This Row],[Total Control Bo MOSFET Loss]]+Table25[[#This Row],[Total Sync Bo MOSFET Loss]]+Table25[[#This Row],[Reverse Recovery Loss MOSFET D BUCK]]+Table25[[#This Row],[Reverse Recovery Loss MOSFET D BOOST]]</f>
        <v>3.8094548821502316</v>
      </c>
      <c r="BR108" s="345">
        <f xml:space="preserve"> Table25[[#This Row],[Total Control Bu MOSFET Loss]]+Table25[[#This Row],[Reverse Recovery Loss MOSFET D BUCK]]*0.66</f>
        <v>0.72936984056052145</v>
      </c>
      <c r="BS108" s="345">
        <f>Table25[[#This Row],[Total Sync Bu MOSFET Loss]]+Table25[[#This Row],[Reverse Recovery Loss MOSFET D BUCK]]*0.33</f>
        <v>0.61168920056052145</v>
      </c>
      <c r="BT108" s="345">
        <f xml:space="preserve"> Table25[[#This Row],[Total Control Bo MOSFET Loss]]+Table25[[#This Row],[Reverse Recovery Loss MOSFET D BOOST]]*0.66</f>
        <v>1.4751502229627012</v>
      </c>
      <c r="BU108" s="345">
        <f xml:space="preserve"> Table25[[#This Row],[Total Sync Bo MOSFET Loss]]+Table25[[#This Row],[Reverse Recovery Loss MOSFET D BOOST]]*0.33</f>
        <v>0.98611345806648754</v>
      </c>
      <c r="BV108" s="345">
        <f>Table25[[#This Row],[Isense Shunt Loss]]</f>
        <v>0.16260371132533613</v>
      </c>
      <c r="CB108" s="686"/>
      <c r="CC108" s="686"/>
    </row>
    <row r="109" spans="7:81" x14ac:dyDescent="0.2">
      <c r="G109" s="253">
        <v>100</v>
      </c>
      <c r="H109" s="286">
        <f t="shared" si="8"/>
        <v>12</v>
      </c>
      <c r="I109" s="292" t="str">
        <f>IF(Mode = 2,IF(Table25[[#This Row],[Vin]]&gt;Vout, "BUCK","BOOST"),IF(Table25[[#This Row],[Vin]]&gt;VIN_BB_to_buck, "BUCK", IF(Table25[[#This Row],[Vin]]&lt;=VIN_boost_to_BB,"BOOST","BUCK-BST")))</f>
        <v>BOOST</v>
      </c>
      <c r="J109" s="253">
        <f>IF(Table25[[#This Row],[Mode]]="BOOST",2, IF(Table25[[#This Row],[Mode]]="BUCK", 1,3))</f>
        <v>2</v>
      </c>
      <c r="K109" s="345">
        <f t="shared" si="11"/>
        <v>8</v>
      </c>
      <c r="L109" s="292">
        <f>Vout*Table25[[#This Row],[Iout]]/(Table25[[#This Row],[Vin]]*Efficiency)</f>
        <v>11.228070175438598</v>
      </c>
      <c r="M109" s="682">
        <f>CHOOSE(Table25[[#This Row],[Mode Digit]],(Vout+(Rdson2+Rs+Rdcr)*Table25[[#This Row],[Iout]])/(Table25[[#This Row],[Vin]]+(Rs+Rdson2-Rdson1)*Table25[[#This Row],[Iout]])/Fsw,(Vout+(Rdson3+Rdcr)*Table25[[#This Row],[Iin]]-Table25[[#This Row],[Vin]])/(Vout+(Rdson3-Rdson4-Rs)*Table25[[#This Row],[Iin]])/Fsw,t1_Ph_II)</f>
        <v>6.4053850766793151E-7</v>
      </c>
      <c r="N109" s="518">
        <f>CHOOSE(Table25[[#This Row],[Mode Digit]],1/Fsw-Table25[[#This Row],[t1_Ph_II]],1/Fsw-Table25[[#This Row],[t1_Ph_II]],(Vout/Fsw-Table25[[#This Row],[Vin]]*t1_Ph_II)/(Table25[[#This Row],[Vin]]+Vout))</f>
        <v>1.8720243064024204E-6</v>
      </c>
      <c r="O109" s="518">
        <f>1/Fsw-(Table25[[#This Row],[t1_Ph_II]]+Table25[[#This Row],[t2_Ph_I]])</f>
        <v>0</v>
      </c>
      <c r="P109" s="292">
        <f>CHOOSE(Table25[[#This Row],[Mode Digit]],Table25[[#This Row],[Iout]]-1/(2*Lf)*(Table25[[#This Row],[Vin]]-Vout)*Table25[[#This Row],[t1_Ph_II]],Table25[[#This Row],[Iin]]-1/(2*Lf)*Table25[[#This Row],[Vin]]*Table25[[#This Row],[t1_Ph_II]],1/(Table25[[#This Row],[t1_Ph_II]]+Table25[[#This Row],[t2_Ph_I]])*(Table25[[#This Row],[Iin]]/Fsw-(1/2*(Table25[[#This Row],[Vin]]-Vout)/Lf*Table25[[#This Row],[t1_Ph_II]]*Table25[[#This Row],[t1_Ph_II]]+(Table25[[#This Row],[Vin]]-Vout)/Lf*Table25[[#This Row],[t1_Ph_II]]*Table25[[#This Row],[t2_Ph_I]]+1/2*Table25[[#This Row],[Vin]]/L*Table25[[#This Row],[t2_Ph_I]]*Table25[[#This Row],[t2_Ph_I]])))</f>
        <v>9.0929418165454923</v>
      </c>
      <c r="Q109" s="292">
        <f>CHOOSE(Table25[[#This Row],[Mode Digit]],Table25[[#This Row],[I_0]]+1/Lf*(Table25[[#This Row],[Vin]]-Vout)*Table25[[#This Row],[t1_Ph_II]],Table25[[#This Row],[I_0]]+1/Lf*Table25[[#This Row],[Vin]]*Table25[[#This Row],[t1_Ph_II]],Table25[[#This Row],[I_0]]+(Table25[[#This Row],[Vin]]-Vout)/L*Table25[[#This Row],[t1_Ph_II]])</f>
        <v>13.363198534331701</v>
      </c>
      <c r="R109" s="292">
        <f>CHOOSE(Table25[[#This Row],[Mode Digit]],0,0,Table25[[#This Row],[I_1]]+Table25[[#This Row],[Vin]]/L*Table25[[#This Row],[t2_Ph_I]])</f>
        <v>0</v>
      </c>
      <c r="S109" s="292">
        <f>Fsw*(Table25[[#This Row],[I_0]]*Table25[[#This Row],[t1_Ph_II]]+Table25[[#This Row],[I_1]]*Table25[[#This Row],[t2_Ph_I]]+Table25[[#This Row],[I_2]]*Table25[[#This Row],[t3_Ph_III]])</f>
        <v>12.274563515914545</v>
      </c>
      <c r="T109" s="345">
        <f>CHOOSE(Table25[[#This Row],[Mode Digit]],(Vout+(Rdson2+Rs+Rdcr)*Table25[[#This Row],[Iout]])/(Table25[[#This Row],[Vin]]+(Rs+Rdson2-Rdson1)*Table25[[#This Row],[Iout]]),1,Fsw*Table25[[#This Row],[t2_Ph_I]]+Table25[[#This Row],[t1_Ph_II]])</f>
        <v>1</v>
      </c>
      <c r="U109" s="345">
        <f>CHOOSE(Table25[[#This Row],[Mode Digit]],0,(Vout+(Rdson3+Rdcr)*Table25[[#This Row],[Iin]]-Table25[[#This Row],[Vin]])/(Vout+(Rdson3-Rdson4-Rs)*Table25[[#This Row],[Iin]]),Fsw*Table25[[#This Row],[t1_Ph_II]]+Table25[[#This Row],[t3_Ph_III]])</f>
        <v>0.25493432605183675</v>
      </c>
      <c r="V109" s="292">
        <f>MAX(Table25[[#This Row],[I_0]:[I_2]])-MIN(Table25[[#This Row],[I_0]:[I_1]])</f>
        <v>4.270256717786209</v>
      </c>
      <c r="W109" s="345">
        <f>CHOOSE(Table25[[#This Row],[Mode Digit]],SQRT((Table25[[#This Row],[t1_Ph_II]]+Table25[[#This Row],[t2_Ph_I]])*Fsw*(Table25[[#This Row],[I_0]]*Table25[[#This Row],[I_1]]+((Table25[[#This Row],[I_0]]-Table25[[#This Row],[I_1]])^2)/3)),SQRT((Table25[[#This Row],[t1_Ph_II]]+Table25[[#This Row],[t2_Ph_I]])*Fsw*(Table25[[#This Row],[I_0]]*Table25[[#This Row],[I_1]]+((Table25[[#This Row],[I_0]]-Table25[[#This Row],[I_1]])^2)/3)),SQRT(Fsw*(Table25[[#This Row],[t1_Ph_II]]*(Table25[[#This Row],[I_0]]*Table25[[#This Row],[I_1]]+((Table25[[#This Row],[I_1]]-Table25[[#This Row],[I_0]])^2)/3)+Table25[[#This Row],[t2_Ph_I]]*(Table25[[#This Row],[I_1]]*Table25[[#This Row],[I_2]]+((Table25[[#This Row],[I_2]]-Table25[[#This Row],[I_1]])^2)/3)+Table25[[#This Row],[t3_Ph_III]]*(Table25[[#This Row],[I_2]]*Table25[[#This Row],[I_0]]+((Table25[[#This Row],[I_0]]-Table25[[#This Row],[I_2]])^2)/3))))</f>
        <v>11.295536769046889</v>
      </c>
      <c r="X109" s="345">
        <f>(Table25[[#This Row],[Irms Lf]]^2*Rdcr*(1+Ltc*Ta-Ltc*25))/(1-Table25[[#This Row],[Irms Lf]]^2*Rdcr*Ltc*ThetaCa)</f>
        <v>0.42207132366519945</v>
      </c>
      <c r="Y109" s="345">
        <f>ABS(7.759*10^-3*Fsw^0.9458*(0.00787*Table25[[#This Row],[Ripple Current pk-pk]])^2.304)</f>
        <v>0.61811164446644651</v>
      </c>
      <c r="Z109" s="345">
        <f>Table25[[#This Row],[DCR    Loss]]+Table25[[#This Row],[Core Loss]]</f>
        <v>1.0401829681316459</v>
      </c>
      <c r="AA109" s="292">
        <f>IF(Table25[[#This Row],[Vin]]&gt;Vout, Table25[[#This Row],[Ripple Current pk-pk]]/SQRT(12), SQRT(Table25[[#This Row],[Duty Cycle BOOST Leg]]/(1-Table25[[#This Row],[Duty Cycle BOOST Leg]]))*SQRT(Table25[[#This Row],[Iout]]^2+(Table25[[#This Row],[Ripple Current pk-pk]]^2)/12))</f>
        <v>4.7348090509673071</v>
      </c>
      <c r="AB109" s="345">
        <f>RCoutEsr*Table25[[#This Row],[Irms Cout]]^2</f>
        <v>4.4836833498243862E-2</v>
      </c>
      <c r="AC109" s="345">
        <f>Table25[[#This Row],[Cout ESR Loss]]</f>
        <v>4.4836833498243862E-2</v>
      </c>
      <c r="AD109" s="292">
        <f>IF(Table25[[#This Row],[Vin]]&gt;Vout, SQRT(Table25[[#This Row],[Duty Cycle BUCK Leg]]*(1-Table25[[#This Row],[Duty Cycle BUCK Leg]]))*SQRT(Table25[[#This Row],[Iout]]^2+(Table25[[#This Row],[Ripple Current pk-pk]]^2)/12), Table25[[#This Row],[Ripple Current pk-pk]]/SQRT(12))</f>
        <v>1.2327169327613379</v>
      </c>
      <c r="AE109" s="345">
        <f>RCinEsr*Table25[[#This Row],[Irms Cin]]^2</f>
        <v>3.0391820726330416E-3</v>
      </c>
      <c r="AF109" s="683">
        <f>Table25[[#This Row],[Cin ESR Loss]]</f>
        <v>3.0391820726330416E-3</v>
      </c>
      <c r="AG109" s="345">
        <f>Table25[[#This Row],[Irms Lf]]</f>
        <v>11.295536769046889</v>
      </c>
      <c r="AH109" s="345">
        <f>Rdson1*Table25[[#This Row],[Irms BuCtrl]]^2</f>
        <v>0.4465620281531158</v>
      </c>
      <c r="AI109" s="345">
        <f>CHOOSE(Table25[[#This Row],[Mode Digit]], (Table25[[#This Row],[Vin]]*Table25[[#This Row],[Iout]]/2)*(Fsw)*(Tr_buck+Tf_buck), 0, (Table25[[#This Row],[Vin]]*Table25[[#This Row],[Avg IL]]/2)*(Fsw/1)*(Tr_buck+Tf_buck))</f>
        <v>0</v>
      </c>
      <c r="AJ109" s="253">
        <f>IF(Table25[[#This Row],[Vin]]&gt;Vout, IF(Table25[[#This Row],[Iout]]&gt;Table25[[#This Row],[Ripple Current pk-pk]]/2,0,ABS(Table25[[#This Row],[Iout]]-Table25[[#This Row],[Ripple Current pk-pk]]/2)*Vsd_Q1*Deadtime*Fsw),0)</f>
        <v>0</v>
      </c>
      <c r="AK109" s="345">
        <f>(Table25[[#This Row],[Dead Time Loss BuCtrl]]+Table25[[#This Row],[Transition Loss BuCtrl]]+Table25[[#This Row],[RDS(on) Loss BuCtrl]]*(1+RdsonTopTc*Ta-RdsonTopTc*25))/(1-Table25[[#This Row],[RDS(on) Loss BuCtrl]]*RdsonTopTc*ThetaJA_Q1)</f>
        <v>0.50522131893394251</v>
      </c>
      <c r="AL109" s="345">
        <f>Table25[[#This Row],[Irms Lf]]</f>
        <v>11.295536769046889</v>
      </c>
      <c r="AM109" s="345">
        <f>Rdson2*Table25[[#This Row],[Irms BuSync]]^2</f>
        <v>0.4465620281531158</v>
      </c>
      <c r="AN109" s="345">
        <f>CHOOSE(Table25[[#This Row],[Mode Digit]], IF(Table25[[#This Row],[Iout]]&lt;Table25[[#This Row],[Ripple Current pk-pk]]/2,Deadtime*Fsw*IF(VfdSky_Q2&gt;0,0,Vsd_Q2)*(Table25[[#This Row],[Iout]]+Table25[[#This Row],[Ripple Current pk-pk]]/2),2*Deadtime*Fsw*IF(VfdSky_Q2&gt;0,0,Vsd_Q2)*Table25[[#This Row],[Iout]]),0, IF(Table25[[#This Row],[Iout]]&lt;Table25[[#This Row],[Ripple Current pk-pk]]/2,Deadtime*Fsw*IF(VfdSky_Q2&gt;0,0,Vsd_Q2)*(Table25[[#This Row],[Iout]]+Table25[[#This Row],[Ripple Current pk-pk]]/2),2*Deadtime*Fsw*IF(VfdSky_Q2&gt;0,0,Vsd_Q2)*Table25[[#This Row],[Iout]]))</f>
        <v>0</v>
      </c>
      <c r="AO109" s="345">
        <f>(Table25[[#This Row],[Deadtime Loss BuSync]]+Table25[[#This Row],[RDS(on) Loss BuSync]]*(1+RdsonBotTc*Ta-RdsonBotTc*25))/(1-Table25[[#This Row],[RDS(on) Loss BuSync]]*RdsonBotTc*ThetaJA_Q2)</f>
        <v>0.50522131893394251</v>
      </c>
      <c r="AP109" s="345">
        <f>Table25[[#This Row],[Irms Lf]]</f>
        <v>11.295536769046889</v>
      </c>
      <c r="AQ109" s="345">
        <f>Rdson4*Table25[[#This Row],[Irms BoCtlr]]^2</f>
        <v>0.4465620281531158</v>
      </c>
      <c r="AR109" s="345">
        <f>CHOOSE(Table25[[#This Row],[Mode Digit]], 0, (Vout*Table25[[#This Row],[Iin]]/2)*(Fsw)*(Tr_boost+Tf_boost), (Vout*Iout/2)*(Fsw/1)*(Tr_boost+Tf_boost))</f>
        <v>0.667569415953155</v>
      </c>
      <c r="AS109" s="345">
        <f>IF(Table25[[#This Row],[Vin]]&gt;Vout, 0, IF(Table25[[#This Row],[Iin]]&gt;Table25[[#This Row],[Ripple Current pk-pk]]/2,0,ABS(Table25[[#This Row],[Iin]]-Table25[[#This Row],[Ripple Current pk-pk]]/2)*Vsd_Q4*Deadtime*Fsw))</f>
        <v>0</v>
      </c>
      <c r="AT109" s="345">
        <f>(Table25[[#This Row],[Dead Time Loss BoCtlr]]+Table25[[#This Row],[Transition Loss BoCtlr]]+Table25[[#This Row],[RDS(on) Loss BoCtlr]]*(1+RdsonTopTc*Ta-RdsonTopTc*25))/(1-Table25[[#This Row],[RDS(on) Loss BoCtlr]]*RdsonTopTc*ThetaJA_Q4)</f>
        <v>1.2604810130971293</v>
      </c>
      <c r="AU109" s="345">
        <f>Table25[[#This Row],[Irms Lf]]</f>
        <v>11.295536769046889</v>
      </c>
      <c r="AV109" s="345">
        <f>Rdson3*Table25[[#This Row],[Irms BoSync]]^2</f>
        <v>0.4465620281531158</v>
      </c>
      <c r="AW109" s="345">
        <f>CHOOSE(Table25[[#This Row],[Mode Digit]], 0, IF(Table25[[#This Row],[Iin]]&lt;Table25[[#This Row],[Ripple Current pk-pk]]/2,Deadtime*Fsw*IF(VfdSky_Q3&gt;0,0,Vsd_Q3)*(Table25[[#This Row],[Iin]]+Table25[[#This Row],[Ripple Current pk-pk]]/2), 2*Deadtime*Fsw*IF(VfdSky_Q3&gt;0,0,Vsd_Q3)*Table25[[#This Row],[Iin]]), IF(Table25[[#This Row],[Iin]]&lt;Table25[[#This Row],[Ripple Current pk-pk]]/2,Deadtime*Fsw*IF(VfdSky_Q3&gt;0,0,Vsd_Q3)*(Table25[[#This Row],[Iin]]+Table25[[#This Row],[Ripple Current pk-pk]]/2), 2*Deadtime*Fsw*IF(VfdSky_Q3&gt;0,0,Vsd_Q3)*Table25[[#This Row],[Iin]]))</f>
        <v>0.3351578947368421</v>
      </c>
      <c r="AX109" s="345">
        <f>(Table25[[#This Row],[Deadtime Loss BoSync]]+Table25[[#This Row],[RDS(on) Loss BoSync]]*(1+RdsonBotTc*Ta-RdsonBotTc*25))/(1-Table25[[#This Row],[RDS(on) Loss BoSync]]*RdsonBotTc*ThetaJA_Q3)</f>
        <v>0.88440473121460295</v>
      </c>
      <c r="AY109" s="345">
        <f>CHOOSE(Table25[[#This Row],[Mode Digit]], Rdson3*Table25[[#This Row],[Irms Lf]]^2, Rdson1*Table25[[#This Row],[Irms Lf]]^2, 0)</f>
        <v>0.4465620281531158</v>
      </c>
      <c r="AZ109" s="345">
        <f>CHOOSE(Table25[[#This Row],[Mode Digit]], 2*Deadtime*Fsw*IF(VfdSky_Q2&gt;0,VfdSky_Q2,0)*Table25[[#This Row],[Iout]], 2*Deadtime*Fsw*IF(VfdSky_Q3&gt;0,VfdSky_Q3,0)*Table25[[#This Row],[Iin]], 2*Deadtime*Fsw*IF(VfdSky_Q2&gt;0,VfdSky_Q2,0)*Table25[[#This Row],[Iout]]+2*Deadtime*Fsw*IF(VfdSky_Q3&gt;0,VfdSky_Q3,0)*Table25[[#This Row],[Iin]])</f>
        <v>0</v>
      </c>
      <c r="BA109"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B109" s="345">
        <f>CHOOSE(Table25[[#This Row],[Mode Digit]], IF(QrrSky_Q2&gt;0,QrrSky_Q2,Qrr_Q2*Table25[[#This Row],[Iout]]/Iout)*Fsw*(Table25[[#This Row],[Vin]]-Table25[[#This Row],[Iout]]*Rdson1), IF(QrrSky_Q3&gt;0,QrrSky_Q3,Qrr_Q3)*Fsw*Vout,  IF(QrrSky_Q2&gt;0,QrrSky_Q2,Qrr_Q2*Table25[[#This Row],[Iout]]/Iout)*Fsw*(Table25[[#This Row],[Vin]]-Table25[[#This Row],[Iout]]*Rdson1)+IF(QrrSky_Q3&gt;0,QrrSky_Q3,Qrr_Q3)*Fsw*Vout)</f>
        <v>0.35660799999999998</v>
      </c>
      <c r="BC109" s="345">
        <f>CHOOSE(Table25[[#This Row],[Mode Digit]], Rs*Table25[[#This Row],[Irms BuSync]]^2, Rs*Table25[[#This Row],[Irms BoCtlr]]^2, Rs*(Table25[[#This Row],[Irms BuSync]]^2+Table25[[#This Row],[Irms BoCtlr]]^2))</f>
        <v>0.16586589617115727</v>
      </c>
      <c r="BD109" s="345">
        <f t="shared" si="9"/>
        <v>0.64</v>
      </c>
      <c r="BE109" s="345">
        <f>IF(Vout&gt;8, Iq*Vout, Iq*Table25[[#This Row],[Vin]])</f>
        <v>4.8000000000000001E-2</v>
      </c>
      <c r="BF109" s="345">
        <f>CHOOSE(Table25[[#This Row],[Mode Digit]], (Qg_Q1+Qg_Q2)*Fsw, (Qg_Q3+Qg_Q4)*Fsw, (Qg_Q1+Qg_Q2+Qg_Q3+Qg_Q4)*Fsw)*IF(Vout&gt;8,  MIN( Table25[[#This Row],[Vin]], Vout), Table25[[#This Row],[Vin]])</f>
        <v>0.63998400000000011</v>
      </c>
      <c r="BG109" s="345">
        <f t="shared" si="10"/>
        <v>0.50594479787234037</v>
      </c>
      <c r="BH109" s="345">
        <f>Table25[[#This Row],[IQ Loss]]+Table25[[#This Row],[Switching Current Loss]]</f>
        <v>0.68798400000000015</v>
      </c>
      <c r="BI109" s="345">
        <f>SUM(Table25[[#This Row],[Total Inductor Loss]],Table25[[#This Row],[Total Cout Loss]],Table25[[#This Row],[Total Cin Loss]],Table25[[#This Row],[Total Control Bu MOSFET Loss]],Table25[[#This Row],[Total Sync Bu MOSFET Loss]],Table25[[#This Row],[Total Control Bo MOSFET Loss]],Table25[[#This Row],[Total Sync Bo MOSFET Loss]], Table25[[#This Row],[Deadtime Loss ext D]],Table25[[#This Row],[Reverse Recovery Loss MOSFET D BUCK]],Table25[[#This Row],[Reverse Recovery Loss MOSFET D BOOST]],Table25[[#This Row],[Total IC Loss]],Table25[[#This Row],[Isense Shunt Loss]],Table25[[#This Row],[Iout Shunt Loss]])</f>
        <v>6.4504532620532959</v>
      </c>
      <c r="BJ109" s="253">
        <f>Vout*Table25[[#This Row],[Iout]]</f>
        <v>128</v>
      </c>
      <c r="BK109" s="684">
        <f>Table25[[#This Row],[Pout]]/(Table25[[#This Row],[Pout]]+Table25[[#This Row],[Total Loss]])</f>
        <v>0.95202356626138773</v>
      </c>
      <c r="BL109" s="685">
        <f>IF(Table25[[#This Row],[Vin]]&gt;Vout,ThetaJA_Q1*(Table25[[#This Row],[Total Control Bu MOSFET Loss]]+Table25[[#This Row],[Reverse Recovery Loss MOSFET D BUCK]]),ThetaJA_Q4*(Table25[[#This Row],[Total Control Bo MOSFET Loss]]+Table25[[#This Row],[Reverse Recovery Loss MOSFET D BOOST]]))</f>
        <v>105.11078585131341</v>
      </c>
      <c r="BM109" s="685">
        <f>IF(Table25[[#This Row],[Vin]]&gt;Vout, Table25[[#This Row],[Total Sync Bu MOSFET Loss]]*ThetaJA_Q2, ThetaJA_Q3*Table25[[#This Row],[Total Sync Bo MOSFET Loss]])</f>
        <v>57.48630752894919</v>
      </c>
      <c r="BN109" s="640"/>
      <c r="BO109" s="292">
        <f>Table25[[#This Row],[EFF, h]]*100</f>
        <v>95.20235662613878</v>
      </c>
      <c r="BP109" s="345">
        <f>Table25[[#This Row],[Total Inductor Loss]]</f>
        <v>1.0401829681316459</v>
      </c>
      <c r="BQ109" s="345">
        <f>Table25[[#This Row],[Total Control Bu MOSFET Loss]]+Table25[[#This Row],[Total Sync Bu MOSFET Loss]]+Table25[[#This Row],[Total Control Bo MOSFET Loss]]+Table25[[#This Row],[Total Sync Bo MOSFET Loss]]+Table25[[#This Row],[Reverse Recovery Loss MOSFET D BUCK]]+Table25[[#This Row],[Reverse Recovery Loss MOSFET D BOOST]]</f>
        <v>3.8685443821796173</v>
      </c>
      <c r="BR109" s="345">
        <f xml:space="preserve"> Table25[[#This Row],[Total Control Bu MOSFET Loss]]+Table25[[#This Row],[Reverse Recovery Loss MOSFET D BUCK]]*0.66</f>
        <v>0.74058259893394252</v>
      </c>
      <c r="BS109" s="345">
        <f>Table25[[#This Row],[Total Sync Bu MOSFET Loss]]+Table25[[#This Row],[Reverse Recovery Loss MOSFET D BUCK]]*0.33</f>
        <v>0.62290195893394251</v>
      </c>
      <c r="BT109" s="345">
        <f xml:space="preserve"> Table25[[#This Row],[Total Control Bo MOSFET Loss]]+Table25[[#This Row],[Reverse Recovery Loss MOSFET D BOOST]]*0.66</f>
        <v>1.4958422930971293</v>
      </c>
      <c r="BU109" s="345">
        <f xml:space="preserve"> Table25[[#This Row],[Total Sync Bo MOSFET Loss]]+Table25[[#This Row],[Reverse Recovery Loss MOSFET D BOOST]]*0.33</f>
        <v>1.0020853712146029</v>
      </c>
      <c r="BV109" s="345">
        <f>Table25[[#This Row],[Isense Shunt Loss]]</f>
        <v>0.16586589617115727</v>
      </c>
      <c r="CB109" s="686"/>
      <c r="CC109" s="686"/>
    </row>
    <row r="110" spans="7:81" x14ac:dyDescent="0.2">
      <c r="H110" s="286"/>
      <c r="I110" s="292"/>
      <c r="L110" s="292"/>
      <c r="M110" s="292"/>
      <c r="N110" s="292"/>
      <c r="O110" s="292"/>
      <c r="P110" s="292"/>
      <c r="Q110" s="292"/>
      <c r="R110" s="292"/>
      <c r="S110" s="292"/>
      <c r="W110" s="345"/>
      <c r="X110" s="345"/>
      <c r="Y110" s="345"/>
      <c r="Z110" s="345"/>
      <c r="AB110" s="345"/>
      <c r="AC110" s="345"/>
      <c r="AD110" s="345"/>
      <c r="AE110" s="345"/>
      <c r="AF110" s="683"/>
      <c r="AG110" s="345"/>
      <c r="AH110" s="345"/>
      <c r="AI110" s="345"/>
      <c r="AK110" s="345"/>
      <c r="AL110" s="345"/>
      <c r="AM110" s="345"/>
      <c r="AN110" s="345"/>
      <c r="AO110" s="345"/>
      <c r="AP110" s="345"/>
      <c r="AQ110" s="345"/>
      <c r="AR110" s="345"/>
      <c r="AT110" s="345"/>
      <c r="AU110" s="345"/>
      <c r="AV110" s="345"/>
      <c r="AW110" s="345"/>
      <c r="AX110" s="345"/>
      <c r="AY110" s="345"/>
      <c r="AZ110" s="345"/>
      <c r="BA110" s="345"/>
      <c r="BB110" s="345"/>
      <c r="BC110" s="345"/>
      <c r="BD110" s="345"/>
      <c r="BE110" s="345"/>
      <c r="BF110" s="345"/>
      <c r="BG110" s="345"/>
      <c r="BH110" s="345"/>
      <c r="BI110" s="345"/>
      <c r="BK110" s="684"/>
      <c r="BL110" s="685"/>
      <c r="BM110" s="685"/>
      <c r="BN110" s="640"/>
      <c r="BO110" s="720"/>
      <c r="BP110" s="345"/>
      <c r="BQ110" s="345"/>
      <c r="BR110" s="345"/>
      <c r="BS110" s="345"/>
      <c r="BT110" s="345"/>
      <c r="BU110" s="345"/>
      <c r="BV110" s="345"/>
    </row>
    <row r="111" spans="7:81" x14ac:dyDescent="0.2">
      <c r="H111" s="286"/>
      <c r="I111" s="292"/>
      <c r="L111" s="292"/>
      <c r="M111" s="292"/>
      <c r="N111" s="292"/>
      <c r="O111" s="292"/>
      <c r="P111" s="292"/>
      <c r="Q111" s="292"/>
      <c r="R111" s="292"/>
      <c r="S111" s="292"/>
      <c r="W111" s="345"/>
      <c r="X111" s="345"/>
      <c r="Y111" s="345"/>
      <c r="Z111" s="345"/>
      <c r="AB111" s="345"/>
      <c r="AC111" s="345"/>
      <c r="AD111" s="345"/>
      <c r="AE111" s="345"/>
      <c r="AF111" s="683"/>
      <c r="AG111" s="345"/>
      <c r="AH111" s="345"/>
      <c r="AI111" s="345"/>
      <c r="AK111" s="345"/>
      <c r="AL111" s="345"/>
      <c r="AM111" s="345"/>
      <c r="AN111" s="345"/>
      <c r="AO111" s="345"/>
      <c r="AP111" s="345"/>
      <c r="AQ111" s="345"/>
      <c r="AR111" s="345"/>
      <c r="AT111" s="345"/>
      <c r="AU111" s="345"/>
      <c r="AV111" s="345"/>
      <c r="AW111" s="345"/>
      <c r="AX111" s="345"/>
      <c r="AY111" s="345"/>
      <c r="AZ111" s="345"/>
      <c r="BA111" s="345"/>
      <c r="BB111" s="345"/>
      <c r="BC111" s="345"/>
      <c r="BD111" s="345"/>
      <c r="BE111" s="345"/>
      <c r="BF111" s="345"/>
      <c r="BG111" s="345"/>
      <c r="BH111" s="345"/>
      <c r="BI111" s="345"/>
      <c r="BK111" s="684"/>
      <c r="BL111" s="685"/>
      <c r="BM111" s="685"/>
      <c r="BN111" s="640"/>
      <c r="BO111" s="720"/>
      <c r="BP111" s="345"/>
      <c r="BQ111" s="345"/>
      <c r="BR111" s="345"/>
      <c r="BS111" s="345"/>
      <c r="BT111" s="345"/>
      <c r="BU111" s="345"/>
      <c r="BV111" s="345"/>
    </row>
    <row r="112" spans="7:81" x14ac:dyDescent="0.2">
      <c r="H112" s="286"/>
      <c r="I112" s="292"/>
      <c r="L112" s="292"/>
      <c r="M112" s="292"/>
      <c r="N112" s="292"/>
      <c r="O112" s="292"/>
      <c r="P112" s="292"/>
      <c r="Q112" s="292"/>
      <c r="R112" s="292"/>
      <c r="S112" s="292"/>
      <c r="W112" s="345"/>
      <c r="X112" s="345"/>
      <c r="Y112" s="345"/>
      <c r="Z112" s="345"/>
      <c r="AB112" s="345"/>
      <c r="AC112" s="345"/>
      <c r="AD112" s="345"/>
      <c r="AE112" s="345"/>
      <c r="AF112" s="683"/>
      <c r="AG112" s="345"/>
      <c r="AH112" s="345"/>
      <c r="AI112" s="345"/>
      <c r="AK112" s="345"/>
      <c r="AL112" s="345"/>
      <c r="AM112" s="345"/>
      <c r="AN112" s="345"/>
      <c r="AO112" s="345"/>
      <c r="AP112" s="345"/>
      <c r="AQ112" s="345"/>
      <c r="AR112" s="345"/>
      <c r="AT112" s="345"/>
      <c r="AU112" s="345"/>
      <c r="AV112" s="345"/>
      <c r="AW112" s="345"/>
      <c r="AX112" s="345"/>
      <c r="AY112" s="345"/>
      <c r="AZ112" s="345"/>
      <c r="BA112" s="345"/>
      <c r="BB112" s="345"/>
      <c r="BC112" s="345"/>
      <c r="BD112" s="345"/>
      <c r="BE112" s="345"/>
      <c r="BF112" s="345"/>
      <c r="BG112" s="345"/>
      <c r="BH112" s="345"/>
      <c r="BI112" s="345"/>
      <c r="BK112" s="684"/>
      <c r="BL112" s="685"/>
      <c r="BM112" s="685"/>
      <c r="BN112" s="640"/>
      <c r="BO112" s="720"/>
      <c r="BP112" s="345"/>
      <c r="BQ112" s="345"/>
      <c r="BR112" s="345"/>
      <c r="BS112" s="345"/>
      <c r="BT112" s="345"/>
      <c r="BU112" s="345"/>
      <c r="BV112" s="345"/>
    </row>
    <row r="113" spans="8:74" x14ac:dyDescent="0.2">
      <c r="H113" s="286"/>
      <c r="I113" s="292"/>
      <c r="L113" s="292"/>
      <c r="M113" s="292"/>
      <c r="N113" s="292"/>
      <c r="O113" s="292"/>
      <c r="P113" s="292"/>
      <c r="Q113" s="292"/>
      <c r="R113" s="292"/>
      <c r="S113" s="292"/>
      <c r="W113" s="345"/>
      <c r="X113" s="345"/>
      <c r="Y113" s="345"/>
      <c r="Z113" s="345"/>
      <c r="AB113" s="345"/>
      <c r="AC113" s="345"/>
      <c r="AD113" s="345"/>
      <c r="AE113" s="345"/>
      <c r="AF113" s="683"/>
      <c r="AG113" s="345"/>
      <c r="AH113" s="345"/>
      <c r="AI113" s="345"/>
      <c r="AK113" s="345"/>
      <c r="AL113" s="345"/>
      <c r="AM113" s="345"/>
      <c r="AN113" s="345"/>
      <c r="AO113" s="345"/>
      <c r="AP113" s="345"/>
      <c r="AQ113" s="345"/>
      <c r="AR113" s="345"/>
      <c r="AT113" s="345"/>
      <c r="AU113" s="345"/>
      <c r="AV113" s="345"/>
      <c r="AW113" s="345"/>
      <c r="AX113" s="345"/>
      <c r="AY113" s="345"/>
      <c r="AZ113" s="345"/>
      <c r="BA113" s="345"/>
      <c r="BB113" s="345"/>
      <c r="BC113" s="345"/>
      <c r="BD113" s="345"/>
      <c r="BE113" s="345"/>
      <c r="BF113" s="345"/>
      <c r="BG113" s="345"/>
      <c r="BH113" s="345"/>
      <c r="BI113" s="345"/>
      <c r="BK113" s="684"/>
      <c r="BL113" s="685"/>
      <c r="BM113" s="685"/>
      <c r="BN113" s="640"/>
      <c r="BO113" s="720"/>
      <c r="BP113" s="345"/>
      <c r="BQ113" s="345"/>
      <c r="BR113" s="345"/>
      <c r="BS113" s="345"/>
      <c r="BT113" s="345"/>
      <c r="BU113" s="345"/>
      <c r="BV113" s="345"/>
    </row>
    <row r="114" spans="8:74" x14ac:dyDescent="0.2">
      <c r="H114" s="286"/>
      <c r="I114" s="292"/>
      <c r="L114" s="292"/>
      <c r="M114" s="292"/>
      <c r="N114" s="292"/>
      <c r="O114" s="292"/>
      <c r="P114" s="292"/>
      <c r="Q114" s="292"/>
      <c r="R114" s="292"/>
      <c r="S114" s="292"/>
      <c r="W114" s="345"/>
      <c r="X114" s="345"/>
      <c r="Y114" s="345"/>
      <c r="Z114" s="345"/>
      <c r="AB114" s="345"/>
      <c r="AC114" s="345"/>
      <c r="AD114" s="345"/>
      <c r="AE114" s="345"/>
      <c r="AF114" s="683"/>
      <c r="AG114" s="345"/>
      <c r="AH114" s="345"/>
      <c r="AI114" s="345"/>
      <c r="AK114" s="345"/>
      <c r="AL114" s="345"/>
      <c r="AM114" s="345"/>
      <c r="AN114" s="345"/>
      <c r="AO114" s="345"/>
      <c r="AP114" s="345"/>
      <c r="AQ114" s="345"/>
      <c r="AR114" s="345"/>
      <c r="AT114" s="345"/>
      <c r="AU114" s="345"/>
      <c r="AV114" s="345"/>
      <c r="AW114" s="345"/>
      <c r="AX114" s="345"/>
      <c r="AY114" s="345"/>
      <c r="AZ114" s="345"/>
      <c r="BA114" s="345"/>
      <c r="BB114" s="345"/>
      <c r="BC114" s="345"/>
      <c r="BD114" s="345"/>
      <c r="BE114" s="345"/>
      <c r="BF114" s="345"/>
      <c r="BG114" s="345"/>
      <c r="BH114" s="345"/>
      <c r="BI114" s="345"/>
      <c r="BK114" s="684"/>
      <c r="BL114" s="685"/>
      <c r="BM114" s="685"/>
      <c r="BN114" s="640"/>
      <c r="BO114" s="720"/>
      <c r="BP114" s="345"/>
      <c r="BQ114" s="345"/>
      <c r="BR114" s="345"/>
      <c r="BS114" s="345"/>
      <c r="BT114" s="345"/>
      <c r="BU114" s="345"/>
      <c r="BV114" s="345"/>
    </row>
    <row r="115" spans="8:74" x14ac:dyDescent="0.2">
      <c r="H115" s="286"/>
      <c r="I115" s="292"/>
      <c r="L115" s="292"/>
      <c r="M115" s="292"/>
      <c r="N115" s="292"/>
      <c r="O115" s="292"/>
      <c r="P115" s="292"/>
      <c r="Q115" s="292"/>
      <c r="R115" s="292"/>
      <c r="S115" s="292"/>
      <c r="W115" s="345"/>
      <c r="X115" s="345"/>
      <c r="Y115" s="345"/>
      <c r="Z115" s="345"/>
      <c r="AB115" s="345"/>
      <c r="AC115" s="345"/>
      <c r="AD115" s="345"/>
      <c r="AE115" s="345"/>
      <c r="AF115" s="683"/>
      <c r="AG115" s="345"/>
      <c r="AH115" s="345"/>
      <c r="AI115" s="345"/>
      <c r="AK115" s="345"/>
      <c r="AL115" s="345"/>
      <c r="AM115" s="345"/>
      <c r="AN115" s="345"/>
      <c r="AO115" s="345"/>
      <c r="AP115" s="345"/>
      <c r="AQ115" s="345"/>
      <c r="AR115" s="345"/>
      <c r="AT115" s="345"/>
      <c r="AU115" s="345"/>
      <c r="AV115" s="345"/>
      <c r="AW115" s="345"/>
      <c r="AX115" s="345"/>
      <c r="AY115" s="345"/>
      <c r="AZ115" s="345"/>
      <c r="BA115" s="345"/>
      <c r="BB115" s="345"/>
      <c r="BC115" s="345"/>
      <c r="BD115" s="345"/>
      <c r="BE115" s="345"/>
      <c r="BF115" s="345"/>
      <c r="BG115" s="345"/>
      <c r="BH115" s="345"/>
      <c r="BI115" s="345"/>
      <c r="BK115" s="684"/>
      <c r="BL115" s="685"/>
      <c r="BM115" s="685"/>
      <c r="BN115" s="640"/>
      <c r="BO115" s="720"/>
      <c r="BP115" s="345"/>
      <c r="BQ115" s="345"/>
      <c r="BR115" s="345"/>
      <c r="BS115" s="345"/>
      <c r="BT115" s="345"/>
      <c r="BU115" s="345"/>
      <c r="BV115" s="345"/>
    </row>
    <row r="116" spans="8:74" x14ac:dyDescent="0.2">
      <c r="H116" s="286"/>
      <c r="I116" s="292"/>
      <c r="L116" s="292"/>
      <c r="M116" s="292"/>
      <c r="N116" s="292"/>
      <c r="O116" s="292"/>
      <c r="P116" s="292"/>
      <c r="Q116" s="292"/>
      <c r="R116" s="292"/>
      <c r="S116" s="292"/>
      <c r="W116" s="345"/>
      <c r="X116" s="345"/>
      <c r="Y116" s="345"/>
      <c r="Z116" s="345"/>
      <c r="AB116" s="345"/>
      <c r="AC116" s="345"/>
      <c r="AD116" s="345"/>
      <c r="AE116" s="345"/>
      <c r="AF116" s="683"/>
      <c r="AG116" s="345"/>
      <c r="AH116" s="345"/>
      <c r="AI116" s="345"/>
      <c r="AK116" s="345"/>
      <c r="AL116" s="345"/>
      <c r="AM116" s="345"/>
      <c r="AN116" s="345"/>
      <c r="AO116" s="345"/>
      <c r="AP116" s="345"/>
      <c r="AQ116" s="345"/>
      <c r="AR116" s="345"/>
      <c r="AT116" s="345"/>
      <c r="AU116" s="345"/>
      <c r="AV116" s="345"/>
      <c r="AW116" s="345"/>
      <c r="AX116" s="345"/>
      <c r="AY116" s="345"/>
      <c r="AZ116" s="345"/>
      <c r="BA116" s="345"/>
      <c r="BB116" s="345"/>
      <c r="BC116" s="345"/>
      <c r="BD116" s="345"/>
      <c r="BE116" s="345"/>
      <c r="BF116" s="345"/>
      <c r="BG116" s="345"/>
      <c r="BH116" s="345"/>
      <c r="BI116" s="345"/>
      <c r="BK116" s="684"/>
      <c r="BL116" s="685"/>
      <c r="BM116" s="685"/>
      <c r="BN116" s="640"/>
      <c r="BO116" s="720"/>
      <c r="BP116" s="345"/>
      <c r="BQ116" s="345"/>
      <c r="BR116" s="345"/>
      <c r="BS116" s="345"/>
      <c r="BT116" s="345"/>
      <c r="BU116" s="345"/>
      <c r="BV116" s="345"/>
    </row>
    <row r="117" spans="8:74" x14ac:dyDescent="0.2">
      <c r="H117" s="286"/>
      <c r="I117" s="292"/>
      <c r="L117" s="292"/>
      <c r="M117" s="292"/>
      <c r="N117" s="292"/>
      <c r="O117" s="292"/>
      <c r="P117" s="292"/>
      <c r="Q117" s="292"/>
      <c r="R117" s="292"/>
      <c r="S117" s="292"/>
      <c r="W117" s="345"/>
      <c r="X117" s="345"/>
      <c r="Y117" s="345"/>
      <c r="Z117" s="345"/>
      <c r="AB117" s="345"/>
      <c r="AC117" s="345"/>
      <c r="AD117" s="345"/>
      <c r="AE117" s="345"/>
      <c r="AF117" s="683"/>
      <c r="AG117" s="345"/>
      <c r="AH117" s="345"/>
      <c r="AI117" s="345"/>
      <c r="AK117" s="345"/>
      <c r="AL117" s="345"/>
      <c r="AM117" s="345"/>
      <c r="AN117" s="345"/>
      <c r="AO117" s="345"/>
      <c r="AP117" s="345"/>
      <c r="AQ117" s="345"/>
      <c r="AR117" s="345"/>
      <c r="AT117" s="345"/>
      <c r="AU117" s="345"/>
      <c r="AV117" s="345"/>
      <c r="AW117" s="345"/>
      <c r="AX117" s="345"/>
      <c r="AY117" s="345"/>
      <c r="AZ117" s="345"/>
      <c r="BA117" s="345"/>
      <c r="BB117" s="345"/>
      <c r="BC117" s="345"/>
      <c r="BD117" s="345"/>
      <c r="BE117" s="345"/>
      <c r="BF117" s="345"/>
      <c r="BG117" s="345"/>
      <c r="BH117" s="345"/>
      <c r="BI117" s="345"/>
      <c r="BK117" s="684"/>
      <c r="BL117" s="685"/>
      <c r="BM117" s="685"/>
      <c r="BN117" s="640"/>
      <c r="BO117" s="720"/>
      <c r="BP117" s="345"/>
      <c r="BQ117" s="345"/>
      <c r="BR117" s="345"/>
      <c r="BS117" s="345"/>
      <c r="BT117" s="345"/>
      <c r="BU117" s="345"/>
      <c r="BV117" s="345"/>
    </row>
    <row r="118" spans="8:74" x14ac:dyDescent="0.2">
      <c r="H118" s="286"/>
      <c r="I118" s="292"/>
      <c r="L118" s="292"/>
      <c r="M118" s="292"/>
      <c r="N118" s="292"/>
      <c r="O118" s="292"/>
      <c r="P118" s="292"/>
      <c r="Q118" s="292"/>
      <c r="R118" s="292"/>
      <c r="S118" s="292"/>
      <c r="W118" s="345"/>
      <c r="X118" s="345"/>
      <c r="Y118" s="345"/>
      <c r="Z118" s="345"/>
      <c r="AB118" s="345"/>
      <c r="AC118" s="345"/>
      <c r="AD118" s="345"/>
      <c r="AE118" s="345"/>
      <c r="AF118" s="683"/>
      <c r="AG118" s="345"/>
      <c r="AH118" s="345"/>
      <c r="AI118" s="345"/>
      <c r="AK118" s="345"/>
      <c r="AL118" s="345"/>
      <c r="AM118" s="345"/>
      <c r="AN118" s="345"/>
      <c r="AO118" s="345"/>
      <c r="AP118" s="345"/>
      <c r="AQ118" s="345"/>
      <c r="AR118" s="345"/>
      <c r="AT118" s="345"/>
      <c r="AU118" s="345"/>
      <c r="AV118" s="345"/>
      <c r="AW118" s="345"/>
      <c r="AX118" s="345"/>
      <c r="AY118" s="345"/>
      <c r="AZ118" s="345"/>
      <c r="BA118" s="345"/>
      <c r="BB118" s="345"/>
      <c r="BC118" s="345"/>
      <c r="BD118" s="345"/>
      <c r="BE118" s="345"/>
      <c r="BF118" s="345"/>
      <c r="BG118" s="345"/>
      <c r="BH118" s="345"/>
      <c r="BI118" s="345"/>
      <c r="BK118" s="684"/>
      <c r="BL118" s="685"/>
      <c r="BM118" s="685"/>
      <c r="BN118" s="640"/>
      <c r="BO118" s="720"/>
      <c r="BP118" s="345"/>
      <c r="BQ118" s="345"/>
      <c r="BR118" s="345"/>
      <c r="BS118" s="345"/>
      <c r="BT118" s="345"/>
      <c r="BU118" s="345"/>
      <c r="BV118" s="345"/>
    </row>
    <row r="119" spans="8:74" x14ac:dyDescent="0.2">
      <c r="H119" s="286"/>
      <c r="I119" s="292"/>
      <c r="L119" s="292"/>
      <c r="M119" s="292"/>
      <c r="N119" s="292"/>
      <c r="O119" s="292"/>
      <c r="P119" s="292"/>
      <c r="Q119" s="292"/>
      <c r="R119" s="292"/>
      <c r="S119" s="292"/>
      <c r="W119" s="345"/>
      <c r="X119" s="345"/>
      <c r="Y119" s="345"/>
      <c r="Z119" s="345"/>
      <c r="AB119" s="345"/>
      <c r="AC119" s="345"/>
      <c r="AD119" s="345"/>
      <c r="AE119" s="345"/>
      <c r="AF119" s="683"/>
      <c r="AG119" s="345"/>
      <c r="AH119" s="345"/>
      <c r="AI119" s="345"/>
      <c r="AK119" s="345"/>
      <c r="AL119" s="345"/>
      <c r="AM119" s="345"/>
      <c r="AN119" s="345"/>
      <c r="AO119" s="345"/>
      <c r="AP119" s="345"/>
      <c r="AQ119" s="345"/>
      <c r="AR119" s="345"/>
      <c r="AT119" s="345"/>
      <c r="AU119" s="345"/>
      <c r="AV119" s="345"/>
      <c r="AW119" s="345"/>
      <c r="AX119" s="345"/>
      <c r="AY119" s="345"/>
      <c r="AZ119" s="345"/>
      <c r="BA119" s="345"/>
      <c r="BB119" s="345"/>
      <c r="BC119" s="345"/>
      <c r="BD119" s="345"/>
      <c r="BE119" s="345"/>
      <c r="BF119" s="345"/>
      <c r="BG119" s="345"/>
      <c r="BH119" s="345"/>
      <c r="BI119" s="345"/>
      <c r="BK119" s="684"/>
      <c r="BL119" s="685"/>
      <c r="BM119" s="685"/>
      <c r="BN119" s="640"/>
      <c r="BO119" s="720"/>
      <c r="BP119" s="345"/>
      <c r="BQ119" s="345"/>
      <c r="BR119" s="345"/>
      <c r="BS119" s="345"/>
      <c r="BT119" s="345"/>
      <c r="BU119" s="345"/>
      <c r="BV119" s="345"/>
    </row>
    <row r="120" spans="8:74" x14ac:dyDescent="0.2">
      <c r="H120" s="286"/>
      <c r="I120" s="292"/>
      <c r="L120" s="292"/>
      <c r="M120" s="292"/>
      <c r="N120" s="292"/>
      <c r="O120" s="292"/>
      <c r="P120" s="292"/>
      <c r="Q120" s="292"/>
      <c r="R120" s="292"/>
      <c r="S120" s="292"/>
      <c r="W120" s="345"/>
      <c r="X120" s="345"/>
      <c r="Y120" s="345"/>
      <c r="Z120" s="345"/>
      <c r="AB120" s="345"/>
      <c r="AC120" s="345"/>
      <c r="AD120" s="345"/>
      <c r="AE120" s="345"/>
      <c r="AF120" s="683"/>
      <c r="AG120" s="345"/>
      <c r="AH120" s="345"/>
      <c r="AI120" s="345"/>
      <c r="AK120" s="345"/>
      <c r="AL120" s="345"/>
      <c r="AM120" s="345"/>
      <c r="AN120" s="345"/>
      <c r="AO120" s="345"/>
      <c r="AP120" s="345"/>
      <c r="AQ120" s="345"/>
      <c r="AR120" s="345"/>
      <c r="AT120" s="345"/>
      <c r="AU120" s="345"/>
      <c r="AV120" s="345"/>
      <c r="AW120" s="345"/>
      <c r="AX120" s="345"/>
      <c r="AY120" s="345"/>
      <c r="AZ120" s="345"/>
      <c r="BA120" s="345"/>
      <c r="BB120" s="345"/>
      <c r="BC120" s="345"/>
      <c r="BD120" s="345"/>
      <c r="BE120" s="345"/>
      <c r="BF120" s="345"/>
      <c r="BG120" s="345"/>
      <c r="BH120" s="345"/>
      <c r="BI120" s="345"/>
      <c r="BK120" s="684"/>
      <c r="BL120" s="685"/>
      <c r="BM120" s="685"/>
      <c r="BN120" s="640"/>
      <c r="BO120" s="720"/>
      <c r="BP120" s="345"/>
      <c r="BQ120" s="345"/>
      <c r="BR120" s="345"/>
      <c r="BS120" s="345"/>
      <c r="BT120" s="345"/>
      <c r="BU120" s="345"/>
      <c r="BV120" s="345"/>
    </row>
    <row r="121" spans="8:74" x14ac:dyDescent="0.2">
      <c r="H121" s="286"/>
      <c r="I121" s="292"/>
      <c r="L121" s="292"/>
      <c r="M121" s="292"/>
      <c r="N121" s="292"/>
      <c r="O121" s="292"/>
      <c r="P121" s="292"/>
      <c r="Q121" s="292"/>
      <c r="R121" s="292"/>
      <c r="S121" s="292"/>
      <c r="W121" s="345"/>
      <c r="X121" s="345"/>
      <c r="Y121" s="345"/>
      <c r="Z121" s="345"/>
      <c r="AB121" s="345"/>
      <c r="AC121" s="345"/>
      <c r="AD121" s="345"/>
      <c r="AE121" s="345"/>
      <c r="AF121" s="683"/>
      <c r="AG121" s="345"/>
      <c r="AH121" s="345"/>
      <c r="AI121" s="345"/>
      <c r="AK121" s="345"/>
      <c r="AL121" s="345"/>
      <c r="AM121" s="345"/>
      <c r="AN121" s="345"/>
      <c r="AO121" s="345"/>
      <c r="AP121" s="345"/>
      <c r="AQ121" s="345"/>
      <c r="AR121" s="345"/>
      <c r="AT121" s="345"/>
      <c r="AU121" s="345"/>
      <c r="AV121" s="345"/>
      <c r="AW121" s="345"/>
      <c r="AX121" s="345"/>
      <c r="AY121" s="345"/>
      <c r="AZ121" s="345"/>
      <c r="BA121" s="345"/>
      <c r="BB121" s="345"/>
      <c r="BC121" s="345"/>
      <c r="BD121" s="345"/>
      <c r="BE121" s="345"/>
      <c r="BF121" s="345"/>
      <c r="BG121" s="345"/>
      <c r="BH121" s="345"/>
      <c r="BI121" s="345"/>
      <c r="BK121" s="684"/>
      <c r="BL121" s="685"/>
      <c r="BM121" s="685"/>
      <c r="BN121" s="640"/>
      <c r="BO121" s="720"/>
      <c r="BP121" s="345"/>
      <c r="BQ121" s="345"/>
      <c r="BR121" s="345"/>
      <c r="BS121" s="345"/>
      <c r="BT121" s="345"/>
      <c r="BU121" s="345"/>
      <c r="BV121" s="345"/>
    </row>
    <row r="122" spans="8:74" x14ac:dyDescent="0.2">
      <c r="H122" s="286"/>
      <c r="I122" s="292"/>
      <c r="L122" s="292"/>
      <c r="M122" s="292"/>
      <c r="N122" s="292"/>
      <c r="O122" s="292"/>
      <c r="P122" s="292"/>
      <c r="Q122" s="292"/>
      <c r="R122" s="292"/>
      <c r="S122" s="292"/>
      <c r="W122" s="345"/>
      <c r="X122" s="345"/>
      <c r="Y122" s="345"/>
      <c r="Z122" s="345"/>
      <c r="AB122" s="345"/>
      <c r="AC122" s="345"/>
      <c r="AD122" s="345"/>
      <c r="AE122" s="345"/>
      <c r="AF122" s="683"/>
      <c r="AG122" s="345"/>
      <c r="AH122" s="345"/>
      <c r="AI122" s="345"/>
      <c r="AK122" s="345"/>
      <c r="AL122" s="345"/>
      <c r="AM122" s="345"/>
      <c r="AN122" s="345"/>
      <c r="AO122" s="345"/>
      <c r="AP122" s="345"/>
      <c r="AQ122" s="345"/>
      <c r="AR122" s="345"/>
      <c r="AT122" s="345"/>
      <c r="AU122" s="345"/>
      <c r="AV122" s="345"/>
      <c r="AW122" s="345"/>
      <c r="AX122" s="345"/>
      <c r="AY122" s="345"/>
      <c r="AZ122" s="345"/>
      <c r="BA122" s="345"/>
      <c r="BB122" s="345"/>
      <c r="BC122" s="345"/>
      <c r="BD122" s="345"/>
      <c r="BE122" s="345"/>
      <c r="BF122" s="345"/>
      <c r="BG122" s="345"/>
      <c r="BH122" s="345"/>
      <c r="BI122" s="345"/>
      <c r="BK122" s="684"/>
      <c r="BL122" s="685"/>
      <c r="BM122" s="685"/>
      <c r="BN122" s="640"/>
      <c r="BO122" s="720"/>
      <c r="BP122" s="345"/>
      <c r="BQ122" s="345"/>
      <c r="BR122" s="345"/>
      <c r="BS122" s="345"/>
      <c r="BT122" s="345"/>
      <c r="BU122" s="345"/>
      <c r="BV122" s="345"/>
    </row>
    <row r="123" spans="8:74" x14ac:dyDescent="0.2">
      <c r="H123" s="286"/>
      <c r="I123" s="292"/>
      <c r="L123" s="292"/>
      <c r="M123" s="292"/>
      <c r="N123" s="292"/>
      <c r="O123" s="292"/>
      <c r="P123" s="292"/>
      <c r="Q123" s="292"/>
      <c r="R123" s="292"/>
      <c r="S123" s="292"/>
      <c r="W123" s="345"/>
      <c r="X123" s="345"/>
      <c r="Y123" s="345"/>
      <c r="Z123" s="345"/>
      <c r="AB123" s="345"/>
      <c r="AC123" s="345"/>
      <c r="AD123" s="345"/>
      <c r="AE123" s="345"/>
      <c r="AF123" s="683"/>
      <c r="AG123" s="345"/>
      <c r="AH123" s="345"/>
      <c r="AI123" s="345"/>
      <c r="AK123" s="345"/>
      <c r="AL123" s="345"/>
      <c r="AM123" s="345"/>
      <c r="AN123" s="345"/>
      <c r="AO123" s="345"/>
      <c r="AP123" s="345"/>
      <c r="AQ123" s="345"/>
      <c r="AR123" s="345"/>
      <c r="AT123" s="345"/>
      <c r="AU123" s="345"/>
      <c r="AV123" s="345"/>
      <c r="AW123" s="345"/>
      <c r="AX123" s="345"/>
      <c r="AY123" s="345"/>
      <c r="AZ123" s="345"/>
      <c r="BA123" s="345"/>
      <c r="BB123" s="345"/>
      <c r="BC123" s="345"/>
      <c r="BD123" s="345"/>
      <c r="BE123" s="345"/>
      <c r="BF123" s="345"/>
      <c r="BG123" s="345"/>
      <c r="BH123" s="345"/>
      <c r="BI123" s="345"/>
      <c r="BK123" s="684"/>
      <c r="BL123" s="685"/>
      <c r="BM123" s="685"/>
      <c r="BN123" s="640"/>
      <c r="BO123" s="720"/>
      <c r="BP123" s="345"/>
      <c r="BQ123" s="345"/>
      <c r="BR123" s="345"/>
      <c r="BS123" s="345"/>
      <c r="BT123" s="345"/>
      <c r="BU123" s="345"/>
      <c r="BV123" s="345"/>
    </row>
    <row r="124" spans="8:74" x14ac:dyDescent="0.2">
      <c r="H124" s="286"/>
      <c r="I124" s="292"/>
      <c r="L124" s="292"/>
      <c r="M124" s="292"/>
      <c r="N124" s="292"/>
      <c r="O124" s="292"/>
      <c r="P124" s="292"/>
      <c r="Q124" s="292"/>
      <c r="R124" s="292"/>
      <c r="S124" s="292"/>
      <c r="W124" s="345"/>
      <c r="X124" s="345"/>
      <c r="Y124" s="345"/>
      <c r="Z124" s="345"/>
      <c r="AB124" s="345"/>
      <c r="AC124" s="345"/>
      <c r="AD124" s="345"/>
      <c r="AE124" s="345"/>
      <c r="AF124" s="683"/>
      <c r="AG124" s="345"/>
      <c r="AH124" s="345"/>
      <c r="AI124" s="345"/>
      <c r="AK124" s="345"/>
      <c r="AL124" s="345"/>
      <c r="AM124" s="345"/>
      <c r="AN124" s="345"/>
      <c r="AO124" s="345"/>
      <c r="AP124" s="345"/>
      <c r="AQ124" s="345"/>
      <c r="AR124" s="345"/>
      <c r="AT124" s="345"/>
      <c r="AU124" s="345"/>
      <c r="AV124" s="345"/>
      <c r="AW124" s="345"/>
      <c r="AX124" s="345"/>
      <c r="AY124" s="345"/>
      <c r="AZ124" s="345"/>
      <c r="BA124" s="345"/>
      <c r="BB124" s="345"/>
      <c r="BC124" s="345"/>
      <c r="BD124" s="345"/>
      <c r="BE124" s="345"/>
      <c r="BF124" s="345"/>
      <c r="BG124" s="345"/>
      <c r="BH124" s="345"/>
      <c r="BI124" s="345"/>
      <c r="BK124" s="684"/>
      <c r="BL124" s="685"/>
      <c r="BM124" s="685"/>
      <c r="BN124" s="640"/>
      <c r="BO124" s="720"/>
      <c r="BP124" s="345"/>
      <c r="BQ124" s="345"/>
      <c r="BR124" s="345"/>
      <c r="BS124" s="345"/>
      <c r="BT124" s="345"/>
      <c r="BU124" s="345"/>
      <c r="BV124" s="345"/>
    </row>
    <row r="125" spans="8:74" x14ac:dyDescent="0.2">
      <c r="H125" s="286"/>
      <c r="I125" s="292"/>
      <c r="L125" s="292"/>
      <c r="M125" s="292"/>
      <c r="N125" s="292"/>
      <c r="O125" s="292"/>
      <c r="P125" s="292"/>
      <c r="Q125" s="292"/>
      <c r="R125" s="292"/>
      <c r="S125" s="292"/>
      <c r="W125" s="345"/>
      <c r="X125" s="345"/>
      <c r="Y125" s="345"/>
      <c r="Z125" s="345"/>
      <c r="AB125" s="345"/>
      <c r="AC125" s="345"/>
      <c r="AD125" s="345"/>
      <c r="AE125" s="345"/>
      <c r="AF125" s="683"/>
      <c r="AG125" s="345"/>
      <c r="AH125" s="345"/>
      <c r="AI125" s="345"/>
      <c r="AK125" s="345"/>
      <c r="AL125" s="345"/>
      <c r="AM125" s="345"/>
      <c r="AN125" s="345"/>
      <c r="AO125" s="345"/>
      <c r="AP125" s="345"/>
      <c r="AQ125" s="345"/>
      <c r="AR125" s="345"/>
      <c r="AT125" s="345"/>
      <c r="AU125" s="345"/>
      <c r="AV125" s="345"/>
      <c r="AW125" s="345"/>
      <c r="AX125" s="345"/>
      <c r="AY125" s="345"/>
      <c r="AZ125" s="345"/>
      <c r="BA125" s="345"/>
      <c r="BB125" s="345"/>
      <c r="BC125" s="345"/>
      <c r="BD125" s="345"/>
      <c r="BE125" s="345"/>
      <c r="BF125" s="345"/>
      <c r="BG125" s="345"/>
      <c r="BH125" s="345"/>
      <c r="BI125" s="345"/>
      <c r="BK125" s="684"/>
      <c r="BL125" s="685"/>
      <c r="BM125" s="685"/>
      <c r="BN125" s="640"/>
      <c r="BO125" s="720"/>
      <c r="BP125" s="345"/>
      <c r="BQ125" s="345"/>
      <c r="BR125" s="345"/>
      <c r="BS125" s="345"/>
      <c r="BT125" s="345"/>
      <c r="BU125" s="345"/>
      <c r="BV125" s="345"/>
    </row>
    <row r="126" spans="8:74" x14ac:dyDescent="0.2">
      <c r="H126" s="286"/>
      <c r="I126" s="292"/>
      <c r="L126" s="292"/>
      <c r="M126" s="292"/>
      <c r="N126" s="292"/>
      <c r="O126" s="292"/>
      <c r="P126" s="292"/>
      <c r="Q126" s="292"/>
      <c r="R126" s="292"/>
      <c r="S126" s="292"/>
      <c r="W126" s="345"/>
      <c r="X126" s="345"/>
      <c r="Y126" s="345"/>
      <c r="Z126" s="345"/>
      <c r="AB126" s="345"/>
      <c r="AC126" s="345"/>
      <c r="AD126" s="345"/>
      <c r="AE126" s="345"/>
      <c r="AF126" s="683"/>
      <c r="AG126" s="345"/>
      <c r="AH126" s="345"/>
      <c r="AI126" s="345"/>
      <c r="AK126" s="345"/>
      <c r="AL126" s="345"/>
      <c r="AM126" s="345"/>
      <c r="AN126" s="345"/>
      <c r="AO126" s="345"/>
      <c r="AP126" s="345"/>
      <c r="AQ126" s="345"/>
      <c r="AR126" s="345"/>
      <c r="AT126" s="345"/>
      <c r="AU126" s="345"/>
      <c r="AV126" s="345"/>
      <c r="AW126" s="345"/>
      <c r="AX126" s="345"/>
      <c r="AY126" s="345"/>
      <c r="AZ126" s="345"/>
      <c r="BA126" s="345"/>
      <c r="BB126" s="345"/>
      <c r="BC126" s="345"/>
      <c r="BD126" s="345"/>
      <c r="BE126" s="345"/>
      <c r="BF126" s="345"/>
      <c r="BG126" s="345"/>
      <c r="BH126" s="345"/>
      <c r="BI126" s="345"/>
      <c r="BK126" s="684"/>
      <c r="BL126" s="685"/>
      <c r="BM126" s="685"/>
      <c r="BN126" s="640"/>
      <c r="BO126" s="720"/>
      <c r="BP126" s="345"/>
      <c r="BQ126" s="345"/>
      <c r="BR126" s="345"/>
      <c r="BS126" s="345"/>
      <c r="BT126" s="345"/>
      <c r="BU126" s="345"/>
      <c r="BV126" s="345"/>
    </row>
    <row r="127" spans="8:74" x14ac:dyDescent="0.2">
      <c r="H127" s="286"/>
      <c r="I127" s="292"/>
      <c r="L127" s="292"/>
      <c r="M127" s="292"/>
      <c r="N127" s="292"/>
      <c r="O127" s="292"/>
      <c r="P127" s="292"/>
      <c r="Q127" s="292"/>
      <c r="R127" s="292"/>
      <c r="S127" s="292"/>
      <c r="W127" s="345"/>
      <c r="X127" s="345"/>
      <c r="Y127" s="345"/>
      <c r="Z127" s="345"/>
      <c r="AB127" s="345"/>
      <c r="AC127" s="345"/>
      <c r="AD127" s="345"/>
      <c r="AE127" s="345"/>
      <c r="AF127" s="683"/>
      <c r="AG127" s="345"/>
      <c r="AH127" s="345"/>
      <c r="AI127" s="345"/>
      <c r="AK127" s="345"/>
      <c r="AL127" s="345"/>
      <c r="AM127" s="345"/>
      <c r="AN127" s="345"/>
      <c r="AO127" s="345"/>
      <c r="AP127" s="345"/>
      <c r="AQ127" s="345"/>
      <c r="AR127" s="345"/>
      <c r="AT127" s="345"/>
      <c r="AU127" s="345"/>
      <c r="AV127" s="345"/>
      <c r="AW127" s="345"/>
      <c r="AX127" s="345"/>
      <c r="AY127" s="345"/>
      <c r="AZ127" s="345"/>
      <c r="BA127" s="345"/>
      <c r="BB127" s="345"/>
      <c r="BC127" s="345"/>
      <c r="BD127" s="345"/>
      <c r="BE127" s="345"/>
      <c r="BF127" s="345"/>
      <c r="BG127" s="345"/>
      <c r="BH127" s="345"/>
      <c r="BI127" s="345"/>
      <c r="BK127" s="684"/>
      <c r="BL127" s="685"/>
      <c r="BM127" s="685"/>
      <c r="BN127" s="640"/>
      <c r="BO127" s="720"/>
      <c r="BP127" s="345"/>
      <c r="BQ127" s="345"/>
      <c r="BR127" s="345"/>
      <c r="BS127" s="345"/>
      <c r="BT127" s="345"/>
      <c r="BU127" s="345"/>
      <c r="BV127" s="345"/>
    </row>
    <row r="128" spans="8:74" x14ac:dyDescent="0.2">
      <c r="H128" s="286"/>
      <c r="I128" s="292"/>
      <c r="L128" s="292"/>
      <c r="M128" s="292"/>
      <c r="N128" s="292"/>
      <c r="O128" s="292"/>
      <c r="P128" s="292"/>
      <c r="Q128" s="292"/>
      <c r="R128" s="292"/>
      <c r="S128" s="292"/>
      <c r="W128" s="345"/>
      <c r="X128" s="345"/>
      <c r="Y128" s="345"/>
      <c r="Z128" s="345"/>
      <c r="AB128" s="345"/>
      <c r="AC128" s="345"/>
      <c r="AD128" s="345"/>
      <c r="AE128" s="345"/>
      <c r="AF128" s="683"/>
      <c r="AG128" s="345"/>
      <c r="AH128" s="345"/>
      <c r="AI128" s="345"/>
      <c r="AK128" s="345"/>
      <c r="AL128" s="345"/>
      <c r="AM128" s="345"/>
      <c r="AN128" s="345"/>
      <c r="AO128" s="345"/>
      <c r="AP128" s="345"/>
      <c r="AQ128" s="345"/>
      <c r="AR128" s="345"/>
      <c r="AT128" s="345"/>
      <c r="AU128" s="345"/>
      <c r="AV128" s="345"/>
      <c r="AW128" s="345"/>
      <c r="AX128" s="345"/>
      <c r="AY128" s="345"/>
      <c r="AZ128" s="345"/>
      <c r="BA128" s="345"/>
      <c r="BB128" s="345"/>
      <c r="BC128" s="345"/>
      <c r="BD128" s="345"/>
      <c r="BE128" s="345"/>
      <c r="BF128" s="345"/>
      <c r="BG128" s="345"/>
      <c r="BH128" s="345"/>
      <c r="BI128" s="345"/>
      <c r="BK128" s="684"/>
      <c r="BL128" s="685"/>
      <c r="BM128" s="685"/>
      <c r="BN128" s="640"/>
      <c r="BO128" s="720"/>
      <c r="BP128" s="345"/>
      <c r="BQ128" s="345"/>
      <c r="BR128" s="345"/>
      <c r="BS128" s="345"/>
      <c r="BT128" s="345"/>
      <c r="BU128" s="345"/>
      <c r="BV128" s="345"/>
    </row>
    <row r="129" spans="8:74" x14ac:dyDescent="0.2">
      <c r="H129" s="286"/>
      <c r="I129" s="292"/>
      <c r="L129" s="292"/>
      <c r="M129" s="292"/>
      <c r="N129" s="292"/>
      <c r="O129" s="292"/>
      <c r="P129" s="292"/>
      <c r="Q129" s="292"/>
      <c r="R129" s="292"/>
      <c r="S129" s="292"/>
      <c r="W129" s="345"/>
      <c r="X129" s="345"/>
      <c r="Y129" s="345"/>
      <c r="Z129" s="345"/>
      <c r="AB129" s="345"/>
      <c r="AC129" s="345"/>
      <c r="AD129" s="345"/>
      <c r="AE129" s="345"/>
      <c r="AF129" s="683"/>
      <c r="AG129" s="345"/>
      <c r="AH129" s="345"/>
      <c r="AI129" s="345"/>
      <c r="AK129" s="345"/>
      <c r="AL129" s="345"/>
      <c r="AM129" s="345"/>
      <c r="AN129" s="345"/>
      <c r="AO129" s="345"/>
      <c r="AP129" s="345"/>
      <c r="AQ129" s="345"/>
      <c r="AR129" s="345"/>
      <c r="AT129" s="345"/>
      <c r="AU129" s="345"/>
      <c r="AV129" s="345"/>
      <c r="AW129" s="345"/>
      <c r="AX129" s="345"/>
      <c r="AY129" s="345"/>
      <c r="AZ129" s="345"/>
      <c r="BA129" s="345"/>
      <c r="BB129" s="345"/>
      <c r="BC129" s="345"/>
      <c r="BD129" s="345"/>
      <c r="BE129" s="345"/>
      <c r="BF129" s="345"/>
      <c r="BG129" s="345"/>
      <c r="BH129" s="345"/>
      <c r="BI129" s="345"/>
      <c r="BK129" s="684"/>
      <c r="BL129" s="685"/>
      <c r="BM129" s="685"/>
      <c r="BN129" s="640"/>
      <c r="BO129" s="720"/>
      <c r="BP129" s="345"/>
      <c r="BQ129" s="345"/>
      <c r="BR129" s="345"/>
      <c r="BS129" s="345"/>
      <c r="BT129" s="345"/>
      <c r="BU129" s="345"/>
      <c r="BV129" s="345"/>
    </row>
    <row r="130" spans="8:74" x14ac:dyDescent="0.2">
      <c r="H130" s="286"/>
      <c r="I130" s="292"/>
      <c r="L130" s="292"/>
      <c r="M130" s="292"/>
      <c r="N130" s="292"/>
      <c r="O130" s="292"/>
      <c r="P130" s="292"/>
      <c r="Q130" s="292"/>
      <c r="R130" s="292"/>
      <c r="S130" s="292"/>
      <c r="W130" s="345"/>
      <c r="X130" s="345"/>
      <c r="Y130" s="345"/>
      <c r="Z130" s="345"/>
      <c r="AB130" s="345"/>
      <c r="AC130" s="345"/>
      <c r="AD130" s="345"/>
      <c r="AE130" s="345"/>
      <c r="AF130" s="683"/>
      <c r="AG130" s="345"/>
      <c r="AH130" s="345"/>
      <c r="AI130" s="345"/>
      <c r="AK130" s="345"/>
      <c r="AL130" s="345"/>
      <c r="AM130" s="345"/>
      <c r="AN130" s="345"/>
      <c r="AO130" s="345"/>
      <c r="AP130" s="345"/>
      <c r="AQ130" s="345"/>
      <c r="AR130" s="345"/>
      <c r="AT130" s="345"/>
      <c r="AU130" s="345"/>
      <c r="AV130" s="345"/>
      <c r="AW130" s="345"/>
      <c r="AX130" s="345"/>
      <c r="AY130" s="345"/>
      <c r="AZ130" s="345"/>
      <c r="BA130" s="345"/>
      <c r="BB130" s="345"/>
      <c r="BC130" s="345"/>
      <c r="BD130" s="345"/>
      <c r="BE130" s="345"/>
      <c r="BF130" s="345"/>
      <c r="BG130" s="345"/>
      <c r="BH130" s="345"/>
      <c r="BI130" s="345"/>
      <c r="BK130" s="684"/>
      <c r="BL130" s="685"/>
      <c r="BM130" s="685"/>
      <c r="BN130" s="640"/>
      <c r="BO130" s="720"/>
      <c r="BP130" s="345"/>
      <c r="BQ130" s="345"/>
      <c r="BR130" s="345"/>
      <c r="BS130" s="345"/>
      <c r="BT130" s="345"/>
      <c r="BU130" s="345"/>
      <c r="BV130" s="345"/>
    </row>
    <row r="131" spans="8:74" x14ac:dyDescent="0.2">
      <c r="H131" s="286"/>
      <c r="I131" s="292"/>
      <c r="L131" s="292"/>
      <c r="M131" s="292"/>
      <c r="N131" s="292"/>
      <c r="O131" s="292"/>
      <c r="P131" s="292"/>
      <c r="Q131" s="292"/>
      <c r="R131" s="292"/>
      <c r="S131" s="292"/>
      <c r="W131" s="345"/>
      <c r="X131" s="345"/>
      <c r="Y131" s="345"/>
      <c r="Z131" s="345"/>
      <c r="AB131" s="345"/>
      <c r="AC131" s="345"/>
      <c r="AD131" s="345"/>
      <c r="AE131" s="345"/>
      <c r="AF131" s="683"/>
      <c r="AG131" s="345"/>
      <c r="AH131" s="345"/>
      <c r="AI131" s="345"/>
      <c r="AK131" s="345"/>
      <c r="AL131" s="345"/>
      <c r="AM131" s="345"/>
      <c r="AN131" s="345"/>
      <c r="AO131" s="345"/>
      <c r="AP131" s="345"/>
      <c r="AQ131" s="345"/>
      <c r="AR131" s="345"/>
      <c r="AT131" s="345"/>
      <c r="AU131" s="345"/>
      <c r="AV131" s="345"/>
      <c r="AW131" s="345"/>
      <c r="AX131" s="345"/>
      <c r="AY131" s="345"/>
      <c r="AZ131" s="345"/>
      <c r="BA131" s="345"/>
      <c r="BB131" s="345"/>
      <c r="BC131" s="345"/>
      <c r="BD131" s="345"/>
      <c r="BE131" s="345"/>
      <c r="BF131" s="345"/>
      <c r="BG131" s="345"/>
      <c r="BH131" s="345"/>
      <c r="BI131" s="345"/>
      <c r="BK131" s="684"/>
      <c r="BL131" s="685"/>
      <c r="BM131" s="685"/>
      <c r="BN131" s="640"/>
      <c r="BO131" s="720"/>
      <c r="BP131" s="345"/>
      <c r="BQ131" s="345"/>
      <c r="BR131" s="345"/>
      <c r="BS131" s="345"/>
      <c r="BT131" s="345"/>
      <c r="BU131" s="345"/>
      <c r="BV131" s="345"/>
    </row>
    <row r="132" spans="8:74" x14ac:dyDescent="0.2">
      <c r="H132" s="286"/>
      <c r="I132" s="292"/>
      <c r="L132" s="292"/>
      <c r="M132" s="292"/>
      <c r="N132" s="292"/>
      <c r="O132" s="292"/>
      <c r="P132" s="292"/>
      <c r="Q132" s="292"/>
      <c r="R132" s="292"/>
      <c r="S132" s="292"/>
      <c r="W132" s="345"/>
      <c r="X132" s="345"/>
      <c r="Y132" s="345"/>
      <c r="Z132" s="345"/>
      <c r="AB132" s="345"/>
      <c r="AC132" s="345"/>
      <c r="AD132" s="345"/>
      <c r="AE132" s="345"/>
      <c r="AF132" s="683"/>
      <c r="AG132" s="345"/>
      <c r="AH132" s="345"/>
      <c r="AI132" s="345"/>
      <c r="AK132" s="345"/>
      <c r="AL132" s="345"/>
      <c r="AM132" s="345"/>
      <c r="AN132" s="345"/>
      <c r="AO132" s="345"/>
      <c r="AP132" s="345"/>
      <c r="AQ132" s="345"/>
      <c r="AR132" s="345"/>
      <c r="AT132" s="345"/>
      <c r="AU132" s="345"/>
      <c r="AV132" s="345"/>
      <c r="AW132" s="345"/>
      <c r="AX132" s="345"/>
      <c r="AY132" s="345"/>
      <c r="AZ132" s="345"/>
      <c r="BA132" s="345"/>
      <c r="BB132" s="345"/>
      <c r="BC132" s="345"/>
      <c r="BD132" s="345"/>
      <c r="BE132" s="345"/>
      <c r="BF132" s="345"/>
      <c r="BG132" s="345"/>
      <c r="BH132" s="345"/>
      <c r="BI132" s="345"/>
      <c r="BK132" s="684"/>
      <c r="BL132" s="685"/>
      <c r="BM132" s="685"/>
      <c r="BN132" s="640"/>
      <c r="BO132" s="720"/>
      <c r="BP132" s="345"/>
      <c r="BQ132" s="345"/>
      <c r="BR132" s="345"/>
      <c r="BS132" s="345"/>
      <c r="BT132" s="345"/>
      <c r="BU132" s="345"/>
      <c r="BV132" s="345"/>
    </row>
    <row r="133" spans="8:74" x14ac:dyDescent="0.2">
      <c r="H133" s="286"/>
      <c r="I133" s="292"/>
      <c r="L133" s="292"/>
      <c r="M133" s="292"/>
      <c r="N133" s="292"/>
      <c r="O133" s="292"/>
      <c r="P133" s="292"/>
      <c r="Q133" s="292"/>
      <c r="R133" s="292"/>
      <c r="S133" s="292"/>
      <c r="W133" s="345"/>
      <c r="X133" s="345"/>
      <c r="Y133" s="345"/>
      <c r="Z133" s="345"/>
      <c r="AB133" s="345"/>
      <c r="AC133" s="345"/>
      <c r="AD133" s="345"/>
      <c r="AE133" s="345"/>
      <c r="AF133" s="683"/>
      <c r="AG133" s="345"/>
      <c r="AH133" s="345"/>
      <c r="AI133" s="345"/>
      <c r="AK133" s="345"/>
      <c r="AL133" s="345"/>
      <c r="AM133" s="345"/>
      <c r="AN133" s="345"/>
      <c r="AO133" s="345"/>
      <c r="AP133" s="345"/>
      <c r="AQ133" s="345"/>
      <c r="AR133" s="345"/>
      <c r="AT133" s="345"/>
      <c r="AU133" s="345"/>
      <c r="AV133" s="345"/>
      <c r="AW133" s="345"/>
      <c r="AX133" s="345"/>
      <c r="AY133" s="345"/>
      <c r="AZ133" s="345"/>
      <c r="BA133" s="345"/>
      <c r="BB133" s="345"/>
      <c r="BC133" s="345"/>
      <c r="BD133" s="345"/>
      <c r="BE133" s="345"/>
      <c r="BF133" s="345"/>
      <c r="BG133" s="345"/>
      <c r="BH133" s="345"/>
      <c r="BI133" s="345"/>
      <c r="BK133" s="684"/>
      <c r="BL133" s="685"/>
      <c r="BM133" s="685"/>
      <c r="BN133" s="640"/>
      <c r="BO133" s="720"/>
      <c r="BP133" s="345"/>
      <c r="BQ133" s="345"/>
      <c r="BR133" s="345"/>
      <c r="BS133" s="345"/>
      <c r="BT133" s="345"/>
      <c r="BU133" s="345"/>
      <c r="BV133" s="345"/>
    </row>
    <row r="134" spans="8:74" x14ac:dyDescent="0.2">
      <c r="H134" s="286"/>
      <c r="I134" s="292"/>
      <c r="L134" s="292"/>
      <c r="M134" s="292"/>
      <c r="N134" s="292"/>
      <c r="O134" s="292"/>
      <c r="P134" s="292"/>
      <c r="Q134" s="292"/>
      <c r="R134" s="292"/>
      <c r="S134" s="292"/>
      <c r="W134" s="345"/>
      <c r="X134" s="345"/>
      <c r="Y134" s="345"/>
      <c r="Z134" s="345"/>
      <c r="AB134" s="345"/>
      <c r="AC134" s="345"/>
      <c r="AD134" s="345"/>
      <c r="AE134" s="345"/>
      <c r="AF134" s="683"/>
      <c r="AG134" s="345"/>
      <c r="AH134" s="345"/>
      <c r="AI134" s="345"/>
      <c r="AK134" s="345"/>
      <c r="AL134" s="345"/>
      <c r="AM134" s="345"/>
      <c r="AN134" s="345"/>
      <c r="AO134" s="345"/>
      <c r="AP134" s="345"/>
      <c r="AQ134" s="345"/>
      <c r="AR134" s="345"/>
      <c r="AT134" s="345"/>
      <c r="AU134" s="345"/>
      <c r="AV134" s="345"/>
      <c r="AW134" s="345"/>
      <c r="AX134" s="345"/>
      <c r="AY134" s="345"/>
      <c r="AZ134" s="345"/>
      <c r="BA134" s="345"/>
      <c r="BB134" s="345"/>
      <c r="BC134" s="345"/>
      <c r="BD134" s="345"/>
      <c r="BE134" s="345"/>
      <c r="BF134" s="345"/>
      <c r="BG134" s="345"/>
      <c r="BH134" s="345"/>
      <c r="BI134" s="345"/>
      <c r="BK134" s="684"/>
      <c r="BL134" s="685"/>
      <c r="BM134" s="685"/>
      <c r="BN134" s="640"/>
      <c r="BO134" s="720"/>
      <c r="BP134" s="345"/>
      <c r="BQ134" s="345"/>
      <c r="BR134" s="345"/>
      <c r="BS134" s="345"/>
      <c r="BT134" s="345"/>
      <c r="BU134" s="345"/>
      <c r="BV134" s="345"/>
    </row>
    <row r="135" spans="8:74" x14ac:dyDescent="0.2">
      <c r="H135" s="286"/>
      <c r="I135" s="292"/>
      <c r="L135" s="292"/>
      <c r="M135" s="292"/>
      <c r="N135" s="292"/>
      <c r="O135" s="292"/>
      <c r="P135" s="292"/>
      <c r="Q135" s="292"/>
      <c r="R135" s="292"/>
      <c r="S135" s="292"/>
      <c r="W135" s="345"/>
      <c r="X135" s="345"/>
      <c r="Y135" s="345"/>
      <c r="Z135" s="345"/>
      <c r="AB135" s="345"/>
      <c r="AC135" s="345"/>
      <c r="AD135" s="345"/>
      <c r="AE135" s="345"/>
      <c r="AF135" s="683"/>
      <c r="AG135" s="345"/>
      <c r="AH135" s="345"/>
      <c r="AI135" s="345"/>
      <c r="AK135" s="345"/>
      <c r="AL135" s="345"/>
      <c r="AM135" s="345"/>
      <c r="AN135" s="345"/>
      <c r="AO135" s="345"/>
      <c r="AP135" s="345"/>
      <c r="AQ135" s="345"/>
      <c r="AR135" s="345"/>
      <c r="AT135" s="345"/>
      <c r="AU135" s="345"/>
      <c r="AV135" s="345"/>
      <c r="AW135" s="345"/>
      <c r="AX135" s="345"/>
      <c r="AY135" s="345"/>
      <c r="AZ135" s="345"/>
      <c r="BA135" s="345"/>
      <c r="BB135" s="345"/>
      <c r="BC135" s="345"/>
      <c r="BD135" s="345"/>
      <c r="BE135" s="345"/>
      <c r="BF135" s="345"/>
      <c r="BG135" s="345"/>
      <c r="BH135" s="345"/>
      <c r="BI135" s="345"/>
      <c r="BK135" s="684"/>
      <c r="BL135" s="685"/>
      <c r="BM135" s="685"/>
      <c r="BN135" s="640"/>
      <c r="BO135" s="720"/>
      <c r="BP135" s="345"/>
      <c r="BQ135" s="345"/>
      <c r="BR135" s="345"/>
      <c r="BS135" s="345"/>
      <c r="BT135" s="345"/>
      <c r="BU135" s="345"/>
      <c r="BV135" s="345"/>
    </row>
    <row r="136" spans="8:74" x14ac:dyDescent="0.2">
      <c r="H136" s="286"/>
      <c r="I136" s="292"/>
      <c r="L136" s="292"/>
      <c r="M136" s="292"/>
      <c r="N136" s="292"/>
      <c r="O136" s="292"/>
      <c r="P136" s="292"/>
      <c r="Q136" s="292"/>
      <c r="R136" s="292"/>
      <c r="S136" s="292"/>
      <c r="W136" s="345"/>
      <c r="X136" s="345"/>
      <c r="Y136" s="345"/>
      <c r="Z136" s="345"/>
      <c r="AB136" s="345"/>
      <c r="AC136" s="345"/>
      <c r="AD136" s="345"/>
      <c r="AE136" s="345"/>
      <c r="AF136" s="683"/>
      <c r="AG136" s="345"/>
      <c r="AH136" s="345"/>
      <c r="AI136" s="345"/>
      <c r="AK136" s="345"/>
      <c r="AL136" s="345"/>
      <c r="AM136" s="345"/>
      <c r="AN136" s="345"/>
      <c r="AO136" s="345"/>
      <c r="AP136" s="345"/>
      <c r="AQ136" s="345"/>
      <c r="AR136" s="345"/>
      <c r="AT136" s="345"/>
      <c r="AU136" s="345"/>
      <c r="AV136" s="345"/>
      <c r="AW136" s="345"/>
      <c r="AX136" s="345"/>
      <c r="AY136" s="345"/>
      <c r="AZ136" s="345"/>
      <c r="BA136" s="345"/>
      <c r="BB136" s="345"/>
      <c r="BC136" s="345"/>
      <c r="BD136" s="345"/>
      <c r="BE136" s="345"/>
      <c r="BF136" s="345"/>
      <c r="BG136" s="345"/>
      <c r="BH136" s="345"/>
      <c r="BI136" s="345"/>
      <c r="BK136" s="684"/>
      <c r="BL136" s="685"/>
      <c r="BM136" s="685"/>
      <c r="BN136" s="640"/>
      <c r="BO136" s="720"/>
      <c r="BP136" s="345"/>
      <c r="BQ136" s="345"/>
      <c r="BR136" s="345"/>
      <c r="BS136" s="345"/>
      <c r="BT136" s="345"/>
      <c r="BU136" s="345"/>
      <c r="BV136" s="345"/>
    </row>
    <row r="137" spans="8:74" x14ac:dyDescent="0.2">
      <c r="H137" s="286"/>
      <c r="I137" s="292"/>
      <c r="L137" s="292"/>
      <c r="M137" s="292"/>
      <c r="N137" s="292"/>
      <c r="O137" s="292"/>
      <c r="P137" s="292"/>
      <c r="Q137" s="292"/>
      <c r="R137" s="292"/>
      <c r="S137" s="292"/>
      <c r="W137" s="345"/>
      <c r="X137" s="345"/>
      <c r="Y137" s="345"/>
      <c r="Z137" s="345"/>
      <c r="AB137" s="345"/>
      <c r="AC137" s="345"/>
      <c r="AD137" s="345"/>
      <c r="AE137" s="345"/>
      <c r="AF137" s="683"/>
      <c r="AG137" s="345"/>
      <c r="AH137" s="345"/>
      <c r="AI137" s="345"/>
      <c r="AK137" s="345"/>
      <c r="AL137" s="345"/>
      <c r="AM137" s="345"/>
      <c r="AN137" s="345"/>
      <c r="AO137" s="345"/>
      <c r="AP137" s="345"/>
      <c r="AQ137" s="345"/>
      <c r="AR137" s="345"/>
      <c r="AT137" s="345"/>
      <c r="AU137" s="345"/>
      <c r="AV137" s="345"/>
      <c r="AW137" s="345"/>
      <c r="AX137" s="345"/>
      <c r="AY137" s="345"/>
      <c r="AZ137" s="345"/>
      <c r="BA137" s="345"/>
      <c r="BB137" s="345"/>
      <c r="BC137" s="345"/>
      <c r="BD137" s="345"/>
      <c r="BE137" s="345"/>
      <c r="BF137" s="345"/>
      <c r="BG137" s="345"/>
      <c r="BH137" s="345"/>
      <c r="BI137" s="345"/>
      <c r="BK137" s="684"/>
      <c r="BL137" s="685"/>
      <c r="BM137" s="685"/>
      <c r="BN137" s="640"/>
      <c r="BO137" s="720"/>
      <c r="BP137" s="345"/>
      <c r="BQ137" s="345"/>
      <c r="BR137" s="345"/>
      <c r="BS137" s="345"/>
      <c r="BT137" s="345"/>
      <c r="BU137" s="345"/>
      <c r="BV137" s="345"/>
    </row>
    <row r="138" spans="8:74" x14ac:dyDescent="0.2">
      <c r="H138" s="286"/>
      <c r="I138" s="292"/>
      <c r="L138" s="292"/>
      <c r="M138" s="292"/>
      <c r="N138" s="292"/>
      <c r="O138" s="292"/>
      <c r="P138" s="292"/>
      <c r="Q138" s="292"/>
      <c r="R138" s="292"/>
      <c r="S138" s="292"/>
      <c r="W138" s="345"/>
      <c r="X138" s="345"/>
      <c r="Y138" s="345"/>
      <c r="Z138" s="345"/>
      <c r="AB138" s="345"/>
      <c r="AC138" s="345"/>
      <c r="AD138" s="345"/>
      <c r="AE138" s="345"/>
      <c r="AF138" s="683"/>
      <c r="AG138" s="345"/>
      <c r="AH138" s="345"/>
      <c r="AI138" s="345"/>
      <c r="AK138" s="345"/>
      <c r="AL138" s="345"/>
      <c r="AM138" s="345"/>
      <c r="AN138" s="345"/>
      <c r="AO138" s="345"/>
      <c r="AP138" s="345"/>
      <c r="AQ138" s="345"/>
      <c r="AR138" s="345"/>
      <c r="AT138" s="345"/>
      <c r="AU138" s="345"/>
      <c r="AV138" s="345"/>
      <c r="AW138" s="345"/>
      <c r="AX138" s="345"/>
      <c r="AY138" s="345"/>
      <c r="AZ138" s="345"/>
      <c r="BA138" s="345"/>
      <c r="BB138" s="345"/>
      <c r="BC138" s="345"/>
      <c r="BD138" s="345"/>
      <c r="BE138" s="345"/>
      <c r="BF138" s="345"/>
      <c r="BG138" s="345"/>
      <c r="BH138" s="345"/>
      <c r="BI138" s="345"/>
      <c r="BK138" s="684"/>
      <c r="BL138" s="685"/>
      <c r="BM138" s="685"/>
      <c r="BN138" s="640"/>
      <c r="BO138" s="720"/>
      <c r="BP138" s="345"/>
      <c r="BQ138" s="345"/>
      <c r="BR138" s="345"/>
      <c r="BS138" s="345"/>
      <c r="BT138" s="345"/>
      <c r="BU138" s="345"/>
      <c r="BV138" s="345"/>
    </row>
    <row r="139" spans="8:74" x14ac:dyDescent="0.2">
      <c r="H139" s="286"/>
      <c r="I139" s="292"/>
      <c r="L139" s="292"/>
      <c r="M139" s="292"/>
      <c r="N139" s="292"/>
      <c r="O139" s="292"/>
      <c r="P139" s="292"/>
      <c r="Q139" s="292"/>
      <c r="R139" s="292"/>
      <c r="S139" s="292"/>
      <c r="W139" s="345"/>
      <c r="X139" s="345"/>
      <c r="Y139" s="345"/>
      <c r="Z139" s="345"/>
      <c r="AB139" s="345"/>
      <c r="AC139" s="345"/>
      <c r="AD139" s="345"/>
      <c r="AE139" s="345"/>
      <c r="AF139" s="683"/>
      <c r="AG139" s="345"/>
      <c r="AH139" s="345"/>
      <c r="AI139" s="345"/>
      <c r="AK139" s="345"/>
      <c r="AL139" s="345"/>
      <c r="AM139" s="345"/>
      <c r="AN139" s="345"/>
      <c r="AO139" s="345"/>
      <c r="AP139" s="345"/>
      <c r="AQ139" s="345"/>
      <c r="AR139" s="345"/>
      <c r="AT139" s="345"/>
      <c r="AU139" s="345"/>
      <c r="AV139" s="345"/>
      <c r="AW139" s="345"/>
      <c r="AX139" s="345"/>
      <c r="AY139" s="345"/>
      <c r="AZ139" s="345"/>
      <c r="BA139" s="345"/>
      <c r="BB139" s="345"/>
      <c r="BC139" s="345"/>
      <c r="BD139" s="345"/>
      <c r="BE139" s="345"/>
      <c r="BF139" s="345"/>
      <c r="BG139" s="345"/>
      <c r="BH139" s="345"/>
      <c r="BI139" s="345"/>
      <c r="BK139" s="684"/>
      <c r="BL139" s="685"/>
      <c r="BM139" s="685"/>
      <c r="BN139" s="640"/>
      <c r="BO139" s="720"/>
      <c r="BP139" s="345"/>
      <c r="BQ139" s="345"/>
      <c r="BR139" s="345"/>
      <c r="BS139" s="345"/>
      <c r="BT139" s="345"/>
      <c r="BU139" s="345"/>
      <c r="BV139" s="345"/>
    </row>
    <row r="140" spans="8:74" x14ac:dyDescent="0.2">
      <c r="H140" s="286"/>
      <c r="I140" s="292"/>
      <c r="L140" s="292"/>
      <c r="M140" s="292"/>
      <c r="N140" s="292"/>
      <c r="O140" s="292"/>
      <c r="P140" s="292"/>
      <c r="Q140" s="292"/>
      <c r="R140" s="292"/>
      <c r="S140" s="292"/>
      <c r="W140" s="345"/>
      <c r="X140" s="345"/>
      <c r="Y140" s="345"/>
      <c r="Z140" s="345"/>
      <c r="AB140" s="345"/>
      <c r="AC140" s="345"/>
      <c r="AD140" s="345"/>
      <c r="AE140" s="345"/>
      <c r="AF140" s="683"/>
      <c r="AG140" s="345"/>
      <c r="AH140" s="345"/>
      <c r="AI140" s="345"/>
      <c r="AK140" s="345"/>
      <c r="AL140" s="345"/>
      <c r="AM140" s="345"/>
      <c r="AN140" s="345"/>
      <c r="AO140" s="345"/>
      <c r="AP140" s="345"/>
      <c r="AQ140" s="345"/>
      <c r="AR140" s="345"/>
      <c r="AT140" s="345"/>
      <c r="AU140" s="345"/>
      <c r="AV140" s="345"/>
      <c r="AW140" s="345"/>
      <c r="AX140" s="345"/>
      <c r="AY140" s="345"/>
      <c r="AZ140" s="345"/>
      <c r="BA140" s="345"/>
      <c r="BB140" s="345"/>
      <c r="BC140" s="345"/>
      <c r="BD140" s="345"/>
      <c r="BE140" s="345"/>
      <c r="BF140" s="345"/>
      <c r="BG140" s="345"/>
      <c r="BH140" s="345"/>
      <c r="BI140" s="345"/>
      <c r="BK140" s="684"/>
      <c r="BL140" s="685"/>
      <c r="BM140" s="685"/>
      <c r="BN140" s="640"/>
      <c r="BO140" s="720"/>
      <c r="BP140" s="345"/>
      <c r="BQ140" s="345"/>
      <c r="BR140" s="345"/>
      <c r="BS140" s="345"/>
      <c r="BT140" s="345"/>
      <c r="BU140" s="345"/>
      <c r="BV140" s="345"/>
    </row>
    <row r="141" spans="8:74" x14ac:dyDescent="0.2">
      <c r="H141" s="286"/>
      <c r="I141" s="292"/>
      <c r="L141" s="292"/>
      <c r="M141" s="292"/>
      <c r="N141" s="292"/>
      <c r="O141" s="292"/>
      <c r="P141" s="292"/>
      <c r="Q141" s="292"/>
      <c r="R141" s="292"/>
      <c r="S141" s="292"/>
      <c r="W141" s="345"/>
      <c r="X141" s="345"/>
      <c r="Y141" s="345"/>
      <c r="Z141" s="345"/>
      <c r="AB141" s="345"/>
      <c r="AC141" s="345"/>
      <c r="AD141" s="345"/>
      <c r="AE141" s="345"/>
      <c r="AF141" s="683"/>
      <c r="AG141" s="345"/>
      <c r="AH141" s="345"/>
      <c r="AI141" s="345"/>
      <c r="AK141" s="345"/>
      <c r="AL141" s="345"/>
      <c r="AM141" s="345"/>
      <c r="AN141" s="345"/>
      <c r="AO141" s="345"/>
      <c r="AP141" s="345"/>
      <c r="AQ141" s="345"/>
      <c r="AR141" s="345"/>
      <c r="AT141" s="345"/>
      <c r="AU141" s="345"/>
      <c r="AV141" s="345"/>
      <c r="AW141" s="345"/>
      <c r="AX141" s="345"/>
      <c r="AY141" s="345"/>
      <c r="AZ141" s="345"/>
      <c r="BA141" s="345"/>
      <c r="BB141" s="345"/>
      <c r="BC141" s="345"/>
      <c r="BD141" s="345"/>
      <c r="BE141" s="345"/>
      <c r="BF141" s="345"/>
      <c r="BG141" s="345"/>
      <c r="BH141" s="345"/>
      <c r="BI141" s="345"/>
      <c r="BK141" s="684"/>
      <c r="BL141" s="685"/>
      <c r="BM141" s="685"/>
      <c r="BN141" s="640"/>
      <c r="BO141" s="720"/>
      <c r="BP141" s="345"/>
      <c r="BQ141" s="345"/>
      <c r="BR141" s="345"/>
      <c r="BS141" s="345"/>
      <c r="BT141" s="345"/>
      <c r="BU141" s="345"/>
      <c r="BV141" s="345"/>
    </row>
    <row r="142" spans="8:74" x14ac:dyDescent="0.2">
      <c r="H142" s="286"/>
      <c r="I142" s="292"/>
      <c r="L142" s="292"/>
      <c r="M142" s="292"/>
      <c r="N142" s="292"/>
      <c r="O142" s="292"/>
      <c r="P142" s="292"/>
      <c r="Q142" s="292"/>
      <c r="R142" s="292"/>
      <c r="S142" s="292"/>
      <c r="W142" s="345"/>
      <c r="X142" s="345"/>
      <c r="Y142" s="345"/>
      <c r="Z142" s="345"/>
      <c r="AB142" s="345"/>
      <c r="AC142" s="345"/>
      <c r="AD142" s="345"/>
      <c r="AE142" s="345"/>
      <c r="AF142" s="683"/>
      <c r="AG142" s="345"/>
      <c r="AH142" s="345"/>
      <c r="AI142" s="345"/>
      <c r="AK142" s="345"/>
      <c r="AL142" s="345"/>
      <c r="AM142" s="345"/>
      <c r="AN142" s="345"/>
      <c r="AO142" s="345"/>
      <c r="AP142" s="345"/>
      <c r="AQ142" s="345"/>
      <c r="AR142" s="345"/>
      <c r="AT142" s="345"/>
      <c r="AU142" s="345"/>
      <c r="AV142" s="345"/>
      <c r="AW142" s="345"/>
      <c r="AX142" s="345"/>
      <c r="AY142" s="345"/>
      <c r="AZ142" s="345"/>
      <c r="BA142" s="345"/>
      <c r="BB142" s="345"/>
      <c r="BC142" s="345"/>
      <c r="BD142" s="345"/>
      <c r="BE142" s="345"/>
      <c r="BF142" s="345"/>
      <c r="BG142" s="345"/>
      <c r="BH142" s="345"/>
      <c r="BI142" s="345"/>
      <c r="BK142" s="684"/>
      <c r="BL142" s="685"/>
      <c r="BM142" s="685"/>
      <c r="BN142" s="640"/>
      <c r="BO142" s="720"/>
      <c r="BP142" s="345"/>
      <c r="BQ142" s="345"/>
      <c r="BR142" s="345"/>
      <c r="BS142" s="345"/>
      <c r="BT142" s="345"/>
      <c r="BU142" s="345"/>
      <c r="BV142" s="345"/>
    </row>
    <row r="143" spans="8:74" x14ac:dyDescent="0.2">
      <c r="H143" s="286"/>
      <c r="I143" s="292"/>
      <c r="L143" s="292"/>
      <c r="M143" s="292"/>
      <c r="N143" s="292"/>
      <c r="O143" s="292"/>
      <c r="P143" s="292"/>
      <c r="Q143" s="292"/>
      <c r="R143" s="292"/>
      <c r="S143" s="292"/>
      <c r="W143" s="345"/>
      <c r="X143" s="345"/>
      <c r="Y143" s="345"/>
      <c r="Z143" s="345"/>
      <c r="AB143" s="345"/>
      <c r="AC143" s="345"/>
      <c r="AD143" s="345"/>
      <c r="AE143" s="345"/>
      <c r="AF143" s="683"/>
      <c r="AG143" s="345"/>
      <c r="AH143" s="345"/>
      <c r="AI143" s="345"/>
      <c r="AK143" s="345"/>
      <c r="AL143" s="345"/>
      <c r="AM143" s="345"/>
      <c r="AN143" s="345"/>
      <c r="AO143" s="345"/>
      <c r="AP143" s="345"/>
      <c r="AQ143" s="345"/>
      <c r="AR143" s="345"/>
      <c r="AT143" s="345"/>
      <c r="AU143" s="345"/>
      <c r="AV143" s="345"/>
      <c r="AW143" s="345"/>
      <c r="AX143" s="345"/>
      <c r="AY143" s="345"/>
      <c r="AZ143" s="345"/>
      <c r="BA143" s="345"/>
      <c r="BB143" s="345"/>
      <c r="BC143" s="345"/>
      <c r="BD143" s="345"/>
      <c r="BE143" s="345"/>
      <c r="BF143" s="345"/>
      <c r="BG143" s="345"/>
      <c r="BH143" s="345"/>
      <c r="BI143" s="345"/>
      <c r="BK143" s="684"/>
      <c r="BL143" s="685"/>
      <c r="BM143" s="685"/>
      <c r="BN143" s="640"/>
      <c r="BO143" s="720"/>
      <c r="BP143" s="345"/>
      <c r="BQ143" s="345"/>
      <c r="BR143" s="345"/>
      <c r="BS143" s="345"/>
      <c r="BT143" s="345"/>
      <c r="BU143" s="345"/>
      <c r="BV143" s="345"/>
    </row>
    <row r="144" spans="8:74" x14ac:dyDescent="0.2">
      <c r="H144" s="286"/>
      <c r="I144" s="292"/>
      <c r="L144" s="292"/>
      <c r="M144" s="292"/>
      <c r="N144" s="292"/>
      <c r="O144" s="292"/>
      <c r="P144" s="292"/>
      <c r="Q144" s="292"/>
      <c r="R144" s="292"/>
      <c r="S144" s="292"/>
      <c r="W144" s="345"/>
      <c r="X144" s="345"/>
      <c r="Y144" s="345"/>
      <c r="Z144" s="345"/>
      <c r="AB144" s="345"/>
      <c r="AC144" s="345"/>
      <c r="AD144" s="345"/>
      <c r="AE144" s="345"/>
      <c r="AF144" s="683"/>
      <c r="AG144" s="345"/>
      <c r="AH144" s="345"/>
      <c r="AI144" s="345"/>
      <c r="AK144" s="345"/>
      <c r="AL144" s="345"/>
      <c r="AM144" s="345"/>
      <c r="AN144" s="345"/>
      <c r="AO144" s="345"/>
      <c r="AP144" s="345"/>
      <c r="AQ144" s="345"/>
      <c r="AR144" s="345"/>
      <c r="AT144" s="345"/>
      <c r="AU144" s="345"/>
      <c r="AV144" s="345"/>
      <c r="AW144" s="345"/>
      <c r="AX144" s="345"/>
      <c r="AY144" s="345"/>
      <c r="AZ144" s="345"/>
      <c r="BA144" s="345"/>
      <c r="BB144" s="345"/>
      <c r="BC144" s="345"/>
      <c r="BD144" s="345"/>
      <c r="BE144" s="345"/>
      <c r="BF144" s="345"/>
      <c r="BG144" s="345"/>
      <c r="BH144" s="345"/>
      <c r="BI144" s="345"/>
      <c r="BK144" s="684"/>
      <c r="BL144" s="685"/>
      <c r="BM144" s="685"/>
      <c r="BN144" s="640"/>
      <c r="BO144" s="720"/>
      <c r="BP144" s="345"/>
      <c r="BQ144" s="345"/>
      <c r="BR144" s="345"/>
      <c r="BS144" s="345"/>
      <c r="BT144" s="345"/>
      <c r="BU144" s="345"/>
      <c r="BV144" s="345"/>
    </row>
    <row r="145" spans="8:74" x14ac:dyDescent="0.2">
      <c r="H145" s="286"/>
      <c r="I145" s="292"/>
      <c r="L145" s="292"/>
      <c r="M145" s="292"/>
      <c r="N145" s="292"/>
      <c r="O145" s="292"/>
      <c r="P145" s="292"/>
      <c r="Q145" s="292"/>
      <c r="R145" s="292"/>
      <c r="S145" s="292"/>
      <c r="W145" s="345"/>
      <c r="X145" s="345"/>
      <c r="Y145" s="345"/>
      <c r="Z145" s="345"/>
      <c r="AB145" s="345"/>
      <c r="AC145" s="345"/>
      <c r="AD145" s="345"/>
      <c r="AE145" s="345"/>
      <c r="AF145" s="683"/>
      <c r="AG145" s="345"/>
      <c r="AH145" s="345"/>
      <c r="AI145" s="345"/>
      <c r="AK145" s="345"/>
      <c r="AL145" s="345"/>
      <c r="AM145" s="345"/>
      <c r="AN145" s="345"/>
      <c r="AO145" s="345"/>
      <c r="AP145" s="345"/>
      <c r="AQ145" s="345"/>
      <c r="AR145" s="345"/>
      <c r="AT145" s="345"/>
      <c r="AU145" s="345"/>
      <c r="AV145" s="345"/>
      <c r="AW145" s="345"/>
      <c r="AX145" s="345"/>
      <c r="AY145" s="345"/>
      <c r="AZ145" s="345"/>
      <c r="BA145" s="345"/>
      <c r="BB145" s="345"/>
      <c r="BC145" s="345"/>
      <c r="BD145" s="345"/>
      <c r="BE145" s="345"/>
      <c r="BF145" s="345"/>
      <c r="BG145" s="345"/>
      <c r="BH145" s="345"/>
      <c r="BI145" s="345"/>
      <c r="BK145" s="684"/>
      <c r="BL145" s="685"/>
      <c r="BM145" s="685"/>
      <c r="BN145" s="640"/>
      <c r="BO145" s="720"/>
      <c r="BP145" s="345"/>
      <c r="BQ145" s="345"/>
      <c r="BR145" s="345"/>
      <c r="BS145" s="345"/>
      <c r="BT145" s="345"/>
      <c r="BU145" s="345"/>
      <c r="BV145" s="345"/>
    </row>
    <row r="146" spans="8:74" x14ac:dyDescent="0.2">
      <c r="H146" s="286"/>
      <c r="I146" s="292"/>
      <c r="L146" s="292"/>
      <c r="M146" s="292"/>
      <c r="N146" s="292"/>
      <c r="O146" s="292"/>
      <c r="P146" s="292"/>
      <c r="Q146" s="292"/>
      <c r="R146" s="292"/>
      <c r="S146" s="292"/>
      <c r="W146" s="345"/>
      <c r="X146" s="345"/>
      <c r="Y146" s="345"/>
      <c r="Z146" s="345"/>
      <c r="AB146" s="345"/>
      <c r="AC146" s="345"/>
      <c r="AD146" s="345"/>
      <c r="AE146" s="345"/>
      <c r="AF146" s="683"/>
      <c r="AG146" s="345"/>
      <c r="AH146" s="345"/>
      <c r="AI146" s="345"/>
      <c r="AK146" s="345"/>
      <c r="AL146" s="345"/>
      <c r="AM146" s="345"/>
      <c r="AN146" s="345"/>
      <c r="AO146" s="345"/>
      <c r="AP146" s="345"/>
      <c r="AQ146" s="345"/>
      <c r="AR146" s="345"/>
      <c r="AT146" s="345"/>
      <c r="AU146" s="345"/>
      <c r="AV146" s="345"/>
      <c r="AW146" s="345"/>
      <c r="AX146" s="345"/>
      <c r="AY146" s="345"/>
      <c r="AZ146" s="345"/>
      <c r="BA146" s="345"/>
      <c r="BB146" s="345"/>
      <c r="BC146" s="345"/>
      <c r="BD146" s="345"/>
      <c r="BE146" s="345"/>
      <c r="BF146" s="345"/>
      <c r="BG146" s="345"/>
      <c r="BH146" s="345"/>
      <c r="BI146" s="345"/>
      <c r="BK146" s="684"/>
      <c r="BL146" s="685"/>
      <c r="BM146" s="685"/>
      <c r="BN146" s="640"/>
      <c r="BO146" s="720"/>
      <c r="BP146" s="345"/>
      <c r="BQ146" s="345"/>
      <c r="BR146" s="345"/>
      <c r="BS146" s="345"/>
      <c r="BT146" s="345"/>
      <c r="BU146" s="345"/>
      <c r="BV146" s="345"/>
    </row>
    <row r="147" spans="8:74" x14ac:dyDescent="0.2">
      <c r="H147" s="286"/>
      <c r="I147" s="292"/>
      <c r="L147" s="292"/>
      <c r="M147" s="292"/>
      <c r="N147" s="292"/>
      <c r="O147" s="292"/>
      <c r="P147" s="292"/>
      <c r="Q147" s="292"/>
      <c r="R147" s="292"/>
      <c r="S147" s="292"/>
      <c r="W147" s="345"/>
      <c r="X147" s="345"/>
      <c r="Y147" s="345"/>
      <c r="Z147" s="345"/>
      <c r="AB147" s="345"/>
      <c r="AC147" s="345"/>
      <c r="AD147" s="345"/>
      <c r="AE147" s="345"/>
      <c r="AF147" s="683"/>
      <c r="AG147" s="345"/>
      <c r="AH147" s="345"/>
      <c r="AI147" s="345"/>
      <c r="AK147" s="345"/>
      <c r="AL147" s="345"/>
      <c r="AM147" s="345"/>
      <c r="AN147" s="345"/>
      <c r="AO147" s="345"/>
      <c r="AP147" s="345"/>
      <c r="AQ147" s="345"/>
      <c r="AR147" s="345"/>
      <c r="AT147" s="345"/>
      <c r="AU147" s="345"/>
      <c r="AV147" s="345"/>
      <c r="AW147" s="345"/>
      <c r="AX147" s="345"/>
      <c r="AY147" s="345"/>
      <c r="AZ147" s="345"/>
      <c r="BA147" s="345"/>
      <c r="BB147" s="345"/>
      <c r="BC147" s="345"/>
      <c r="BD147" s="345"/>
      <c r="BE147" s="345"/>
      <c r="BF147" s="345"/>
      <c r="BG147" s="345"/>
      <c r="BH147" s="345"/>
      <c r="BI147" s="345"/>
      <c r="BK147" s="684"/>
      <c r="BL147" s="685"/>
      <c r="BM147" s="685"/>
      <c r="BN147" s="640"/>
      <c r="BO147" s="720"/>
      <c r="BP147" s="345"/>
      <c r="BQ147" s="345"/>
      <c r="BR147" s="345"/>
      <c r="BS147" s="345"/>
      <c r="BT147" s="345"/>
      <c r="BU147" s="345"/>
      <c r="BV147" s="345"/>
    </row>
    <row r="148" spans="8:74" x14ac:dyDescent="0.2">
      <c r="H148" s="286"/>
      <c r="I148" s="292"/>
      <c r="L148" s="292"/>
      <c r="M148" s="292"/>
      <c r="N148" s="292"/>
      <c r="O148" s="292"/>
      <c r="P148" s="292"/>
      <c r="Q148" s="292"/>
      <c r="R148" s="292"/>
      <c r="S148" s="292"/>
      <c r="W148" s="345"/>
      <c r="X148" s="345"/>
      <c r="Y148" s="345"/>
      <c r="Z148" s="345"/>
      <c r="AB148" s="345"/>
      <c r="AC148" s="345"/>
      <c r="AD148" s="345"/>
      <c r="AE148" s="345"/>
      <c r="AF148" s="683"/>
      <c r="AG148" s="345"/>
      <c r="AH148" s="345"/>
      <c r="AI148" s="345"/>
      <c r="AK148" s="345"/>
      <c r="AL148" s="345"/>
      <c r="AM148" s="345"/>
      <c r="AN148" s="345"/>
      <c r="AO148" s="345"/>
      <c r="AP148" s="345"/>
      <c r="AQ148" s="345"/>
      <c r="AR148" s="345"/>
      <c r="AT148" s="345"/>
      <c r="AU148" s="345"/>
      <c r="AV148" s="345"/>
      <c r="AW148" s="345"/>
      <c r="AX148" s="345"/>
      <c r="AY148" s="345"/>
      <c r="AZ148" s="345"/>
      <c r="BA148" s="345"/>
      <c r="BB148" s="345"/>
      <c r="BC148" s="345"/>
      <c r="BD148" s="345"/>
      <c r="BE148" s="345"/>
      <c r="BF148" s="345"/>
      <c r="BG148" s="345"/>
      <c r="BH148" s="345"/>
      <c r="BI148" s="345"/>
      <c r="BK148" s="684"/>
      <c r="BL148" s="685"/>
      <c r="BM148" s="685"/>
      <c r="BN148" s="640"/>
      <c r="BO148" s="720"/>
      <c r="BP148" s="345"/>
      <c r="BQ148" s="345"/>
      <c r="BR148" s="345"/>
      <c r="BS148" s="345"/>
      <c r="BT148" s="345"/>
      <c r="BU148" s="345"/>
      <c r="BV148" s="345"/>
    </row>
    <row r="149" spans="8:74" x14ac:dyDescent="0.2">
      <c r="H149" s="286"/>
      <c r="I149" s="292"/>
      <c r="L149" s="292"/>
      <c r="M149" s="292"/>
      <c r="N149" s="292"/>
      <c r="O149" s="292"/>
      <c r="P149" s="292"/>
      <c r="Q149" s="292"/>
      <c r="R149" s="292"/>
      <c r="S149" s="292"/>
      <c r="W149" s="345"/>
      <c r="X149" s="345"/>
      <c r="Y149" s="345"/>
      <c r="Z149" s="345"/>
      <c r="AB149" s="345"/>
      <c r="AC149" s="345"/>
      <c r="AD149" s="345"/>
      <c r="AE149" s="345"/>
      <c r="AF149" s="683"/>
      <c r="AG149" s="345"/>
      <c r="AH149" s="345"/>
      <c r="AI149" s="345"/>
      <c r="AK149" s="345"/>
      <c r="AL149" s="345"/>
      <c r="AM149" s="345"/>
      <c r="AN149" s="345"/>
      <c r="AO149" s="345"/>
      <c r="AP149" s="345"/>
      <c r="AQ149" s="345"/>
      <c r="AR149" s="345"/>
      <c r="AT149" s="345"/>
      <c r="AU149" s="345"/>
      <c r="AV149" s="345"/>
      <c r="AW149" s="345"/>
      <c r="AX149" s="345"/>
      <c r="AY149" s="345"/>
      <c r="AZ149" s="345"/>
      <c r="BA149" s="345"/>
      <c r="BB149" s="345"/>
      <c r="BC149" s="345"/>
      <c r="BD149" s="345"/>
      <c r="BE149" s="345"/>
      <c r="BF149" s="345"/>
      <c r="BG149" s="345"/>
      <c r="BH149" s="345"/>
      <c r="BI149" s="345"/>
      <c r="BK149" s="684"/>
      <c r="BL149" s="685"/>
      <c r="BM149" s="685"/>
      <c r="BN149" s="640"/>
      <c r="BO149" s="720"/>
      <c r="BP149" s="345"/>
      <c r="BQ149" s="345"/>
      <c r="BR149" s="345"/>
      <c r="BS149" s="345"/>
      <c r="BT149" s="345"/>
      <c r="BU149" s="345"/>
      <c r="BV149" s="345"/>
    </row>
    <row r="150" spans="8:74" x14ac:dyDescent="0.2">
      <c r="H150" s="286"/>
      <c r="I150" s="292"/>
      <c r="L150" s="292"/>
      <c r="M150" s="292"/>
      <c r="N150" s="292"/>
      <c r="O150" s="292"/>
      <c r="P150" s="292"/>
      <c r="Q150" s="292"/>
      <c r="R150" s="292"/>
      <c r="S150" s="292"/>
      <c r="W150" s="345"/>
      <c r="X150" s="345"/>
      <c r="Y150" s="345"/>
      <c r="Z150" s="345"/>
      <c r="AB150" s="345"/>
      <c r="AC150" s="345"/>
      <c r="AD150" s="345"/>
      <c r="AE150" s="345"/>
      <c r="AF150" s="683"/>
      <c r="AG150" s="345"/>
      <c r="AH150" s="345"/>
      <c r="AI150" s="345"/>
      <c r="AK150" s="345"/>
      <c r="AL150" s="345"/>
      <c r="AM150" s="345"/>
      <c r="AN150" s="345"/>
      <c r="AO150" s="345"/>
      <c r="AP150" s="345"/>
      <c r="AQ150" s="345"/>
      <c r="AR150" s="345"/>
      <c r="AT150" s="345"/>
      <c r="AU150" s="345"/>
      <c r="AV150" s="345"/>
      <c r="AW150" s="345"/>
      <c r="AX150" s="345"/>
      <c r="AY150" s="345"/>
      <c r="AZ150" s="345"/>
      <c r="BA150" s="345"/>
      <c r="BB150" s="345"/>
      <c r="BC150" s="345"/>
      <c r="BD150" s="345"/>
      <c r="BE150" s="345"/>
      <c r="BF150" s="345"/>
      <c r="BG150" s="345"/>
      <c r="BH150" s="345"/>
      <c r="BI150" s="345"/>
      <c r="BK150" s="684"/>
      <c r="BL150" s="685"/>
      <c r="BM150" s="685"/>
      <c r="BN150" s="640"/>
      <c r="BO150" s="720"/>
      <c r="BP150" s="345"/>
      <c r="BQ150" s="345"/>
      <c r="BR150" s="345"/>
      <c r="BS150" s="345"/>
      <c r="BT150" s="345"/>
      <c r="BU150" s="345"/>
      <c r="BV150" s="345"/>
    </row>
    <row r="151" spans="8:74" x14ac:dyDescent="0.2">
      <c r="H151" s="286"/>
      <c r="I151" s="292"/>
      <c r="L151" s="292"/>
      <c r="M151" s="292"/>
      <c r="N151" s="292"/>
      <c r="O151" s="292"/>
      <c r="P151" s="292"/>
      <c r="Q151" s="292"/>
      <c r="R151" s="292"/>
      <c r="S151" s="292"/>
      <c r="W151" s="345"/>
      <c r="X151" s="345"/>
      <c r="Y151" s="345"/>
      <c r="Z151" s="345"/>
      <c r="AB151" s="345"/>
      <c r="AC151" s="345"/>
      <c r="AD151" s="345"/>
      <c r="AE151" s="345"/>
      <c r="AF151" s="683"/>
      <c r="AG151" s="345"/>
      <c r="AH151" s="345"/>
      <c r="AI151" s="345"/>
      <c r="AK151" s="345"/>
      <c r="AL151" s="345"/>
      <c r="AM151" s="345"/>
      <c r="AN151" s="345"/>
      <c r="AO151" s="345"/>
      <c r="AP151" s="345"/>
      <c r="AQ151" s="345"/>
      <c r="AR151" s="345"/>
      <c r="AT151" s="345"/>
      <c r="AU151" s="345"/>
      <c r="AV151" s="345"/>
      <c r="AW151" s="345"/>
      <c r="AX151" s="345"/>
      <c r="AY151" s="345"/>
      <c r="AZ151" s="345"/>
      <c r="BA151" s="345"/>
      <c r="BB151" s="345"/>
      <c r="BC151" s="345"/>
      <c r="BD151" s="345"/>
      <c r="BE151" s="345"/>
      <c r="BF151" s="345"/>
      <c r="BG151" s="345"/>
      <c r="BH151" s="345"/>
      <c r="BI151" s="345"/>
      <c r="BK151" s="684"/>
      <c r="BL151" s="685"/>
      <c r="BM151" s="685"/>
      <c r="BN151" s="640"/>
      <c r="BO151" s="720"/>
      <c r="BP151" s="345"/>
      <c r="BQ151" s="345"/>
      <c r="BR151" s="345"/>
      <c r="BS151" s="345"/>
      <c r="BT151" s="345"/>
      <c r="BU151" s="345"/>
      <c r="BV151" s="345"/>
    </row>
    <row r="152" spans="8:74" x14ac:dyDescent="0.2">
      <c r="H152" s="286"/>
      <c r="I152" s="292"/>
      <c r="L152" s="292"/>
      <c r="M152" s="292"/>
      <c r="N152" s="292"/>
      <c r="O152" s="292"/>
      <c r="P152" s="292"/>
      <c r="Q152" s="292"/>
      <c r="R152" s="292"/>
      <c r="S152" s="292"/>
      <c r="W152" s="345"/>
      <c r="X152" s="345"/>
      <c r="Y152" s="345"/>
      <c r="Z152" s="345"/>
      <c r="AB152" s="345"/>
      <c r="AC152" s="345"/>
      <c r="AD152" s="345"/>
      <c r="AE152" s="345"/>
      <c r="AF152" s="683"/>
      <c r="AG152" s="345"/>
      <c r="AH152" s="345"/>
      <c r="AI152" s="345"/>
      <c r="AK152" s="345"/>
      <c r="AL152" s="345"/>
      <c r="AM152" s="345"/>
      <c r="AN152" s="345"/>
      <c r="AO152" s="345"/>
      <c r="AP152" s="345"/>
      <c r="AQ152" s="345"/>
      <c r="AR152" s="345"/>
      <c r="AT152" s="345"/>
      <c r="AU152" s="345"/>
      <c r="AV152" s="345"/>
      <c r="AW152" s="345"/>
      <c r="AX152" s="345"/>
      <c r="AY152" s="345"/>
      <c r="AZ152" s="345"/>
      <c r="BA152" s="345"/>
      <c r="BB152" s="345"/>
      <c r="BC152" s="345"/>
      <c r="BD152" s="345"/>
      <c r="BE152" s="345"/>
      <c r="BF152" s="345"/>
      <c r="BG152" s="345"/>
      <c r="BH152" s="345"/>
      <c r="BI152" s="345"/>
      <c r="BK152" s="684"/>
      <c r="BL152" s="685"/>
      <c r="BM152" s="685"/>
      <c r="BN152" s="640"/>
      <c r="BO152" s="720"/>
      <c r="BP152" s="345"/>
      <c r="BQ152" s="345"/>
      <c r="BR152" s="345"/>
      <c r="BS152" s="345"/>
      <c r="BT152" s="345"/>
      <c r="BU152" s="345"/>
      <c r="BV152" s="345"/>
    </row>
    <row r="153" spans="8:74" x14ac:dyDescent="0.2">
      <c r="H153" s="286"/>
      <c r="I153" s="292"/>
      <c r="L153" s="292"/>
      <c r="M153" s="292"/>
      <c r="N153" s="292"/>
      <c r="O153" s="292"/>
      <c r="P153" s="292"/>
      <c r="Q153" s="292"/>
      <c r="R153" s="292"/>
      <c r="S153" s="292"/>
      <c r="W153" s="345"/>
      <c r="X153" s="345"/>
      <c r="Y153" s="345"/>
      <c r="Z153" s="345"/>
      <c r="AB153" s="345"/>
      <c r="AC153" s="345"/>
      <c r="AD153" s="345"/>
      <c r="AE153" s="345"/>
      <c r="AF153" s="683"/>
      <c r="AG153" s="345"/>
      <c r="AH153" s="345"/>
      <c r="AI153" s="345"/>
      <c r="AK153" s="345"/>
      <c r="AL153" s="345"/>
      <c r="AM153" s="345"/>
      <c r="AN153" s="345"/>
      <c r="AO153" s="345"/>
      <c r="AP153" s="345"/>
      <c r="AQ153" s="345"/>
      <c r="AR153" s="345"/>
      <c r="AT153" s="345"/>
      <c r="AU153" s="345"/>
      <c r="AV153" s="345"/>
      <c r="AW153" s="345"/>
      <c r="AX153" s="345"/>
      <c r="AY153" s="345"/>
      <c r="AZ153" s="345"/>
      <c r="BA153" s="345"/>
      <c r="BB153" s="345"/>
      <c r="BC153" s="345"/>
      <c r="BD153" s="345"/>
      <c r="BE153" s="345"/>
      <c r="BF153" s="345"/>
      <c r="BG153" s="345"/>
      <c r="BH153" s="345"/>
      <c r="BI153" s="345"/>
      <c r="BK153" s="684"/>
      <c r="BL153" s="685"/>
      <c r="BM153" s="685"/>
      <c r="BN153" s="640"/>
      <c r="BO153" s="720"/>
      <c r="BP153" s="345"/>
      <c r="BQ153" s="345"/>
      <c r="BR153" s="345"/>
      <c r="BS153" s="345"/>
      <c r="BT153" s="345"/>
      <c r="BU153" s="345"/>
      <c r="BV153" s="345"/>
    </row>
    <row r="154" spans="8:74" x14ac:dyDescent="0.2">
      <c r="H154" s="286"/>
      <c r="I154" s="292"/>
      <c r="L154" s="292"/>
      <c r="M154" s="292"/>
      <c r="N154" s="292"/>
      <c r="O154" s="292"/>
      <c r="P154" s="292"/>
      <c r="Q154" s="292"/>
      <c r="R154" s="292"/>
      <c r="S154" s="292"/>
      <c r="W154" s="345"/>
      <c r="X154" s="345"/>
      <c r="Y154" s="345"/>
      <c r="Z154" s="345"/>
      <c r="AB154" s="345"/>
      <c r="AC154" s="345"/>
      <c r="AD154" s="345"/>
      <c r="AE154" s="345"/>
      <c r="AF154" s="683"/>
      <c r="AG154" s="345"/>
      <c r="AH154" s="345"/>
      <c r="AI154" s="345"/>
      <c r="AK154" s="345"/>
      <c r="AL154" s="345"/>
      <c r="AM154" s="345"/>
      <c r="AN154" s="345"/>
      <c r="AO154" s="345"/>
      <c r="AP154" s="345"/>
      <c r="AQ154" s="345"/>
      <c r="AR154" s="345"/>
      <c r="AT154" s="345"/>
      <c r="AU154" s="345"/>
      <c r="AV154" s="345"/>
      <c r="AW154" s="345"/>
      <c r="AX154" s="345"/>
      <c r="AY154" s="345"/>
      <c r="AZ154" s="345"/>
      <c r="BA154" s="345"/>
      <c r="BB154" s="345"/>
      <c r="BC154" s="345"/>
      <c r="BD154" s="345"/>
      <c r="BE154" s="345"/>
      <c r="BF154" s="345"/>
      <c r="BG154" s="345"/>
      <c r="BH154" s="345"/>
      <c r="BI154" s="345"/>
      <c r="BK154" s="684"/>
      <c r="BL154" s="685"/>
      <c r="BM154" s="685"/>
      <c r="BN154" s="640"/>
      <c r="BO154" s="720"/>
      <c r="BP154" s="345"/>
      <c r="BQ154" s="345"/>
      <c r="BR154" s="345"/>
      <c r="BS154" s="345"/>
      <c r="BT154" s="345"/>
      <c r="BU154" s="345"/>
      <c r="BV154" s="345"/>
    </row>
    <row r="155" spans="8:74" x14ac:dyDescent="0.2">
      <c r="H155" s="286"/>
      <c r="I155" s="292"/>
      <c r="L155" s="292"/>
      <c r="M155" s="292"/>
      <c r="N155" s="292"/>
      <c r="O155" s="292"/>
      <c r="P155" s="292"/>
      <c r="Q155" s="292"/>
      <c r="R155" s="292"/>
      <c r="S155" s="292"/>
      <c r="W155" s="345"/>
      <c r="X155" s="345"/>
      <c r="Y155" s="345"/>
      <c r="Z155" s="345"/>
      <c r="AB155" s="345"/>
      <c r="AC155" s="345"/>
      <c r="AD155" s="345"/>
      <c r="AE155" s="345"/>
      <c r="AF155" s="683"/>
      <c r="AG155" s="345"/>
      <c r="AH155" s="345"/>
      <c r="AI155" s="345"/>
      <c r="AK155" s="345"/>
      <c r="AL155" s="345"/>
      <c r="AM155" s="345"/>
      <c r="AN155" s="345"/>
      <c r="AO155" s="345"/>
      <c r="AP155" s="345"/>
      <c r="AQ155" s="345"/>
      <c r="AR155" s="345"/>
      <c r="AT155" s="345"/>
      <c r="AU155" s="345"/>
      <c r="AV155" s="345"/>
      <c r="AW155" s="345"/>
      <c r="AX155" s="345"/>
      <c r="AY155" s="345"/>
      <c r="AZ155" s="345"/>
      <c r="BA155" s="345"/>
      <c r="BB155" s="345"/>
      <c r="BC155" s="345"/>
      <c r="BD155" s="345"/>
      <c r="BE155" s="345"/>
      <c r="BF155" s="345"/>
      <c r="BG155" s="345"/>
      <c r="BH155" s="345"/>
      <c r="BI155" s="345"/>
      <c r="BK155" s="684"/>
      <c r="BL155" s="685"/>
      <c r="BM155" s="685"/>
      <c r="BN155" s="640"/>
      <c r="BO155" s="720"/>
      <c r="BP155" s="345"/>
      <c r="BQ155" s="345"/>
      <c r="BR155" s="345"/>
      <c r="BS155" s="345"/>
      <c r="BT155" s="345"/>
      <c r="BU155" s="345"/>
      <c r="BV155" s="345"/>
    </row>
    <row r="156" spans="8:74" x14ac:dyDescent="0.2">
      <c r="H156" s="286"/>
      <c r="I156" s="292"/>
      <c r="L156" s="292"/>
      <c r="M156" s="292"/>
      <c r="N156" s="292"/>
      <c r="O156" s="292"/>
      <c r="P156" s="292"/>
      <c r="Q156" s="292"/>
      <c r="R156" s="292"/>
      <c r="S156" s="292"/>
      <c r="W156" s="345"/>
      <c r="X156" s="345"/>
      <c r="Y156" s="345"/>
      <c r="Z156" s="345"/>
      <c r="AB156" s="345"/>
      <c r="AC156" s="345"/>
      <c r="AD156" s="345"/>
      <c r="AE156" s="345"/>
      <c r="AF156" s="683"/>
      <c r="AG156" s="345"/>
      <c r="AH156" s="345"/>
      <c r="AI156" s="345"/>
      <c r="AK156" s="345"/>
      <c r="AL156" s="345"/>
      <c r="AM156" s="345"/>
      <c r="AN156" s="345"/>
      <c r="AO156" s="345"/>
      <c r="AP156" s="345"/>
      <c r="AQ156" s="345"/>
      <c r="AR156" s="345"/>
      <c r="AT156" s="345"/>
      <c r="AU156" s="345"/>
      <c r="AV156" s="345"/>
      <c r="AW156" s="345"/>
      <c r="AX156" s="345"/>
      <c r="AY156" s="345"/>
      <c r="AZ156" s="345"/>
      <c r="BA156" s="345"/>
      <c r="BB156" s="345"/>
      <c r="BC156" s="345"/>
      <c r="BD156" s="345"/>
      <c r="BE156" s="345"/>
      <c r="BF156" s="345"/>
      <c r="BG156" s="345"/>
      <c r="BH156" s="345"/>
      <c r="BI156" s="345"/>
      <c r="BK156" s="684"/>
      <c r="BL156" s="685"/>
      <c r="BM156" s="685"/>
      <c r="BN156" s="640"/>
      <c r="BO156" s="720"/>
      <c r="BP156" s="345"/>
      <c r="BQ156" s="345"/>
      <c r="BR156" s="345"/>
      <c r="BS156" s="345"/>
      <c r="BT156" s="345"/>
      <c r="BU156" s="345"/>
      <c r="BV156" s="345"/>
    </row>
    <row r="157" spans="8:74" x14ac:dyDescent="0.2">
      <c r="H157" s="286"/>
      <c r="I157" s="292"/>
      <c r="L157" s="292"/>
      <c r="M157" s="292"/>
      <c r="N157" s="292"/>
      <c r="O157" s="292"/>
      <c r="P157" s="292"/>
      <c r="Q157" s="292"/>
      <c r="R157" s="292"/>
      <c r="S157" s="292"/>
      <c r="W157" s="345"/>
      <c r="X157" s="345"/>
      <c r="Y157" s="345"/>
      <c r="Z157" s="345"/>
      <c r="AB157" s="345"/>
      <c r="AC157" s="345"/>
      <c r="AD157" s="345"/>
      <c r="AE157" s="345"/>
      <c r="AF157" s="683"/>
      <c r="AG157" s="345"/>
      <c r="AH157" s="345"/>
      <c r="AI157" s="345"/>
      <c r="AK157" s="345"/>
      <c r="AL157" s="345"/>
      <c r="AM157" s="345"/>
      <c r="AN157" s="345"/>
      <c r="AO157" s="345"/>
      <c r="AP157" s="345"/>
      <c r="AQ157" s="345"/>
      <c r="AR157" s="345"/>
      <c r="AT157" s="345"/>
      <c r="AU157" s="345"/>
      <c r="AV157" s="345"/>
      <c r="AW157" s="345"/>
      <c r="AX157" s="345"/>
      <c r="AY157" s="345"/>
      <c r="AZ157" s="345"/>
      <c r="BA157" s="345"/>
      <c r="BB157" s="345"/>
      <c r="BC157" s="345"/>
      <c r="BD157" s="345"/>
      <c r="BE157" s="345"/>
      <c r="BF157" s="345"/>
      <c r="BG157" s="345"/>
      <c r="BH157" s="345"/>
      <c r="BI157" s="345"/>
      <c r="BK157" s="684"/>
      <c r="BL157" s="685"/>
      <c r="BM157" s="685"/>
      <c r="BN157" s="640"/>
      <c r="BO157" s="720"/>
      <c r="BP157" s="345"/>
      <c r="BQ157" s="345"/>
      <c r="BR157" s="345"/>
      <c r="BS157" s="345"/>
      <c r="BT157" s="345"/>
      <c r="BU157" s="345"/>
      <c r="BV157" s="345"/>
    </row>
    <row r="158" spans="8:74" x14ac:dyDescent="0.2">
      <c r="H158" s="286"/>
      <c r="I158" s="292"/>
      <c r="L158" s="292"/>
      <c r="M158" s="292"/>
      <c r="N158" s="292"/>
      <c r="O158" s="292"/>
      <c r="P158" s="292"/>
      <c r="Q158" s="292"/>
      <c r="R158" s="292"/>
      <c r="S158" s="292"/>
      <c r="W158" s="345"/>
      <c r="X158" s="345"/>
      <c r="Y158" s="345"/>
      <c r="Z158" s="345"/>
      <c r="AB158" s="345"/>
      <c r="AC158" s="345"/>
      <c r="AD158" s="345"/>
      <c r="AE158" s="345"/>
      <c r="AF158" s="683"/>
      <c r="AG158" s="345"/>
      <c r="AH158" s="345"/>
      <c r="AI158" s="345"/>
      <c r="AK158" s="345"/>
      <c r="AL158" s="345"/>
      <c r="AM158" s="345"/>
      <c r="AN158" s="345"/>
      <c r="AO158" s="345"/>
      <c r="AP158" s="345"/>
      <c r="AQ158" s="345"/>
      <c r="AR158" s="345"/>
      <c r="AT158" s="345"/>
      <c r="AU158" s="345"/>
      <c r="AV158" s="345"/>
      <c r="AW158" s="345"/>
      <c r="AX158" s="345"/>
      <c r="AY158" s="345"/>
      <c r="AZ158" s="345"/>
      <c r="BA158" s="345"/>
      <c r="BB158" s="345"/>
      <c r="BC158" s="345"/>
      <c r="BD158" s="345"/>
      <c r="BE158" s="345"/>
      <c r="BF158" s="345"/>
      <c r="BG158" s="345"/>
      <c r="BH158" s="345"/>
      <c r="BI158" s="345"/>
      <c r="BK158" s="684"/>
      <c r="BL158" s="685"/>
      <c r="BM158" s="685"/>
      <c r="BN158" s="640"/>
      <c r="BO158" s="720"/>
      <c r="BP158" s="345"/>
      <c r="BQ158" s="345"/>
      <c r="BR158" s="345"/>
      <c r="BS158" s="345"/>
      <c r="BT158" s="345"/>
      <c r="BU158" s="345"/>
      <c r="BV158" s="345"/>
    </row>
    <row r="159" spans="8:74" x14ac:dyDescent="0.2">
      <c r="H159" s="286"/>
      <c r="I159" s="292"/>
      <c r="L159" s="292"/>
      <c r="M159" s="292"/>
      <c r="N159" s="292"/>
      <c r="O159" s="292"/>
      <c r="P159" s="292"/>
      <c r="Q159" s="292"/>
      <c r="R159" s="292"/>
      <c r="S159" s="292"/>
      <c r="W159" s="345"/>
      <c r="X159" s="345"/>
      <c r="Y159" s="345"/>
      <c r="Z159" s="345"/>
      <c r="AB159" s="345"/>
      <c r="AC159" s="345"/>
      <c r="AD159" s="345"/>
      <c r="AE159" s="345"/>
      <c r="AF159" s="683"/>
      <c r="AG159" s="345"/>
      <c r="AH159" s="345"/>
      <c r="AI159" s="345"/>
      <c r="AK159" s="345"/>
      <c r="AL159" s="345"/>
      <c r="AM159" s="345"/>
      <c r="AN159" s="345"/>
      <c r="AO159" s="345"/>
      <c r="AP159" s="345"/>
      <c r="AQ159" s="345"/>
      <c r="AR159" s="345"/>
      <c r="AT159" s="345"/>
      <c r="AU159" s="345"/>
      <c r="AV159" s="345"/>
      <c r="AW159" s="345"/>
      <c r="AX159" s="345"/>
      <c r="AY159" s="345"/>
      <c r="AZ159" s="345"/>
      <c r="BA159" s="345"/>
      <c r="BB159" s="345"/>
      <c r="BC159" s="345"/>
      <c r="BD159" s="345"/>
      <c r="BE159" s="345"/>
      <c r="BF159" s="345"/>
      <c r="BG159" s="345"/>
      <c r="BH159" s="345"/>
      <c r="BI159" s="345"/>
      <c r="BK159" s="684"/>
      <c r="BL159" s="685"/>
      <c r="BM159" s="685"/>
      <c r="BN159" s="640"/>
      <c r="BO159" s="720"/>
      <c r="BP159" s="345"/>
      <c r="BQ159" s="345"/>
      <c r="BR159" s="345"/>
      <c r="BS159" s="345"/>
      <c r="BT159" s="345"/>
      <c r="BU159" s="345"/>
      <c r="BV159" s="345"/>
    </row>
    <row r="160" spans="8:74" x14ac:dyDescent="0.2">
      <c r="H160" s="286"/>
      <c r="I160" s="292"/>
      <c r="L160" s="292"/>
      <c r="M160" s="292"/>
      <c r="N160" s="292"/>
      <c r="O160" s="292"/>
      <c r="P160" s="292"/>
      <c r="Q160" s="292"/>
      <c r="R160" s="292"/>
      <c r="S160" s="292"/>
      <c r="W160" s="345"/>
      <c r="X160" s="345"/>
      <c r="Y160" s="345"/>
      <c r="Z160" s="345"/>
      <c r="AB160" s="345"/>
      <c r="AC160" s="345"/>
      <c r="AD160" s="345"/>
      <c r="AE160" s="345"/>
      <c r="AF160" s="683"/>
      <c r="AG160" s="345"/>
      <c r="AH160" s="345"/>
      <c r="AI160" s="345"/>
      <c r="AK160" s="345"/>
      <c r="AL160" s="345"/>
      <c r="AM160" s="345"/>
      <c r="AN160" s="345"/>
      <c r="AO160" s="345"/>
      <c r="AP160" s="345"/>
      <c r="AQ160" s="345"/>
      <c r="AR160" s="345"/>
      <c r="AT160" s="345"/>
      <c r="AU160" s="345"/>
      <c r="AV160" s="345"/>
      <c r="AW160" s="345"/>
      <c r="AX160" s="345"/>
      <c r="AY160" s="345"/>
      <c r="AZ160" s="345"/>
      <c r="BA160" s="345"/>
      <c r="BB160" s="345"/>
      <c r="BC160" s="345"/>
      <c r="BD160" s="345"/>
      <c r="BE160" s="345"/>
      <c r="BF160" s="345"/>
      <c r="BG160" s="345"/>
      <c r="BH160" s="345"/>
      <c r="BI160" s="345"/>
      <c r="BK160" s="684"/>
      <c r="BL160" s="685"/>
      <c r="BM160" s="685"/>
      <c r="BN160" s="640"/>
      <c r="BO160" s="720"/>
      <c r="BP160" s="345"/>
      <c r="BQ160" s="345"/>
      <c r="BR160" s="345"/>
      <c r="BS160" s="345"/>
      <c r="BT160" s="345"/>
      <c r="BU160" s="345"/>
      <c r="BV160" s="345"/>
    </row>
    <row r="161" spans="8:74" x14ac:dyDescent="0.2">
      <c r="H161" s="286"/>
      <c r="I161" s="292"/>
      <c r="L161" s="292"/>
      <c r="M161" s="292"/>
      <c r="N161" s="292"/>
      <c r="O161" s="292"/>
      <c r="P161" s="292"/>
      <c r="Q161" s="292"/>
      <c r="R161" s="292"/>
      <c r="S161" s="292"/>
      <c r="W161" s="345"/>
      <c r="X161" s="345"/>
      <c r="Y161" s="345"/>
      <c r="Z161" s="345"/>
      <c r="AB161" s="345"/>
      <c r="AC161" s="345"/>
      <c r="AD161" s="345"/>
      <c r="AE161" s="345"/>
      <c r="AF161" s="683"/>
      <c r="AG161" s="345"/>
      <c r="AH161" s="345"/>
      <c r="AI161" s="345"/>
      <c r="AK161" s="345"/>
      <c r="AL161" s="345"/>
      <c r="AM161" s="345"/>
      <c r="AN161" s="345"/>
      <c r="AO161" s="345"/>
      <c r="AP161" s="345"/>
      <c r="AQ161" s="345"/>
      <c r="AR161" s="345"/>
      <c r="AT161" s="345"/>
      <c r="AU161" s="345"/>
      <c r="AV161" s="345"/>
      <c r="AW161" s="345"/>
      <c r="AX161" s="345"/>
      <c r="AY161" s="345"/>
      <c r="AZ161" s="345"/>
      <c r="BA161" s="345"/>
      <c r="BB161" s="345"/>
      <c r="BC161" s="345"/>
      <c r="BD161" s="345"/>
      <c r="BE161" s="345"/>
      <c r="BF161" s="345"/>
      <c r="BG161" s="345"/>
      <c r="BH161" s="345"/>
      <c r="BI161" s="345"/>
      <c r="BK161" s="684"/>
      <c r="BL161" s="685"/>
      <c r="BM161" s="685"/>
      <c r="BN161" s="640"/>
      <c r="BO161" s="720"/>
      <c r="BP161" s="345"/>
      <c r="BQ161" s="345"/>
      <c r="BR161" s="345"/>
      <c r="BS161" s="345"/>
      <c r="BT161" s="345"/>
      <c r="BU161" s="345"/>
      <c r="BV161" s="345"/>
    </row>
    <row r="162" spans="8:74" x14ac:dyDescent="0.2">
      <c r="H162" s="286"/>
      <c r="I162" s="292"/>
      <c r="L162" s="292"/>
      <c r="M162" s="292"/>
      <c r="N162" s="292"/>
      <c r="O162" s="292"/>
      <c r="P162" s="292"/>
      <c r="Q162" s="292"/>
      <c r="R162" s="292"/>
      <c r="S162" s="292"/>
      <c r="W162" s="345"/>
      <c r="X162" s="345"/>
      <c r="Y162" s="345"/>
      <c r="Z162" s="345"/>
      <c r="AB162" s="345"/>
      <c r="AC162" s="345"/>
      <c r="AD162" s="345"/>
      <c r="AE162" s="345"/>
      <c r="AF162" s="683"/>
      <c r="AG162" s="345"/>
      <c r="AH162" s="345"/>
      <c r="AI162" s="345"/>
      <c r="AK162" s="345"/>
      <c r="AL162" s="345"/>
      <c r="AM162" s="345"/>
      <c r="AN162" s="345"/>
      <c r="AO162" s="345"/>
      <c r="AP162" s="345"/>
      <c r="AQ162" s="345"/>
      <c r="AR162" s="345"/>
      <c r="AT162" s="345"/>
      <c r="AU162" s="345"/>
      <c r="AV162" s="345"/>
      <c r="AW162" s="345"/>
      <c r="AX162" s="345"/>
      <c r="AY162" s="345"/>
      <c r="AZ162" s="345"/>
      <c r="BA162" s="345"/>
      <c r="BB162" s="345"/>
      <c r="BC162" s="345"/>
      <c r="BD162" s="345"/>
      <c r="BE162" s="345"/>
      <c r="BF162" s="345"/>
      <c r="BG162" s="345"/>
      <c r="BH162" s="345"/>
      <c r="BI162" s="345"/>
      <c r="BK162" s="684"/>
      <c r="BL162" s="685"/>
      <c r="BM162" s="685"/>
      <c r="BN162" s="640"/>
      <c r="BO162" s="720"/>
      <c r="BP162" s="345"/>
      <c r="BQ162" s="345"/>
      <c r="BR162" s="345"/>
      <c r="BS162" s="345"/>
      <c r="BT162" s="345"/>
      <c r="BU162" s="345"/>
      <c r="BV162" s="345"/>
    </row>
    <row r="163" spans="8:74" x14ac:dyDescent="0.2">
      <c r="H163" s="286"/>
      <c r="I163" s="292"/>
      <c r="L163" s="292"/>
      <c r="M163" s="292"/>
      <c r="N163" s="292"/>
      <c r="O163" s="292"/>
      <c r="P163" s="292"/>
      <c r="Q163" s="292"/>
      <c r="R163" s="292"/>
      <c r="S163" s="292"/>
      <c r="W163" s="345"/>
      <c r="X163" s="345"/>
      <c r="Y163" s="345"/>
      <c r="Z163" s="345"/>
      <c r="AB163" s="345"/>
      <c r="AC163" s="345"/>
      <c r="AD163" s="345"/>
      <c r="AE163" s="345"/>
      <c r="AF163" s="683"/>
      <c r="AG163" s="345"/>
      <c r="AH163" s="345"/>
      <c r="AI163" s="345"/>
      <c r="AK163" s="345"/>
      <c r="AL163" s="345"/>
      <c r="AM163" s="345"/>
      <c r="AN163" s="345"/>
      <c r="AO163" s="345"/>
      <c r="AP163" s="345"/>
      <c r="AQ163" s="345"/>
      <c r="AR163" s="345"/>
      <c r="AT163" s="345"/>
      <c r="AU163" s="345"/>
      <c r="AV163" s="345"/>
      <c r="AW163" s="345"/>
      <c r="AX163" s="345"/>
      <c r="AY163" s="345"/>
      <c r="AZ163" s="345"/>
      <c r="BA163" s="345"/>
      <c r="BB163" s="345"/>
      <c r="BC163" s="345"/>
      <c r="BD163" s="345"/>
      <c r="BE163" s="345"/>
      <c r="BF163" s="345"/>
      <c r="BG163" s="345"/>
      <c r="BH163" s="345"/>
      <c r="BI163" s="345"/>
      <c r="BK163" s="684"/>
      <c r="BL163" s="685"/>
      <c r="BM163" s="685"/>
      <c r="BN163" s="640"/>
      <c r="BO163" s="720"/>
      <c r="BP163" s="345"/>
      <c r="BQ163" s="345"/>
      <c r="BR163" s="345"/>
      <c r="BS163" s="345"/>
      <c r="BT163" s="345"/>
      <c r="BU163" s="345"/>
      <c r="BV163" s="345"/>
    </row>
    <row r="164" spans="8:74" x14ac:dyDescent="0.2">
      <c r="H164" s="286"/>
      <c r="I164" s="292"/>
      <c r="L164" s="292"/>
      <c r="M164" s="292"/>
      <c r="N164" s="292"/>
      <c r="O164" s="292"/>
      <c r="P164" s="292"/>
      <c r="Q164" s="292"/>
      <c r="R164" s="292"/>
      <c r="S164" s="292"/>
      <c r="W164" s="345"/>
      <c r="X164" s="345"/>
      <c r="Y164" s="345"/>
      <c r="Z164" s="345"/>
      <c r="AB164" s="345"/>
      <c r="AC164" s="345"/>
      <c r="AD164" s="345"/>
      <c r="AE164" s="345"/>
      <c r="AF164" s="683"/>
      <c r="AG164" s="345"/>
      <c r="AH164" s="345"/>
      <c r="AI164" s="345"/>
      <c r="AK164" s="345"/>
      <c r="AL164" s="345"/>
      <c r="AM164" s="345"/>
      <c r="AN164" s="345"/>
      <c r="AO164" s="345"/>
      <c r="AP164" s="345"/>
      <c r="AQ164" s="345"/>
      <c r="AR164" s="345"/>
      <c r="AT164" s="345"/>
      <c r="AU164" s="345"/>
      <c r="AV164" s="345"/>
      <c r="AW164" s="345"/>
      <c r="AX164" s="345"/>
      <c r="AY164" s="345"/>
      <c r="AZ164" s="345"/>
      <c r="BA164" s="345"/>
      <c r="BB164" s="345"/>
      <c r="BC164" s="345"/>
      <c r="BD164" s="345"/>
      <c r="BE164" s="345"/>
      <c r="BF164" s="345"/>
      <c r="BG164" s="345"/>
      <c r="BH164" s="345"/>
      <c r="BI164" s="345"/>
      <c r="BK164" s="684"/>
      <c r="BL164" s="685"/>
      <c r="BM164" s="685"/>
      <c r="BN164" s="640"/>
      <c r="BO164" s="720"/>
      <c r="BP164" s="345"/>
      <c r="BQ164" s="345"/>
      <c r="BR164" s="345"/>
      <c r="BS164" s="345"/>
      <c r="BT164" s="345"/>
      <c r="BU164" s="345"/>
      <c r="BV164" s="345"/>
    </row>
    <row r="165" spans="8:74" x14ac:dyDescent="0.2">
      <c r="H165" s="286"/>
      <c r="I165" s="292"/>
      <c r="L165" s="292"/>
      <c r="M165" s="292"/>
      <c r="N165" s="292"/>
      <c r="O165" s="292"/>
      <c r="P165" s="292"/>
      <c r="Q165" s="292"/>
      <c r="R165" s="292"/>
      <c r="S165" s="292"/>
      <c r="W165" s="345"/>
      <c r="X165" s="345"/>
      <c r="Y165" s="345"/>
      <c r="Z165" s="345"/>
      <c r="AB165" s="345"/>
      <c r="AC165" s="345"/>
      <c r="AD165" s="345"/>
      <c r="AE165" s="345"/>
      <c r="AF165" s="683"/>
      <c r="AG165" s="345"/>
      <c r="AH165" s="345"/>
      <c r="AI165" s="345"/>
      <c r="AK165" s="345"/>
      <c r="AL165" s="345"/>
      <c r="AM165" s="345"/>
      <c r="AN165" s="345"/>
      <c r="AO165" s="345"/>
      <c r="AP165" s="345"/>
      <c r="AQ165" s="345"/>
      <c r="AR165" s="345"/>
      <c r="AT165" s="345"/>
      <c r="AU165" s="345"/>
      <c r="AV165" s="345"/>
      <c r="AW165" s="345"/>
      <c r="AX165" s="345"/>
      <c r="AY165" s="345"/>
      <c r="AZ165" s="345"/>
      <c r="BA165" s="345"/>
      <c r="BB165" s="345"/>
      <c r="BC165" s="345"/>
      <c r="BD165" s="345"/>
      <c r="BE165" s="345"/>
      <c r="BF165" s="345"/>
      <c r="BG165" s="345"/>
      <c r="BH165" s="345"/>
      <c r="BI165" s="345"/>
      <c r="BK165" s="684"/>
      <c r="BL165" s="685"/>
      <c r="BM165" s="685"/>
      <c r="BN165" s="640"/>
      <c r="BO165" s="720"/>
      <c r="BP165" s="345"/>
      <c r="BQ165" s="345"/>
      <c r="BR165" s="345"/>
      <c r="BS165" s="345"/>
      <c r="BT165" s="345"/>
      <c r="BU165" s="345"/>
      <c r="BV165" s="345"/>
    </row>
    <row r="166" spans="8:74" x14ac:dyDescent="0.2">
      <c r="H166" s="286"/>
      <c r="I166" s="292"/>
      <c r="L166" s="292"/>
      <c r="M166" s="292"/>
      <c r="N166" s="292"/>
      <c r="O166" s="292"/>
      <c r="P166" s="292"/>
      <c r="Q166" s="292"/>
      <c r="R166" s="292"/>
      <c r="S166" s="292"/>
      <c r="W166" s="345"/>
      <c r="X166" s="345"/>
      <c r="Y166" s="345"/>
      <c r="Z166" s="345"/>
      <c r="AB166" s="345"/>
      <c r="AC166" s="345"/>
      <c r="AD166" s="345"/>
      <c r="AE166" s="345"/>
      <c r="AF166" s="683"/>
      <c r="AG166" s="345"/>
      <c r="AH166" s="345"/>
      <c r="AI166" s="345"/>
      <c r="AK166" s="345"/>
      <c r="AL166" s="345"/>
      <c r="AM166" s="345"/>
      <c r="AN166" s="345"/>
      <c r="AO166" s="345"/>
      <c r="AP166" s="345"/>
      <c r="AQ166" s="345"/>
      <c r="AR166" s="345"/>
      <c r="AT166" s="345"/>
      <c r="AU166" s="345"/>
      <c r="AV166" s="345"/>
      <c r="AW166" s="345"/>
      <c r="AX166" s="345"/>
      <c r="AY166" s="345"/>
      <c r="AZ166" s="345"/>
      <c r="BA166" s="345"/>
      <c r="BB166" s="345"/>
      <c r="BC166" s="345"/>
      <c r="BD166" s="345"/>
      <c r="BE166" s="345"/>
      <c r="BF166" s="345"/>
      <c r="BG166" s="345"/>
      <c r="BH166" s="345"/>
      <c r="BI166" s="345"/>
      <c r="BK166" s="684"/>
      <c r="BL166" s="685"/>
      <c r="BM166" s="685"/>
      <c r="BN166" s="640"/>
      <c r="BO166" s="720"/>
      <c r="BP166" s="345"/>
      <c r="BQ166" s="345"/>
      <c r="BR166" s="345"/>
      <c r="BS166" s="345"/>
      <c r="BT166" s="345"/>
      <c r="BU166" s="345"/>
      <c r="BV166" s="345"/>
    </row>
    <row r="167" spans="8:74" x14ac:dyDescent="0.2">
      <c r="H167" s="286"/>
      <c r="I167" s="292"/>
      <c r="L167" s="292"/>
      <c r="M167" s="292"/>
      <c r="N167" s="292"/>
      <c r="O167" s="292"/>
      <c r="P167" s="292"/>
      <c r="Q167" s="292"/>
      <c r="R167" s="292"/>
      <c r="S167" s="292"/>
      <c r="W167" s="345"/>
      <c r="X167" s="345"/>
      <c r="Y167" s="345"/>
      <c r="Z167" s="345"/>
      <c r="AB167" s="345"/>
      <c r="AC167" s="345"/>
      <c r="AD167" s="345"/>
      <c r="AE167" s="345"/>
      <c r="AF167" s="683"/>
      <c r="AG167" s="345"/>
      <c r="AH167" s="345"/>
      <c r="AI167" s="345"/>
      <c r="AK167" s="345"/>
      <c r="AL167" s="345"/>
      <c r="AM167" s="345"/>
      <c r="AN167" s="345"/>
      <c r="AO167" s="345"/>
      <c r="AP167" s="345"/>
      <c r="AQ167" s="345"/>
      <c r="AR167" s="345"/>
      <c r="AT167" s="345"/>
      <c r="AU167" s="345"/>
      <c r="AV167" s="345"/>
      <c r="AW167" s="345"/>
      <c r="AX167" s="345"/>
      <c r="AY167" s="345"/>
      <c r="AZ167" s="345"/>
      <c r="BA167" s="345"/>
      <c r="BB167" s="345"/>
      <c r="BC167" s="345"/>
      <c r="BD167" s="345"/>
      <c r="BE167" s="345"/>
      <c r="BF167" s="345"/>
      <c r="BG167" s="345"/>
      <c r="BH167" s="345"/>
      <c r="BI167" s="345"/>
      <c r="BK167" s="684"/>
      <c r="BL167" s="685"/>
      <c r="BM167" s="685"/>
      <c r="BN167" s="640"/>
      <c r="BO167" s="720"/>
      <c r="BP167" s="345"/>
      <c r="BQ167" s="345"/>
      <c r="BR167" s="345"/>
      <c r="BS167" s="345"/>
      <c r="BT167" s="345"/>
      <c r="BU167" s="345"/>
      <c r="BV167" s="345"/>
    </row>
    <row r="168" spans="8:74" x14ac:dyDescent="0.2">
      <c r="H168" s="286"/>
      <c r="I168" s="292"/>
      <c r="L168" s="292"/>
      <c r="M168" s="292"/>
      <c r="N168" s="292"/>
      <c r="O168" s="292"/>
      <c r="P168" s="292"/>
      <c r="Q168" s="292"/>
      <c r="R168" s="292"/>
      <c r="S168" s="292"/>
      <c r="W168" s="345"/>
      <c r="X168" s="345"/>
      <c r="Y168" s="345"/>
      <c r="Z168" s="345"/>
      <c r="AB168" s="345"/>
      <c r="AC168" s="345"/>
      <c r="AD168" s="345"/>
      <c r="AE168" s="345"/>
      <c r="AF168" s="683"/>
      <c r="AG168" s="345"/>
      <c r="AH168" s="345"/>
      <c r="AI168" s="345"/>
      <c r="AK168" s="345"/>
      <c r="AL168" s="345"/>
      <c r="AM168" s="345"/>
      <c r="AN168" s="345"/>
      <c r="AO168" s="345"/>
      <c r="AP168" s="345"/>
      <c r="AQ168" s="345"/>
      <c r="AR168" s="345"/>
      <c r="AT168" s="345"/>
      <c r="AU168" s="345"/>
      <c r="AV168" s="345"/>
      <c r="AW168" s="345"/>
      <c r="AX168" s="345"/>
      <c r="AY168" s="345"/>
      <c r="AZ168" s="345"/>
      <c r="BA168" s="345"/>
      <c r="BB168" s="345"/>
      <c r="BC168" s="345"/>
      <c r="BD168" s="345"/>
      <c r="BE168" s="345"/>
      <c r="BF168" s="345"/>
      <c r="BG168" s="345"/>
      <c r="BH168" s="345"/>
      <c r="BI168" s="345"/>
      <c r="BK168" s="684"/>
      <c r="BL168" s="685"/>
      <c r="BM168" s="685"/>
      <c r="BN168" s="640"/>
      <c r="BO168" s="720"/>
      <c r="BP168" s="345"/>
      <c r="BQ168" s="345"/>
      <c r="BR168" s="345"/>
      <c r="BS168" s="345"/>
      <c r="BT168" s="345"/>
      <c r="BU168" s="345"/>
      <c r="BV168" s="345"/>
    </row>
    <row r="169" spans="8:74" x14ac:dyDescent="0.2">
      <c r="H169" s="286"/>
      <c r="I169" s="292"/>
      <c r="L169" s="292"/>
      <c r="M169" s="292"/>
      <c r="N169" s="292"/>
      <c r="O169" s="292"/>
      <c r="P169" s="292"/>
      <c r="Q169" s="292"/>
      <c r="R169" s="292"/>
      <c r="S169" s="292"/>
      <c r="W169" s="345"/>
      <c r="X169" s="345"/>
      <c r="Y169" s="345"/>
      <c r="Z169" s="345"/>
      <c r="AB169" s="345"/>
      <c r="AC169" s="345"/>
      <c r="AD169" s="345"/>
      <c r="AE169" s="345"/>
      <c r="AF169" s="683"/>
      <c r="AG169" s="345"/>
      <c r="AH169" s="345"/>
      <c r="AI169" s="345"/>
      <c r="AK169" s="345"/>
      <c r="AL169" s="345"/>
      <c r="AM169" s="345"/>
      <c r="AN169" s="345"/>
      <c r="AO169" s="345"/>
      <c r="AP169" s="345"/>
      <c r="AQ169" s="345"/>
      <c r="AR169" s="345"/>
      <c r="AT169" s="345"/>
      <c r="AU169" s="345"/>
      <c r="AV169" s="345"/>
      <c r="AW169" s="345"/>
      <c r="AX169" s="345"/>
      <c r="AY169" s="345"/>
      <c r="AZ169" s="345"/>
      <c r="BA169" s="345"/>
      <c r="BB169" s="345"/>
      <c r="BC169" s="345"/>
      <c r="BD169" s="345"/>
      <c r="BE169" s="345"/>
      <c r="BF169" s="345"/>
      <c r="BG169" s="345"/>
      <c r="BH169" s="345"/>
      <c r="BI169" s="345"/>
      <c r="BK169" s="684"/>
      <c r="BL169" s="685"/>
      <c r="BM169" s="685"/>
      <c r="BN169" s="640"/>
      <c r="BO169" s="720"/>
      <c r="BP169" s="345"/>
      <c r="BQ169" s="345"/>
      <c r="BR169" s="345"/>
      <c r="BS169" s="345"/>
      <c r="BT169" s="345"/>
      <c r="BU169" s="345"/>
      <c r="BV169" s="345"/>
    </row>
    <row r="170" spans="8:74" x14ac:dyDescent="0.2">
      <c r="H170" s="286"/>
      <c r="I170" s="292"/>
      <c r="L170" s="292"/>
      <c r="M170" s="292"/>
      <c r="N170" s="292"/>
      <c r="O170" s="292"/>
      <c r="P170" s="292"/>
      <c r="Q170" s="292"/>
      <c r="R170" s="292"/>
      <c r="S170" s="292"/>
      <c r="W170" s="345"/>
      <c r="X170" s="345"/>
      <c r="Y170" s="345"/>
      <c r="Z170" s="345"/>
      <c r="AB170" s="345"/>
      <c r="AC170" s="345"/>
      <c r="AD170" s="345"/>
      <c r="AE170" s="345"/>
      <c r="AF170" s="683"/>
      <c r="AG170" s="345"/>
      <c r="AH170" s="345"/>
      <c r="AI170" s="345"/>
      <c r="AK170" s="345"/>
      <c r="AL170" s="345"/>
      <c r="AM170" s="345"/>
      <c r="AN170" s="345"/>
      <c r="AO170" s="345"/>
      <c r="AP170" s="345"/>
      <c r="AQ170" s="345"/>
      <c r="AR170" s="345"/>
      <c r="AT170" s="345"/>
      <c r="AU170" s="345"/>
      <c r="AV170" s="345"/>
      <c r="AW170" s="345"/>
      <c r="AX170" s="345"/>
      <c r="AY170" s="345"/>
      <c r="AZ170" s="345"/>
      <c r="BA170" s="345"/>
      <c r="BB170" s="345"/>
      <c r="BC170" s="345"/>
      <c r="BD170" s="345"/>
      <c r="BE170" s="345"/>
      <c r="BF170" s="345"/>
      <c r="BG170" s="345"/>
      <c r="BH170" s="345"/>
      <c r="BI170" s="345"/>
      <c r="BK170" s="684"/>
      <c r="BL170" s="685"/>
      <c r="BM170" s="685"/>
      <c r="BN170" s="640"/>
      <c r="BO170" s="720"/>
      <c r="BP170" s="345"/>
      <c r="BQ170" s="345"/>
      <c r="BR170" s="345"/>
      <c r="BS170" s="345"/>
      <c r="BT170" s="345"/>
      <c r="BU170" s="345"/>
      <c r="BV170" s="345"/>
    </row>
    <row r="171" spans="8:74" x14ac:dyDescent="0.2">
      <c r="H171" s="286"/>
      <c r="I171" s="292"/>
      <c r="L171" s="292"/>
      <c r="M171" s="292"/>
      <c r="N171" s="292"/>
      <c r="O171" s="292"/>
      <c r="P171" s="292"/>
      <c r="Q171" s="292"/>
      <c r="R171" s="292"/>
      <c r="S171" s="292"/>
      <c r="W171" s="345"/>
      <c r="X171" s="345"/>
      <c r="Y171" s="345"/>
      <c r="Z171" s="345"/>
      <c r="AB171" s="345"/>
      <c r="AC171" s="345"/>
      <c r="AD171" s="345"/>
      <c r="AE171" s="345"/>
      <c r="AF171" s="683"/>
      <c r="AG171" s="345"/>
      <c r="AH171" s="345"/>
      <c r="AI171" s="345"/>
      <c r="AK171" s="345"/>
      <c r="AL171" s="345"/>
      <c r="AM171" s="345"/>
      <c r="AN171" s="345"/>
      <c r="AO171" s="345"/>
      <c r="AP171" s="345"/>
      <c r="AQ171" s="345"/>
      <c r="AR171" s="345"/>
      <c r="AT171" s="345"/>
      <c r="AU171" s="345"/>
      <c r="AV171" s="345"/>
      <c r="AW171" s="345"/>
      <c r="AX171" s="345"/>
      <c r="AY171" s="345"/>
      <c r="AZ171" s="345"/>
      <c r="BA171" s="345"/>
      <c r="BB171" s="345"/>
      <c r="BC171" s="345"/>
      <c r="BD171" s="345"/>
      <c r="BE171" s="345"/>
      <c r="BF171" s="345"/>
      <c r="BG171" s="345"/>
      <c r="BH171" s="345"/>
      <c r="BI171" s="345"/>
      <c r="BK171" s="684"/>
      <c r="BL171" s="685"/>
      <c r="BM171" s="685"/>
      <c r="BN171" s="640"/>
      <c r="BO171" s="720"/>
      <c r="BP171" s="345"/>
      <c r="BQ171" s="345"/>
      <c r="BR171" s="345"/>
      <c r="BS171" s="345"/>
      <c r="BT171" s="345"/>
      <c r="BU171" s="345"/>
      <c r="BV171" s="345"/>
    </row>
    <row r="172" spans="8:74" x14ac:dyDescent="0.2">
      <c r="H172" s="286"/>
      <c r="I172" s="292"/>
      <c r="L172" s="292"/>
      <c r="M172" s="292"/>
      <c r="N172" s="292"/>
      <c r="O172" s="292"/>
      <c r="P172" s="292"/>
      <c r="Q172" s="292"/>
      <c r="R172" s="292"/>
      <c r="S172" s="292"/>
      <c r="W172" s="345"/>
      <c r="X172" s="345"/>
      <c r="Y172" s="345"/>
      <c r="Z172" s="345"/>
      <c r="AB172" s="345"/>
      <c r="AC172" s="345"/>
      <c r="AD172" s="345"/>
      <c r="AE172" s="345"/>
      <c r="AF172" s="683"/>
      <c r="AG172" s="345"/>
      <c r="AH172" s="345"/>
      <c r="AI172" s="345"/>
      <c r="AK172" s="345"/>
      <c r="AL172" s="345"/>
      <c r="AM172" s="345"/>
      <c r="AN172" s="345"/>
      <c r="AO172" s="345"/>
      <c r="AP172" s="345"/>
      <c r="AQ172" s="345"/>
      <c r="AR172" s="345"/>
      <c r="AT172" s="345"/>
      <c r="AU172" s="345"/>
      <c r="AV172" s="345"/>
      <c r="AW172" s="345"/>
      <c r="AX172" s="345"/>
      <c r="AY172" s="345"/>
      <c r="AZ172" s="345"/>
      <c r="BA172" s="345"/>
      <c r="BB172" s="345"/>
      <c r="BC172" s="345"/>
      <c r="BD172" s="345"/>
      <c r="BE172" s="345"/>
      <c r="BF172" s="345"/>
      <c r="BG172" s="345"/>
      <c r="BH172" s="345"/>
      <c r="BI172" s="345"/>
      <c r="BK172" s="684"/>
      <c r="BL172" s="685"/>
      <c r="BM172" s="685"/>
      <c r="BN172" s="640"/>
      <c r="BO172" s="720"/>
      <c r="BP172" s="345"/>
      <c r="BQ172" s="345"/>
      <c r="BR172" s="345"/>
      <c r="BS172" s="345"/>
      <c r="BT172" s="345"/>
      <c r="BU172" s="345"/>
      <c r="BV172" s="345"/>
    </row>
    <row r="173" spans="8:74" x14ac:dyDescent="0.2">
      <c r="H173" s="286"/>
      <c r="I173" s="292"/>
      <c r="L173" s="292"/>
      <c r="M173" s="292"/>
      <c r="N173" s="292"/>
      <c r="O173" s="292"/>
      <c r="P173" s="292"/>
      <c r="Q173" s="292"/>
      <c r="R173" s="292"/>
      <c r="S173" s="292"/>
      <c r="W173" s="345"/>
      <c r="X173" s="345"/>
      <c r="Y173" s="345"/>
      <c r="Z173" s="345"/>
      <c r="AB173" s="345"/>
      <c r="AC173" s="345"/>
      <c r="AD173" s="345"/>
      <c r="AE173" s="345"/>
      <c r="AF173" s="683"/>
      <c r="AG173" s="345"/>
      <c r="AH173" s="345"/>
      <c r="AI173" s="345"/>
      <c r="AK173" s="345"/>
      <c r="AL173" s="345"/>
      <c r="AM173" s="345"/>
      <c r="AN173" s="345"/>
      <c r="AO173" s="345"/>
      <c r="AP173" s="345"/>
      <c r="AQ173" s="345"/>
      <c r="AR173" s="345"/>
      <c r="AT173" s="345"/>
      <c r="AU173" s="345"/>
      <c r="AV173" s="345"/>
      <c r="AW173" s="345"/>
      <c r="AX173" s="345"/>
      <c r="AY173" s="345"/>
      <c r="AZ173" s="345"/>
      <c r="BA173" s="345"/>
      <c r="BB173" s="345"/>
      <c r="BC173" s="345"/>
      <c r="BD173" s="345"/>
      <c r="BE173" s="345"/>
      <c r="BF173" s="345"/>
      <c r="BG173" s="345"/>
      <c r="BH173" s="345"/>
      <c r="BI173" s="345"/>
      <c r="BK173" s="684"/>
      <c r="BL173" s="685"/>
      <c r="BM173" s="685"/>
      <c r="BN173" s="640"/>
      <c r="BO173" s="720"/>
      <c r="BP173" s="345"/>
      <c r="BQ173" s="345"/>
      <c r="BR173" s="345"/>
      <c r="BS173" s="345"/>
      <c r="BT173" s="345"/>
      <c r="BU173" s="345"/>
      <c r="BV173" s="345"/>
    </row>
    <row r="174" spans="8:74" x14ac:dyDescent="0.2">
      <c r="H174" s="286"/>
      <c r="I174" s="292"/>
      <c r="L174" s="292"/>
      <c r="M174" s="292"/>
      <c r="N174" s="292"/>
      <c r="O174" s="292"/>
      <c r="P174" s="292"/>
      <c r="Q174" s="292"/>
      <c r="R174" s="292"/>
      <c r="S174" s="292"/>
      <c r="W174" s="345"/>
      <c r="X174" s="345"/>
      <c r="Y174" s="345"/>
      <c r="Z174" s="345"/>
      <c r="AB174" s="345"/>
      <c r="AC174" s="345"/>
      <c r="AD174" s="345"/>
      <c r="AE174" s="345"/>
      <c r="AF174" s="683"/>
      <c r="AG174" s="345"/>
      <c r="AH174" s="345"/>
      <c r="AI174" s="345"/>
      <c r="AK174" s="345"/>
      <c r="AL174" s="345"/>
      <c r="AM174" s="345"/>
      <c r="AN174" s="345"/>
      <c r="AO174" s="345"/>
      <c r="AP174" s="345"/>
      <c r="AQ174" s="345"/>
      <c r="AR174" s="345"/>
      <c r="AT174" s="345"/>
      <c r="AU174" s="345"/>
      <c r="AV174" s="345"/>
      <c r="AW174" s="345"/>
      <c r="AX174" s="345"/>
      <c r="AY174" s="345"/>
      <c r="AZ174" s="345"/>
      <c r="BA174" s="345"/>
      <c r="BB174" s="345"/>
      <c r="BC174" s="345"/>
      <c r="BD174" s="345"/>
      <c r="BE174" s="345"/>
      <c r="BF174" s="345"/>
      <c r="BG174" s="345"/>
      <c r="BH174" s="345"/>
      <c r="BI174" s="345"/>
      <c r="BK174" s="684"/>
      <c r="BL174" s="685"/>
      <c r="BM174" s="685"/>
      <c r="BN174" s="640"/>
      <c r="BO174" s="720"/>
      <c r="BP174" s="345"/>
      <c r="BQ174" s="345"/>
      <c r="BR174" s="345"/>
      <c r="BS174" s="345"/>
      <c r="BT174" s="345"/>
      <c r="BU174" s="345"/>
      <c r="BV174" s="345"/>
    </row>
    <row r="175" spans="8:74" x14ac:dyDescent="0.2">
      <c r="H175" s="286"/>
      <c r="I175" s="292"/>
      <c r="L175" s="292"/>
      <c r="M175" s="292"/>
      <c r="N175" s="292"/>
      <c r="O175" s="292"/>
      <c r="P175" s="292"/>
      <c r="Q175" s="292"/>
      <c r="R175" s="292"/>
      <c r="S175" s="292"/>
      <c r="W175" s="345"/>
      <c r="X175" s="345"/>
      <c r="Y175" s="345"/>
      <c r="Z175" s="345"/>
      <c r="AB175" s="345"/>
      <c r="AC175" s="345"/>
      <c r="AD175" s="345"/>
      <c r="AE175" s="345"/>
      <c r="AF175" s="683"/>
      <c r="AG175" s="345"/>
      <c r="AH175" s="345"/>
      <c r="AI175" s="345"/>
      <c r="AK175" s="345"/>
      <c r="AL175" s="345"/>
      <c r="AM175" s="345"/>
      <c r="AN175" s="345"/>
      <c r="AO175" s="345"/>
      <c r="AP175" s="345"/>
      <c r="AQ175" s="345"/>
      <c r="AR175" s="345"/>
      <c r="AT175" s="345"/>
      <c r="AU175" s="345"/>
      <c r="AV175" s="345"/>
      <c r="AW175" s="345"/>
      <c r="AX175" s="345"/>
      <c r="AY175" s="345"/>
      <c r="AZ175" s="345"/>
      <c r="BA175" s="345"/>
      <c r="BB175" s="345"/>
      <c r="BC175" s="345"/>
      <c r="BD175" s="345"/>
      <c r="BE175" s="345"/>
      <c r="BF175" s="345"/>
      <c r="BG175" s="345"/>
      <c r="BH175" s="345"/>
      <c r="BI175" s="345"/>
      <c r="BK175" s="684"/>
      <c r="BL175" s="685"/>
      <c r="BM175" s="685"/>
      <c r="BN175" s="640"/>
      <c r="BO175" s="720"/>
      <c r="BP175" s="345"/>
      <c r="BQ175" s="345"/>
      <c r="BR175" s="345"/>
      <c r="BS175" s="345"/>
      <c r="BT175" s="345"/>
      <c r="BU175" s="345"/>
      <c r="BV175" s="345"/>
    </row>
    <row r="176" spans="8:74" x14ac:dyDescent="0.2">
      <c r="H176" s="286"/>
      <c r="I176" s="292"/>
      <c r="L176" s="292"/>
      <c r="M176" s="292"/>
      <c r="N176" s="292"/>
      <c r="O176" s="292"/>
      <c r="P176" s="292"/>
      <c r="Q176" s="292"/>
      <c r="R176" s="292"/>
      <c r="S176" s="292"/>
      <c r="W176" s="345"/>
      <c r="X176" s="345"/>
      <c r="Y176" s="345"/>
      <c r="Z176" s="345"/>
      <c r="AB176" s="345"/>
      <c r="AC176" s="345"/>
      <c r="AD176" s="345"/>
      <c r="AE176" s="345"/>
      <c r="AF176" s="683"/>
      <c r="AG176" s="345"/>
      <c r="AH176" s="345"/>
      <c r="AI176" s="345"/>
      <c r="AK176" s="345"/>
      <c r="AL176" s="345"/>
      <c r="AM176" s="345"/>
      <c r="AN176" s="345"/>
      <c r="AO176" s="345"/>
      <c r="AP176" s="345"/>
      <c r="AQ176" s="345"/>
      <c r="AR176" s="345"/>
      <c r="AT176" s="345"/>
      <c r="AU176" s="345"/>
      <c r="AV176" s="345"/>
      <c r="AW176" s="345"/>
      <c r="AX176" s="345"/>
      <c r="AY176" s="345"/>
      <c r="AZ176" s="345"/>
      <c r="BA176" s="345"/>
      <c r="BB176" s="345"/>
      <c r="BC176" s="345"/>
      <c r="BD176" s="345"/>
      <c r="BE176" s="345"/>
      <c r="BF176" s="345"/>
      <c r="BG176" s="345"/>
      <c r="BH176" s="345"/>
      <c r="BI176" s="345"/>
      <c r="BK176" s="684"/>
      <c r="BL176" s="685"/>
      <c r="BM176" s="685"/>
      <c r="BN176" s="640"/>
      <c r="BO176" s="720"/>
      <c r="BP176" s="345"/>
      <c r="BQ176" s="345"/>
      <c r="BR176" s="345"/>
      <c r="BS176" s="345"/>
      <c r="BT176" s="345"/>
      <c r="BU176" s="345"/>
      <c r="BV176" s="345"/>
    </row>
    <row r="177" spans="8:74" x14ac:dyDescent="0.2">
      <c r="H177" s="286"/>
      <c r="I177" s="292"/>
      <c r="L177" s="292"/>
      <c r="M177" s="292"/>
      <c r="N177" s="292"/>
      <c r="O177" s="292"/>
      <c r="P177" s="292"/>
      <c r="Q177" s="292"/>
      <c r="R177" s="292"/>
      <c r="S177" s="292"/>
      <c r="W177" s="345"/>
      <c r="X177" s="345"/>
      <c r="Y177" s="345"/>
      <c r="Z177" s="345"/>
      <c r="AB177" s="345"/>
      <c r="AC177" s="345"/>
      <c r="AD177" s="345"/>
      <c r="AE177" s="345"/>
      <c r="AF177" s="683"/>
      <c r="AG177" s="345"/>
      <c r="AH177" s="345"/>
      <c r="AI177" s="345"/>
      <c r="AK177" s="345"/>
      <c r="AL177" s="345"/>
      <c r="AM177" s="345"/>
      <c r="AN177" s="345"/>
      <c r="AO177" s="345"/>
      <c r="AP177" s="345"/>
      <c r="AQ177" s="345"/>
      <c r="AR177" s="345"/>
      <c r="AT177" s="345"/>
      <c r="AU177" s="345"/>
      <c r="AV177" s="345"/>
      <c r="AW177" s="345"/>
      <c r="AX177" s="345"/>
      <c r="AY177" s="345"/>
      <c r="AZ177" s="345"/>
      <c r="BA177" s="345"/>
      <c r="BB177" s="345"/>
      <c r="BC177" s="345"/>
      <c r="BD177" s="345"/>
      <c r="BE177" s="345"/>
      <c r="BF177" s="345"/>
      <c r="BG177" s="345"/>
      <c r="BH177" s="345"/>
      <c r="BI177" s="345"/>
      <c r="BK177" s="684"/>
      <c r="BL177" s="685"/>
      <c r="BM177" s="685"/>
      <c r="BN177" s="640"/>
      <c r="BO177" s="720"/>
      <c r="BP177" s="345"/>
      <c r="BQ177" s="345"/>
      <c r="BR177" s="345"/>
      <c r="BS177" s="345"/>
      <c r="BT177" s="345"/>
      <c r="BU177" s="345"/>
      <c r="BV177" s="345"/>
    </row>
    <row r="178" spans="8:74" x14ac:dyDescent="0.2">
      <c r="H178" s="286"/>
      <c r="I178" s="292"/>
      <c r="L178" s="292"/>
      <c r="M178" s="292"/>
      <c r="N178" s="292"/>
      <c r="O178" s="292"/>
      <c r="P178" s="292"/>
      <c r="Q178" s="292"/>
      <c r="R178" s="292"/>
      <c r="S178" s="292"/>
      <c r="W178" s="345"/>
      <c r="X178" s="345"/>
      <c r="Y178" s="345"/>
      <c r="Z178" s="345"/>
      <c r="AB178" s="345"/>
      <c r="AC178" s="345"/>
      <c r="AD178" s="345"/>
      <c r="AE178" s="345"/>
      <c r="AF178" s="683"/>
      <c r="AG178" s="345"/>
      <c r="AH178" s="345"/>
      <c r="AI178" s="345"/>
      <c r="AK178" s="345"/>
      <c r="AL178" s="345"/>
      <c r="AM178" s="345"/>
      <c r="AN178" s="345"/>
      <c r="AO178" s="345"/>
      <c r="AP178" s="345"/>
      <c r="AQ178" s="345"/>
      <c r="AR178" s="345"/>
      <c r="AT178" s="345"/>
      <c r="AU178" s="345"/>
      <c r="AV178" s="345"/>
      <c r="AW178" s="345"/>
      <c r="AX178" s="345"/>
      <c r="AY178" s="345"/>
      <c r="AZ178" s="345"/>
      <c r="BA178" s="345"/>
      <c r="BB178" s="345"/>
      <c r="BC178" s="345"/>
      <c r="BD178" s="345"/>
      <c r="BE178" s="345"/>
      <c r="BF178" s="345"/>
      <c r="BG178" s="345"/>
      <c r="BH178" s="345"/>
      <c r="BI178" s="345"/>
      <c r="BK178" s="684"/>
      <c r="BL178" s="685"/>
      <c r="BM178" s="685"/>
      <c r="BN178" s="640"/>
      <c r="BO178" s="720"/>
      <c r="BP178" s="345"/>
      <c r="BQ178" s="345"/>
      <c r="BR178" s="345"/>
      <c r="BS178" s="345"/>
      <c r="BT178" s="345"/>
      <c r="BU178" s="345"/>
      <c r="BV178" s="345"/>
    </row>
    <row r="179" spans="8:74" x14ac:dyDescent="0.2">
      <c r="H179" s="286"/>
      <c r="I179" s="292"/>
      <c r="L179" s="292"/>
      <c r="M179" s="292"/>
      <c r="N179" s="292"/>
      <c r="O179" s="292"/>
      <c r="P179" s="292"/>
      <c r="Q179" s="292"/>
      <c r="R179" s="292"/>
      <c r="S179" s="292"/>
      <c r="W179" s="345"/>
      <c r="X179" s="345"/>
      <c r="Y179" s="345"/>
      <c r="Z179" s="345"/>
      <c r="AB179" s="345"/>
      <c r="AC179" s="345"/>
      <c r="AD179" s="345"/>
      <c r="AE179" s="345"/>
      <c r="AF179" s="683"/>
      <c r="AG179" s="345"/>
      <c r="AH179" s="345"/>
      <c r="AI179" s="345"/>
      <c r="AK179" s="345"/>
      <c r="AL179" s="345"/>
      <c r="AM179" s="345"/>
      <c r="AN179" s="345"/>
      <c r="AO179" s="345"/>
      <c r="AP179" s="345"/>
      <c r="AQ179" s="345"/>
      <c r="AR179" s="345"/>
      <c r="AT179" s="345"/>
      <c r="AU179" s="345"/>
      <c r="AV179" s="345"/>
      <c r="AW179" s="345"/>
      <c r="AX179" s="345"/>
      <c r="AY179" s="345"/>
      <c r="AZ179" s="345"/>
      <c r="BA179" s="345"/>
      <c r="BB179" s="345"/>
      <c r="BC179" s="345"/>
      <c r="BD179" s="345"/>
      <c r="BE179" s="345"/>
      <c r="BF179" s="345"/>
      <c r="BG179" s="345"/>
      <c r="BH179" s="345"/>
      <c r="BI179" s="345"/>
      <c r="BK179" s="684"/>
      <c r="BL179" s="685"/>
      <c r="BM179" s="685"/>
      <c r="BN179" s="640"/>
      <c r="BO179" s="720"/>
      <c r="BP179" s="345"/>
      <c r="BQ179" s="345"/>
      <c r="BR179" s="345"/>
      <c r="BS179" s="345"/>
      <c r="BT179" s="345"/>
      <c r="BU179" s="345"/>
      <c r="BV179" s="345"/>
    </row>
    <row r="180" spans="8:74" x14ac:dyDescent="0.2">
      <c r="H180" s="286"/>
      <c r="I180" s="292"/>
      <c r="L180" s="292"/>
      <c r="M180" s="292"/>
      <c r="N180" s="292"/>
      <c r="O180" s="292"/>
      <c r="P180" s="292"/>
      <c r="Q180" s="292"/>
      <c r="R180" s="292"/>
      <c r="S180" s="292"/>
      <c r="W180" s="345"/>
      <c r="X180" s="345"/>
      <c r="Y180" s="345"/>
      <c r="Z180" s="345"/>
      <c r="AB180" s="345"/>
      <c r="AC180" s="345"/>
      <c r="AD180" s="345"/>
      <c r="AE180" s="345"/>
      <c r="AF180" s="683"/>
      <c r="AG180" s="345"/>
      <c r="AH180" s="345"/>
      <c r="AI180" s="345"/>
      <c r="AK180" s="345"/>
      <c r="AL180" s="345"/>
      <c r="AM180" s="345"/>
      <c r="AN180" s="345"/>
      <c r="AO180" s="345"/>
      <c r="AP180" s="345"/>
      <c r="AQ180" s="345"/>
      <c r="AR180" s="345"/>
      <c r="AT180" s="345"/>
      <c r="AU180" s="345"/>
      <c r="AV180" s="345"/>
      <c r="AW180" s="345"/>
      <c r="AX180" s="345"/>
      <c r="AY180" s="345"/>
      <c r="AZ180" s="345"/>
      <c r="BA180" s="345"/>
      <c r="BB180" s="345"/>
      <c r="BC180" s="345"/>
      <c r="BD180" s="345"/>
      <c r="BE180" s="345"/>
      <c r="BF180" s="345"/>
      <c r="BG180" s="345"/>
      <c r="BH180" s="345"/>
      <c r="BI180" s="345"/>
      <c r="BK180" s="684"/>
      <c r="BL180" s="685"/>
      <c r="BM180" s="685"/>
      <c r="BN180" s="640"/>
      <c r="BO180" s="720"/>
      <c r="BP180" s="345"/>
      <c r="BQ180" s="345"/>
      <c r="BR180" s="345"/>
      <c r="BS180" s="345"/>
      <c r="BT180" s="345"/>
      <c r="BU180" s="345"/>
      <c r="BV180" s="345"/>
    </row>
    <row r="181" spans="8:74" x14ac:dyDescent="0.2">
      <c r="H181" s="286"/>
      <c r="I181" s="292"/>
      <c r="L181" s="292"/>
      <c r="M181" s="292"/>
      <c r="N181" s="292"/>
      <c r="O181" s="292"/>
      <c r="P181" s="292"/>
      <c r="Q181" s="292"/>
      <c r="R181" s="292"/>
      <c r="S181" s="292"/>
      <c r="W181" s="345"/>
      <c r="X181" s="345"/>
      <c r="Y181" s="345"/>
      <c r="Z181" s="345"/>
      <c r="AB181" s="345"/>
      <c r="AC181" s="345"/>
      <c r="AD181" s="345"/>
      <c r="AE181" s="345"/>
      <c r="AF181" s="683"/>
      <c r="AG181" s="345"/>
      <c r="AH181" s="345"/>
      <c r="AI181" s="345"/>
      <c r="AK181" s="345"/>
      <c r="AL181" s="345"/>
      <c r="AM181" s="345"/>
      <c r="AN181" s="345"/>
      <c r="AO181" s="345"/>
      <c r="AP181" s="345"/>
      <c r="AQ181" s="345"/>
      <c r="AR181" s="345"/>
      <c r="AT181" s="345"/>
      <c r="AU181" s="345"/>
      <c r="AV181" s="345"/>
      <c r="AW181" s="345"/>
      <c r="AX181" s="345"/>
      <c r="AY181" s="345"/>
      <c r="AZ181" s="345"/>
      <c r="BA181" s="345"/>
      <c r="BB181" s="345"/>
      <c r="BC181" s="345"/>
      <c r="BD181" s="345"/>
      <c r="BE181" s="345"/>
      <c r="BF181" s="345"/>
      <c r="BG181" s="345"/>
      <c r="BH181" s="345"/>
      <c r="BI181" s="345"/>
      <c r="BK181" s="684"/>
      <c r="BL181" s="685"/>
      <c r="BM181" s="685"/>
      <c r="BN181" s="640"/>
      <c r="BO181" s="720"/>
      <c r="BP181" s="345"/>
      <c r="BQ181" s="345"/>
      <c r="BR181" s="345"/>
      <c r="BS181" s="345"/>
      <c r="BT181" s="345"/>
      <c r="BU181" s="345"/>
      <c r="BV181" s="345"/>
    </row>
    <row r="182" spans="8:74" x14ac:dyDescent="0.2">
      <c r="H182" s="286"/>
      <c r="I182" s="292"/>
      <c r="L182" s="292"/>
      <c r="M182" s="292"/>
      <c r="N182" s="292"/>
      <c r="O182" s="292"/>
      <c r="P182" s="292"/>
      <c r="Q182" s="292"/>
      <c r="R182" s="292"/>
      <c r="S182" s="292"/>
      <c r="W182" s="345"/>
      <c r="X182" s="345"/>
      <c r="Y182" s="345"/>
      <c r="Z182" s="345"/>
      <c r="AB182" s="345"/>
      <c r="AC182" s="345"/>
      <c r="AD182" s="345"/>
      <c r="AE182" s="345"/>
      <c r="AF182" s="683"/>
      <c r="AG182" s="345"/>
      <c r="AH182" s="345"/>
      <c r="AI182" s="345"/>
      <c r="AK182" s="345"/>
      <c r="AL182" s="345"/>
      <c r="AM182" s="345"/>
      <c r="AN182" s="345"/>
      <c r="AO182" s="345"/>
      <c r="AP182" s="345"/>
      <c r="AQ182" s="345"/>
      <c r="AR182" s="345"/>
      <c r="AT182" s="345"/>
      <c r="AU182" s="345"/>
      <c r="AV182" s="345"/>
      <c r="AW182" s="345"/>
      <c r="AX182" s="345"/>
      <c r="AY182" s="345"/>
      <c r="AZ182" s="345"/>
      <c r="BA182" s="345"/>
      <c r="BB182" s="345"/>
      <c r="BC182" s="345"/>
      <c r="BD182" s="345"/>
      <c r="BE182" s="345"/>
      <c r="BF182" s="345"/>
      <c r="BG182" s="345"/>
      <c r="BH182" s="345"/>
      <c r="BI182" s="345"/>
      <c r="BK182" s="684"/>
      <c r="BL182" s="685"/>
      <c r="BM182" s="685"/>
      <c r="BN182" s="640"/>
      <c r="BO182" s="720"/>
      <c r="BP182" s="345"/>
      <c r="BQ182" s="345"/>
      <c r="BR182" s="345"/>
      <c r="BS182" s="345"/>
      <c r="BT182" s="345"/>
      <c r="BU182" s="345"/>
      <c r="BV182" s="345"/>
    </row>
    <row r="183" spans="8:74" x14ac:dyDescent="0.2">
      <c r="H183" s="286"/>
      <c r="I183" s="292"/>
      <c r="L183" s="292"/>
      <c r="M183" s="292"/>
      <c r="N183" s="292"/>
      <c r="O183" s="292"/>
      <c r="P183" s="292"/>
      <c r="Q183" s="292"/>
      <c r="R183" s="292"/>
      <c r="S183" s="292"/>
      <c r="W183" s="345"/>
      <c r="X183" s="345"/>
      <c r="Y183" s="345"/>
      <c r="Z183" s="345"/>
      <c r="AB183" s="345"/>
      <c r="AC183" s="345"/>
      <c r="AD183" s="345"/>
      <c r="AE183" s="345"/>
      <c r="AF183" s="683"/>
      <c r="AG183" s="345"/>
      <c r="AH183" s="345"/>
      <c r="AI183" s="345"/>
      <c r="AK183" s="345"/>
      <c r="AL183" s="345"/>
      <c r="AM183" s="345"/>
      <c r="AN183" s="345"/>
      <c r="AO183" s="345"/>
      <c r="AP183" s="345"/>
      <c r="AQ183" s="345"/>
      <c r="AR183" s="345"/>
      <c r="AT183" s="345"/>
      <c r="AU183" s="345"/>
      <c r="AV183" s="345"/>
      <c r="AW183" s="345"/>
      <c r="AX183" s="345"/>
      <c r="AY183" s="345"/>
      <c r="AZ183" s="345"/>
      <c r="BA183" s="345"/>
      <c r="BB183" s="345"/>
      <c r="BC183" s="345"/>
      <c r="BD183" s="345"/>
      <c r="BE183" s="345"/>
      <c r="BF183" s="345"/>
      <c r="BG183" s="345"/>
      <c r="BH183" s="345"/>
      <c r="BI183" s="345"/>
      <c r="BK183" s="684"/>
      <c r="BL183" s="685"/>
      <c r="BM183" s="685"/>
      <c r="BN183" s="640"/>
      <c r="BO183" s="720"/>
      <c r="BP183" s="345"/>
      <c r="BQ183" s="345"/>
      <c r="BR183" s="345"/>
      <c r="BS183" s="345"/>
      <c r="BT183" s="345"/>
      <c r="BU183" s="345"/>
      <c r="BV183" s="345"/>
    </row>
    <row r="184" spans="8:74" x14ac:dyDescent="0.2">
      <c r="H184" s="286"/>
      <c r="I184" s="292"/>
      <c r="L184" s="292"/>
      <c r="M184" s="292"/>
      <c r="N184" s="292"/>
      <c r="O184" s="292"/>
      <c r="P184" s="292"/>
      <c r="Q184" s="292"/>
      <c r="R184" s="292"/>
      <c r="S184" s="292"/>
      <c r="W184" s="345"/>
      <c r="X184" s="345"/>
      <c r="Y184" s="345"/>
      <c r="Z184" s="345"/>
      <c r="AB184" s="345"/>
      <c r="AC184" s="345"/>
      <c r="AD184" s="345"/>
      <c r="AE184" s="345"/>
      <c r="AF184" s="683"/>
      <c r="AG184" s="345"/>
      <c r="AH184" s="345"/>
      <c r="AI184" s="345"/>
      <c r="AK184" s="345"/>
      <c r="AL184" s="345"/>
      <c r="AM184" s="345"/>
      <c r="AN184" s="345"/>
      <c r="AO184" s="345"/>
      <c r="AP184" s="345"/>
      <c r="AQ184" s="345"/>
      <c r="AR184" s="345"/>
      <c r="AT184" s="345"/>
      <c r="AU184" s="345"/>
      <c r="AV184" s="345"/>
      <c r="AW184" s="345"/>
      <c r="AX184" s="345"/>
      <c r="AY184" s="345"/>
      <c r="AZ184" s="345"/>
      <c r="BA184" s="345"/>
      <c r="BB184" s="345"/>
      <c r="BC184" s="345"/>
      <c r="BD184" s="345"/>
      <c r="BE184" s="345"/>
      <c r="BF184" s="345"/>
      <c r="BG184" s="345"/>
      <c r="BH184" s="345"/>
      <c r="BI184" s="345"/>
      <c r="BK184" s="684"/>
      <c r="BL184" s="685"/>
      <c r="BM184" s="685"/>
      <c r="BN184" s="640"/>
      <c r="BO184" s="720"/>
      <c r="BP184" s="345"/>
      <c r="BQ184" s="345"/>
      <c r="BR184" s="345"/>
      <c r="BS184" s="345"/>
      <c r="BT184" s="345"/>
      <c r="BU184" s="345"/>
      <c r="BV184" s="345"/>
    </row>
    <row r="185" spans="8:74" x14ac:dyDescent="0.2">
      <c r="H185" s="286"/>
      <c r="I185" s="292"/>
      <c r="L185" s="292"/>
      <c r="M185" s="292"/>
      <c r="N185" s="292"/>
      <c r="O185" s="292"/>
      <c r="P185" s="292"/>
      <c r="Q185" s="292"/>
      <c r="R185" s="292"/>
      <c r="S185" s="292"/>
      <c r="W185" s="345"/>
      <c r="X185" s="345"/>
      <c r="Y185" s="345"/>
      <c r="Z185" s="345"/>
      <c r="AB185" s="345"/>
      <c r="AC185" s="345"/>
      <c r="AD185" s="345"/>
      <c r="AE185" s="345"/>
      <c r="AF185" s="683"/>
      <c r="AG185" s="345"/>
      <c r="AH185" s="345"/>
      <c r="AI185" s="345"/>
      <c r="AK185" s="345"/>
      <c r="AL185" s="345"/>
      <c r="AM185" s="345"/>
      <c r="AN185" s="345"/>
      <c r="AO185" s="345"/>
      <c r="AP185" s="345"/>
      <c r="AQ185" s="345"/>
      <c r="AR185" s="345"/>
      <c r="AT185" s="345"/>
      <c r="AU185" s="345"/>
      <c r="AV185" s="345"/>
      <c r="AW185" s="345"/>
      <c r="AX185" s="345"/>
      <c r="AY185" s="345"/>
      <c r="AZ185" s="345"/>
      <c r="BA185" s="345"/>
      <c r="BB185" s="345"/>
      <c r="BC185" s="345"/>
      <c r="BD185" s="345"/>
      <c r="BE185" s="345"/>
      <c r="BF185" s="345"/>
      <c r="BG185" s="345"/>
      <c r="BH185" s="345"/>
      <c r="BI185" s="345"/>
      <c r="BK185" s="684"/>
      <c r="BL185" s="685"/>
      <c r="BM185" s="685"/>
      <c r="BN185" s="640"/>
      <c r="BO185" s="720"/>
      <c r="BP185" s="345"/>
      <c r="BQ185" s="345"/>
      <c r="BR185" s="345"/>
      <c r="BS185" s="345"/>
      <c r="BT185" s="345"/>
      <c r="BU185" s="345"/>
      <c r="BV185" s="345"/>
    </row>
    <row r="186" spans="8:74" x14ac:dyDescent="0.2">
      <c r="H186" s="286"/>
      <c r="I186" s="292"/>
      <c r="L186" s="292"/>
      <c r="M186" s="292"/>
      <c r="N186" s="292"/>
      <c r="O186" s="292"/>
      <c r="P186" s="292"/>
      <c r="Q186" s="292"/>
      <c r="R186" s="292"/>
      <c r="S186" s="292"/>
      <c r="W186" s="345"/>
      <c r="X186" s="345"/>
      <c r="Y186" s="345"/>
      <c r="Z186" s="345"/>
      <c r="AB186" s="345"/>
      <c r="AC186" s="345"/>
      <c r="AD186" s="345"/>
      <c r="AE186" s="345"/>
      <c r="AF186" s="683"/>
      <c r="AG186" s="345"/>
      <c r="AH186" s="345"/>
      <c r="AI186" s="345"/>
      <c r="AK186" s="345"/>
      <c r="AL186" s="345"/>
      <c r="AM186" s="345"/>
      <c r="AN186" s="345"/>
      <c r="AO186" s="345"/>
      <c r="AP186" s="345"/>
      <c r="AQ186" s="345"/>
      <c r="AR186" s="345"/>
      <c r="AT186" s="345"/>
      <c r="AU186" s="345"/>
      <c r="AV186" s="345"/>
      <c r="AW186" s="345"/>
      <c r="AX186" s="345"/>
      <c r="AY186" s="345"/>
      <c r="AZ186" s="345"/>
      <c r="BA186" s="345"/>
      <c r="BB186" s="345"/>
      <c r="BC186" s="345"/>
      <c r="BD186" s="345"/>
      <c r="BE186" s="345"/>
      <c r="BF186" s="345"/>
      <c r="BG186" s="345"/>
      <c r="BH186" s="345"/>
      <c r="BI186" s="345"/>
      <c r="BK186" s="684"/>
      <c r="BL186" s="685"/>
      <c r="BM186" s="685"/>
      <c r="BN186" s="640"/>
      <c r="BO186" s="720"/>
      <c r="BP186" s="345"/>
      <c r="BQ186" s="345"/>
      <c r="BR186" s="345"/>
      <c r="BS186" s="345"/>
      <c r="BT186" s="345"/>
      <c r="BU186" s="345"/>
      <c r="BV186" s="345"/>
    </row>
    <row r="187" spans="8:74" x14ac:dyDescent="0.2">
      <c r="H187" s="286"/>
      <c r="I187" s="292"/>
      <c r="L187" s="292"/>
      <c r="M187" s="292"/>
      <c r="N187" s="292"/>
      <c r="O187" s="292"/>
      <c r="P187" s="292"/>
      <c r="Q187" s="292"/>
      <c r="R187" s="292"/>
      <c r="S187" s="292"/>
      <c r="W187" s="345"/>
      <c r="X187" s="345"/>
      <c r="Y187" s="345"/>
      <c r="Z187" s="345"/>
      <c r="AB187" s="345"/>
      <c r="AC187" s="345"/>
      <c r="AD187" s="345"/>
      <c r="AE187" s="345"/>
      <c r="AF187" s="683"/>
      <c r="AG187" s="345"/>
      <c r="AH187" s="345"/>
      <c r="AI187" s="345"/>
      <c r="AK187" s="345"/>
      <c r="AL187" s="345"/>
      <c r="AM187" s="345"/>
      <c r="AN187" s="345"/>
      <c r="AO187" s="345"/>
      <c r="AP187" s="345"/>
      <c r="AQ187" s="345"/>
      <c r="AR187" s="345"/>
      <c r="AT187" s="345"/>
      <c r="AU187" s="345"/>
      <c r="AV187" s="345"/>
      <c r="AW187" s="345"/>
      <c r="AX187" s="345"/>
      <c r="AY187" s="345"/>
      <c r="AZ187" s="345"/>
      <c r="BA187" s="345"/>
      <c r="BB187" s="345"/>
      <c r="BC187" s="345"/>
      <c r="BD187" s="345"/>
      <c r="BE187" s="345"/>
      <c r="BF187" s="345"/>
      <c r="BG187" s="345"/>
      <c r="BH187" s="345"/>
      <c r="BI187" s="345"/>
      <c r="BK187" s="684"/>
      <c r="BL187" s="685"/>
      <c r="BM187" s="685"/>
      <c r="BN187" s="640"/>
      <c r="BO187" s="720"/>
      <c r="BP187" s="345"/>
      <c r="BQ187" s="345"/>
      <c r="BR187" s="345"/>
      <c r="BS187" s="345"/>
      <c r="BT187" s="345"/>
      <c r="BU187" s="345"/>
      <c r="BV187" s="345"/>
    </row>
    <row r="188" spans="8:74" x14ac:dyDescent="0.2">
      <c r="H188" s="286"/>
      <c r="I188" s="292"/>
      <c r="L188" s="292"/>
      <c r="M188" s="292"/>
      <c r="N188" s="292"/>
      <c r="O188" s="292"/>
      <c r="P188" s="292"/>
      <c r="Q188" s="292"/>
      <c r="R188" s="292"/>
      <c r="S188" s="292"/>
      <c r="W188" s="345"/>
      <c r="X188" s="345"/>
      <c r="Y188" s="345"/>
      <c r="Z188" s="345"/>
      <c r="AB188" s="345"/>
      <c r="AC188" s="345"/>
      <c r="AD188" s="345"/>
      <c r="AE188" s="345"/>
      <c r="AF188" s="683"/>
      <c r="AG188" s="345"/>
      <c r="AH188" s="345"/>
      <c r="AI188" s="345"/>
      <c r="AK188" s="345"/>
      <c r="AL188" s="345"/>
      <c r="AM188" s="345"/>
      <c r="AN188" s="345"/>
      <c r="AO188" s="345"/>
      <c r="AP188" s="345"/>
      <c r="AQ188" s="345"/>
      <c r="AR188" s="345"/>
      <c r="AT188" s="345"/>
      <c r="AU188" s="345"/>
      <c r="AV188" s="345"/>
      <c r="AW188" s="345"/>
      <c r="AX188" s="345"/>
      <c r="AY188" s="345"/>
      <c r="AZ188" s="345"/>
      <c r="BA188" s="345"/>
      <c r="BB188" s="345"/>
      <c r="BC188" s="345"/>
      <c r="BD188" s="345"/>
      <c r="BE188" s="345"/>
      <c r="BF188" s="345"/>
      <c r="BG188" s="345"/>
      <c r="BH188" s="345"/>
      <c r="BI188" s="345"/>
      <c r="BK188" s="684"/>
      <c r="BL188" s="685"/>
      <c r="BM188" s="685"/>
      <c r="BN188" s="640"/>
      <c r="BO188" s="720"/>
      <c r="BP188" s="345"/>
      <c r="BQ188" s="345"/>
      <c r="BR188" s="345"/>
      <c r="BS188" s="345"/>
      <c r="BT188" s="345"/>
      <c r="BU188" s="345"/>
      <c r="BV188" s="345"/>
    </row>
    <row r="189" spans="8:74" x14ac:dyDescent="0.2">
      <c r="H189" s="286"/>
      <c r="I189" s="292"/>
      <c r="L189" s="292"/>
      <c r="M189" s="292"/>
      <c r="N189" s="292"/>
      <c r="O189" s="292"/>
      <c r="P189" s="292"/>
      <c r="Q189" s="292"/>
      <c r="R189" s="292"/>
      <c r="S189" s="292"/>
      <c r="W189" s="345"/>
      <c r="X189" s="345"/>
      <c r="Y189" s="345"/>
      <c r="Z189" s="345"/>
      <c r="AB189" s="345"/>
      <c r="AC189" s="345"/>
      <c r="AD189" s="345"/>
      <c r="AE189" s="345"/>
      <c r="AF189" s="683"/>
      <c r="AG189" s="345"/>
      <c r="AH189" s="345"/>
      <c r="AI189" s="345"/>
      <c r="AK189" s="345"/>
      <c r="AL189" s="345"/>
      <c r="AM189" s="345"/>
      <c r="AN189" s="345"/>
      <c r="AO189" s="345"/>
      <c r="AP189" s="345"/>
      <c r="AQ189" s="345"/>
      <c r="AR189" s="345"/>
      <c r="AT189" s="345"/>
      <c r="AU189" s="345"/>
      <c r="AV189" s="345"/>
      <c r="AW189" s="345"/>
      <c r="AX189" s="345"/>
      <c r="AY189" s="345"/>
      <c r="AZ189" s="345"/>
      <c r="BA189" s="345"/>
      <c r="BB189" s="345"/>
      <c r="BC189" s="345"/>
      <c r="BD189" s="345"/>
      <c r="BE189" s="345"/>
      <c r="BF189" s="345"/>
      <c r="BG189" s="345"/>
      <c r="BH189" s="345"/>
      <c r="BI189" s="345"/>
      <c r="BK189" s="684"/>
      <c r="BL189" s="685"/>
      <c r="BM189" s="685"/>
      <c r="BN189" s="640"/>
      <c r="BO189" s="720"/>
      <c r="BP189" s="345"/>
      <c r="BQ189" s="345"/>
      <c r="BR189" s="345"/>
      <c r="BS189" s="345"/>
      <c r="BT189" s="345"/>
      <c r="BU189" s="345"/>
      <c r="BV189" s="345"/>
    </row>
    <row r="190" spans="8:74" x14ac:dyDescent="0.2">
      <c r="H190" s="286"/>
      <c r="I190" s="292"/>
      <c r="L190" s="292"/>
      <c r="M190" s="292"/>
      <c r="N190" s="292"/>
      <c r="O190" s="292"/>
      <c r="P190" s="292"/>
      <c r="Q190" s="292"/>
      <c r="R190" s="292"/>
      <c r="S190" s="292"/>
      <c r="W190" s="345"/>
      <c r="X190" s="345"/>
      <c r="Y190" s="345"/>
      <c r="Z190" s="345"/>
      <c r="AB190" s="345"/>
      <c r="AC190" s="345"/>
      <c r="AD190" s="345"/>
      <c r="AE190" s="345"/>
      <c r="AF190" s="683"/>
      <c r="AG190" s="345"/>
      <c r="AH190" s="345"/>
      <c r="AI190" s="345"/>
      <c r="AK190" s="345"/>
      <c r="AL190" s="345"/>
      <c r="AM190" s="345"/>
      <c r="AN190" s="345"/>
      <c r="AO190" s="345"/>
      <c r="AP190" s="345"/>
      <c r="AQ190" s="345"/>
      <c r="AR190" s="345"/>
      <c r="AT190" s="345"/>
      <c r="AU190" s="345"/>
      <c r="AV190" s="345"/>
      <c r="AW190" s="345"/>
      <c r="AX190" s="345"/>
      <c r="AY190" s="345"/>
      <c r="AZ190" s="345"/>
      <c r="BA190" s="345"/>
      <c r="BB190" s="345"/>
      <c r="BC190" s="345"/>
      <c r="BD190" s="345"/>
      <c r="BE190" s="345"/>
      <c r="BF190" s="345"/>
      <c r="BG190" s="345"/>
      <c r="BH190" s="345"/>
      <c r="BI190" s="345"/>
      <c r="BK190" s="684"/>
      <c r="BL190" s="685"/>
      <c r="BM190" s="685"/>
      <c r="BN190" s="640"/>
      <c r="BO190" s="720"/>
      <c r="BP190" s="345"/>
      <c r="BQ190" s="345"/>
      <c r="BR190" s="345"/>
      <c r="BS190" s="345"/>
      <c r="BT190" s="345"/>
      <c r="BU190" s="345"/>
      <c r="BV190" s="345"/>
    </row>
    <row r="191" spans="8:74" x14ac:dyDescent="0.2">
      <c r="H191" s="286"/>
      <c r="I191" s="292"/>
      <c r="L191" s="292"/>
      <c r="M191" s="292"/>
      <c r="N191" s="292"/>
      <c r="O191" s="292"/>
      <c r="P191" s="292"/>
      <c r="Q191" s="292"/>
      <c r="R191" s="292"/>
      <c r="S191" s="292"/>
      <c r="W191" s="345"/>
      <c r="X191" s="345"/>
      <c r="Y191" s="345"/>
      <c r="Z191" s="345"/>
      <c r="AB191" s="345"/>
      <c r="AC191" s="345"/>
      <c r="AD191" s="345"/>
      <c r="AE191" s="345"/>
      <c r="AF191" s="683"/>
      <c r="AG191" s="345"/>
      <c r="AH191" s="345"/>
      <c r="AI191" s="345"/>
      <c r="AK191" s="345"/>
      <c r="AL191" s="345"/>
      <c r="AM191" s="345"/>
      <c r="AN191" s="345"/>
      <c r="AO191" s="345"/>
      <c r="AP191" s="345"/>
      <c r="AQ191" s="345"/>
      <c r="AR191" s="345"/>
      <c r="AT191" s="345"/>
      <c r="AU191" s="345"/>
      <c r="AV191" s="345"/>
      <c r="AW191" s="345"/>
      <c r="AX191" s="345"/>
      <c r="AY191" s="345"/>
      <c r="AZ191" s="345"/>
      <c r="BA191" s="345"/>
      <c r="BB191" s="345"/>
      <c r="BC191" s="345"/>
      <c r="BD191" s="345"/>
      <c r="BE191" s="345"/>
      <c r="BF191" s="345"/>
      <c r="BG191" s="345"/>
      <c r="BH191" s="345"/>
      <c r="BI191" s="345"/>
      <c r="BK191" s="684"/>
      <c r="BL191" s="685"/>
      <c r="BM191" s="685"/>
      <c r="BN191" s="640"/>
      <c r="BO191" s="720"/>
      <c r="BP191" s="345"/>
      <c r="BQ191" s="345"/>
      <c r="BR191" s="345"/>
      <c r="BS191" s="345"/>
      <c r="BT191" s="345"/>
      <c r="BU191" s="345"/>
      <c r="BV191" s="345"/>
    </row>
    <row r="192" spans="8:74" x14ac:dyDescent="0.2">
      <c r="H192" s="286"/>
      <c r="I192" s="292"/>
      <c r="L192" s="292"/>
      <c r="M192" s="292"/>
      <c r="N192" s="292"/>
      <c r="O192" s="292"/>
      <c r="P192" s="292"/>
      <c r="Q192" s="292"/>
      <c r="R192" s="292"/>
      <c r="S192" s="292"/>
      <c r="W192" s="345"/>
      <c r="X192" s="345"/>
      <c r="Y192" s="345"/>
      <c r="Z192" s="345"/>
      <c r="AB192" s="345"/>
      <c r="AC192" s="345"/>
      <c r="AD192" s="345"/>
      <c r="AE192" s="345"/>
      <c r="AF192" s="683"/>
      <c r="AG192" s="345"/>
      <c r="AH192" s="345"/>
      <c r="AI192" s="345"/>
      <c r="AK192" s="345"/>
      <c r="AL192" s="345"/>
      <c r="AM192" s="345"/>
      <c r="AN192" s="345"/>
      <c r="AO192" s="345"/>
      <c r="AP192" s="345"/>
      <c r="AQ192" s="345"/>
      <c r="AR192" s="345"/>
      <c r="AT192" s="345"/>
      <c r="AU192" s="345"/>
      <c r="AV192" s="345"/>
      <c r="AW192" s="345"/>
      <c r="AX192" s="345"/>
      <c r="AY192" s="345"/>
      <c r="AZ192" s="345"/>
      <c r="BA192" s="345"/>
      <c r="BB192" s="345"/>
      <c r="BC192" s="345"/>
      <c r="BD192" s="345"/>
      <c r="BE192" s="345"/>
      <c r="BF192" s="345"/>
      <c r="BG192" s="345"/>
      <c r="BH192" s="345"/>
      <c r="BI192" s="345"/>
      <c r="BK192" s="684"/>
      <c r="BL192" s="685"/>
      <c r="BM192" s="685"/>
      <c r="BN192" s="640"/>
      <c r="BO192" s="720"/>
      <c r="BP192" s="345"/>
      <c r="BQ192" s="345"/>
      <c r="BR192" s="345"/>
      <c r="BS192" s="345"/>
      <c r="BT192" s="345"/>
      <c r="BU192" s="345"/>
      <c r="BV192" s="345"/>
    </row>
    <row r="193" spans="8:74" x14ac:dyDescent="0.2">
      <c r="H193" s="286"/>
      <c r="I193" s="292"/>
      <c r="L193" s="292"/>
      <c r="M193" s="292"/>
      <c r="N193" s="292"/>
      <c r="O193" s="292"/>
      <c r="P193" s="292"/>
      <c r="Q193" s="292"/>
      <c r="R193" s="292"/>
      <c r="S193" s="292"/>
      <c r="W193" s="345"/>
      <c r="X193" s="345"/>
      <c r="Y193" s="345"/>
      <c r="Z193" s="345"/>
      <c r="AB193" s="345"/>
      <c r="AC193" s="345"/>
      <c r="AD193" s="345"/>
      <c r="AE193" s="345"/>
      <c r="AF193" s="683"/>
      <c r="AG193" s="345"/>
      <c r="AH193" s="345"/>
      <c r="AI193" s="345"/>
      <c r="AK193" s="345"/>
      <c r="AL193" s="345"/>
      <c r="AM193" s="345"/>
      <c r="AN193" s="345"/>
      <c r="AO193" s="345"/>
      <c r="AP193" s="345"/>
      <c r="AQ193" s="345"/>
      <c r="AR193" s="345"/>
      <c r="AT193" s="345"/>
      <c r="AU193" s="345"/>
      <c r="AV193" s="345"/>
      <c r="AW193" s="345"/>
      <c r="AX193" s="345"/>
      <c r="AY193" s="345"/>
      <c r="AZ193" s="345"/>
      <c r="BA193" s="345"/>
      <c r="BB193" s="345"/>
      <c r="BC193" s="345"/>
      <c r="BD193" s="345"/>
      <c r="BE193" s="345"/>
      <c r="BF193" s="345"/>
      <c r="BG193" s="345"/>
      <c r="BH193" s="345"/>
      <c r="BI193" s="345"/>
      <c r="BK193" s="684"/>
      <c r="BL193" s="685"/>
      <c r="BM193" s="685"/>
      <c r="BN193" s="640"/>
      <c r="BO193" s="720"/>
      <c r="BP193" s="345"/>
      <c r="BQ193" s="345"/>
      <c r="BR193" s="345"/>
      <c r="BS193" s="345"/>
      <c r="BT193" s="345"/>
      <c r="BU193" s="345"/>
      <c r="BV193" s="345"/>
    </row>
    <row r="194" spans="8:74" x14ac:dyDescent="0.2">
      <c r="H194" s="286"/>
      <c r="I194" s="292"/>
      <c r="L194" s="292"/>
      <c r="M194" s="292"/>
      <c r="N194" s="292"/>
      <c r="O194" s="292"/>
      <c r="P194" s="292"/>
      <c r="Q194" s="292"/>
      <c r="R194" s="292"/>
      <c r="S194" s="292"/>
      <c r="W194" s="345"/>
      <c r="X194" s="345"/>
      <c r="Y194" s="345"/>
      <c r="Z194" s="345"/>
      <c r="AB194" s="345"/>
      <c r="AC194" s="345"/>
      <c r="AD194" s="345"/>
      <c r="AE194" s="345"/>
      <c r="AF194" s="683"/>
      <c r="AG194" s="345"/>
      <c r="AH194" s="345"/>
      <c r="AI194" s="345"/>
      <c r="AK194" s="345"/>
      <c r="AL194" s="345"/>
      <c r="AM194" s="345"/>
      <c r="AN194" s="345"/>
      <c r="AO194" s="345"/>
      <c r="AP194" s="345"/>
      <c r="AQ194" s="345"/>
      <c r="AR194" s="345"/>
      <c r="AT194" s="345"/>
      <c r="AU194" s="345"/>
      <c r="AV194" s="345"/>
      <c r="AW194" s="345"/>
      <c r="AX194" s="345"/>
      <c r="AY194" s="345"/>
      <c r="AZ194" s="345"/>
      <c r="BA194" s="345"/>
      <c r="BB194" s="345"/>
      <c r="BC194" s="345"/>
      <c r="BD194" s="345"/>
      <c r="BE194" s="345"/>
      <c r="BF194" s="345"/>
      <c r="BG194" s="345"/>
      <c r="BH194" s="345"/>
      <c r="BI194" s="345"/>
      <c r="BK194" s="684"/>
      <c r="BL194" s="685"/>
      <c r="BM194" s="685"/>
      <c r="BN194" s="640"/>
      <c r="BO194" s="720"/>
      <c r="BP194" s="345"/>
      <c r="BQ194" s="345"/>
      <c r="BR194" s="345"/>
      <c r="BS194" s="345"/>
      <c r="BT194" s="345"/>
      <c r="BU194" s="345"/>
      <c r="BV194" s="345"/>
    </row>
    <row r="195" spans="8:74" x14ac:dyDescent="0.2">
      <c r="H195" s="286"/>
      <c r="I195" s="292"/>
      <c r="L195" s="292"/>
      <c r="M195" s="292"/>
      <c r="N195" s="292"/>
      <c r="O195" s="292"/>
      <c r="P195" s="292"/>
      <c r="Q195" s="292"/>
      <c r="R195" s="292"/>
      <c r="S195" s="292"/>
      <c r="W195" s="345"/>
      <c r="X195" s="345"/>
      <c r="Y195" s="345"/>
      <c r="Z195" s="345"/>
      <c r="AB195" s="345"/>
      <c r="AC195" s="345"/>
      <c r="AD195" s="345"/>
      <c r="AE195" s="345"/>
      <c r="AF195" s="683"/>
      <c r="AG195" s="345"/>
      <c r="AH195" s="345"/>
      <c r="AI195" s="345"/>
      <c r="AK195" s="345"/>
      <c r="AL195" s="345"/>
      <c r="AM195" s="345"/>
      <c r="AN195" s="345"/>
      <c r="AO195" s="345"/>
      <c r="AP195" s="345"/>
      <c r="AQ195" s="345"/>
      <c r="AR195" s="345"/>
      <c r="AT195" s="345"/>
      <c r="AU195" s="345"/>
      <c r="AV195" s="345"/>
      <c r="AW195" s="345"/>
      <c r="AX195" s="345"/>
      <c r="AY195" s="345"/>
      <c r="AZ195" s="345"/>
      <c r="BA195" s="345"/>
      <c r="BB195" s="345"/>
      <c r="BC195" s="345"/>
      <c r="BD195" s="345"/>
      <c r="BE195" s="345"/>
      <c r="BF195" s="345"/>
      <c r="BG195" s="345"/>
      <c r="BH195" s="345"/>
      <c r="BI195" s="345"/>
      <c r="BK195" s="684"/>
      <c r="BL195" s="685"/>
      <c r="BM195" s="685"/>
      <c r="BN195" s="640"/>
      <c r="BO195" s="720"/>
      <c r="BP195" s="345"/>
      <c r="BQ195" s="345"/>
      <c r="BR195" s="345"/>
      <c r="BS195" s="345"/>
      <c r="BT195" s="345"/>
      <c r="BU195" s="345"/>
      <c r="BV195" s="345"/>
    </row>
    <row r="196" spans="8:74" x14ac:dyDescent="0.2">
      <c r="H196" s="286"/>
      <c r="I196" s="292"/>
      <c r="L196" s="292"/>
      <c r="M196" s="292"/>
      <c r="N196" s="292"/>
      <c r="O196" s="292"/>
      <c r="P196" s="292"/>
      <c r="Q196" s="292"/>
      <c r="R196" s="292"/>
      <c r="S196" s="292"/>
      <c r="W196" s="345"/>
      <c r="X196" s="345"/>
      <c r="Y196" s="345"/>
      <c r="Z196" s="345"/>
      <c r="AB196" s="345"/>
      <c r="AC196" s="345"/>
      <c r="AD196" s="345"/>
      <c r="AE196" s="345"/>
      <c r="AF196" s="683"/>
      <c r="AG196" s="345"/>
      <c r="AH196" s="345"/>
      <c r="AI196" s="345"/>
      <c r="AK196" s="345"/>
      <c r="AL196" s="345"/>
      <c r="AM196" s="345"/>
      <c r="AN196" s="345"/>
      <c r="AO196" s="345"/>
      <c r="AP196" s="345"/>
      <c r="AQ196" s="345"/>
      <c r="AR196" s="345"/>
      <c r="AT196" s="345"/>
      <c r="AU196" s="345"/>
      <c r="AV196" s="345"/>
      <c r="AW196" s="345"/>
      <c r="AX196" s="345"/>
      <c r="AY196" s="345"/>
      <c r="AZ196" s="345"/>
      <c r="BA196" s="345"/>
      <c r="BB196" s="345"/>
      <c r="BC196" s="345"/>
      <c r="BD196" s="345"/>
      <c r="BE196" s="345"/>
      <c r="BF196" s="345"/>
      <c r="BG196" s="345"/>
      <c r="BH196" s="345"/>
      <c r="BI196" s="345"/>
      <c r="BK196" s="684"/>
      <c r="BL196" s="685"/>
      <c r="BM196" s="685"/>
      <c r="BN196" s="640"/>
      <c r="BO196" s="720"/>
      <c r="BP196" s="345"/>
      <c r="BQ196" s="345"/>
      <c r="BR196" s="345"/>
      <c r="BS196" s="345"/>
      <c r="BT196" s="345"/>
      <c r="BU196" s="345"/>
      <c r="BV196" s="345"/>
    </row>
    <row r="197" spans="8:74" x14ac:dyDescent="0.2">
      <c r="H197" s="286"/>
      <c r="I197" s="292"/>
      <c r="L197" s="292"/>
      <c r="M197" s="292"/>
      <c r="N197" s="292"/>
      <c r="O197" s="292"/>
      <c r="P197" s="292"/>
      <c r="Q197" s="292"/>
      <c r="R197" s="292"/>
      <c r="S197" s="292"/>
      <c r="W197" s="345"/>
      <c r="X197" s="345"/>
      <c r="Y197" s="345"/>
      <c r="Z197" s="345"/>
      <c r="AB197" s="345"/>
      <c r="AC197" s="345"/>
      <c r="AD197" s="345"/>
      <c r="AE197" s="345"/>
      <c r="AF197" s="683"/>
      <c r="AG197" s="345"/>
      <c r="AH197" s="345"/>
      <c r="AI197" s="345"/>
      <c r="AK197" s="345"/>
      <c r="AL197" s="345"/>
      <c r="AM197" s="345"/>
      <c r="AN197" s="345"/>
      <c r="AO197" s="345"/>
      <c r="AP197" s="345"/>
      <c r="AQ197" s="345"/>
      <c r="AR197" s="345"/>
      <c r="AT197" s="345"/>
      <c r="AU197" s="345"/>
      <c r="AV197" s="345"/>
      <c r="AW197" s="345"/>
      <c r="AX197" s="345"/>
      <c r="AY197" s="345"/>
      <c r="AZ197" s="345"/>
      <c r="BA197" s="345"/>
      <c r="BB197" s="345"/>
      <c r="BC197" s="345"/>
      <c r="BD197" s="345"/>
      <c r="BE197" s="345"/>
      <c r="BF197" s="345"/>
      <c r="BG197" s="345"/>
      <c r="BH197" s="345"/>
      <c r="BI197" s="345"/>
      <c r="BK197" s="684"/>
      <c r="BL197" s="685"/>
      <c r="BM197" s="685"/>
      <c r="BN197" s="640"/>
      <c r="BO197" s="720"/>
      <c r="BP197" s="345"/>
      <c r="BQ197" s="345"/>
      <c r="BR197" s="345"/>
      <c r="BS197" s="345"/>
      <c r="BT197" s="345"/>
      <c r="BU197" s="345"/>
      <c r="BV197" s="345"/>
    </row>
    <row r="198" spans="8:74" x14ac:dyDescent="0.2">
      <c r="H198" s="286"/>
      <c r="I198" s="292"/>
      <c r="L198" s="292"/>
      <c r="M198" s="292"/>
      <c r="N198" s="292"/>
      <c r="O198" s="292"/>
      <c r="P198" s="292"/>
      <c r="Q198" s="292"/>
      <c r="R198" s="292"/>
      <c r="S198" s="292"/>
      <c r="W198" s="345"/>
      <c r="X198" s="345"/>
      <c r="Y198" s="345"/>
      <c r="Z198" s="345"/>
      <c r="AB198" s="345"/>
      <c r="AC198" s="345"/>
      <c r="AD198" s="345"/>
      <c r="AE198" s="345"/>
      <c r="AF198" s="683"/>
      <c r="AG198" s="345"/>
      <c r="AH198" s="345"/>
      <c r="AI198" s="345"/>
      <c r="AK198" s="345"/>
      <c r="AL198" s="345"/>
      <c r="AM198" s="345"/>
      <c r="AN198" s="345"/>
      <c r="AO198" s="345"/>
      <c r="AP198" s="345"/>
      <c r="AQ198" s="345"/>
      <c r="AR198" s="345"/>
      <c r="AT198" s="345"/>
      <c r="AU198" s="345"/>
      <c r="AV198" s="345"/>
      <c r="AW198" s="345"/>
      <c r="AX198" s="345"/>
      <c r="AY198" s="345"/>
      <c r="AZ198" s="345"/>
      <c r="BA198" s="345"/>
      <c r="BB198" s="345"/>
      <c r="BC198" s="345"/>
      <c r="BD198" s="345"/>
      <c r="BE198" s="345"/>
      <c r="BF198" s="345"/>
      <c r="BG198" s="345"/>
      <c r="BH198" s="345"/>
      <c r="BI198" s="345"/>
      <c r="BK198" s="684"/>
      <c r="BL198" s="685"/>
      <c r="BM198" s="685"/>
      <c r="BN198" s="640"/>
      <c r="BO198" s="720"/>
      <c r="BP198" s="345"/>
      <c r="BQ198" s="345"/>
      <c r="BR198" s="345"/>
      <c r="BS198" s="345"/>
      <c r="BT198" s="345"/>
      <c r="BU198" s="345"/>
      <c r="BV198" s="345"/>
    </row>
    <row r="199" spans="8:74" x14ac:dyDescent="0.2">
      <c r="H199" s="286"/>
      <c r="I199" s="292"/>
      <c r="L199" s="292"/>
      <c r="M199" s="292"/>
      <c r="N199" s="292"/>
      <c r="O199" s="292"/>
      <c r="P199" s="292"/>
      <c r="Q199" s="292"/>
      <c r="R199" s="292"/>
      <c r="S199" s="292"/>
      <c r="W199" s="345"/>
      <c r="X199" s="345"/>
      <c r="Y199" s="345"/>
      <c r="Z199" s="345"/>
      <c r="AB199" s="345"/>
      <c r="AC199" s="345"/>
      <c r="AD199" s="345"/>
      <c r="AE199" s="345"/>
      <c r="AF199" s="683"/>
      <c r="AG199" s="345"/>
      <c r="AH199" s="345"/>
      <c r="AI199" s="345"/>
      <c r="AK199" s="345"/>
      <c r="AL199" s="345"/>
      <c r="AM199" s="345"/>
      <c r="AN199" s="345"/>
      <c r="AO199" s="345"/>
      <c r="AP199" s="345"/>
      <c r="AQ199" s="345"/>
      <c r="AR199" s="345"/>
      <c r="AT199" s="345"/>
      <c r="AU199" s="345"/>
      <c r="AV199" s="345"/>
      <c r="AW199" s="345"/>
      <c r="AX199" s="345"/>
      <c r="AY199" s="345"/>
      <c r="AZ199" s="345"/>
      <c r="BA199" s="345"/>
      <c r="BB199" s="345"/>
      <c r="BC199" s="345"/>
      <c r="BD199" s="345"/>
      <c r="BE199" s="345"/>
      <c r="BF199" s="345"/>
      <c r="BG199" s="345"/>
      <c r="BH199" s="345"/>
      <c r="BI199" s="345"/>
      <c r="BK199" s="684"/>
      <c r="BL199" s="685"/>
      <c r="BM199" s="685"/>
      <c r="BN199" s="640"/>
      <c r="BO199" s="720"/>
      <c r="BP199" s="345"/>
      <c r="BQ199" s="345"/>
      <c r="BR199" s="345"/>
      <c r="BS199" s="345"/>
      <c r="BT199" s="345"/>
      <c r="BU199" s="345"/>
      <c r="BV199" s="345"/>
    </row>
    <row r="200" spans="8:74" x14ac:dyDescent="0.2">
      <c r="H200" s="286"/>
      <c r="I200" s="292"/>
      <c r="L200" s="292"/>
      <c r="M200" s="292"/>
      <c r="N200" s="292"/>
      <c r="O200" s="292"/>
      <c r="P200" s="292"/>
      <c r="Q200" s="292"/>
      <c r="R200" s="292"/>
      <c r="S200" s="292"/>
      <c r="W200" s="345"/>
      <c r="X200" s="345"/>
      <c r="Y200" s="345"/>
      <c r="Z200" s="345"/>
      <c r="AB200" s="345"/>
      <c r="AC200" s="345"/>
      <c r="AD200" s="345"/>
      <c r="AE200" s="345"/>
      <c r="AF200" s="683"/>
      <c r="AG200" s="345"/>
      <c r="AH200" s="345"/>
      <c r="AI200" s="345"/>
      <c r="AK200" s="345"/>
      <c r="AL200" s="345"/>
      <c r="AM200" s="345"/>
      <c r="AN200" s="345"/>
      <c r="AO200" s="345"/>
      <c r="AP200" s="345"/>
      <c r="AQ200" s="345"/>
      <c r="AR200" s="345"/>
      <c r="AT200" s="345"/>
      <c r="AU200" s="345"/>
      <c r="AV200" s="345"/>
      <c r="AW200" s="345"/>
      <c r="AX200" s="345"/>
      <c r="AY200" s="345"/>
      <c r="AZ200" s="345"/>
      <c r="BA200" s="345"/>
      <c r="BB200" s="345"/>
      <c r="BC200" s="345"/>
      <c r="BD200" s="345"/>
      <c r="BE200" s="345"/>
      <c r="BF200" s="345"/>
      <c r="BG200" s="345"/>
      <c r="BH200" s="345"/>
      <c r="BI200" s="345"/>
      <c r="BK200" s="684"/>
      <c r="BL200" s="685"/>
      <c r="BM200" s="685"/>
      <c r="BN200" s="640"/>
      <c r="BO200" s="720"/>
      <c r="BP200" s="345"/>
      <c r="BQ200" s="345"/>
      <c r="BR200" s="345"/>
      <c r="BS200" s="345"/>
      <c r="BT200" s="345"/>
      <c r="BU200" s="345"/>
      <c r="BV200" s="345"/>
    </row>
    <row r="201" spans="8:74" x14ac:dyDescent="0.2">
      <c r="H201" s="286"/>
      <c r="I201" s="292"/>
      <c r="L201" s="292"/>
      <c r="M201" s="292"/>
      <c r="N201" s="292"/>
      <c r="O201" s="292"/>
      <c r="P201" s="292"/>
      <c r="Q201" s="292"/>
      <c r="R201" s="292"/>
      <c r="S201" s="292"/>
      <c r="W201" s="345"/>
      <c r="X201" s="345"/>
      <c r="Y201" s="345"/>
      <c r="Z201" s="345"/>
      <c r="AB201" s="345"/>
      <c r="AC201" s="345"/>
      <c r="AD201" s="345"/>
      <c r="AE201" s="345"/>
      <c r="AF201" s="683"/>
      <c r="AG201" s="345"/>
      <c r="AH201" s="345"/>
      <c r="AI201" s="345"/>
      <c r="AK201" s="345"/>
      <c r="AL201" s="345"/>
      <c r="AM201" s="345"/>
      <c r="AN201" s="345"/>
      <c r="AO201" s="345"/>
      <c r="AP201" s="345"/>
      <c r="AQ201" s="345"/>
      <c r="AR201" s="345"/>
      <c r="AT201" s="345"/>
      <c r="AU201" s="345"/>
      <c r="AV201" s="345"/>
      <c r="AW201" s="345"/>
      <c r="AX201" s="345"/>
      <c r="AY201" s="345"/>
      <c r="AZ201" s="345"/>
      <c r="BA201" s="345"/>
      <c r="BB201" s="345"/>
      <c r="BC201" s="345"/>
      <c r="BD201" s="345"/>
      <c r="BE201" s="345"/>
      <c r="BF201" s="345"/>
      <c r="BG201" s="345"/>
      <c r="BH201" s="345"/>
      <c r="BI201" s="345"/>
      <c r="BK201" s="684"/>
      <c r="BL201" s="685"/>
      <c r="BM201" s="685"/>
      <c r="BN201" s="640"/>
      <c r="BO201" s="720"/>
      <c r="BP201" s="345"/>
      <c r="BQ201" s="345"/>
      <c r="BR201" s="345"/>
      <c r="BS201" s="345"/>
      <c r="BT201" s="345"/>
      <c r="BU201" s="345"/>
      <c r="BV201" s="345"/>
    </row>
    <row r="202" spans="8:74" x14ac:dyDescent="0.2">
      <c r="H202" s="286"/>
      <c r="I202" s="292"/>
      <c r="L202" s="292"/>
      <c r="M202" s="292"/>
      <c r="N202" s="292"/>
      <c r="O202" s="292"/>
      <c r="P202" s="292"/>
      <c r="Q202" s="292"/>
      <c r="R202" s="292"/>
      <c r="S202" s="292"/>
      <c r="W202" s="345"/>
      <c r="X202" s="345"/>
      <c r="Y202" s="345"/>
      <c r="Z202" s="345"/>
      <c r="AB202" s="345"/>
      <c r="AC202" s="345"/>
      <c r="AD202" s="345"/>
      <c r="AE202" s="345"/>
      <c r="AF202" s="683"/>
      <c r="AG202" s="345"/>
      <c r="AH202" s="345"/>
      <c r="AI202" s="345"/>
      <c r="AK202" s="345"/>
      <c r="AL202" s="345"/>
      <c r="AM202" s="345"/>
      <c r="AN202" s="345"/>
      <c r="AO202" s="345"/>
      <c r="AP202" s="345"/>
      <c r="AQ202" s="345"/>
      <c r="AR202" s="345"/>
      <c r="AT202" s="345"/>
      <c r="AU202" s="345"/>
      <c r="AV202" s="345"/>
      <c r="AW202" s="345"/>
      <c r="AX202" s="345"/>
      <c r="AY202" s="345"/>
      <c r="AZ202" s="345"/>
      <c r="BA202" s="345"/>
      <c r="BB202" s="345"/>
      <c r="BC202" s="345"/>
      <c r="BD202" s="345"/>
      <c r="BE202" s="345"/>
      <c r="BF202" s="345"/>
      <c r="BG202" s="345"/>
      <c r="BH202" s="345"/>
      <c r="BI202" s="345"/>
      <c r="BK202" s="684"/>
      <c r="BL202" s="685"/>
      <c r="BM202" s="685"/>
      <c r="BN202" s="640"/>
      <c r="BO202" s="720"/>
      <c r="BP202" s="345"/>
      <c r="BQ202" s="345"/>
      <c r="BR202" s="345"/>
      <c r="BS202" s="345"/>
      <c r="BT202" s="345"/>
      <c r="BU202" s="345"/>
      <c r="BV202" s="345"/>
    </row>
    <row r="203" spans="8:74" x14ac:dyDescent="0.2">
      <c r="H203" s="286"/>
      <c r="I203" s="292"/>
      <c r="L203" s="292"/>
      <c r="M203" s="292"/>
      <c r="N203" s="292"/>
      <c r="O203" s="292"/>
      <c r="P203" s="292"/>
      <c r="Q203" s="292"/>
      <c r="R203" s="292"/>
      <c r="S203" s="292"/>
      <c r="W203" s="345"/>
      <c r="X203" s="345"/>
      <c r="Y203" s="345"/>
      <c r="Z203" s="345"/>
      <c r="AB203" s="345"/>
      <c r="AC203" s="345"/>
      <c r="AD203" s="345"/>
      <c r="AE203" s="345"/>
      <c r="AF203" s="683"/>
      <c r="AG203" s="345"/>
      <c r="AH203" s="345"/>
      <c r="AI203" s="345"/>
      <c r="AK203" s="345"/>
      <c r="AL203" s="345"/>
      <c r="AM203" s="345"/>
      <c r="AN203" s="345"/>
      <c r="AO203" s="345"/>
      <c r="AP203" s="345"/>
      <c r="AQ203" s="345"/>
      <c r="AR203" s="345"/>
      <c r="AT203" s="345"/>
      <c r="AU203" s="345"/>
      <c r="AV203" s="345"/>
      <c r="AW203" s="345"/>
      <c r="AX203" s="345"/>
      <c r="AY203" s="345"/>
      <c r="AZ203" s="345"/>
      <c r="BA203" s="345"/>
      <c r="BB203" s="345"/>
      <c r="BC203" s="345"/>
      <c r="BD203" s="345"/>
      <c r="BE203" s="345"/>
      <c r="BF203" s="345"/>
      <c r="BG203" s="345"/>
      <c r="BH203" s="345"/>
      <c r="BI203" s="345"/>
      <c r="BK203" s="684"/>
      <c r="BL203" s="685"/>
      <c r="BM203" s="685"/>
      <c r="BN203" s="640"/>
      <c r="BO203" s="720"/>
      <c r="BP203" s="345"/>
      <c r="BQ203" s="345"/>
      <c r="BR203" s="345"/>
      <c r="BS203" s="345"/>
      <c r="BT203" s="345"/>
      <c r="BU203" s="345"/>
      <c r="BV203" s="345"/>
    </row>
    <row r="204" spans="8:74" x14ac:dyDescent="0.2">
      <c r="H204" s="286"/>
      <c r="I204" s="292"/>
      <c r="L204" s="292"/>
      <c r="M204" s="292"/>
      <c r="N204" s="292"/>
      <c r="O204" s="292"/>
      <c r="P204" s="292"/>
      <c r="Q204" s="292"/>
      <c r="R204" s="292"/>
      <c r="S204" s="292"/>
      <c r="W204" s="345"/>
      <c r="X204" s="345"/>
      <c r="Y204" s="345"/>
      <c r="Z204" s="345"/>
      <c r="AB204" s="345"/>
      <c r="AC204" s="345"/>
      <c r="AD204" s="345"/>
      <c r="AE204" s="345"/>
      <c r="AF204" s="683"/>
      <c r="AG204" s="345"/>
      <c r="AH204" s="345"/>
      <c r="AI204" s="345"/>
      <c r="AK204" s="345"/>
      <c r="AL204" s="345"/>
      <c r="AM204" s="345"/>
      <c r="AN204" s="345"/>
      <c r="AO204" s="345"/>
      <c r="AP204" s="345"/>
      <c r="AQ204" s="345"/>
      <c r="AR204" s="345"/>
      <c r="AT204" s="345"/>
      <c r="AU204" s="345"/>
      <c r="AV204" s="345"/>
      <c r="AW204" s="345"/>
      <c r="AX204" s="345"/>
      <c r="AY204" s="345"/>
      <c r="AZ204" s="345"/>
      <c r="BA204" s="345"/>
      <c r="BB204" s="345"/>
      <c r="BC204" s="345"/>
      <c r="BD204" s="345"/>
      <c r="BE204" s="345"/>
      <c r="BF204" s="345"/>
      <c r="BG204" s="345"/>
      <c r="BH204" s="345"/>
      <c r="BI204" s="345"/>
      <c r="BK204" s="684"/>
      <c r="BL204" s="685"/>
      <c r="BM204" s="685"/>
      <c r="BN204" s="640"/>
      <c r="BO204" s="720"/>
      <c r="BP204" s="345"/>
      <c r="BQ204" s="345"/>
      <c r="BR204" s="345"/>
      <c r="BS204" s="345"/>
      <c r="BT204" s="345"/>
      <c r="BU204" s="345"/>
      <c r="BV204" s="345"/>
    </row>
    <row r="205" spans="8:74" x14ac:dyDescent="0.2">
      <c r="H205" s="286"/>
      <c r="I205" s="292"/>
      <c r="L205" s="292"/>
      <c r="M205" s="292"/>
      <c r="N205" s="292"/>
      <c r="O205" s="292"/>
      <c r="P205" s="292"/>
      <c r="Q205" s="292"/>
      <c r="R205" s="292"/>
      <c r="S205" s="292"/>
      <c r="W205" s="345"/>
      <c r="X205" s="345"/>
      <c r="Y205" s="345"/>
      <c r="Z205" s="345"/>
      <c r="AB205" s="345"/>
      <c r="AC205" s="345"/>
      <c r="AD205" s="345"/>
      <c r="AE205" s="345"/>
      <c r="AF205" s="683"/>
      <c r="AG205" s="345"/>
      <c r="AH205" s="345"/>
      <c r="AI205" s="345"/>
      <c r="AK205" s="345"/>
      <c r="AL205" s="345"/>
      <c r="AM205" s="345"/>
      <c r="AN205" s="345"/>
      <c r="AO205" s="345"/>
      <c r="AP205" s="345"/>
      <c r="AQ205" s="345"/>
      <c r="AR205" s="345"/>
      <c r="AT205" s="345"/>
      <c r="AU205" s="345"/>
      <c r="AV205" s="345"/>
      <c r="AW205" s="345"/>
      <c r="AX205" s="345"/>
      <c r="AY205" s="345"/>
      <c r="AZ205" s="345"/>
      <c r="BA205" s="345"/>
      <c r="BB205" s="345"/>
      <c r="BC205" s="345"/>
      <c r="BD205" s="345"/>
      <c r="BE205" s="345"/>
      <c r="BF205" s="345"/>
      <c r="BG205" s="345"/>
      <c r="BH205" s="345"/>
      <c r="BI205" s="345"/>
      <c r="BK205" s="684"/>
      <c r="BL205" s="685"/>
      <c r="BM205" s="685"/>
      <c r="BN205" s="640"/>
      <c r="BO205" s="720"/>
      <c r="BP205" s="345"/>
      <c r="BQ205" s="345"/>
      <c r="BR205" s="345"/>
      <c r="BS205" s="345"/>
      <c r="BT205" s="345"/>
      <c r="BU205" s="345"/>
      <c r="BV205" s="345"/>
    </row>
    <row r="206" spans="8:74" x14ac:dyDescent="0.2">
      <c r="H206" s="286"/>
      <c r="I206" s="292"/>
      <c r="L206" s="292"/>
      <c r="M206" s="292"/>
      <c r="N206" s="292"/>
      <c r="O206" s="292"/>
      <c r="P206" s="292"/>
      <c r="Q206" s="292"/>
      <c r="R206" s="292"/>
      <c r="S206" s="292"/>
      <c r="W206" s="345"/>
      <c r="X206" s="345"/>
      <c r="Y206" s="345"/>
      <c r="Z206" s="345"/>
      <c r="AB206" s="345"/>
      <c r="AC206" s="345"/>
      <c r="AD206" s="345"/>
      <c r="AE206" s="345"/>
      <c r="AF206" s="683"/>
      <c r="AG206" s="345"/>
      <c r="AH206" s="345"/>
      <c r="AI206" s="345"/>
      <c r="AK206" s="345"/>
      <c r="AL206" s="345"/>
      <c r="AM206" s="345"/>
      <c r="AN206" s="345"/>
      <c r="AO206" s="345"/>
      <c r="AP206" s="345"/>
      <c r="AQ206" s="345"/>
      <c r="AR206" s="345"/>
      <c r="AT206" s="345"/>
      <c r="AU206" s="345"/>
      <c r="AV206" s="345"/>
      <c r="AW206" s="345"/>
      <c r="AX206" s="345"/>
      <c r="AY206" s="345"/>
      <c r="AZ206" s="345"/>
      <c r="BA206" s="345"/>
      <c r="BB206" s="345"/>
      <c r="BC206" s="345"/>
      <c r="BD206" s="345"/>
      <c r="BE206" s="345"/>
      <c r="BF206" s="345"/>
      <c r="BG206" s="345"/>
      <c r="BH206" s="345"/>
      <c r="BI206" s="345"/>
      <c r="BK206" s="684"/>
      <c r="BL206" s="685"/>
      <c r="BM206" s="685"/>
      <c r="BN206" s="640"/>
      <c r="BO206" s="720"/>
      <c r="BP206" s="345"/>
      <c r="BQ206" s="345"/>
      <c r="BR206" s="345"/>
      <c r="BS206" s="345"/>
      <c r="BT206" s="345"/>
      <c r="BU206" s="345"/>
      <c r="BV206" s="345"/>
    </row>
    <row r="207" spans="8:74" x14ac:dyDescent="0.2">
      <c r="H207" s="286"/>
      <c r="I207" s="292"/>
      <c r="L207" s="292"/>
      <c r="M207" s="292"/>
      <c r="N207" s="292"/>
      <c r="O207" s="292"/>
      <c r="P207" s="292"/>
      <c r="Q207" s="292"/>
      <c r="R207" s="292"/>
      <c r="S207" s="292"/>
      <c r="W207" s="345"/>
      <c r="X207" s="345"/>
      <c r="Y207" s="345"/>
      <c r="Z207" s="345"/>
      <c r="AB207" s="345"/>
      <c r="AC207" s="345"/>
      <c r="AD207" s="345"/>
      <c r="AE207" s="345"/>
      <c r="AF207" s="683"/>
      <c r="AG207" s="345"/>
      <c r="AH207" s="345"/>
      <c r="AI207" s="345"/>
      <c r="AK207" s="345"/>
      <c r="AL207" s="345"/>
      <c r="AM207" s="345"/>
      <c r="AN207" s="345"/>
      <c r="AO207" s="345"/>
      <c r="AP207" s="345"/>
      <c r="AQ207" s="345"/>
      <c r="AR207" s="345"/>
      <c r="AT207" s="345"/>
      <c r="AU207" s="345"/>
      <c r="AV207" s="345"/>
      <c r="AW207" s="345"/>
      <c r="AX207" s="345"/>
      <c r="AY207" s="345"/>
      <c r="AZ207" s="345"/>
      <c r="BA207" s="345"/>
      <c r="BB207" s="345"/>
      <c r="BC207" s="345"/>
      <c r="BD207" s="345"/>
      <c r="BE207" s="345"/>
      <c r="BF207" s="345"/>
      <c r="BG207" s="345"/>
      <c r="BH207" s="345"/>
      <c r="BI207" s="345"/>
      <c r="BK207" s="684"/>
      <c r="BL207" s="685"/>
      <c r="BM207" s="685"/>
      <c r="BN207" s="640"/>
      <c r="BO207" s="720"/>
      <c r="BP207" s="345"/>
      <c r="BQ207" s="345"/>
      <c r="BR207" s="345"/>
      <c r="BS207" s="345"/>
      <c r="BT207" s="345"/>
      <c r="BU207" s="345"/>
      <c r="BV207" s="345"/>
    </row>
    <row r="208" spans="8:74" x14ac:dyDescent="0.2">
      <c r="H208" s="286"/>
      <c r="I208" s="292"/>
      <c r="L208" s="292"/>
      <c r="M208" s="292"/>
      <c r="N208" s="292"/>
      <c r="O208" s="292"/>
      <c r="P208" s="292"/>
      <c r="Q208" s="292"/>
      <c r="R208" s="292"/>
      <c r="S208" s="292"/>
      <c r="W208" s="345"/>
      <c r="X208" s="345"/>
      <c r="Y208" s="345"/>
      <c r="Z208" s="345"/>
      <c r="AB208" s="345"/>
      <c r="AC208" s="345"/>
      <c r="AD208" s="345"/>
      <c r="AE208" s="345"/>
      <c r="AF208" s="683"/>
      <c r="AG208" s="345"/>
      <c r="AH208" s="345"/>
      <c r="AI208" s="345"/>
      <c r="AK208" s="345"/>
      <c r="AL208" s="345"/>
      <c r="AM208" s="345"/>
      <c r="AN208" s="345"/>
      <c r="AO208" s="345"/>
      <c r="AP208" s="345"/>
      <c r="AQ208" s="345"/>
      <c r="AR208" s="345"/>
      <c r="AT208" s="345"/>
      <c r="AU208" s="345"/>
      <c r="AV208" s="345"/>
      <c r="AW208" s="345"/>
      <c r="AX208" s="345"/>
      <c r="AY208" s="345"/>
      <c r="AZ208" s="345"/>
      <c r="BA208" s="345"/>
      <c r="BB208" s="345"/>
      <c r="BC208" s="345"/>
      <c r="BD208" s="345"/>
      <c r="BE208" s="345"/>
      <c r="BF208" s="345"/>
      <c r="BG208" s="345"/>
      <c r="BH208" s="345"/>
      <c r="BI208" s="345"/>
      <c r="BK208" s="684"/>
      <c r="BL208" s="685"/>
      <c r="BM208" s="685"/>
      <c r="BN208" s="640"/>
      <c r="BO208" s="720"/>
      <c r="BP208" s="345"/>
      <c r="BQ208" s="345"/>
      <c r="BR208" s="345"/>
      <c r="BS208" s="345"/>
      <c r="BT208" s="345"/>
      <c r="BU208" s="345"/>
      <c r="BV208" s="345"/>
    </row>
    <row r="209" spans="8:74" x14ac:dyDescent="0.2">
      <c r="H209" s="286"/>
      <c r="I209" s="292"/>
      <c r="L209" s="292"/>
      <c r="M209" s="292"/>
      <c r="N209" s="292"/>
      <c r="O209" s="292"/>
      <c r="P209" s="292"/>
      <c r="Q209" s="292"/>
      <c r="R209" s="292"/>
      <c r="S209" s="292"/>
      <c r="W209" s="345"/>
      <c r="X209" s="345"/>
      <c r="Y209" s="345"/>
      <c r="Z209" s="345"/>
      <c r="AB209" s="345"/>
      <c r="AC209" s="345"/>
      <c r="AD209" s="345"/>
      <c r="AE209" s="345"/>
      <c r="AF209" s="683"/>
      <c r="AG209" s="345"/>
      <c r="AH209" s="345"/>
      <c r="AI209" s="345"/>
      <c r="AK209" s="345"/>
      <c r="AL209" s="345"/>
      <c r="AM209" s="345"/>
      <c r="AN209" s="345"/>
      <c r="AO209" s="345"/>
      <c r="AP209" s="345"/>
      <c r="AQ209" s="345"/>
      <c r="AR209" s="345"/>
      <c r="AT209" s="345"/>
      <c r="AU209" s="345"/>
      <c r="AV209" s="345"/>
      <c r="AW209" s="345"/>
      <c r="AX209" s="345"/>
      <c r="AY209" s="345"/>
      <c r="AZ209" s="345"/>
      <c r="BA209" s="345"/>
      <c r="BB209" s="345"/>
      <c r="BC209" s="345"/>
      <c r="BD209" s="345"/>
      <c r="BE209" s="345"/>
      <c r="BF209" s="345"/>
      <c r="BG209" s="345"/>
      <c r="BH209" s="345"/>
      <c r="BI209" s="345"/>
      <c r="BK209" s="684"/>
      <c r="BL209" s="685"/>
      <c r="BM209" s="685"/>
      <c r="BN209" s="640"/>
      <c r="BO209" s="720"/>
      <c r="BP209" s="345"/>
      <c r="BQ209" s="345"/>
      <c r="BR209" s="345"/>
      <c r="BS209" s="345"/>
      <c r="BT209" s="345"/>
      <c r="BU209" s="345"/>
      <c r="BV209" s="345"/>
    </row>
  </sheetData>
  <sheetProtection selectLockedCells="1"/>
  <mergeCells count="13">
    <mergeCell ref="BO7:BV7"/>
    <mergeCell ref="AG7:AK7"/>
    <mergeCell ref="AL7:AO7"/>
    <mergeCell ref="AP7:AT7"/>
    <mergeCell ref="AU7:AX7"/>
    <mergeCell ref="BE7:BH7"/>
    <mergeCell ref="BI7:BM7"/>
    <mergeCell ref="AD7:AF7"/>
    <mergeCell ref="A1:D4"/>
    <mergeCell ref="A6:D7"/>
    <mergeCell ref="G7:V7"/>
    <mergeCell ref="W7:Z7"/>
    <mergeCell ref="AA7:AC7"/>
  </mergeCells>
  <phoneticPr fontId="107" type="noConversion"/>
  <pageMargins left="0.75" right="0.75" top="1" bottom="1" header="0.5" footer="0.5"/>
  <pageSetup orientation="portrait" r:id="rId1"/>
  <headerFooter alignWithMargins="0"/>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2:P159"/>
  <sheetViews>
    <sheetView workbookViewId="0">
      <selection activeCell="J20" sqref="J20"/>
    </sheetView>
  </sheetViews>
  <sheetFormatPr defaultRowHeight="12.9" x14ac:dyDescent="0.2"/>
  <cols>
    <col min="1" max="1" width="17.25" customWidth="1"/>
    <col min="2" max="2" width="12" bestFit="1" customWidth="1"/>
    <col min="3" max="4" width="12.375" bestFit="1" customWidth="1"/>
    <col min="7" max="9" width="12.375" bestFit="1" customWidth="1"/>
    <col min="13" max="13" width="12.125" customWidth="1"/>
    <col min="14" max="14" width="12.375" bestFit="1" customWidth="1"/>
    <col min="15" max="15" width="15.375" customWidth="1"/>
  </cols>
  <sheetData>
    <row r="2" spans="1:16" x14ac:dyDescent="0.2">
      <c r="A2" t="s">
        <v>189</v>
      </c>
      <c r="B2" t="s">
        <v>181</v>
      </c>
      <c r="C2" t="s">
        <v>33</v>
      </c>
      <c r="D2" t="s">
        <v>34</v>
      </c>
      <c r="E2" t="s">
        <v>27</v>
      </c>
      <c r="F2" t="s">
        <v>61</v>
      </c>
      <c r="G2" s="77" t="s">
        <v>991</v>
      </c>
      <c r="H2" s="77" t="str">
        <f>M19</f>
        <v>free</v>
      </c>
      <c r="I2" s="77" t="s">
        <v>981</v>
      </c>
      <c r="J2" t="s">
        <v>200</v>
      </c>
    </row>
    <row r="3" spans="1:16" ht="13.6" x14ac:dyDescent="0.25">
      <c r="A3" t="s">
        <v>192</v>
      </c>
      <c r="B3">
        <f>Css</f>
        <v>1.8000000000000002E-8</v>
      </c>
      <c r="C3">
        <f>Cc1ea</f>
        <v>5.7244990742098625E-8</v>
      </c>
      <c r="D3">
        <f>Cc2ea</f>
        <v>2.6207764768154073E-9</v>
      </c>
      <c r="E3">
        <f>Cout</f>
        <v>1.2999999999999999E-4</v>
      </c>
      <c r="F3">
        <f>Cin</f>
        <v>1E-4</v>
      </c>
      <c r="G3">
        <f>N14</f>
        <v>1.664862563904804E-10</v>
      </c>
      <c r="H3">
        <f>N19</f>
        <v>0</v>
      </c>
      <c r="I3">
        <f>C_IL_recommend</f>
        <v>1.3960048602141129E-9</v>
      </c>
      <c r="J3">
        <f>Csby</f>
        <v>0</v>
      </c>
      <c r="M3" t="s">
        <v>194</v>
      </c>
      <c r="N3" t="s">
        <v>195</v>
      </c>
      <c r="O3" s="2" t="s">
        <v>191</v>
      </c>
    </row>
    <row r="4" spans="1:16" ht="13.6" x14ac:dyDescent="0.25">
      <c r="A4" s="7" t="s">
        <v>191</v>
      </c>
      <c r="B4" s="7">
        <f>SUM(B6:B158)/1000000000000</f>
        <v>1.7999999999999999E-8</v>
      </c>
      <c r="C4" s="7">
        <f>SUM(C6:C158)/1000000000000000</f>
        <v>5.6E-11</v>
      </c>
      <c r="D4" s="7">
        <f>SUM(D6:D158)/1000000000000</f>
        <v>2.7000000000000002E-9</v>
      </c>
      <c r="E4" s="7">
        <f>SUM(E6:E158)/1000000000000</f>
        <v>1.2E-4</v>
      </c>
      <c r="F4" s="7">
        <f>SUM(F6:F158)/1000000000000</f>
        <v>1E-4</v>
      </c>
      <c r="G4" s="7">
        <f>SUM(G6:G158)/1000000000000</f>
        <v>1.8E-10</v>
      </c>
      <c r="H4" s="7">
        <f>IF(H3="OPEN","OPEN",SUM(H6:H158)/1000000000000)</f>
        <v>0</v>
      </c>
      <c r="I4" s="7">
        <f>IF(I3="OPEN","OPEN",SUM(I6:I158)/1000000000000)</f>
        <v>1.5E-9</v>
      </c>
      <c r="J4" s="7">
        <f>IF(J3="OPEN","OPEN",SUM(J6:J158)/1000000000000)</f>
        <v>0</v>
      </c>
      <c r="M4" s="77" t="s">
        <v>325</v>
      </c>
      <c r="N4">
        <f>Rfadj</f>
        <v>75524.653266331661</v>
      </c>
      <c r="O4" s="2">
        <f t="shared" ref="O4:O9" si="0">IF(N4&gt;(INT(0.5+100*POWER(10,IF(96*(LOG(N4)-INT(LOG(N4)))-ROUND(96*(LOG(N4)-INT(LOG(N4))),0)&lt;0,ROUND(96*(LOG(N4)-INT(LOG(N4))),0)-1,ROUND(96*(LOG(N4)-INT(LOG(N4))),0))/96))*POWER(10,INT(LOG(N4))-2)+INT(0.5+100*POWER(10,(IF(96*(LOG(N4)-INT(LOG(N4)))-ROUND(96*(LOG(N4)-INT(LOG(N4))),0)&lt;0,ROUND(96*(LOG(N4)-INT(LOG(N4))),0)-1,ROUND(96*(LOG(N4)-INT(LOG(N4))),0))+1)/96))*POWER(10,INT(LOG(N4))-2))/2,INT(0.5+100*POWER(10,(IF(96*(LOG(N4)-INT(LOG(N4)))-ROUND(96*(LOG(N4)-INT(LOG(N4))),0)&lt;0,ROUND(96*(LOG(N4)-INT(LOG(N4))),0)-1,ROUND(96*(LOG(N4)-INT(LOG(N4))),0))+1)/96))*POWER(10,INT(LOG(N4))-2),INT(0.5+100*POWER(10,IF(96*(LOG(N4)-INT(LOG(N4)))-ROUND(96*(LOG(N4)-INT(LOG(N4))),0)&lt;0,ROUND(96*(LOG(N4)-INT(LOG(N4))),0)-1,ROUND(96*(LOG(N4)-INT(LOG(N4))),0))/96))*POWER(10,INT(LOG(N4))-2))</f>
        <v>75000</v>
      </c>
      <c r="P4" s="16" t="s">
        <v>314</v>
      </c>
    </row>
    <row r="5" spans="1:16" ht="13.6" x14ac:dyDescent="0.25">
      <c r="A5" t="s">
        <v>190</v>
      </c>
      <c r="O5" s="2"/>
      <c r="P5" s="16"/>
    </row>
    <row r="6" spans="1:16" ht="13.6" x14ac:dyDescent="0.25">
      <c r="A6">
        <v>0.47</v>
      </c>
      <c r="B6">
        <f t="shared" ref="B6:J6" si="1">IF(IF((B$3*10^12-$A7)*(B$3*10^12-$A6)*-1&lt;0,0,1)*IF(ABS(B$3*10^12-$A7)&gt;(B$3*10^12-$A6),$A6,$A7)=B7,0,IF((B$3*10^12-$A7)*(B$3*10^12-$A6)*-1&lt;0,0,1)*IF(ABS(B$3*10^12-$A7)&gt;(B$3*10^12-$A6),$A6,$A7))</f>
        <v>0</v>
      </c>
      <c r="C6">
        <f t="shared" si="1"/>
        <v>0</v>
      </c>
      <c r="D6">
        <f t="shared" si="1"/>
        <v>0</v>
      </c>
      <c r="E6">
        <f t="shared" si="1"/>
        <v>0</v>
      </c>
      <c r="F6">
        <f t="shared" si="1"/>
        <v>0</v>
      </c>
      <c r="G6">
        <f t="shared" si="1"/>
        <v>0</v>
      </c>
      <c r="H6">
        <f t="shared" si="1"/>
        <v>0</v>
      </c>
      <c r="I6">
        <f t="shared" si="1"/>
        <v>0</v>
      </c>
      <c r="J6">
        <f t="shared" si="1"/>
        <v>0</v>
      </c>
      <c r="M6" s="77" t="s">
        <v>404</v>
      </c>
      <c r="N6" s="24">
        <f>Rshunt</f>
        <v>10</v>
      </c>
      <c r="O6" s="2">
        <f t="shared" si="0"/>
        <v>10</v>
      </c>
      <c r="P6" s="16" t="s">
        <v>314</v>
      </c>
    </row>
    <row r="7" spans="1:16" ht="13.6" x14ac:dyDescent="0.25">
      <c r="A7">
        <v>0.56000000000000005</v>
      </c>
      <c r="B7">
        <f t="shared" ref="B7:B70" si="2">IF(IF((B$3*10^12-$A8)*(B$3*10^12-$A7)*-1&lt;0,0,1)*IF(ABS(B$3*10^12-$A8)&gt;(B$3*10^12-$A7),$A7,$A8)=B8,0,IF((B$3*10^12-$A8)*(B$3*10^12-$A7)*-1&lt;0,0,1)*IF(ABS(B$3*10^12-$A8)&gt;(B$3*10^12-$A7),$A7,$A8))</f>
        <v>0</v>
      </c>
      <c r="C7">
        <f t="shared" ref="C7:C38" si="3">IF(IF((C$3*10^12-$A8)*(C$3*10^12-$A7)*-1&lt;0,0,1)*IF(ABS(C$3*10^12-$A8)&gt;(C$3*10^12-$A7),$A7,$A8)=C8,0,IF((C$3*10^12-$A8)*(C$3*10^12-$A7)*-1&lt;0,0,1)*IF(ABS(C$3*10^12-$A8)&gt;(C$3*10^12-$A7),$A7,$A8))</f>
        <v>0</v>
      </c>
      <c r="D7">
        <f t="shared" ref="D7:D69" si="4">IF(IF((D$3*10^12-$A8)*(D$3*10^12-$A7)*-1&lt;0,0,1)*IF(ABS(D$3*10^12-$A8)&gt;(D$3*10^12-$A7),$A7,$A8)=D8,0,IF((D$3*10^12-$A8)*(D$3*10^12-$A7)*-1&lt;0,0,1)*IF(ABS(D$3*10^12-$A8)&gt;(D$3*10^12-$A7),$A7,$A8))</f>
        <v>0</v>
      </c>
      <c r="E7">
        <f t="shared" ref="E7:E69" si="5">IF(IF((E$3*10^12-$A8)*(E$3*10^12-$A7)*-1&lt;0,0,1)*IF(ABS(E$3*10^12-$A8)&gt;(E$3*10^12-$A7),$A7,$A8)=E8,0,IF((E$3*10^12-$A8)*(E$3*10^12-$A7)*-1&lt;0,0,1)*IF(ABS(E$3*10^12-$A8)&gt;(E$3*10^12-$A7),$A7,$A8))</f>
        <v>0</v>
      </c>
      <c r="F7">
        <f t="shared" ref="F7:F69" si="6">IF(IF((F$3*10^12-$A8)*(F$3*10^12-$A7)*-1&lt;0,0,1)*IF(ABS(F$3*10^12-$A8)&gt;(F$3*10^12-$A7),$A7,$A8)=F8,0,IF((F$3*10^12-$A8)*(F$3*10^12-$A7)*-1&lt;0,0,1)*IF(ABS(F$3*10^12-$A8)&gt;(F$3*10^12-$A7),$A7,$A8))</f>
        <v>0</v>
      </c>
      <c r="G7">
        <f t="shared" ref="G7:J69" si="7">IF(IF((G$3*10^12-$A8)*(G$3*10^12-$A7)*-1&lt;0,0,1)*IF(ABS(G$3*10^12-$A8)&gt;(G$3*10^12-$A7),$A7,$A8)=G8,0,IF((G$3*10^12-$A8)*(G$3*10^12-$A7)*-1&lt;0,0,1)*IF(ABS(G$3*10^12-$A8)&gt;(G$3*10^12-$A7),$A7,$A8))</f>
        <v>0</v>
      </c>
      <c r="H7">
        <f t="shared" si="7"/>
        <v>0</v>
      </c>
      <c r="I7">
        <f t="shared" si="7"/>
        <v>0</v>
      </c>
      <c r="J7">
        <f t="shared" si="7"/>
        <v>0</v>
      </c>
      <c r="M7" t="s">
        <v>211</v>
      </c>
      <c r="N7">
        <f>Rcea1</f>
        <v>1513.9607071843056</v>
      </c>
      <c r="O7" s="2">
        <f t="shared" si="0"/>
        <v>1500</v>
      </c>
      <c r="P7" s="16" t="s">
        <v>314</v>
      </c>
    </row>
    <row r="8" spans="1:16" ht="13.6" x14ac:dyDescent="0.25">
      <c r="A8">
        <v>0.68</v>
      </c>
      <c r="B8">
        <f t="shared" si="2"/>
        <v>0</v>
      </c>
      <c r="C8">
        <f t="shared" si="3"/>
        <v>0</v>
      </c>
      <c r="D8">
        <f t="shared" si="4"/>
        <v>0</v>
      </c>
      <c r="E8">
        <f t="shared" si="5"/>
        <v>0</v>
      </c>
      <c r="F8">
        <f t="shared" si="6"/>
        <v>0</v>
      </c>
      <c r="G8">
        <f t="shared" si="7"/>
        <v>0</v>
      </c>
      <c r="H8">
        <f t="shared" si="7"/>
        <v>0</v>
      </c>
      <c r="I8">
        <f t="shared" si="7"/>
        <v>0</v>
      </c>
      <c r="J8">
        <f t="shared" si="7"/>
        <v>0</v>
      </c>
      <c r="O8" s="2"/>
      <c r="P8" s="16"/>
    </row>
    <row r="9" spans="1:16" ht="13.6" x14ac:dyDescent="0.25">
      <c r="A9">
        <v>0.82</v>
      </c>
      <c r="B9">
        <f t="shared" si="2"/>
        <v>0</v>
      </c>
      <c r="C9">
        <f t="shared" si="3"/>
        <v>0</v>
      </c>
      <c r="D9">
        <f t="shared" si="4"/>
        <v>0</v>
      </c>
      <c r="E9">
        <f t="shared" si="5"/>
        <v>0</v>
      </c>
      <c r="F9">
        <f t="shared" si="6"/>
        <v>0</v>
      </c>
      <c r="G9">
        <f t="shared" si="7"/>
        <v>0</v>
      </c>
      <c r="H9">
        <f t="shared" si="7"/>
        <v>0</v>
      </c>
      <c r="I9">
        <f t="shared" si="7"/>
        <v>0</v>
      </c>
      <c r="J9">
        <f t="shared" si="7"/>
        <v>0</v>
      </c>
      <c r="M9" t="s">
        <v>31</v>
      </c>
      <c r="N9">
        <f>Rfb1_</f>
        <v>71500</v>
      </c>
      <c r="O9" s="2">
        <f t="shared" si="0"/>
        <v>71500</v>
      </c>
      <c r="P9" s="16" t="s">
        <v>314</v>
      </c>
    </row>
    <row r="10" spans="1:16" ht="13.6" x14ac:dyDescent="0.25">
      <c r="A10">
        <v>1</v>
      </c>
      <c r="B10">
        <f t="shared" si="2"/>
        <v>0</v>
      </c>
      <c r="C10">
        <f t="shared" si="3"/>
        <v>0</v>
      </c>
      <c r="D10">
        <f t="shared" si="4"/>
        <v>0</v>
      </c>
      <c r="E10">
        <f t="shared" si="5"/>
        <v>0</v>
      </c>
      <c r="F10">
        <f t="shared" si="6"/>
        <v>0</v>
      </c>
      <c r="G10">
        <f t="shared" si="7"/>
        <v>0</v>
      </c>
      <c r="H10">
        <f t="shared" si="7"/>
        <v>0</v>
      </c>
      <c r="I10">
        <f t="shared" si="7"/>
        <v>0</v>
      </c>
      <c r="J10">
        <f t="shared" si="7"/>
        <v>0</v>
      </c>
      <c r="M10" t="s">
        <v>43</v>
      </c>
      <c r="N10">
        <f>Rfb2_</f>
        <v>4766.666666666667</v>
      </c>
      <c r="O10" s="2">
        <f>IF(N10="OPEN","OPEN",IF(N10&gt;(INT(0.5+100*POWER(10,IF(96*(LOG(N10)-INT(LOG(N10)))-ROUND(96*(LOG(N10)-INT(LOG(N10))),0)&lt;0,ROUND(96*(LOG(N10)-INT(LOG(N10))),0)-1,ROUND(96*(LOG(N10)-INT(LOG(N10))),0))/96))*POWER(10,INT(LOG(N10))-2)+INT(0.5+100*POWER(10,(IF(96*(LOG(N10)-INT(LOG(N10)))-ROUND(96*(LOG(N10)-INT(LOG(N10))),0)&lt;0,ROUND(96*(LOG(N10)-INT(LOG(N10))),0)-1,ROUND(96*(LOG(N10)-INT(LOG(N10))),0))+1)/96))*POWER(10,INT(LOG(N10))-2))/2,INT(0.5+100*POWER(10,(IF(96*(LOG(N10)-INT(LOG(N10)))-ROUND(96*(LOG(N10)-INT(LOG(N10))),0)&lt;0,ROUND(96*(LOG(N10)-INT(LOG(N10))),0)-1,ROUND(96*(LOG(N10)-INT(LOG(N10))),0))+1)/96))*POWER(10,INT(LOG(N10))-2),INT(0.5+100*POWER(10,IF(96*(LOG(N10)-INT(LOG(N10)))-ROUND(96*(LOG(N10)-INT(LOG(N10))),0)&lt;0,ROUND(96*(LOG(N10)-INT(LOG(N10))),0)-1,ROUND(96*(LOG(N10)-INT(LOG(N10))),0))/96))*POWER(10,INT(LOG(N10))-2)))</f>
        <v>4750</v>
      </c>
      <c r="P10" s="16" t="s">
        <v>314</v>
      </c>
    </row>
    <row r="11" spans="1:16" ht="13.6" x14ac:dyDescent="0.25">
      <c r="A11">
        <v>1.2</v>
      </c>
      <c r="B11">
        <f t="shared" si="2"/>
        <v>0</v>
      </c>
      <c r="C11">
        <f t="shared" si="3"/>
        <v>0</v>
      </c>
      <c r="D11">
        <f t="shared" si="4"/>
        <v>0</v>
      </c>
      <c r="E11">
        <f t="shared" si="5"/>
        <v>0</v>
      </c>
      <c r="F11">
        <f t="shared" si="6"/>
        <v>0</v>
      </c>
      <c r="G11">
        <f t="shared" si="7"/>
        <v>0</v>
      </c>
      <c r="H11">
        <f t="shared" si="7"/>
        <v>0</v>
      </c>
      <c r="I11">
        <f t="shared" si="7"/>
        <v>0</v>
      </c>
      <c r="J11">
        <f t="shared" si="7"/>
        <v>0</v>
      </c>
      <c r="O11" s="2"/>
    </row>
    <row r="12" spans="1:16" ht="13.6" x14ac:dyDescent="0.25">
      <c r="A12">
        <v>1.5</v>
      </c>
      <c r="B12">
        <f t="shared" si="2"/>
        <v>0</v>
      </c>
      <c r="C12">
        <f t="shared" si="3"/>
        <v>0</v>
      </c>
      <c r="D12">
        <f t="shared" si="4"/>
        <v>0</v>
      </c>
      <c r="E12">
        <f t="shared" si="5"/>
        <v>0</v>
      </c>
      <c r="F12">
        <f t="shared" si="6"/>
        <v>0</v>
      </c>
      <c r="G12">
        <f t="shared" si="7"/>
        <v>0</v>
      </c>
      <c r="H12">
        <f t="shared" si="7"/>
        <v>0</v>
      </c>
      <c r="I12">
        <f t="shared" si="7"/>
        <v>0</v>
      </c>
      <c r="J12">
        <f t="shared" si="7"/>
        <v>0</v>
      </c>
      <c r="O12" s="2"/>
    </row>
    <row r="13" spans="1:16" ht="13.6" x14ac:dyDescent="0.25">
      <c r="A13">
        <v>1.8</v>
      </c>
      <c r="B13">
        <f t="shared" si="2"/>
        <v>0</v>
      </c>
      <c r="C13">
        <f t="shared" si="3"/>
        <v>0</v>
      </c>
      <c r="D13">
        <f t="shared" si="4"/>
        <v>0</v>
      </c>
      <c r="E13">
        <f t="shared" si="5"/>
        <v>0</v>
      </c>
      <c r="F13">
        <f t="shared" si="6"/>
        <v>0</v>
      </c>
      <c r="G13">
        <f t="shared" si="7"/>
        <v>0</v>
      </c>
      <c r="H13">
        <f t="shared" si="7"/>
        <v>0</v>
      </c>
      <c r="I13">
        <f t="shared" si="7"/>
        <v>0</v>
      </c>
      <c r="J13">
        <f t="shared" si="7"/>
        <v>0</v>
      </c>
      <c r="M13" s="77" t="s">
        <v>196</v>
      </c>
      <c r="N13">
        <f>Rs_ideal*1000</f>
        <v>1.6389860139860142</v>
      </c>
      <c r="O13" s="2">
        <f>IF(N13=0,0,IF(N13&gt;(INT(0.5+100*POWER(10,IF(96*(LOG(N13)-INT(LOG(N13)))-ROUND(96*(LOG(N13)-INT(LOG(N13))),0)&lt;0,ROUND(96*(LOG(N13)-INT(LOG(N13))),0)-1,ROUND(96*(LOG(N13)-INT(LOG(N13))),0))/96))*POWER(10,INT(LOG(N13))-2)+INT(0.5+100*POWER(10,(IF(96*(LOG(N13)-INT(LOG(N13)))-ROUND(96*(LOG(N13)-INT(LOG(N13))),0)&lt;0,ROUND(96*(LOG(N13)-INT(LOG(N13))),0)-1,ROUND(96*(LOG(N13)-INT(LOG(N13))),0))+1)/96))*POWER(10,INT(LOG(N13))-2))/2,INT(0.5+100*POWER(10,(IF(96*(LOG(N13)-INT(LOG(N13)))-ROUND(96*(LOG(N13)-INT(LOG(N13))),0)&lt;0,ROUND(96*(LOG(N13)-INT(LOG(N13))),0)-1,ROUND(96*(LOG(N13)-INT(LOG(N13))),0))+1)/96))*POWER(10,INT(LOG(N13))-2),INT(0.5+100*POWER(10,IF(96*(LOG(N13)-INT(LOG(N13)))-ROUND(96*(LOG(N13)-INT(LOG(N13))),0)&lt;0,ROUND(96*(LOG(N13)-INT(LOG(N13))),0)-1,ROUND(96*(LOG(N13)-INT(LOG(N13))),0))/96))*POWER(10,INT(LOG(N13))-2)))</f>
        <v>1.6500000000000001</v>
      </c>
      <c r="P13" s="16" t="s">
        <v>391</v>
      </c>
    </row>
    <row r="14" spans="1:16" x14ac:dyDescent="0.2">
      <c r="A14">
        <v>2.2000000000000002</v>
      </c>
      <c r="B14">
        <f t="shared" ref="B14:J14" si="8">IF(IF((B$3*10^12-$A15)*(B$3*10^12-$A14)*-1&lt;0,0,1)*IF(ABS(B$3*10^12-$A15)&gt;(B$3*10^12-$A14),$A14,$A15)=B15,0,IF((B$3*10^12-$A15)*(B$3*10^12-$A14)*-1&lt;0,0,1)*IF(ABS(B$3*10^12-$A15)&gt;(B$3*10^12-$A14),$A14,$A15))</f>
        <v>0</v>
      </c>
      <c r="C14">
        <f t="shared" si="8"/>
        <v>0</v>
      </c>
      <c r="D14">
        <f t="shared" si="8"/>
        <v>0</v>
      </c>
      <c r="E14">
        <f t="shared" si="8"/>
        <v>0</v>
      </c>
      <c r="F14">
        <f t="shared" si="8"/>
        <v>0</v>
      </c>
      <c r="G14">
        <f t="shared" si="8"/>
        <v>0</v>
      </c>
      <c r="H14">
        <f t="shared" si="8"/>
        <v>0</v>
      </c>
      <c r="I14">
        <f t="shared" si="8"/>
        <v>0</v>
      </c>
      <c r="J14">
        <f t="shared" si="8"/>
        <v>0</v>
      </c>
      <c r="M14" s="77" t="s">
        <v>990</v>
      </c>
      <c r="N14">
        <f>C_CS</f>
        <v>1.664862563904804E-10</v>
      </c>
      <c r="O14" s="487">
        <f>G4</f>
        <v>1.8E-10</v>
      </c>
      <c r="P14" s="77" t="s">
        <v>32</v>
      </c>
    </row>
    <row r="15" spans="1:16" ht="13.6" x14ac:dyDescent="0.25">
      <c r="A15">
        <v>2.7</v>
      </c>
      <c r="B15">
        <f t="shared" si="2"/>
        <v>0</v>
      </c>
      <c r="C15">
        <f t="shared" si="3"/>
        <v>0</v>
      </c>
      <c r="D15">
        <f t="shared" si="4"/>
        <v>0</v>
      </c>
      <c r="E15">
        <f t="shared" si="5"/>
        <v>0</v>
      </c>
      <c r="F15">
        <f t="shared" si="6"/>
        <v>0</v>
      </c>
      <c r="G15">
        <f t="shared" si="7"/>
        <v>0</v>
      </c>
      <c r="H15">
        <f t="shared" si="7"/>
        <v>0</v>
      </c>
      <c r="I15">
        <f t="shared" si="7"/>
        <v>0</v>
      </c>
      <c r="J15">
        <f t="shared" si="7"/>
        <v>0</v>
      </c>
      <c r="M15" s="77" t="s">
        <v>834</v>
      </c>
      <c r="N15">
        <f>Rslope_ideal</f>
        <v>69230.769230769234</v>
      </c>
      <c r="O15" s="2">
        <f>IF(N15&gt;(INT(0.5+100*POWER(10,IF(96*(LOG(N15)-INT(LOG(N15)))-ROUND(96*(LOG(N15)-INT(LOG(N15))),0)&lt;0,ROUND(96*(LOG(N15)-INT(LOG(N15))),0)-1,ROUND(96*(LOG(N15)-INT(LOG(N15))),0))/96))*POWER(10,INT(LOG(N15))-2)+INT(0.5+100*POWER(10,(IF(96*(LOG(N15)-INT(LOG(N15)))-ROUND(96*(LOG(N15)-INT(LOG(N15))),0)&lt;0,ROUND(96*(LOG(N15)-INT(LOG(N15))),0)-1,ROUND(96*(LOG(N15)-INT(LOG(N15))),0))+1)/96))*POWER(10,INT(LOG(N15))-2))/2,INT(0.5+100*POWER(10,(IF(96*(LOG(N15)-INT(LOG(N15)))-ROUND(96*(LOG(N15)-INT(LOG(N15))),0)&lt;0,ROUND(96*(LOG(N15)-INT(LOG(N15))),0)-1,ROUND(96*(LOG(N15)-INT(LOG(N15))),0))+1)/96))*POWER(10,INT(LOG(N15))-2),INT(0.5+100*POWER(10,IF(96*(LOG(N15)-INT(LOG(N15)))-ROUND(96*(LOG(N15)-INT(LOG(N15))),0)&lt;0,ROUND(96*(LOG(N15)-INT(LOG(N15))),0)-1,ROUND(96*(LOG(N15)-INT(LOG(N15))),0))/96))*POWER(10,INT(LOG(N15))-2))</f>
        <v>69800</v>
      </c>
      <c r="P15" s="16" t="s">
        <v>314</v>
      </c>
    </row>
    <row r="16" spans="1:16" ht="13.6" x14ac:dyDescent="0.25">
      <c r="A16">
        <v>3.3</v>
      </c>
      <c r="B16">
        <f t="shared" si="2"/>
        <v>0</v>
      </c>
      <c r="C16">
        <f t="shared" si="3"/>
        <v>0</v>
      </c>
      <c r="D16">
        <f t="shared" si="4"/>
        <v>0</v>
      </c>
      <c r="E16">
        <f t="shared" si="5"/>
        <v>0</v>
      </c>
      <c r="F16">
        <f t="shared" si="6"/>
        <v>0</v>
      </c>
      <c r="G16">
        <f t="shared" si="7"/>
        <v>0</v>
      </c>
      <c r="H16">
        <f t="shared" si="7"/>
        <v>0</v>
      </c>
      <c r="I16">
        <f t="shared" si="7"/>
        <v>0</v>
      </c>
      <c r="J16">
        <f t="shared" si="7"/>
        <v>0</v>
      </c>
      <c r="M16" s="77" t="s">
        <v>307</v>
      </c>
      <c r="N16">
        <f>Ruvlo1</f>
        <v>32.763532763532645</v>
      </c>
      <c r="O16" s="2">
        <f>IF(N16="OPEN","OPEN",IF(N16&gt;(INT(0.5+100*POWER(10,IF(96*(LOG(N16)-INT(LOG(N16)))-ROUND(96*(LOG(N16)-INT(LOG(N16))),0)&lt;0,ROUND(96*(LOG(N16)-INT(LOG(N16))),0)-1,ROUND(96*(LOG(N16)-INT(LOG(N16))),0))/96))*POWER(10,INT(LOG(N16))-2)+INT(0.5+100*POWER(10,(IF(96*(LOG(N16)-INT(LOG(N16)))-ROUND(96*(LOG(N16)-INT(LOG(N16))),0)&lt;0,ROUND(96*(LOG(N16)-INT(LOG(N16))),0)-1,ROUND(96*(LOG(N16)-INT(LOG(N16))),0))+1)/96))*POWER(10,INT(LOG(N16))-2))/2,INT(0.5+100*POWER(10,(IF(96*(LOG(N16)-INT(LOG(N16)))-ROUND(96*(LOG(N16)-INT(LOG(N16))),0)&lt;0,ROUND(96*(LOG(N16)-INT(LOG(N16))),0)-1,ROUND(96*(LOG(N16)-INT(LOG(N16))),0))+1)/96))*POWER(10,INT(LOG(N16))-2),INT(0.5+100*POWER(10,IF(96*(LOG(N16)-INT(LOG(N16)))-ROUND(96*(LOG(N16)-INT(LOG(N16))),0)&lt;0,ROUND(96*(LOG(N16)-INT(LOG(N16))),0)-1,ROUND(96*(LOG(N16)-INT(LOG(N16))),0))/96))*POWER(10,INT(LOG(N16))-2)))</f>
        <v>32.4</v>
      </c>
      <c r="P16" s="16" t="s">
        <v>300</v>
      </c>
    </row>
    <row r="17" spans="1:16" ht="13.6" x14ac:dyDescent="0.25">
      <c r="A17">
        <v>3.9</v>
      </c>
      <c r="B17">
        <f t="shared" si="2"/>
        <v>0</v>
      </c>
      <c r="C17">
        <f t="shared" si="3"/>
        <v>0</v>
      </c>
      <c r="D17">
        <f t="shared" si="4"/>
        <v>0</v>
      </c>
      <c r="E17">
        <f t="shared" si="5"/>
        <v>0</v>
      </c>
      <c r="F17">
        <f t="shared" si="6"/>
        <v>0</v>
      </c>
      <c r="G17">
        <f t="shared" si="7"/>
        <v>0</v>
      </c>
      <c r="H17">
        <f t="shared" si="7"/>
        <v>0</v>
      </c>
      <c r="I17">
        <f t="shared" si="7"/>
        <v>0</v>
      </c>
      <c r="J17">
        <f t="shared" si="7"/>
        <v>0</v>
      </c>
      <c r="M17" s="77" t="s">
        <v>308</v>
      </c>
      <c r="N17">
        <f>Ruvlo2</f>
        <v>13.426736719206019</v>
      </c>
      <c r="O17" s="2">
        <f>IF(N17="OPEN","OPEN",IF(N17&gt;(INT(0.5+100*POWER(10,IF(96*(LOG(N17)-INT(LOG(N17)))-ROUND(96*(LOG(N17)-INT(LOG(N17))),0)&lt;0,ROUND(96*(LOG(N17)-INT(LOG(N17))),0)-1,ROUND(96*(LOG(N17)-INT(LOG(N17))),0))/96))*POWER(10,INT(LOG(N17))-2)+INT(0.5+100*POWER(10,(IF(96*(LOG(N17)-INT(LOG(N17)))-ROUND(96*(LOG(N17)-INT(LOG(N17))),0)&lt;0,ROUND(96*(LOG(N17)-INT(LOG(N17))),0)-1,ROUND(96*(LOG(N17)-INT(LOG(N17))),0))+1)/96))*POWER(10,INT(LOG(N17))-2))/2,INT(0.5+100*POWER(10,(IF(96*(LOG(N17)-INT(LOG(N17)))-ROUND(96*(LOG(N17)-INT(LOG(N17))),0)&lt;0,ROUND(96*(LOG(N17)-INT(LOG(N17))),0)-1,ROUND(96*(LOG(N17)-INT(LOG(N17))),0))+1)/96))*POWER(10,INT(LOG(N17))-2),INT(0.5+100*POWER(10,IF(96*(LOG(N17)-INT(LOG(N17)))-ROUND(96*(LOG(N17)-INT(LOG(N17))),0)&lt;0,ROUND(96*(LOG(N17)-INT(LOG(N17))),0)-1,ROUND(96*(LOG(N17)-INT(LOG(N17))),0))/96))*POWER(10,INT(LOG(N17))-2)))</f>
        <v>13.3</v>
      </c>
      <c r="P17" s="16" t="s">
        <v>300</v>
      </c>
    </row>
    <row r="18" spans="1:16" ht="13.6" x14ac:dyDescent="0.25">
      <c r="A18">
        <v>4.7</v>
      </c>
      <c r="B18">
        <f t="shared" si="2"/>
        <v>0</v>
      </c>
      <c r="C18">
        <f t="shared" si="3"/>
        <v>0</v>
      </c>
      <c r="D18">
        <f t="shared" si="4"/>
        <v>0</v>
      </c>
      <c r="E18">
        <f t="shared" si="5"/>
        <v>0</v>
      </c>
      <c r="F18">
        <f t="shared" si="6"/>
        <v>0</v>
      </c>
      <c r="G18">
        <f t="shared" si="7"/>
        <v>0</v>
      </c>
      <c r="H18">
        <f t="shared" si="7"/>
        <v>0</v>
      </c>
      <c r="I18">
        <f t="shared" si="7"/>
        <v>0</v>
      </c>
      <c r="J18">
        <f t="shared" si="7"/>
        <v>0</v>
      </c>
      <c r="O18" s="2"/>
    </row>
    <row r="19" spans="1:16" ht="13.6" x14ac:dyDescent="0.25">
      <c r="A19">
        <v>5.6</v>
      </c>
      <c r="B19">
        <f t="shared" si="2"/>
        <v>0</v>
      </c>
      <c r="C19">
        <f t="shared" si="3"/>
        <v>0</v>
      </c>
      <c r="D19">
        <f t="shared" si="4"/>
        <v>0</v>
      </c>
      <c r="E19">
        <f t="shared" si="5"/>
        <v>0</v>
      </c>
      <c r="F19">
        <f t="shared" si="6"/>
        <v>0</v>
      </c>
      <c r="G19">
        <f t="shared" si="7"/>
        <v>0</v>
      </c>
      <c r="H19">
        <f t="shared" si="7"/>
        <v>0</v>
      </c>
      <c r="I19">
        <f t="shared" si="7"/>
        <v>0</v>
      </c>
      <c r="J19">
        <f t="shared" si="7"/>
        <v>0</v>
      </c>
      <c r="M19" s="77" t="s">
        <v>840</v>
      </c>
      <c r="N19">
        <f>Csby</f>
        <v>0</v>
      </c>
      <c r="O19" s="2">
        <f>H4</f>
        <v>0</v>
      </c>
    </row>
    <row r="20" spans="1:16" ht="13.6" x14ac:dyDescent="0.25">
      <c r="A20">
        <v>6.8</v>
      </c>
      <c r="B20">
        <f t="shared" si="2"/>
        <v>0</v>
      </c>
      <c r="C20">
        <f t="shared" si="3"/>
        <v>0</v>
      </c>
      <c r="D20">
        <f t="shared" si="4"/>
        <v>0</v>
      </c>
      <c r="E20">
        <f t="shared" si="5"/>
        <v>0</v>
      </c>
      <c r="F20">
        <f t="shared" si="6"/>
        <v>0</v>
      </c>
      <c r="G20">
        <f t="shared" si="7"/>
        <v>0</v>
      </c>
      <c r="H20">
        <f t="shared" si="7"/>
        <v>0</v>
      </c>
      <c r="I20">
        <f t="shared" si="7"/>
        <v>0</v>
      </c>
      <c r="J20">
        <f t="shared" si="7"/>
        <v>0</v>
      </c>
      <c r="O20" s="2"/>
    </row>
    <row r="21" spans="1:16" ht="13.6" x14ac:dyDescent="0.25">
      <c r="A21">
        <v>8.1999999999999993</v>
      </c>
      <c r="B21">
        <f t="shared" si="2"/>
        <v>0</v>
      </c>
      <c r="C21">
        <f t="shared" si="3"/>
        <v>0</v>
      </c>
      <c r="D21">
        <f t="shared" si="4"/>
        <v>0</v>
      </c>
      <c r="E21">
        <f t="shared" si="5"/>
        <v>0</v>
      </c>
      <c r="F21">
        <f t="shared" si="6"/>
        <v>0</v>
      </c>
      <c r="G21">
        <f t="shared" si="7"/>
        <v>0</v>
      </c>
      <c r="H21">
        <f t="shared" si="7"/>
        <v>0</v>
      </c>
      <c r="I21">
        <f t="shared" si="7"/>
        <v>0</v>
      </c>
      <c r="J21">
        <f t="shared" si="7"/>
        <v>0</v>
      </c>
      <c r="M21" s="77" t="s">
        <v>404</v>
      </c>
      <c r="N21" s="243">
        <f>Rshunt</f>
        <v>10</v>
      </c>
      <c r="O21" s="2">
        <f>IF(N21=0,0,IF(N21&gt;(INT(0.5+100*POWER(10,IF(96*(LOG(N21)-INT(LOG(N21)))-ROUND(96*(LOG(N21)-INT(LOG(N21))),0)&lt;0,ROUND(96*(LOG(N21)-INT(LOG(N21))),0)-1,ROUND(96*(LOG(N21)-INT(LOG(N21))),0))/96))*POWER(10,INT(LOG(N21))-2)+INT(0.5+100*POWER(10,(IF(96*(LOG(N21)-INT(LOG(N21)))-ROUND(96*(LOG(N21)-INT(LOG(N21))),0)&lt;0,ROUND(96*(LOG(N21)-INT(LOG(N21))),0)-1,ROUND(96*(LOG(N21)-INT(LOG(N21))),0))+1)/96))*POWER(10,INT(LOG(N21))-2))/2,INT(0.5+100*POWER(10,(IF(96*(LOG(N21)-INT(LOG(N21)))-ROUND(96*(LOG(N21)-INT(LOG(N21))),0)&lt;0,ROUND(96*(LOG(N21)-INT(LOG(N21))),0)-1,ROUND(96*(LOG(N21)-INT(LOG(N21))),0))+1)/96))*POWER(10,INT(LOG(N21))-2),INT(0.5+100*POWER(10,IF(96*(LOG(N21)-INT(LOG(N21)))-ROUND(96*(LOG(N21)-INT(LOG(N21))),0)&lt;0,ROUND(96*(LOG(N21)-INT(LOG(N21))),0)-1,ROUND(96*(LOG(N21)-INT(LOG(N21))),0))/96))*POWER(10,INT(LOG(N21))-2)))</f>
        <v>10</v>
      </c>
      <c r="P21" s="16" t="s">
        <v>391</v>
      </c>
    </row>
    <row r="22" spans="1:16" x14ac:dyDescent="0.2">
      <c r="A22">
        <v>10</v>
      </c>
      <c r="B22">
        <f t="shared" si="2"/>
        <v>0</v>
      </c>
      <c r="C22">
        <f t="shared" si="3"/>
        <v>0</v>
      </c>
      <c r="D22">
        <f t="shared" si="4"/>
        <v>0</v>
      </c>
      <c r="E22">
        <f t="shared" si="5"/>
        <v>0</v>
      </c>
      <c r="F22">
        <f t="shared" si="6"/>
        <v>0</v>
      </c>
      <c r="G22">
        <f t="shared" si="7"/>
        <v>0</v>
      </c>
      <c r="H22">
        <f t="shared" si="7"/>
        <v>0</v>
      </c>
      <c r="I22">
        <f t="shared" si="7"/>
        <v>0</v>
      </c>
      <c r="J22">
        <f t="shared" si="7"/>
        <v>0</v>
      </c>
    </row>
    <row r="23" spans="1:16" ht="13.6" x14ac:dyDescent="0.25">
      <c r="A23">
        <v>12</v>
      </c>
      <c r="B23">
        <f t="shared" si="2"/>
        <v>0</v>
      </c>
      <c r="C23">
        <f t="shared" si="3"/>
        <v>0</v>
      </c>
      <c r="D23">
        <f t="shared" si="4"/>
        <v>0</v>
      </c>
      <c r="E23">
        <f t="shared" si="5"/>
        <v>0</v>
      </c>
      <c r="F23">
        <f t="shared" si="6"/>
        <v>0</v>
      </c>
      <c r="G23">
        <f t="shared" si="7"/>
        <v>0</v>
      </c>
      <c r="H23">
        <f t="shared" si="7"/>
        <v>0</v>
      </c>
      <c r="I23">
        <f t="shared" si="7"/>
        <v>0</v>
      </c>
      <c r="J23">
        <f t="shared" si="7"/>
        <v>0</v>
      </c>
      <c r="M23" t="s">
        <v>981</v>
      </c>
      <c r="N23">
        <f>C_IL_recommend</f>
        <v>1.3960048602141129E-9</v>
      </c>
      <c r="O23" s="2">
        <f>I4</f>
        <v>1.5E-9</v>
      </c>
      <c r="P23" s="77" t="s">
        <v>26</v>
      </c>
    </row>
    <row r="24" spans="1:16" ht="13.6" x14ac:dyDescent="0.25">
      <c r="A24">
        <v>15</v>
      </c>
      <c r="B24">
        <f t="shared" si="2"/>
        <v>0</v>
      </c>
      <c r="C24">
        <f t="shared" si="3"/>
        <v>0</v>
      </c>
      <c r="D24">
        <f t="shared" si="4"/>
        <v>0</v>
      </c>
      <c r="E24">
        <f t="shared" si="5"/>
        <v>0</v>
      </c>
      <c r="F24">
        <f t="shared" si="6"/>
        <v>0</v>
      </c>
      <c r="G24">
        <f t="shared" si="7"/>
        <v>0</v>
      </c>
      <c r="H24">
        <f t="shared" si="7"/>
        <v>0</v>
      </c>
      <c r="I24">
        <f t="shared" si="7"/>
        <v>0</v>
      </c>
      <c r="J24">
        <f t="shared" si="7"/>
        <v>0</v>
      </c>
      <c r="M24" s="77" t="s">
        <v>982</v>
      </c>
      <c r="N24">
        <f>R_IL_recommend</f>
        <v>477.2861854381008</v>
      </c>
      <c r="O24" s="2">
        <f t="shared" ref="O24" si="9">IF(N24&gt;(INT(0.5+100*POWER(10,IF(96*(LOG(N24)-INT(LOG(N24)))-ROUND(96*(LOG(N24)-INT(LOG(N24))),0)&lt;0,ROUND(96*(LOG(N24)-INT(LOG(N24))),0)-1,ROUND(96*(LOG(N24)-INT(LOG(N24))),0))/96))*POWER(10,INT(LOG(N24))-2)+INT(0.5+100*POWER(10,(IF(96*(LOG(N24)-INT(LOG(N24)))-ROUND(96*(LOG(N24)-INT(LOG(N24))),0)&lt;0,ROUND(96*(LOG(N24)-INT(LOG(N24))),0)-1,ROUND(96*(LOG(N24)-INT(LOG(N24))),0))+1)/96))*POWER(10,INT(LOG(N24))-2))/2,INT(0.5+100*POWER(10,(IF(96*(LOG(N24)-INT(LOG(N24)))-ROUND(96*(LOG(N24)-INT(LOG(N24))),0)&lt;0,ROUND(96*(LOG(N24)-INT(LOG(N24))),0)-1,ROUND(96*(LOG(N24)-INT(LOG(N24))),0))+1)/96))*POWER(10,INT(LOG(N24))-2),INT(0.5+100*POWER(10,IF(96*(LOG(N24)-INT(LOG(N24)))-ROUND(96*(LOG(N24)-INT(LOG(N24))),0)&lt;0,ROUND(96*(LOG(N24)-INT(LOG(N24))),0)-1,ROUND(96*(LOG(N24)-INT(LOG(N24))),0))/96))*POWER(10,INT(LOG(N24))-2))</f>
        <v>475</v>
      </c>
      <c r="P24" s="16" t="s">
        <v>314</v>
      </c>
    </row>
    <row r="25" spans="1:16" x14ac:dyDescent="0.2">
      <c r="A25">
        <v>18</v>
      </c>
      <c r="B25">
        <f t="shared" si="2"/>
        <v>0</v>
      </c>
      <c r="C25">
        <f t="shared" si="3"/>
        <v>0</v>
      </c>
      <c r="D25">
        <f t="shared" si="4"/>
        <v>0</v>
      </c>
      <c r="E25">
        <f t="shared" si="5"/>
        <v>0</v>
      </c>
      <c r="F25">
        <f t="shared" si="6"/>
        <v>0</v>
      </c>
      <c r="G25">
        <f t="shared" si="7"/>
        <v>0</v>
      </c>
      <c r="H25">
        <f t="shared" si="7"/>
        <v>0</v>
      </c>
      <c r="I25">
        <f t="shared" si="7"/>
        <v>0</v>
      </c>
      <c r="J25">
        <f t="shared" si="7"/>
        <v>0</v>
      </c>
    </row>
    <row r="26" spans="1:16" x14ac:dyDescent="0.2">
      <c r="A26">
        <v>22</v>
      </c>
      <c r="B26">
        <f t="shared" si="2"/>
        <v>0</v>
      </c>
      <c r="C26">
        <f t="shared" si="3"/>
        <v>0</v>
      </c>
      <c r="D26">
        <f t="shared" si="4"/>
        <v>0</v>
      </c>
      <c r="E26">
        <f t="shared" si="5"/>
        <v>0</v>
      </c>
      <c r="F26">
        <f t="shared" si="6"/>
        <v>0</v>
      </c>
      <c r="G26">
        <f t="shared" si="7"/>
        <v>0</v>
      </c>
      <c r="H26">
        <f t="shared" si="7"/>
        <v>0</v>
      </c>
      <c r="I26">
        <f t="shared" si="7"/>
        <v>0</v>
      </c>
      <c r="J26">
        <f t="shared" si="7"/>
        <v>0</v>
      </c>
    </row>
    <row r="27" spans="1:16" ht="13.6" x14ac:dyDescent="0.25">
      <c r="A27">
        <v>27</v>
      </c>
      <c r="B27">
        <f t="shared" si="2"/>
        <v>0</v>
      </c>
      <c r="C27">
        <f t="shared" si="3"/>
        <v>0</v>
      </c>
      <c r="D27">
        <f t="shared" si="4"/>
        <v>0</v>
      </c>
      <c r="E27">
        <f t="shared" si="5"/>
        <v>0</v>
      </c>
      <c r="F27">
        <f t="shared" si="6"/>
        <v>0</v>
      </c>
      <c r="G27">
        <f t="shared" si="7"/>
        <v>0</v>
      </c>
      <c r="H27">
        <f t="shared" si="7"/>
        <v>0</v>
      </c>
      <c r="I27">
        <f t="shared" si="7"/>
        <v>0</v>
      </c>
      <c r="J27">
        <f t="shared" si="7"/>
        <v>0</v>
      </c>
      <c r="M27" s="3" t="s">
        <v>201</v>
      </c>
      <c r="N27" t="str">
        <f>O7/1000&amp;" kΩ"</f>
        <v>1.5 kΩ</v>
      </c>
      <c r="O27">
        <f>O7/1000</f>
        <v>1.5</v>
      </c>
      <c r="P27" s="16" t="s">
        <v>300</v>
      </c>
    </row>
    <row r="28" spans="1:16" x14ac:dyDescent="0.2">
      <c r="A28">
        <v>33</v>
      </c>
      <c r="B28">
        <f t="shared" si="2"/>
        <v>0</v>
      </c>
      <c r="C28">
        <f t="shared" si="3"/>
        <v>0</v>
      </c>
      <c r="D28">
        <f t="shared" si="4"/>
        <v>0</v>
      </c>
      <c r="E28">
        <f t="shared" si="5"/>
        <v>0</v>
      </c>
      <c r="F28">
        <f t="shared" si="6"/>
        <v>0</v>
      </c>
      <c r="G28">
        <f t="shared" si="7"/>
        <v>0</v>
      </c>
      <c r="H28">
        <f t="shared" si="7"/>
        <v>0</v>
      </c>
      <c r="I28">
        <f t="shared" si="7"/>
        <v>0</v>
      </c>
      <c r="J28">
        <f t="shared" si="7"/>
        <v>0</v>
      </c>
      <c r="M28" s="3" t="s">
        <v>198</v>
      </c>
      <c r="N28" t="str">
        <f>C4*1000000000&amp;" nF"</f>
        <v>0.056 nF</v>
      </c>
      <c r="O28">
        <f>C4*1000000000000</f>
        <v>56</v>
      </c>
      <c r="P28" s="77" t="s">
        <v>170</v>
      </c>
    </row>
    <row r="29" spans="1:16" x14ac:dyDescent="0.2">
      <c r="A29">
        <v>39</v>
      </c>
      <c r="B29">
        <f t="shared" si="2"/>
        <v>0</v>
      </c>
      <c r="C29">
        <f t="shared" si="3"/>
        <v>0</v>
      </c>
      <c r="D29">
        <f t="shared" si="4"/>
        <v>0</v>
      </c>
      <c r="E29">
        <f t="shared" si="5"/>
        <v>0</v>
      </c>
      <c r="F29">
        <f t="shared" si="6"/>
        <v>0</v>
      </c>
      <c r="G29">
        <f t="shared" si="7"/>
        <v>0</v>
      </c>
      <c r="H29">
        <f t="shared" si="7"/>
        <v>0</v>
      </c>
      <c r="I29">
        <f t="shared" si="7"/>
        <v>0</v>
      </c>
      <c r="J29">
        <f t="shared" si="7"/>
        <v>0</v>
      </c>
      <c r="M29" s="3" t="s">
        <v>199</v>
      </c>
      <c r="N29" t="str">
        <f>D4*1000000000000&amp;" pF"</f>
        <v>2700 pF</v>
      </c>
      <c r="O29">
        <f>D4*1000000000000</f>
        <v>2700</v>
      </c>
      <c r="P29" s="77" t="s">
        <v>32</v>
      </c>
    </row>
    <row r="30" spans="1:16" ht="13.6" x14ac:dyDescent="0.25">
      <c r="A30">
        <v>47</v>
      </c>
      <c r="B30">
        <f t="shared" si="2"/>
        <v>0</v>
      </c>
      <c r="C30">
        <f t="shared" si="3"/>
        <v>0</v>
      </c>
      <c r="D30">
        <f t="shared" si="4"/>
        <v>0</v>
      </c>
      <c r="E30">
        <f t="shared" si="5"/>
        <v>0</v>
      </c>
      <c r="F30">
        <f t="shared" si="6"/>
        <v>0</v>
      </c>
      <c r="G30">
        <f t="shared" si="7"/>
        <v>0</v>
      </c>
      <c r="H30">
        <f t="shared" si="7"/>
        <v>0</v>
      </c>
      <c r="I30">
        <f t="shared" si="7"/>
        <v>0</v>
      </c>
      <c r="J30">
        <f t="shared" si="7"/>
        <v>0</v>
      </c>
      <c r="M30" s="3"/>
      <c r="P30" s="16"/>
    </row>
    <row r="31" spans="1:16" x14ac:dyDescent="0.2">
      <c r="A31">
        <v>56</v>
      </c>
      <c r="B31">
        <f t="shared" si="2"/>
        <v>0</v>
      </c>
      <c r="C31">
        <f t="shared" si="3"/>
        <v>0</v>
      </c>
      <c r="D31">
        <f t="shared" si="4"/>
        <v>0</v>
      </c>
      <c r="E31">
        <f t="shared" si="5"/>
        <v>0</v>
      </c>
      <c r="F31">
        <f t="shared" si="6"/>
        <v>0</v>
      </c>
      <c r="G31">
        <f t="shared" si="7"/>
        <v>0</v>
      </c>
      <c r="H31">
        <f t="shared" si="7"/>
        <v>0</v>
      </c>
      <c r="I31">
        <f t="shared" si="7"/>
        <v>0</v>
      </c>
      <c r="J31">
        <f t="shared" si="7"/>
        <v>0</v>
      </c>
      <c r="M31" s="3"/>
      <c r="P31" s="77"/>
    </row>
    <row r="32" spans="1:16" x14ac:dyDescent="0.2">
      <c r="A32">
        <v>68</v>
      </c>
      <c r="B32">
        <f t="shared" si="2"/>
        <v>0</v>
      </c>
      <c r="C32">
        <f t="shared" si="3"/>
        <v>0</v>
      </c>
      <c r="D32">
        <f t="shared" si="4"/>
        <v>0</v>
      </c>
      <c r="E32">
        <f t="shared" si="5"/>
        <v>0</v>
      </c>
      <c r="F32">
        <f t="shared" si="6"/>
        <v>0</v>
      </c>
      <c r="G32">
        <f t="shared" si="7"/>
        <v>0</v>
      </c>
      <c r="H32">
        <f t="shared" si="7"/>
        <v>0</v>
      </c>
      <c r="I32">
        <f t="shared" si="7"/>
        <v>0</v>
      </c>
      <c r="J32">
        <f t="shared" si="7"/>
        <v>0</v>
      </c>
    </row>
    <row r="33" spans="1:13" x14ac:dyDescent="0.2">
      <c r="A33">
        <v>82</v>
      </c>
      <c r="B33">
        <f t="shared" si="2"/>
        <v>0</v>
      </c>
      <c r="C33">
        <f t="shared" si="3"/>
        <v>0</v>
      </c>
      <c r="D33">
        <f t="shared" si="4"/>
        <v>0</v>
      </c>
      <c r="E33">
        <f t="shared" si="5"/>
        <v>0</v>
      </c>
      <c r="F33">
        <f t="shared" si="6"/>
        <v>0</v>
      </c>
      <c r="G33">
        <f t="shared" si="7"/>
        <v>0</v>
      </c>
      <c r="H33">
        <f t="shared" si="7"/>
        <v>0</v>
      </c>
      <c r="I33">
        <f t="shared" si="7"/>
        <v>0</v>
      </c>
      <c r="J33">
        <f t="shared" si="7"/>
        <v>0</v>
      </c>
    </row>
    <row r="34" spans="1:13" x14ac:dyDescent="0.2">
      <c r="A34">
        <f>A22*10</f>
        <v>100</v>
      </c>
      <c r="B34">
        <f t="shared" si="2"/>
        <v>0</v>
      </c>
      <c r="C34">
        <f t="shared" si="3"/>
        <v>0</v>
      </c>
      <c r="D34">
        <f t="shared" si="4"/>
        <v>0</v>
      </c>
      <c r="E34">
        <f t="shared" si="5"/>
        <v>0</v>
      </c>
      <c r="F34">
        <f t="shared" si="6"/>
        <v>0</v>
      </c>
      <c r="G34">
        <f t="shared" si="7"/>
        <v>0</v>
      </c>
      <c r="H34">
        <f t="shared" si="7"/>
        <v>0</v>
      </c>
      <c r="I34">
        <f t="shared" si="7"/>
        <v>0</v>
      </c>
      <c r="J34">
        <f t="shared" si="7"/>
        <v>0</v>
      </c>
      <c r="M34" s="77"/>
    </row>
    <row r="35" spans="1:13" x14ac:dyDescent="0.2">
      <c r="A35">
        <f t="shared" ref="A35:A98" si="10">A23*10</f>
        <v>120</v>
      </c>
      <c r="B35">
        <f t="shared" si="2"/>
        <v>0</v>
      </c>
      <c r="C35">
        <f t="shared" si="3"/>
        <v>0</v>
      </c>
      <c r="D35">
        <f t="shared" si="4"/>
        <v>0</v>
      </c>
      <c r="E35">
        <f t="shared" si="5"/>
        <v>0</v>
      </c>
      <c r="F35">
        <f t="shared" si="6"/>
        <v>0</v>
      </c>
      <c r="G35">
        <f t="shared" si="7"/>
        <v>0</v>
      </c>
      <c r="H35">
        <f t="shared" si="7"/>
        <v>0</v>
      </c>
      <c r="I35">
        <f t="shared" si="7"/>
        <v>0</v>
      </c>
      <c r="J35">
        <f t="shared" si="7"/>
        <v>0</v>
      </c>
      <c r="M35" s="77"/>
    </row>
    <row r="36" spans="1:13" x14ac:dyDescent="0.2">
      <c r="A36">
        <f t="shared" si="10"/>
        <v>150</v>
      </c>
      <c r="B36">
        <f t="shared" si="2"/>
        <v>0</v>
      </c>
      <c r="C36">
        <f t="shared" si="3"/>
        <v>0</v>
      </c>
      <c r="D36">
        <f t="shared" si="4"/>
        <v>0</v>
      </c>
      <c r="E36">
        <f t="shared" si="5"/>
        <v>0</v>
      </c>
      <c r="F36">
        <f t="shared" si="6"/>
        <v>0</v>
      </c>
      <c r="G36">
        <f t="shared" si="7"/>
        <v>180</v>
      </c>
      <c r="H36">
        <f t="shared" si="7"/>
        <v>0</v>
      </c>
      <c r="I36">
        <f t="shared" si="7"/>
        <v>0</v>
      </c>
      <c r="J36">
        <f t="shared" si="7"/>
        <v>0</v>
      </c>
    </row>
    <row r="37" spans="1:13" x14ac:dyDescent="0.2">
      <c r="A37">
        <f t="shared" si="10"/>
        <v>180</v>
      </c>
      <c r="B37">
        <f t="shared" si="2"/>
        <v>0</v>
      </c>
      <c r="C37">
        <f t="shared" si="3"/>
        <v>0</v>
      </c>
      <c r="D37">
        <f t="shared" si="4"/>
        <v>0</v>
      </c>
      <c r="E37">
        <f t="shared" si="5"/>
        <v>0</v>
      </c>
      <c r="F37">
        <f t="shared" si="6"/>
        <v>0</v>
      </c>
      <c r="G37">
        <f t="shared" si="7"/>
        <v>0</v>
      </c>
      <c r="H37">
        <f t="shared" si="7"/>
        <v>0</v>
      </c>
      <c r="I37">
        <f t="shared" si="7"/>
        <v>0</v>
      </c>
      <c r="J37">
        <f t="shared" si="7"/>
        <v>0</v>
      </c>
    </row>
    <row r="38" spans="1:13" x14ac:dyDescent="0.2">
      <c r="A38">
        <f t="shared" si="10"/>
        <v>220</v>
      </c>
      <c r="B38">
        <f t="shared" si="2"/>
        <v>0</v>
      </c>
      <c r="C38">
        <f t="shared" si="3"/>
        <v>0</v>
      </c>
      <c r="D38">
        <f t="shared" si="4"/>
        <v>0</v>
      </c>
      <c r="E38">
        <f t="shared" si="5"/>
        <v>0</v>
      </c>
      <c r="F38">
        <f t="shared" si="6"/>
        <v>0</v>
      </c>
      <c r="G38">
        <f t="shared" si="7"/>
        <v>0</v>
      </c>
      <c r="H38">
        <f t="shared" si="7"/>
        <v>0</v>
      </c>
      <c r="I38">
        <f t="shared" si="7"/>
        <v>0</v>
      </c>
      <c r="J38">
        <f t="shared" si="7"/>
        <v>0</v>
      </c>
    </row>
    <row r="39" spans="1:13" x14ac:dyDescent="0.2">
      <c r="A39">
        <f t="shared" si="10"/>
        <v>270</v>
      </c>
      <c r="B39">
        <f t="shared" si="2"/>
        <v>0</v>
      </c>
      <c r="C39">
        <f t="shared" ref="C39:C70" si="11">IF(IF((C$3*10^12-$A40)*(C$3*10^12-$A39)*-1&lt;0,0,1)*IF(ABS(C$3*10^12-$A40)&gt;(C$3*10^12-$A39),$A39,$A40)=C40,0,IF((C$3*10^12-$A40)*(C$3*10^12-$A39)*-1&lt;0,0,1)*IF(ABS(C$3*10^12-$A40)&gt;(C$3*10^12-$A39),$A39,$A40))</f>
        <v>0</v>
      </c>
      <c r="D39">
        <f t="shared" si="4"/>
        <v>0</v>
      </c>
      <c r="E39">
        <f t="shared" si="5"/>
        <v>0</v>
      </c>
      <c r="F39">
        <f t="shared" si="6"/>
        <v>0</v>
      </c>
      <c r="G39">
        <f t="shared" si="7"/>
        <v>0</v>
      </c>
      <c r="H39">
        <f t="shared" si="7"/>
        <v>0</v>
      </c>
      <c r="I39">
        <f t="shared" si="7"/>
        <v>0</v>
      </c>
      <c r="J39">
        <f t="shared" si="7"/>
        <v>0</v>
      </c>
    </row>
    <row r="40" spans="1:13" x14ac:dyDescent="0.2">
      <c r="A40">
        <f t="shared" si="10"/>
        <v>330</v>
      </c>
      <c r="B40">
        <f t="shared" si="2"/>
        <v>0</v>
      </c>
      <c r="C40">
        <f t="shared" si="11"/>
        <v>0</v>
      </c>
      <c r="D40">
        <f t="shared" si="4"/>
        <v>0</v>
      </c>
      <c r="E40">
        <f t="shared" si="5"/>
        <v>0</v>
      </c>
      <c r="F40">
        <f t="shared" si="6"/>
        <v>0</v>
      </c>
      <c r="G40">
        <f t="shared" si="7"/>
        <v>0</v>
      </c>
      <c r="H40">
        <f t="shared" si="7"/>
        <v>0</v>
      </c>
      <c r="I40">
        <f t="shared" si="7"/>
        <v>0</v>
      </c>
      <c r="J40">
        <f t="shared" si="7"/>
        <v>0</v>
      </c>
    </row>
    <row r="41" spans="1:13" x14ac:dyDescent="0.2">
      <c r="A41">
        <f t="shared" si="10"/>
        <v>390</v>
      </c>
      <c r="B41">
        <f t="shared" si="2"/>
        <v>0</v>
      </c>
      <c r="C41">
        <f t="shared" si="11"/>
        <v>0</v>
      </c>
      <c r="D41">
        <f t="shared" si="4"/>
        <v>0</v>
      </c>
      <c r="E41">
        <f t="shared" si="5"/>
        <v>0</v>
      </c>
      <c r="F41">
        <f t="shared" si="6"/>
        <v>0</v>
      </c>
      <c r="G41">
        <f t="shared" si="7"/>
        <v>0</v>
      </c>
      <c r="H41">
        <f t="shared" si="7"/>
        <v>0</v>
      </c>
      <c r="I41">
        <f t="shared" si="7"/>
        <v>0</v>
      </c>
      <c r="J41">
        <f t="shared" si="7"/>
        <v>0</v>
      </c>
    </row>
    <row r="42" spans="1:13" x14ac:dyDescent="0.2">
      <c r="A42">
        <f t="shared" si="10"/>
        <v>470</v>
      </c>
      <c r="B42">
        <f t="shared" si="2"/>
        <v>0</v>
      </c>
      <c r="C42">
        <f t="shared" si="11"/>
        <v>0</v>
      </c>
      <c r="D42">
        <f t="shared" si="4"/>
        <v>0</v>
      </c>
      <c r="E42">
        <f t="shared" si="5"/>
        <v>0</v>
      </c>
      <c r="F42">
        <f t="shared" si="6"/>
        <v>0</v>
      </c>
      <c r="G42">
        <f t="shared" si="7"/>
        <v>0</v>
      </c>
      <c r="H42">
        <f t="shared" si="7"/>
        <v>0</v>
      </c>
      <c r="I42">
        <f t="shared" si="7"/>
        <v>0</v>
      </c>
      <c r="J42">
        <f t="shared" si="7"/>
        <v>0</v>
      </c>
    </row>
    <row r="43" spans="1:13" x14ac:dyDescent="0.2">
      <c r="A43">
        <f t="shared" si="10"/>
        <v>560</v>
      </c>
      <c r="B43">
        <f t="shared" si="2"/>
        <v>0</v>
      </c>
      <c r="C43">
        <f t="shared" si="11"/>
        <v>0</v>
      </c>
      <c r="D43">
        <f t="shared" si="4"/>
        <v>0</v>
      </c>
      <c r="E43">
        <f t="shared" si="5"/>
        <v>0</v>
      </c>
      <c r="F43">
        <f t="shared" si="6"/>
        <v>0</v>
      </c>
      <c r="G43">
        <f t="shared" si="7"/>
        <v>0</v>
      </c>
      <c r="H43">
        <f t="shared" si="7"/>
        <v>0</v>
      </c>
      <c r="I43">
        <f t="shared" si="7"/>
        <v>0</v>
      </c>
      <c r="J43">
        <f t="shared" si="7"/>
        <v>0</v>
      </c>
    </row>
    <row r="44" spans="1:13" x14ac:dyDescent="0.2">
      <c r="A44">
        <f t="shared" si="10"/>
        <v>680</v>
      </c>
      <c r="B44">
        <f t="shared" si="2"/>
        <v>0</v>
      </c>
      <c r="C44">
        <f t="shared" si="11"/>
        <v>0</v>
      </c>
      <c r="D44">
        <f t="shared" si="4"/>
        <v>0</v>
      </c>
      <c r="E44">
        <f t="shared" si="5"/>
        <v>0</v>
      </c>
      <c r="F44">
        <f t="shared" si="6"/>
        <v>0</v>
      </c>
      <c r="G44">
        <f t="shared" si="7"/>
        <v>0</v>
      </c>
      <c r="H44">
        <f t="shared" si="7"/>
        <v>0</v>
      </c>
      <c r="I44">
        <f t="shared" si="7"/>
        <v>0</v>
      </c>
      <c r="J44">
        <f t="shared" si="7"/>
        <v>0</v>
      </c>
    </row>
    <row r="45" spans="1:13" x14ac:dyDescent="0.2">
      <c r="A45">
        <f>A33*10</f>
        <v>820</v>
      </c>
      <c r="B45">
        <f t="shared" si="2"/>
        <v>0</v>
      </c>
      <c r="C45">
        <f t="shared" si="11"/>
        <v>0</v>
      </c>
      <c r="D45">
        <f t="shared" si="4"/>
        <v>0</v>
      </c>
      <c r="E45">
        <f t="shared" si="5"/>
        <v>0</v>
      </c>
      <c r="F45">
        <f t="shared" si="6"/>
        <v>0</v>
      </c>
      <c r="G45">
        <f t="shared" si="7"/>
        <v>0</v>
      </c>
      <c r="H45">
        <f t="shared" si="7"/>
        <v>0</v>
      </c>
      <c r="I45">
        <f t="shared" si="7"/>
        <v>0</v>
      </c>
      <c r="J45">
        <f t="shared" si="7"/>
        <v>0</v>
      </c>
    </row>
    <row r="46" spans="1:13" x14ac:dyDescent="0.2">
      <c r="A46">
        <f t="shared" si="10"/>
        <v>1000</v>
      </c>
      <c r="B46">
        <f t="shared" si="2"/>
        <v>0</v>
      </c>
      <c r="C46">
        <f t="shared" si="11"/>
        <v>0</v>
      </c>
      <c r="D46">
        <f t="shared" si="4"/>
        <v>0</v>
      </c>
      <c r="E46">
        <f t="shared" si="5"/>
        <v>0</v>
      </c>
      <c r="F46">
        <f t="shared" si="6"/>
        <v>0</v>
      </c>
      <c r="G46">
        <f t="shared" si="7"/>
        <v>0</v>
      </c>
      <c r="H46">
        <f t="shared" si="7"/>
        <v>0</v>
      </c>
      <c r="I46">
        <f t="shared" si="7"/>
        <v>0</v>
      </c>
      <c r="J46">
        <f t="shared" si="7"/>
        <v>0</v>
      </c>
    </row>
    <row r="47" spans="1:13" x14ac:dyDescent="0.2">
      <c r="A47">
        <f t="shared" si="10"/>
        <v>1200</v>
      </c>
      <c r="B47">
        <f t="shared" si="2"/>
        <v>0</v>
      </c>
      <c r="C47">
        <f t="shared" si="11"/>
        <v>0</v>
      </c>
      <c r="D47">
        <f t="shared" si="4"/>
        <v>0</v>
      </c>
      <c r="E47">
        <f t="shared" si="5"/>
        <v>0</v>
      </c>
      <c r="F47">
        <f t="shared" si="6"/>
        <v>0</v>
      </c>
      <c r="G47">
        <f t="shared" si="7"/>
        <v>0</v>
      </c>
      <c r="H47">
        <f t="shared" si="7"/>
        <v>0</v>
      </c>
      <c r="I47">
        <f t="shared" si="7"/>
        <v>1500</v>
      </c>
      <c r="J47">
        <f t="shared" si="7"/>
        <v>0</v>
      </c>
    </row>
    <row r="48" spans="1:13" x14ac:dyDescent="0.2">
      <c r="A48">
        <f t="shared" si="10"/>
        <v>1500</v>
      </c>
      <c r="B48">
        <f t="shared" si="2"/>
        <v>0</v>
      </c>
      <c r="C48">
        <f t="shared" si="11"/>
        <v>0</v>
      </c>
      <c r="D48">
        <f t="shared" si="4"/>
        <v>0</v>
      </c>
      <c r="E48">
        <f t="shared" si="5"/>
        <v>0</v>
      </c>
      <c r="F48">
        <f t="shared" si="6"/>
        <v>0</v>
      </c>
      <c r="G48">
        <f t="shared" si="7"/>
        <v>0</v>
      </c>
      <c r="H48">
        <f t="shared" si="7"/>
        <v>0</v>
      </c>
      <c r="I48">
        <f t="shared" si="7"/>
        <v>0</v>
      </c>
      <c r="J48">
        <f t="shared" si="7"/>
        <v>0</v>
      </c>
    </row>
    <row r="49" spans="1:10" x14ac:dyDescent="0.2">
      <c r="A49">
        <f t="shared" si="10"/>
        <v>1800</v>
      </c>
      <c r="B49">
        <f t="shared" si="2"/>
        <v>0</v>
      </c>
      <c r="C49">
        <f t="shared" si="11"/>
        <v>0</v>
      </c>
      <c r="D49">
        <f t="shared" si="4"/>
        <v>0</v>
      </c>
      <c r="E49">
        <f t="shared" si="5"/>
        <v>0</v>
      </c>
      <c r="F49">
        <f t="shared" si="6"/>
        <v>0</v>
      </c>
      <c r="G49">
        <f t="shared" si="7"/>
        <v>0</v>
      </c>
      <c r="H49">
        <f t="shared" si="7"/>
        <v>0</v>
      </c>
      <c r="I49">
        <f t="shared" si="7"/>
        <v>0</v>
      </c>
      <c r="J49">
        <f t="shared" si="7"/>
        <v>0</v>
      </c>
    </row>
    <row r="50" spans="1:10" x14ac:dyDescent="0.2">
      <c r="A50">
        <f t="shared" si="10"/>
        <v>2200</v>
      </c>
      <c r="B50">
        <f t="shared" si="2"/>
        <v>0</v>
      </c>
      <c r="C50">
        <f t="shared" si="11"/>
        <v>0</v>
      </c>
      <c r="D50">
        <f t="shared" si="4"/>
        <v>2700</v>
      </c>
      <c r="E50">
        <f t="shared" si="5"/>
        <v>0</v>
      </c>
      <c r="F50">
        <f t="shared" si="6"/>
        <v>0</v>
      </c>
      <c r="G50">
        <f t="shared" si="7"/>
        <v>0</v>
      </c>
      <c r="H50">
        <f t="shared" si="7"/>
        <v>0</v>
      </c>
      <c r="I50">
        <f t="shared" si="7"/>
        <v>0</v>
      </c>
      <c r="J50">
        <f t="shared" si="7"/>
        <v>0</v>
      </c>
    </row>
    <row r="51" spans="1:10" x14ac:dyDescent="0.2">
      <c r="A51">
        <f t="shared" si="10"/>
        <v>2700</v>
      </c>
      <c r="B51">
        <f t="shared" si="2"/>
        <v>0</v>
      </c>
      <c r="C51">
        <f t="shared" si="11"/>
        <v>0</v>
      </c>
      <c r="D51">
        <f t="shared" si="4"/>
        <v>0</v>
      </c>
      <c r="E51">
        <f t="shared" si="5"/>
        <v>0</v>
      </c>
      <c r="F51">
        <f t="shared" si="6"/>
        <v>0</v>
      </c>
      <c r="G51">
        <f t="shared" si="7"/>
        <v>0</v>
      </c>
      <c r="H51">
        <f t="shared" si="7"/>
        <v>0</v>
      </c>
      <c r="I51">
        <f t="shared" si="7"/>
        <v>0</v>
      </c>
      <c r="J51">
        <f t="shared" si="7"/>
        <v>0</v>
      </c>
    </row>
    <row r="52" spans="1:10" x14ac:dyDescent="0.2">
      <c r="A52">
        <f t="shared" si="10"/>
        <v>3300</v>
      </c>
      <c r="B52">
        <f t="shared" si="2"/>
        <v>0</v>
      </c>
      <c r="C52">
        <f t="shared" si="11"/>
        <v>0</v>
      </c>
      <c r="D52">
        <f t="shared" si="4"/>
        <v>0</v>
      </c>
      <c r="E52">
        <f t="shared" si="5"/>
        <v>0</v>
      </c>
      <c r="F52">
        <f t="shared" si="6"/>
        <v>0</v>
      </c>
      <c r="G52">
        <f t="shared" si="7"/>
        <v>0</v>
      </c>
      <c r="H52">
        <f t="shared" si="7"/>
        <v>0</v>
      </c>
      <c r="I52">
        <f t="shared" si="7"/>
        <v>0</v>
      </c>
      <c r="J52">
        <f t="shared" si="7"/>
        <v>0</v>
      </c>
    </row>
    <row r="53" spans="1:10" x14ac:dyDescent="0.2">
      <c r="A53">
        <f t="shared" si="10"/>
        <v>3900</v>
      </c>
      <c r="B53">
        <f t="shared" si="2"/>
        <v>0</v>
      </c>
      <c r="C53">
        <f t="shared" si="11"/>
        <v>0</v>
      </c>
      <c r="D53">
        <f t="shared" si="4"/>
        <v>0</v>
      </c>
      <c r="E53">
        <f t="shared" si="5"/>
        <v>0</v>
      </c>
      <c r="F53">
        <f t="shared" si="6"/>
        <v>0</v>
      </c>
      <c r="G53">
        <f t="shared" si="7"/>
        <v>0</v>
      </c>
      <c r="H53">
        <f t="shared" si="7"/>
        <v>0</v>
      </c>
      <c r="I53">
        <f t="shared" si="7"/>
        <v>0</v>
      </c>
      <c r="J53">
        <f t="shared" si="7"/>
        <v>0</v>
      </c>
    </row>
    <row r="54" spans="1:10" x14ac:dyDescent="0.2">
      <c r="A54">
        <f t="shared" si="10"/>
        <v>4700</v>
      </c>
      <c r="B54">
        <f t="shared" si="2"/>
        <v>0</v>
      </c>
      <c r="C54">
        <f t="shared" si="11"/>
        <v>0</v>
      </c>
      <c r="D54">
        <f t="shared" si="4"/>
        <v>0</v>
      </c>
      <c r="E54">
        <f t="shared" si="5"/>
        <v>0</v>
      </c>
      <c r="F54">
        <f t="shared" si="6"/>
        <v>0</v>
      </c>
      <c r="G54">
        <f t="shared" si="7"/>
        <v>0</v>
      </c>
      <c r="H54">
        <f t="shared" si="7"/>
        <v>0</v>
      </c>
      <c r="I54">
        <f t="shared" si="7"/>
        <v>0</v>
      </c>
      <c r="J54">
        <f t="shared" si="7"/>
        <v>0</v>
      </c>
    </row>
    <row r="55" spans="1:10" x14ac:dyDescent="0.2">
      <c r="A55">
        <f t="shared" si="10"/>
        <v>5600</v>
      </c>
      <c r="B55">
        <f t="shared" si="2"/>
        <v>0</v>
      </c>
      <c r="C55">
        <f t="shared" si="11"/>
        <v>0</v>
      </c>
      <c r="D55">
        <f t="shared" si="4"/>
        <v>0</v>
      </c>
      <c r="E55">
        <f t="shared" si="5"/>
        <v>0</v>
      </c>
      <c r="F55">
        <f t="shared" si="6"/>
        <v>0</v>
      </c>
      <c r="G55">
        <f t="shared" si="7"/>
        <v>0</v>
      </c>
      <c r="H55">
        <f t="shared" si="7"/>
        <v>0</v>
      </c>
      <c r="I55">
        <f t="shared" si="7"/>
        <v>0</v>
      </c>
      <c r="J55">
        <f t="shared" si="7"/>
        <v>0</v>
      </c>
    </row>
    <row r="56" spans="1:10" x14ac:dyDescent="0.2">
      <c r="A56">
        <f t="shared" si="10"/>
        <v>6800</v>
      </c>
      <c r="B56">
        <f t="shared" si="2"/>
        <v>0</v>
      </c>
      <c r="C56">
        <f t="shared" si="11"/>
        <v>0</v>
      </c>
      <c r="D56">
        <f t="shared" si="4"/>
        <v>0</v>
      </c>
      <c r="E56">
        <f t="shared" si="5"/>
        <v>0</v>
      </c>
      <c r="F56">
        <f t="shared" si="6"/>
        <v>0</v>
      </c>
      <c r="G56">
        <f t="shared" si="7"/>
        <v>0</v>
      </c>
      <c r="H56">
        <f t="shared" si="7"/>
        <v>0</v>
      </c>
      <c r="I56">
        <f t="shared" si="7"/>
        <v>0</v>
      </c>
      <c r="J56">
        <f t="shared" si="7"/>
        <v>0</v>
      </c>
    </row>
    <row r="57" spans="1:10" x14ac:dyDescent="0.2">
      <c r="A57">
        <f t="shared" si="10"/>
        <v>8200</v>
      </c>
      <c r="B57">
        <f t="shared" si="2"/>
        <v>0</v>
      </c>
      <c r="C57">
        <f t="shared" si="11"/>
        <v>0</v>
      </c>
      <c r="D57">
        <f t="shared" si="4"/>
        <v>0</v>
      </c>
      <c r="E57">
        <f t="shared" si="5"/>
        <v>0</v>
      </c>
      <c r="F57">
        <f t="shared" si="6"/>
        <v>0</v>
      </c>
      <c r="G57">
        <f t="shared" si="7"/>
        <v>0</v>
      </c>
      <c r="H57">
        <f t="shared" si="7"/>
        <v>0</v>
      </c>
      <c r="I57">
        <f t="shared" si="7"/>
        <v>0</v>
      </c>
      <c r="J57">
        <f t="shared" si="7"/>
        <v>0</v>
      </c>
    </row>
    <row r="58" spans="1:10" x14ac:dyDescent="0.2">
      <c r="A58">
        <f t="shared" si="10"/>
        <v>10000</v>
      </c>
      <c r="B58">
        <f t="shared" si="2"/>
        <v>0</v>
      </c>
      <c r="C58">
        <f t="shared" si="11"/>
        <v>0</v>
      </c>
      <c r="D58">
        <f t="shared" si="4"/>
        <v>0</v>
      </c>
      <c r="E58">
        <f t="shared" si="5"/>
        <v>0</v>
      </c>
      <c r="F58">
        <f t="shared" si="6"/>
        <v>0</v>
      </c>
      <c r="G58">
        <f t="shared" si="7"/>
        <v>0</v>
      </c>
      <c r="H58">
        <f t="shared" si="7"/>
        <v>0</v>
      </c>
      <c r="I58">
        <f t="shared" si="7"/>
        <v>0</v>
      </c>
      <c r="J58">
        <f t="shared" si="7"/>
        <v>0</v>
      </c>
    </row>
    <row r="59" spans="1:10" x14ac:dyDescent="0.2">
      <c r="A59">
        <f t="shared" si="10"/>
        <v>12000</v>
      </c>
      <c r="B59">
        <f t="shared" si="2"/>
        <v>0</v>
      </c>
      <c r="C59">
        <f t="shared" si="11"/>
        <v>0</v>
      </c>
      <c r="D59">
        <f t="shared" si="4"/>
        <v>0</v>
      </c>
      <c r="E59">
        <f t="shared" si="5"/>
        <v>0</v>
      </c>
      <c r="F59">
        <f t="shared" si="6"/>
        <v>0</v>
      </c>
      <c r="G59">
        <f t="shared" si="7"/>
        <v>0</v>
      </c>
      <c r="H59">
        <f t="shared" si="7"/>
        <v>0</v>
      </c>
      <c r="I59">
        <f t="shared" si="7"/>
        <v>0</v>
      </c>
      <c r="J59">
        <f t="shared" si="7"/>
        <v>0</v>
      </c>
    </row>
    <row r="60" spans="1:10" x14ac:dyDescent="0.2">
      <c r="A60">
        <f t="shared" si="10"/>
        <v>15000</v>
      </c>
      <c r="B60">
        <f t="shared" si="2"/>
        <v>0</v>
      </c>
      <c r="C60">
        <f t="shared" si="11"/>
        <v>0</v>
      </c>
      <c r="D60">
        <f t="shared" si="4"/>
        <v>0</v>
      </c>
      <c r="E60">
        <f t="shared" si="5"/>
        <v>0</v>
      </c>
      <c r="F60">
        <f t="shared" si="6"/>
        <v>0</v>
      </c>
      <c r="G60">
        <f t="shared" si="7"/>
        <v>0</v>
      </c>
      <c r="H60">
        <f t="shared" si="7"/>
        <v>0</v>
      </c>
      <c r="I60">
        <f t="shared" si="7"/>
        <v>0</v>
      </c>
      <c r="J60">
        <f t="shared" si="7"/>
        <v>0</v>
      </c>
    </row>
    <row r="61" spans="1:10" x14ac:dyDescent="0.2">
      <c r="A61">
        <f t="shared" si="10"/>
        <v>18000</v>
      </c>
      <c r="B61">
        <f t="shared" si="2"/>
        <v>18000</v>
      </c>
      <c r="C61">
        <f t="shared" si="11"/>
        <v>0</v>
      </c>
      <c r="D61">
        <f t="shared" si="4"/>
        <v>0</v>
      </c>
      <c r="E61">
        <f t="shared" si="5"/>
        <v>0</v>
      </c>
      <c r="F61">
        <f t="shared" si="6"/>
        <v>0</v>
      </c>
      <c r="G61">
        <f t="shared" si="7"/>
        <v>0</v>
      </c>
      <c r="H61">
        <f t="shared" si="7"/>
        <v>0</v>
      </c>
      <c r="I61">
        <f t="shared" si="7"/>
        <v>0</v>
      </c>
      <c r="J61">
        <f t="shared" si="7"/>
        <v>0</v>
      </c>
    </row>
    <row r="62" spans="1:10" x14ac:dyDescent="0.2">
      <c r="A62">
        <f t="shared" si="10"/>
        <v>22000</v>
      </c>
      <c r="B62">
        <f t="shared" si="2"/>
        <v>0</v>
      </c>
      <c r="C62">
        <f t="shared" si="11"/>
        <v>0</v>
      </c>
      <c r="D62">
        <f t="shared" si="4"/>
        <v>0</v>
      </c>
      <c r="E62">
        <f t="shared" si="5"/>
        <v>0</v>
      </c>
      <c r="F62">
        <f t="shared" si="6"/>
        <v>0</v>
      </c>
      <c r="G62">
        <f t="shared" si="7"/>
        <v>0</v>
      </c>
      <c r="H62">
        <f t="shared" si="7"/>
        <v>0</v>
      </c>
      <c r="I62">
        <f t="shared" si="7"/>
        <v>0</v>
      </c>
      <c r="J62">
        <f t="shared" si="7"/>
        <v>0</v>
      </c>
    </row>
    <row r="63" spans="1:10" x14ac:dyDescent="0.2">
      <c r="A63">
        <f t="shared" si="10"/>
        <v>27000</v>
      </c>
      <c r="B63">
        <f t="shared" si="2"/>
        <v>0</v>
      </c>
      <c r="C63">
        <f t="shared" si="11"/>
        <v>0</v>
      </c>
      <c r="D63">
        <f t="shared" si="4"/>
        <v>0</v>
      </c>
      <c r="E63">
        <f t="shared" si="5"/>
        <v>0</v>
      </c>
      <c r="F63">
        <f t="shared" si="6"/>
        <v>0</v>
      </c>
      <c r="G63">
        <f t="shared" si="7"/>
        <v>0</v>
      </c>
      <c r="H63">
        <f t="shared" si="7"/>
        <v>0</v>
      </c>
      <c r="I63">
        <f t="shared" si="7"/>
        <v>0</v>
      </c>
      <c r="J63">
        <f t="shared" si="7"/>
        <v>0</v>
      </c>
    </row>
    <row r="64" spans="1:10" x14ac:dyDescent="0.2">
      <c r="A64">
        <f t="shared" si="10"/>
        <v>33000</v>
      </c>
      <c r="B64">
        <f t="shared" si="2"/>
        <v>0</v>
      </c>
      <c r="C64">
        <f t="shared" si="11"/>
        <v>0</v>
      </c>
      <c r="D64">
        <f t="shared" si="4"/>
        <v>0</v>
      </c>
      <c r="E64">
        <f t="shared" si="5"/>
        <v>0</v>
      </c>
      <c r="F64">
        <f t="shared" si="6"/>
        <v>0</v>
      </c>
      <c r="G64">
        <f t="shared" si="7"/>
        <v>0</v>
      </c>
      <c r="H64">
        <f t="shared" si="7"/>
        <v>0</v>
      </c>
      <c r="I64">
        <f t="shared" si="7"/>
        <v>0</v>
      </c>
      <c r="J64">
        <f t="shared" si="7"/>
        <v>0</v>
      </c>
    </row>
    <row r="65" spans="1:10" x14ac:dyDescent="0.2">
      <c r="A65">
        <f t="shared" si="10"/>
        <v>39000</v>
      </c>
      <c r="B65">
        <f t="shared" si="2"/>
        <v>0</v>
      </c>
      <c r="C65">
        <f t="shared" si="11"/>
        <v>0</v>
      </c>
      <c r="D65">
        <f t="shared" si="4"/>
        <v>0</v>
      </c>
      <c r="E65">
        <f t="shared" si="5"/>
        <v>0</v>
      </c>
      <c r="F65">
        <f t="shared" si="6"/>
        <v>0</v>
      </c>
      <c r="G65">
        <f t="shared" si="7"/>
        <v>0</v>
      </c>
      <c r="H65">
        <f t="shared" si="7"/>
        <v>0</v>
      </c>
      <c r="I65">
        <f t="shared" si="7"/>
        <v>0</v>
      </c>
      <c r="J65">
        <f t="shared" si="7"/>
        <v>0</v>
      </c>
    </row>
    <row r="66" spans="1:10" x14ac:dyDescent="0.2">
      <c r="A66">
        <f t="shared" si="10"/>
        <v>47000</v>
      </c>
      <c r="B66">
        <f t="shared" si="2"/>
        <v>0</v>
      </c>
      <c r="C66">
        <f t="shared" si="11"/>
        <v>0</v>
      </c>
      <c r="D66">
        <f t="shared" si="4"/>
        <v>0</v>
      </c>
      <c r="E66">
        <f t="shared" si="5"/>
        <v>0</v>
      </c>
      <c r="F66">
        <f t="shared" si="6"/>
        <v>0</v>
      </c>
      <c r="G66">
        <f t="shared" si="7"/>
        <v>0</v>
      </c>
      <c r="H66">
        <f t="shared" si="7"/>
        <v>0</v>
      </c>
      <c r="I66">
        <f t="shared" si="7"/>
        <v>0</v>
      </c>
      <c r="J66">
        <f t="shared" si="7"/>
        <v>0</v>
      </c>
    </row>
    <row r="67" spans="1:10" x14ac:dyDescent="0.2">
      <c r="A67">
        <f t="shared" si="10"/>
        <v>56000</v>
      </c>
      <c r="B67">
        <f t="shared" si="2"/>
        <v>0</v>
      </c>
      <c r="C67">
        <f t="shared" si="11"/>
        <v>56000</v>
      </c>
      <c r="D67">
        <f t="shared" si="4"/>
        <v>0</v>
      </c>
      <c r="E67">
        <f t="shared" si="5"/>
        <v>0</v>
      </c>
      <c r="F67">
        <f t="shared" si="6"/>
        <v>0</v>
      </c>
      <c r="G67">
        <f t="shared" si="7"/>
        <v>0</v>
      </c>
      <c r="H67">
        <f t="shared" si="7"/>
        <v>0</v>
      </c>
      <c r="I67">
        <f t="shared" si="7"/>
        <v>0</v>
      </c>
      <c r="J67">
        <f t="shared" si="7"/>
        <v>0</v>
      </c>
    </row>
    <row r="68" spans="1:10" x14ac:dyDescent="0.2">
      <c r="A68">
        <f t="shared" si="10"/>
        <v>68000</v>
      </c>
      <c r="B68">
        <f t="shared" si="2"/>
        <v>0</v>
      </c>
      <c r="C68">
        <f t="shared" si="11"/>
        <v>0</v>
      </c>
      <c r="D68">
        <f t="shared" si="4"/>
        <v>0</v>
      </c>
      <c r="E68">
        <f t="shared" si="5"/>
        <v>0</v>
      </c>
      <c r="F68">
        <f t="shared" si="6"/>
        <v>0</v>
      </c>
      <c r="G68">
        <f t="shared" si="7"/>
        <v>0</v>
      </c>
      <c r="H68">
        <f t="shared" si="7"/>
        <v>0</v>
      </c>
      <c r="I68">
        <f t="shared" si="7"/>
        <v>0</v>
      </c>
      <c r="J68">
        <f t="shared" si="7"/>
        <v>0</v>
      </c>
    </row>
    <row r="69" spans="1:10" x14ac:dyDescent="0.2">
      <c r="A69">
        <f t="shared" si="10"/>
        <v>82000</v>
      </c>
      <c r="B69">
        <f t="shared" si="2"/>
        <v>0</v>
      </c>
      <c r="C69">
        <f t="shared" si="11"/>
        <v>0</v>
      </c>
      <c r="D69">
        <f t="shared" si="4"/>
        <v>0</v>
      </c>
      <c r="E69">
        <f t="shared" si="5"/>
        <v>0</v>
      </c>
      <c r="F69">
        <f t="shared" si="6"/>
        <v>0</v>
      </c>
      <c r="G69">
        <f t="shared" si="7"/>
        <v>0</v>
      </c>
      <c r="H69">
        <f t="shared" si="7"/>
        <v>0</v>
      </c>
      <c r="I69">
        <f t="shared" si="7"/>
        <v>0</v>
      </c>
      <c r="J69">
        <f t="shared" ref="J69:J132" si="12">IF(IF((J$3*10^12-$A70)*(J$3*10^12-$A69)*-1&lt;0,0,1)*IF(ABS(J$3*10^12-$A70)&gt;(J$3*10^12-$A69),$A69,$A70)=J70,0,IF((J$3*10^12-$A70)*(J$3*10^12-$A69)*-1&lt;0,0,1)*IF(ABS(J$3*10^12-$A70)&gt;(J$3*10^12-$A69),$A69,$A70))</f>
        <v>0</v>
      </c>
    </row>
    <row r="70" spans="1:10" x14ac:dyDescent="0.2">
      <c r="A70">
        <f t="shared" si="10"/>
        <v>100000</v>
      </c>
      <c r="B70">
        <f t="shared" si="2"/>
        <v>0</v>
      </c>
      <c r="C70">
        <f t="shared" si="11"/>
        <v>0</v>
      </c>
      <c r="D70">
        <f t="shared" ref="D70:I70" si="13">IF(IF((D$3*10^12-$A71)*(D$3*10^12-$A70)*-1&lt;0,0,1)*IF(ABS(D$3*10^12-$A71)&gt;(D$3*10^12-$A70),$A70,$A71)=D71,0,IF((D$3*10^12-$A71)*(D$3*10^12-$A70)*-1&lt;0,0,1)*IF(ABS(D$3*10^12-$A71)&gt;(D$3*10^12-$A70),$A70,$A71))</f>
        <v>0</v>
      </c>
      <c r="E70">
        <f t="shared" si="13"/>
        <v>0</v>
      </c>
      <c r="F70">
        <f t="shared" si="13"/>
        <v>0</v>
      </c>
      <c r="G70">
        <f t="shared" si="13"/>
        <v>0</v>
      </c>
      <c r="H70">
        <f t="shared" si="13"/>
        <v>0</v>
      </c>
      <c r="I70">
        <f t="shared" si="13"/>
        <v>0</v>
      </c>
      <c r="J70">
        <f t="shared" si="12"/>
        <v>0</v>
      </c>
    </row>
    <row r="71" spans="1:10" x14ac:dyDescent="0.2">
      <c r="A71">
        <f t="shared" si="10"/>
        <v>120000</v>
      </c>
      <c r="B71">
        <f t="shared" ref="B71:B134" si="14">IF(IF((B$3*10^12-$A72)*(B$3*10^12-$A71)*-1&lt;0,0,1)*IF(ABS(B$3*10^12-$A72)&gt;(B$3*10^12-$A71),$A71,$A72)=B72,0,IF((B$3*10^12-$A72)*(B$3*10^12-$A71)*-1&lt;0,0,1)*IF(ABS(B$3*10^12-$A72)&gt;(B$3*10^12-$A71),$A71,$A72))</f>
        <v>0</v>
      </c>
      <c r="C71">
        <f t="shared" ref="C71:E134" si="15">IF(IF((C$3*10^12-$A72)*(C$3*10^12-$A71)*-1&lt;0,0,1)*IF(ABS(C$3*10^12-$A72)&gt;(C$3*10^12-$A71),$A71,$A72)=C72,0,IF((C$3*10^12-$A72)*(C$3*10^12-$A71)*-1&lt;0,0,1)*IF(ABS(C$3*10^12-$A72)&gt;(C$3*10^12-$A71),$A71,$A72))</f>
        <v>0</v>
      </c>
      <c r="D71">
        <f t="shared" si="15"/>
        <v>0</v>
      </c>
      <c r="E71">
        <f t="shared" si="15"/>
        <v>0</v>
      </c>
      <c r="F71">
        <f t="shared" ref="F71:F102" si="16">IF(IF((F$3*10^12-$A72)*(F$3*10^12-$A71)*-1&lt;0,0,1)*IF(ABS(F$3*10^12-$A72)&gt;(F$3*10^12-$A71),$A71,$A72)=F72,0,IF((F$3*10^12-$A72)*(F$3*10^12-$A71)*-1&lt;0,0,1)*IF(ABS(F$3*10^12-$A72)&gt;(F$3*10^12-$A71),$A71,$A72))</f>
        <v>0</v>
      </c>
      <c r="G71">
        <f t="shared" ref="G71:G102" si="17">IF(IF((G$3*10^12-$A72)*(G$3*10^12-$A71)*-1&lt;0,0,1)*IF(ABS(G$3*10^12-$A72)&gt;(G$3*10^12-$A71),$A71,$A72)=G72,0,IF((G$3*10^12-$A72)*(G$3*10^12-$A71)*-1&lt;0,0,1)*IF(ABS(G$3*10^12-$A72)&gt;(G$3*10^12-$A71),$A71,$A72))</f>
        <v>0</v>
      </c>
      <c r="H71">
        <f t="shared" ref="H71:H102" si="18">IF(IF((H$3*10^12-$A72)*(H$3*10^12-$A71)*-1&lt;0,0,1)*IF(ABS(H$3*10^12-$A72)&gt;(H$3*10^12-$A71),$A71,$A72)=H72,0,IF((H$3*10^12-$A72)*(H$3*10^12-$A71)*-1&lt;0,0,1)*IF(ABS(H$3*10^12-$A72)&gt;(H$3*10^12-$A71),$A71,$A72))</f>
        <v>0</v>
      </c>
      <c r="I71">
        <f t="shared" ref="I71:I102" si="19">IF(IF((I$3*10^12-$A72)*(I$3*10^12-$A71)*-1&lt;0,0,1)*IF(ABS(I$3*10^12-$A72)&gt;(I$3*10^12-$A71),$A71,$A72)=I72,0,IF((I$3*10^12-$A72)*(I$3*10^12-$A71)*-1&lt;0,0,1)*IF(ABS(I$3*10^12-$A72)&gt;(I$3*10^12-$A71),$A71,$A72))</f>
        <v>0</v>
      </c>
      <c r="J71">
        <f t="shared" si="12"/>
        <v>0</v>
      </c>
    </row>
    <row r="72" spans="1:10" x14ac:dyDescent="0.2">
      <c r="A72">
        <f t="shared" si="10"/>
        <v>150000</v>
      </c>
      <c r="B72">
        <f t="shared" si="14"/>
        <v>0</v>
      </c>
      <c r="C72">
        <f t="shared" si="15"/>
        <v>0</v>
      </c>
      <c r="D72">
        <f t="shared" si="15"/>
        <v>0</v>
      </c>
      <c r="E72">
        <f t="shared" si="15"/>
        <v>0</v>
      </c>
      <c r="F72">
        <f t="shared" si="16"/>
        <v>0</v>
      </c>
      <c r="G72">
        <f t="shared" si="17"/>
        <v>0</v>
      </c>
      <c r="H72">
        <f t="shared" si="18"/>
        <v>0</v>
      </c>
      <c r="I72">
        <f t="shared" si="19"/>
        <v>0</v>
      </c>
      <c r="J72">
        <f t="shared" si="12"/>
        <v>0</v>
      </c>
    </row>
    <row r="73" spans="1:10" x14ac:dyDescent="0.2">
      <c r="A73">
        <f t="shared" si="10"/>
        <v>180000</v>
      </c>
      <c r="B73">
        <f t="shared" si="14"/>
        <v>0</v>
      </c>
      <c r="C73">
        <f t="shared" si="15"/>
        <v>0</v>
      </c>
      <c r="D73">
        <f t="shared" si="15"/>
        <v>0</v>
      </c>
      <c r="E73">
        <f t="shared" si="15"/>
        <v>0</v>
      </c>
      <c r="F73">
        <f t="shared" si="16"/>
        <v>0</v>
      </c>
      <c r="G73">
        <f t="shared" si="17"/>
        <v>0</v>
      </c>
      <c r="H73">
        <f t="shared" si="18"/>
        <v>0</v>
      </c>
      <c r="I73">
        <f t="shared" si="19"/>
        <v>0</v>
      </c>
      <c r="J73">
        <f t="shared" si="12"/>
        <v>0</v>
      </c>
    </row>
    <row r="74" spans="1:10" x14ac:dyDescent="0.2">
      <c r="A74">
        <f t="shared" si="10"/>
        <v>220000</v>
      </c>
      <c r="B74">
        <f t="shared" si="14"/>
        <v>0</v>
      </c>
      <c r="C74">
        <f t="shared" si="15"/>
        <v>0</v>
      </c>
      <c r="D74">
        <f t="shared" si="15"/>
        <v>0</v>
      </c>
      <c r="E74">
        <f t="shared" si="15"/>
        <v>0</v>
      </c>
      <c r="F74">
        <f t="shared" si="16"/>
        <v>0</v>
      </c>
      <c r="G74">
        <f t="shared" si="17"/>
        <v>0</v>
      </c>
      <c r="H74">
        <f t="shared" si="18"/>
        <v>0</v>
      </c>
      <c r="I74">
        <f t="shared" si="19"/>
        <v>0</v>
      </c>
      <c r="J74">
        <f t="shared" si="12"/>
        <v>0</v>
      </c>
    </row>
    <row r="75" spans="1:10" x14ac:dyDescent="0.2">
      <c r="A75">
        <f t="shared" si="10"/>
        <v>270000</v>
      </c>
      <c r="B75">
        <f t="shared" si="14"/>
        <v>0</v>
      </c>
      <c r="C75">
        <f t="shared" si="15"/>
        <v>0</v>
      </c>
      <c r="D75">
        <f t="shared" si="15"/>
        <v>0</v>
      </c>
      <c r="E75">
        <f t="shared" si="15"/>
        <v>0</v>
      </c>
      <c r="F75">
        <f t="shared" si="16"/>
        <v>0</v>
      </c>
      <c r="G75">
        <f t="shared" si="17"/>
        <v>0</v>
      </c>
      <c r="H75">
        <f t="shared" si="18"/>
        <v>0</v>
      </c>
      <c r="I75">
        <f t="shared" si="19"/>
        <v>0</v>
      </c>
      <c r="J75">
        <f t="shared" si="12"/>
        <v>0</v>
      </c>
    </row>
    <row r="76" spans="1:10" x14ac:dyDescent="0.2">
      <c r="A76">
        <f t="shared" si="10"/>
        <v>330000</v>
      </c>
      <c r="B76">
        <f t="shared" si="14"/>
        <v>0</v>
      </c>
      <c r="C76">
        <f t="shared" si="15"/>
        <v>0</v>
      </c>
      <c r="D76">
        <f t="shared" si="15"/>
        <v>0</v>
      </c>
      <c r="E76">
        <f t="shared" si="15"/>
        <v>0</v>
      </c>
      <c r="F76">
        <f t="shared" si="16"/>
        <v>0</v>
      </c>
      <c r="G76">
        <f t="shared" si="17"/>
        <v>0</v>
      </c>
      <c r="H76">
        <f t="shared" si="18"/>
        <v>0</v>
      </c>
      <c r="I76">
        <f t="shared" si="19"/>
        <v>0</v>
      </c>
      <c r="J76">
        <f t="shared" si="12"/>
        <v>0</v>
      </c>
    </row>
    <row r="77" spans="1:10" x14ac:dyDescent="0.2">
      <c r="A77">
        <f t="shared" si="10"/>
        <v>390000</v>
      </c>
      <c r="B77">
        <f t="shared" si="14"/>
        <v>0</v>
      </c>
      <c r="C77">
        <f t="shared" si="15"/>
        <v>0</v>
      </c>
      <c r="D77">
        <f t="shared" si="15"/>
        <v>0</v>
      </c>
      <c r="E77">
        <f t="shared" si="15"/>
        <v>0</v>
      </c>
      <c r="F77">
        <f t="shared" si="16"/>
        <v>0</v>
      </c>
      <c r="G77">
        <f t="shared" si="17"/>
        <v>0</v>
      </c>
      <c r="H77">
        <f t="shared" si="18"/>
        <v>0</v>
      </c>
      <c r="I77">
        <f t="shared" si="19"/>
        <v>0</v>
      </c>
      <c r="J77">
        <f t="shared" si="12"/>
        <v>0</v>
      </c>
    </row>
    <row r="78" spans="1:10" x14ac:dyDescent="0.2">
      <c r="A78">
        <f t="shared" si="10"/>
        <v>470000</v>
      </c>
      <c r="B78">
        <f t="shared" si="14"/>
        <v>0</v>
      </c>
      <c r="C78">
        <f t="shared" si="15"/>
        <v>0</v>
      </c>
      <c r="D78">
        <f t="shared" si="15"/>
        <v>0</v>
      </c>
      <c r="E78">
        <f t="shared" si="15"/>
        <v>0</v>
      </c>
      <c r="F78">
        <f t="shared" si="16"/>
        <v>0</v>
      </c>
      <c r="G78">
        <f t="shared" si="17"/>
        <v>0</v>
      </c>
      <c r="H78">
        <f t="shared" si="18"/>
        <v>0</v>
      </c>
      <c r="I78">
        <f t="shared" si="19"/>
        <v>0</v>
      </c>
      <c r="J78">
        <f t="shared" si="12"/>
        <v>0</v>
      </c>
    </row>
    <row r="79" spans="1:10" x14ac:dyDescent="0.2">
      <c r="A79">
        <f t="shared" si="10"/>
        <v>560000</v>
      </c>
      <c r="B79">
        <f t="shared" si="14"/>
        <v>0</v>
      </c>
      <c r="C79">
        <f t="shared" si="15"/>
        <v>0</v>
      </c>
      <c r="D79">
        <f t="shared" si="15"/>
        <v>0</v>
      </c>
      <c r="E79">
        <f t="shared" si="15"/>
        <v>0</v>
      </c>
      <c r="F79">
        <f t="shared" si="16"/>
        <v>0</v>
      </c>
      <c r="G79">
        <f t="shared" si="17"/>
        <v>0</v>
      </c>
      <c r="H79">
        <f t="shared" si="18"/>
        <v>0</v>
      </c>
      <c r="I79">
        <f t="shared" si="19"/>
        <v>0</v>
      </c>
      <c r="J79">
        <f t="shared" si="12"/>
        <v>0</v>
      </c>
    </row>
    <row r="80" spans="1:10" x14ac:dyDescent="0.2">
      <c r="A80">
        <f t="shared" si="10"/>
        <v>680000</v>
      </c>
      <c r="B80">
        <f t="shared" si="14"/>
        <v>0</v>
      </c>
      <c r="C80">
        <f t="shared" si="15"/>
        <v>0</v>
      </c>
      <c r="D80">
        <f t="shared" si="15"/>
        <v>0</v>
      </c>
      <c r="E80">
        <f t="shared" si="15"/>
        <v>0</v>
      </c>
      <c r="F80">
        <f t="shared" si="16"/>
        <v>0</v>
      </c>
      <c r="G80">
        <f t="shared" si="17"/>
        <v>0</v>
      </c>
      <c r="H80">
        <f t="shared" si="18"/>
        <v>0</v>
      </c>
      <c r="I80">
        <f t="shared" si="19"/>
        <v>0</v>
      </c>
      <c r="J80">
        <f t="shared" si="12"/>
        <v>0</v>
      </c>
    </row>
    <row r="81" spans="1:10" x14ac:dyDescent="0.2">
      <c r="A81">
        <f t="shared" si="10"/>
        <v>820000</v>
      </c>
      <c r="B81">
        <f t="shared" si="14"/>
        <v>0</v>
      </c>
      <c r="C81">
        <f t="shared" si="15"/>
        <v>0</v>
      </c>
      <c r="D81">
        <f t="shared" si="15"/>
        <v>0</v>
      </c>
      <c r="E81">
        <f t="shared" si="15"/>
        <v>0</v>
      </c>
      <c r="F81">
        <f t="shared" si="16"/>
        <v>0</v>
      </c>
      <c r="G81">
        <f t="shared" si="17"/>
        <v>0</v>
      </c>
      <c r="H81">
        <f t="shared" si="18"/>
        <v>0</v>
      </c>
      <c r="I81">
        <f t="shared" si="19"/>
        <v>0</v>
      </c>
      <c r="J81">
        <f t="shared" si="12"/>
        <v>0</v>
      </c>
    </row>
    <row r="82" spans="1:10" x14ac:dyDescent="0.2">
      <c r="A82">
        <f t="shared" si="10"/>
        <v>1000000</v>
      </c>
      <c r="B82">
        <f t="shared" si="14"/>
        <v>0</v>
      </c>
      <c r="C82">
        <f t="shared" si="15"/>
        <v>0</v>
      </c>
      <c r="D82">
        <f t="shared" si="15"/>
        <v>0</v>
      </c>
      <c r="E82">
        <f t="shared" si="15"/>
        <v>0</v>
      </c>
      <c r="F82">
        <f t="shared" si="16"/>
        <v>0</v>
      </c>
      <c r="G82">
        <f t="shared" si="17"/>
        <v>0</v>
      </c>
      <c r="H82">
        <f t="shared" si="18"/>
        <v>0</v>
      </c>
      <c r="I82">
        <f t="shared" si="19"/>
        <v>0</v>
      </c>
      <c r="J82">
        <f t="shared" si="12"/>
        <v>0</v>
      </c>
    </row>
    <row r="83" spans="1:10" x14ac:dyDescent="0.2">
      <c r="A83">
        <f t="shared" si="10"/>
        <v>1200000</v>
      </c>
      <c r="B83">
        <f t="shared" si="14"/>
        <v>0</v>
      </c>
      <c r="C83">
        <f t="shared" si="15"/>
        <v>0</v>
      </c>
      <c r="D83">
        <f t="shared" si="15"/>
        <v>0</v>
      </c>
      <c r="E83">
        <f t="shared" si="15"/>
        <v>0</v>
      </c>
      <c r="F83">
        <f t="shared" si="16"/>
        <v>0</v>
      </c>
      <c r="G83">
        <f t="shared" si="17"/>
        <v>0</v>
      </c>
      <c r="H83">
        <f t="shared" si="18"/>
        <v>0</v>
      </c>
      <c r="I83">
        <f t="shared" si="19"/>
        <v>0</v>
      </c>
      <c r="J83">
        <f t="shared" si="12"/>
        <v>0</v>
      </c>
    </row>
    <row r="84" spans="1:10" x14ac:dyDescent="0.2">
      <c r="A84">
        <f t="shared" si="10"/>
        <v>1500000</v>
      </c>
      <c r="B84">
        <f t="shared" si="14"/>
        <v>0</v>
      </c>
      <c r="C84">
        <f t="shared" si="15"/>
        <v>0</v>
      </c>
      <c r="D84">
        <f t="shared" si="15"/>
        <v>0</v>
      </c>
      <c r="E84">
        <f t="shared" si="15"/>
        <v>0</v>
      </c>
      <c r="F84">
        <f t="shared" si="16"/>
        <v>0</v>
      </c>
      <c r="G84">
        <f t="shared" si="17"/>
        <v>0</v>
      </c>
      <c r="H84">
        <f t="shared" si="18"/>
        <v>0</v>
      </c>
      <c r="I84">
        <f t="shared" si="19"/>
        <v>0</v>
      </c>
      <c r="J84">
        <f t="shared" si="12"/>
        <v>0</v>
      </c>
    </row>
    <row r="85" spans="1:10" x14ac:dyDescent="0.2">
      <c r="A85">
        <f t="shared" si="10"/>
        <v>1800000</v>
      </c>
      <c r="B85">
        <f t="shared" si="14"/>
        <v>0</v>
      </c>
      <c r="C85">
        <f t="shared" si="15"/>
        <v>0</v>
      </c>
      <c r="D85">
        <f t="shared" si="15"/>
        <v>0</v>
      </c>
      <c r="E85">
        <f t="shared" si="15"/>
        <v>0</v>
      </c>
      <c r="F85">
        <f t="shared" si="16"/>
        <v>0</v>
      </c>
      <c r="G85">
        <f t="shared" si="17"/>
        <v>0</v>
      </c>
      <c r="H85">
        <f t="shared" si="18"/>
        <v>0</v>
      </c>
      <c r="I85">
        <f t="shared" si="19"/>
        <v>0</v>
      </c>
      <c r="J85">
        <f t="shared" si="12"/>
        <v>0</v>
      </c>
    </row>
    <row r="86" spans="1:10" x14ac:dyDescent="0.2">
      <c r="A86">
        <f t="shared" si="10"/>
        <v>2200000</v>
      </c>
      <c r="B86">
        <f t="shared" si="14"/>
        <v>0</v>
      </c>
      <c r="C86">
        <f t="shared" si="15"/>
        <v>0</v>
      </c>
      <c r="D86">
        <f t="shared" si="15"/>
        <v>0</v>
      </c>
      <c r="E86">
        <f t="shared" si="15"/>
        <v>0</v>
      </c>
      <c r="F86">
        <f t="shared" si="16"/>
        <v>0</v>
      </c>
      <c r="G86">
        <f t="shared" si="17"/>
        <v>0</v>
      </c>
      <c r="H86">
        <f t="shared" si="18"/>
        <v>0</v>
      </c>
      <c r="I86">
        <f t="shared" si="19"/>
        <v>0</v>
      </c>
      <c r="J86">
        <f t="shared" si="12"/>
        <v>0</v>
      </c>
    </row>
    <row r="87" spans="1:10" x14ac:dyDescent="0.2">
      <c r="A87">
        <f t="shared" si="10"/>
        <v>2700000</v>
      </c>
      <c r="B87">
        <f t="shared" si="14"/>
        <v>0</v>
      </c>
      <c r="C87">
        <f t="shared" si="15"/>
        <v>0</v>
      </c>
      <c r="D87">
        <f t="shared" si="15"/>
        <v>0</v>
      </c>
      <c r="E87">
        <f t="shared" si="15"/>
        <v>0</v>
      </c>
      <c r="F87">
        <f t="shared" si="16"/>
        <v>0</v>
      </c>
      <c r="G87">
        <f t="shared" si="17"/>
        <v>0</v>
      </c>
      <c r="H87">
        <f t="shared" si="18"/>
        <v>0</v>
      </c>
      <c r="I87">
        <f t="shared" si="19"/>
        <v>0</v>
      </c>
      <c r="J87">
        <f t="shared" si="12"/>
        <v>0</v>
      </c>
    </row>
    <row r="88" spans="1:10" x14ac:dyDescent="0.2">
      <c r="A88">
        <f t="shared" si="10"/>
        <v>3300000</v>
      </c>
      <c r="B88">
        <f t="shared" si="14"/>
        <v>0</v>
      </c>
      <c r="C88">
        <f t="shared" si="15"/>
        <v>0</v>
      </c>
      <c r="D88">
        <f t="shared" si="15"/>
        <v>0</v>
      </c>
      <c r="E88">
        <f t="shared" si="15"/>
        <v>0</v>
      </c>
      <c r="F88">
        <f t="shared" si="16"/>
        <v>0</v>
      </c>
      <c r="G88">
        <f t="shared" si="17"/>
        <v>0</v>
      </c>
      <c r="H88">
        <f t="shared" si="18"/>
        <v>0</v>
      </c>
      <c r="I88">
        <f t="shared" si="19"/>
        <v>0</v>
      </c>
      <c r="J88">
        <f t="shared" si="12"/>
        <v>0</v>
      </c>
    </row>
    <row r="89" spans="1:10" x14ac:dyDescent="0.2">
      <c r="A89">
        <f t="shared" si="10"/>
        <v>3900000</v>
      </c>
      <c r="B89">
        <f t="shared" si="14"/>
        <v>0</v>
      </c>
      <c r="C89">
        <f t="shared" si="15"/>
        <v>0</v>
      </c>
      <c r="D89">
        <f t="shared" si="15"/>
        <v>0</v>
      </c>
      <c r="E89">
        <f t="shared" si="15"/>
        <v>0</v>
      </c>
      <c r="F89">
        <f t="shared" si="16"/>
        <v>0</v>
      </c>
      <c r="G89">
        <f t="shared" si="17"/>
        <v>0</v>
      </c>
      <c r="H89">
        <f t="shared" si="18"/>
        <v>0</v>
      </c>
      <c r="I89">
        <f t="shared" si="19"/>
        <v>0</v>
      </c>
      <c r="J89">
        <f t="shared" si="12"/>
        <v>0</v>
      </c>
    </row>
    <row r="90" spans="1:10" x14ac:dyDescent="0.2">
      <c r="A90">
        <f t="shared" si="10"/>
        <v>4700000</v>
      </c>
      <c r="B90">
        <f t="shared" si="14"/>
        <v>0</v>
      </c>
      <c r="C90">
        <f t="shared" si="15"/>
        <v>0</v>
      </c>
      <c r="D90">
        <f t="shared" si="15"/>
        <v>0</v>
      </c>
      <c r="E90">
        <f t="shared" si="15"/>
        <v>0</v>
      </c>
      <c r="F90">
        <f t="shared" si="16"/>
        <v>0</v>
      </c>
      <c r="G90">
        <f t="shared" si="17"/>
        <v>0</v>
      </c>
      <c r="H90">
        <f t="shared" si="18"/>
        <v>0</v>
      </c>
      <c r="I90">
        <f t="shared" si="19"/>
        <v>0</v>
      </c>
      <c r="J90">
        <f t="shared" si="12"/>
        <v>0</v>
      </c>
    </row>
    <row r="91" spans="1:10" x14ac:dyDescent="0.2">
      <c r="A91">
        <f t="shared" si="10"/>
        <v>5600000</v>
      </c>
      <c r="B91">
        <f t="shared" si="14"/>
        <v>0</v>
      </c>
      <c r="C91">
        <f t="shared" si="15"/>
        <v>0</v>
      </c>
      <c r="D91">
        <f t="shared" si="15"/>
        <v>0</v>
      </c>
      <c r="E91">
        <f t="shared" si="15"/>
        <v>0</v>
      </c>
      <c r="F91">
        <f t="shared" si="16"/>
        <v>0</v>
      </c>
      <c r="G91">
        <f t="shared" si="17"/>
        <v>0</v>
      </c>
      <c r="H91">
        <f t="shared" si="18"/>
        <v>0</v>
      </c>
      <c r="I91">
        <f t="shared" si="19"/>
        <v>0</v>
      </c>
      <c r="J91">
        <f t="shared" si="12"/>
        <v>0</v>
      </c>
    </row>
    <row r="92" spans="1:10" x14ac:dyDescent="0.2">
      <c r="A92">
        <f t="shared" si="10"/>
        <v>6800000</v>
      </c>
      <c r="B92">
        <f t="shared" si="14"/>
        <v>0</v>
      </c>
      <c r="C92">
        <f t="shared" si="15"/>
        <v>0</v>
      </c>
      <c r="D92">
        <f t="shared" si="15"/>
        <v>0</v>
      </c>
      <c r="E92">
        <f t="shared" si="15"/>
        <v>0</v>
      </c>
      <c r="F92">
        <f t="shared" si="16"/>
        <v>0</v>
      </c>
      <c r="G92">
        <f t="shared" si="17"/>
        <v>0</v>
      </c>
      <c r="H92">
        <f t="shared" si="18"/>
        <v>0</v>
      </c>
      <c r="I92">
        <f t="shared" si="19"/>
        <v>0</v>
      </c>
      <c r="J92">
        <f t="shared" si="12"/>
        <v>0</v>
      </c>
    </row>
    <row r="93" spans="1:10" x14ac:dyDescent="0.2">
      <c r="A93">
        <f t="shared" si="10"/>
        <v>8200000</v>
      </c>
      <c r="B93">
        <f t="shared" si="14"/>
        <v>0</v>
      </c>
      <c r="C93">
        <f t="shared" si="15"/>
        <v>0</v>
      </c>
      <c r="D93">
        <f t="shared" si="15"/>
        <v>0</v>
      </c>
      <c r="E93">
        <f t="shared" si="15"/>
        <v>0</v>
      </c>
      <c r="F93">
        <f t="shared" si="16"/>
        <v>0</v>
      </c>
      <c r="G93">
        <f t="shared" si="17"/>
        <v>0</v>
      </c>
      <c r="H93">
        <f t="shared" si="18"/>
        <v>0</v>
      </c>
      <c r="I93">
        <f t="shared" si="19"/>
        <v>0</v>
      </c>
      <c r="J93">
        <f t="shared" si="12"/>
        <v>0</v>
      </c>
    </row>
    <row r="94" spans="1:10" x14ac:dyDescent="0.2">
      <c r="A94">
        <f t="shared" si="10"/>
        <v>10000000</v>
      </c>
      <c r="B94">
        <f t="shared" si="14"/>
        <v>0</v>
      </c>
      <c r="C94">
        <f t="shared" si="15"/>
        <v>0</v>
      </c>
      <c r="D94">
        <f t="shared" si="15"/>
        <v>0</v>
      </c>
      <c r="E94">
        <f t="shared" si="15"/>
        <v>0</v>
      </c>
      <c r="F94">
        <f t="shared" si="16"/>
        <v>0</v>
      </c>
      <c r="G94">
        <f t="shared" si="17"/>
        <v>0</v>
      </c>
      <c r="H94">
        <f t="shared" si="18"/>
        <v>0</v>
      </c>
      <c r="I94">
        <f t="shared" si="19"/>
        <v>0</v>
      </c>
      <c r="J94">
        <f t="shared" si="12"/>
        <v>0</v>
      </c>
    </row>
    <row r="95" spans="1:10" x14ac:dyDescent="0.2">
      <c r="A95">
        <f t="shared" si="10"/>
        <v>12000000</v>
      </c>
      <c r="B95">
        <f t="shared" si="14"/>
        <v>0</v>
      </c>
      <c r="C95">
        <f t="shared" si="15"/>
        <v>0</v>
      </c>
      <c r="D95">
        <f t="shared" si="15"/>
        <v>0</v>
      </c>
      <c r="E95">
        <f t="shared" si="15"/>
        <v>0</v>
      </c>
      <c r="F95">
        <f t="shared" si="16"/>
        <v>0</v>
      </c>
      <c r="G95">
        <f t="shared" si="17"/>
        <v>0</v>
      </c>
      <c r="H95">
        <f t="shared" si="18"/>
        <v>0</v>
      </c>
      <c r="I95">
        <f t="shared" si="19"/>
        <v>0</v>
      </c>
      <c r="J95">
        <f t="shared" si="12"/>
        <v>0</v>
      </c>
    </row>
    <row r="96" spans="1:10" x14ac:dyDescent="0.2">
      <c r="A96">
        <f t="shared" si="10"/>
        <v>15000000</v>
      </c>
      <c r="B96">
        <f t="shared" si="14"/>
        <v>0</v>
      </c>
      <c r="C96">
        <f t="shared" si="15"/>
        <v>0</v>
      </c>
      <c r="D96">
        <f t="shared" si="15"/>
        <v>0</v>
      </c>
      <c r="E96">
        <f t="shared" si="15"/>
        <v>0</v>
      </c>
      <c r="F96">
        <f t="shared" si="16"/>
        <v>0</v>
      </c>
      <c r="G96">
        <f t="shared" si="17"/>
        <v>0</v>
      </c>
      <c r="H96">
        <f t="shared" si="18"/>
        <v>0</v>
      </c>
      <c r="I96">
        <f t="shared" si="19"/>
        <v>0</v>
      </c>
      <c r="J96">
        <f t="shared" si="12"/>
        <v>0</v>
      </c>
    </row>
    <row r="97" spans="1:10" x14ac:dyDescent="0.2">
      <c r="A97">
        <f t="shared" si="10"/>
        <v>18000000</v>
      </c>
      <c r="B97">
        <f t="shared" si="14"/>
        <v>0</v>
      </c>
      <c r="C97">
        <f t="shared" si="15"/>
        <v>0</v>
      </c>
      <c r="D97">
        <f t="shared" si="15"/>
        <v>0</v>
      </c>
      <c r="E97">
        <f t="shared" si="15"/>
        <v>0</v>
      </c>
      <c r="F97">
        <f t="shared" si="16"/>
        <v>0</v>
      </c>
      <c r="G97">
        <f t="shared" si="17"/>
        <v>0</v>
      </c>
      <c r="H97">
        <f t="shared" si="18"/>
        <v>0</v>
      </c>
      <c r="I97">
        <f t="shared" si="19"/>
        <v>0</v>
      </c>
      <c r="J97">
        <f t="shared" si="12"/>
        <v>0</v>
      </c>
    </row>
    <row r="98" spans="1:10" x14ac:dyDescent="0.2">
      <c r="A98">
        <f t="shared" si="10"/>
        <v>22000000</v>
      </c>
      <c r="B98">
        <f t="shared" si="14"/>
        <v>0</v>
      </c>
      <c r="C98">
        <f t="shared" si="15"/>
        <v>0</v>
      </c>
      <c r="D98">
        <f t="shared" si="15"/>
        <v>0</v>
      </c>
      <c r="E98">
        <f t="shared" si="15"/>
        <v>0</v>
      </c>
      <c r="F98">
        <f t="shared" si="16"/>
        <v>0</v>
      </c>
      <c r="G98">
        <f t="shared" si="17"/>
        <v>0</v>
      </c>
      <c r="H98">
        <f t="shared" si="18"/>
        <v>0</v>
      </c>
      <c r="I98">
        <f t="shared" si="19"/>
        <v>0</v>
      </c>
      <c r="J98">
        <f t="shared" si="12"/>
        <v>0</v>
      </c>
    </row>
    <row r="99" spans="1:10" x14ac:dyDescent="0.2">
      <c r="A99">
        <f t="shared" ref="A99:A159" si="20">A87*10</f>
        <v>27000000</v>
      </c>
      <c r="B99">
        <f t="shared" si="14"/>
        <v>0</v>
      </c>
      <c r="C99">
        <f t="shared" si="15"/>
        <v>0</v>
      </c>
      <c r="D99">
        <f t="shared" si="15"/>
        <v>0</v>
      </c>
      <c r="E99">
        <f t="shared" si="15"/>
        <v>0</v>
      </c>
      <c r="F99">
        <f t="shared" si="16"/>
        <v>0</v>
      </c>
      <c r="G99">
        <f t="shared" si="17"/>
        <v>0</v>
      </c>
      <c r="H99">
        <f t="shared" si="18"/>
        <v>0</v>
      </c>
      <c r="I99">
        <f t="shared" si="19"/>
        <v>0</v>
      </c>
      <c r="J99">
        <f t="shared" si="12"/>
        <v>0</v>
      </c>
    </row>
    <row r="100" spans="1:10" x14ac:dyDescent="0.2">
      <c r="A100">
        <f t="shared" si="20"/>
        <v>33000000</v>
      </c>
      <c r="B100">
        <f t="shared" si="14"/>
        <v>0</v>
      </c>
      <c r="C100">
        <f t="shared" si="15"/>
        <v>0</v>
      </c>
      <c r="D100">
        <f t="shared" si="15"/>
        <v>0</v>
      </c>
      <c r="E100">
        <f t="shared" si="15"/>
        <v>0</v>
      </c>
      <c r="F100">
        <f t="shared" si="16"/>
        <v>0</v>
      </c>
      <c r="G100">
        <f t="shared" si="17"/>
        <v>0</v>
      </c>
      <c r="H100">
        <f t="shared" si="18"/>
        <v>0</v>
      </c>
      <c r="I100">
        <f t="shared" si="19"/>
        <v>0</v>
      </c>
      <c r="J100">
        <f t="shared" si="12"/>
        <v>0</v>
      </c>
    </row>
    <row r="101" spans="1:10" x14ac:dyDescent="0.2">
      <c r="A101">
        <f t="shared" si="20"/>
        <v>39000000</v>
      </c>
      <c r="B101">
        <f t="shared" si="14"/>
        <v>0</v>
      </c>
      <c r="C101">
        <f t="shared" si="15"/>
        <v>0</v>
      </c>
      <c r="D101">
        <f t="shared" si="15"/>
        <v>0</v>
      </c>
      <c r="E101">
        <f t="shared" si="15"/>
        <v>0</v>
      </c>
      <c r="F101">
        <f t="shared" si="16"/>
        <v>0</v>
      </c>
      <c r="G101">
        <f t="shared" si="17"/>
        <v>0</v>
      </c>
      <c r="H101">
        <f t="shared" si="18"/>
        <v>0</v>
      </c>
      <c r="I101">
        <f t="shared" si="19"/>
        <v>0</v>
      </c>
      <c r="J101">
        <f t="shared" si="12"/>
        <v>0</v>
      </c>
    </row>
    <row r="102" spans="1:10" x14ac:dyDescent="0.2">
      <c r="A102">
        <f t="shared" si="20"/>
        <v>47000000</v>
      </c>
      <c r="B102">
        <f t="shared" si="14"/>
        <v>0</v>
      </c>
      <c r="C102">
        <f t="shared" si="15"/>
        <v>0</v>
      </c>
      <c r="D102">
        <f t="shared" si="15"/>
        <v>0</v>
      </c>
      <c r="E102">
        <f t="shared" si="15"/>
        <v>0</v>
      </c>
      <c r="F102">
        <f t="shared" si="16"/>
        <v>0</v>
      </c>
      <c r="G102">
        <f t="shared" si="17"/>
        <v>0</v>
      </c>
      <c r="H102">
        <f t="shared" si="18"/>
        <v>0</v>
      </c>
      <c r="I102">
        <f t="shared" si="19"/>
        <v>0</v>
      </c>
      <c r="J102">
        <f t="shared" si="12"/>
        <v>0</v>
      </c>
    </row>
    <row r="103" spans="1:10" x14ac:dyDescent="0.2">
      <c r="A103">
        <f t="shared" si="20"/>
        <v>56000000</v>
      </c>
      <c r="B103">
        <f t="shared" si="14"/>
        <v>0</v>
      </c>
      <c r="C103">
        <f t="shared" si="15"/>
        <v>0</v>
      </c>
      <c r="D103">
        <f t="shared" si="15"/>
        <v>0</v>
      </c>
      <c r="E103">
        <f t="shared" si="15"/>
        <v>0</v>
      </c>
      <c r="F103">
        <f t="shared" ref="F103:F134" si="21">IF(IF((F$3*10^12-$A104)*(F$3*10^12-$A103)*-1&lt;0,0,1)*IF(ABS(F$3*10^12-$A104)&gt;(F$3*10^12-$A103),$A103,$A104)=F104,0,IF((F$3*10^12-$A104)*(F$3*10^12-$A103)*-1&lt;0,0,1)*IF(ABS(F$3*10^12-$A104)&gt;(F$3*10^12-$A103),$A103,$A104))</f>
        <v>0</v>
      </c>
      <c r="G103">
        <f t="shared" ref="G103:G134" si="22">IF(IF((G$3*10^12-$A104)*(G$3*10^12-$A103)*-1&lt;0,0,1)*IF(ABS(G$3*10^12-$A104)&gt;(G$3*10^12-$A103),$A103,$A104)=G104,0,IF((G$3*10^12-$A104)*(G$3*10^12-$A103)*-1&lt;0,0,1)*IF(ABS(G$3*10^12-$A104)&gt;(G$3*10^12-$A103),$A103,$A104))</f>
        <v>0</v>
      </c>
      <c r="H103">
        <f t="shared" ref="H103:H134" si="23">IF(IF((H$3*10^12-$A104)*(H$3*10^12-$A103)*-1&lt;0,0,1)*IF(ABS(H$3*10^12-$A104)&gt;(H$3*10^12-$A103),$A103,$A104)=H104,0,IF((H$3*10^12-$A104)*(H$3*10^12-$A103)*-1&lt;0,0,1)*IF(ABS(H$3*10^12-$A104)&gt;(H$3*10^12-$A103),$A103,$A104))</f>
        <v>0</v>
      </c>
      <c r="I103">
        <f t="shared" ref="I103:I134" si="24">IF(IF((I$3*10^12-$A104)*(I$3*10^12-$A103)*-1&lt;0,0,1)*IF(ABS(I$3*10^12-$A104)&gt;(I$3*10^12-$A103),$A103,$A104)=I104,0,IF((I$3*10^12-$A104)*(I$3*10^12-$A103)*-1&lt;0,0,1)*IF(ABS(I$3*10^12-$A104)&gt;(I$3*10^12-$A103),$A103,$A104))</f>
        <v>0</v>
      </c>
      <c r="J103">
        <f t="shared" si="12"/>
        <v>0</v>
      </c>
    </row>
    <row r="104" spans="1:10" x14ac:dyDescent="0.2">
      <c r="A104">
        <f t="shared" si="20"/>
        <v>68000000</v>
      </c>
      <c r="B104">
        <f t="shared" si="14"/>
        <v>0</v>
      </c>
      <c r="C104">
        <f t="shared" si="15"/>
        <v>0</v>
      </c>
      <c r="D104">
        <f t="shared" si="15"/>
        <v>0</v>
      </c>
      <c r="E104">
        <f t="shared" si="15"/>
        <v>0</v>
      </c>
      <c r="F104">
        <f t="shared" si="21"/>
        <v>0</v>
      </c>
      <c r="G104">
        <f t="shared" si="22"/>
        <v>0</v>
      </c>
      <c r="H104">
        <f t="shared" si="23"/>
        <v>0</v>
      </c>
      <c r="I104">
        <f t="shared" si="24"/>
        <v>0</v>
      </c>
      <c r="J104">
        <f t="shared" si="12"/>
        <v>0</v>
      </c>
    </row>
    <row r="105" spans="1:10" x14ac:dyDescent="0.2">
      <c r="A105">
        <f t="shared" si="20"/>
        <v>82000000</v>
      </c>
      <c r="B105">
        <f t="shared" si="14"/>
        <v>0</v>
      </c>
      <c r="C105">
        <f t="shared" si="15"/>
        <v>0</v>
      </c>
      <c r="D105">
        <f t="shared" si="15"/>
        <v>0</v>
      </c>
      <c r="E105">
        <f t="shared" si="15"/>
        <v>0</v>
      </c>
      <c r="F105">
        <f t="shared" si="21"/>
        <v>0</v>
      </c>
      <c r="G105">
        <f t="shared" si="22"/>
        <v>0</v>
      </c>
      <c r="H105">
        <f t="shared" si="23"/>
        <v>0</v>
      </c>
      <c r="I105">
        <f t="shared" si="24"/>
        <v>0</v>
      </c>
      <c r="J105">
        <f t="shared" si="12"/>
        <v>0</v>
      </c>
    </row>
    <row r="106" spans="1:10" x14ac:dyDescent="0.2">
      <c r="A106">
        <f t="shared" si="20"/>
        <v>100000000</v>
      </c>
      <c r="B106">
        <f t="shared" si="14"/>
        <v>0</v>
      </c>
      <c r="C106">
        <f t="shared" si="15"/>
        <v>0</v>
      </c>
      <c r="D106">
        <f t="shared" si="15"/>
        <v>0</v>
      </c>
      <c r="E106">
        <f t="shared" si="15"/>
        <v>0</v>
      </c>
      <c r="F106">
        <f t="shared" si="21"/>
        <v>100000000</v>
      </c>
      <c r="G106">
        <f t="shared" si="22"/>
        <v>0</v>
      </c>
      <c r="H106">
        <f t="shared" si="23"/>
        <v>0</v>
      </c>
      <c r="I106">
        <f t="shared" si="24"/>
        <v>0</v>
      </c>
      <c r="J106">
        <f t="shared" si="12"/>
        <v>0</v>
      </c>
    </row>
    <row r="107" spans="1:10" x14ac:dyDescent="0.2">
      <c r="A107">
        <f t="shared" si="20"/>
        <v>120000000</v>
      </c>
      <c r="B107">
        <f t="shared" si="14"/>
        <v>0</v>
      </c>
      <c r="C107">
        <f t="shared" si="15"/>
        <v>0</v>
      </c>
      <c r="D107">
        <f t="shared" si="15"/>
        <v>0</v>
      </c>
      <c r="E107">
        <f t="shared" si="15"/>
        <v>120000000</v>
      </c>
      <c r="F107">
        <f t="shared" si="21"/>
        <v>0</v>
      </c>
      <c r="G107">
        <f t="shared" si="22"/>
        <v>0</v>
      </c>
      <c r="H107">
        <f t="shared" si="23"/>
        <v>0</v>
      </c>
      <c r="I107">
        <f t="shared" si="24"/>
        <v>0</v>
      </c>
      <c r="J107">
        <f t="shared" si="12"/>
        <v>0</v>
      </c>
    </row>
    <row r="108" spans="1:10" x14ac:dyDescent="0.2">
      <c r="A108">
        <f t="shared" si="20"/>
        <v>150000000</v>
      </c>
      <c r="B108">
        <f t="shared" si="14"/>
        <v>0</v>
      </c>
      <c r="C108">
        <f t="shared" si="15"/>
        <v>0</v>
      </c>
      <c r="D108">
        <f t="shared" si="15"/>
        <v>0</v>
      </c>
      <c r="E108">
        <f t="shared" si="15"/>
        <v>0</v>
      </c>
      <c r="F108">
        <f t="shared" si="21"/>
        <v>0</v>
      </c>
      <c r="G108">
        <f t="shared" si="22"/>
        <v>0</v>
      </c>
      <c r="H108">
        <f t="shared" si="23"/>
        <v>0</v>
      </c>
      <c r="I108">
        <f t="shared" si="24"/>
        <v>0</v>
      </c>
      <c r="J108">
        <f t="shared" si="12"/>
        <v>0</v>
      </c>
    </row>
    <row r="109" spans="1:10" x14ac:dyDescent="0.2">
      <c r="A109">
        <f t="shared" si="20"/>
        <v>180000000</v>
      </c>
      <c r="B109">
        <f t="shared" si="14"/>
        <v>0</v>
      </c>
      <c r="C109">
        <f t="shared" si="15"/>
        <v>0</v>
      </c>
      <c r="D109">
        <f t="shared" si="15"/>
        <v>0</v>
      </c>
      <c r="E109">
        <f t="shared" si="15"/>
        <v>0</v>
      </c>
      <c r="F109">
        <f t="shared" si="21"/>
        <v>0</v>
      </c>
      <c r="G109">
        <f t="shared" si="22"/>
        <v>0</v>
      </c>
      <c r="H109">
        <f t="shared" si="23"/>
        <v>0</v>
      </c>
      <c r="I109">
        <f t="shared" si="24"/>
        <v>0</v>
      </c>
      <c r="J109">
        <f t="shared" si="12"/>
        <v>0</v>
      </c>
    </row>
    <row r="110" spans="1:10" x14ac:dyDescent="0.2">
      <c r="A110">
        <f t="shared" si="20"/>
        <v>220000000</v>
      </c>
      <c r="B110">
        <f t="shared" si="14"/>
        <v>0</v>
      </c>
      <c r="C110">
        <f t="shared" si="15"/>
        <v>0</v>
      </c>
      <c r="D110">
        <f t="shared" si="15"/>
        <v>0</v>
      </c>
      <c r="E110">
        <f t="shared" si="15"/>
        <v>0</v>
      </c>
      <c r="F110">
        <f t="shared" si="21"/>
        <v>0</v>
      </c>
      <c r="G110">
        <f t="shared" si="22"/>
        <v>0</v>
      </c>
      <c r="H110">
        <f t="shared" si="23"/>
        <v>0</v>
      </c>
      <c r="I110">
        <f t="shared" si="24"/>
        <v>0</v>
      </c>
      <c r="J110">
        <f t="shared" si="12"/>
        <v>0</v>
      </c>
    </row>
    <row r="111" spans="1:10" x14ac:dyDescent="0.2">
      <c r="A111">
        <f t="shared" si="20"/>
        <v>270000000</v>
      </c>
      <c r="B111">
        <f t="shared" si="14"/>
        <v>0</v>
      </c>
      <c r="C111">
        <f t="shared" si="15"/>
        <v>0</v>
      </c>
      <c r="D111">
        <f t="shared" si="15"/>
        <v>0</v>
      </c>
      <c r="E111">
        <f t="shared" si="15"/>
        <v>0</v>
      </c>
      <c r="F111">
        <f t="shared" si="21"/>
        <v>0</v>
      </c>
      <c r="G111">
        <f t="shared" si="22"/>
        <v>0</v>
      </c>
      <c r="H111">
        <f t="shared" si="23"/>
        <v>0</v>
      </c>
      <c r="I111">
        <f t="shared" si="24"/>
        <v>0</v>
      </c>
      <c r="J111">
        <f t="shared" si="12"/>
        <v>0</v>
      </c>
    </row>
    <row r="112" spans="1:10" x14ac:dyDescent="0.2">
      <c r="A112">
        <f t="shared" si="20"/>
        <v>330000000</v>
      </c>
      <c r="B112">
        <f t="shared" si="14"/>
        <v>0</v>
      </c>
      <c r="C112">
        <f t="shared" si="15"/>
        <v>0</v>
      </c>
      <c r="D112">
        <f t="shared" si="15"/>
        <v>0</v>
      </c>
      <c r="E112">
        <f t="shared" si="15"/>
        <v>0</v>
      </c>
      <c r="F112">
        <f t="shared" si="21"/>
        <v>0</v>
      </c>
      <c r="G112">
        <f t="shared" si="22"/>
        <v>0</v>
      </c>
      <c r="H112">
        <f t="shared" si="23"/>
        <v>0</v>
      </c>
      <c r="I112">
        <f t="shared" si="24"/>
        <v>0</v>
      </c>
      <c r="J112">
        <f t="shared" si="12"/>
        <v>0</v>
      </c>
    </row>
    <row r="113" spans="1:10" x14ac:dyDescent="0.2">
      <c r="A113">
        <f t="shared" si="20"/>
        <v>390000000</v>
      </c>
      <c r="B113">
        <f t="shared" si="14"/>
        <v>0</v>
      </c>
      <c r="C113">
        <f t="shared" si="15"/>
        <v>0</v>
      </c>
      <c r="D113">
        <f t="shared" si="15"/>
        <v>0</v>
      </c>
      <c r="E113">
        <f t="shared" si="15"/>
        <v>0</v>
      </c>
      <c r="F113">
        <f t="shared" si="21"/>
        <v>0</v>
      </c>
      <c r="G113">
        <f t="shared" si="22"/>
        <v>0</v>
      </c>
      <c r="H113">
        <f t="shared" si="23"/>
        <v>0</v>
      </c>
      <c r="I113">
        <f t="shared" si="24"/>
        <v>0</v>
      </c>
      <c r="J113">
        <f t="shared" si="12"/>
        <v>0</v>
      </c>
    </row>
    <row r="114" spans="1:10" x14ac:dyDescent="0.2">
      <c r="A114">
        <f t="shared" si="20"/>
        <v>470000000</v>
      </c>
      <c r="B114">
        <f t="shared" si="14"/>
        <v>0</v>
      </c>
      <c r="C114">
        <f t="shared" si="15"/>
        <v>0</v>
      </c>
      <c r="D114">
        <f t="shared" si="15"/>
        <v>0</v>
      </c>
      <c r="E114">
        <f t="shared" si="15"/>
        <v>0</v>
      </c>
      <c r="F114">
        <f t="shared" si="21"/>
        <v>0</v>
      </c>
      <c r="G114">
        <f t="shared" si="22"/>
        <v>0</v>
      </c>
      <c r="H114">
        <f t="shared" si="23"/>
        <v>0</v>
      </c>
      <c r="I114">
        <f t="shared" si="24"/>
        <v>0</v>
      </c>
      <c r="J114">
        <f t="shared" si="12"/>
        <v>0</v>
      </c>
    </row>
    <row r="115" spans="1:10" x14ac:dyDescent="0.2">
      <c r="A115">
        <f t="shared" si="20"/>
        <v>560000000</v>
      </c>
      <c r="B115">
        <f t="shared" si="14"/>
        <v>0</v>
      </c>
      <c r="C115">
        <f t="shared" si="15"/>
        <v>0</v>
      </c>
      <c r="D115">
        <f t="shared" si="15"/>
        <v>0</v>
      </c>
      <c r="E115">
        <f t="shared" si="15"/>
        <v>0</v>
      </c>
      <c r="F115">
        <f t="shared" si="21"/>
        <v>0</v>
      </c>
      <c r="G115">
        <f t="shared" si="22"/>
        <v>0</v>
      </c>
      <c r="H115">
        <f t="shared" si="23"/>
        <v>0</v>
      </c>
      <c r="I115">
        <f t="shared" si="24"/>
        <v>0</v>
      </c>
      <c r="J115">
        <f t="shared" si="12"/>
        <v>0</v>
      </c>
    </row>
    <row r="116" spans="1:10" x14ac:dyDescent="0.2">
      <c r="A116">
        <f t="shared" si="20"/>
        <v>680000000</v>
      </c>
      <c r="B116">
        <f t="shared" si="14"/>
        <v>0</v>
      </c>
      <c r="C116">
        <f t="shared" si="15"/>
        <v>0</v>
      </c>
      <c r="D116">
        <f t="shared" si="15"/>
        <v>0</v>
      </c>
      <c r="E116">
        <f t="shared" si="15"/>
        <v>0</v>
      </c>
      <c r="F116">
        <f t="shared" si="21"/>
        <v>0</v>
      </c>
      <c r="G116">
        <f t="shared" si="22"/>
        <v>0</v>
      </c>
      <c r="H116">
        <f t="shared" si="23"/>
        <v>0</v>
      </c>
      <c r="I116">
        <f t="shared" si="24"/>
        <v>0</v>
      </c>
      <c r="J116">
        <f t="shared" si="12"/>
        <v>0</v>
      </c>
    </row>
    <row r="117" spans="1:10" x14ac:dyDescent="0.2">
      <c r="A117">
        <f t="shared" si="20"/>
        <v>820000000</v>
      </c>
      <c r="B117">
        <f t="shared" si="14"/>
        <v>0</v>
      </c>
      <c r="C117">
        <f t="shared" si="15"/>
        <v>0</v>
      </c>
      <c r="D117">
        <f t="shared" si="15"/>
        <v>0</v>
      </c>
      <c r="E117">
        <f t="shared" si="15"/>
        <v>0</v>
      </c>
      <c r="F117">
        <f t="shared" si="21"/>
        <v>0</v>
      </c>
      <c r="G117">
        <f t="shared" si="22"/>
        <v>0</v>
      </c>
      <c r="H117">
        <f t="shared" si="23"/>
        <v>0</v>
      </c>
      <c r="I117">
        <f t="shared" si="24"/>
        <v>0</v>
      </c>
      <c r="J117">
        <f t="shared" si="12"/>
        <v>0</v>
      </c>
    </row>
    <row r="118" spans="1:10" x14ac:dyDescent="0.2">
      <c r="A118">
        <f t="shared" si="20"/>
        <v>1000000000</v>
      </c>
      <c r="B118">
        <f t="shared" si="14"/>
        <v>0</v>
      </c>
      <c r="C118">
        <f t="shared" si="15"/>
        <v>0</v>
      </c>
      <c r="D118">
        <f t="shared" si="15"/>
        <v>0</v>
      </c>
      <c r="E118">
        <f t="shared" si="15"/>
        <v>0</v>
      </c>
      <c r="F118">
        <f t="shared" si="21"/>
        <v>0</v>
      </c>
      <c r="G118">
        <f t="shared" si="22"/>
        <v>0</v>
      </c>
      <c r="H118">
        <f t="shared" si="23"/>
        <v>0</v>
      </c>
      <c r="I118">
        <f t="shared" si="24"/>
        <v>0</v>
      </c>
      <c r="J118">
        <f t="shared" si="12"/>
        <v>0</v>
      </c>
    </row>
    <row r="119" spans="1:10" x14ac:dyDescent="0.2">
      <c r="A119">
        <f t="shared" si="20"/>
        <v>1200000000</v>
      </c>
      <c r="B119">
        <f t="shared" si="14"/>
        <v>0</v>
      </c>
      <c r="C119">
        <f t="shared" si="15"/>
        <v>0</v>
      </c>
      <c r="D119">
        <f t="shared" si="15"/>
        <v>0</v>
      </c>
      <c r="E119">
        <f t="shared" si="15"/>
        <v>0</v>
      </c>
      <c r="F119">
        <f t="shared" si="21"/>
        <v>0</v>
      </c>
      <c r="G119">
        <f t="shared" si="22"/>
        <v>0</v>
      </c>
      <c r="H119">
        <f t="shared" si="23"/>
        <v>0</v>
      </c>
      <c r="I119">
        <f t="shared" si="24"/>
        <v>0</v>
      </c>
      <c r="J119">
        <f t="shared" si="12"/>
        <v>0</v>
      </c>
    </row>
    <row r="120" spans="1:10" x14ac:dyDescent="0.2">
      <c r="A120">
        <f t="shared" si="20"/>
        <v>1500000000</v>
      </c>
      <c r="B120">
        <f t="shared" si="14"/>
        <v>0</v>
      </c>
      <c r="C120">
        <f t="shared" si="15"/>
        <v>0</v>
      </c>
      <c r="D120">
        <f t="shared" si="15"/>
        <v>0</v>
      </c>
      <c r="E120">
        <f t="shared" si="15"/>
        <v>0</v>
      </c>
      <c r="F120">
        <f t="shared" si="21"/>
        <v>0</v>
      </c>
      <c r="G120">
        <f t="shared" si="22"/>
        <v>0</v>
      </c>
      <c r="H120">
        <f t="shared" si="23"/>
        <v>0</v>
      </c>
      <c r="I120">
        <f t="shared" si="24"/>
        <v>0</v>
      </c>
      <c r="J120">
        <f t="shared" si="12"/>
        <v>0</v>
      </c>
    </row>
    <row r="121" spans="1:10" x14ac:dyDescent="0.2">
      <c r="A121">
        <f t="shared" si="20"/>
        <v>1800000000</v>
      </c>
      <c r="B121">
        <f t="shared" si="14"/>
        <v>0</v>
      </c>
      <c r="C121">
        <f t="shared" si="15"/>
        <v>0</v>
      </c>
      <c r="D121">
        <f t="shared" si="15"/>
        <v>0</v>
      </c>
      <c r="E121">
        <f t="shared" si="15"/>
        <v>0</v>
      </c>
      <c r="F121">
        <f t="shared" si="21"/>
        <v>0</v>
      </c>
      <c r="G121">
        <f t="shared" si="22"/>
        <v>0</v>
      </c>
      <c r="H121">
        <f t="shared" si="23"/>
        <v>0</v>
      </c>
      <c r="I121">
        <f t="shared" si="24"/>
        <v>0</v>
      </c>
      <c r="J121">
        <f t="shared" si="12"/>
        <v>0</v>
      </c>
    </row>
    <row r="122" spans="1:10" x14ac:dyDescent="0.2">
      <c r="A122">
        <f t="shared" si="20"/>
        <v>2200000000</v>
      </c>
      <c r="B122">
        <f t="shared" si="14"/>
        <v>0</v>
      </c>
      <c r="C122">
        <f t="shared" si="15"/>
        <v>0</v>
      </c>
      <c r="D122">
        <f t="shared" si="15"/>
        <v>0</v>
      </c>
      <c r="E122">
        <f t="shared" si="15"/>
        <v>0</v>
      </c>
      <c r="F122">
        <f t="shared" si="21"/>
        <v>0</v>
      </c>
      <c r="G122">
        <f t="shared" si="22"/>
        <v>0</v>
      </c>
      <c r="H122">
        <f t="shared" si="23"/>
        <v>0</v>
      </c>
      <c r="I122">
        <f t="shared" si="24"/>
        <v>0</v>
      </c>
      <c r="J122">
        <f t="shared" si="12"/>
        <v>0</v>
      </c>
    </row>
    <row r="123" spans="1:10" x14ac:dyDescent="0.2">
      <c r="A123">
        <f t="shared" si="20"/>
        <v>2700000000</v>
      </c>
      <c r="B123">
        <f t="shared" si="14"/>
        <v>0</v>
      </c>
      <c r="C123">
        <f t="shared" si="15"/>
        <v>0</v>
      </c>
      <c r="D123">
        <f t="shared" si="15"/>
        <v>0</v>
      </c>
      <c r="E123">
        <f t="shared" si="15"/>
        <v>0</v>
      </c>
      <c r="F123">
        <f t="shared" si="21"/>
        <v>0</v>
      </c>
      <c r="G123">
        <f t="shared" si="22"/>
        <v>0</v>
      </c>
      <c r="H123">
        <f t="shared" si="23"/>
        <v>0</v>
      </c>
      <c r="I123">
        <f t="shared" si="24"/>
        <v>0</v>
      </c>
      <c r="J123">
        <f t="shared" si="12"/>
        <v>0</v>
      </c>
    </row>
    <row r="124" spans="1:10" x14ac:dyDescent="0.2">
      <c r="A124">
        <f t="shared" si="20"/>
        <v>3300000000</v>
      </c>
      <c r="B124">
        <f t="shared" si="14"/>
        <v>0</v>
      </c>
      <c r="C124">
        <f t="shared" si="15"/>
        <v>0</v>
      </c>
      <c r="D124">
        <f t="shared" si="15"/>
        <v>0</v>
      </c>
      <c r="E124">
        <f t="shared" si="15"/>
        <v>0</v>
      </c>
      <c r="F124">
        <f t="shared" si="21"/>
        <v>0</v>
      </c>
      <c r="G124">
        <f t="shared" si="22"/>
        <v>0</v>
      </c>
      <c r="H124">
        <f t="shared" si="23"/>
        <v>0</v>
      </c>
      <c r="I124">
        <f t="shared" si="24"/>
        <v>0</v>
      </c>
      <c r="J124">
        <f t="shared" si="12"/>
        <v>0</v>
      </c>
    </row>
    <row r="125" spans="1:10" x14ac:dyDescent="0.2">
      <c r="A125">
        <f t="shared" si="20"/>
        <v>3900000000</v>
      </c>
      <c r="B125">
        <f t="shared" si="14"/>
        <v>0</v>
      </c>
      <c r="C125">
        <f t="shared" si="15"/>
        <v>0</v>
      </c>
      <c r="D125">
        <f t="shared" si="15"/>
        <v>0</v>
      </c>
      <c r="E125">
        <f t="shared" si="15"/>
        <v>0</v>
      </c>
      <c r="F125">
        <f t="shared" si="21"/>
        <v>0</v>
      </c>
      <c r="G125">
        <f t="shared" si="22"/>
        <v>0</v>
      </c>
      <c r="H125">
        <f t="shared" si="23"/>
        <v>0</v>
      </c>
      <c r="I125">
        <f t="shared" si="24"/>
        <v>0</v>
      </c>
      <c r="J125">
        <f t="shared" si="12"/>
        <v>0</v>
      </c>
    </row>
    <row r="126" spans="1:10" x14ac:dyDescent="0.2">
      <c r="A126">
        <f t="shared" si="20"/>
        <v>4700000000</v>
      </c>
      <c r="B126">
        <f t="shared" si="14"/>
        <v>0</v>
      </c>
      <c r="C126">
        <f t="shared" si="15"/>
        <v>0</v>
      </c>
      <c r="D126">
        <f t="shared" si="15"/>
        <v>0</v>
      </c>
      <c r="E126">
        <f t="shared" si="15"/>
        <v>0</v>
      </c>
      <c r="F126">
        <f t="shared" si="21"/>
        <v>0</v>
      </c>
      <c r="G126">
        <f t="shared" si="22"/>
        <v>0</v>
      </c>
      <c r="H126">
        <f t="shared" si="23"/>
        <v>0</v>
      </c>
      <c r="I126">
        <f t="shared" si="24"/>
        <v>0</v>
      </c>
      <c r="J126">
        <f t="shared" si="12"/>
        <v>0</v>
      </c>
    </row>
    <row r="127" spans="1:10" x14ac:dyDescent="0.2">
      <c r="A127">
        <f t="shared" si="20"/>
        <v>5600000000</v>
      </c>
      <c r="B127">
        <f t="shared" si="14"/>
        <v>0</v>
      </c>
      <c r="C127">
        <f t="shared" si="15"/>
        <v>0</v>
      </c>
      <c r="D127">
        <f t="shared" si="15"/>
        <v>0</v>
      </c>
      <c r="E127">
        <f t="shared" si="15"/>
        <v>0</v>
      </c>
      <c r="F127">
        <f t="shared" si="21"/>
        <v>0</v>
      </c>
      <c r="G127">
        <f t="shared" si="22"/>
        <v>0</v>
      </c>
      <c r="H127">
        <f t="shared" si="23"/>
        <v>0</v>
      </c>
      <c r="I127">
        <f t="shared" si="24"/>
        <v>0</v>
      </c>
      <c r="J127">
        <f t="shared" si="12"/>
        <v>0</v>
      </c>
    </row>
    <row r="128" spans="1:10" x14ac:dyDescent="0.2">
      <c r="A128">
        <f t="shared" si="20"/>
        <v>6800000000</v>
      </c>
      <c r="B128">
        <f t="shared" si="14"/>
        <v>0</v>
      </c>
      <c r="C128">
        <f t="shared" si="15"/>
        <v>0</v>
      </c>
      <c r="D128">
        <f t="shared" si="15"/>
        <v>0</v>
      </c>
      <c r="E128">
        <f t="shared" si="15"/>
        <v>0</v>
      </c>
      <c r="F128">
        <f t="shared" si="21"/>
        <v>0</v>
      </c>
      <c r="G128">
        <f t="shared" si="22"/>
        <v>0</v>
      </c>
      <c r="H128">
        <f t="shared" si="23"/>
        <v>0</v>
      </c>
      <c r="I128">
        <f t="shared" si="24"/>
        <v>0</v>
      </c>
      <c r="J128">
        <f t="shared" si="12"/>
        <v>0</v>
      </c>
    </row>
    <row r="129" spans="1:10" x14ac:dyDescent="0.2">
      <c r="A129">
        <f t="shared" si="20"/>
        <v>8200000000</v>
      </c>
      <c r="B129">
        <f t="shared" si="14"/>
        <v>0</v>
      </c>
      <c r="C129">
        <f t="shared" si="15"/>
        <v>0</v>
      </c>
      <c r="D129">
        <f t="shared" si="15"/>
        <v>0</v>
      </c>
      <c r="E129">
        <f t="shared" si="15"/>
        <v>0</v>
      </c>
      <c r="F129">
        <f t="shared" si="21"/>
        <v>0</v>
      </c>
      <c r="G129">
        <f t="shared" si="22"/>
        <v>0</v>
      </c>
      <c r="H129">
        <f t="shared" si="23"/>
        <v>0</v>
      </c>
      <c r="I129">
        <f t="shared" si="24"/>
        <v>0</v>
      </c>
      <c r="J129">
        <f t="shared" si="12"/>
        <v>0</v>
      </c>
    </row>
    <row r="130" spans="1:10" x14ac:dyDescent="0.2">
      <c r="A130">
        <f t="shared" si="20"/>
        <v>10000000000</v>
      </c>
      <c r="B130">
        <f t="shared" si="14"/>
        <v>0</v>
      </c>
      <c r="C130">
        <f t="shared" si="15"/>
        <v>0</v>
      </c>
      <c r="D130">
        <f t="shared" si="15"/>
        <v>0</v>
      </c>
      <c r="E130">
        <f t="shared" si="15"/>
        <v>0</v>
      </c>
      <c r="F130">
        <f t="shared" si="21"/>
        <v>0</v>
      </c>
      <c r="G130">
        <f t="shared" si="22"/>
        <v>0</v>
      </c>
      <c r="H130">
        <f t="shared" si="23"/>
        <v>0</v>
      </c>
      <c r="I130">
        <f t="shared" si="24"/>
        <v>0</v>
      </c>
      <c r="J130">
        <f t="shared" si="12"/>
        <v>0</v>
      </c>
    </row>
    <row r="131" spans="1:10" x14ac:dyDescent="0.2">
      <c r="A131">
        <f t="shared" si="20"/>
        <v>12000000000</v>
      </c>
      <c r="B131">
        <f t="shared" si="14"/>
        <v>0</v>
      </c>
      <c r="C131">
        <f t="shared" si="15"/>
        <v>0</v>
      </c>
      <c r="D131">
        <f t="shared" si="15"/>
        <v>0</v>
      </c>
      <c r="E131">
        <f t="shared" si="15"/>
        <v>0</v>
      </c>
      <c r="F131">
        <f t="shared" si="21"/>
        <v>0</v>
      </c>
      <c r="G131">
        <f t="shared" si="22"/>
        <v>0</v>
      </c>
      <c r="H131">
        <f t="shared" si="23"/>
        <v>0</v>
      </c>
      <c r="I131">
        <f t="shared" si="24"/>
        <v>0</v>
      </c>
      <c r="J131">
        <f t="shared" si="12"/>
        <v>0</v>
      </c>
    </row>
    <row r="132" spans="1:10" x14ac:dyDescent="0.2">
      <c r="A132">
        <f t="shared" si="20"/>
        <v>15000000000</v>
      </c>
      <c r="B132">
        <f t="shared" si="14"/>
        <v>0</v>
      </c>
      <c r="C132">
        <f t="shared" si="15"/>
        <v>0</v>
      </c>
      <c r="D132">
        <f t="shared" si="15"/>
        <v>0</v>
      </c>
      <c r="E132">
        <f t="shared" si="15"/>
        <v>0</v>
      </c>
      <c r="F132">
        <f t="shared" si="21"/>
        <v>0</v>
      </c>
      <c r="G132">
        <f t="shared" si="22"/>
        <v>0</v>
      </c>
      <c r="H132">
        <f t="shared" si="23"/>
        <v>0</v>
      </c>
      <c r="I132">
        <f t="shared" si="24"/>
        <v>0</v>
      </c>
      <c r="J132">
        <f t="shared" si="12"/>
        <v>0</v>
      </c>
    </row>
    <row r="133" spans="1:10" x14ac:dyDescent="0.2">
      <c r="A133">
        <f t="shared" si="20"/>
        <v>18000000000</v>
      </c>
      <c r="B133">
        <f t="shared" si="14"/>
        <v>0</v>
      </c>
      <c r="C133">
        <f t="shared" si="15"/>
        <v>0</v>
      </c>
      <c r="D133">
        <f t="shared" si="15"/>
        <v>0</v>
      </c>
      <c r="E133">
        <f t="shared" si="15"/>
        <v>0</v>
      </c>
      <c r="F133">
        <f t="shared" si="21"/>
        <v>0</v>
      </c>
      <c r="G133">
        <f t="shared" si="22"/>
        <v>0</v>
      </c>
      <c r="H133">
        <f t="shared" si="23"/>
        <v>0</v>
      </c>
      <c r="I133">
        <f t="shared" si="24"/>
        <v>0</v>
      </c>
      <c r="J133">
        <f>IF(IF((J$3*10^12-$A134)*(J$3*10^12-$A133)*-1&lt;0,0,1)*IF(ABS(J$3*10^12-$A134)&gt;(J$3*10^12-$A133),$A133,$A134)=J134,0,IF((J$3*10^12-$A134)*(J$3*10^12-$A133)*-1&lt;0,0,1)*IF(ABS(J$3*10^12-$A134)&gt;(J$3*10^12-$A133),$A133,$A134))</f>
        <v>0</v>
      </c>
    </row>
    <row r="134" spans="1:10" x14ac:dyDescent="0.2">
      <c r="A134">
        <f t="shared" si="20"/>
        <v>22000000000</v>
      </c>
      <c r="B134">
        <f t="shared" si="14"/>
        <v>0</v>
      </c>
      <c r="C134">
        <f t="shared" si="15"/>
        <v>0</v>
      </c>
      <c r="D134">
        <f t="shared" si="15"/>
        <v>0</v>
      </c>
      <c r="E134">
        <f t="shared" ref="E134:J159" si="25">IF(IF((E$3*10^12-$A135)*(E$3*10^12-$A134)*-1&lt;0,0,1)*IF(ABS(E$3*10^12-$A135)&gt;(E$3*10^12-$A134),$A134,$A135)=E135,0,IF((E$3*10^12-$A135)*(E$3*10^12-$A134)*-1&lt;0,0,1)*IF(ABS(E$3*10^12-$A135)&gt;(E$3*10^12-$A134),$A134,$A135))</f>
        <v>0</v>
      </c>
      <c r="F134">
        <f t="shared" si="21"/>
        <v>0</v>
      </c>
      <c r="G134">
        <f t="shared" si="22"/>
        <v>0</v>
      </c>
      <c r="H134">
        <f t="shared" si="23"/>
        <v>0</v>
      </c>
      <c r="I134">
        <f t="shared" si="24"/>
        <v>0</v>
      </c>
      <c r="J134">
        <f>IF(IF((J$3*10^12-$A135)*(J$3*10^12-$A134)*-1&lt;0,0,1)*IF(ABS(J$3*10^12-$A135)&gt;(J$3*10^12-$A134),$A134,$A135)=J135,0,IF((J$3*10^12-$A135)*(J$3*10^12-$A134)*-1&lt;0,0,1)*IF(ABS(J$3*10^12-$A135)&gt;(J$3*10^12-$A134),$A134,$A135))</f>
        <v>0</v>
      </c>
    </row>
    <row r="135" spans="1:10" x14ac:dyDescent="0.2">
      <c r="A135">
        <f t="shared" si="20"/>
        <v>27000000000</v>
      </c>
      <c r="B135">
        <f t="shared" ref="B135:B159" si="26">IF(IF((B$3*10^12-$A136)*(B$3*10^12-$A135)*-1&lt;0,0,1)*IF(ABS(B$3*10^12-$A136)&gt;(B$3*10^12-$A135),$A135,$A136)=B136,0,IF((B$3*10^12-$A136)*(B$3*10^12-$A135)*-1&lt;0,0,1)*IF(ABS(B$3*10^12-$A136)&gt;(B$3*10^12-$A135),$A135,$A136))</f>
        <v>0</v>
      </c>
      <c r="C135">
        <f t="shared" ref="C135:D159" si="27">IF(IF((C$3*10^12-$A136)*(C$3*10^12-$A135)*-1&lt;0,0,1)*IF(ABS(C$3*10^12-$A136)&gt;(C$3*10^12-$A135),$A135,$A136)=C136,0,IF((C$3*10^12-$A136)*(C$3*10^12-$A135)*-1&lt;0,0,1)*IF(ABS(C$3*10^12-$A136)&gt;(C$3*10^12-$A135),$A135,$A136))</f>
        <v>0</v>
      </c>
      <c r="D135">
        <f t="shared" si="27"/>
        <v>0</v>
      </c>
      <c r="E135">
        <f t="shared" si="25"/>
        <v>0</v>
      </c>
      <c r="F135">
        <f t="shared" si="25"/>
        <v>0</v>
      </c>
      <c r="G135">
        <f t="shared" si="25"/>
        <v>0</v>
      </c>
      <c r="H135">
        <f t="shared" si="25"/>
        <v>0</v>
      </c>
      <c r="I135">
        <f t="shared" si="25"/>
        <v>0</v>
      </c>
      <c r="J135">
        <f t="shared" si="25"/>
        <v>0</v>
      </c>
    </row>
    <row r="136" spans="1:10" x14ac:dyDescent="0.2">
      <c r="A136">
        <f t="shared" si="20"/>
        <v>33000000000</v>
      </c>
      <c r="B136">
        <f t="shared" si="26"/>
        <v>0</v>
      </c>
      <c r="C136">
        <f t="shared" si="27"/>
        <v>0</v>
      </c>
      <c r="D136">
        <f t="shared" si="27"/>
        <v>0</v>
      </c>
      <c r="E136">
        <f t="shared" si="25"/>
        <v>0</v>
      </c>
      <c r="F136">
        <f t="shared" si="25"/>
        <v>0</v>
      </c>
      <c r="G136">
        <f t="shared" si="25"/>
        <v>0</v>
      </c>
      <c r="H136">
        <f t="shared" si="25"/>
        <v>0</v>
      </c>
      <c r="I136">
        <f t="shared" si="25"/>
        <v>0</v>
      </c>
      <c r="J136">
        <f t="shared" si="25"/>
        <v>0</v>
      </c>
    </row>
    <row r="137" spans="1:10" x14ac:dyDescent="0.2">
      <c r="A137">
        <f t="shared" si="20"/>
        <v>39000000000</v>
      </c>
      <c r="B137">
        <f t="shared" si="26"/>
        <v>0</v>
      </c>
      <c r="C137">
        <f t="shared" si="27"/>
        <v>0</v>
      </c>
      <c r="D137">
        <f t="shared" si="27"/>
        <v>0</v>
      </c>
      <c r="E137">
        <f t="shared" si="25"/>
        <v>0</v>
      </c>
      <c r="F137">
        <f t="shared" si="25"/>
        <v>0</v>
      </c>
      <c r="G137">
        <f t="shared" si="25"/>
        <v>0</v>
      </c>
      <c r="H137">
        <f t="shared" si="25"/>
        <v>0</v>
      </c>
      <c r="I137">
        <f t="shared" si="25"/>
        <v>0</v>
      </c>
      <c r="J137">
        <f t="shared" si="25"/>
        <v>0</v>
      </c>
    </row>
    <row r="138" spans="1:10" x14ac:dyDescent="0.2">
      <c r="A138">
        <f t="shared" si="20"/>
        <v>47000000000</v>
      </c>
      <c r="B138">
        <f t="shared" si="26"/>
        <v>0</v>
      </c>
      <c r="C138">
        <f t="shared" si="27"/>
        <v>0</v>
      </c>
      <c r="D138">
        <f t="shared" si="27"/>
        <v>0</v>
      </c>
      <c r="E138">
        <f t="shared" si="25"/>
        <v>0</v>
      </c>
      <c r="F138">
        <f t="shared" si="25"/>
        <v>0</v>
      </c>
      <c r="G138">
        <f t="shared" si="25"/>
        <v>0</v>
      </c>
      <c r="H138">
        <f t="shared" si="25"/>
        <v>0</v>
      </c>
      <c r="I138">
        <f t="shared" si="25"/>
        <v>0</v>
      </c>
      <c r="J138">
        <f t="shared" si="25"/>
        <v>0</v>
      </c>
    </row>
    <row r="139" spans="1:10" x14ac:dyDescent="0.2">
      <c r="A139">
        <f t="shared" si="20"/>
        <v>56000000000</v>
      </c>
      <c r="B139">
        <f t="shared" si="26"/>
        <v>0</v>
      </c>
      <c r="C139">
        <f t="shared" si="27"/>
        <v>0</v>
      </c>
      <c r="D139">
        <f t="shared" si="27"/>
        <v>0</v>
      </c>
      <c r="E139">
        <f t="shared" si="25"/>
        <v>0</v>
      </c>
      <c r="F139">
        <f t="shared" si="25"/>
        <v>0</v>
      </c>
      <c r="G139">
        <f t="shared" si="25"/>
        <v>0</v>
      </c>
      <c r="H139">
        <f t="shared" si="25"/>
        <v>0</v>
      </c>
      <c r="I139">
        <f t="shared" si="25"/>
        <v>0</v>
      </c>
      <c r="J139">
        <f t="shared" si="25"/>
        <v>0</v>
      </c>
    </row>
    <row r="140" spans="1:10" x14ac:dyDescent="0.2">
      <c r="A140">
        <f t="shared" si="20"/>
        <v>68000000000</v>
      </c>
      <c r="B140">
        <f t="shared" si="26"/>
        <v>0</v>
      </c>
      <c r="C140">
        <f t="shared" si="27"/>
        <v>0</v>
      </c>
      <c r="D140">
        <f t="shared" si="27"/>
        <v>0</v>
      </c>
      <c r="E140">
        <f t="shared" si="25"/>
        <v>0</v>
      </c>
      <c r="F140">
        <f t="shared" si="25"/>
        <v>0</v>
      </c>
      <c r="G140">
        <f t="shared" si="25"/>
        <v>0</v>
      </c>
      <c r="H140">
        <f t="shared" si="25"/>
        <v>0</v>
      </c>
      <c r="I140">
        <f t="shared" si="25"/>
        <v>0</v>
      </c>
      <c r="J140">
        <f t="shared" si="25"/>
        <v>0</v>
      </c>
    </row>
    <row r="141" spans="1:10" x14ac:dyDescent="0.2">
      <c r="A141">
        <f t="shared" si="20"/>
        <v>82000000000</v>
      </c>
      <c r="B141">
        <f t="shared" si="26"/>
        <v>0</v>
      </c>
      <c r="C141">
        <f t="shared" si="27"/>
        <v>0</v>
      </c>
      <c r="D141">
        <f t="shared" si="27"/>
        <v>0</v>
      </c>
      <c r="E141">
        <f t="shared" si="25"/>
        <v>0</v>
      </c>
      <c r="F141">
        <f t="shared" si="25"/>
        <v>0</v>
      </c>
      <c r="G141">
        <f t="shared" si="25"/>
        <v>0</v>
      </c>
      <c r="H141">
        <f t="shared" si="25"/>
        <v>0</v>
      </c>
      <c r="I141">
        <f t="shared" si="25"/>
        <v>0</v>
      </c>
      <c r="J141">
        <f t="shared" si="25"/>
        <v>0</v>
      </c>
    </row>
    <row r="142" spans="1:10" x14ac:dyDescent="0.2">
      <c r="A142">
        <f t="shared" si="20"/>
        <v>100000000000</v>
      </c>
      <c r="B142">
        <f t="shared" si="26"/>
        <v>0</v>
      </c>
      <c r="C142">
        <f t="shared" si="27"/>
        <v>0</v>
      </c>
      <c r="D142">
        <f t="shared" si="27"/>
        <v>0</v>
      </c>
      <c r="E142">
        <f t="shared" si="25"/>
        <v>0</v>
      </c>
      <c r="F142">
        <f t="shared" si="25"/>
        <v>0</v>
      </c>
      <c r="G142">
        <f t="shared" si="25"/>
        <v>0</v>
      </c>
      <c r="H142">
        <f t="shared" si="25"/>
        <v>0</v>
      </c>
      <c r="I142">
        <f t="shared" si="25"/>
        <v>0</v>
      </c>
      <c r="J142">
        <f t="shared" si="25"/>
        <v>0</v>
      </c>
    </row>
    <row r="143" spans="1:10" x14ac:dyDescent="0.2">
      <c r="A143">
        <f t="shared" si="20"/>
        <v>120000000000</v>
      </c>
      <c r="B143">
        <f t="shared" si="26"/>
        <v>0</v>
      </c>
      <c r="C143">
        <f t="shared" si="27"/>
        <v>0</v>
      </c>
      <c r="D143">
        <f t="shared" si="27"/>
        <v>0</v>
      </c>
      <c r="E143">
        <f t="shared" si="25"/>
        <v>0</v>
      </c>
      <c r="F143">
        <f t="shared" si="25"/>
        <v>0</v>
      </c>
      <c r="G143">
        <f t="shared" si="25"/>
        <v>0</v>
      </c>
      <c r="H143">
        <f t="shared" si="25"/>
        <v>0</v>
      </c>
      <c r="I143">
        <f t="shared" si="25"/>
        <v>0</v>
      </c>
      <c r="J143">
        <f t="shared" si="25"/>
        <v>0</v>
      </c>
    </row>
    <row r="144" spans="1:10" x14ac:dyDescent="0.2">
      <c r="A144">
        <f t="shared" si="20"/>
        <v>150000000000</v>
      </c>
      <c r="B144">
        <f t="shared" si="26"/>
        <v>0</v>
      </c>
      <c r="C144">
        <f t="shared" si="27"/>
        <v>0</v>
      </c>
      <c r="D144">
        <f t="shared" si="27"/>
        <v>0</v>
      </c>
      <c r="E144">
        <f t="shared" si="25"/>
        <v>0</v>
      </c>
      <c r="F144">
        <f t="shared" si="25"/>
        <v>0</v>
      </c>
      <c r="G144">
        <f t="shared" si="25"/>
        <v>0</v>
      </c>
      <c r="H144">
        <f t="shared" si="25"/>
        <v>0</v>
      </c>
      <c r="I144">
        <f t="shared" si="25"/>
        <v>0</v>
      </c>
      <c r="J144">
        <f t="shared" si="25"/>
        <v>0</v>
      </c>
    </row>
    <row r="145" spans="1:10" x14ac:dyDescent="0.2">
      <c r="A145">
        <f t="shared" si="20"/>
        <v>180000000000</v>
      </c>
      <c r="B145">
        <f t="shared" si="26"/>
        <v>0</v>
      </c>
      <c r="C145">
        <f t="shared" si="27"/>
        <v>0</v>
      </c>
      <c r="D145">
        <f t="shared" si="27"/>
        <v>0</v>
      </c>
      <c r="E145">
        <f t="shared" si="25"/>
        <v>0</v>
      </c>
      <c r="F145">
        <f t="shared" si="25"/>
        <v>0</v>
      </c>
      <c r="G145">
        <f t="shared" si="25"/>
        <v>0</v>
      </c>
      <c r="H145">
        <f t="shared" si="25"/>
        <v>0</v>
      </c>
      <c r="I145">
        <f t="shared" si="25"/>
        <v>0</v>
      </c>
      <c r="J145">
        <f t="shared" si="25"/>
        <v>0</v>
      </c>
    </row>
    <row r="146" spans="1:10" x14ac:dyDescent="0.2">
      <c r="A146">
        <f t="shared" si="20"/>
        <v>220000000000</v>
      </c>
      <c r="B146">
        <f t="shared" si="26"/>
        <v>0</v>
      </c>
      <c r="C146">
        <f t="shared" si="27"/>
        <v>0</v>
      </c>
      <c r="D146">
        <f t="shared" si="27"/>
        <v>0</v>
      </c>
      <c r="E146">
        <f t="shared" si="25"/>
        <v>0</v>
      </c>
      <c r="F146">
        <f t="shared" si="25"/>
        <v>0</v>
      </c>
      <c r="G146">
        <f t="shared" si="25"/>
        <v>0</v>
      </c>
      <c r="H146">
        <f t="shared" si="25"/>
        <v>0</v>
      </c>
      <c r="I146">
        <f t="shared" si="25"/>
        <v>0</v>
      </c>
      <c r="J146">
        <f t="shared" si="25"/>
        <v>0</v>
      </c>
    </row>
    <row r="147" spans="1:10" x14ac:dyDescent="0.2">
      <c r="A147">
        <f t="shared" si="20"/>
        <v>270000000000</v>
      </c>
      <c r="B147">
        <f t="shared" si="26"/>
        <v>0</v>
      </c>
      <c r="C147">
        <f t="shared" si="27"/>
        <v>0</v>
      </c>
      <c r="D147">
        <f t="shared" si="27"/>
        <v>0</v>
      </c>
      <c r="E147">
        <f t="shared" si="25"/>
        <v>0</v>
      </c>
      <c r="F147">
        <f t="shared" si="25"/>
        <v>0</v>
      </c>
      <c r="G147">
        <f t="shared" si="25"/>
        <v>0</v>
      </c>
      <c r="H147">
        <f t="shared" si="25"/>
        <v>0</v>
      </c>
      <c r="I147">
        <f t="shared" si="25"/>
        <v>0</v>
      </c>
      <c r="J147">
        <f t="shared" si="25"/>
        <v>0</v>
      </c>
    </row>
    <row r="148" spans="1:10" x14ac:dyDescent="0.2">
      <c r="A148">
        <f t="shared" si="20"/>
        <v>330000000000</v>
      </c>
      <c r="B148">
        <f t="shared" si="26"/>
        <v>0</v>
      </c>
      <c r="C148">
        <f t="shared" si="27"/>
        <v>0</v>
      </c>
      <c r="D148">
        <f t="shared" si="27"/>
        <v>0</v>
      </c>
      <c r="E148">
        <f t="shared" si="25"/>
        <v>0</v>
      </c>
      <c r="F148">
        <f t="shared" si="25"/>
        <v>0</v>
      </c>
      <c r="G148">
        <f t="shared" si="25"/>
        <v>0</v>
      </c>
      <c r="H148">
        <f t="shared" si="25"/>
        <v>0</v>
      </c>
      <c r="I148">
        <f t="shared" si="25"/>
        <v>0</v>
      </c>
      <c r="J148">
        <f t="shared" si="25"/>
        <v>0</v>
      </c>
    </row>
    <row r="149" spans="1:10" x14ac:dyDescent="0.2">
      <c r="A149">
        <f t="shared" si="20"/>
        <v>390000000000</v>
      </c>
      <c r="B149">
        <f t="shared" si="26"/>
        <v>0</v>
      </c>
      <c r="C149">
        <f t="shared" si="27"/>
        <v>0</v>
      </c>
      <c r="D149">
        <f t="shared" si="27"/>
        <v>0</v>
      </c>
      <c r="E149">
        <f t="shared" si="25"/>
        <v>0</v>
      </c>
      <c r="F149">
        <f t="shared" si="25"/>
        <v>0</v>
      </c>
      <c r="G149">
        <f t="shared" si="25"/>
        <v>0</v>
      </c>
      <c r="H149">
        <f t="shared" si="25"/>
        <v>0</v>
      </c>
      <c r="I149">
        <f t="shared" si="25"/>
        <v>0</v>
      </c>
      <c r="J149">
        <f t="shared" si="25"/>
        <v>0</v>
      </c>
    </row>
    <row r="150" spans="1:10" x14ac:dyDescent="0.2">
      <c r="A150">
        <f t="shared" si="20"/>
        <v>470000000000</v>
      </c>
      <c r="B150">
        <f t="shared" si="26"/>
        <v>0</v>
      </c>
      <c r="C150">
        <f t="shared" si="27"/>
        <v>0</v>
      </c>
      <c r="D150">
        <f t="shared" si="27"/>
        <v>0</v>
      </c>
      <c r="E150">
        <f t="shared" si="25"/>
        <v>0</v>
      </c>
      <c r="F150">
        <f t="shared" si="25"/>
        <v>0</v>
      </c>
      <c r="G150">
        <f t="shared" si="25"/>
        <v>0</v>
      </c>
      <c r="H150">
        <f t="shared" si="25"/>
        <v>0</v>
      </c>
      <c r="I150">
        <f t="shared" si="25"/>
        <v>0</v>
      </c>
      <c r="J150">
        <f t="shared" si="25"/>
        <v>0</v>
      </c>
    </row>
    <row r="151" spans="1:10" x14ac:dyDescent="0.2">
      <c r="A151">
        <f t="shared" si="20"/>
        <v>560000000000</v>
      </c>
      <c r="B151">
        <f t="shared" si="26"/>
        <v>0</v>
      </c>
      <c r="C151">
        <f t="shared" si="27"/>
        <v>0</v>
      </c>
      <c r="D151">
        <f t="shared" si="27"/>
        <v>0</v>
      </c>
      <c r="E151">
        <f t="shared" si="25"/>
        <v>0</v>
      </c>
      <c r="F151">
        <f t="shared" si="25"/>
        <v>0</v>
      </c>
      <c r="G151">
        <f t="shared" si="25"/>
        <v>0</v>
      </c>
      <c r="H151">
        <f t="shared" si="25"/>
        <v>0</v>
      </c>
      <c r="I151">
        <f t="shared" si="25"/>
        <v>0</v>
      </c>
      <c r="J151">
        <f t="shared" si="25"/>
        <v>0</v>
      </c>
    </row>
    <row r="152" spans="1:10" x14ac:dyDescent="0.2">
      <c r="A152">
        <f t="shared" si="20"/>
        <v>680000000000</v>
      </c>
      <c r="B152">
        <f t="shared" si="26"/>
        <v>0</v>
      </c>
      <c r="C152">
        <f t="shared" si="27"/>
        <v>0</v>
      </c>
      <c r="D152">
        <f t="shared" si="27"/>
        <v>0</v>
      </c>
      <c r="E152">
        <f t="shared" si="25"/>
        <v>0</v>
      </c>
      <c r="F152">
        <f t="shared" si="25"/>
        <v>0</v>
      </c>
      <c r="G152">
        <f t="shared" si="25"/>
        <v>0</v>
      </c>
      <c r="H152">
        <f t="shared" si="25"/>
        <v>0</v>
      </c>
      <c r="I152">
        <f t="shared" si="25"/>
        <v>0</v>
      </c>
      <c r="J152">
        <f t="shared" si="25"/>
        <v>0</v>
      </c>
    </row>
    <row r="153" spans="1:10" x14ac:dyDescent="0.2">
      <c r="A153">
        <f t="shared" si="20"/>
        <v>820000000000</v>
      </c>
      <c r="B153">
        <f t="shared" si="26"/>
        <v>0</v>
      </c>
      <c r="C153">
        <f t="shared" si="27"/>
        <v>0</v>
      </c>
      <c r="D153">
        <f t="shared" si="27"/>
        <v>0</v>
      </c>
      <c r="E153">
        <f t="shared" si="25"/>
        <v>0</v>
      </c>
      <c r="F153">
        <f t="shared" si="25"/>
        <v>0</v>
      </c>
      <c r="G153">
        <f t="shared" si="25"/>
        <v>0</v>
      </c>
      <c r="H153">
        <f t="shared" si="25"/>
        <v>0</v>
      </c>
      <c r="I153">
        <f t="shared" si="25"/>
        <v>0</v>
      </c>
      <c r="J153">
        <f t="shared" si="25"/>
        <v>0</v>
      </c>
    </row>
    <row r="154" spans="1:10" x14ac:dyDescent="0.2">
      <c r="A154">
        <f t="shared" si="20"/>
        <v>1000000000000</v>
      </c>
      <c r="B154">
        <f t="shared" si="26"/>
        <v>0</v>
      </c>
      <c r="C154">
        <f t="shared" si="27"/>
        <v>0</v>
      </c>
      <c r="D154">
        <f t="shared" si="27"/>
        <v>0</v>
      </c>
      <c r="E154">
        <f t="shared" si="25"/>
        <v>0</v>
      </c>
      <c r="F154">
        <f t="shared" si="25"/>
        <v>0</v>
      </c>
      <c r="G154">
        <f t="shared" si="25"/>
        <v>0</v>
      </c>
      <c r="H154">
        <f t="shared" si="25"/>
        <v>0</v>
      </c>
      <c r="I154">
        <f t="shared" si="25"/>
        <v>0</v>
      </c>
      <c r="J154">
        <f t="shared" si="25"/>
        <v>0</v>
      </c>
    </row>
    <row r="155" spans="1:10" x14ac:dyDescent="0.2">
      <c r="A155">
        <f t="shared" si="20"/>
        <v>1200000000000</v>
      </c>
      <c r="B155">
        <f t="shared" si="26"/>
        <v>0</v>
      </c>
      <c r="C155">
        <f t="shared" si="27"/>
        <v>0</v>
      </c>
      <c r="D155">
        <f t="shared" si="27"/>
        <v>0</v>
      </c>
      <c r="E155">
        <f t="shared" si="25"/>
        <v>0</v>
      </c>
      <c r="F155">
        <f t="shared" si="25"/>
        <v>0</v>
      </c>
      <c r="G155">
        <f t="shared" si="25"/>
        <v>0</v>
      </c>
      <c r="H155">
        <f t="shared" si="25"/>
        <v>0</v>
      </c>
      <c r="I155">
        <f t="shared" si="25"/>
        <v>0</v>
      </c>
      <c r="J155">
        <f t="shared" si="25"/>
        <v>0</v>
      </c>
    </row>
    <row r="156" spans="1:10" x14ac:dyDescent="0.2">
      <c r="A156">
        <f t="shared" si="20"/>
        <v>1500000000000</v>
      </c>
      <c r="B156">
        <f t="shared" si="26"/>
        <v>0</v>
      </c>
      <c r="C156">
        <f t="shared" si="27"/>
        <v>0</v>
      </c>
      <c r="D156">
        <f t="shared" si="27"/>
        <v>0</v>
      </c>
      <c r="E156">
        <f t="shared" si="25"/>
        <v>0</v>
      </c>
      <c r="F156">
        <f t="shared" si="25"/>
        <v>0</v>
      </c>
      <c r="G156">
        <f t="shared" si="25"/>
        <v>0</v>
      </c>
      <c r="H156">
        <f t="shared" si="25"/>
        <v>0</v>
      </c>
      <c r="I156">
        <f t="shared" si="25"/>
        <v>0</v>
      </c>
      <c r="J156">
        <f t="shared" si="25"/>
        <v>0</v>
      </c>
    </row>
    <row r="157" spans="1:10" x14ac:dyDescent="0.2">
      <c r="A157">
        <f t="shared" si="20"/>
        <v>1800000000000</v>
      </c>
      <c r="B157">
        <f t="shared" si="26"/>
        <v>0</v>
      </c>
      <c r="C157">
        <f t="shared" si="27"/>
        <v>0</v>
      </c>
      <c r="D157">
        <f t="shared" si="27"/>
        <v>0</v>
      </c>
      <c r="E157">
        <f t="shared" si="25"/>
        <v>0</v>
      </c>
      <c r="F157">
        <f t="shared" si="25"/>
        <v>0</v>
      </c>
      <c r="G157">
        <f t="shared" si="25"/>
        <v>0</v>
      </c>
      <c r="H157">
        <f t="shared" si="25"/>
        <v>0</v>
      </c>
      <c r="I157">
        <f t="shared" si="25"/>
        <v>0</v>
      </c>
      <c r="J157">
        <f t="shared" si="25"/>
        <v>0</v>
      </c>
    </row>
    <row r="158" spans="1:10" x14ac:dyDescent="0.2">
      <c r="A158">
        <f t="shared" si="20"/>
        <v>2200000000000</v>
      </c>
      <c r="B158">
        <f t="shared" si="26"/>
        <v>0</v>
      </c>
      <c r="C158">
        <f t="shared" si="27"/>
        <v>0</v>
      </c>
      <c r="D158">
        <f t="shared" si="27"/>
        <v>0</v>
      </c>
      <c r="E158">
        <f t="shared" si="25"/>
        <v>0</v>
      </c>
      <c r="F158">
        <f t="shared" si="25"/>
        <v>0</v>
      </c>
      <c r="G158">
        <f t="shared" si="25"/>
        <v>0</v>
      </c>
      <c r="H158">
        <f t="shared" si="25"/>
        <v>0</v>
      </c>
      <c r="I158">
        <f t="shared" si="25"/>
        <v>0</v>
      </c>
      <c r="J158">
        <f t="shared" si="25"/>
        <v>0</v>
      </c>
    </row>
    <row r="159" spans="1:10" x14ac:dyDescent="0.2">
      <c r="A159" s="14">
        <f t="shared" si="20"/>
        <v>2700000000000</v>
      </c>
      <c r="B159">
        <f t="shared" si="26"/>
        <v>2700000000000</v>
      </c>
      <c r="C159">
        <f t="shared" si="27"/>
        <v>2700000000000</v>
      </c>
      <c r="D159">
        <f t="shared" si="27"/>
        <v>2700000000000</v>
      </c>
      <c r="E159">
        <f t="shared" si="25"/>
        <v>2700000000000</v>
      </c>
      <c r="F159">
        <f t="shared" si="25"/>
        <v>2700000000000</v>
      </c>
      <c r="G159">
        <f t="shared" si="25"/>
        <v>2700000000000</v>
      </c>
      <c r="H159">
        <f t="shared" si="25"/>
        <v>2700000000000</v>
      </c>
      <c r="I159">
        <f t="shared" si="25"/>
        <v>2700000000000</v>
      </c>
      <c r="J159">
        <f t="shared" si="25"/>
        <v>2700000000000</v>
      </c>
    </row>
  </sheetData>
  <phoneticPr fontId="1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E7"/>
  <sheetViews>
    <sheetView workbookViewId="0">
      <selection activeCell="H28" sqref="C8:H28"/>
    </sheetView>
  </sheetViews>
  <sheetFormatPr defaultRowHeight="12.9" x14ac:dyDescent="0.2"/>
  <cols>
    <col min="1" max="1" width="18.625" customWidth="1"/>
    <col min="2" max="2" width="9.25" customWidth="1"/>
    <col min="4" max="4" width="11.125" customWidth="1"/>
  </cols>
  <sheetData>
    <row r="1" spans="1:5" x14ac:dyDescent="0.2">
      <c r="C1" t="s">
        <v>215</v>
      </c>
      <c r="D1" t="s">
        <v>214</v>
      </c>
    </row>
    <row r="2" spans="1:5" x14ac:dyDescent="0.2">
      <c r="A2" t="s">
        <v>212</v>
      </c>
      <c r="B2" s="18">
        <v>85</v>
      </c>
      <c r="C2" t="s">
        <v>213</v>
      </c>
      <c r="D2">
        <f>B2*1000000</f>
        <v>85000000</v>
      </c>
      <c r="E2" t="s">
        <v>10</v>
      </c>
    </row>
    <row r="3" spans="1:5" x14ac:dyDescent="0.2">
      <c r="A3" t="s">
        <v>216</v>
      </c>
      <c r="B3" s="18">
        <v>3000</v>
      </c>
      <c r="C3" t="s">
        <v>32</v>
      </c>
      <c r="D3">
        <f>B3*0.000000000001</f>
        <v>3E-9</v>
      </c>
      <c r="E3" t="s">
        <v>26</v>
      </c>
    </row>
    <row r="4" spans="1:5" x14ac:dyDescent="0.2">
      <c r="A4" t="s">
        <v>218</v>
      </c>
      <c r="B4" s="19">
        <f>1000000000*1/((D2*2*3.14159)^2*D3)</f>
        <v>1.1686430773614742</v>
      </c>
      <c r="C4" t="s">
        <v>219</v>
      </c>
      <c r="D4">
        <f>B4/1000000000</f>
        <v>1.1686430773614743E-9</v>
      </c>
      <c r="E4" t="s">
        <v>20</v>
      </c>
    </row>
    <row r="5" spans="1:5" x14ac:dyDescent="0.2">
      <c r="A5" t="s">
        <v>217</v>
      </c>
      <c r="B5">
        <f>4*B3</f>
        <v>12000</v>
      </c>
      <c r="C5" t="s">
        <v>32</v>
      </c>
      <c r="D5">
        <f>B5*0.000000000001</f>
        <v>1.2E-8</v>
      </c>
      <c r="E5" t="s">
        <v>26</v>
      </c>
    </row>
    <row r="6" spans="1:5" x14ac:dyDescent="0.2">
      <c r="A6" t="s">
        <v>220</v>
      </c>
      <c r="B6" s="4">
        <f>SQRT(D4/D3)</f>
        <v>0.62413755891936573</v>
      </c>
      <c r="C6" s="4" t="s">
        <v>167</v>
      </c>
      <c r="D6" s="4">
        <f>B6</f>
        <v>0.62413755891936573</v>
      </c>
      <c r="E6" t="s">
        <v>167</v>
      </c>
    </row>
    <row r="7" spans="1:5" x14ac:dyDescent="0.2">
      <c r="B7" s="4"/>
      <c r="C7" s="4"/>
      <c r="D7" s="4"/>
    </row>
  </sheetData>
  <phoneticPr fontId="10" type="noConversion"/>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3:E16"/>
  <sheetViews>
    <sheetView zoomScaleNormal="100" workbookViewId="0">
      <selection activeCell="B10" sqref="B10"/>
    </sheetView>
  </sheetViews>
  <sheetFormatPr defaultRowHeight="12.9" x14ac:dyDescent="0.2"/>
  <sheetData>
    <row r="3" spans="1:5" x14ac:dyDescent="0.2">
      <c r="A3" t="s">
        <v>184</v>
      </c>
      <c r="B3" t="e">
        <f>Iripple1</f>
        <v>#NAME?</v>
      </c>
    </row>
    <row r="4" spans="1:5" x14ac:dyDescent="0.2">
      <c r="A4" t="s">
        <v>7</v>
      </c>
      <c r="B4">
        <f>Fsw</f>
        <v>398000</v>
      </c>
    </row>
    <row r="6" spans="1:5" x14ac:dyDescent="0.2">
      <c r="A6" t="s">
        <v>171</v>
      </c>
      <c r="B6" s="12">
        <v>0.5</v>
      </c>
      <c r="C6" t="s">
        <v>67</v>
      </c>
      <c r="D6">
        <f>B6/1000</f>
        <v>5.0000000000000001E-4</v>
      </c>
      <c r="E6" t="s">
        <v>21</v>
      </c>
    </row>
    <row r="7" spans="1:5" x14ac:dyDescent="0.2">
      <c r="A7" t="s">
        <v>182</v>
      </c>
      <c r="B7" s="12">
        <v>20</v>
      </c>
      <c r="C7" t="s">
        <v>25</v>
      </c>
      <c r="D7">
        <f>B7/1000000</f>
        <v>2.0000000000000002E-5</v>
      </c>
      <c r="E7" t="s">
        <v>26</v>
      </c>
    </row>
    <row r="9" spans="1:5" x14ac:dyDescent="0.2">
      <c r="A9" t="s">
        <v>172</v>
      </c>
      <c r="B9" s="12">
        <v>20</v>
      </c>
      <c r="C9" t="s">
        <v>67</v>
      </c>
      <c r="D9">
        <f>B9/1000</f>
        <v>0.02</v>
      </c>
      <c r="E9" t="s">
        <v>21</v>
      </c>
    </row>
    <row r="10" spans="1:5" x14ac:dyDescent="0.2">
      <c r="A10" t="s">
        <v>183</v>
      </c>
      <c r="B10" s="12">
        <v>68</v>
      </c>
      <c r="C10" t="s">
        <v>25</v>
      </c>
      <c r="D10">
        <f>B10/1000000</f>
        <v>6.7999999999999999E-5</v>
      </c>
      <c r="E10" t="s">
        <v>26</v>
      </c>
    </row>
    <row r="12" spans="1:5" x14ac:dyDescent="0.2">
      <c r="A12" t="s">
        <v>186</v>
      </c>
      <c r="B12">
        <f>(D7/(D7+D10))*SQRT((D9*D10*B4)^2+1)/SQRT((((D6+D9)*D7*D10/(D10+D7))*B4)^2+1)</f>
        <v>0.25640028853792773</v>
      </c>
      <c r="C12" t="s">
        <v>185</v>
      </c>
    </row>
    <row r="13" spans="1:5" x14ac:dyDescent="0.2">
      <c r="A13" t="s">
        <v>187</v>
      </c>
      <c r="B13">
        <f>1-B12</f>
        <v>0.74359971146207227</v>
      </c>
      <c r="C13" t="s">
        <v>185</v>
      </c>
    </row>
    <row r="15" spans="1:5" x14ac:dyDescent="0.2">
      <c r="A15" t="s">
        <v>186</v>
      </c>
      <c r="B15" t="e">
        <f>B12*(Iripple1/(2*SQRT(3)))</f>
        <v>#NAME?</v>
      </c>
      <c r="C15" t="s">
        <v>2</v>
      </c>
    </row>
    <row r="16" spans="1:5" x14ac:dyDescent="0.2">
      <c r="A16" t="s">
        <v>187</v>
      </c>
      <c r="B16" t="e">
        <f>B13*(Iripple1/(2*SQRT(3)))</f>
        <v>#NAME?</v>
      </c>
      <c r="C16" t="s">
        <v>2</v>
      </c>
    </row>
  </sheetData>
  <phoneticPr fontId="10"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16</vt:i4>
      </vt:variant>
      <vt:variant>
        <vt:lpstr>具名範圍</vt:lpstr>
      </vt:variant>
      <vt:variant>
        <vt:i4>340</vt:i4>
      </vt:variant>
    </vt:vector>
  </HeadingPairs>
  <TitlesOfParts>
    <vt:vector size="356" baseType="lpstr">
      <vt:lpstr>Design Converter</vt:lpstr>
      <vt:lpstr>Licenses</vt:lpstr>
      <vt:lpstr>Variable Management</vt:lpstr>
      <vt:lpstr>DeviceParameter</vt:lpstr>
      <vt:lpstr>CFG Setting</vt:lpstr>
      <vt:lpstr>Stability Calculations</vt:lpstr>
      <vt:lpstr>IL Stability Calculations</vt:lpstr>
      <vt:lpstr>Schematic Management</vt:lpstr>
      <vt:lpstr>Efficiency Plot Details</vt:lpstr>
      <vt:lpstr>Efficiency Plot Management</vt:lpstr>
      <vt:lpstr>Timings</vt:lpstr>
      <vt:lpstr>Efficiency vs VIN Calculations</vt:lpstr>
      <vt:lpstr>Efficiency vs Load Calculations</vt:lpstr>
      <vt:lpstr>Standard Value Calculator</vt:lpstr>
      <vt:lpstr>Snubber</vt:lpstr>
      <vt:lpstr>Parallel Output Caps</vt:lpstr>
      <vt:lpstr>_Don1</vt:lpstr>
      <vt:lpstr>_Don2</vt:lpstr>
      <vt:lpstr>A_OL_IL</vt:lpstr>
      <vt:lpstr>Acs</vt:lpstr>
      <vt:lpstr>'IL Stability Calculations'!Adc</vt:lpstr>
      <vt:lpstr>Adc</vt:lpstr>
      <vt:lpstr>Adc_IL</vt:lpstr>
      <vt:lpstr>AEA</vt:lpstr>
      <vt:lpstr>Afb</vt:lpstr>
      <vt:lpstr>'IL Stability Calculations'!AIL</vt:lpstr>
      <vt:lpstr>AIL</vt:lpstr>
      <vt:lpstr>Am</vt:lpstr>
      <vt:lpstr>Am_boost</vt:lpstr>
      <vt:lpstr>Am_buck</vt:lpstr>
      <vt:lpstr>Am_IL</vt:lpstr>
      <vt:lpstr>'Efficiency Plot Details'!BodePlot</vt:lpstr>
      <vt:lpstr>BodePlot</vt:lpstr>
      <vt:lpstr>'Efficiency Plot Details'!BodePlot_ILim</vt:lpstr>
      <vt:lpstr>BodePlot_ILIM</vt:lpstr>
      <vt:lpstr>'IL Stability Calculations'!BODEPLOT_TYPE</vt:lpstr>
      <vt:lpstr>BODEPLOT_TYPE</vt:lpstr>
      <vt:lpstr>Boost_CS_Threshold</vt:lpstr>
      <vt:lpstr>Boost_CS_Threshold_max</vt:lpstr>
      <vt:lpstr>Boost_CS_Threshold_min</vt:lpstr>
      <vt:lpstr>Buck_CS_threshold</vt:lpstr>
      <vt:lpstr>Buck_CS_threshold_max</vt:lpstr>
      <vt:lpstr>Buck_CS_threshold_min</vt:lpstr>
      <vt:lpstr>C_CS</vt:lpstr>
      <vt:lpstr>C_CS_ideal</vt:lpstr>
      <vt:lpstr>C_IL_recommend</vt:lpstr>
      <vt:lpstr>Calc_mode</vt:lpstr>
      <vt:lpstr>Cb</vt:lpstr>
      <vt:lpstr>Cbw</vt:lpstr>
      <vt:lpstr>Cbw_IL</vt:lpstr>
      <vt:lpstr>Cby</vt:lpstr>
      <vt:lpstr>Cc1ea</vt:lpstr>
      <vt:lpstr>Cc1ea_u</vt:lpstr>
      <vt:lpstr>Cc1IL</vt:lpstr>
      <vt:lpstr>Cc2ea</vt:lpstr>
      <vt:lpstr>Cc2ea_u</vt:lpstr>
      <vt:lpstr>Cc2IL</vt:lpstr>
      <vt:lpstr>Cdither</vt:lpstr>
      <vt:lpstr>CFG</vt:lpstr>
      <vt:lpstr>Cin</vt:lpstr>
      <vt:lpstr>CinEsrMax</vt:lpstr>
      <vt:lpstr>Cinmin</vt:lpstr>
      <vt:lpstr>Co2_</vt:lpstr>
      <vt:lpstr>Co2_u</vt:lpstr>
      <vt:lpstr>Constant_Current_Loop_Setpoint</vt:lpstr>
      <vt:lpstr>Cout</vt:lpstr>
      <vt:lpstr>CoutEsr</vt:lpstr>
      <vt:lpstr>CoutEsrMax</vt:lpstr>
      <vt:lpstr>Coutmin</vt:lpstr>
      <vt:lpstr>CSAmp_gain</vt:lpstr>
      <vt:lpstr>Csb</vt:lpstr>
      <vt:lpstr>Csby</vt:lpstr>
      <vt:lpstr>Cslope</vt:lpstr>
      <vt:lpstr>Css</vt:lpstr>
      <vt:lpstr>Css_u</vt:lpstr>
      <vt:lpstr>D_max_buck_BB</vt:lpstr>
      <vt:lpstr>D_max_buck_enterBB</vt:lpstr>
      <vt:lpstr>D_max_exitBB_to_buck</vt:lpstr>
      <vt:lpstr>D_min_boost</vt:lpstr>
      <vt:lpstr>D_min_boost_exitBB_to_buck</vt:lpstr>
      <vt:lpstr>DC_RC</vt:lpstr>
      <vt:lpstr>Deadtime</vt:lpstr>
      <vt:lpstr>Device</vt:lpstr>
      <vt:lpstr>dI1_</vt:lpstr>
      <vt:lpstr>dI2_</vt:lpstr>
      <vt:lpstr>dI3_</vt:lpstr>
      <vt:lpstr>Doff1</vt:lpstr>
      <vt:lpstr>Doff2</vt:lpstr>
      <vt:lpstr>Don_buckboost</vt:lpstr>
      <vt:lpstr>Don_Vinmax</vt:lpstr>
      <vt:lpstr>Don_Vinmax_2</vt:lpstr>
      <vt:lpstr>Don_Vinmin</vt:lpstr>
      <vt:lpstr>Don_Vinmin_2</vt:lpstr>
      <vt:lpstr>Don_Vinnom</vt:lpstr>
      <vt:lpstr>Don_Vinnom_2</vt:lpstr>
      <vt:lpstr>EA_Pole1</vt:lpstr>
      <vt:lpstr>EA_Pole2</vt:lpstr>
      <vt:lpstr>EA_Zero1</vt:lpstr>
      <vt:lpstr>eff</vt:lpstr>
      <vt:lpstr>'Efficiency Plot Details'!EFF_IOUT</vt:lpstr>
      <vt:lpstr>EFF_IOUT</vt:lpstr>
      <vt:lpstr>'Efficiency Plot Details'!EFF_VIN</vt:lpstr>
      <vt:lpstr>EFF_VIN</vt:lpstr>
      <vt:lpstr>Efficiency</vt:lpstr>
      <vt:lpstr>f_cross_Bode</vt:lpstr>
      <vt:lpstr>Fcross</vt:lpstr>
      <vt:lpstr>Fdither</vt:lpstr>
      <vt:lpstr>Fesr</vt:lpstr>
      <vt:lpstr>Fload_boost</vt:lpstr>
      <vt:lpstr>Fload_buck</vt:lpstr>
      <vt:lpstr>Fload_u</vt:lpstr>
      <vt:lpstr>Fp_dominant</vt:lpstr>
      <vt:lpstr>Fp_IL</vt:lpstr>
      <vt:lpstr>Fp_ILHF</vt:lpstr>
      <vt:lpstr>Fp1_u</vt:lpstr>
      <vt:lpstr>Fp2_u</vt:lpstr>
      <vt:lpstr>Frhp</vt:lpstr>
      <vt:lpstr>Frhp_Vinmin</vt:lpstr>
      <vt:lpstr>Fsw</vt:lpstr>
      <vt:lpstr>Fz1_u</vt:lpstr>
      <vt:lpstr>GBW</vt:lpstr>
      <vt:lpstr>GBW_IL</vt:lpstr>
      <vt:lpstr>Gfs_Q1</vt:lpstr>
      <vt:lpstr>Gfs_Q2</vt:lpstr>
      <vt:lpstr>Gfs_Q3</vt:lpstr>
      <vt:lpstr>Gfs_Q4</vt:lpstr>
      <vt:lpstr>gm</vt:lpstr>
      <vt:lpstr>gm_CDC</vt:lpstr>
      <vt:lpstr>gm_IL</vt:lpstr>
      <vt:lpstr>gm_slopecomp</vt:lpstr>
      <vt:lpstr>I_0</vt:lpstr>
      <vt:lpstr>I_1</vt:lpstr>
      <vt:lpstr>I_2</vt:lpstr>
      <vt:lpstr>I_PP</vt:lpstr>
      <vt:lpstr>i_rms</vt:lpstr>
      <vt:lpstr>iavg</vt:lpstr>
      <vt:lpstr>Icoutrms</vt:lpstr>
      <vt:lpstr>Ifb</vt:lpstr>
      <vt:lpstr>Iin</vt:lpstr>
      <vt:lpstr>Iin_Vinmax</vt:lpstr>
      <vt:lpstr>Iin_Vinmin</vt:lpstr>
      <vt:lpstr>Iin_Vinnom</vt:lpstr>
      <vt:lpstr>IL_peak_OCP</vt:lpstr>
      <vt:lpstr>'IL Stability Calculations'!IL_Pole1</vt:lpstr>
      <vt:lpstr>'IL Stability Calculations'!IL_Pole2</vt:lpstr>
      <vt:lpstr>'IL Stability Calculations'!IL_Zero1</vt:lpstr>
      <vt:lpstr>Ilimit_Margin</vt:lpstr>
      <vt:lpstr>ILpeak_OCP_Vinmax</vt:lpstr>
      <vt:lpstr>ILpeak_OCP_Vinmin</vt:lpstr>
      <vt:lpstr>ILpeak_OCP_Vinnom</vt:lpstr>
      <vt:lpstr>IMONLIM_select</vt:lpstr>
      <vt:lpstr>Iout</vt:lpstr>
      <vt:lpstr>Iout_OCP_Vinmax</vt:lpstr>
      <vt:lpstr>Iout_OCP_Vinmin</vt:lpstr>
      <vt:lpstr>Iout_OCP_Vinnom</vt:lpstr>
      <vt:lpstr>Iout_threshold</vt:lpstr>
      <vt:lpstr>Ipeak_inductor_buckboost</vt:lpstr>
      <vt:lpstr>Ipeak_inductor_max</vt:lpstr>
      <vt:lpstr>Ipeak_inductor_Vinmax</vt:lpstr>
      <vt:lpstr>Ipeak_inductor_Vinmin</vt:lpstr>
      <vt:lpstr>Ipeak_inductor_Vinnom</vt:lpstr>
      <vt:lpstr>Iq</vt:lpstr>
      <vt:lpstr>Ireverse</vt:lpstr>
      <vt:lpstr>Iripple_edgebuckboost</vt:lpstr>
      <vt:lpstr>Iripple_Vinmax</vt:lpstr>
      <vt:lpstr>Iripple_Vinmin</vt:lpstr>
      <vt:lpstr>Iripple_Vinnom</vt:lpstr>
      <vt:lpstr>Isc_const</vt:lpstr>
      <vt:lpstr>Islope_fixed</vt:lpstr>
      <vt:lpstr>Iss</vt:lpstr>
      <vt:lpstr>Iuvlo_hys</vt:lpstr>
      <vt:lpstr>Iuvlo1</vt:lpstr>
      <vt:lpstr>Iuvlo2</vt:lpstr>
      <vt:lpstr>k</vt:lpstr>
      <vt:lpstr>K_1</vt:lpstr>
      <vt:lpstr>k_boost</vt:lpstr>
      <vt:lpstr>k_buck</vt:lpstr>
      <vt:lpstr>K_SL</vt:lpstr>
      <vt:lpstr>KD</vt:lpstr>
      <vt:lpstr>KM</vt:lpstr>
      <vt:lpstr>L</vt:lpstr>
      <vt:lpstr>Labsmax</vt:lpstr>
      <vt:lpstr>Labsmin</vt:lpstr>
      <vt:lpstr>Lf</vt:lpstr>
      <vt:lpstr>Lopt</vt:lpstr>
      <vt:lpstr>Lopt_Limit</vt:lpstr>
      <vt:lpstr>Ltc</vt:lpstr>
      <vt:lpstr>mc</vt:lpstr>
      <vt:lpstr>mc_boost</vt:lpstr>
      <vt:lpstr>mc_buck</vt:lpstr>
      <vt:lpstr>Mode</vt:lpstr>
      <vt:lpstr>Pi</vt:lpstr>
      <vt:lpstr>Pin</vt:lpstr>
      <vt:lpstr>PLOT_TYPE</vt:lpstr>
      <vt:lpstr>Pout</vt:lpstr>
      <vt:lpstr>'Design Converter'!Print_Area</vt:lpstr>
      <vt:lpstr>PS_IL_Pole1</vt:lpstr>
      <vt:lpstr>PS_IL_Pole2</vt:lpstr>
      <vt:lpstr>PS_IL_RHPZ</vt:lpstr>
      <vt:lpstr>PS_IL_Zero1</vt:lpstr>
      <vt:lpstr>'IL Stability Calculations'!PS_Pole1</vt:lpstr>
      <vt:lpstr>PS_Pole1</vt:lpstr>
      <vt:lpstr>'IL Stability Calculations'!PS_Pole2</vt:lpstr>
      <vt:lpstr>PS_Pole2</vt:lpstr>
      <vt:lpstr>'IL Stability Calculations'!PS_RHPZ</vt:lpstr>
      <vt:lpstr>PS_RHPZ</vt:lpstr>
      <vt:lpstr>'IL Stability Calculations'!PS_Zero1</vt:lpstr>
      <vt:lpstr>PS_Zero1</vt:lpstr>
      <vt:lpstr>'IL Stability Calculations'!pterm1</vt:lpstr>
      <vt:lpstr>pterm1</vt:lpstr>
      <vt:lpstr>pterm1_IL</vt:lpstr>
      <vt:lpstr>'IL Stability Calculations'!pterm2</vt:lpstr>
      <vt:lpstr>pterm2</vt:lpstr>
      <vt:lpstr>pterm2_IL</vt:lpstr>
      <vt:lpstr>Q</vt:lpstr>
      <vt:lpstr>Qg_Q1</vt:lpstr>
      <vt:lpstr>Qg_Q2</vt:lpstr>
      <vt:lpstr>Qg_Q3</vt:lpstr>
      <vt:lpstr>Qg_Q4</vt:lpstr>
      <vt:lpstr>Qgd_Q1</vt:lpstr>
      <vt:lpstr>Qgd_Q2</vt:lpstr>
      <vt:lpstr>Qgd_Q3</vt:lpstr>
      <vt:lpstr>Qgd_Q4</vt:lpstr>
      <vt:lpstr>Qgs_Q1</vt:lpstr>
      <vt:lpstr>Qgs_Q2</vt:lpstr>
      <vt:lpstr>Qgs_Q3</vt:lpstr>
      <vt:lpstr>Qgs_Q4</vt:lpstr>
      <vt:lpstr>Qrr_Q1</vt:lpstr>
      <vt:lpstr>Qrr_Q2</vt:lpstr>
      <vt:lpstr>Qrr_Q3</vt:lpstr>
      <vt:lpstr>Qrr_Q4</vt:lpstr>
      <vt:lpstr>QrrSky_Q2</vt:lpstr>
      <vt:lpstr>QrrSky_Q3</vt:lpstr>
      <vt:lpstr>R_CS</vt:lpstr>
      <vt:lpstr>R_IL_recommend</vt:lpstr>
      <vt:lpstr>'IL Stability Calculations'!radconv</vt:lpstr>
      <vt:lpstr>radconv</vt:lpstr>
      <vt:lpstr>radconv_IL</vt:lpstr>
      <vt:lpstr>Rcea1</vt:lpstr>
      <vt:lpstr>Rcea1_u</vt:lpstr>
      <vt:lpstr>RcIL</vt:lpstr>
      <vt:lpstr>RCinEsr</vt:lpstr>
      <vt:lpstr>RCoutEsr</vt:lpstr>
      <vt:lpstr>Rdcr</vt:lpstr>
      <vt:lpstr>Rdson1</vt:lpstr>
      <vt:lpstr>Rdson2</vt:lpstr>
      <vt:lpstr>Rdson3</vt:lpstr>
      <vt:lpstr>Rdson4</vt:lpstr>
      <vt:lpstr>RdsonBotTc</vt:lpstr>
      <vt:lpstr>RdsonDRB</vt:lpstr>
      <vt:lpstr>RdsonDRB2</vt:lpstr>
      <vt:lpstr>RdsonDRT</vt:lpstr>
      <vt:lpstr>RdsonDRT2</vt:lpstr>
      <vt:lpstr>RdsonTopTc</vt:lpstr>
      <vt:lpstr>Rfadj</vt:lpstr>
      <vt:lpstr>Rfb1_</vt:lpstr>
      <vt:lpstr>Rfb2_</vt:lpstr>
      <vt:lpstr>Rfb2_u</vt:lpstr>
      <vt:lpstr>Rfets</vt:lpstr>
      <vt:lpstr>Rgate1</vt:lpstr>
      <vt:lpstr>Rgate2</vt:lpstr>
      <vt:lpstr>Rgate3</vt:lpstr>
      <vt:lpstr>Rgate4</vt:lpstr>
      <vt:lpstr>Ri</vt:lpstr>
      <vt:lpstr>Ro</vt:lpstr>
      <vt:lpstr>RoEA</vt:lpstr>
      <vt:lpstr>RoEA_IL</vt:lpstr>
      <vt:lpstr>Rout</vt:lpstr>
      <vt:lpstr>Rpg</vt:lpstr>
      <vt:lpstr>Rs</vt:lpstr>
      <vt:lpstr>Rs_ideal</vt:lpstr>
      <vt:lpstr>Rs_in_range</vt:lpstr>
      <vt:lpstr>Rsb</vt:lpstr>
      <vt:lpstr>Rshunt</vt:lpstr>
      <vt:lpstr>Rshunt_std</vt:lpstr>
      <vt:lpstr>Rslope</vt:lpstr>
      <vt:lpstr>Rslope_ideal</vt:lpstr>
      <vt:lpstr>Ruvlo1</vt:lpstr>
      <vt:lpstr>Ruvlo2</vt:lpstr>
      <vt:lpstr>SCH_NO_RCS</vt:lpstr>
      <vt:lpstr>SCH_RCS_LIM</vt:lpstr>
      <vt:lpstr>SCH_RCS_LIM_NEG</vt:lpstr>
      <vt:lpstr>SCH_RCS_MON</vt:lpstr>
      <vt:lpstr>SCH772_NO_RCS</vt:lpstr>
      <vt:lpstr>SCH772_RCS_LIM</vt:lpstr>
      <vt:lpstr>SCH772_RCS_LIM_NEG</vt:lpstr>
      <vt:lpstr>SCH772_RCS_MON</vt:lpstr>
      <vt:lpstr>Se</vt:lpstr>
      <vt:lpstr>Se_ext</vt:lpstr>
      <vt:lpstr>Se_fixed</vt:lpstr>
      <vt:lpstr>Se_proportional</vt:lpstr>
      <vt:lpstr>Sf</vt:lpstr>
      <vt:lpstr>Sn</vt:lpstr>
      <vt:lpstr>t1_Ph_II</vt:lpstr>
      <vt:lpstr>t2_Ph_I</vt:lpstr>
      <vt:lpstr>t3_Ph_III</vt:lpstr>
      <vt:lpstr>Ta</vt:lpstr>
      <vt:lpstr>Tf_boost</vt:lpstr>
      <vt:lpstr>Tf_buck</vt:lpstr>
      <vt:lpstr>ThetaCa</vt:lpstr>
      <vt:lpstr>ThetaJA_Q1</vt:lpstr>
      <vt:lpstr>ThetaJA_Q2</vt:lpstr>
      <vt:lpstr>ThetaJA_Q3</vt:lpstr>
      <vt:lpstr>ThetaJA_Q4</vt:lpstr>
      <vt:lpstr>ThetaJaCtrl</vt:lpstr>
      <vt:lpstr>TL</vt:lpstr>
      <vt:lpstr>Toff_min_buck</vt:lpstr>
      <vt:lpstr>Toff_Vinmax</vt:lpstr>
      <vt:lpstr>Ton_min_boost</vt:lpstr>
      <vt:lpstr>Ton_Vinmin</vt:lpstr>
      <vt:lpstr>Tr_boost</vt:lpstr>
      <vt:lpstr>Tr_buck</vt:lpstr>
      <vt:lpstr>Trr_Q1</vt:lpstr>
      <vt:lpstr>Trr_Q2</vt:lpstr>
      <vt:lpstr>Trr_Q3</vt:lpstr>
      <vt:lpstr>Trr_Q4</vt:lpstr>
      <vt:lpstr>Ts</vt:lpstr>
      <vt:lpstr>Tss</vt:lpstr>
      <vt:lpstr>V_sc_fixed</vt:lpstr>
      <vt:lpstr>V_sc_proportional</vt:lpstr>
      <vt:lpstr>V_sc_total</vt:lpstr>
      <vt:lpstr>Vdd</vt:lpstr>
      <vt:lpstr>VfdSky_Q2</vt:lpstr>
      <vt:lpstr>VfdSky_Q3</vt:lpstr>
      <vt:lpstr>Vin</vt:lpstr>
      <vt:lpstr>VIN_BB_to_boost</vt:lpstr>
      <vt:lpstr>VIN_BB_to_buck</vt:lpstr>
      <vt:lpstr>VIN_boost_to_BB</vt:lpstr>
      <vt:lpstr>VIN_edgebuckboost</vt:lpstr>
      <vt:lpstr>VIN_max</vt:lpstr>
      <vt:lpstr>VIN_min</vt:lpstr>
      <vt:lpstr>VIN_nom</vt:lpstr>
      <vt:lpstr>Vinripple1</vt:lpstr>
      <vt:lpstr>Vinripple2</vt:lpstr>
      <vt:lpstr>VINuvlo_off</vt:lpstr>
      <vt:lpstr>VINuvlo_on</vt:lpstr>
      <vt:lpstr>Vout</vt:lpstr>
      <vt:lpstr>Vref</vt:lpstr>
      <vt:lpstr>Vripple1</vt:lpstr>
      <vt:lpstr>Vripple2</vt:lpstr>
      <vt:lpstr>Vsd_Q1</vt:lpstr>
      <vt:lpstr>Vsd_Q2</vt:lpstr>
      <vt:lpstr>Vsd_Q3</vt:lpstr>
      <vt:lpstr>Vsd_Q4</vt:lpstr>
      <vt:lpstr>Vsp_Q1</vt:lpstr>
      <vt:lpstr>Vsp_Q2</vt:lpstr>
      <vt:lpstr>Vsp_Q3</vt:lpstr>
      <vt:lpstr>Vsp_Q4</vt:lpstr>
      <vt:lpstr>Vth_Q1</vt:lpstr>
      <vt:lpstr>Vth_Q2</vt:lpstr>
      <vt:lpstr>Vth_Q3</vt:lpstr>
      <vt:lpstr>Vth_Q4</vt:lpstr>
      <vt:lpstr>Vuvlo_hys</vt:lpstr>
      <vt:lpstr>Vuvlo_off</vt:lpstr>
      <vt:lpstr>Vuvlo_on</vt:lpstr>
      <vt:lpstr>With_RCS</vt:lpstr>
    </vt:vector>
  </TitlesOfParts>
  <Company>Texas Instruments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LM5176 Quickstart Tool</dc:title>
  <dc:creator>Vijay Choudhary</dc:creator>
  <cp:keywords>LM5176, PWM controller, current mode, PCB layout</cp:keywords>
  <cp:lastModifiedBy>小宇 楊</cp:lastModifiedBy>
  <cp:lastPrinted>2014-12-22T00:10:27Z</cp:lastPrinted>
  <dcterms:created xsi:type="dcterms:W3CDTF">1996-10-14T23:33:28Z</dcterms:created>
  <dcterms:modified xsi:type="dcterms:W3CDTF">2026-10-10T08:56:30Z</dcterms:modified>
</cp:coreProperties>
</file>